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omments5.xml" ContentType="application/vnd.openxmlformats-officedocument.spreadsheetml.comments+xml"/>
  <Override PartName="/xl/comments6.xml" ContentType="application/vnd.openxmlformats-officedocument.spreadsheetml.comments+xml"/>
  <Override PartName="/xl/drawings/drawing5.xml" ContentType="application/vnd.openxmlformats-officedocument.drawing+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drawings/drawing6.xml" ContentType="application/vnd.openxmlformats-officedocument.drawing+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drawings/drawing7.xml" ContentType="application/vnd.openxmlformats-officedocument.drawing+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xl/drawings/drawing8.xml" ContentType="application/vnd.openxmlformats-officedocument.drawing+xml"/>
  <Override PartName="/xl/ctrlProps/ctrlProp77.xml" ContentType="application/vnd.ms-excel.controlproperties+xml"/>
  <Override PartName="/xl/ctrlProps/ctrlProp78.xml" ContentType="application/vnd.ms-excel.controlproperties+xml"/>
  <Override PartName="/xl/ctrlProps/ctrlProp79.xml" ContentType="application/vnd.ms-excel.controlproperties+xml"/>
  <Override PartName="/xl/ctrlProps/ctrlProp80.xml" ContentType="application/vnd.ms-excel.controlproperties+xml"/>
  <Override PartName="/xl/ctrlProps/ctrlProp81.xml" ContentType="application/vnd.ms-excel.controlproperties+xml"/>
  <Override PartName="/xl/ctrlProps/ctrlProp82.xml" ContentType="application/vnd.ms-excel.controlproperties+xml"/>
  <Override PartName="/xl/ctrlProps/ctrlProp83.xml" ContentType="application/vnd.ms-excel.controlproperties+xml"/>
  <Override PartName="/xl/ctrlProps/ctrlProp84.xml" ContentType="application/vnd.ms-excel.controlproperties+xml"/>
  <Override PartName="/xl/ctrlProps/ctrlProp85.xml" ContentType="application/vnd.ms-excel.controlproperties+xml"/>
  <Override PartName="/xl/ctrlProps/ctrlProp86.xml" ContentType="application/vnd.ms-excel.controlproperties+xml"/>
  <Override PartName="/xl/ctrlProps/ctrlProp87.xml" ContentType="application/vnd.ms-excel.controlproperties+xml"/>
  <Override PartName="/xl/ctrlProps/ctrlProp88.xml" ContentType="application/vnd.ms-excel.controlproperties+xml"/>
  <Override PartName="/xl/ctrlProps/ctrlProp89.xml" ContentType="application/vnd.ms-excel.controlproperties+xml"/>
  <Override PartName="/xl/ctrlProps/ctrlProp90.xml" ContentType="application/vnd.ms-excel.controlproperties+xml"/>
  <Override PartName="/xl/ctrlProps/ctrlProp91.xml" ContentType="application/vnd.ms-excel.controlproperties+xml"/>
  <Override PartName="/xl/ctrlProps/ctrlProp92.xml" ContentType="application/vnd.ms-excel.controlproperties+xml"/>
  <Override PartName="/xl/ctrlProps/ctrlProp93.xml" ContentType="application/vnd.ms-excel.controlproperties+xml"/>
  <Override PartName="/xl/ctrlProps/ctrlProp94.xml" ContentType="application/vnd.ms-excel.controlproperties+xml"/>
  <Override PartName="/xl/ctrlProps/ctrlProp95.xml" ContentType="application/vnd.ms-excel.controlproperties+xml"/>
  <Override PartName="/xl/drawings/drawing9.xml" ContentType="application/vnd.openxmlformats-officedocument.drawing+xml"/>
  <Override PartName="/xl/ctrlProps/ctrlProp96.xml" ContentType="application/vnd.ms-excel.controlproperties+xml"/>
  <Override PartName="/xl/ctrlProps/ctrlProp97.xml" ContentType="application/vnd.ms-excel.controlproperties+xml"/>
  <Override PartName="/xl/ctrlProps/ctrlProp98.xml" ContentType="application/vnd.ms-excel.controlproperties+xml"/>
  <Override PartName="/xl/ctrlProps/ctrlProp99.xml" ContentType="application/vnd.ms-excel.controlproperties+xml"/>
  <Override PartName="/xl/ctrlProps/ctrlProp100.xml" ContentType="application/vnd.ms-excel.controlproperties+xml"/>
  <Override PartName="/xl/ctrlProps/ctrlProp101.xml" ContentType="application/vnd.ms-excel.controlproperties+xml"/>
  <Override PartName="/xl/ctrlProps/ctrlProp102.xml" ContentType="application/vnd.ms-excel.controlproperties+xml"/>
  <Override PartName="/xl/ctrlProps/ctrlProp103.xml" ContentType="application/vnd.ms-excel.controlproperties+xml"/>
  <Override PartName="/xl/ctrlProps/ctrlProp104.xml" ContentType="application/vnd.ms-excel.controlproperties+xml"/>
  <Override PartName="/xl/ctrlProps/ctrlProp105.xml" ContentType="application/vnd.ms-excel.controlproperties+xml"/>
  <Override PartName="/xl/ctrlProps/ctrlProp106.xml" ContentType="application/vnd.ms-excel.controlproperties+xml"/>
  <Override PartName="/xl/ctrlProps/ctrlProp107.xml" ContentType="application/vnd.ms-excel.controlproperties+xml"/>
  <Override PartName="/xl/ctrlProps/ctrlProp108.xml" ContentType="application/vnd.ms-excel.controlproperties+xml"/>
  <Override PartName="/xl/ctrlProps/ctrlProp109.xml" ContentType="application/vnd.ms-excel.controlproperties+xml"/>
  <Override PartName="/xl/ctrlProps/ctrlProp110.xml" ContentType="application/vnd.ms-excel.controlproperties+xml"/>
  <Override PartName="/xl/ctrlProps/ctrlProp111.xml" ContentType="application/vnd.ms-excel.controlproperties+xml"/>
  <Override PartName="/xl/ctrlProps/ctrlProp112.xml" ContentType="application/vnd.ms-excel.controlproperties+xml"/>
  <Override PartName="/xl/ctrlProps/ctrlProp113.xml" ContentType="application/vnd.ms-excel.controlproperties+xml"/>
  <Override PartName="/xl/ctrlProps/ctrlProp114.xml" ContentType="application/vnd.ms-excel.controlproperties+xml"/>
  <Override PartName="/xl/drawings/drawing10.xml" ContentType="application/vnd.openxmlformats-officedocument.drawing+xml"/>
  <Override PartName="/xl/ctrlProps/ctrlProp115.xml" ContentType="application/vnd.ms-excel.controlproperties+xml"/>
  <Override PartName="/xl/ctrlProps/ctrlProp116.xml" ContentType="application/vnd.ms-excel.controlproperties+xml"/>
  <Override PartName="/xl/ctrlProps/ctrlProp117.xml" ContentType="application/vnd.ms-excel.controlproperties+xml"/>
  <Override PartName="/xl/ctrlProps/ctrlProp118.xml" ContentType="application/vnd.ms-excel.controlproperties+xml"/>
  <Override PartName="/xl/ctrlProps/ctrlProp119.xml" ContentType="application/vnd.ms-excel.controlproperties+xml"/>
  <Override PartName="/xl/ctrlProps/ctrlProp120.xml" ContentType="application/vnd.ms-excel.controlproperties+xml"/>
  <Override PartName="/xl/ctrlProps/ctrlProp121.xml" ContentType="application/vnd.ms-excel.controlproperties+xml"/>
  <Override PartName="/xl/ctrlProps/ctrlProp122.xml" ContentType="application/vnd.ms-excel.controlproperties+xml"/>
  <Override PartName="/xl/ctrlProps/ctrlProp123.xml" ContentType="application/vnd.ms-excel.controlproperties+xml"/>
  <Override PartName="/xl/ctrlProps/ctrlProp124.xml" ContentType="application/vnd.ms-excel.controlproperties+xml"/>
  <Override PartName="/xl/ctrlProps/ctrlProp125.xml" ContentType="application/vnd.ms-excel.controlproperties+xml"/>
  <Override PartName="/xl/ctrlProps/ctrlProp126.xml" ContentType="application/vnd.ms-excel.controlproperties+xml"/>
  <Override PartName="/xl/ctrlProps/ctrlProp127.xml" ContentType="application/vnd.ms-excel.controlproperties+xml"/>
  <Override PartName="/xl/ctrlProps/ctrlProp128.xml" ContentType="application/vnd.ms-excel.controlproperties+xml"/>
  <Override PartName="/xl/ctrlProps/ctrlProp129.xml" ContentType="application/vnd.ms-excel.controlproperties+xml"/>
  <Override PartName="/xl/ctrlProps/ctrlProp130.xml" ContentType="application/vnd.ms-excel.controlproperties+xml"/>
  <Override PartName="/xl/ctrlProps/ctrlProp131.xml" ContentType="application/vnd.ms-excel.controlproperties+xml"/>
  <Override PartName="/xl/ctrlProps/ctrlProp132.xml" ContentType="application/vnd.ms-excel.controlproperties+xml"/>
  <Override PartName="/xl/ctrlProps/ctrlProp133.xml" ContentType="application/vnd.ms-excel.controlproperties+xml"/>
  <Override PartName="/xl/drawings/drawing11.xml" ContentType="application/vnd.openxmlformats-officedocument.drawing+xml"/>
  <Override PartName="/xl/ctrlProps/ctrlProp134.xml" ContentType="application/vnd.ms-excel.controlproperties+xml"/>
  <Override PartName="/xl/ctrlProps/ctrlProp135.xml" ContentType="application/vnd.ms-excel.controlproperties+xml"/>
  <Override PartName="/xl/ctrlProps/ctrlProp136.xml" ContentType="application/vnd.ms-excel.controlproperties+xml"/>
  <Override PartName="/xl/ctrlProps/ctrlProp137.xml" ContentType="application/vnd.ms-excel.controlproperties+xml"/>
  <Override PartName="/xl/ctrlProps/ctrlProp138.xml" ContentType="application/vnd.ms-excel.controlproperties+xml"/>
  <Override PartName="/xl/ctrlProps/ctrlProp139.xml" ContentType="application/vnd.ms-excel.controlproperties+xml"/>
  <Override PartName="/xl/comments7.xml" ContentType="application/vnd.openxmlformats-officedocument.spreadsheetml.comments+xml"/>
  <Override PartName="/xl/drawings/drawing12.xml" ContentType="application/vnd.openxmlformats-officedocument.drawing+xml"/>
  <Override PartName="/xl/ctrlProps/ctrlProp140.xml" ContentType="application/vnd.ms-excel.controlproperties+xml"/>
  <Override PartName="/xl/ctrlProps/ctrlProp141.xml" ContentType="application/vnd.ms-excel.controlproperties+xml"/>
  <Override PartName="/xl/ctrlProps/ctrlProp142.xml" ContentType="application/vnd.ms-excel.controlproperties+xml"/>
  <Override PartName="/xl/ctrlProps/ctrlProp143.xml" ContentType="application/vnd.ms-excel.controlproperties+xml"/>
  <Override PartName="/xl/ctrlProps/ctrlProp144.xml" ContentType="application/vnd.ms-excel.controlproperties+xml"/>
  <Override PartName="/xl/ctrlProps/ctrlProp145.xml" ContentType="application/vnd.ms-excel.controlproperties+xml"/>
  <Override PartName="/xl/comments8.xml" ContentType="application/vnd.openxmlformats-officedocument.spreadsheetml.comments+xml"/>
  <Override PartName="/xl/drawings/drawing13.xml" ContentType="application/vnd.openxmlformats-officedocument.drawing+xml"/>
  <Override PartName="/xl/ctrlProps/ctrlProp146.xml" ContentType="application/vnd.ms-excel.controlproperties+xml"/>
  <Override PartName="/xl/ctrlProps/ctrlProp147.xml" ContentType="application/vnd.ms-excel.controlproperties+xml"/>
  <Override PartName="/xl/ctrlProps/ctrlProp148.xml" ContentType="application/vnd.ms-excel.controlproperties+xml"/>
  <Override PartName="/xl/ctrlProps/ctrlProp149.xml" ContentType="application/vnd.ms-excel.controlproperties+xml"/>
  <Override PartName="/xl/ctrlProps/ctrlProp150.xml" ContentType="application/vnd.ms-excel.controlproperties+xml"/>
  <Override PartName="/xl/ctrlProps/ctrlProp151.xml" ContentType="application/vnd.ms-excel.controlproperties+xml"/>
  <Override PartName="/xl/ctrlProps/ctrlProp152.xml" ContentType="application/vnd.ms-excel.controlproperties+xml"/>
  <Override PartName="/xl/ctrlProps/ctrlProp153.xml" ContentType="application/vnd.ms-excel.controlproperties+xml"/>
  <Override PartName="/xl/ctrlProps/ctrlProp154.xml" ContentType="application/vnd.ms-excel.controlproperties+xml"/>
  <Override PartName="/xl/ctrlProps/ctrlProp155.xml" ContentType="application/vnd.ms-excel.controlproperties+xml"/>
  <Override PartName="/xl/ctrlProps/ctrlProp156.xml" ContentType="application/vnd.ms-excel.controlproperties+xml"/>
  <Override PartName="/xl/ctrlProps/ctrlProp157.xml" ContentType="application/vnd.ms-excel.controlproperties+xml"/>
  <Override PartName="/xl/ctrlProps/ctrlProp158.xml" ContentType="application/vnd.ms-excel.controlproperties+xml"/>
  <Override PartName="/xl/ctrlProps/ctrlProp159.xml" ContentType="application/vnd.ms-excel.controlproperties+xml"/>
  <Override PartName="/xl/ctrlProps/ctrlProp160.xml" ContentType="application/vnd.ms-excel.controlproperties+xml"/>
  <Override PartName="/xl/ctrlProps/ctrlProp161.xml" ContentType="application/vnd.ms-excel.controlproperties+xml"/>
  <Override PartName="/xl/ctrlProps/ctrlProp162.xml" ContentType="application/vnd.ms-excel.controlproperties+xml"/>
  <Override PartName="/xl/ctrlProps/ctrlProp163.xml" ContentType="application/vnd.ms-excel.controlproperties+xml"/>
  <Override PartName="/xl/ctrlProps/ctrlProp164.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27"/>
  <workbookPr codeName="ThisWorkbook"/>
  <mc:AlternateContent xmlns:mc="http://schemas.openxmlformats.org/markup-compatibility/2006">
    <mc:Choice Requires="x15">
      <x15ac:absPath xmlns:x15ac="http://schemas.microsoft.com/office/spreadsheetml/2010/11/ac" url="C:\Users\Acer\Documents\CHARM FILES\BPM\PRICELIST WITH AUTOMATED SAMPLE COMPUTATION\EMERALD ESTATES &amp; TSF PRICELIST\2025\September 2025\Form sir Charles\"/>
    </mc:Choice>
  </mc:AlternateContent>
  <xr:revisionPtr revIDLastSave="0" documentId="8_{91EFBD1A-895E-405D-9213-14D864380EA3}" xr6:coauthVersionLast="47" xr6:coauthVersionMax="47" xr10:uidLastSave="{00000000-0000-0000-0000-000000000000}"/>
  <bookViews>
    <workbookView xWindow="0" yWindow="0" windowWidth="19200" windowHeight="6940" tabRatio="897" firstSheet="6" activeTab="6" xr2:uid="{00000000-000D-0000-FFFF-FFFF00000000}"/>
  </bookViews>
  <sheets>
    <sheet name="Construction Sched 2023" sheetId="36" state="hidden" r:id="rId1"/>
    <sheet name="Amort Computation" sheetId="37" state="hidden" r:id="rId2"/>
    <sheet name="Corrected and Updated TSF 3" sheetId="35" state="hidden" r:id="rId3"/>
    <sheet name="INTERNAL PRICELIST" sheetId="22" state="hidden" r:id="rId4"/>
    <sheet name="Sheet1" sheetId="33" state="hidden" r:id="rId5"/>
    <sheet name="RECOVERIES" sheetId="40" state="hidden" r:id="rId6"/>
    <sheet name="Pricelist Link" sheetId="19" r:id="rId7"/>
    <sheet name="FORM" sheetId="4" r:id="rId8"/>
    <sheet name="STANDARD COMP." sheetId="5" r:id="rId9"/>
    <sheet name="STEP UP" sheetId="32" r:id="rId10"/>
    <sheet name="RA_Step Up" sheetId="25" state="hidden" r:id="rId11"/>
    <sheet name="STEP UP_2.5% LS" sheetId="23" r:id="rId12"/>
    <sheet name="2.5% Lumpsum" sheetId="24" r:id="rId13"/>
    <sheet name="RA_Standard" sheetId="26" state="hidden" r:id="rId14"/>
    <sheet name="SPOT EQUITY_7DAYS" sheetId="6" r:id="rId15"/>
    <sheet name="RA_SE7D" sheetId="13" state="hidden" r:id="rId16"/>
    <sheet name="SPOT EQUITY_30DAYS" sheetId="7" r:id="rId17"/>
    <sheet name="RA_SE30D" sheetId="27" state="hidden" r:id="rId18"/>
    <sheet name="SPOT CASH_30 DAYS" sheetId="8" r:id="rId19"/>
    <sheet name="RA_SC30D" sheetId="28" state="hidden" r:id="rId20"/>
    <sheet name="SPOT CASH_60 DAYS" sheetId="9" state="hidden" r:id="rId21"/>
    <sheet name="SPOT CASH_60 DAYS (2)" sheetId="34" r:id="rId22"/>
    <sheet name="RA_SC60D" sheetId="29" state="hidden" r:id="rId23"/>
    <sheet name="DEFERRED" sheetId="20" r:id="rId24"/>
    <sheet name="RA_Deferred" sheetId="30" state="hidden" r:id="rId25"/>
    <sheet name="10% spread plus 5% lumpsum" sheetId="38" state="hidden" r:id="rId26"/>
    <sheet name="10% step up plus 5% lumpsum" sheetId="39" state="hidden" r:id="rId27"/>
    <sheet name="SPECIAL PACKAGE" sheetId="10" r:id="rId28"/>
    <sheet name="RA_Special" sheetId="31" state="hidden" r:id="rId29"/>
  </sheets>
  <externalReferences>
    <externalReference r:id="rId30"/>
    <externalReference r:id="rId31"/>
    <externalReference r:id="rId32"/>
    <externalReference r:id="rId33"/>
    <externalReference r:id="rId34"/>
    <externalReference r:id="rId35"/>
    <externalReference r:id="rId36"/>
    <externalReference r:id="rId37"/>
    <externalReference r:id="rId38"/>
  </externalReferences>
  <definedNames>
    <definedName name="_" localSheetId="25">DATE(YEAR('10% spread plus 5% lumpsum'!Loan_Start),MONTH('10% spread plus 5% lumpsum'!Loan_Start)+Payment_Number,DAY('10% spread plus 5% lumpsum'!Loan_Start))</definedName>
    <definedName name="_" localSheetId="26">DATE(YEAR('10% step up plus 5% lumpsum'!Loan_Start),MONTH('10% step up plus 5% lumpsum'!Loan_Start)+Payment_Number,DAY('10% step up plus 5% lumpsum'!Loan_Start))</definedName>
    <definedName name="_" localSheetId="5">DATE(YEAR(Loan_Start),MONTH(Loan_Start)+Payment_Number,DAY(Loan_Start))</definedName>
    <definedName name="_">DATE(YEAR(Loan_Start),MONTH(Loan_Start)+Payment_Number,DAY(Loan_Start))</definedName>
    <definedName name="_xlnm._FilterDatabase" localSheetId="2" hidden="1">'Corrected and Updated TSF 3'!$A$6:$IF$392</definedName>
    <definedName name="_xlnm._FilterDatabase" localSheetId="3" hidden="1">'INTERNAL PRICELIST'!$A$6:$AZ$290</definedName>
    <definedName name="_xlnm._FilterDatabase" localSheetId="6" hidden="1">'Pricelist Link'!$A$6:$AU$378</definedName>
    <definedName name="Ancheta">#N/A</definedName>
    <definedName name="Beg_Bal" localSheetId="25">#REF!</definedName>
    <definedName name="Beg_Bal" localSheetId="26">#REF!</definedName>
    <definedName name="Beg_Bal" localSheetId="1">'Amort Computation'!$C$25:$C$384</definedName>
    <definedName name="Beg_Bal">#REF!</definedName>
    <definedName name="Calaca">#N/A</definedName>
    <definedName name="Data">'Amort Computation'!$A$25:$I$384</definedName>
    <definedName name="DocTemplates" localSheetId="25">OFFSET(#REF!,,,COUNTA(#REF!),1)</definedName>
    <definedName name="DocTemplates" localSheetId="26">OFFSET(#REF!,,,COUNTA(#REF!),1)</definedName>
    <definedName name="DocTemplates" localSheetId="1">OFFSET(#REF!,,,COUNTA(#REF!),1)</definedName>
    <definedName name="DocTemplates" localSheetId="0">OFFSET(#REF!,,,COUNTA(#REF!),1)</definedName>
    <definedName name="DocTemplates" localSheetId="9">OFFSET(#REF!,,,COUNTA(#REF!),1)</definedName>
    <definedName name="DocTemplates" localSheetId="11">OFFSET(#REF!,,,COUNTA(#REF!),1)</definedName>
    <definedName name="DocTemplates">OFFSET(#REF!,,,COUNTA(#REF!),1)</definedName>
    <definedName name="End_Bal" localSheetId="25">#REF!</definedName>
    <definedName name="End_Bal" localSheetId="26">#REF!</definedName>
    <definedName name="End_Bal" localSheetId="1">'Amort Computation'!$I$25:$I$384</definedName>
    <definedName name="End_Bal">#REF!</definedName>
    <definedName name="Extra_Pay" localSheetId="25">#REF!</definedName>
    <definedName name="Extra_Pay" localSheetId="26">#REF!</definedName>
    <definedName name="Extra_Pay" localSheetId="1">'Amort Computation'!$E$25:$E$384</definedName>
    <definedName name="Extra_Pay">#REF!</definedName>
    <definedName name="Full_Print" localSheetId="25">'[1]Amort Computation'!$A$1:$I$384</definedName>
    <definedName name="Full_Print" localSheetId="5">'[2]Amort Computation'!$A$1:$I$384</definedName>
    <definedName name="Full_Print">'Amort Computation'!$A$1:$I$384</definedName>
    <definedName name="Header_Row" localSheetId="25">ROW(#REF!)</definedName>
    <definedName name="Header_Row" localSheetId="26">ROW(#REF!)</definedName>
    <definedName name="Header_Row" localSheetId="1">ROW('Amort Computation'!$24:$24)</definedName>
    <definedName name="Header_Row">ROW(#REF!)</definedName>
    <definedName name="Int" localSheetId="25">#REF!</definedName>
    <definedName name="Int" localSheetId="26">#REF!</definedName>
    <definedName name="Int" localSheetId="1">'Amort Computation'!$H$25:$H$384</definedName>
    <definedName name="Int">#REF!</definedName>
    <definedName name="Interest_Rate" localSheetId="25">#REF!</definedName>
    <definedName name="Interest_Rate" localSheetId="26">#REF!</definedName>
    <definedName name="Interest_Rate" localSheetId="1">'Amort Computation'!$D$15</definedName>
    <definedName name="Interest_Rate">#REF!</definedName>
    <definedName name="Last_Row" localSheetId="25">IF('10% spread plus 5% lumpsum'!Values_Entered,'10% spread plus 5% lumpsum'!Header_Row+'10% spread plus 5% lumpsum'!Number_of_Payments,'10% spread plus 5% lumpsum'!Header_Row)</definedName>
    <definedName name="Last_Row" localSheetId="26">IF('10% step up plus 5% lumpsum'!Values_Entered,'10% step up plus 5% lumpsum'!Header_Row+'10% step up plus 5% lumpsum'!Number_of_Payments,'10% step up plus 5% lumpsum'!Header_Row)</definedName>
    <definedName name="Last_Row" localSheetId="1">IF('Amort Computation'!Values_Entered,'Amort Computation'!Header_Row+'Amort Computation'!Number_of_Payments,'Amort Computation'!Header_Row)</definedName>
    <definedName name="Last_Row" localSheetId="5">IF(RECOVERIES!Values_Entered,Header_Row+RECOVERIES!Number_of_Payments,Header_Row)</definedName>
    <definedName name="Last_Row">IF(Values_Entered,Header_Row+Number_of_Payments,Header_Row)</definedName>
    <definedName name="Loan_Amount" localSheetId="25">#REF!</definedName>
    <definedName name="Loan_Amount" localSheetId="26">#REF!</definedName>
    <definedName name="Loan_Amount" localSheetId="1">'Amort Computation'!$D$14</definedName>
    <definedName name="Loan_Amount">#REF!</definedName>
    <definedName name="Loan_Start" localSheetId="25">#REF!</definedName>
    <definedName name="Loan_Start" localSheetId="26">#REF!</definedName>
    <definedName name="Loan_Start" localSheetId="1">'Amort Computation'!$D$18</definedName>
    <definedName name="Loan_Start">#REF!</definedName>
    <definedName name="Loan_Years" localSheetId="25">#REF!</definedName>
    <definedName name="Loan_Years" localSheetId="26">#REF!</definedName>
    <definedName name="Loan_Years" localSheetId="1">'Amort Computation'!$D$16</definedName>
    <definedName name="Loan_Years">#REF!</definedName>
    <definedName name="Num_Pmt_Per_Year" localSheetId="25">#REF!</definedName>
    <definedName name="Num_Pmt_Per_Year" localSheetId="26">#REF!</definedName>
    <definedName name="Num_Pmt_Per_Year" localSheetId="1">'Amort Computation'!$D$17</definedName>
    <definedName name="Num_Pmt_Per_Year">#REF!</definedName>
    <definedName name="Number_of_Payments" localSheetId="25">MATCH(0.01,'10% spread plus 5% lumpsum'!End_Bal,-1)+1</definedName>
    <definedName name="Number_of_Payments" localSheetId="26">MATCH(0.01,'10% step up plus 5% lumpsum'!End_Bal,-1)+1</definedName>
    <definedName name="Number_of_Payments" localSheetId="1">MATCH(0.01,'Amort Computation'!End_Bal,-1)+1</definedName>
    <definedName name="Number_of_Payments" localSheetId="5">MATCH(0.01,End_Bal,-1)+1</definedName>
    <definedName name="Number_of_Payments">MATCH(0.01,End_Bal,-1)+1</definedName>
    <definedName name="Pay_Date">'Amort Computation'!$B$25:$B$384</definedName>
    <definedName name="Pay_Num" localSheetId="25">#REF!</definedName>
    <definedName name="Pay_Num" localSheetId="26">#REF!</definedName>
    <definedName name="Pay_Num" localSheetId="1">'Amort Computation'!$A$25:$A$384</definedName>
    <definedName name="Pay_Num">#REF!</definedName>
    <definedName name="Payment_Date" localSheetId="25">#N/A</definedName>
    <definedName name="Payment_Date" localSheetId="26">#N/A</definedName>
    <definedName name="Payment_Date" localSheetId="5">#N/A</definedName>
    <definedName name="Payment_Date">DATE(YEAR('Amort Computation'!Loan_Start),MONTH('Amort Computation'!Loan_Start)+Payment_Number,DAY('Amort Computation'!Loan_Start))</definedName>
    <definedName name="PAYOPILIN">#N/A</definedName>
    <definedName name="pricelist" localSheetId="25">'10% spread plus 5% lumpsum'!$AF$50:$BC$833</definedName>
    <definedName name="pricelist" localSheetId="12">'2.5% Lumpsum'!$AF$50:$BC$833</definedName>
    <definedName name="pricelist">'STANDARD COMP.'!$AF$50:$BC$833</definedName>
    <definedName name="Princ" localSheetId="25">#REF!</definedName>
    <definedName name="Princ" localSheetId="26">#REF!</definedName>
    <definedName name="Princ" localSheetId="1">'Amort Computation'!$G$25:$G$384</definedName>
    <definedName name="Princ">#REF!</definedName>
    <definedName name="_xlnm.Print_Area" localSheetId="25">'10% spread plus 5% lumpsum'!$A$1:$Q$87</definedName>
    <definedName name="_xlnm.Print_Area" localSheetId="26">'10% step up plus 5% lumpsum'!$A$1:$AD$89</definedName>
    <definedName name="_xlnm.Print_Area" localSheetId="12">'2.5% Lumpsum'!$A$1:$Q$89</definedName>
    <definedName name="_xlnm.Print_Area" localSheetId="23">DEFERRED!$A$1:$R$83</definedName>
    <definedName name="_xlnm.Print_Area" localSheetId="6">'Pricelist Link'!$A$1:$Z$380</definedName>
    <definedName name="_xlnm.Print_Area" localSheetId="24">RA_Deferred!$A$1:$U$119</definedName>
    <definedName name="_xlnm.Print_Area" localSheetId="19">RA_SC30D!$A$1:$U$119</definedName>
    <definedName name="_xlnm.Print_Area" localSheetId="22">RA_SC60D!$A$1:$U$119</definedName>
    <definedName name="_xlnm.Print_Area" localSheetId="17">RA_SE30D!$A$1:$U$119</definedName>
    <definedName name="_xlnm.Print_Area" localSheetId="15">RA_SE7D!$A$1:$U$119</definedName>
    <definedName name="_xlnm.Print_Area" localSheetId="28">RA_Special!$A$1:$U$120</definedName>
    <definedName name="_xlnm.Print_Area" localSheetId="13">RA_Standard!$A$1:$U$120</definedName>
    <definedName name="_xlnm.Print_Area" localSheetId="10">'RA_Step Up'!$A$1:$U$119</definedName>
    <definedName name="_xlnm.Print_Area" localSheetId="27">'SPECIAL PACKAGE'!$A$1:$AD$89</definedName>
    <definedName name="_xlnm.Print_Area" localSheetId="18">'SPOT CASH_30 DAYS'!$A$1:$S$66</definedName>
    <definedName name="_xlnm.Print_Area" localSheetId="20">'SPOT CASH_60 DAYS'!$A$1:$S$56</definedName>
    <definedName name="_xlnm.Print_Area" localSheetId="21">'SPOT CASH_60 DAYS (2)'!$B$1:$S$59</definedName>
    <definedName name="_xlnm.Print_Area" localSheetId="16">'SPOT EQUITY_30DAYS'!$B$1:$U$80</definedName>
    <definedName name="_xlnm.Print_Area" localSheetId="14">'SPOT EQUITY_7DAYS'!$A$1:$P$81</definedName>
    <definedName name="_xlnm.Print_Area" localSheetId="8">'STANDARD COMP.'!$A$1:$AL$83</definedName>
    <definedName name="_xlnm.Print_Area" localSheetId="9">'STEP UP'!$B$1:$Q$86</definedName>
    <definedName name="_xlnm.Print_Area" localSheetId="11">'STEP UP_2.5% LS'!$B$1:$Q$86</definedName>
    <definedName name="Print_Area_Reset" localSheetId="25">#N/A</definedName>
    <definedName name="Print_Area_Reset" localSheetId="26">#N/A</definedName>
    <definedName name="Print_Area_Reset" localSheetId="5">#N/A</definedName>
    <definedName name="Print_Area_Reset">OFFSET(Full_Print,0,0,'Amort Computation'!Last_Row)</definedName>
    <definedName name="_xlnm.Print_Titles" localSheetId="1">'Amort Computation'!$22:$24</definedName>
    <definedName name="_xlnm.Print_Titles" localSheetId="6">'Pricelist Link'!$6:$6</definedName>
    <definedName name="Sched_Pay" localSheetId="25">#REF!</definedName>
    <definedName name="Sched_Pay" localSheetId="26">#REF!</definedName>
    <definedName name="Sched_Pay" localSheetId="1">'Amort Computation'!$D$25:$D$384</definedName>
    <definedName name="Sched_Pay">#REF!</definedName>
    <definedName name="Scheduled_Extra_Payments" localSheetId="25">#REF!</definedName>
    <definedName name="Scheduled_Extra_Payments" localSheetId="26">#REF!</definedName>
    <definedName name="Scheduled_Extra_Payments" localSheetId="1">'Amort Computation'!$D$19</definedName>
    <definedName name="Scheduled_Extra_Payments">#REF!</definedName>
    <definedName name="Scheduled_Interest_Rate">'Amort Computation'!$D$15</definedName>
    <definedName name="Scheduled_Monthly_Payment" localSheetId="1">'Amort Computation'!$H$14</definedName>
    <definedName name="Scheduled_Monthly_Payment">'[3]Amortization Table'!$H$17</definedName>
    <definedName name="spread" localSheetId="26">#REF!</definedName>
    <definedName name="spread">#REF!</definedName>
    <definedName name="Total_Interest">'Amort Computation'!$H$18</definedName>
    <definedName name="Total_Pay" localSheetId="25">#REF!</definedName>
    <definedName name="Total_Pay" localSheetId="26">#REF!</definedName>
    <definedName name="Total_Pay" localSheetId="1">'Amort Computation'!$F$25:$F$384</definedName>
    <definedName name="Total_Pay">#REF!</definedName>
    <definedName name="Total_Payment" localSheetId="25">Scheduled_Payment+Extra_Payment</definedName>
    <definedName name="Total_Payment" localSheetId="26">Scheduled_Payment+Extra_Payment</definedName>
    <definedName name="Total_Payment" localSheetId="5">Scheduled_Payment+Extra_Payment</definedName>
    <definedName name="Total_Payment">Scheduled_Payment+Extra_Payment</definedName>
    <definedName name="Values_Entered" localSheetId="25">IF('10% spread plus 5% lumpsum'!Loan_Amount*'10% spread plus 5% lumpsum'!Interest_Rate*'10% spread plus 5% lumpsum'!Loan_Years*'10% spread plus 5% lumpsum'!Loan_Start&gt;0,1,0)</definedName>
    <definedName name="Values_Entered" localSheetId="26">IF('10% step up plus 5% lumpsum'!Loan_Amount*'10% step up plus 5% lumpsum'!Interest_Rate*'10% step up plus 5% lumpsum'!Loan_Years*'10% step up plus 5% lumpsum'!Loan_Start&gt;0,1,0)</definedName>
    <definedName name="Values_Entered" localSheetId="1">IF('Amort Computation'!Loan_Amount*'Amort Computation'!Interest_Rate*'Amort Computation'!Loan_Years*'Amort Computation'!Loan_Start&gt;0,1,0)</definedName>
    <definedName name="Values_Entered" localSheetId="5">IF(Loan_Amount*Interest_Rate*Loan_Years*Loan_Start&gt;0,1,0)</definedName>
    <definedName name="Values_Entered">IF(Loan_Amount*Interest_Rate*Loan_Years*Loan_Start&gt;0,1,0)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F5" i="35" l="1"/>
  <c r="G110" i="40" l="1"/>
  <c r="G109" i="40"/>
  <c r="G108" i="40"/>
  <c r="G112" i="40" s="1"/>
  <c r="K111" i="40"/>
  <c r="L110" i="40" l="1"/>
  <c r="L109" i="40"/>
  <c r="L108" i="40"/>
  <c r="G115" i="40"/>
  <c r="BX5" i="35"/>
  <c r="G100" i="40"/>
  <c r="G105" i="40" s="1"/>
  <c r="BU5" i="35" s="1"/>
  <c r="BU378" i="35" s="1"/>
  <c r="IE20" i="35"/>
  <c r="IF20" i="35" s="1"/>
  <c r="IE19" i="35"/>
  <c r="IF19" i="35" s="1"/>
  <c r="IE18" i="35"/>
  <c r="IF18" i="35" s="1"/>
  <c r="IE17" i="35"/>
  <c r="IF17" i="35" s="1"/>
  <c r="IE16" i="35"/>
  <c r="IF16" i="35" s="1"/>
  <c r="IE15" i="35"/>
  <c r="IF15" i="35" s="1"/>
  <c r="IE14" i="35"/>
  <c r="IF14" i="35" s="1"/>
  <c r="IE13" i="35"/>
  <c r="IF13" i="35" s="1"/>
  <c r="IE12" i="35"/>
  <c r="IF12" i="35" s="1"/>
  <c r="IE11" i="35"/>
  <c r="IF11" i="35" s="1"/>
  <c r="IE10" i="35"/>
  <c r="IF10" i="35" s="1"/>
  <c r="IE9" i="35"/>
  <c r="IF9" i="35" s="1"/>
  <c r="IE8" i="35"/>
  <c r="IF8" i="35" s="1"/>
  <c r="BX17" i="35" l="1"/>
  <c r="BX378" i="35"/>
  <c r="BX369" i="35"/>
  <c r="BX362" i="35"/>
  <c r="BX361" i="35"/>
  <c r="BX355" i="35"/>
  <c r="BX354" i="35"/>
  <c r="BX351" i="35"/>
  <c r="BX347" i="35"/>
  <c r="BX346" i="35"/>
  <c r="BX344" i="35"/>
  <c r="BX336" i="35"/>
  <c r="BX331" i="35"/>
  <c r="BX329" i="35"/>
  <c r="BX327" i="35"/>
  <c r="BX326" i="35"/>
  <c r="BX325" i="35"/>
  <c r="BX318" i="35"/>
  <c r="BX317" i="35"/>
  <c r="BX314" i="35"/>
  <c r="BX302" i="35"/>
  <c r="BX300" i="35"/>
  <c r="BX298" i="35"/>
  <c r="BX297" i="35"/>
  <c r="BX294" i="35"/>
  <c r="BX293" i="35"/>
  <c r="BX292" i="35"/>
  <c r="BX282" i="35"/>
  <c r="BX281" i="35"/>
  <c r="BX270" i="35"/>
  <c r="BX269" i="35"/>
  <c r="BX266" i="35"/>
  <c r="BX253" i="35"/>
  <c r="BX252" i="35"/>
  <c r="BX236" i="35"/>
  <c r="BX235" i="35"/>
  <c r="BX234" i="35"/>
  <c r="BX233" i="35"/>
  <c r="BX220" i="35"/>
  <c r="BX205" i="35"/>
  <c r="BX175" i="35"/>
  <c r="BX172" i="35"/>
  <c r="BX167" i="35"/>
  <c r="BX166" i="35"/>
  <c r="BX163" i="35"/>
  <c r="BX162" i="35"/>
  <c r="BX161" i="35"/>
  <c r="BX156" i="35"/>
  <c r="BX153" i="35"/>
  <c r="BX144" i="35"/>
  <c r="BX143" i="35"/>
  <c r="BX141" i="35"/>
  <c r="BX135" i="35"/>
  <c r="BX129" i="35"/>
  <c r="BX126" i="35"/>
  <c r="BX110" i="35"/>
  <c r="BX109" i="35"/>
  <c r="BX97" i="35"/>
  <c r="BX84" i="35"/>
  <c r="BX70" i="35"/>
  <c r="BX69" i="35"/>
  <c r="BX66" i="35"/>
  <c r="BX57" i="35"/>
  <c r="BX54" i="35"/>
  <c r="BX47" i="35"/>
  <c r="BX44" i="35"/>
  <c r="BX34" i="35"/>
  <c r="BX30" i="35"/>
  <c r="CP346" i="35"/>
  <c r="CP338" i="35"/>
  <c r="CP330" i="35"/>
  <c r="CP322" i="35"/>
  <c r="CP347" i="35"/>
  <c r="CP345" i="35"/>
  <c r="CP337" i="35"/>
  <c r="CP329" i="35"/>
  <c r="CP321" i="35"/>
  <c r="CP331" i="35"/>
  <c r="CP344" i="35"/>
  <c r="CP336" i="35"/>
  <c r="CP328" i="35"/>
  <c r="CP320" i="35"/>
  <c r="CP343" i="35"/>
  <c r="CP335" i="35"/>
  <c r="CP327" i="35"/>
  <c r="CP319" i="35"/>
  <c r="CP323" i="35"/>
  <c r="CP342" i="35"/>
  <c r="CP334" i="35"/>
  <c r="CP326" i="35"/>
  <c r="CP318" i="35"/>
  <c r="CP341" i="35"/>
  <c r="CP333" i="35"/>
  <c r="CP325" i="35"/>
  <c r="CP317" i="35"/>
  <c r="CP339" i="35"/>
  <c r="CP340" i="35"/>
  <c r="CP332" i="35"/>
  <c r="CP324" i="35"/>
  <c r="CP378" i="35"/>
  <c r="CP370" i="35"/>
  <c r="CP362" i="35"/>
  <c r="CP354" i="35"/>
  <c r="CP377" i="35"/>
  <c r="CP369" i="35"/>
  <c r="CP361" i="35"/>
  <c r="CP353" i="35"/>
  <c r="CP376" i="35"/>
  <c r="CP368" i="35"/>
  <c r="CP360" i="35"/>
  <c r="CP352" i="35"/>
  <c r="CP355" i="35"/>
  <c r="CP375" i="35"/>
  <c r="CP367" i="35"/>
  <c r="CP359" i="35"/>
  <c r="CP351" i="35"/>
  <c r="CP374" i="35"/>
  <c r="CP366" i="35"/>
  <c r="CP358" i="35"/>
  <c r="CP350" i="35"/>
  <c r="CP363" i="35"/>
  <c r="CP373" i="35"/>
  <c r="CP365" i="35"/>
  <c r="CP357" i="35"/>
  <c r="CP349" i="35"/>
  <c r="CP372" i="35"/>
  <c r="CP364" i="35"/>
  <c r="CP356" i="35"/>
  <c r="CP348" i="35"/>
  <c r="CP371" i="35"/>
  <c r="BU236" i="35"/>
  <c r="BU252" i="35"/>
  <c r="BU302" i="35"/>
  <c r="BU347" i="35"/>
  <c r="BU109" i="35"/>
  <c r="BU163" i="35"/>
  <c r="BU253" i="35"/>
  <c r="BU314" i="35"/>
  <c r="BU354" i="35"/>
  <c r="BU54" i="35"/>
  <c r="BU329" i="35"/>
  <c r="BU294" i="35"/>
  <c r="BU234" i="35"/>
  <c r="BU70" i="35"/>
  <c r="BU235" i="35"/>
  <c r="BU346" i="35"/>
  <c r="BU317" i="35"/>
  <c r="BU30" i="35"/>
  <c r="BU126" i="35"/>
  <c r="BU167" i="35"/>
  <c r="BU269" i="35"/>
  <c r="BU318" i="35"/>
  <c r="BU361" i="35"/>
  <c r="BU233" i="35"/>
  <c r="BU66" i="35"/>
  <c r="BU297" i="35"/>
  <c r="BU298" i="35"/>
  <c r="BU84" i="35"/>
  <c r="BU162" i="35"/>
  <c r="BU110" i="35"/>
  <c r="BU355" i="35"/>
  <c r="BU34" i="35"/>
  <c r="BU129" i="35"/>
  <c r="BU172" i="35"/>
  <c r="BU270" i="35"/>
  <c r="BU325" i="35"/>
  <c r="BU362" i="35"/>
  <c r="BU220" i="35"/>
  <c r="BU144" i="35"/>
  <c r="BU153" i="35"/>
  <c r="BU156" i="35"/>
  <c r="BU300" i="35"/>
  <c r="BU266" i="35"/>
  <c r="BU44" i="35"/>
  <c r="BU135" i="35"/>
  <c r="BU175" i="35"/>
  <c r="BU281" i="35"/>
  <c r="BU326" i="35"/>
  <c r="BU369" i="35"/>
  <c r="BU143" i="35"/>
  <c r="BU293" i="35"/>
  <c r="BU57" i="35"/>
  <c r="BU331" i="35"/>
  <c r="BU336" i="35"/>
  <c r="BU344" i="35"/>
  <c r="BU161" i="35"/>
  <c r="BU97" i="35"/>
  <c r="BU17" i="35"/>
  <c r="BU166" i="35"/>
  <c r="BU47" i="35"/>
  <c r="BU141" i="35"/>
  <c r="BU205" i="35"/>
  <c r="BU292" i="35"/>
  <c r="BU327" i="35"/>
  <c r="BU379" i="35" l="1"/>
  <c r="BX379" i="35"/>
  <c r="AF20" i="5"/>
  <c r="AD19" i="5"/>
  <c r="AD20" i="5" s="1"/>
  <c r="AD21" i="5" s="1"/>
  <c r="AD22" i="5" s="1"/>
  <c r="AD23" i="5" s="1"/>
  <c r="AD24" i="5" s="1"/>
  <c r="AD25" i="5" s="1"/>
  <c r="AD26" i="5" s="1"/>
  <c r="AD27" i="5" s="1"/>
  <c r="AD28" i="5" s="1"/>
  <c r="AD29" i="5" s="1"/>
  <c r="AD30" i="5" s="1"/>
  <c r="AD31" i="5" s="1"/>
  <c r="AD32" i="5" s="1"/>
  <c r="AD33" i="5" s="1"/>
  <c r="AD34" i="5" s="1"/>
  <c r="AD35" i="5" s="1"/>
  <c r="AD36" i="5" s="1"/>
  <c r="AD37" i="5" s="1"/>
  <c r="AD38" i="5" s="1"/>
  <c r="AD39" i="5" s="1"/>
  <c r="AD40" i="5" s="1"/>
  <c r="AD41" i="5" s="1"/>
  <c r="AD42" i="5" s="1"/>
  <c r="AD43" i="5" s="1"/>
  <c r="AD44" i="5" s="1"/>
  <c r="AD45" i="5" s="1"/>
  <c r="AD46" i="5" s="1"/>
  <c r="AD47" i="5" s="1"/>
  <c r="AD48" i="5" s="1"/>
  <c r="AD49" i="5" s="1"/>
  <c r="AD50" i="5" s="1"/>
  <c r="AD51" i="5" s="1"/>
  <c r="AD52" i="5" s="1"/>
  <c r="AD53" i="5" s="1"/>
  <c r="AD54" i="5" s="1"/>
  <c r="CB378" i="35" l="1"/>
  <c r="CB369" i="35"/>
  <c r="CB362" i="35"/>
  <c r="CB361" i="35"/>
  <c r="CB355" i="35"/>
  <c r="CB354" i="35"/>
  <c r="CB347" i="35"/>
  <c r="CB344" i="35"/>
  <c r="CB336" i="35"/>
  <c r="CB331" i="35"/>
  <c r="CB329" i="35"/>
  <c r="CB327" i="35"/>
  <c r="CB326" i="35"/>
  <c r="CB325" i="35"/>
  <c r="CB318" i="35"/>
  <c r="CB317" i="35"/>
  <c r="CB314" i="35"/>
  <c r="CB302" i="35"/>
  <c r="CB300" i="35"/>
  <c r="CB298" i="35"/>
  <c r="CB297" i="35"/>
  <c r="CB294" i="35"/>
  <c r="CB293" i="35"/>
  <c r="CB292" i="35"/>
  <c r="CB281" i="35"/>
  <c r="CB270" i="35"/>
  <c r="CB269" i="35"/>
  <c r="CB266" i="35"/>
  <c r="CB253" i="35"/>
  <c r="CB252" i="35"/>
  <c r="CB236" i="35"/>
  <c r="CB235" i="35"/>
  <c r="CB234" i="35"/>
  <c r="CB233" i="35"/>
  <c r="CB220" i="35"/>
  <c r="CB205" i="35"/>
  <c r="CB175" i="35"/>
  <c r="CB172" i="35"/>
  <c r="CB167" i="35"/>
  <c r="CB166" i="35"/>
  <c r="CB163" i="35"/>
  <c r="CB162" i="35"/>
  <c r="CB161" i="35"/>
  <c r="CB156" i="35"/>
  <c r="CB153" i="35"/>
  <c r="CB144" i="35"/>
  <c r="CB143" i="35"/>
  <c r="CB141" i="35"/>
  <c r="CB135" i="35"/>
  <c r="CB129" i="35"/>
  <c r="CB126" i="35"/>
  <c r="CB110" i="35"/>
  <c r="CB109" i="35"/>
  <c r="CB97" i="35"/>
  <c r="CB84" i="35"/>
  <c r="CB70" i="35"/>
  <c r="CB66" i="35"/>
  <c r="CB57" i="35"/>
  <c r="CB54" i="35"/>
  <c r="CB47" i="35"/>
  <c r="CB44" i="35"/>
  <c r="CB34" i="35"/>
  <c r="CB30" i="35"/>
  <c r="CB17" i="35"/>
  <c r="G95" i="40"/>
  <c r="G94" i="40"/>
  <c r="G93" i="40"/>
  <c r="G92" i="40"/>
  <c r="G91" i="40"/>
  <c r="G90" i="40"/>
  <c r="G89" i="40"/>
  <c r="G88" i="40"/>
  <c r="G97" i="40" s="1"/>
  <c r="BS5" i="35" s="1"/>
  <c r="BS355" i="35" l="1"/>
  <c r="BS175" i="35"/>
  <c r="BS172" i="35"/>
  <c r="BS167" i="35"/>
  <c r="BS266" i="35"/>
  <c r="BS329" i="35"/>
  <c r="BS34" i="35"/>
  <c r="BS361" i="35"/>
  <c r="BS331" i="35"/>
  <c r="BS30" i="35"/>
  <c r="BS44" i="35"/>
  <c r="BS47" i="35"/>
  <c r="BS327" i="35"/>
  <c r="BS17" i="35"/>
  <c r="BS336" i="35"/>
  <c r="BS166" i="35"/>
  <c r="BS362" i="35"/>
  <c r="BS57" i="35"/>
  <c r="BS270" i="35"/>
  <c r="BS369" i="35"/>
  <c r="BS269" i="35"/>
  <c r="BS66" i="35"/>
  <c r="BS141" i="35"/>
  <c r="BS292" i="35"/>
  <c r="BS54" i="35"/>
  <c r="BS378" i="35"/>
  <c r="BS143" i="35"/>
  <c r="BS293" i="35"/>
  <c r="BS281" i="35"/>
  <c r="BS144" i="35"/>
  <c r="BS294" i="35"/>
  <c r="BS153" i="35"/>
  <c r="BS297" i="35"/>
  <c r="BS110" i="35"/>
  <c r="BS317" i="35"/>
  <c r="BS126" i="35"/>
  <c r="BS220" i="35"/>
  <c r="BS318" i="35"/>
  <c r="BS205" i="35"/>
  <c r="BS129" i="35"/>
  <c r="BS233" i="35"/>
  <c r="BS325" i="35"/>
  <c r="BS135" i="35"/>
  <c r="BS234" i="35"/>
  <c r="BS326" i="35"/>
  <c r="BS156" i="35"/>
  <c r="BS235" i="35"/>
  <c r="BS344" i="35"/>
  <c r="BS84" i="35"/>
  <c r="BS161" i="35"/>
  <c r="BS236" i="35"/>
  <c r="BS300" i="35"/>
  <c r="BS347" i="35"/>
  <c r="BS70" i="35"/>
  <c r="BS298" i="35"/>
  <c r="BS97" i="35"/>
  <c r="BS162" i="35"/>
  <c r="BS252" i="35"/>
  <c r="BS302" i="35"/>
  <c r="BS354" i="35"/>
  <c r="BS109" i="35"/>
  <c r="BS163" i="35"/>
  <c r="BS253" i="35"/>
  <c r="BS314" i="35"/>
  <c r="FG33" i="35"/>
  <c r="FF33" i="35" s="1"/>
  <c r="BS379" i="35" l="1"/>
  <c r="FG34" i="35"/>
  <c r="FG35" i="35"/>
  <c r="BQ378" i="35" l="1"/>
  <c r="BQ369" i="35"/>
  <c r="BQ362" i="35"/>
  <c r="BQ361" i="35"/>
  <c r="BQ355" i="35"/>
  <c r="BQ354" i="35"/>
  <c r="BQ347" i="35"/>
  <c r="BQ344" i="35"/>
  <c r="BQ336" i="35"/>
  <c r="BQ331" i="35"/>
  <c r="BQ327" i="35"/>
  <c r="BQ326" i="35"/>
  <c r="BQ325" i="35"/>
  <c r="BQ318" i="35"/>
  <c r="BQ317" i="35"/>
  <c r="BQ314" i="35"/>
  <c r="BQ300" i="35"/>
  <c r="BQ298" i="35"/>
  <c r="BQ297" i="35"/>
  <c r="BQ294" i="35"/>
  <c r="BQ293" i="35"/>
  <c r="BQ292" i="35"/>
  <c r="BQ281" i="35"/>
  <c r="BQ269" i="35"/>
  <c r="BQ266" i="35"/>
  <c r="BQ253" i="35"/>
  <c r="BQ252" i="35"/>
  <c r="BQ236" i="35"/>
  <c r="BQ235" i="35"/>
  <c r="BQ234" i="35"/>
  <c r="BQ233" i="35"/>
  <c r="BQ220" i="35"/>
  <c r="BQ205" i="35"/>
  <c r="BQ175" i="35"/>
  <c r="BQ172" i="35"/>
  <c r="BQ167" i="35"/>
  <c r="BQ166" i="35"/>
  <c r="BQ163" i="35"/>
  <c r="BQ162" i="35"/>
  <c r="BQ161" i="35"/>
  <c r="BQ156" i="35"/>
  <c r="BQ153" i="35"/>
  <c r="BQ141" i="35"/>
  <c r="BQ135" i="35"/>
  <c r="BQ129" i="35"/>
  <c r="BQ126" i="35"/>
  <c r="BQ110" i="35"/>
  <c r="BQ109" i="35"/>
  <c r="BQ97" i="35"/>
  <c r="BQ84" i="35"/>
  <c r="BQ66" i="35"/>
  <c r="BQ54" i="35"/>
  <c r="BQ47" i="35"/>
  <c r="BQ34" i="35"/>
  <c r="BQ30" i="35"/>
  <c r="BQ17" i="35"/>
  <c r="G80" i="40"/>
  <c r="G79" i="40"/>
  <c r="G84" i="40" s="1"/>
  <c r="FG32" i="35"/>
  <c r="BQ379" i="35" l="1"/>
  <c r="F75" i="40" l="1"/>
  <c r="G59" i="40"/>
  <c r="G60" i="40"/>
  <c r="G61" i="40"/>
  <c r="G62" i="40"/>
  <c r="G63" i="40"/>
  <c r="G64" i="40"/>
  <c r="G65" i="40"/>
  <c r="G66" i="40"/>
  <c r="G67" i="40"/>
  <c r="G68" i="40"/>
  <c r="G69" i="40"/>
  <c r="G70" i="40"/>
  <c r="G71" i="40"/>
  <c r="G72" i="40"/>
  <c r="G73" i="40"/>
  <c r="G58" i="40"/>
  <c r="G75" i="40" l="1"/>
  <c r="BO5" i="35" s="1"/>
  <c r="BO378" i="35" s="1"/>
  <c r="BO266" i="35"/>
  <c r="BO318" i="35"/>
  <c r="BO54" i="35"/>
  <c r="BO253" i="35"/>
  <c r="BO325" i="35"/>
  <c r="BO129" i="35"/>
  <c r="BO234" i="35"/>
  <c r="BO298" i="35"/>
  <c r="BO361" i="35"/>
  <c r="BO66" i="35"/>
  <c r="BO269" i="35"/>
  <c r="BO84" i="35"/>
  <c r="BO327" i="35"/>
  <c r="BO172" i="35"/>
  <c r="BO292" i="35"/>
  <c r="BO109" i="35"/>
  <c r="BO110" i="35"/>
  <c r="BO220" i="35"/>
  <c r="BO344" i="35"/>
  <c r="BO297" i="35"/>
  <c r="BO17" i="35"/>
  <c r="BO362" i="35"/>
  <c r="BO30" i="35"/>
  <c r="BO153" i="35"/>
  <c r="BO236" i="35"/>
  <c r="BO314" i="35"/>
  <c r="BO369" i="35"/>
  <c r="BO166" i="35"/>
  <c r="BO326" i="35"/>
  <c r="BO167" i="35"/>
  <c r="BO281" i="35"/>
  <c r="BO97" i="35"/>
  <c r="BO331" i="35"/>
  <c r="BO205" i="35"/>
  <c r="BO293" i="35"/>
  <c r="BO336" i="35"/>
  <c r="BO294" i="35"/>
  <c r="BO126" i="35"/>
  <c r="BO233" i="35"/>
  <c r="BO347" i="35"/>
  <c r="BO141" i="35"/>
  <c r="BO235" i="35"/>
  <c r="BO300" i="35"/>
  <c r="BO34" i="35"/>
  <c r="BO156" i="35"/>
  <c r="BO252" i="35"/>
  <c r="BO317" i="35"/>
  <c r="FG31" i="35"/>
  <c r="BO161" i="35" l="1"/>
  <c r="BO162" i="35"/>
  <c r="BO47" i="35"/>
  <c r="BO379" i="35"/>
  <c r="T41" i="4"/>
  <c r="E32" i="23" s="1"/>
  <c r="T40" i="4"/>
  <c r="T39" i="4"/>
  <c r="E30" i="23" s="1"/>
  <c r="G48" i="40"/>
  <c r="G47" i="40"/>
  <c r="G51" i="40" l="1"/>
  <c r="BM5" i="35" s="1"/>
  <c r="BM326" i="35" s="1"/>
  <c r="BK379" i="35"/>
  <c r="FF29" i="35"/>
  <c r="BM66" i="35" l="1"/>
  <c r="BM47" i="35"/>
  <c r="BM361" i="35"/>
  <c r="BM167" i="35"/>
  <c r="BM87" i="35"/>
  <c r="BM293" i="35"/>
  <c r="BM34" i="35"/>
  <c r="BM253" i="35"/>
  <c r="BM141" i="35"/>
  <c r="BM17" i="35"/>
  <c r="BM97" i="35"/>
  <c r="BM292" i="35"/>
  <c r="BM252" i="35"/>
  <c r="BM300" i="35"/>
  <c r="BM236" i="35"/>
  <c r="BM46" i="35"/>
  <c r="BM161" i="35"/>
  <c r="BM233" i="35"/>
  <c r="BM266" i="35"/>
  <c r="BM153" i="35"/>
  <c r="BM30" i="35"/>
  <c r="BM54" i="35"/>
  <c r="BM172" i="35"/>
  <c r="BM378" i="35"/>
  <c r="BM117" i="35"/>
  <c r="BM166" i="35"/>
  <c r="BM15" i="35"/>
  <c r="BM362" i="35"/>
  <c r="BM205" i="35"/>
  <c r="BM84" i="35"/>
  <c r="BM126" i="35"/>
  <c r="BM129" i="35"/>
  <c r="BM109" i="35"/>
  <c r="BM269" i="35"/>
  <c r="BM327" i="35"/>
  <c r="BM347" i="35"/>
  <c r="BM314" i="35"/>
  <c r="BM110" i="35"/>
  <c r="BM125" i="35"/>
  <c r="BM281" i="35"/>
  <c r="FG29" i="35"/>
  <c r="FG30" i="35"/>
  <c r="CC374" i="35"/>
  <c r="BM379" i="35" l="1"/>
  <c r="CC7" i="35"/>
  <c r="CC372" i="35"/>
  <c r="BG5" i="35" l="1"/>
  <c r="G41" i="40"/>
  <c r="G40" i="40"/>
  <c r="G43" i="40" s="1"/>
  <c r="BI5" i="35" s="1"/>
  <c r="BI379" i="35" l="1"/>
  <c r="BG379" i="35"/>
  <c r="FG28" i="35"/>
  <c r="G28" i="40" l="1"/>
  <c r="G27" i="40"/>
  <c r="G26" i="40"/>
  <c r="G29" i="40" s="1"/>
  <c r="BE379" i="35"/>
  <c r="FF26" i="35"/>
  <c r="FF27" i="35" s="1"/>
  <c r="FG27" i="35" s="1"/>
  <c r="BE5" i="35" l="1"/>
  <c r="H30" i="40"/>
  <c r="FG26" i="35"/>
  <c r="EP384" i="35"/>
  <c r="BC377" i="35" l="1"/>
  <c r="BV377" i="35" s="1"/>
  <c r="BC376" i="35"/>
  <c r="BV376" i="35" s="1"/>
  <c r="BC375" i="35"/>
  <c r="BV375" i="35" s="1"/>
  <c r="BC374" i="35"/>
  <c r="BV374" i="35" s="1"/>
  <c r="BC373" i="35"/>
  <c r="BV373" i="35" s="1"/>
  <c r="BC372" i="35"/>
  <c r="BV372" i="35" s="1"/>
  <c r="BC371" i="35"/>
  <c r="BV371" i="35" s="1"/>
  <c r="BC370" i="35"/>
  <c r="BV370" i="35" s="1"/>
  <c r="BC369" i="35"/>
  <c r="BV369" i="35" s="1"/>
  <c r="BC368" i="35"/>
  <c r="BV368" i="35" s="1"/>
  <c r="BC367" i="35"/>
  <c r="BV367" i="35" s="1"/>
  <c r="BC366" i="35"/>
  <c r="BV366" i="35" s="1"/>
  <c r="BC365" i="35"/>
  <c r="BV365" i="35" s="1"/>
  <c r="BC364" i="35"/>
  <c r="BV364" i="35" s="1"/>
  <c r="BC363" i="35"/>
  <c r="BV363" i="35" s="1"/>
  <c r="BC362" i="35"/>
  <c r="BV362" i="35" s="1"/>
  <c r="BC361" i="35"/>
  <c r="BV361" i="35" s="1"/>
  <c r="BC360" i="35"/>
  <c r="BV360" i="35" s="1"/>
  <c r="BC359" i="35"/>
  <c r="BV359" i="35" s="1"/>
  <c r="BC358" i="35"/>
  <c r="BV358" i="35" s="1"/>
  <c r="BC357" i="35"/>
  <c r="BV357" i="35" s="1"/>
  <c r="BC356" i="35"/>
  <c r="BV356" i="35" s="1"/>
  <c r="BC355" i="35"/>
  <c r="BV355" i="35" s="1"/>
  <c r="BC354" i="35"/>
  <c r="BV354" i="35" s="1"/>
  <c r="BC353" i="35"/>
  <c r="BV353" i="35" s="1"/>
  <c r="BC352" i="35"/>
  <c r="BV352" i="35" s="1"/>
  <c r="BC351" i="35"/>
  <c r="BV351" i="35" s="1"/>
  <c r="BC350" i="35"/>
  <c r="BV350" i="35" s="1"/>
  <c r="BC349" i="35"/>
  <c r="BV349" i="35" s="1"/>
  <c r="BC348" i="35"/>
  <c r="BV348" i="35" s="1"/>
  <c r="BC347" i="35"/>
  <c r="BV347" i="35" s="1"/>
  <c r="BC346" i="35"/>
  <c r="BV346" i="35" s="1"/>
  <c r="BC345" i="35"/>
  <c r="BV345" i="35" s="1"/>
  <c r="BC344" i="35"/>
  <c r="BV344" i="35" s="1"/>
  <c r="BC343" i="35"/>
  <c r="BV343" i="35" s="1"/>
  <c r="BC342" i="35"/>
  <c r="BV342" i="35" s="1"/>
  <c r="BC341" i="35"/>
  <c r="BV341" i="35" s="1"/>
  <c r="BC340" i="35"/>
  <c r="BV340" i="35" s="1"/>
  <c r="BC339" i="35"/>
  <c r="BV339" i="35" s="1"/>
  <c r="BC338" i="35"/>
  <c r="BV338" i="35" s="1"/>
  <c r="BC337" i="35"/>
  <c r="BV337" i="35" s="1"/>
  <c r="BC336" i="35"/>
  <c r="BV336" i="35" s="1"/>
  <c r="BC335" i="35"/>
  <c r="BV335" i="35" s="1"/>
  <c r="BC334" i="35"/>
  <c r="BV334" i="35" s="1"/>
  <c r="BC333" i="35"/>
  <c r="BV333" i="35" s="1"/>
  <c r="BC332" i="35"/>
  <c r="BV332" i="35" s="1"/>
  <c r="BC331" i="35"/>
  <c r="BV331" i="35" s="1"/>
  <c r="BC330" i="35"/>
  <c r="BV330" i="35" s="1"/>
  <c r="BC329" i="35"/>
  <c r="BV329" i="35" s="1"/>
  <c r="BC328" i="35"/>
  <c r="BV328" i="35" s="1"/>
  <c r="BC327" i="35"/>
  <c r="BV327" i="35" s="1"/>
  <c r="BC326" i="35"/>
  <c r="BV326" i="35" s="1"/>
  <c r="BC325" i="35"/>
  <c r="BV325" i="35" s="1"/>
  <c r="BC324" i="35"/>
  <c r="BV324" i="35" s="1"/>
  <c r="BC323" i="35"/>
  <c r="BV323" i="35" s="1"/>
  <c r="BC322" i="35"/>
  <c r="BV322" i="35" s="1"/>
  <c r="BC321" i="35"/>
  <c r="BV321" i="35" s="1"/>
  <c r="BC320" i="35"/>
  <c r="BV320" i="35" s="1"/>
  <c r="BC319" i="35"/>
  <c r="BV319" i="35" s="1"/>
  <c r="BC318" i="35"/>
  <c r="BV318" i="35" s="1"/>
  <c r="BC317" i="35"/>
  <c r="BV317" i="35" s="1"/>
  <c r="BC316" i="35"/>
  <c r="BV316" i="35" s="1"/>
  <c r="BC315" i="35"/>
  <c r="BV315" i="35" s="1"/>
  <c r="BC314" i="35"/>
  <c r="BV314" i="35" s="1"/>
  <c r="BC313" i="35"/>
  <c r="BV313" i="35" s="1"/>
  <c r="BC312" i="35"/>
  <c r="BV312" i="35" s="1"/>
  <c r="BC311" i="35"/>
  <c r="BV311" i="35" s="1"/>
  <c r="BC310" i="35"/>
  <c r="BV310" i="35" s="1"/>
  <c r="BC309" i="35"/>
  <c r="BV309" i="35" s="1"/>
  <c r="BC308" i="35"/>
  <c r="BV308" i="35" s="1"/>
  <c r="BC307" i="35"/>
  <c r="BV307" i="35" s="1"/>
  <c r="BC306" i="35"/>
  <c r="BV306" i="35" s="1"/>
  <c r="BC305" i="35"/>
  <c r="BV305" i="35" s="1"/>
  <c r="BC304" i="35"/>
  <c r="BV304" i="35" s="1"/>
  <c r="BC303" i="35"/>
  <c r="BV303" i="35" s="1"/>
  <c r="BC302" i="35"/>
  <c r="BV302" i="35" s="1"/>
  <c r="BC301" i="35"/>
  <c r="BV301" i="35" s="1"/>
  <c r="BC300" i="35"/>
  <c r="BV300" i="35" s="1"/>
  <c r="BC299" i="35"/>
  <c r="BV299" i="35" s="1"/>
  <c r="BC298" i="35"/>
  <c r="BV298" i="35" s="1"/>
  <c r="BC297" i="35"/>
  <c r="BV297" i="35" s="1"/>
  <c r="BC296" i="35"/>
  <c r="BV296" i="35" s="1"/>
  <c r="BC295" i="35"/>
  <c r="BV295" i="35" s="1"/>
  <c r="BC294" i="35"/>
  <c r="BV294" i="35" s="1"/>
  <c r="BC293" i="35"/>
  <c r="BV293" i="35" s="1"/>
  <c r="BC292" i="35"/>
  <c r="BV292" i="35" s="1"/>
  <c r="BC291" i="35"/>
  <c r="BV291" i="35" s="1"/>
  <c r="BC290" i="35"/>
  <c r="BV290" i="35" s="1"/>
  <c r="BC289" i="35"/>
  <c r="BV289" i="35" s="1"/>
  <c r="BC288" i="35"/>
  <c r="BV288" i="35" s="1"/>
  <c r="BC287" i="35"/>
  <c r="BV287" i="35" s="1"/>
  <c r="BC286" i="35"/>
  <c r="BV286" i="35" s="1"/>
  <c r="BC285" i="35"/>
  <c r="BV285" i="35" s="1"/>
  <c r="BC284" i="35"/>
  <c r="BV284" i="35" s="1"/>
  <c r="BC283" i="35"/>
  <c r="BV283" i="35" s="1"/>
  <c r="BC282" i="35"/>
  <c r="BV282" i="35" s="1"/>
  <c r="BC281" i="35"/>
  <c r="BV281" i="35" s="1"/>
  <c r="BC280" i="35"/>
  <c r="BV280" i="35" s="1"/>
  <c r="BC279" i="35"/>
  <c r="BV279" i="35" s="1"/>
  <c r="BC278" i="35"/>
  <c r="BV278" i="35" s="1"/>
  <c r="BC277" i="35"/>
  <c r="BV277" i="35" s="1"/>
  <c r="BC276" i="35"/>
  <c r="BV276" i="35" s="1"/>
  <c r="BC275" i="35"/>
  <c r="BV275" i="35" s="1"/>
  <c r="BC274" i="35"/>
  <c r="BV274" i="35" s="1"/>
  <c r="BC273" i="35"/>
  <c r="BV273" i="35" s="1"/>
  <c r="BC272" i="35"/>
  <c r="BV272" i="35" s="1"/>
  <c r="BC271" i="35"/>
  <c r="BV271" i="35" s="1"/>
  <c r="BC270" i="35"/>
  <c r="BV270" i="35" s="1"/>
  <c r="BC269" i="35"/>
  <c r="BV269" i="35" s="1"/>
  <c r="BC268" i="35"/>
  <c r="BV268" i="35" s="1"/>
  <c r="BC267" i="35"/>
  <c r="BV267" i="35" s="1"/>
  <c r="BC266" i="35"/>
  <c r="BV266" i="35" s="1"/>
  <c r="BC265" i="35"/>
  <c r="BV265" i="35" s="1"/>
  <c r="BC264" i="35"/>
  <c r="BV264" i="35" s="1"/>
  <c r="BC263" i="35"/>
  <c r="BV263" i="35" s="1"/>
  <c r="BC262" i="35"/>
  <c r="BV262" i="35" s="1"/>
  <c r="BC261" i="35"/>
  <c r="BV261" i="35" s="1"/>
  <c r="BC260" i="35"/>
  <c r="BV260" i="35" s="1"/>
  <c r="BC259" i="35"/>
  <c r="BV259" i="35" s="1"/>
  <c r="BC258" i="35"/>
  <c r="BV258" i="35" s="1"/>
  <c r="BC257" i="35"/>
  <c r="BV257" i="35" s="1"/>
  <c r="BC256" i="35"/>
  <c r="BV256" i="35" s="1"/>
  <c r="BC255" i="35"/>
  <c r="BV255" i="35" s="1"/>
  <c r="BC254" i="35"/>
  <c r="BV254" i="35" s="1"/>
  <c r="BC253" i="35"/>
  <c r="BV253" i="35" s="1"/>
  <c r="BC252" i="35"/>
  <c r="BV252" i="35" s="1"/>
  <c r="BC251" i="35"/>
  <c r="BV251" i="35" s="1"/>
  <c r="BC250" i="35"/>
  <c r="BV250" i="35" s="1"/>
  <c r="BC249" i="35"/>
  <c r="BV249" i="35" s="1"/>
  <c r="BC248" i="35"/>
  <c r="BV248" i="35" s="1"/>
  <c r="BC247" i="35"/>
  <c r="BV247" i="35" s="1"/>
  <c r="BC246" i="35"/>
  <c r="BV246" i="35" s="1"/>
  <c r="BC245" i="35"/>
  <c r="BV245" i="35" s="1"/>
  <c r="BC244" i="35"/>
  <c r="BV244" i="35" s="1"/>
  <c r="BC243" i="35"/>
  <c r="BV243" i="35" s="1"/>
  <c r="BC242" i="35"/>
  <c r="BV242" i="35" s="1"/>
  <c r="BC241" i="35"/>
  <c r="BV241" i="35" s="1"/>
  <c r="BC240" i="35"/>
  <c r="BV240" i="35" s="1"/>
  <c r="BC239" i="35"/>
  <c r="BV239" i="35" s="1"/>
  <c r="BC238" i="35"/>
  <c r="BV238" i="35" s="1"/>
  <c r="BC237" i="35"/>
  <c r="BV237" i="35" s="1"/>
  <c r="BC236" i="35"/>
  <c r="BV236" i="35" s="1"/>
  <c r="BC235" i="35"/>
  <c r="BV235" i="35" s="1"/>
  <c r="BC234" i="35"/>
  <c r="BV234" i="35" s="1"/>
  <c r="BC233" i="35"/>
  <c r="BV233" i="35" s="1"/>
  <c r="BC232" i="35"/>
  <c r="BV232" i="35" s="1"/>
  <c r="BC231" i="35"/>
  <c r="BV231" i="35" s="1"/>
  <c r="BC230" i="35"/>
  <c r="BV230" i="35" s="1"/>
  <c r="BC229" i="35"/>
  <c r="BV229" i="35" s="1"/>
  <c r="BC228" i="35"/>
  <c r="BV228" i="35" s="1"/>
  <c r="BC227" i="35"/>
  <c r="BV227" i="35" s="1"/>
  <c r="BC226" i="35"/>
  <c r="BV226" i="35" s="1"/>
  <c r="BC225" i="35"/>
  <c r="BV225" i="35" s="1"/>
  <c r="BC224" i="35"/>
  <c r="BV224" i="35" s="1"/>
  <c r="BC223" i="35"/>
  <c r="BV223" i="35" s="1"/>
  <c r="BC222" i="35"/>
  <c r="BV222" i="35" s="1"/>
  <c r="BC221" i="35"/>
  <c r="BV221" i="35" s="1"/>
  <c r="BC220" i="35"/>
  <c r="BV220" i="35" s="1"/>
  <c r="BC219" i="35"/>
  <c r="BV219" i="35" s="1"/>
  <c r="BC218" i="35"/>
  <c r="BV218" i="35" s="1"/>
  <c r="BC217" i="35"/>
  <c r="BV217" i="35" s="1"/>
  <c r="BC216" i="35"/>
  <c r="BV216" i="35" s="1"/>
  <c r="BC215" i="35"/>
  <c r="BV215" i="35" s="1"/>
  <c r="BC214" i="35"/>
  <c r="BV214" i="35" s="1"/>
  <c r="BC213" i="35"/>
  <c r="BV213" i="35" s="1"/>
  <c r="BC212" i="35"/>
  <c r="BV212" i="35" s="1"/>
  <c r="BC211" i="35"/>
  <c r="BV211" i="35" s="1"/>
  <c r="BC210" i="35"/>
  <c r="BV210" i="35" s="1"/>
  <c r="BC209" i="35"/>
  <c r="BV209" i="35" s="1"/>
  <c r="BC208" i="35"/>
  <c r="BV208" i="35" s="1"/>
  <c r="BC207" i="35"/>
  <c r="BV207" i="35" s="1"/>
  <c r="BC206" i="35"/>
  <c r="BV206" i="35" s="1"/>
  <c r="BC205" i="35"/>
  <c r="BV205" i="35" s="1"/>
  <c r="BC204" i="35"/>
  <c r="BV204" i="35" s="1"/>
  <c r="BC203" i="35"/>
  <c r="BV203" i="35" s="1"/>
  <c r="BC202" i="35"/>
  <c r="BV202" i="35" s="1"/>
  <c r="BC201" i="35"/>
  <c r="BV201" i="35" s="1"/>
  <c r="BC200" i="35"/>
  <c r="BV200" i="35" s="1"/>
  <c r="BC199" i="35"/>
  <c r="BV199" i="35" s="1"/>
  <c r="BC198" i="35"/>
  <c r="BV198" i="35" s="1"/>
  <c r="BC197" i="35"/>
  <c r="BV197" i="35" s="1"/>
  <c r="BC196" i="35"/>
  <c r="BV196" i="35" s="1"/>
  <c r="BC195" i="35"/>
  <c r="BV195" i="35" s="1"/>
  <c r="BC194" i="35"/>
  <c r="BV194" i="35" s="1"/>
  <c r="BC193" i="35"/>
  <c r="BV193" i="35" s="1"/>
  <c r="BC192" i="35"/>
  <c r="BV192" i="35" s="1"/>
  <c r="BC191" i="35"/>
  <c r="BV191" i="35" s="1"/>
  <c r="BC190" i="35"/>
  <c r="BV190" i="35" s="1"/>
  <c r="BC189" i="35"/>
  <c r="BV189" i="35" s="1"/>
  <c r="BC188" i="35"/>
  <c r="BV188" i="35" s="1"/>
  <c r="BC187" i="35"/>
  <c r="BV187" i="35" s="1"/>
  <c r="BC186" i="35"/>
  <c r="BV186" i="35" s="1"/>
  <c r="BC185" i="35"/>
  <c r="BV185" i="35" s="1"/>
  <c r="BC184" i="35"/>
  <c r="BV184" i="35" s="1"/>
  <c r="BC183" i="35"/>
  <c r="BV183" i="35" s="1"/>
  <c r="BC182" i="35"/>
  <c r="BV182" i="35" s="1"/>
  <c r="BC181" i="35"/>
  <c r="BV181" i="35" s="1"/>
  <c r="BC180" i="35"/>
  <c r="BV180" i="35" s="1"/>
  <c r="BC179" i="35"/>
  <c r="BV179" i="35" s="1"/>
  <c r="BC178" i="35"/>
  <c r="BV178" i="35" s="1"/>
  <c r="BC177" i="35"/>
  <c r="BV177" i="35" s="1"/>
  <c r="BC176" i="35"/>
  <c r="BV176" i="35" s="1"/>
  <c r="BC175" i="35"/>
  <c r="BV175" i="35" s="1"/>
  <c r="BC174" i="35"/>
  <c r="BV174" i="35" s="1"/>
  <c r="BC173" i="35"/>
  <c r="BV173" i="35" s="1"/>
  <c r="BC172" i="35"/>
  <c r="BV172" i="35" s="1"/>
  <c r="BC171" i="35"/>
  <c r="BV171" i="35" s="1"/>
  <c r="BC170" i="35"/>
  <c r="BV170" i="35" s="1"/>
  <c r="BC169" i="35"/>
  <c r="BV169" i="35" s="1"/>
  <c r="BC168" i="35"/>
  <c r="BV168" i="35" s="1"/>
  <c r="BC167" i="35"/>
  <c r="BV167" i="35" s="1"/>
  <c r="BC166" i="35"/>
  <c r="BV166" i="35" s="1"/>
  <c r="BC165" i="35"/>
  <c r="BV165" i="35" s="1"/>
  <c r="BC164" i="35"/>
  <c r="BV164" i="35" s="1"/>
  <c r="BC163" i="35"/>
  <c r="BV163" i="35" s="1"/>
  <c r="BC162" i="35"/>
  <c r="BV162" i="35" s="1"/>
  <c r="BC161" i="35"/>
  <c r="BV161" i="35" s="1"/>
  <c r="BC160" i="35"/>
  <c r="BV160" i="35" s="1"/>
  <c r="BC159" i="35"/>
  <c r="BV159" i="35" s="1"/>
  <c r="BC158" i="35"/>
  <c r="BV158" i="35" s="1"/>
  <c r="BC157" i="35"/>
  <c r="BV157" i="35" s="1"/>
  <c r="BC156" i="35"/>
  <c r="BV156" i="35" s="1"/>
  <c r="BC155" i="35"/>
  <c r="BV155" i="35" s="1"/>
  <c r="BC154" i="35"/>
  <c r="BV154" i="35" s="1"/>
  <c r="BC153" i="35"/>
  <c r="BV153" i="35" s="1"/>
  <c r="BC152" i="35"/>
  <c r="BV152" i="35" s="1"/>
  <c r="BC151" i="35"/>
  <c r="BV151" i="35" s="1"/>
  <c r="BC150" i="35"/>
  <c r="BV150" i="35" s="1"/>
  <c r="BC149" i="35"/>
  <c r="BV149" i="35" s="1"/>
  <c r="BC148" i="35"/>
  <c r="BV148" i="35" s="1"/>
  <c r="BC147" i="35"/>
  <c r="BV147" i="35" s="1"/>
  <c r="BC146" i="35"/>
  <c r="BV146" i="35" s="1"/>
  <c r="BC145" i="35"/>
  <c r="BV145" i="35" s="1"/>
  <c r="BC144" i="35"/>
  <c r="BV144" i="35" s="1"/>
  <c r="BC143" i="35"/>
  <c r="BV143" i="35" s="1"/>
  <c r="BC142" i="35"/>
  <c r="BV142" i="35" s="1"/>
  <c r="BC141" i="35"/>
  <c r="BV141" i="35" s="1"/>
  <c r="BC140" i="35"/>
  <c r="BV140" i="35" s="1"/>
  <c r="BC139" i="35"/>
  <c r="BV139" i="35" s="1"/>
  <c r="BC138" i="35"/>
  <c r="BV138" i="35" s="1"/>
  <c r="BC137" i="35"/>
  <c r="BV137" i="35" s="1"/>
  <c r="BC136" i="35"/>
  <c r="BV136" i="35" s="1"/>
  <c r="BC135" i="35"/>
  <c r="BV135" i="35" s="1"/>
  <c r="BC134" i="35"/>
  <c r="BV134" i="35" s="1"/>
  <c r="BC133" i="35"/>
  <c r="BV133" i="35" s="1"/>
  <c r="BC132" i="35"/>
  <c r="BV132" i="35" s="1"/>
  <c r="BC131" i="35"/>
  <c r="BV131" i="35" s="1"/>
  <c r="BC130" i="35"/>
  <c r="BV130" i="35" s="1"/>
  <c r="BC129" i="35"/>
  <c r="BV129" i="35" s="1"/>
  <c r="BC128" i="35"/>
  <c r="BV128" i="35" s="1"/>
  <c r="BC127" i="35"/>
  <c r="BV127" i="35" s="1"/>
  <c r="BC126" i="35"/>
  <c r="BV126" i="35" s="1"/>
  <c r="BC125" i="35"/>
  <c r="BV125" i="35" s="1"/>
  <c r="BC124" i="35"/>
  <c r="BV124" i="35" s="1"/>
  <c r="BC123" i="35"/>
  <c r="BV123" i="35" s="1"/>
  <c r="BC122" i="35"/>
  <c r="BV122" i="35" s="1"/>
  <c r="BC121" i="35"/>
  <c r="BV121" i="35" s="1"/>
  <c r="BC120" i="35"/>
  <c r="BV120" i="35" s="1"/>
  <c r="BC119" i="35"/>
  <c r="BV119" i="35" s="1"/>
  <c r="BC118" i="35"/>
  <c r="BV118" i="35" s="1"/>
  <c r="BC117" i="35"/>
  <c r="BV117" i="35" s="1"/>
  <c r="BC116" i="35"/>
  <c r="BV116" i="35" s="1"/>
  <c r="BC115" i="35"/>
  <c r="BV115" i="35" s="1"/>
  <c r="BC114" i="35"/>
  <c r="BV114" i="35" s="1"/>
  <c r="BC113" i="35"/>
  <c r="BV113" i="35" s="1"/>
  <c r="BC112" i="35"/>
  <c r="BV112" i="35" s="1"/>
  <c r="BC111" i="35"/>
  <c r="BV111" i="35" s="1"/>
  <c r="BC110" i="35"/>
  <c r="BV110" i="35" s="1"/>
  <c r="BC109" i="35"/>
  <c r="BV109" i="35" s="1"/>
  <c r="BC108" i="35"/>
  <c r="BV108" i="35" s="1"/>
  <c r="BC107" i="35"/>
  <c r="BV107" i="35" s="1"/>
  <c r="BC106" i="35"/>
  <c r="BV106" i="35" s="1"/>
  <c r="BC105" i="35"/>
  <c r="BV105" i="35" s="1"/>
  <c r="BC104" i="35"/>
  <c r="BV104" i="35" s="1"/>
  <c r="BC103" i="35"/>
  <c r="BV103" i="35" s="1"/>
  <c r="BC102" i="35"/>
  <c r="BV102" i="35" s="1"/>
  <c r="BC101" i="35"/>
  <c r="BV101" i="35" s="1"/>
  <c r="BC100" i="35"/>
  <c r="BV100" i="35" s="1"/>
  <c r="BC99" i="35"/>
  <c r="BV99" i="35" s="1"/>
  <c r="BC98" i="35"/>
  <c r="BV98" i="35" s="1"/>
  <c r="BC97" i="35"/>
  <c r="BV97" i="35" s="1"/>
  <c r="BC96" i="35"/>
  <c r="BV96" i="35" s="1"/>
  <c r="BC95" i="35"/>
  <c r="BV95" i="35" s="1"/>
  <c r="BC94" i="35"/>
  <c r="BV94" i="35" s="1"/>
  <c r="BC93" i="35"/>
  <c r="BV93" i="35" s="1"/>
  <c r="BC92" i="35"/>
  <c r="BV92" i="35" s="1"/>
  <c r="BC91" i="35"/>
  <c r="BV91" i="35" s="1"/>
  <c r="BC90" i="35"/>
  <c r="BV90" i="35" s="1"/>
  <c r="BC89" i="35"/>
  <c r="BV89" i="35" s="1"/>
  <c r="BC88" i="35"/>
  <c r="BV88" i="35" s="1"/>
  <c r="BC87" i="35"/>
  <c r="BV87" i="35" s="1"/>
  <c r="BC86" i="35"/>
  <c r="BV86" i="35" s="1"/>
  <c r="BC85" i="35"/>
  <c r="BV85" i="35" s="1"/>
  <c r="BC84" i="35"/>
  <c r="BV84" i="35" s="1"/>
  <c r="BC83" i="35"/>
  <c r="BV83" i="35" s="1"/>
  <c r="BC82" i="35"/>
  <c r="BV82" i="35" s="1"/>
  <c r="BC81" i="35"/>
  <c r="BV81" i="35" s="1"/>
  <c r="BC80" i="35"/>
  <c r="BV80" i="35" s="1"/>
  <c r="BC79" i="35"/>
  <c r="BV79" i="35" s="1"/>
  <c r="BC78" i="35"/>
  <c r="BV78" i="35" s="1"/>
  <c r="BC77" i="35"/>
  <c r="BV77" i="35" s="1"/>
  <c r="BC76" i="35"/>
  <c r="BV76" i="35" s="1"/>
  <c r="BC75" i="35"/>
  <c r="BV75" i="35" s="1"/>
  <c r="BC74" i="35"/>
  <c r="BV74" i="35" s="1"/>
  <c r="BC73" i="35"/>
  <c r="BV73" i="35" s="1"/>
  <c r="BC72" i="35"/>
  <c r="BV72" i="35" s="1"/>
  <c r="BC71" i="35"/>
  <c r="BV71" i="35" s="1"/>
  <c r="BC70" i="35"/>
  <c r="BV70" i="35" s="1"/>
  <c r="BC69" i="35"/>
  <c r="BV69" i="35" s="1"/>
  <c r="BC68" i="35"/>
  <c r="BV68" i="35" s="1"/>
  <c r="BC67" i="35"/>
  <c r="BV67" i="35" s="1"/>
  <c r="BC66" i="35"/>
  <c r="BV66" i="35" s="1"/>
  <c r="BC65" i="35"/>
  <c r="BV65" i="35" s="1"/>
  <c r="BC64" i="35"/>
  <c r="BV64" i="35" s="1"/>
  <c r="BC63" i="35"/>
  <c r="BV63" i="35" s="1"/>
  <c r="BC62" i="35"/>
  <c r="BV62" i="35" s="1"/>
  <c r="BC61" i="35"/>
  <c r="BV61" i="35" s="1"/>
  <c r="BC60" i="35"/>
  <c r="BV60" i="35" s="1"/>
  <c r="BC59" i="35"/>
  <c r="BV59" i="35" s="1"/>
  <c r="BC58" i="35"/>
  <c r="BV58" i="35" s="1"/>
  <c r="BC57" i="35"/>
  <c r="BV57" i="35" s="1"/>
  <c r="BC56" i="35"/>
  <c r="BV56" i="35" s="1"/>
  <c r="BC55" i="35"/>
  <c r="BV55" i="35" s="1"/>
  <c r="BC54" i="35"/>
  <c r="BV54" i="35" s="1"/>
  <c r="BC53" i="35"/>
  <c r="BV53" i="35" s="1"/>
  <c r="BC52" i="35"/>
  <c r="BV52" i="35" s="1"/>
  <c r="BC51" i="35"/>
  <c r="BV51" i="35" s="1"/>
  <c r="BC50" i="35"/>
  <c r="BV50" i="35" s="1"/>
  <c r="BC49" i="35"/>
  <c r="BV49" i="35" s="1"/>
  <c r="BC48" i="35"/>
  <c r="BV48" i="35" s="1"/>
  <c r="BC47" i="35"/>
  <c r="BV47" i="35" s="1"/>
  <c r="BC46" i="35"/>
  <c r="BV46" i="35" s="1"/>
  <c r="BC45" i="35"/>
  <c r="BV45" i="35" s="1"/>
  <c r="BC44" i="35"/>
  <c r="BV44" i="35" s="1"/>
  <c r="BC43" i="35"/>
  <c r="BV43" i="35" s="1"/>
  <c r="BC42" i="35"/>
  <c r="BV42" i="35" s="1"/>
  <c r="BC41" i="35"/>
  <c r="BV41" i="35" s="1"/>
  <c r="BC40" i="35"/>
  <c r="BV40" i="35" s="1"/>
  <c r="BC39" i="35"/>
  <c r="BV39" i="35" s="1"/>
  <c r="BC38" i="35"/>
  <c r="BV38" i="35" s="1"/>
  <c r="BC37" i="35"/>
  <c r="BV37" i="35" s="1"/>
  <c r="BC36" i="35"/>
  <c r="BV36" i="35" s="1"/>
  <c r="BC35" i="35"/>
  <c r="BV35" i="35" s="1"/>
  <c r="BC34" i="35"/>
  <c r="BV34" i="35" s="1"/>
  <c r="BC33" i="35"/>
  <c r="BV33" i="35" s="1"/>
  <c r="BC32" i="35"/>
  <c r="BV32" i="35" s="1"/>
  <c r="BC31" i="35"/>
  <c r="BV31" i="35" s="1"/>
  <c r="BC30" i="35"/>
  <c r="BV30" i="35" s="1"/>
  <c r="BC29" i="35"/>
  <c r="BV29" i="35" s="1"/>
  <c r="BC28" i="35"/>
  <c r="BV28" i="35" s="1"/>
  <c r="BC27" i="35"/>
  <c r="BV27" i="35" s="1"/>
  <c r="BC26" i="35"/>
  <c r="BV26" i="35" s="1"/>
  <c r="BC25" i="35"/>
  <c r="BV25" i="35" s="1"/>
  <c r="BC24" i="35"/>
  <c r="BV24" i="35" s="1"/>
  <c r="BC23" i="35"/>
  <c r="BV23" i="35" s="1"/>
  <c r="BC22" i="35"/>
  <c r="BV22" i="35" s="1"/>
  <c r="BC21" i="35"/>
  <c r="BV21" i="35" s="1"/>
  <c r="BC20" i="35"/>
  <c r="BV20" i="35" s="1"/>
  <c r="BC19" i="35"/>
  <c r="BV19" i="35" s="1"/>
  <c r="BC18" i="35"/>
  <c r="BV18" i="35" s="1"/>
  <c r="BC17" i="35"/>
  <c r="BV17" i="35" s="1"/>
  <c r="BC16" i="35"/>
  <c r="BV16" i="35" s="1"/>
  <c r="BC15" i="35"/>
  <c r="BV15" i="35" s="1"/>
  <c r="BC14" i="35"/>
  <c r="BV14" i="35" s="1"/>
  <c r="BC13" i="35"/>
  <c r="BV13" i="35" s="1"/>
  <c r="BC12" i="35"/>
  <c r="BV12" i="35" s="1"/>
  <c r="BC11" i="35"/>
  <c r="BV11" i="35" s="1"/>
  <c r="BC10" i="35"/>
  <c r="BV10" i="35" s="1"/>
  <c r="BC9" i="35"/>
  <c r="BV9" i="35" s="1"/>
  <c r="BC8" i="35"/>
  <c r="BV8" i="35" s="1"/>
  <c r="BC7" i="35"/>
  <c r="FG25" i="35"/>
  <c r="F21" i="40"/>
  <c r="G21" i="40"/>
  <c r="BV7" i="35" l="1"/>
  <c r="BC378" i="35"/>
  <c r="BV378" i="35" l="1"/>
  <c r="BC379" i="35"/>
  <c r="BV379" i="35"/>
  <c r="CL378" i="35"/>
  <c r="CL377" i="35"/>
  <c r="CL376" i="35"/>
  <c r="CL375" i="35"/>
  <c r="CL374" i="35"/>
  <c r="CL373" i="35"/>
  <c r="CL372" i="35"/>
  <c r="CL371" i="35"/>
  <c r="CL370" i="35"/>
  <c r="CL369" i="35"/>
  <c r="CL368" i="35"/>
  <c r="CL367" i="35"/>
  <c r="CL366" i="35"/>
  <c r="CL365" i="35"/>
  <c r="CL364" i="35"/>
  <c r="CL363" i="35"/>
  <c r="CL362" i="35"/>
  <c r="CL361" i="35"/>
  <c r="CL360" i="35"/>
  <c r="CL359" i="35"/>
  <c r="CL358" i="35"/>
  <c r="CL357" i="35"/>
  <c r="CL356" i="35"/>
  <c r="CL355" i="35"/>
  <c r="CL354" i="35"/>
  <c r="CL353" i="35"/>
  <c r="CL352" i="35"/>
  <c r="CL351" i="35"/>
  <c r="CL350" i="35"/>
  <c r="CL349" i="35"/>
  <c r="CL348" i="35"/>
  <c r="CL347" i="35"/>
  <c r="CL346" i="35"/>
  <c r="CL345" i="35"/>
  <c r="CL344" i="35"/>
  <c r="CL343" i="35"/>
  <c r="CL342" i="35"/>
  <c r="CL341" i="35"/>
  <c r="CL340" i="35"/>
  <c r="CL339" i="35"/>
  <c r="CL338" i="35"/>
  <c r="CL337" i="35"/>
  <c r="CL336" i="35"/>
  <c r="CL335" i="35"/>
  <c r="CL334" i="35"/>
  <c r="CL333" i="35"/>
  <c r="CL332" i="35"/>
  <c r="CL331" i="35"/>
  <c r="CL330" i="35"/>
  <c r="CL329" i="35"/>
  <c r="CL328" i="35"/>
  <c r="CL327" i="35"/>
  <c r="CL326" i="35"/>
  <c r="CL325" i="35"/>
  <c r="CL324" i="35"/>
  <c r="CL323" i="35"/>
  <c r="CL322" i="35"/>
  <c r="CL321" i="35"/>
  <c r="CL320" i="35"/>
  <c r="CL319" i="35"/>
  <c r="CL318" i="35"/>
  <c r="CL317" i="35"/>
  <c r="CL316" i="35"/>
  <c r="CL315" i="35"/>
  <c r="CL314" i="35"/>
  <c r="CL313" i="35"/>
  <c r="CL312" i="35"/>
  <c r="CL311" i="35"/>
  <c r="CL310" i="35"/>
  <c r="CL309" i="35"/>
  <c r="CL308" i="35"/>
  <c r="CL307" i="35"/>
  <c r="CL306" i="35"/>
  <c r="CL305" i="35"/>
  <c r="CL304" i="35"/>
  <c r="CL303" i="35"/>
  <c r="CL302" i="35"/>
  <c r="CL301" i="35"/>
  <c r="CL300" i="35"/>
  <c r="CL299" i="35"/>
  <c r="CL298" i="35"/>
  <c r="CL297" i="35"/>
  <c r="CL296" i="35"/>
  <c r="CL295" i="35"/>
  <c r="CL294" i="35"/>
  <c r="CL293" i="35"/>
  <c r="CL292" i="35"/>
  <c r="CL291" i="35"/>
  <c r="CL290" i="35"/>
  <c r="CL289" i="35"/>
  <c r="CL288" i="35"/>
  <c r="CL287" i="35"/>
  <c r="CL286" i="35"/>
  <c r="CL285" i="35"/>
  <c r="CL284" i="35"/>
  <c r="CL283" i="35"/>
  <c r="CL282" i="35"/>
  <c r="CL281" i="35"/>
  <c r="CL280" i="35"/>
  <c r="CL279" i="35"/>
  <c r="CL278" i="35"/>
  <c r="CL277" i="35"/>
  <c r="CL276" i="35"/>
  <c r="CL275" i="35"/>
  <c r="CL274" i="35"/>
  <c r="CL273" i="35"/>
  <c r="CL272" i="35"/>
  <c r="CL271" i="35"/>
  <c r="CL270" i="35"/>
  <c r="CL269" i="35"/>
  <c r="CL268" i="35"/>
  <c r="CL267" i="35"/>
  <c r="CL266" i="35"/>
  <c r="CL265" i="35"/>
  <c r="CL264" i="35"/>
  <c r="CL263" i="35"/>
  <c r="CL262" i="35"/>
  <c r="CL261" i="35"/>
  <c r="CL260" i="35"/>
  <c r="CL259" i="35"/>
  <c r="CL258" i="35"/>
  <c r="CL257" i="35"/>
  <c r="CL256" i="35"/>
  <c r="CL255" i="35"/>
  <c r="CL254" i="35"/>
  <c r="CL253" i="35"/>
  <c r="CL252" i="35"/>
  <c r="CL251" i="35"/>
  <c r="CL250" i="35"/>
  <c r="CL249" i="35"/>
  <c r="CL248" i="35"/>
  <c r="CL247" i="35"/>
  <c r="CL246" i="35"/>
  <c r="CL245" i="35"/>
  <c r="CL244" i="35"/>
  <c r="CL243" i="35"/>
  <c r="CL242" i="35"/>
  <c r="CL241" i="35"/>
  <c r="CL240" i="35"/>
  <c r="CL239" i="35"/>
  <c r="CL238" i="35"/>
  <c r="CL237" i="35"/>
  <c r="CL236" i="35"/>
  <c r="CL235" i="35"/>
  <c r="CL234" i="35"/>
  <c r="CL233" i="35"/>
  <c r="CL232" i="35"/>
  <c r="CL231" i="35"/>
  <c r="CL230" i="35"/>
  <c r="CL229" i="35"/>
  <c r="CL228" i="35"/>
  <c r="CL227" i="35"/>
  <c r="CL226" i="35"/>
  <c r="CL225" i="35"/>
  <c r="CL224" i="35"/>
  <c r="CL223" i="35"/>
  <c r="CL222" i="35"/>
  <c r="CL221" i="35"/>
  <c r="CL220" i="35"/>
  <c r="CL219" i="35"/>
  <c r="CL218" i="35"/>
  <c r="CL217" i="35"/>
  <c r="CL216" i="35"/>
  <c r="CL215" i="35"/>
  <c r="CL214" i="35"/>
  <c r="CL213" i="35"/>
  <c r="CL212" i="35"/>
  <c r="CL211" i="35"/>
  <c r="CL210" i="35"/>
  <c r="CL209" i="35"/>
  <c r="CL208" i="35"/>
  <c r="CL207" i="35"/>
  <c r="CL206" i="35"/>
  <c r="CL205" i="35"/>
  <c r="CL204" i="35"/>
  <c r="CL203" i="35"/>
  <c r="CL202" i="35"/>
  <c r="CL201" i="35"/>
  <c r="CL200" i="35"/>
  <c r="CL199" i="35"/>
  <c r="CL198" i="35"/>
  <c r="CL197" i="35"/>
  <c r="CL196" i="35"/>
  <c r="CL195" i="35"/>
  <c r="CL194" i="35"/>
  <c r="CL193" i="35"/>
  <c r="CL192" i="35"/>
  <c r="CL191" i="35"/>
  <c r="CL190" i="35"/>
  <c r="CL189" i="35"/>
  <c r="CL188" i="35"/>
  <c r="CL187" i="35"/>
  <c r="CL186" i="35"/>
  <c r="CL185" i="35"/>
  <c r="CL184" i="35"/>
  <c r="CL183" i="35"/>
  <c r="CL182" i="35"/>
  <c r="CL181" i="35"/>
  <c r="CL180" i="35"/>
  <c r="CL179" i="35"/>
  <c r="CL178" i="35"/>
  <c r="CL177" i="35"/>
  <c r="CL176" i="35"/>
  <c r="CL175" i="35"/>
  <c r="CL174" i="35"/>
  <c r="CL173" i="35"/>
  <c r="CL172" i="35"/>
  <c r="CL171" i="35"/>
  <c r="CL170" i="35"/>
  <c r="CL169" i="35"/>
  <c r="CL168" i="35"/>
  <c r="CL167" i="35"/>
  <c r="CL166" i="35"/>
  <c r="CL165" i="35"/>
  <c r="CL164" i="35"/>
  <c r="CL163" i="35"/>
  <c r="CL162" i="35"/>
  <c r="CL161" i="35"/>
  <c r="CL160" i="35"/>
  <c r="CL159" i="35"/>
  <c r="CL158" i="35"/>
  <c r="CL157" i="35"/>
  <c r="CL156" i="35"/>
  <c r="CL155" i="35"/>
  <c r="CL154" i="35"/>
  <c r="CL153" i="35"/>
  <c r="CL152" i="35"/>
  <c r="CL151" i="35"/>
  <c r="CL150" i="35"/>
  <c r="CL149" i="35"/>
  <c r="CL148" i="35"/>
  <c r="CL147" i="35"/>
  <c r="CL146" i="35"/>
  <c r="CL145" i="35"/>
  <c r="CL144" i="35"/>
  <c r="CL143" i="35"/>
  <c r="CL142" i="35"/>
  <c r="CL141" i="35"/>
  <c r="CL140" i="35"/>
  <c r="CL139" i="35"/>
  <c r="CL138" i="35"/>
  <c r="CL137" i="35"/>
  <c r="CL136" i="35"/>
  <c r="CL135" i="35"/>
  <c r="CL134" i="35"/>
  <c r="CL133" i="35"/>
  <c r="CL132" i="35"/>
  <c r="CL131" i="35"/>
  <c r="CL130" i="35"/>
  <c r="CL129" i="35"/>
  <c r="CL128" i="35"/>
  <c r="CL127" i="35"/>
  <c r="CL126" i="35"/>
  <c r="CL125" i="35"/>
  <c r="CL124" i="35"/>
  <c r="CL123" i="35"/>
  <c r="CL122" i="35"/>
  <c r="CL121" i="35"/>
  <c r="CL120" i="35"/>
  <c r="CL119" i="35"/>
  <c r="CL118" i="35"/>
  <c r="CL117" i="35"/>
  <c r="CL116" i="35"/>
  <c r="CL115" i="35"/>
  <c r="CL114" i="35"/>
  <c r="CL113" i="35"/>
  <c r="CL112" i="35"/>
  <c r="CL111" i="35"/>
  <c r="CL110" i="35"/>
  <c r="CL109" i="35"/>
  <c r="CL108" i="35"/>
  <c r="CL107" i="35"/>
  <c r="CL106" i="35"/>
  <c r="CL105" i="35"/>
  <c r="CL104" i="35"/>
  <c r="CL103" i="35"/>
  <c r="CL102" i="35"/>
  <c r="CL101" i="35"/>
  <c r="CL100" i="35"/>
  <c r="CL99" i="35"/>
  <c r="CL98" i="35"/>
  <c r="CL97" i="35"/>
  <c r="CL96" i="35"/>
  <c r="CL95" i="35"/>
  <c r="CL94" i="35"/>
  <c r="CL93" i="35"/>
  <c r="CL92" i="35"/>
  <c r="CL91" i="35"/>
  <c r="CL90" i="35"/>
  <c r="CL89" i="35"/>
  <c r="CL88" i="35"/>
  <c r="CL87" i="35"/>
  <c r="CL86" i="35"/>
  <c r="CL85" i="35"/>
  <c r="CL84" i="35"/>
  <c r="CL83" i="35"/>
  <c r="CL82" i="35"/>
  <c r="CL81" i="35"/>
  <c r="CL80" i="35"/>
  <c r="CL79" i="35"/>
  <c r="CL78" i="35"/>
  <c r="CL77" i="35"/>
  <c r="CL76" i="35"/>
  <c r="CL75" i="35"/>
  <c r="CL74" i="35"/>
  <c r="CL73" i="35"/>
  <c r="CL72" i="35"/>
  <c r="CL71" i="35"/>
  <c r="CL70" i="35"/>
  <c r="CL69" i="35"/>
  <c r="CL68" i="35"/>
  <c r="CL67" i="35"/>
  <c r="CL66" i="35"/>
  <c r="CL65" i="35"/>
  <c r="CL64" i="35"/>
  <c r="CL63" i="35"/>
  <c r="CL62" i="35"/>
  <c r="CL61" i="35"/>
  <c r="CL60" i="35"/>
  <c r="CL59" i="35"/>
  <c r="CL58" i="35"/>
  <c r="CL57" i="35"/>
  <c r="CL56" i="35"/>
  <c r="CL55" i="35"/>
  <c r="CL54" i="35"/>
  <c r="CL53" i="35"/>
  <c r="CL52" i="35"/>
  <c r="CL51" i="35"/>
  <c r="CL50" i="35"/>
  <c r="CL49" i="35"/>
  <c r="CL48" i="35"/>
  <c r="CL47" i="35"/>
  <c r="CL46" i="35"/>
  <c r="CL45" i="35"/>
  <c r="CL44" i="35"/>
  <c r="CL43" i="35"/>
  <c r="CL42" i="35"/>
  <c r="CL41" i="35"/>
  <c r="CL40" i="35"/>
  <c r="CL39" i="35"/>
  <c r="CL38" i="35"/>
  <c r="CL37" i="35"/>
  <c r="CL36" i="35"/>
  <c r="CL35" i="35"/>
  <c r="CL34" i="35"/>
  <c r="CL33" i="35"/>
  <c r="CL32" i="35"/>
  <c r="CL31" i="35"/>
  <c r="CL30" i="35"/>
  <c r="CL29" i="35"/>
  <c r="CL28" i="35"/>
  <c r="CL27" i="35"/>
  <c r="CL26" i="35"/>
  <c r="CL25" i="35"/>
  <c r="CL24" i="35"/>
  <c r="CL23" i="35"/>
  <c r="CL22" i="35"/>
  <c r="CL21" i="35"/>
  <c r="CL20" i="35"/>
  <c r="CL19" i="35"/>
  <c r="CL18" i="35"/>
  <c r="CL17" i="35"/>
  <c r="CL16" i="35"/>
  <c r="CL15" i="35"/>
  <c r="CL14" i="35"/>
  <c r="CL13" i="35"/>
  <c r="CL12" i="35"/>
  <c r="CL11" i="35"/>
  <c r="CL10" i="35"/>
  <c r="CL9" i="35"/>
  <c r="CL8" i="35"/>
  <c r="CL7" i="35"/>
  <c r="BB379" i="35" l="1"/>
  <c r="EP383" i="35"/>
  <c r="G10" i="40" l="1"/>
  <c r="G9" i="40"/>
  <c r="G8" i="40"/>
  <c r="G7" i="40"/>
  <c r="G6" i="40"/>
  <c r="G5" i="40"/>
  <c r="G4" i="40"/>
  <c r="G11" i="40" s="1"/>
  <c r="AY5" i="35" s="1"/>
  <c r="AC379" i="35" l="1"/>
  <c r="AB379" i="35"/>
  <c r="AA379" i="35"/>
  <c r="AY379" i="35" l="1"/>
  <c r="D53" i="7" l="1"/>
  <c r="D52" i="7"/>
  <c r="D51" i="7"/>
  <c r="D50" i="7"/>
  <c r="D52" i="6"/>
  <c r="D51" i="6"/>
  <c r="D50" i="6"/>
  <c r="D49" i="6"/>
  <c r="D52" i="5"/>
  <c r="D51" i="5"/>
  <c r="D50" i="5"/>
  <c r="D49" i="5"/>
  <c r="D53" i="24"/>
  <c r="D52" i="24"/>
  <c r="D51" i="24"/>
  <c r="D50" i="24"/>
  <c r="D56" i="23"/>
  <c r="D55" i="23"/>
  <c r="D54" i="23"/>
  <c r="D53" i="23"/>
  <c r="D55" i="32"/>
  <c r="D54" i="32"/>
  <c r="D53" i="32"/>
  <c r="D52" i="32"/>
  <c r="CB379" i="35" l="1"/>
  <c r="CD7" i="35" l="1"/>
  <c r="CC378" i="35"/>
  <c r="CC377" i="35"/>
  <c r="CC376" i="35"/>
  <c r="CC375" i="35"/>
  <c r="CC373" i="35"/>
  <c r="CC371" i="35"/>
  <c r="CC370" i="35"/>
  <c r="CC369" i="35"/>
  <c r="CC368" i="35"/>
  <c r="CC367" i="35"/>
  <c r="CC366" i="35"/>
  <c r="CC365" i="35"/>
  <c r="CC364" i="35"/>
  <c r="CC363" i="35"/>
  <c r="CC362" i="35"/>
  <c r="CC361" i="35"/>
  <c r="CC360" i="35"/>
  <c r="CC359" i="35"/>
  <c r="CC358" i="35"/>
  <c r="CC357" i="35"/>
  <c r="CC356" i="35"/>
  <c r="CC355" i="35"/>
  <c r="CC354" i="35"/>
  <c r="CC353" i="35"/>
  <c r="CC352" i="35"/>
  <c r="CC351" i="35"/>
  <c r="CC350" i="35"/>
  <c r="CC349" i="35"/>
  <c r="CC348" i="35"/>
  <c r="CC347" i="35"/>
  <c r="CC346" i="35"/>
  <c r="CC345" i="35"/>
  <c r="CC344" i="35"/>
  <c r="CC343" i="35"/>
  <c r="CC342" i="35"/>
  <c r="CC341" i="35"/>
  <c r="CC340" i="35"/>
  <c r="CC339" i="35"/>
  <c r="CC338" i="35"/>
  <c r="CC337" i="35"/>
  <c r="CC336" i="35"/>
  <c r="CC335" i="35"/>
  <c r="CC334" i="35"/>
  <c r="CC333" i="35"/>
  <c r="CC332" i="35"/>
  <c r="CC331" i="35"/>
  <c r="CC330" i="35"/>
  <c r="CC329" i="35"/>
  <c r="CC328" i="35"/>
  <c r="CC327" i="35"/>
  <c r="CC326" i="35"/>
  <c r="CC325" i="35"/>
  <c r="CC324" i="35"/>
  <c r="CC323" i="35"/>
  <c r="CC322" i="35"/>
  <c r="CC321" i="35"/>
  <c r="CC320" i="35"/>
  <c r="CC319" i="35"/>
  <c r="CC318" i="35"/>
  <c r="CC317" i="35"/>
  <c r="CC316" i="35"/>
  <c r="CC315" i="35"/>
  <c r="CC314" i="35"/>
  <c r="CC313" i="35"/>
  <c r="CC312" i="35"/>
  <c r="CC311" i="35"/>
  <c r="CC310" i="35"/>
  <c r="CC309" i="35"/>
  <c r="CC308" i="35"/>
  <c r="CC307" i="35"/>
  <c r="CC306" i="35"/>
  <c r="CC305" i="35"/>
  <c r="CC304" i="35"/>
  <c r="CC303" i="35"/>
  <c r="CC302" i="35"/>
  <c r="CC301" i="35"/>
  <c r="CC300" i="35"/>
  <c r="CC299" i="35"/>
  <c r="CC298" i="35"/>
  <c r="CC297" i="35"/>
  <c r="CC296" i="35"/>
  <c r="CC295" i="35"/>
  <c r="CC294" i="35"/>
  <c r="CC293" i="35"/>
  <c r="CC292" i="35"/>
  <c r="CC291" i="35"/>
  <c r="CC290" i="35"/>
  <c r="CC289" i="35"/>
  <c r="CC288" i="35"/>
  <c r="CC287" i="35"/>
  <c r="CC286" i="35"/>
  <c r="CC285" i="35"/>
  <c r="CC284" i="35"/>
  <c r="CC283" i="35"/>
  <c r="CC282" i="35"/>
  <c r="CC281" i="35"/>
  <c r="CC280" i="35"/>
  <c r="CC279" i="35"/>
  <c r="CC278" i="35"/>
  <c r="CC277" i="35"/>
  <c r="CC276" i="35"/>
  <c r="CC275" i="35"/>
  <c r="CC274" i="35"/>
  <c r="CC273" i="35"/>
  <c r="CC272" i="35"/>
  <c r="CC271" i="35"/>
  <c r="CC270" i="35"/>
  <c r="CC269" i="35"/>
  <c r="CC268" i="35"/>
  <c r="CC267" i="35"/>
  <c r="CC266" i="35"/>
  <c r="CC265" i="35"/>
  <c r="CC264" i="35"/>
  <c r="CC263" i="35"/>
  <c r="CC262" i="35"/>
  <c r="CC261" i="35"/>
  <c r="CC260" i="35"/>
  <c r="CC259" i="35"/>
  <c r="CC258" i="35"/>
  <c r="CC257" i="35"/>
  <c r="CC256" i="35"/>
  <c r="CC255" i="35"/>
  <c r="CC254" i="35"/>
  <c r="CC253" i="35"/>
  <c r="CC252" i="35"/>
  <c r="CC251" i="35"/>
  <c r="CC250" i="35"/>
  <c r="CC249" i="35"/>
  <c r="CC248" i="35"/>
  <c r="CC247" i="35"/>
  <c r="CC246" i="35"/>
  <c r="CC245" i="35"/>
  <c r="CC244" i="35"/>
  <c r="CC243" i="35"/>
  <c r="CC242" i="35"/>
  <c r="CC241" i="35"/>
  <c r="CC240" i="35"/>
  <c r="CC239" i="35"/>
  <c r="CC238" i="35"/>
  <c r="CC237" i="35"/>
  <c r="CC236" i="35"/>
  <c r="CC235" i="35"/>
  <c r="CC234" i="35"/>
  <c r="CC233" i="35"/>
  <c r="CC232" i="35"/>
  <c r="CC231" i="35"/>
  <c r="CC230" i="35"/>
  <c r="CC229" i="35"/>
  <c r="CC228" i="35"/>
  <c r="CC227" i="35"/>
  <c r="CC226" i="35"/>
  <c r="CC225" i="35"/>
  <c r="CC224" i="35"/>
  <c r="CC223" i="35"/>
  <c r="CC222" i="35"/>
  <c r="CC221" i="35"/>
  <c r="CC220" i="35"/>
  <c r="CC219" i="35"/>
  <c r="CC218" i="35"/>
  <c r="CC217" i="35"/>
  <c r="CC216" i="35"/>
  <c r="CC215" i="35"/>
  <c r="CC214" i="35"/>
  <c r="CC213" i="35"/>
  <c r="CC212" i="35"/>
  <c r="CC211" i="35"/>
  <c r="CC210" i="35"/>
  <c r="CC209" i="35"/>
  <c r="CC208" i="35"/>
  <c r="CC207" i="35"/>
  <c r="CC206" i="35"/>
  <c r="CC205" i="35"/>
  <c r="CC204" i="35"/>
  <c r="CC203" i="35"/>
  <c r="CC202" i="35"/>
  <c r="CC201" i="35"/>
  <c r="CC200" i="35"/>
  <c r="CC199" i="35"/>
  <c r="CC198" i="35"/>
  <c r="CC197" i="35"/>
  <c r="CC196" i="35"/>
  <c r="CC195" i="35"/>
  <c r="CC194" i="35"/>
  <c r="CC193" i="35"/>
  <c r="CC192" i="35"/>
  <c r="CC191" i="35"/>
  <c r="CC190" i="35"/>
  <c r="CC189" i="35"/>
  <c r="CC188" i="35"/>
  <c r="CC187" i="35"/>
  <c r="CC186" i="35"/>
  <c r="CC185" i="35"/>
  <c r="CC184" i="35"/>
  <c r="CC183" i="35"/>
  <c r="CC182" i="35"/>
  <c r="CC181" i="35"/>
  <c r="CC180" i="35"/>
  <c r="CC179" i="35"/>
  <c r="CC178" i="35"/>
  <c r="CC177" i="35"/>
  <c r="CC176" i="35"/>
  <c r="CC175" i="35"/>
  <c r="CC174" i="35"/>
  <c r="CC173" i="35"/>
  <c r="CC172" i="35"/>
  <c r="CC171" i="35"/>
  <c r="CC170" i="35"/>
  <c r="CC169" i="35"/>
  <c r="CC168" i="35"/>
  <c r="CC167" i="35"/>
  <c r="CC166" i="35"/>
  <c r="CC165" i="35"/>
  <c r="CC164" i="35"/>
  <c r="CC163" i="35"/>
  <c r="CC162" i="35"/>
  <c r="CC161" i="35"/>
  <c r="CC160" i="35"/>
  <c r="CC159" i="35"/>
  <c r="CC158" i="35"/>
  <c r="CC157" i="35"/>
  <c r="CC156" i="35"/>
  <c r="CC155" i="35"/>
  <c r="CC154" i="35"/>
  <c r="CC153" i="35"/>
  <c r="CC152" i="35"/>
  <c r="CC151" i="35"/>
  <c r="CC150" i="35"/>
  <c r="CC149" i="35"/>
  <c r="CC148" i="35"/>
  <c r="CC147" i="35"/>
  <c r="CC146" i="35"/>
  <c r="CC145" i="35"/>
  <c r="CC144" i="35"/>
  <c r="CC143" i="35"/>
  <c r="CC142" i="35"/>
  <c r="CC141" i="35"/>
  <c r="CC140" i="35"/>
  <c r="CC139" i="35"/>
  <c r="CC138" i="35"/>
  <c r="CC137" i="35"/>
  <c r="CC136" i="35"/>
  <c r="CC135" i="35"/>
  <c r="CC134" i="35"/>
  <c r="CC133" i="35"/>
  <c r="CC132" i="35"/>
  <c r="CC131" i="35"/>
  <c r="CC130" i="35"/>
  <c r="CC129" i="35"/>
  <c r="CC128" i="35"/>
  <c r="CC127" i="35"/>
  <c r="CC126" i="35"/>
  <c r="CC125" i="35"/>
  <c r="CC124" i="35"/>
  <c r="CC123" i="35"/>
  <c r="CC122" i="35"/>
  <c r="CC121" i="35"/>
  <c r="CC120" i="35"/>
  <c r="CC119" i="35"/>
  <c r="CC118" i="35"/>
  <c r="CC117" i="35"/>
  <c r="CC116" i="35"/>
  <c r="CC115" i="35"/>
  <c r="CC114" i="35"/>
  <c r="CC113" i="35"/>
  <c r="CC112" i="35"/>
  <c r="CC111" i="35"/>
  <c r="CC110" i="35"/>
  <c r="CC109" i="35"/>
  <c r="CC108" i="35"/>
  <c r="CC107" i="35"/>
  <c r="CC106" i="35"/>
  <c r="CC105" i="35"/>
  <c r="CC104" i="35"/>
  <c r="CC103" i="35"/>
  <c r="CC102" i="35"/>
  <c r="CC101" i="35"/>
  <c r="CC100" i="35"/>
  <c r="CC99" i="35"/>
  <c r="CC98" i="35"/>
  <c r="CC97" i="35"/>
  <c r="CC96" i="35"/>
  <c r="CC95" i="35"/>
  <c r="CC94" i="35"/>
  <c r="CC93" i="35"/>
  <c r="CC92" i="35"/>
  <c r="CC91" i="35"/>
  <c r="CC90" i="35"/>
  <c r="CC89" i="35"/>
  <c r="CC88" i="35"/>
  <c r="CC87" i="35"/>
  <c r="CC86" i="35"/>
  <c r="CC85" i="35"/>
  <c r="CC84" i="35"/>
  <c r="CC83" i="35"/>
  <c r="CC82" i="35"/>
  <c r="CC81" i="35"/>
  <c r="CC80" i="35"/>
  <c r="CC79" i="35"/>
  <c r="CC78" i="35"/>
  <c r="CC77" i="35"/>
  <c r="CC76" i="35"/>
  <c r="CC75" i="35"/>
  <c r="CC74" i="35"/>
  <c r="CC73" i="35"/>
  <c r="CC72" i="35"/>
  <c r="CC71" i="35"/>
  <c r="CC70" i="35"/>
  <c r="CC69" i="35"/>
  <c r="CC68" i="35"/>
  <c r="CC67" i="35"/>
  <c r="CC66" i="35"/>
  <c r="CC65" i="35"/>
  <c r="CC64" i="35"/>
  <c r="CC63" i="35"/>
  <c r="CC62" i="35"/>
  <c r="CC61" i="35"/>
  <c r="CC60" i="35"/>
  <c r="CC59" i="35"/>
  <c r="CC58" i="35"/>
  <c r="CC57" i="35"/>
  <c r="CC56" i="35"/>
  <c r="CC55" i="35"/>
  <c r="CC54" i="35"/>
  <c r="CC53" i="35"/>
  <c r="CC52" i="35"/>
  <c r="CC51" i="35"/>
  <c r="CC50" i="35"/>
  <c r="CC49" i="35"/>
  <c r="CC48" i="35"/>
  <c r="CC47" i="35"/>
  <c r="CC46" i="35"/>
  <c r="CC45" i="35"/>
  <c r="CC44" i="35"/>
  <c r="CC43" i="35"/>
  <c r="CC42" i="35"/>
  <c r="CC41" i="35"/>
  <c r="CC40" i="35"/>
  <c r="CC39" i="35"/>
  <c r="CC38" i="35"/>
  <c r="CC37" i="35"/>
  <c r="CC36" i="35"/>
  <c r="CC35" i="35"/>
  <c r="CC34" i="35"/>
  <c r="CC33" i="35"/>
  <c r="CC32" i="35"/>
  <c r="CC31" i="35"/>
  <c r="CC30" i="35"/>
  <c r="CC29" i="35"/>
  <c r="CC28" i="35"/>
  <c r="CC27" i="35"/>
  <c r="CC26" i="35"/>
  <c r="CC25" i="35"/>
  <c r="CC24" i="35"/>
  <c r="CC23" i="35"/>
  <c r="CC22" i="35"/>
  <c r="CC21" i="35"/>
  <c r="CC20" i="35"/>
  <c r="CC19" i="35"/>
  <c r="CC18" i="35"/>
  <c r="CC17" i="35"/>
  <c r="CC16" i="35"/>
  <c r="CC15" i="35"/>
  <c r="CC14" i="35"/>
  <c r="CC13" i="35"/>
  <c r="CC12" i="35"/>
  <c r="CC11" i="35"/>
  <c r="CC10" i="35"/>
  <c r="CC9" i="35"/>
  <c r="CC8" i="35"/>
  <c r="CD67" i="35" l="1"/>
  <c r="CE67" i="35" s="1"/>
  <c r="CD75" i="35"/>
  <c r="CD99" i="35"/>
  <c r="CE99" i="35" s="1"/>
  <c r="CD115" i="35"/>
  <c r="CE115" i="35" s="1"/>
  <c r="CD123" i="35"/>
  <c r="CE123" i="35" s="1"/>
  <c r="CD131" i="35"/>
  <c r="CD155" i="35"/>
  <c r="CD179" i="35"/>
  <c r="CE179" i="35" s="1"/>
  <c r="CD203" i="35"/>
  <c r="CD219" i="35"/>
  <c r="CD251" i="35"/>
  <c r="CE251" i="35" s="1"/>
  <c r="CD291" i="35"/>
  <c r="CD307" i="35"/>
  <c r="CE307" i="35" s="1"/>
  <c r="CD315" i="35"/>
  <c r="CD331" i="35"/>
  <c r="CE331" i="35" s="1"/>
  <c r="CD339" i="35"/>
  <c r="CE339" i="35" s="1"/>
  <c r="CD363" i="35"/>
  <c r="CE363" i="35" s="1"/>
  <c r="CD28" i="35"/>
  <c r="CD52" i="35"/>
  <c r="CD60" i="35"/>
  <c r="CE60" i="35" s="1"/>
  <c r="CD204" i="35"/>
  <c r="CE204" i="35" s="1"/>
  <c r="CD236" i="35"/>
  <c r="CD260" i="35"/>
  <c r="CD276" i="35"/>
  <c r="CE276" i="35" s="1"/>
  <c r="CD284" i="35"/>
  <c r="CD292" i="35"/>
  <c r="CD300" i="35"/>
  <c r="CE300" i="35" s="1"/>
  <c r="CD340" i="35"/>
  <c r="CE340" i="35" s="1"/>
  <c r="CD348" i="35"/>
  <c r="CD364" i="35"/>
  <c r="CD117" i="35"/>
  <c r="CD165" i="35"/>
  <c r="CE165" i="35" s="1"/>
  <c r="CD245" i="35"/>
  <c r="CE245" i="35" s="1"/>
  <c r="CD277" i="35"/>
  <c r="CD309" i="35"/>
  <c r="CE309" i="35" s="1"/>
  <c r="CD317" i="35"/>
  <c r="CE317" i="35" s="1"/>
  <c r="CD122" i="35"/>
  <c r="CD102" i="35"/>
  <c r="CD118" i="35"/>
  <c r="CE118" i="35" s="1"/>
  <c r="CD39" i="35"/>
  <c r="CE39" i="35" s="1"/>
  <c r="CD159" i="35"/>
  <c r="CD183" i="35"/>
  <c r="CD191" i="35"/>
  <c r="CD199" i="35"/>
  <c r="CE199" i="35" s="1"/>
  <c r="CD231" i="35"/>
  <c r="CE231" i="35" s="1"/>
  <c r="CD239" i="35"/>
  <c r="CD255" i="35"/>
  <c r="CE255" i="35" s="1"/>
  <c r="CD263" i="35"/>
  <c r="CE263" i="35" s="1"/>
  <c r="CD279" i="35"/>
  <c r="CE279" i="35" s="1"/>
  <c r="CD319" i="35"/>
  <c r="CD327" i="35"/>
  <c r="CE327" i="35" s="1"/>
  <c r="CD335" i="35"/>
  <c r="CE335" i="35" s="1"/>
  <c r="CD343" i="35"/>
  <c r="CE343" i="35" s="1"/>
  <c r="CD16" i="35"/>
  <c r="CE16" i="35" s="1"/>
  <c r="CD24" i="35"/>
  <c r="CE24" i="35" s="1"/>
  <c r="CD48" i="35"/>
  <c r="CE48" i="35" s="1"/>
  <c r="CD64" i="35"/>
  <c r="CD72" i="35"/>
  <c r="CD88" i="35"/>
  <c r="CD96" i="35"/>
  <c r="CD104" i="35"/>
  <c r="CE104" i="35" s="1"/>
  <c r="CD112" i="35"/>
  <c r="CD136" i="35"/>
  <c r="CD152" i="35"/>
  <c r="CD168" i="35"/>
  <c r="CD208" i="35"/>
  <c r="CD256" i="35"/>
  <c r="CD264" i="35"/>
  <c r="CE264" i="35" s="1"/>
  <c r="CD296" i="35"/>
  <c r="CE296" i="35" s="1"/>
  <c r="CD320" i="35"/>
  <c r="CD9" i="35"/>
  <c r="CE9" i="35" s="1"/>
  <c r="CD25" i="35"/>
  <c r="CE25" i="35" s="1"/>
  <c r="CD41" i="35"/>
  <c r="CE41" i="35" s="1"/>
  <c r="CD65" i="35"/>
  <c r="CD97" i="35"/>
  <c r="CD113" i="35"/>
  <c r="CD129" i="35"/>
  <c r="CD193" i="35"/>
  <c r="CD241" i="35"/>
  <c r="CE241" i="35" s="1"/>
  <c r="CD257" i="35"/>
  <c r="CE257" i="35" s="1"/>
  <c r="CD265" i="35"/>
  <c r="CE265" i="35" s="1"/>
  <c r="CD273" i="35"/>
  <c r="CD305" i="35"/>
  <c r="CE305" i="35" s="1"/>
  <c r="CD313" i="35"/>
  <c r="CE313" i="35" s="1"/>
  <c r="CD321" i="35"/>
  <c r="CE321" i="35" s="1"/>
  <c r="CC379" i="35"/>
  <c r="CE7" i="35"/>
  <c r="CD133" i="35"/>
  <c r="CD59" i="35"/>
  <c r="CD44" i="35"/>
  <c r="CD128" i="35"/>
  <c r="CD303" i="35"/>
  <c r="CD55" i="35"/>
  <c r="CD163" i="35"/>
  <c r="CD275" i="35"/>
  <c r="CD51" i="35"/>
  <c r="CD140" i="35"/>
  <c r="CD147" i="35"/>
  <c r="CD187" i="35"/>
  <c r="CD68" i="35"/>
  <c r="CD111" i="35"/>
  <c r="CD47" i="35"/>
  <c r="CD106" i="35"/>
  <c r="CD127" i="35"/>
  <c r="CD172" i="35"/>
  <c r="CD267" i="35"/>
  <c r="CD156" i="35"/>
  <c r="CD13" i="35"/>
  <c r="CD35" i="35"/>
  <c r="CD79" i="35"/>
  <c r="CD107" i="35"/>
  <c r="CD139" i="35"/>
  <c r="CD233" i="35"/>
  <c r="CD93" i="35"/>
  <c r="CD120" i="35"/>
  <c r="CD261" i="35"/>
  <c r="CD271" i="35"/>
  <c r="CD350" i="35"/>
  <c r="CD92" i="35"/>
  <c r="CD149" i="35"/>
  <c r="CD323" i="35"/>
  <c r="CD15" i="35"/>
  <c r="CD19" i="35"/>
  <c r="CD29" i="35"/>
  <c r="CD32" i="35"/>
  <c r="CD49" i="35"/>
  <c r="CD63" i="35"/>
  <c r="CD76" i="35"/>
  <c r="CD83" i="35"/>
  <c r="CD89" i="35"/>
  <c r="CD121" i="35"/>
  <c r="CD126" i="35"/>
  <c r="CD184" i="35"/>
  <c r="CD195" i="35"/>
  <c r="CD11" i="35"/>
  <c r="CD23" i="35"/>
  <c r="CD36" i="35"/>
  <c r="CD43" i="35"/>
  <c r="CD56" i="35"/>
  <c r="CD73" i="35"/>
  <c r="CD87" i="35"/>
  <c r="CD101" i="35"/>
  <c r="CD130" i="35"/>
  <c r="CD295" i="35"/>
  <c r="CD352" i="35"/>
  <c r="CD33" i="35"/>
  <c r="CD80" i="35"/>
  <c r="CD94" i="35"/>
  <c r="CD105" i="35"/>
  <c r="CD212" i="35"/>
  <c r="CD8" i="35"/>
  <c r="CD20" i="35"/>
  <c r="CD27" i="35"/>
  <c r="CD37" i="35"/>
  <c r="CD40" i="35"/>
  <c r="CD57" i="35"/>
  <c r="CD71" i="35"/>
  <c r="CD84" i="35"/>
  <c r="CD347" i="35"/>
  <c r="CD21" i="35"/>
  <c r="CD114" i="35"/>
  <c r="CD171" i="35"/>
  <c r="CD308" i="35"/>
  <c r="CD12" i="35"/>
  <c r="CD17" i="35"/>
  <c r="CE17" i="35" s="1"/>
  <c r="CD31" i="35"/>
  <c r="CD81" i="35"/>
  <c r="CD91" i="35"/>
  <c r="CD95" i="35"/>
  <c r="CD98" i="35"/>
  <c r="CD110" i="35"/>
  <c r="CD181" i="35"/>
  <c r="CD100" i="35"/>
  <c r="CD160" i="35"/>
  <c r="CD198" i="35"/>
  <c r="CD103" i="35"/>
  <c r="CD109" i="35"/>
  <c r="CD135" i="35"/>
  <c r="CD143" i="35"/>
  <c r="CD167" i="35"/>
  <c r="CD175" i="35"/>
  <c r="CD188" i="35"/>
  <c r="CD192" i="35"/>
  <c r="CD202" i="35"/>
  <c r="CD205" i="35"/>
  <c r="CD209" i="35"/>
  <c r="CD215" i="35"/>
  <c r="CD220" i="35"/>
  <c r="CD244" i="35"/>
  <c r="CD249" i="35"/>
  <c r="CD253" i="35"/>
  <c r="CD259" i="35"/>
  <c r="CD262" i="35"/>
  <c r="CD302" i="35"/>
  <c r="CD378" i="35"/>
  <c r="CD124" i="35"/>
  <c r="CD162" i="35"/>
  <c r="CD247" i="35"/>
  <c r="CD268" i="35"/>
  <c r="CD283" i="35"/>
  <c r="CD287" i="35"/>
  <c r="CD299" i="35"/>
  <c r="CD311" i="35"/>
  <c r="CD324" i="35"/>
  <c r="CD332" i="35"/>
  <c r="CD358" i="35"/>
  <c r="CD150" i="35"/>
  <c r="CD182" i="35"/>
  <c r="CD238" i="35"/>
  <c r="CD254" i="35"/>
  <c r="CD318" i="35"/>
  <c r="CD116" i="35"/>
  <c r="CD194" i="35"/>
  <c r="CD207" i="35"/>
  <c r="CD213" i="35"/>
  <c r="CD227" i="35"/>
  <c r="CD235" i="35"/>
  <c r="CD326" i="35"/>
  <c r="CD329" i="35"/>
  <c r="CD345" i="35"/>
  <c r="CD351" i="35"/>
  <c r="CD355" i="35"/>
  <c r="CD367" i="35"/>
  <c r="CD371" i="35"/>
  <c r="CD375" i="35"/>
  <c r="CD119" i="35"/>
  <c r="CD125" i="35"/>
  <c r="CD138" i="35"/>
  <c r="CD145" i="35"/>
  <c r="CD177" i="35"/>
  <c r="CD197" i="35"/>
  <c r="CD200" i="35"/>
  <c r="CD211" i="35"/>
  <c r="CD246" i="35"/>
  <c r="CD310" i="35"/>
  <c r="CD108" i="35"/>
  <c r="CD134" i="35"/>
  <c r="CD146" i="35"/>
  <c r="CD166" i="35"/>
  <c r="CD178" i="35"/>
  <c r="CD214" i="35"/>
  <c r="CD223" i="35"/>
  <c r="CD228" i="35"/>
  <c r="CD232" i="35"/>
  <c r="CD243" i="35"/>
  <c r="CD248" i="35"/>
  <c r="CD252" i="35"/>
  <c r="CD297" i="35"/>
  <c r="CD312" i="35"/>
  <c r="CD316" i="35"/>
  <c r="CD356" i="35"/>
  <c r="CD359" i="35"/>
  <c r="CD372" i="35"/>
  <c r="CD222" i="35"/>
  <c r="CD225" i="35"/>
  <c r="CD229" i="35"/>
  <c r="CD14" i="35"/>
  <c r="CD22" i="35"/>
  <c r="CD30" i="35"/>
  <c r="CD38" i="35"/>
  <c r="CD46" i="35"/>
  <c r="CD54" i="35"/>
  <c r="CD62" i="35"/>
  <c r="CD70" i="35"/>
  <c r="CD78" i="35"/>
  <c r="CD86" i="35"/>
  <c r="CD148" i="35"/>
  <c r="CD170" i="35"/>
  <c r="CD180" i="35"/>
  <c r="CD230" i="35"/>
  <c r="CD242" i="35"/>
  <c r="CD342" i="35"/>
  <c r="CD153" i="35"/>
  <c r="CD158" i="35"/>
  <c r="CD185" i="35"/>
  <c r="CD190" i="35"/>
  <c r="CD206" i="35"/>
  <c r="CD141" i="35"/>
  <c r="CD173" i="35"/>
  <c r="CD210" i="35"/>
  <c r="CD301" i="35"/>
  <c r="CD45" i="35"/>
  <c r="CD53" i="35"/>
  <c r="CD61" i="35"/>
  <c r="CD69" i="35"/>
  <c r="CD77" i="35"/>
  <c r="CD85" i="35"/>
  <c r="CD151" i="35"/>
  <c r="CD161" i="35"/>
  <c r="CD281" i="35"/>
  <c r="CD288" i="35"/>
  <c r="CD10" i="35"/>
  <c r="CD18" i="35"/>
  <c r="CD26" i="35"/>
  <c r="CD34" i="35"/>
  <c r="CD42" i="35"/>
  <c r="CD50" i="35"/>
  <c r="CD58" i="35"/>
  <c r="CD66" i="35"/>
  <c r="CD74" i="35"/>
  <c r="CD82" i="35"/>
  <c r="CD90" i="35"/>
  <c r="CD132" i="35"/>
  <c r="CD144" i="35"/>
  <c r="CD154" i="35"/>
  <c r="CD164" i="35"/>
  <c r="CD176" i="35"/>
  <c r="CD186" i="35"/>
  <c r="CD196" i="35"/>
  <c r="CD201" i="35"/>
  <c r="CD237" i="35"/>
  <c r="CD272" i="35"/>
  <c r="CD137" i="35"/>
  <c r="CD142" i="35"/>
  <c r="CD169" i="35"/>
  <c r="CD174" i="35"/>
  <c r="CD217" i="35"/>
  <c r="CD224" i="35"/>
  <c r="CD258" i="35"/>
  <c r="CD286" i="35"/>
  <c r="CD289" i="35"/>
  <c r="CD293" i="35"/>
  <c r="CD157" i="35"/>
  <c r="CD189" i="35"/>
  <c r="CD270" i="35"/>
  <c r="CD294" i="35"/>
  <c r="CD306" i="35"/>
  <c r="CD344" i="35"/>
  <c r="CD353" i="35"/>
  <c r="CD269" i="35"/>
  <c r="CD274" i="35"/>
  <c r="CD341" i="35"/>
  <c r="CD361" i="35"/>
  <c r="CD368" i="35"/>
  <c r="CD218" i="35"/>
  <c r="CD282" i="35"/>
  <c r="CD333" i="35"/>
  <c r="CD349" i="35"/>
  <c r="CD366" i="35"/>
  <c r="CD369" i="35"/>
  <c r="CD336" i="35"/>
  <c r="CD216" i="35"/>
  <c r="CD221" i="35"/>
  <c r="CD226" i="35"/>
  <c r="CD240" i="35"/>
  <c r="CD266" i="35"/>
  <c r="CD280" i="35"/>
  <c r="CD285" i="35"/>
  <c r="CD290" i="35"/>
  <c r="CD304" i="35"/>
  <c r="CD328" i="35"/>
  <c r="CD334" i="35"/>
  <c r="CD337" i="35"/>
  <c r="CD377" i="35"/>
  <c r="CD250" i="35"/>
  <c r="CD278" i="35"/>
  <c r="CD314" i="35"/>
  <c r="CD234" i="35"/>
  <c r="CD298" i="35"/>
  <c r="CD325" i="35"/>
  <c r="CD357" i="35"/>
  <c r="CD365" i="35"/>
  <c r="CD360" i="35"/>
  <c r="CD374" i="35"/>
  <c r="CD376" i="35"/>
  <c r="CD373" i="35"/>
  <c r="CD322" i="35"/>
  <c r="CD330" i="35"/>
  <c r="CD338" i="35"/>
  <c r="CD346" i="35"/>
  <c r="CD354" i="35"/>
  <c r="CD362" i="35"/>
  <c r="CD370" i="35"/>
  <c r="CE273" i="35" l="1"/>
  <c r="CE65" i="35"/>
  <c r="CE208" i="35"/>
  <c r="CE319" i="35"/>
  <c r="CE183" i="35"/>
  <c r="CE277" i="35"/>
  <c r="CE28" i="35"/>
  <c r="CE219" i="35"/>
  <c r="CE75" i="35"/>
  <c r="CE193" i="35"/>
  <c r="CE320" i="35"/>
  <c r="CE239" i="35"/>
  <c r="CE102" i="35"/>
  <c r="CE315" i="35"/>
  <c r="CE131" i="35"/>
  <c r="CE328" i="35"/>
  <c r="CE240" i="35"/>
  <c r="CE224" i="35"/>
  <c r="CE151" i="35"/>
  <c r="CE190" i="35"/>
  <c r="CE229" i="35"/>
  <c r="CE228" i="35"/>
  <c r="CE310" i="35"/>
  <c r="CE125" i="35"/>
  <c r="CE329" i="35"/>
  <c r="CE182" i="35"/>
  <c r="CE287" i="35"/>
  <c r="CE262" i="35"/>
  <c r="CE205" i="35"/>
  <c r="CE20" i="35"/>
  <c r="CE33" i="35"/>
  <c r="CE56" i="35"/>
  <c r="CE126" i="35"/>
  <c r="CE35" i="35"/>
  <c r="CE223" i="35"/>
  <c r="CE119" i="35"/>
  <c r="CE326" i="35"/>
  <c r="CE150" i="35"/>
  <c r="CE202" i="35"/>
  <c r="CE109" i="35"/>
  <c r="CE8" i="35"/>
  <c r="CE352" i="35"/>
  <c r="CE121" i="35"/>
  <c r="CE29" i="35"/>
  <c r="CE13" i="35"/>
  <c r="CE59" i="35"/>
  <c r="CE113" i="35"/>
  <c r="CE152" i="35"/>
  <c r="CE96" i="35"/>
  <c r="CE291" i="35"/>
  <c r="CE280" i="35"/>
  <c r="CE148" i="35"/>
  <c r="CE376" i="35"/>
  <c r="CE221" i="35"/>
  <c r="CE189" i="35"/>
  <c r="CE174" i="35"/>
  <c r="CE77" i="35"/>
  <c r="CE158" i="35"/>
  <c r="CE86" i="35"/>
  <c r="CE38" i="35"/>
  <c r="CE297" i="35"/>
  <c r="CE375" i="35"/>
  <c r="CE194" i="35"/>
  <c r="CE358" i="35"/>
  <c r="CE268" i="35"/>
  <c r="CE253" i="35"/>
  <c r="CE192" i="35"/>
  <c r="CE103" i="35"/>
  <c r="CE110" i="35"/>
  <c r="CE12" i="35"/>
  <c r="CE212" i="35"/>
  <c r="CE156" i="35"/>
  <c r="CE68" i="35"/>
  <c r="CE55" i="35"/>
  <c r="CE133" i="35"/>
  <c r="CE274" i="35"/>
  <c r="CE216" i="35"/>
  <c r="CE157" i="35"/>
  <c r="CE69" i="35"/>
  <c r="CE78" i="35"/>
  <c r="CE30" i="35"/>
  <c r="CE372" i="35"/>
  <c r="CE178" i="35"/>
  <c r="CE200" i="35"/>
  <c r="CE371" i="35"/>
  <c r="CE249" i="35"/>
  <c r="CE308" i="35"/>
  <c r="CE295" i="35"/>
  <c r="CE23" i="35"/>
  <c r="CE15" i="35"/>
  <c r="CE271" i="35"/>
  <c r="CE97" i="35"/>
  <c r="CE256" i="35"/>
  <c r="CE136" i="35"/>
  <c r="CE88" i="35"/>
  <c r="CE191" i="35"/>
  <c r="CE117" i="35"/>
  <c r="CE260" i="35"/>
  <c r="CE52" i="35"/>
  <c r="CE155" i="35"/>
  <c r="CE196" i="35"/>
  <c r="CE360" i="35"/>
  <c r="CE285" i="35"/>
  <c r="CE336" i="35"/>
  <c r="CE344" i="35"/>
  <c r="CE293" i="35"/>
  <c r="CE142" i="35"/>
  <c r="CE164" i="35"/>
  <c r="CE359" i="35"/>
  <c r="CE252" i="35"/>
  <c r="CE166" i="35"/>
  <c r="CE367" i="35"/>
  <c r="CE116" i="35"/>
  <c r="CE332" i="35"/>
  <c r="CE162" i="35"/>
  <c r="CE244" i="35"/>
  <c r="CE95" i="35"/>
  <c r="CE171" i="35"/>
  <c r="CE83" i="35"/>
  <c r="CE323" i="35"/>
  <c r="CE139" i="35"/>
  <c r="CE172" i="35"/>
  <c r="CE288" i="35"/>
  <c r="CE22" i="35"/>
  <c r="CE356" i="35"/>
  <c r="CE248" i="35"/>
  <c r="CE146" i="35"/>
  <c r="CE355" i="35"/>
  <c r="CE318" i="35"/>
  <c r="CE124" i="35"/>
  <c r="CE220" i="35"/>
  <c r="CE167" i="35"/>
  <c r="CE160" i="35"/>
  <c r="CE105" i="35"/>
  <c r="CE101" i="35"/>
  <c r="CE76" i="35"/>
  <c r="CE107" i="35"/>
  <c r="CE127" i="35"/>
  <c r="CE140" i="35"/>
  <c r="CE44" i="35"/>
  <c r="CE72" i="35"/>
  <c r="CE364" i="35"/>
  <c r="CE292" i="35"/>
  <c r="CE236" i="35"/>
  <c r="CE324" i="35"/>
  <c r="CE361" i="35"/>
  <c r="CE294" i="35"/>
  <c r="CE144" i="35"/>
  <c r="CE45" i="35"/>
  <c r="CE230" i="35"/>
  <c r="CE14" i="35"/>
  <c r="CE316" i="35"/>
  <c r="CE134" i="35"/>
  <c r="CE145" i="35"/>
  <c r="CE351" i="35"/>
  <c r="CE254" i="35"/>
  <c r="CE378" i="35"/>
  <c r="CE215" i="35"/>
  <c r="CE100" i="35"/>
  <c r="CE81" i="35"/>
  <c r="CE37" i="35"/>
  <c r="CE94" i="35"/>
  <c r="CE63" i="35"/>
  <c r="CE92" i="35"/>
  <c r="CE93" i="35"/>
  <c r="CE79" i="35"/>
  <c r="CE106" i="35"/>
  <c r="CE368" i="35"/>
  <c r="CE177" i="35"/>
  <c r="CE314" i="35"/>
  <c r="CE349" i="35"/>
  <c r="CE258" i="35"/>
  <c r="CE132" i="35"/>
  <c r="CE206" i="35"/>
  <c r="CE180" i="35"/>
  <c r="CE54" i="35"/>
  <c r="CE312" i="35"/>
  <c r="CE232" i="35"/>
  <c r="CE108" i="35"/>
  <c r="CE138" i="35"/>
  <c r="CE345" i="35"/>
  <c r="CE227" i="35"/>
  <c r="CE299" i="35"/>
  <c r="CE209" i="35"/>
  <c r="CE135" i="35"/>
  <c r="CE31" i="35"/>
  <c r="CE27" i="35"/>
  <c r="CE80" i="35"/>
  <c r="CE73" i="35"/>
  <c r="CE184" i="35"/>
  <c r="CE350" i="35"/>
  <c r="CE47" i="35"/>
  <c r="CE112" i="35"/>
  <c r="CE129" i="35"/>
  <c r="CE168" i="35"/>
  <c r="CE64" i="35"/>
  <c r="CE159" i="35"/>
  <c r="CE122" i="35"/>
  <c r="CE348" i="35"/>
  <c r="CE284" i="35"/>
  <c r="CE203" i="35"/>
  <c r="CD379" i="35"/>
  <c r="CE21" i="35"/>
  <c r="CE57" i="35"/>
  <c r="CE261" i="35"/>
  <c r="CE198" i="35"/>
  <c r="CE147" i="35"/>
  <c r="CE49" i="35"/>
  <c r="CE70" i="35"/>
  <c r="CE267" i="35"/>
  <c r="CE195" i="35"/>
  <c r="CE233" i="35"/>
  <c r="CE111" i="35"/>
  <c r="CE89" i="35"/>
  <c r="CE303" i="35"/>
  <c r="CE311" i="35"/>
  <c r="CE128" i="35"/>
  <c r="CE207" i="35"/>
  <c r="CE181" i="35"/>
  <c r="CE120" i="35"/>
  <c r="CE366" i="35"/>
  <c r="CE347" i="35"/>
  <c r="CE169" i="35"/>
  <c r="CE337" i="35"/>
  <c r="CE173" i="35"/>
  <c r="CE19" i="35"/>
  <c r="CE213" i="35"/>
  <c r="CE153" i="35"/>
  <c r="CE91" i="35"/>
  <c r="CE163" i="35"/>
  <c r="CE325" i="35"/>
  <c r="CE341" i="35"/>
  <c r="CE225" i="35"/>
  <c r="CE235" i="35"/>
  <c r="CE272" i="35"/>
  <c r="CE141" i="35"/>
  <c r="CE242" i="35"/>
  <c r="CE238" i="35"/>
  <c r="CE187" i="35"/>
  <c r="CE51" i="35"/>
  <c r="CE278" i="35"/>
  <c r="CE197" i="35"/>
  <c r="CE71" i="35"/>
  <c r="CE161" i="35"/>
  <c r="CE377" i="35"/>
  <c r="CE266" i="35"/>
  <c r="CE210" i="35"/>
  <c r="CE62" i="35"/>
  <c r="CE342" i="35"/>
  <c r="CE87" i="35"/>
  <c r="CE275" i="35"/>
  <c r="CE40" i="35"/>
  <c r="CE250" i="35"/>
  <c r="CE218" i="35"/>
  <c r="CE186" i="35"/>
  <c r="CE170" i="35"/>
  <c r="CE36" i="35"/>
  <c r="CE130" i="35"/>
  <c r="CE32" i="35"/>
  <c r="CE334" i="35"/>
  <c r="CE237" i="35"/>
  <c r="CE301" i="35"/>
  <c r="CE46" i="35"/>
  <c r="CE283" i="35"/>
  <c r="CE247" i="35"/>
  <c r="CE211" i="35"/>
  <c r="CE176" i="35"/>
  <c r="CE90" i="35"/>
  <c r="CE188" i="35"/>
  <c r="CE98" i="35"/>
  <c r="CE143" i="35"/>
  <c r="CE259" i="35"/>
  <c r="CE365" i="35"/>
  <c r="CE137" i="35"/>
  <c r="CE175" i="35"/>
  <c r="CE362" i="35"/>
  <c r="CE306" i="35"/>
  <c r="CE289" i="35"/>
  <c r="CE201" i="35"/>
  <c r="CE61" i="35"/>
  <c r="CE246" i="35"/>
  <c r="CE302" i="35"/>
  <c r="CE114" i="35"/>
  <c r="CE43" i="35"/>
  <c r="CE149" i="35"/>
  <c r="CE222" i="35"/>
  <c r="CE58" i="35"/>
  <c r="CE243" i="35"/>
  <c r="CE214" i="35"/>
  <c r="CE357" i="35"/>
  <c r="CE353" i="35"/>
  <c r="CE338" i="35"/>
  <c r="CE18" i="35"/>
  <c r="CE84" i="35"/>
  <c r="CE11" i="35"/>
  <c r="CE370" i="35"/>
  <c r="CE290" i="35"/>
  <c r="CE354" i="35"/>
  <c r="CE286" i="35"/>
  <c r="CE217" i="35"/>
  <c r="CE185" i="35"/>
  <c r="CE53" i="35"/>
  <c r="CE50" i="35"/>
  <c r="CE304" i="35"/>
  <c r="CE322" i="35"/>
  <c r="CE369" i="35"/>
  <c r="CE281" i="35"/>
  <c r="CE26" i="35"/>
  <c r="CE374" i="35"/>
  <c r="CE234" i="35"/>
  <c r="CE226" i="35"/>
  <c r="CE269" i="35"/>
  <c r="CE154" i="35"/>
  <c r="CE42" i="35"/>
  <c r="CE298" i="35"/>
  <c r="CE346" i="35"/>
  <c r="CE270" i="35"/>
  <c r="CE85" i="35"/>
  <c r="CE34" i="35"/>
  <c r="CE74" i="35"/>
  <c r="CE66" i="35"/>
  <c r="CE373" i="35"/>
  <c r="CE330" i="35"/>
  <c r="CE82" i="35"/>
  <c r="CE10" i="35"/>
  <c r="CE333" i="35"/>
  <c r="CE282" i="35"/>
  <c r="CK434" i="35"/>
  <c r="CH433" i="35"/>
  <c r="CK432" i="35"/>
  <c r="CK431" i="35"/>
  <c r="CK430" i="35"/>
  <c r="CI432" i="35"/>
  <c r="CJ432" i="35" s="1"/>
  <c r="CI431" i="35"/>
  <c r="CJ431" i="35" s="1"/>
  <c r="CH424" i="35"/>
  <c r="CI424" i="35" s="1"/>
  <c r="CJ424" i="35" s="1"/>
  <c r="CK424" i="35" s="1"/>
  <c r="CH423" i="35"/>
  <c r="CI423" i="35" s="1"/>
  <c r="CJ423" i="35" s="1"/>
  <c r="CH422" i="35"/>
  <c r="CI422" i="35" s="1"/>
  <c r="CJ422" i="35" s="1"/>
  <c r="CK422" i="35" s="1"/>
  <c r="CH421" i="35"/>
  <c r="CI421" i="35" s="1"/>
  <c r="CJ421" i="35" s="1"/>
  <c r="CK421" i="35" s="1"/>
  <c r="CH420" i="35"/>
  <c r="CI420" i="35" s="1"/>
  <c r="CJ420" i="35" s="1"/>
  <c r="CK420" i="35" s="1"/>
  <c r="CH419" i="35"/>
  <c r="CI419" i="35" s="1"/>
  <c r="CJ419" i="35" s="1"/>
  <c r="CH418" i="35"/>
  <c r="CI418" i="35" s="1"/>
  <c r="CJ418" i="35" s="1"/>
  <c r="CK418" i="35" s="1"/>
  <c r="CH417" i="35"/>
  <c r="CI417" i="35" s="1"/>
  <c r="CJ417" i="35" s="1"/>
  <c r="CK417" i="35" s="1"/>
  <c r="CH416" i="35"/>
  <c r="CI416" i="35" s="1"/>
  <c r="CJ416" i="35" s="1"/>
  <c r="CK416" i="35" s="1"/>
  <c r="CH415" i="35"/>
  <c r="CI415" i="35" s="1"/>
  <c r="CJ415" i="35" s="1"/>
  <c r="CK415" i="35" s="1"/>
  <c r="CH414" i="35"/>
  <c r="CI414" i="35" s="1"/>
  <c r="CJ414" i="35" s="1"/>
  <c r="CK414" i="35" s="1"/>
  <c r="CH413" i="35"/>
  <c r="CI413" i="35" s="1"/>
  <c r="CJ413" i="35" s="1"/>
  <c r="CK413" i="35" s="1"/>
  <c r="CH412" i="35"/>
  <c r="CI412" i="35" s="1"/>
  <c r="CJ412" i="35" s="1"/>
  <c r="CK412" i="35" s="1"/>
  <c r="CH411" i="35"/>
  <c r="CI411" i="35" s="1"/>
  <c r="CJ411" i="35" s="1"/>
  <c r="CK411" i="35" s="1"/>
  <c r="CH410" i="35"/>
  <c r="CI410" i="35" s="1"/>
  <c r="CJ410" i="35" s="1"/>
  <c r="CK410" i="35" s="1"/>
  <c r="CH409" i="35"/>
  <c r="CI409" i="35" s="1"/>
  <c r="CJ409" i="35" s="1"/>
  <c r="CK409" i="35" s="1"/>
  <c r="CH408" i="35"/>
  <c r="CI408" i="35" s="1"/>
  <c r="CJ408" i="35" s="1"/>
  <c r="CK408" i="35" s="1"/>
  <c r="CH407" i="35"/>
  <c r="CI407" i="35" s="1"/>
  <c r="CJ407" i="35" s="1"/>
  <c r="CK407" i="35" s="1"/>
  <c r="CH406" i="35"/>
  <c r="CI406" i="35" s="1"/>
  <c r="CJ406" i="35" s="1"/>
  <c r="CK406" i="35" s="1"/>
  <c r="CH405" i="35"/>
  <c r="CI405" i="35" s="1"/>
  <c r="CJ405" i="35" s="1"/>
  <c r="CK405" i="35" s="1"/>
  <c r="CH404" i="35"/>
  <c r="CI404" i="35" s="1"/>
  <c r="CJ404" i="35" s="1"/>
  <c r="CK404" i="35" s="1"/>
  <c r="CH403" i="35"/>
  <c r="CI403" i="35" s="1"/>
  <c r="CJ403" i="35" s="1"/>
  <c r="CK403" i="35" s="1"/>
  <c r="CH402" i="35"/>
  <c r="CI402" i="35" s="1"/>
  <c r="CJ402" i="35" s="1"/>
  <c r="CK402" i="35" s="1"/>
  <c r="CH401" i="35"/>
  <c r="CI401" i="35" s="1"/>
  <c r="CJ401" i="35" s="1"/>
  <c r="CK401" i="35" s="1"/>
  <c r="CH400" i="35"/>
  <c r="CI400" i="35" s="1"/>
  <c r="CJ400" i="35" s="1"/>
  <c r="CK400" i="35" s="1"/>
  <c r="CH399" i="35"/>
  <c r="CI399" i="35" s="1"/>
  <c r="CJ399" i="35" s="1"/>
  <c r="CK399" i="35" s="1"/>
  <c r="CH398" i="35"/>
  <c r="CI398" i="35" s="1"/>
  <c r="CJ398" i="35" s="1"/>
  <c r="CK398" i="35" s="1"/>
  <c r="CG425" i="35"/>
  <c r="CK433" i="35" l="1"/>
  <c r="CL431" i="35" s="1"/>
  <c r="CE379" i="35"/>
  <c r="CL430" i="35"/>
  <c r="CL432" i="35"/>
  <c r="CM432" i="35" s="1"/>
  <c r="CN432" i="35" s="1"/>
  <c r="CK435" i="35"/>
  <c r="CK423" i="35"/>
  <c r="CM430" i="35"/>
  <c r="CM431" i="35"/>
  <c r="CN431" i="35" s="1"/>
  <c r="CK419" i="35"/>
  <c r="CJ425" i="35"/>
  <c r="CI425" i="35"/>
  <c r="CH425" i="35"/>
  <c r="CK425" i="35" l="1"/>
  <c r="CN430" i="35"/>
  <c r="CN433" i="35" s="1"/>
  <c r="CM433" i="35"/>
  <c r="HA378" i="35"/>
  <c r="HA377" i="35"/>
  <c r="HA376" i="35"/>
  <c r="HA375" i="35"/>
  <c r="HA374" i="35"/>
  <c r="HA373" i="35"/>
  <c r="HA372" i="35"/>
  <c r="HA371" i="35"/>
  <c r="HA370" i="35"/>
  <c r="HA369" i="35"/>
  <c r="HA368" i="35"/>
  <c r="HA367" i="35"/>
  <c r="HA366" i="35"/>
  <c r="HA365" i="35"/>
  <c r="HA364" i="35"/>
  <c r="HA363" i="35"/>
  <c r="HA362" i="35"/>
  <c r="HA361" i="35"/>
  <c r="HA360" i="35"/>
  <c r="HA359" i="35"/>
  <c r="HA358" i="35"/>
  <c r="HA357" i="35"/>
  <c r="HA356" i="35"/>
  <c r="HA355" i="35"/>
  <c r="HA354" i="35"/>
  <c r="HA353" i="35"/>
  <c r="HA352" i="35"/>
  <c r="HA351" i="35"/>
  <c r="HA350" i="35"/>
  <c r="HA349" i="35"/>
  <c r="HA348" i="35"/>
  <c r="HA347" i="35"/>
  <c r="HA346" i="35"/>
  <c r="HA345" i="35"/>
  <c r="HA344" i="35"/>
  <c r="HA343" i="35"/>
  <c r="HA342" i="35"/>
  <c r="HA341" i="35"/>
  <c r="HA340" i="35"/>
  <c r="HA339" i="35"/>
  <c r="HA338" i="35"/>
  <c r="HA337" i="35"/>
  <c r="HA336" i="35"/>
  <c r="HA335" i="35"/>
  <c r="HA334" i="35"/>
  <c r="HA333" i="35"/>
  <c r="HA332" i="35"/>
  <c r="HA331" i="35"/>
  <c r="HA330" i="35"/>
  <c r="HA329" i="35"/>
  <c r="HA328" i="35"/>
  <c r="HA327" i="35"/>
  <c r="HA326" i="35"/>
  <c r="HA325" i="35"/>
  <c r="HA324" i="35"/>
  <c r="HA323" i="35"/>
  <c r="HA322" i="35"/>
  <c r="HA321" i="35"/>
  <c r="HA320" i="35"/>
  <c r="HA319" i="35"/>
  <c r="HA318" i="35"/>
  <c r="HA317" i="35"/>
  <c r="HA316" i="35"/>
  <c r="HA315" i="35"/>
  <c r="HA314" i="35"/>
  <c r="HA313" i="35"/>
  <c r="HA312" i="35"/>
  <c r="HA311" i="35"/>
  <c r="HA310" i="35"/>
  <c r="HA309" i="35"/>
  <c r="HA308" i="35"/>
  <c r="HA307" i="35"/>
  <c r="HA306" i="35"/>
  <c r="HA305" i="35"/>
  <c r="HA304" i="35"/>
  <c r="HA303" i="35"/>
  <c r="HA302" i="35"/>
  <c r="HA301" i="35"/>
  <c r="HA300" i="35"/>
  <c r="HA299" i="35"/>
  <c r="HA298" i="35"/>
  <c r="HA297" i="35"/>
  <c r="HA296" i="35"/>
  <c r="HA295" i="35"/>
  <c r="HA294" i="35"/>
  <c r="HA293" i="35"/>
  <c r="HA292" i="35"/>
  <c r="HA291" i="35"/>
  <c r="HA290" i="35"/>
  <c r="HA289" i="35"/>
  <c r="HA288" i="35"/>
  <c r="HA287" i="35"/>
  <c r="HA286" i="35"/>
  <c r="HA285" i="35"/>
  <c r="HA284" i="35"/>
  <c r="HA283" i="35"/>
  <c r="HA282" i="35"/>
  <c r="HA281" i="35"/>
  <c r="HA280" i="35"/>
  <c r="HA279" i="35"/>
  <c r="HA278" i="35"/>
  <c r="HA277" i="35"/>
  <c r="HA276" i="35"/>
  <c r="HA275" i="35"/>
  <c r="HA274" i="35"/>
  <c r="HA273" i="35"/>
  <c r="HA272" i="35"/>
  <c r="HA271" i="35"/>
  <c r="HA270" i="35"/>
  <c r="HA269" i="35"/>
  <c r="HA268" i="35"/>
  <c r="HA267" i="35"/>
  <c r="HA266" i="35"/>
  <c r="HA265" i="35"/>
  <c r="HA264" i="35"/>
  <c r="HA263" i="35"/>
  <c r="HA262" i="35"/>
  <c r="HA261" i="35"/>
  <c r="HA260" i="35"/>
  <c r="HA259" i="35"/>
  <c r="HA258" i="35"/>
  <c r="HA257" i="35"/>
  <c r="HA256" i="35"/>
  <c r="HA255" i="35"/>
  <c r="HA254" i="35"/>
  <c r="HA253" i="35"/>
  <c r="HA252" i="35"/>
  <c r="HA251" i="35"/>
  <c r="HA250" i="35"/>
  <c r="HA249" i="35"/>
  <c r="HA248" i="35"/>
  <c r="HA247" i="35"/>
  <c r="HA246" i="35"/>
  <c r="HA245" i="35"/>
  <c r="HA244" i="35"/>
  <c r="HA243" i="35"/>
  <c r="HA242" i="35"/>
  <c r="HA241" i="35"/>
  <c r="HA240" i="35"/>
  <c r="HA239" i="35"/>
  <c r="HA238" i="35"/>
  <c r="HA237" i="35"/>
  <c r="HA236" i="35"/>
  <c r="HA235" i="35"/>
  <c r="HA234" i="35"/>
  <c r="HA233" i="35"/>
  <c r="HA232" i="35"/>
  <c r="HA231" i="35"/>
  <c r="HA230" i="35"/>
  <c r="HA229" i="35"/>
  <c r="HA228" i="35"/>
  <c r="HA227" i="35"/>
  <c r="HA226" i="35"/>
  <c r="HA225" i="35"/>
  <c r="HA224" i="35"/>
  <c r="HA223" i="35"/>
  <c r="HA222" i="35"/>
  <c r="HA221" i="35"/>
  <c r="HA220" i="35"/>
  <c r="HA219" i="35"/>
  <c r="HA218" i="35"/>
  <c r="HA217" i="35"/>
  <c r="HA216" i="35"/>
  <c r="HA215" i="35"/>
  <c r="HA214" i="35"/>
  <c r="HA213" i="35"/>
  <c r="HA212" i="35"/>
  <c r="HA211" i="35"/>
  <c r="HA210" i="35"/>
  <c r="HA209" i="35"/>
  <c r="HA208" i="35"/>
  <c r="HA207" i="35"/>
  <c r="HA206" i="35"/>
  <c r="HA205" i="35"/>
  <c r="HA204" i="35"/>
  <c r="HA203" i="35"/>
  <c r="HA202" i="35"/>
  <c r="HA201" i="35"/>
  <c r="HA200" i="35"/>
  <c r="HA199" i="35"/>
  <c r="HA198" i="35"/>
  <c r="HA197" i="35"/>
  <c r="HA196" i="35"/>
  <c r="HA195" i="35"/>
  <c r="HA194" i="35"/>
  <c r="HA193" i="35"/>
  <c r="HA192" i="35"/>
  <c r="HA191" i="35"/>
  <c r="HA190" i="35"/>
  <c r="HA189" i="35"/>
  <c r="HA188" i="35"/>
  <c r="HA187" i="35"/>
  <c r="HA186" i="35"/>
  <c r="HA185" i="35"/>
  <c r="HA184" i="35"/>
  <c r="HA183" i="35"/>
  <c r="HA182" i="35"/>
  <c r="HA181" i="35"/>
  <c r="HA180" i="35"/>
  <c r="HA179" i="35"/>
  <c r="HA178" i="35"/>
  <c r="HA177" i="35"/>
  <c r="HA176" i="35"/>
  <c r="HA175" i="35"/>
  <c r="HA174" i="35"/>
  <c r="HA173" i="35"/>
  <c r="HA172" i="35"/>
  <c r="HA171" i="35"/>
  <c r="HA170" i="35"/>
  <c r="HA169" i="35"/>
  <c r="HA168" i="35"/>
  <c r="HA167" i="35"/>
  <c r="HA166" i="35"/>
  <c r="HA165" i="35"/>
  <c r="HA164" i="35"/>
  <c r="HA163" i="35"/>
  <c r="HA162" i="35"/>
  <c r="HA161" i="35"/>
  <c r="HA160" i="35"/>
  <c r="HA159" i="35"/>
  <c r="HA158" i="35"/>
  <c r="HA157" i="35"/>
  <c r="HA156" i="35"/>
  <c r="HA155" i="35"/>
  <c r="HA154" i="35"/>
  <c r="HA153" i="35"/>
  <c r="HA152" i="35"/>
  <c r="HA151" i="35"/>
  <c r="HA150" i="35"/>
  <c r="HA149" i="35"/>
  <c r="HA148" i="35"/>
  <c r="HA147" i="35"/>
  <c r="HA146" i="35"/>
  <c r="HA145" i="35"/>
  <c r="HA144" i="35"/>
  <c r="HA143" i="35"/>
  <c r="HA142" i="35"/>
  <c r="HA141" i="35"/>
  <c r="HA140" i="35"/>
  <c r="HA139" i="35"/>
  <c r="HA138" i="35"/>
  <c r="HA137" i="35"/>
  <c r="HA136" i="35"/>
  <c r="HA135" i="35"/>
  <c r="HA134" i="35"/>
  <c r="HA133" i="35"/>
  <c r="HA132" i="35"/>
  <c r="HA131" i="35"/>
  <c r="HA130" i="35"/>
  <c r="HA129" i="35"/>
  <c r="HA128" i="35"/>
  <c r="HA127" i="35"/>
  <c r="HA126" i="35"/>
  <c r="HA125" i="35"/>
  <c r="HA124" i="35"/>
  <c r="HA123" i="35"/>
  <c r="HA122" i="35"/>
  <c r="HA121" i="35"/>
  <c r="HA120" i="35"/>
  <c r="HA119" i="35"/>
  <c r="HA118" i="35"/>
  <c r="HA117" i="35"/>
  <c r="HA116" i="35"/>
  <c r="HA115" i="35"/>
  <c r="HA114" i="35"/>
  <c r="HA113" i="35"/>
  <c r="HA112" i="35"/>
  <c r="HA111" i="35"/>
  <c r="HA110" i="35"/>
  <c r="HA109" i="35"/>
  <c r="HA108" i="35"/>
  <c r="HA107" i="35"/>
  <c r="HA106" i="35"/>
  <c r="HA105" i="35"/>
  <c r="HA104" i="35"/>
  <c r="HA103" i="35"/>
  <c r="HA102" i="35"/>
  <c r="HA101" i="35"/>
  <c r="HA100" i="35"/>
  <c r="HA99" i="35"/>
  <c r="HA98" i="35"/>
  <c r="HA97" i="35"/>
  <c r="HA96" i="35"/>
  <c r="HA95" i="35"/>
  <c r="HA94" i="35"/>
  <c r="HA93" i="35"/>
  <c r="HA92" i="35"/>
  <c r="HA91" i="35"/>
  <c r="HA90" i="35"/>
  <c r="HA89" i="35"/>
  <c r="HA88" i="35"/>
  <c r="HA87" i="35"/>
  <c r="HA86" i="35"/>
  <c r="HA85" i="35"/>
  <c r="HA84" i="35"/>
  <c r="HA83" i="35"/>
  <c r="HA82" i="35"/>
  <c r="HA81" i="35"/>
  <c r="HA80" i="35"/>
  <c r="HA79" i="35"/>
  <c r="HA78" i="35"/>
  <c r="HA77" i="35"/>
  <c r="HA76" i="35"/>
  <c r="HA75" i="35"/>
  <c r="HA74" i="35"/>
  <c r="HA73" i="35"/>
  <c r="HA72" i="35"/>
  <c r="HA71" i="35"/>
  <c r="HA70" i="35"/>
  <c r="HA69" i="35"/>
  <c r="HA68" i="35"/>
  <c r="HA67" i="35"/>
  <c r="HA66" i="35"/>
  <c r="HA65" i="35"/>
  <c r="HA64" i="35"/>
  <c r="HA63" i="35"/>
  <c r="HA62" i="35"/>
  <c r="HA61" i="35"/>
  <c r="HA60" i="35"/>
  <c r="HA59" i="35"/>
  <c r="HA58" i="35"/>
  <c r="HA57" i="35"/>
  <c r="HA56" i="35"/>
  <c r="HA55" i="35"/>
  <c r="HA54" i="35"/>
  <c r="HA53" i="35"/>
  <c r="HA52" i="35"/>
  <c r="HA51" i="35"/>
  <c r="HA50" i="35"/>
  <c r="HA49" i="35"/>
  <c r="HA48" i="35"/>
  <c r="HA47" i="35"/>
  <c r="HA46" i="35"/>
  <c r="HA45" i="35"/>
  <c r="HA44" i="35"/>
  <c r="HA43" i="35"/>
  <c r="HA42" i="35"/>
  <c r="HA41" i="35"/>
  <c r="HA40" i="35"/>
  <c r="HA39" i="35"/>
  <c r="HA38" i="35"/>
  <c r="HA37" i="35"/>
  <c r="HA36" i="35"/>
  <c r="HA35" i="35"/>
  <c r="HA34" i="35"/>
  <c r="HA33" i="35"/>
  <c r="HA32" i="35"/>
  <c r="HA31" i="35"/>
  <c r="HA30" i="35"/>
  <c r="HA29" i="35"/>
  <c r="HA28" i="35"/>
  <c r="HA27" i="35"/>
  <c r="HA26" i="35"/>
  <c r="HA25" i="35"/>
  <c r="HA24" i="35"/>
  <c r="HA23" i="35"/>
  <c r="HA22" i="35"/>
  <c r="HA21" i="35"/>
  <c r="HA20" i="35"/>
  <c r="HA19" i="35"/>
  <c r="HA18" i="35"/>
  <c r="HA17" i="35"/>
  <c r="HA16" i="35"/>
  <c r="HA15" i="35"/>
  <c r="HA14" i="35"/>
  <c r="HA13" i="35"/>
  <c r="HA12" i="35"/>
  <c r="HA11" i="35"/>
  <c r="HA10" i="35"/>
  <c r="HA9" i="35"/>
  <c r="HA8" i="35"/>
  <c r="HA7" i="35"/>
  <c r="GI378" i="35"/>
  <c r="GW378" i="35" s="1"/>
  <c r="HC378" i="35" s="1"/>
  <c r="GI377" i="35"/>
  <c r="GW377" i="35" s="1"/>
  <c r="HC377" i="35" s="1"/>
  <c r="GI376" i="35"/>
  <c r="GW376" i="35" s="1"/>
  <c r="HC376" i="35" s="1"/>
  <c r="GI375" i="35"/>
  <c r="GW375" i="35" s="1"/>
  <c r="HC375" i="35" s="1"/>
  <c r="GI374" i="35"/>
  <c r="GW374" i="35" s="1"/>
  <c r="HC374" i="35" s="1"/>
  <c r="GI373" i="35"/>
  <c r="GW373" i="35" s="1"/>
  <c r="HC373" i="35" s="1"/>
  <c r="GI372" i="35"/>
  <c r="GW372" i="35" s="1"/>
  <c r="HC372" i="35" s="1"/>
  <c r="GI371" i="35"/>
  <c r="GW371" i="35" s="1"/>
  <c r="HC371" i="35" s="1"/>
  <c r="GI370" i="35"/>
  <c r="GW370" i="35" s="1"/>
  <c r="HC370" i="35" s="1"/>
  <c r="GI369" i="35"/>
  <c r="GW369" i="35" s="1"/>
  <c r="HC369" i="35" s="1"/>
  <c r="GI368" i="35"/>
  <c r="GW368" i="35" s="1"/>
  <c r="HC368" i="35" s="1"/>
  <c r="GI367" i="35"/>
  <c r="GW367" i="35" s="1"/>
  <c r="HC367" i="35" s="1"/>
  <c r="GI366" i="35"/>
  <c r="GW366" i="35" s="1"/>
  <c r="HC366" i="35" s="1"/>
  <c r="GI365" i="35"/>
  <c r="GW365" i="35" s="1"/>
  <c r="HC365" i="35" s="1"/>
  <c r="GI364" i="35"/>
  <c r="GW364" i="35" s="1"/>
  <c r="HC364" i="35" s="1"/>
  <c r="GI363" i="35"/>
  <c r="GW363" i="35" s="1"/>
  <c r="HC363" i="35" s="1"/>
  <c r="GI362" i="35"/>
  <c r="GW362" i="35" s="1"/>
  <c r="HC362" i="35" s="1"/>
  <c r="GI361" i="35"/>
  <c r="GW361" i="35" s="1"/>
  <c r="HC361" i="35" s="1"/>
  <c r="GI360" i="35"/>
  <c r="GW360" i="35" s="1"/>
  <c r="HC360" i="35" s="1"/>
  <c r="GI359" i="35"/>
  <c r="GW359" i="35" s="1"/>
  <c r="HC359" i="35" s="1"/>
  <c r="GI358" i="35"/>
  <c r="GW358" i="35" s="1"/>
  <c r="HC358" i="35" s="1"/>
  <c r="GI357" i="35"/>
  <c r="GW357" i="35" s="1"/>
  <c r="HC357" i="35" s="1"/>
  <c r="GI356" i="35"/>
  <c r="GW356" i="35" s="1"/>
  <c r="HC356" i="35" s="1"/>
  <c r="GI355" i="35"/>
  <c r="GW355" i="35" s="1"/>
  <c r="HC355" i="35" s="1"/>
  <c r="GI354" i="35"/>
  <c r="GW354" i="35" s="1"/>
  <c r="HC354" i="35" s="1"/>
  <c r="GI353" i="35"/>
  <c r="GW353" i="35" s="1"/>
  <c r="HC353" i="35" s="1"/>
  <c r="GI352" i="35"/>
  <c r="GW352" i="35" s="1"/>
  <c r="HC352" i="35" s="1"/>
  <c r="GI351" i="35"/>
  <c r="GW351" i="35" s="1"/>
  <c r="HC351" i="35" s="1"/>
  <c r="GI350" i="35"/>
  <c r="GW350" i="35" s="1"/>
  <c r="HC350" i="35" s="1"/>
  <c r="GI349" i="35"/>
  <c r="GW349" i="35" s="1"/>
  <c r="HC349" i="35" s="1"/>
  <c r="GI348" i="35"/>
  <c r="GW348" i="35" s="1"/>
  <c r="HC348" i="35" s="1"/>
  <c r="GI347" i="35"/>
  <c r="GW347" i="35" s="1"/>
  <c r="HC347" i="35" s="1"/>
  <c r="GI346" i="35"/>
  <c r="GW346" i="35" s="1"/>
  <c r="HC346" i="35" s="1"/>
  <c r="GI345" i="35"/>
  <c r="GW345" i="35" s="1"/>
  <c r="HC345" i="35" s="1"/>
  <c r="GI344" i="35"/>
  <c r="GW344" i="35" s="1"/>
  <c r="HC344" i="35" s="1"/>
  <c r="GI343" i="35"/>
  <c r="GW343" i="35" s="1"/>
  <c r="HC343" i="35" s="1"/>
  <c r="GI342" i="35"/>
  <c r="GW342" i="35" s="1"/>
  <c r="HC342" i="35" s="1"/>
  <c r="GI341" i="35"/>
  <c r="GW341" i="35" s="1"/>
  <c r="HC341" i="35" s="1"/>
  <c r="GI340" i="35"/>
  <c r="GW340" i="35" s="1"/>
  <c r="HC340" i="35" s="1"/>
  <c r="GI339" i="35"/>
  <c r="GW339" i="35" s="1"/>
  <c r="HC339" i="35" s="1"/>
  <c r="GI338" i="35"/>
  <c r="GW338" i="35" s="1"/>
  <c r="HC338" i="35" s="1"/>
  <c r="GI337" i="35"/>
  <c r="GW337" i="35" s="1"/>
  <c r="HC337" i="35" s="1"/>
  <c r="GI336" i="35"/>
  <c r="GW336" i="35" s="1"/>
  <c r="HC336" i="35" s="1"/>
  <c r="GI335" i="35"/>
  <c r="GW335" i="35" s="1"/>
  <c r="HC335" i="35" s="1"/>
  <c r="GI334" i="35"/>
  <c r="GW334" i="35" s="1"/>
  <c r="HC334" i="35" s="1"/>
  <c r="GI333" i="35"/>
  <c r="GW333" i="35" s="1"/>
  <c r="HC333" i="35" s="1"/>
  <c r="GI332" i="35"/>
  <c r="GW332" i="35" s="1"/>
  <c r="HC332" i="35" s="1"/>
  <c r="GI331" i="35"/>
  <c r="GW331" i="35" s="1"/>
  <c r="HC331" i="35" s="1"/>
  <c r="GI330" i="35"/>
  <c r="GW330" i="35" s="1"/>
  <c r="HC330" i="35" s="1"/>
  <c r="GI329" i="35"/>
  <c r="GW329" i="35" s="1"/>
  <c r="HC329" i="35" s="1"/>
  <c r="GI328" i="35"/>
  <c r="GW328" i="35" s="1"/>
  <c r="HC328" i="35" s="1"/>
  <c r="GI327" i="35"/>
  <c r="GW327" i="35" s="1"/>
  <c r="HC327" i="35" s="1"/>
  <c r="GI326" i="35"/>
  <c r="GW326" i="35" s="1"/>
  <c r="HC326" i="35" s="1"/>
  <c r="GI325" i="35"/>
  <c r="GW325" i="35" s="1"/>
  <c r="HC325" i="35" s="1"/>
  <c r="GI324" i="35"/>
  <c r="GW324" i="35" s="1"/>
  <c r="HC324" i="35" s="1"/>
  <c r="GI323" i="35"/>
  <c r="GW323" i="35" s="1"/>
  <c r="HC323" i="35" s="1"/>
  <c r="GI322" i="35"/>
  <c r="GW322" i="35" s="1"/>
  <c r="HC322" i="35" s="1"/>
  <c r="GI321" i="35"/>
  <c r="GW321" i="35" s="1"/>
  <c r="HC321" i="35" s="1"/>
  <c r="GI320" i="35"/>
  <c r="GW320" i="35" s="1"/>
  <c r="HC320" i="35" s="1"/>
  <c r="GI319" i="35"/>
  <c r="GW319" i="35" s="1"/>
  <c r="HC319" i="35" s="1"/>
  <c r="GI318" i="35"/>
  <c r="GW318" i="35" s="1"/>
  <c r="HC318" i="35" s="1"/>
  <c r="GI317" i="35"/>
  <c r="GW317" i="35" s="1"/>
  <c r="HC317" i="35" s="1"/>
  <c r="GI316" i="35"/>
  <c r="GW316" i="35" s="1"/>
  <c r="HC316" i="35" s="1"/>
  <c r="GI315" i="35"/>
  <c r="GW315" i="35" s="1"/>
  <c r="HC315" i="35" s="1"/>
  <c r="GI314" i="35"/>
  <c r="GW314" i="35" s="1"/>
  <c r="HC314" i="35" s="1"/>
  <c r="GI313" i="35"/>
  <c r="GW313" i="35" s="1"/>
  <c r="HC313" i="35" s="1"/>
  <c r="GI312" i="35"/>
  <c r="GW312" i="35" s="1"/>
  <c r="HC312" i="35" s="1"/>
  <c r="GI311" i="35"/>
  <c r="GW311" i="35" s="1"/>
  <c r="HC311" i="35" s="1"/>
  <c r="GI310" i="35"/>
  <c r="GW310" i="35" s="1"/>
  <c r="HC310" i="35" s="1"/>
  <c r="GI309" i="35"/>
  <c r="GW309" i="35" s="1"/>
  <c r="HC309" i="35" s="1"/>
  <c r="GI308" i="35"/>
  <c r="GW308" i="35" s="1"/>
  <c r="HC308" i="35" s="1"/>
  <c r="GI307" i="35"/>
  <c r="GW307" i="35" s="1"/>
  <c r="HC307" i="35" s="1"/>
  <c r="GI306" i="35"/>
  <c r="GW306" i="35" s="1"/>
  <c r="HC306" i="35" s="1"/>
  <c r="GI305" i="35"/>
  <c r="GW305" i="35" s="1"/>
  <c r="HC305" i="35" s="1"/>
  <c r="GI304" i="35"/>
  <c r="GW304" i="35" s="1"/>
  <c r="HC304" i="35" s="1"/>
  <c r="GI303" i="35"/>
  <c r="GW303" i="35" s="1"/>
  <c r="HC303" i="35" s="1"/>
  <c r="GI302" i="35"/>
  <c r="GW302" i="35" s="1"/>
  <c r="HC302" i="35" s="1"/>
  <c r="GI301" i="35"/>
  <c r="GW301" i="35" s="1"/>
  <c r="HC301" i="35" s="1"/>
  <c r="GI300" i="35"/>
  <c r="GW300" i="35" s="1"/>
  <c r="HC300" i="35" s="1"/>
  <c r="GI299" i="35"/>
  <c r="GW299" i="35" s="1"/>
  <c r="HC299" i="35" s="1"/>
  <c r="GI298" i="35"/>
  <c r="GW298" i="35" s="1"/>
  <c r="HC298" i="35" s="1"/>
  <c r="GI297" i="35"/>
  <c r="GW297" i="35" s="1"/>
  <c r="HC297" i="35" s="1"/>
  <c r="GI296" i="35"/>
  <c r="GW296" i="35" s="1"/>
  <c r="HC296" i="35" s="1"/>
  <c r="GI295" i="35"/>
  <c r="GW295" i="35" s="1"/>
  <c r="HC295" i="35" s="1"/>
  <c r="GI294" i="35"/>
  <c r="GW294" i="35" s="1"/>
  <c r="HC294" i="35" s="1"/>
  <c r="GI293" i="35"/>
  <c r="GW293" i="35" s="1"/>
  <c r="HC293" i="35" s="1"/>
  <c r="GI292" i="35"/>
  <c r="GW292" i="35" s="1"/>
  <c r="HC292" i="35" s="1"/>
  <c r="GI291" i="35"/>
  <c r="GW291" i="35" s="1"/>
  <c r="HC291" i="35" s="1"/>
  <c r="GI290" i="35"/>
  <c r="GW290" i="35" s="1"/>
  <c r="HC290" i="35" s="1"/>
  <c r="GI289" i="35"/>
  <c r="GW289" i="35" s="1"/>
  <c r="HC289" i="35" s="1"/>
  <c r="GI288" i="35"/>
  <c r="GW288" i="35" s="1"/>
  <c r="HC288" i="35" s="1"/>
  <c r="GI287" i="35"/>
  <c r="GW287" i="35" s="1"/>
  <c r="HC287" i="35" s="1"/>
  <c r="GI286" i="35"/>
  <c r="GW286" i="35" s="1"/>
  <c r="HC286" i="35" s="1"/>
  <c r="GI285" i="35"/>
  <c r="GW285" i="35" s="1"/>
  <c r="HC285" i="35" s="1"/>
  <c r="GI284" i="35"/>
  <c r="GW284" i="35" s="1"/>
  <c r="HC284" i="35" s="1"/>
  <c r="GI283" i="35"/>
  <c r="GW283" i="35" s="1"/>
  <c r="HC283" i="35" s="1"/>
  <c r="GI282" i="35"/>
  <c r="GW282" i="35" s="1"/>
  <c r="HC282" i="35" s="1"/>
  <c r="GI281" i="35"/>
  <c r="GW281" i="35" s="1"/>
  <c r="HC281" i="35" s="1"/>
  <c r="GI280" i="35"/>
  <c r="GW280" i="35" s="1"/>
  <c r="HC280" i="35" s="1"/>
  <c r="GI279" i="35"/>
  <c r="GW279" i="35" s="1"/>
  <c r="HC279" i="35" s="1"/>
  <c r="GI278" i="35"/>
  <c r="GW278" i="35" s="1"/>
  <c r="HC278" i="35" s="1"/>
  <c r="GI277" i="35"/>
  <c r="GW277" i="35" s="1"/>
  <c r="HC277" i="35" s="1"/>
  <c r="GI276" i="35"/>
  <c r="GW276" i="35" s="1"/>
  <c r="HC276" i="35" s="1"/>
  <c r="GI275" i="35"/>
  <c r="GW275" i="35" s="1"/>
  <c r="HC275" i="35" s="1"/>
  <c r="GI274" i="35"/>
  <c r="GW274" i="35" s="1"/>
  <c r="HC274" i="35" s="1"/>
  <c r="GI273" i="35"/>
  <c r="GW273" i="35" s="1"/>
  <c r="HC273" i="35" s="1"/>
  <c r="GI272" i="35"/>
  <c r="GW272" i="35" s="1"/>
  <c r="HC272" i="35" s="1"/>
  <c r="GI271" i="35"/>
  <c r="GW271" i="35" s="1"/>
  <c r="HC271" i="35" s="1"/>
  <c r="GI270" i="35"/>
  <c r="GW270" i="35" s="1"/>
  <c r="HC270" i="35" s="1"/>
  <c r="GI269" i="35"/>
  <c r="GW269" i="35" s="1"/>
  <c r="HC269" i="35" s="1"/>
  <c r="GI268" i="35"/>
  <c r="GW268" i="35" s="1"/>
  <c r="HC268" i="35" s="1"/>
  <c r="GI267" i="35"/>
  <c r="GW267" i="35" s="1"/>
  <c r="HC267" i="35" s="1"/>
  <c r="GI266" i="35"/>
  <c r="GW266" i="35" s="1"/>
  <c r="HC266" i="35" s="1"/>
  <c r="GI265" i="35"/>
  <c r="GW265" i="35" s="1"/>
  <c r="HC265" i="35" s="1"/>
  <c r="GI264" i="35"/>
  <c r="GW264" i="35" s="1"/>
  <c r="HC264" i="35" s="1"/>
  <c r="GI263" i="35"/>
  <c r="GW263" i="35" s="1"/>
  <c r="HC263" i="35" s="1"/>
  <c r="GI262" i="35"/>
  <c r="GW262" i="35" s="1"/>
  <c r="HC262" i="35" s="1"/>
  <c r="GI261" i="35"/>
  <c r="GW261" i="35" s="1"/>
  <c r="HC261" i="35" s="1"/>
  <c r="GI260" i="35"/>
  <c r="GW260" i="35" s="1"/>
  <c r="HC260" i="35" s="1"/>
  <c r="GI259" i="35"/>
  <c r="GW259" i="35" s="1"/>
  <c r="HC259" i="35" s="1"/>
  <c r="GI258" i="35"/>
  <c r="GW258" i="35" s="1"/>
  <c r="HC258" i="35" s="1"/>
  <c r="GI257" i="35"/>
  <c r="GW257" i="35" s="1"/>
  <c r="HC257" i="35" s="1"/>
  <c r="GI256" i="35"/>
  <c r="GW256" i="35" s="1"/>
  <c r="HC256" i="35" s="1"/>
  <c r="GI255" i="35"/>
  <c r="GW255" i="35" s="1"/>
  <c r="HC255" i="35" s="1"/>
  <c r="GI254" i="35"/>
  <c r="GW254" i="35" s="1"/>
  <c r="HC254" i="35" s="1"/>
  <c r="GI251" i="35"/>
  <c r="GW251" i="35" s="1"/>
  <c r="HC251" i="35" s="1"/>
  <c r="GI250" i="35"/>
  <c r="GW250" i="35" s="1"/>
  <c r="HC250" i="35" s="1"/>
  <c r="GI249" i="35"/>
  <c r="GW249" i="35" s="1"/>
  <c r="HC249" i="35" s="1"/>
  <c r="GI248" i="35"/>
  <c r="GW248" i="35" s="1"/>
  <c r="HC248" i="35" s="1"/>
  <c r="GI247" i="35"/>
  <c r="GW247" i="35" s="1"/>
  <c r="HC247" i="35" s="1"/>
  <c r="GI246" i="35"/>
  <c r="GW246" i="35" s="1"/>
  <c r="HC246" i="35" s="1"/>
  <c r="GI245" i="35"/>
  <c r="GW245" i="35" s="1"/>
  <c r="HC245" i="35" s="1"/>
  <c r="GI244" i="35"/>
  <c r="GW244" i="35" s="1"/>
  <c r="HC244" i="35" s="1"/>
  <c r="GI239" i="35"/>
  <c r="GW239" i="35" s="1"/>
  <c r="HC239" i="35" s="1"/>
  <c r="GI238" i="35"/>
  <c r="GW238" i="35" s="1"/>
  <c r="HC238" i="35" s="1"/>
  <c r="GI237" i="35"/>
  <c r="GW237" i="35" s="1"/>
  <c r="HC237" i="35" s="1"/>
  <c r="GI233" i="35"/>
  <c r="GW233" i="35" s="1"/>
  <c r="HC233" i="35" s="1"/>
  <c r="GI229" i="35"/>
  <c r="GW229" i="35" s="1"/>
  <c r="HC229" i="35" s="1"/>
  <c r="GI228" i="35"/>
  <c r="GW228" i="35" s="1"/>
  <c r="HC228" i="35" s="1"/>
  <c r="GI224" i="35"/>
  <c r="GW224" i="35" s="1"/>
  <c r="HC224" i="35" s="1"/>
  <c r="GI223" i="35"/>
  <c r="GW223" i="35" s="1"/>
  <c r="HC223" i="35" s="1"/>
  <c r="GI220" i="35"/>
  <c r="GW220" i="35" s="1"/>
  <c r="HC220" i="35" s="1"/>
  <c r="GI219" i="35"/>
  <c r="GW219" i="35" s="1"/>
  <c r="HC219" i="35" s="1"/>
  <c r="GI218" i="35"/>
  <c r="GW218" i="35" s="1"/>
  <c r="HC218" i="35" s="1"/>
  <c r="GI217" i="35"/>
  <c r="GW217" i="35" s="1"/>
  <c r="HC217" i="35" s="1"/>
  <c r="GI216" i="35"/>
  <c r="GW216" i="35" s="1"/>
  <c r="HC216" i="35" s="1"/>
  <c r="GI215" i="35"/>
  <c r="GW215" i="35" s="1"/>
  <c r="HC215" i="35" s="1"/>
  <c r="GI214" i="35"/>
  <c r="GW214" i="35" s="1"/>
  <c r="HC214" i="35" s="1"/>
  <c r="GI213" i="35"/>
  <c r="GW213" i="35" s="1"/>
  <c r="HC213" i="35" s="1"/>
  <c r="GI212" i="35"/>
  <c r="GW212" i="35" s="1"/>
  <c r="HC212" i="35" s="1"/>
  <c r="GI210" i="35"/>
  <c r="GW210" i="35" s="1"/>
  <c r="HC210" i="35" s="1"/>
  <c r="GI209" i="35"/>
  <c r="GW209" i="35" s="1"/>
  <c r="HC209" i="35" s="1"/>
  <c r="GI208" i="35"/>
  <c r="GW208" i="35" s="1"/>
  <c r="HC208" i="35" s="1"/>
  <c r="GI207" i="35"/>
  <c r="GW207" i="35" s="1"/>
  <c r="HC207" i="35" s="1"/>
  <c r="GI206" i="35"/>
  <c r="GW206" i="35" s="1"/>
  <c r="HC206" i="35" s="1"/>
  <c r="GI201" i="35"/>
  <c r="GW201" i="35" s="1"/>
  <c r="HC201" i="35" s="1"/>
  <c r="GI200" i="35"/>
  <c r="GW200" i="35" s="1"/>
  <c r="HC200" i="35" s="1"/>
  <c r="GI199" i="35"/>
  <c r="GW199" i="35" s="1"/>
  <c r="HC199" i="35" s="1"/>
  <c r="GI198" i="35"/>
  <c r="GW198" i="35" s="1"/>
  <c r="HC198" i="35" s="1"/>
  <c r="GI197" i="35"/>
  <c r="GW197" i="35" s="1"/>
  <c r="HC197" i="35" s="1"/>
  <c r="GI196" i="35"/>
  <c r="GW196" i="35" s="1"/>
  <c r="HC196" i="35" s="1"/>
  <c r="GI195" i="35"/>
  <c r="GW195" i="35" s="1"/>
  <c r="HC195" i="35" s="1"/>
  <c r="GI194" i="35"/>
  <c r="GW194" i="35" s="1"/>
  <c r="HC194" i="35" s="1"/>
  <c r="GI193" i="35"/>
  <c r="GW193" i="35" s="1"/>
  <c r="HC193" i="35" s="1"/>
  <c r="GI189" i="35"/>
  <c r="GW189" i="35" s="1"/>
  <c r="HC189" i="35" s="1"/>
  <c r="GI187" i="35"/>
  <c r="GW187" i="35" s="1"/>
  <c r="HC187" i="35" s="1"/>
  <c r="GI185" i="35"/>
  <c r="GW185" i="35" s="1"/>
  <c r="HC185" i="35" s="1"/>
  <c r="GI184" i="35"/>
  <c r="GW184" i="35" s="1"/>
  <c r="HC184" i="35" s="1"/>
  <c r="GI183" i="35"/>
  <c r="GW183" i="35" s="1"/>
  <c r="HC183" i="35" s="1"/>
  <c r="GI182" i="35"/>
  <c r="GW182" i="35" s="1"/>
  <c r="HC182" i="35" s="1"/>
  <c r="GI181" i="35"/>
  <c r="GW181" i="35" s="1"/>
  <c r="HC181" i="35" s="1"/>
  <c r="GI180" i="35"/>
  <c r="GW180" i="35" s="1"/>
  <c r="HC180" i="35" s="1"/>
  <c r="GI179" i="35"/>
  <c r="GW179" i="35" s="1"/>
  <c r="HC179" i="35" s="1"/>
  <c r="GI178" i="35"/>
  <c r="GW178" i="35" s="1"/>
  <c r="HC178" i="35" s="1"/>
  <c r="GI170" i="35"/>
  <c r="GW170" i="35" s="1"/>
  <c r="HC170" i="35" s="1"/>
  <c r="GI169" i="35"/>
  <c r="GW169" i="35" s="1"/>
  <c r="HC169" i="35" s="1"/>
  <c r="GI168" i="35"/>
  <c r="GW168" i="35" s="1"/>
  <c r="HC168" i="35" s="1"/>
  <c r="GI167" i="35"/>
  <c r="GW167" i="35" s="1"/>
  <c r="HC167" i="35" s="1"/>
  <c r="GI166" i="35"/>
  <c r="GW166" i="35" s="1"/>
  <c r="HC166" i="35" s="1"/>
  <c r="GI165" i="35"/>
  <c r="GW165" i="35" s="1"/>
  <c r="HC165" i="35" s="1"/>
  <c r="GI164" i="35"/>
  <c r="GW164" i="35" s="1"/>
  <c r="HC164" i="35" s="1"/>
  <c r="GI163" i="35"/>
  <c r="GW163" i="35" s="1"/>
  <c r="HC163" i="35" s="1"/>
  <c r="GI159" i="35"/>
  <c r="GW159" i="35" s="1"/>
  <c r="HC159" i="35" s="1"/>
  <c r="GI158" i="35"/>
  <c r="GW158" i="35" s="1"/>
  <c r="HC158" i="35" s="1"/>
  <c r="GI156" i="35"/>
  <c r="GW156" i="35" s="1"/>
  <c r="HC156" i="35" s="1"/>
  <c r="GI155" i="35"/>
  <c r="GW155" i="35" s="1"/>
  <c r="HC155" i="35" s="1"/>
  <c r="GI154" i="35"/>
  <c r="GW154" i="35" s="1"/>
  <c r="HC154" i="35" s="1"/>
  <c r="GI153" i="35"/>
  <c r="GW153" i="35" s="1"/>
  <c r="HC153" i="35" s="1"/>
  <c r="GI152" i="35"/>
  <c r="GW152" i="35" s="1"/>
  <c r="HC152" i="35" s="1"/>
  <c r="GI151" i="35"/>
  <c r="GW151" i="35" s="1"/>
  <c r="HC151" i="35" s="1"/>
  <c r="GI150" i="35"/>
  <c r="GW150" i="35" s="1"/>
  <c r="HC150" i="35" s="1"/>
  <c r="GI149" i="35"/>
  <c r="GW149" i="35" s="1"/>
  <c r="HC149" i="35" s="1"/>
  <c r="GI148" i="35"/>
  <c r="GW148" i="35" s="1"/>
  <c r="HC148" i="35" s="1"/>
  <c r="GI147" i="35"/>
  <c r="GW147" i="35" s="1"/>
  <c r="HC147" i="35" s="1"/>
  <c r="GI140" i="35"/>
  <c r="GW140" i="35" s="1"/>
  <c r="HC140" i="35" s="1"/>
  <c r="GI139" i="35"/>
  <c r="GW139" i="35" s="1"/>
  <c r="HC139" i="35" s="1"/>
  <c r="GI138" i="35"/>
  <c r="GW138" i="35" s="1"/>
  <c r="HC138" i="35" s="1"/>
  <c r="GI137" i="35"/>
  <c r="GW137" i="35" s="1"/>
  <c r="HC137" i="35" s="1"/>
  <c r="GI136" i="35"/>
  <c r="GW136" i="35" s="1"/>
  <c r="HC136" i="35" s="1"/>
  <c r="GI135" i="35"/>
  <c r="GW135" i="35" s="1"/>
  <c r="HC135" i="35" s="1"/>
  <c r="GI134" i="35"/>
  <c r="GW134" i="35" s="1"/>
  <c r="HC134" i="35" s="1"/>
  <c r="GI133" i="35"/>
  <c r="GW133" i="35" s="1"/>
  <c r="HC133" i="35" s="1"/>
  <c r="GI132" i="35"/>
  <c r="GW132" i="35" s="1"/>
  <c r="HC132" i="35" s="1"/>
  <c r="GI131" i="35"/>
  <c r="GW131" i="35" s="1"/>
  <c r="HC131" i="35" s="1"/>
  <c r="GI129" i="35"/>
  <c r="GW129" i="35" s="1"/>
  <c r="HC129" i="35" s="1"/>
  <c r="GI128" i="35"/>
  <c r="GW128" i="35" s="1"/>
  <c r="HC128" i="35" s="1"/>
  <c r="GI127" i="35"/>
  <c r="GW127" i="35" s="1"/>
  <c r="HC127" i="35" s="1"/>
  <c r="GI125" i="35"/>
  <c r="GW125" i="35" s="1"/>
  <c r="HC125" i="35" s="1"/>
  <c r="GI124" i="35"/>
  <c r="GW124" i="35" s="1"/>
  <c r="HC124" i="35" s="1"/>
  <c r="GI123" i="35"/>
  <c r="GW123" i="35" s="1"/>
  <c r="HC123" i="35" s="1"/>
  <c r="GI122" i="35"/>
  <c r="GW122" i="35" s="1"/>
  <c r="HC122" i="35" s="1"/>
  <c r="GI121" i="35"/>
  <c r="GW121" i="35" s="1"/>
  <c r="HC121" i="35" s="1"/>
  <c r="GI120" i="35"/>
  <c r="GW120" i="35" s="1"/>
  <c r="HC120" i="35" s="1"/>
  <c r="GI119" i="35"/>
  <c r="GW119" i="35" s="1"/>
  <c r="HC119" i="35" s="1"/>
  <c r="GI118" i="35"/>
  <c r="GW118" i="35" s="1"/>
  <c r="HC118" i="35" s="1"/>
  <c r="GI117" i="35"/>
  <c r="GW117" i="35" s="1"/>
  <c r="HC117" i="35" s="1"/>
  <c r="GI116" i="35"/>
  <c r="GW116" i="35" s="1"/>
  <c r="HC116" i="35" s="1"/>
  <c r="GI115" i="35"/>
  <c r="GW115" i="35" s="1"/>
  <c r="HC115" i="35" s="1"/>
  <c r="GI111" i="35"/>
  <c r="GW111" i="35" s="1"/>
  <c r="HC111" i="35" s="1"/>
  <c r="GI110" i="35"/>
  <c r="GW110" i="35" s="1"/>
  <c r="HC110" i="35" s="1"/>
  <c r="GI109" i="35"/>
  <c r="GW109" i="35" s="1"/>
  <c r="HC109" i="35" s="1"/>
  <c r="GI108" i="35"/>
  <c r="GW108" i="35" s="1"/>
  <c r="HC108" i="35" s="1"/>
  <c r="GI107" i="35"/>
  <c r="GW107" i="35" s="1"/>
  <c r="HC107" i="35" s="1"/>
  <c r="GI106" i="35"/>
  <c r="GW106" i="35" s="1"/>
  <c r="HC106" i="35" s="1"/>
  <c r="GI105" i="35"/>
  <c r="GW105" i="35" s="1"/>
  <c r="HC105" i="35" s="1"/>
  <c r="GI104" i="35"/>
  <c r="GW104" i="35" s="1"/>
  <c r="HC104" i="35" s="1"/>
  <c r="GI103" i="35"/>
  <c r="GW103" i="35" s="1"/>
  <c r="HC103" i="35" s="1"/>
  <c r="GI102" i="35"/>
  <c r="GW102" i="35" s="1"/>
  <c r="HC102" i="35" s="1"/>
  <c r="GI101" i="35"/>
  <c r="GW101" i="35" s="1"/>
  <c r="HC101" i="35" s="1"/>
  <c r="GI100" i="35"/>
  <c r="GW100" i="35" s="1"/>
  <c r="HC100" i="35" s="1"/>
  <c r="GI99" i="35"/>
  <c r="GW99" i="35" s="1"/>
  <c r="HC99" i="35" s="1"/>
  <c r="GI98" i="35"/>
  <c r="GW98" i="35" s="1"/>
  <c r="HC98" i="35" s="1"/>
  <c r="GI97" i="35"/>
  <c r="GW97" i="35" s="1"/>
  <c r="HC97" i="35" s="1"/>
  <c r="GI96" i="35"/>
  <c r="GW96" i="35" s="1"/>
  <c r="HC96" i="35" s="1"/>
  <c r="GI95" i="35"/>
  <c r="GW95" i="35" s="1"/>
  <c r="HC95" i="35" s="1"/>
  <c r="GI94" i="35"/>
  <c r="GW94" i="35" s="1"/>
  <c r="HC94" i="35" s="1"/>
  <c r="GI93" i="35"/>
  <c r="GW93" i="35" s="1"/>
  <c r="HC93" i="35" s="1"/>
  <c r="GI92" i="35"/>
  <c r="GW92" i="35" s="1"/>
  <c r="HC92" i="35" s="1"/>
  <c r="GI91" i="35"/>
  <c r="GW91" i="35" s="1"/>
  <c r="HC91" i="35" s="1"/>
  <c r="GI90" i="35"/>
  <c r="GW90" i="35" s="1"/>
  <c r="HC90" i="35" s="1"/>
  <c r="GI89" i="35"/>
  <c r="GW89" i="35" s="1"/>
  <c r="HC89" i="35" s="1"/>
  <c r="GI88" i="35"/>
  <c r="GW88" i="35" s="1"/>
  <c r="HC88" i="35" s="1"/>
  <c r="GI87" i="35"/>
  <c r="GW87" i="35" s="1"/>
  <c r="HC87" i="35" s="1"/>
  <c r="GI86" i="35"/>
  <c r="GW86" i="35" s="1"/>
  <c r="HC86" i="35" s="1"/>
  <c r="GI85" i="35"/>
  <c r="GW85" i="35" s="1"/>
  <c r="HC85" i="35" s="1"/>
  <c r="GI84" i="35"/>
  <c r="GW84" i="35" s="1"/>
  <c r="HC84" i="35" s="1"/>
  <c r="GI83" i="35"/>
  <c r="GW83" i="35" s="1"/>
  <c r="HC83" i="35" s="1"/>
  <c r="GI82" i="35"/>
  <c r="GW82" i="35" s="1"/>
  <c r="HC82" i="35" s="1"/>
  <c r="GI81" i="35"/>
  <c r="GW81" i="35" s="1"/>
  <c r="HC81" i="35" s="1"/>
  <c r="GI80" i="35"/>
  <c r="GW80" i="35" s="1"/>
  <c r="HC80" i="35" s="1"/>
  <c r="GI79" i="35"/>
  <c r="GW79" i="35" s="1"/>
  <c r="HC79" i="35" s="1"/>
  <c r="GI78" i="35"/>
  <c r="GW78" i="35" s="1"/>
  <c r="HC78" i="35" s="1"/>
  <c r="GI77" i="35"/>
  <c r="GW77" i="35" s="1"/>
  <c r="HC77" i="35" s="1"/>
  <c r="GI76" i="35"/>
  <c r="GW76" i="35" s="1"/>
  <c r="HC76" i="35" s="1"/>
  <c r="GI75" i="35"/>
  <c r="GW75" i="35" s="1"/>
  <c r="HC75" i="35" s="1"/>
  <c r="GI74" i="35"/>
  <c r="GW74" i="35" s="1"/>
  <c r="HC74" i="35" s="1"/>
  <c r="GI73" i="35"/>
  <c r="GW73" i="35" s="1"/>
  <c r="HC73" i="35" s="1"/>
  <c r="GI72" i="35"/>
  <c r="GW72" i="35" s="1"/>
  <c r="HC72" i="35" s="1"/>
  <c r="GI71" i="35"/>
  <c r="GW71" i="35" s="1"/>
  <c r="HC71" i="35" s="1"/>
  <c r="GI70" i="35"/>
  <c r="GW70" i="35" s="1"/>
  <c r="HC70" i="35" s="1"/>
  <c r="GI69" i="35"/>
  <c r="GW69" i="35" s="1"/>
  <c r="HC69" i="35" s="1"/>
  <c r="GI68" i="35"/>
  <c r="GW68" i="35" s="1"/>
  <c r="HC68" i="35" s="1"/>
  <c r="GI67" i="35"/>
  <c r="GW67" i="35" s="1"/>
  <c r="HC67" i="35" s="1"/>
  <c r="GI66" i="35"/>
  <c r="GW66" i="35" s="1"/>
  <c r="HC66" i="35" s="1"/>
  <c r="GI65" i="35"/>
  <c r="GW65" i="35" s="1"/>
  <c r="HC65" i="35" s="1"/>
  <c r="GI64" i="35"/>
  <c r="GW64" i="35" s="1"/>
  <c r="HC64" i="35" s="1"/>
  <c r="GI63" i="35"/>
  <c r="GW63" i="35" s="1"/>
  <c r="HC63" i="35" s="1"/>
  <c r="GI62" i="35"/>
  <c r="GW62" i="35" s="1"/>
  <c r="HC62" i="35" s="1"/>
  <c r="GI61" i="35"/>
  <c r="GW61" i="35" s="1"/>
  <c r="HC61" i="35" s="1"/>
  <c r="GI60" i="35"/>
  <c r="GW60" i="35" s="1"/>
  <c r="HC60" i="35" s="1"/>
  <c r="GI59" i="35"/>
  <c r="GW59" i="35" s="1"/>
  <c r="HC59" i="35" s="1"/>
  <c r="GI58" i="35"/>
  <c r="GW58" i="35" s="1"/>
  <c r="HC58" i="35" s="1"/>
  <c r="GI57" i="35"/>
  <c r="GW57" i="35" s="1"/>
  <c r="HC57" i="35" s="1"/>
  <c r="GI56" i="35"/>
  <c r="GW56" i="35" s="1"/>
  <c r="HC56" i="35" s="1"/>
  <c r="GI55" i="35"/>
  <c r="GW55" i="35" s="1"/>
  <c r="HC55" i="35" s="1"/>
  <c r="GI54" i="35"/>
  <c r="GW54" i="35" s="1"/>
  <c r="HC54" i="35" s="1"/>
  <c r="GI53" i="35"/>
  <c r="GW53" i="35" s="1"/>
  <c r="HC53" i="35" s="1"/>
  <c r="GI52" i="35"/>
  <c r="GW52" i="35" s="1"/>
  <c r="HC52" i="35" s="1"/>
  <c r="GI51" i="35"/>
  <c r="GW51" i="35" s="1"/>
  <c r="HC51" i="35" s="1"/>
  <c r="GI50" i="35"/>
  <c r="GW50" i="35" s="1"/>
  <c r="HC50" i="35" s="1"/>
  <c r="GI49" i="35"/>
  <c r="GW49" i="35" s="1"/>
  <c r="HC49" i="35" s="1"/>
  <c r="GI48" i="35"/>
  <c r="GW48" i="35" s="1"/>
  <c r="HC48" i="35" s="1"/>
  <c r="GI47" i="35"/>
  <c r="GW47" i="35" s="1"/>
  <c r="HC47" i="35" s="1"/>
  <c r="GI46" i="35"/>
  <c r="GW46" i="35" s="1"/>
  <c r="HC46" i="35" s="1"/>
  <c r="GI45" i="35"/>
  <c r="GW45" i="35" s="1"/>
  <c r="HC45" i="35" s="1"/>
  <c r="GI44" i="35"/>
  <c r="GW44" i="35" s="1"/>
  <c r="HC44" i="35" s="1"/>
  <c r="GI43" i="35"/>
  <c r="GW43" i="35" s="1"/>
  <c r="HC43" i="35" s="1"/>
  <c r="GI42" i="35"/>
  <c r="GW42" i="35" s="1"/>
  <c r="HC42" i="35" s="1"/>
  <c r="GI41" i="35"/>
  <c r="GW41" i="35" s="1"/>
  <c r="HC41" i="35" s="1"/>
  <c r="GI40" i="35"/>
  <c r="GW40" i="35" s="1"/>
  <c r="HC40" i="35" s="1"/>
  <c r="GI39" i="35"/>
  <c r="GW39" i="35" s="1"/>
  <c r="HC39" i="35" s="1"/>
  <c r="GI38" i="35"/>
  <c r="GW38" i="35" s="1"/>
  <c r="HC38" i="35" s="1"/>
  <c r="GI37" i="35"/>
  <c r="GW37" i="35" s="1"/>
  <c r="HC37" i="35" s="1"/>
  <c r="GI36" i="35"/>
  <c r="GW36" i="35" s="1"/>
  <c r="HC36" i="35" s="1"/>
  <c r="GI35" i="35"/>
  <c r="GW35" i="35" s="1"/>
  <c r="HC35" i="35" s="1"/>
  <c r="GI34" i="35"/>
  <c r="GW34" i="35" s="1"/>
  <c r="HC34" i="35" s="1"/>
  <c r="GI33" i="35"/>
  <c r="GW33" i="35" s="1"/>
  <c r="HC33" i="35" s="1"/>
  <c r="GI31" i="35"/>
  <c r="GW31" i="35" s="1"/>
  <c r="HC31" i="35" s="1"/>
  <c r="GI30" i="35"/>
  <c r="GW30" i="35" s="1"/>
  <c r="HC30" i="35" s="1"/>
  <c r="GI29" i="35"/>
  <c r="GW29" i="35" s="1"/>
  <c r="HC29" i="35" s="1"/>
  <c r="GI28" i="35"/>
  <c r="GW28" i="35" s="1"/>
  <c r="HC28" i="35" s="1"/>
  <c r="GI27" i="35"/>
  <c r="GW27" i="35" s="1"/>
  <c r="HC27" i="35" s="1"/>
  <c r="GI26" i="35"/>
  <c r="GW26" i="35" s="1"/>
  <c r="HC26" i="35" s="1"/>
  <c r="GI25" i="35"/>
  <c r="GW25" i="35" s="1"/>
  <c r="HC25" i="35" s="1"/>
  <c r="GI24" i="35"/>
  <c r="GW24" i="35" s="1"/>
  <c r="HC24" i="35" s="1"/>
  <c r="GI23" i="35"/>
  <c r="GW23" i="35" s="1"/>
  <c r="HC23" i="35" s="1"/>
  <c r="GI22" i="35"/>
  <c r="GW22" i="35" s="1"/>
  <c r="HC22" i="35" s="1"/>
  <c r="GI21" i="35"/>
  <c r="GW21" i="35" s="1"/>
  <c r="HC21" i="35" s="1"/>
  <c r="GI20" i="35"/>
  <c r="GW20" i="35" s="1"/>
  <c r="HC20" i="35" s="1"/>
  <c r="GI19" i="35"/>
  <c r="GW19" i="35" s="1"/>
  <c r="HC19" i="35" s="1"/>
  <c r="GI18" i="35"/>
  <c r="GW18" i="35" s="1"/>
  <c r="HC18" i="35" s="1"/>
  <c r="GI17" i="35"/>
  <c r="GW17" i="35" s="1"/>
  <c r="HC17" i="35" s="1"/>
  <c r="GI16" i="35"/>
  <c r="GW16" i="35" s="1"/>
  <c r="HC16" i="35" s="1"/>
  <c r="GI15" i="35"/>
  <c r="GW15" i="35" s="1"/>
  <c r="HC15" i="35" s="1"/>
  <c r="GI14" i="35"/>
  <c r="GW14" i="35" s="1"/>
  <c r="HC14" i="35" s="1"/>
  <c r="GI13" i="35"/>
  <c r="GW13" i="35" s="1"/>
  <c r="HC13" i="35" s="1"/>
  <c r="GI12" i="35"/>
  <c r="GW12" i="35" s="1"/>
  <c r="HC12" i="35" s="1"/>
  <c r="GI11" i="35"/>
  <c r="GW11" i="35" s="1"/>
  <c r="HC11" i="35" s="1"/>
  <c r="GI10" i="35"/>
  <c r="GW10" i="35" s="1"/>
  <c r="HC10" i="35" s="1"/>
  <c r="GI9" i="35"/>
  <c r="GW9" i="35" s="1"/>
  <c r="HC9" i="35" s="1"/>
  <c r="GI8" i="35"/>
  <c r="GW8" i="35" s="1"/>
  <c r="HC8" i="35" s="1"/>
  <c r="GI7" i="35"/>
  <c r="GW7" i="35" s="1"/>
  <c r="HC7" i="35" s="1"/>
  <c r="GI6" i="35"/>
  <c r="GW6" i="35" s="1"/>
  <c r="GJ6" i="35"/>
  <c r="GX6" i="35" s="1"/>
  <c r="GK6" i="35"/>
  <c r="GY6" i="35" s="1"/>
  <c r="GL6" i="35"/>
  <c r="GZ6" i="35" s="1"/>
  <c r="GM6" i="35"/>
  <c r="HA6" i="35" s="1"/>
  <c r="GN6" i="35"/>
  <c r="HB6" i="35" s="1"/>
  <c r="GO6" i="35"/>
  <c r="HC6" i="35" s="1"/>
  <c r="GP6" i="35"/>
  <c r="HD6" i="35" s="1"/>
  <c r="GQ6" i="35"/>
  <c r="HE6" i="35" s="1"/>
  <c r="GR6" i="35"/>
  <c r="HF6" i="35" s="1"/>
  <c r="GS6" i="35"/>
  <c r="HG6" i="35" s="1"/>
  <c r="GT6" i="35"/>
  <c r="HH6" i="35" s="1"/>
  <c r="GH6" i="35"/>
  <c r="GV6" i="35" s="1"/>
  <c r="B33" i="39" l="1"/>
  <c r="K29" i="39"/>
  <c r="K41" i="39"/>
  <c r="K53" i="39"/>
  <c r="K65" i="39"/>
  <c r="P83" i="39"/>
  <c r="K83" i="39"/>
  <c r="F69" i="39"/>
  <c r="B69" i="39"/>
  <c r="G62" i="39"/>
  <c r="D62" i="39"/>
  <c r="B62" i="39"/>
  <c r="G60" i="39"/>
  <c r="D60" i="39"/>
  <c r="B60" i="39"/>
  <c r="G58" i="39"/>
  <c r="D58" i="39"/>
  <c r="B58" i="39"/>
  <c r="G56" i="39"/>
  <c r="D56" i="39"/>
  <c r="B56" i="39"/>
  <c r="G54" i="39"/>
  <c r="D54" i="39"/>
  <c r="B54" i="39"/>
  <c r="G52" i="39"/>
  <c r="D52" i="39"/>
  <c r="B52" i="39"/>
  <c r="B45" i="39"/>
  <c r="B44" i="39"/>
  <c r="C43" i="39"/>
  <c r="D43" i="39" s="1"/>
  <c r="C42" i="39"/>
  <c r="D42" i="39" s="1"/>
  <c r="C41" i="39"/>
  <c r="D41" i="39" s="1"/>
  <c r="C40" i="39"/>
  <c r="D40" i="39" s="1"/>
  <c r="E12" i="39"/>
  <c r="N12" i="39" s="1"/>
  <c r="X12" i="39" s="1"/>
  <c r="N9" i="39"/>
  <c r="X9" i="39" s="1"/>
  <c r="E9" i="39"/>
  <c r="G7" i="39"/>
  <c r="E7" i="39"/>
  <c r="N7" i="39" s="1"/>
  <c r="X7" i="39" s="1"/>
  <c r="E6" i="39"/>
  <c r="N6" i="39" s="1"/>
  <c r="X6" i="39" s="1"/>
  <c r="C1" i="39"/>
  <c r="L1" i="39" s="1"/>
  <c r="U1" i="39" s="1"/>
  <c r="M17" i="39" l="1"/>
  <c r="K68" i="38"/>
  <c r="K69" i="38"/>
  <c r="K70" i="38"/>
  <c r="K71" i="38"/>
  <c r="K72" i="38"/>
  <c r="K73" i="38"/>
  <c r="K74" i="38"/>
  <c r="M68" i="38"/>
  <c r="M69" i="38"/>
  <c r="M70" i="38"/>
  <c r="M71" i="38"/>
  <c r="M72" i="38"/>
  <c r="M73" i="38"/>
  <c r="M74" i="38"/>
  <c r="F71" i="38"/>
  <c r="B71" i="38"/>
  <c r="O82" i="38"/>
  <c r="K82" i="38"/>
  <c r="G59" i="38"/>
  <c r="D59" i="38"/>
  <c r="B59" i="38"/>
  <c r="G57" i="38"/>
  <c r="D57" i="38"/>
  <c r="B57" i="38"/>
  <c r="G55" i="38"/>
  <c r="D55" i="38"/>
  <c r="B55" i="38"/>
  <c r="G53" i="38"/>
  <c r="D53" i="38"/>
  <c r="B53" i="38"/>
  <c r="G51" i="38"/>
  <c r="D51" i="38"/>
  <c r="B51" i="38"/>
  <c r="G49" i="38"/>
  <c r="D49" i="38"/>
  <c r="B49" i="38"/>
  <c r="D40" i="38"/>
  <c r="D39" i="38"/>
  <c r="D38" i="38"/>
  <c r="D37" i="38"/>
  <c r="E32" i="38"/>
  <c r="N12" i="38"/>
  <c r="E9" i="38"/>
  <c r="N9" i="38" s="1"/>
  <c r="D1" i="38"/>
  <c r="M70" i="24" l="1"/>
  <c r="K70" i="24"/>
  <c r="K72" i="24"/>
  <c r="M65" i="24"/>
  <c r="M68" i="24"/>
  <c r="M69" i="24"/>
  <c r="M71" i="24"/>
  <c r="M72" i="24"/>
  <c r="K68" i="24"/>
  <c r="K69" i="24"/>
  <c r="M70" i="23"/>
  <c r="K70" i="23"/>
  <c r="M69" i="23"/>
  <c r="K69" i="23"/>
  <c r="M68" i="23"/>
  <c r="K68" i="23"/>
  <c r="M62" i="23"/>
  <c r="K62" i="23"/>
  <c r="M61" i="23"/>
  <c r="K61" i="23"/>
  <c r="M60" i="23"/>
  <c r="K60" i="23"/>
  <c r="M59" i="23"/>
  <c r="K59" i="23"/>
  <c r="M58" i="23"/>
  <c r="K58" i="23"/>
  <c r="M57" i="23"/>
  <c r="K57" i="23"/>
  <c r="M56" i="23"/>
  <c r="K56" i="23"/>
  <c r="M66" i="23"/>
  <c r="K66" i="23"/>
  <c r="M65" i="23"/>
  <c r="K65" i="23"/>
  <c r="M64" i="23"/>
  <c r="K64" i="23"/>
  <c r="M63" i="23"/>
  <c r="K63" i="23"/>
  <c r="M71" i="23"/>
  <c r="K71" i="23"/>
  <c r="M67" i="23"/>
  <c r="K67" i="23"/>
  <c r="M72" i="32"/>
  <c r="M73" i="32"/>
  <c r="K72" i="32"/>
  <c r="K73" i="32"/>
  <c r="K71" i="24" l="1"/>
  <c r="M58" i="32"/>
  <c r="K59" i="32"/>
  <c r="K58" i="32"/>
  <c r="M59" i="32" l="1"/>
  <c r="K60" i="32" l="1"/>
  <c r="M60" i="32"/>
  <c r="FF11" i="35"/>
  <c r="FF12" i="35" l="1"/>
  <c r="M61" i="32"/>
  <c r="K61" i="32"/>
  <c r="FG11" i="35"/>
  <c r="FG12" i="35" l="1"/>
  <c r="FF13" i="35"/>
  <c r="K62" i="32"/>
  <c r="M62" i="32"/>
  <c r="FF14" i="35" l="1"/>
  <c r="FG13" i="35"/>
  <c r="M63" i="32"/>
  <c r="K63" i="32"/>
  <c r="FG10" i="35"/>
  <c r="FG9" i="35"/>
  <c r="FG14" i="35" l="1"/>
  <c r="FF15" i="35"/>
  <c r="K64" i="32"/>
  <c r="M64" i="32"/>
  <c r="FO378" i="35"/>
  <c r="FO377" i="35"/>
  <c r="FO376" i="35"/>
  <c r="FO375" i="35"/>
  <c r="FO374" i="35"/>
  <c r="FO373" i="35"/>
  <c r="FO370" i="35"/>
  <c r="FO369" i="35"/>
  <c r="FO367" i="35"/>
  <c r="FO366" i="35"/>
  <c r="FO365" i="35"/>
  <c r="FO363" i="35"/>
  <c r="FO362" i="35"/>
  <c r="FO361" i="35"/>
  <c r="FO360" i="35"/>
  <c r="FO359" i="35"/>
  <c r="FO358" i="35"/>
  <c r="FO357" i="35"/>
  <c r="FO356" i="35"/>
  <c r="FO355" i="35"/>
  <c r="FO354" i="35"/>
  <c r="FO353" i="35"/>
  <c r="FO352" i="35"/>
  <c r="FO351" i="35"/>
  <c r="FO350" i="35"/>
  <c r="FO347" i="35"/>
  <c r="FO346" i="35"/>
  <c r="FO345" i="35"/>
  <c r="FO344" i="35"/>
  <c r="FO343" i="35"/>
  <c r="FO342" i="35"/>
  <c r="FO336" i="35"/>
  <c r="FO334" i="35"/>
  <c r="FO332" i="35"/>
  <c r="FO331" i="35"/>
  <c r="FO330" i="35"/>
  <c r="FO329" i="35"/>
  <c r="FO328" i="35"/>
  <c r="FO326" i="35"/>
  <c r="FO325" i="35"/>
  <c r="FO324" i="35"/>
  <c r="FO323" i="35"/>
  <c r="FO316" i="35"/>
  <c r="FO315" i="35"/>
  <c r="FO312" i="35"/>
  <c r="FO311" i="35"/>
  <c r="FO308" i="35"/>
  <c r="FO307" i="35"/>
  <c r="FO301" i="35"/>
  <c r="FO300" i="35"/>
  <c r="FO298" i="35"/>
  <c r="FO297" i="35"/>
  <c r="FO296" i="35"/>
  <c r="FO295" i="35"/>
  <c r="FO285" i="35"/>
  <c r="FO284" i="35"/>
  <c r="FO283" i="35"/>
  <c r="FO282" i="35"/>
  <c r="FO281" i="35"/>
  <c r="FO275" i="35"/>
  <c r="FO270" i="35"/>
  <c r="FO269" i="35"/>
  <c r="FO268" i="35"/>
  <c r="FO267" i="35"/>
  <c r="FO266" i="35"/>
  <c r="FO265" i="35"/>
  <c r="FO264" i="35"/>
  <c r="FO253" i="35"/>
  <c r="FO252" i="35"/>
  <c r="FO251" i="35"/>
  <c r="FO250" i="35"/>
  <c r="FO249" i="35"/>
  <c r="FO237" i="35"/>
  <c r="FO236" i="35"/>
  <c r="FO235" i="35"/>
  <c r="FO234" i="35"/>
  <c r="FO233" i="35"/>
  <c r="FO223" i="35"/>
  <c r="FO222" i="35"/>
  <c r="FO221" i="35"/>
  <c r="FO220" i="35"/>
  <c r="FO208" i="35"/>
  <c r="FO207" i="35"/>
  <c r="FO206" i="35"/>
  <c r="FO205" i="35"/>
  <c r="FO204" i="35"/>
  <c r="FO203" i="35"/>
  <c r="FO202" i="35"/>
  <c r="FO192" i="35"/>
  <c r="FO191" i="35"/>
  <c r="FO190" i="35"/>
  <c r="FO172" i="35"/>
  <c r="FO169" i="35"/>
  <c r="FO156" i="35"/>
  <c r="FO139" i="35"/>
  <c r="FO114" i="35"/>
  <c r="FO97" i="35"/>
  <c r="FO96" i="35"/>
  <c r="FO89" i="35"/>
  <c r="FO79" i="35"/>
  <c r="FG15" i="35" l="1"/>
  <c r="FF16" i="35"/>
  <c r="M65" i="32"/>
  <c r="K65" i="32"/>
  <c r="GA5" i="35"/>
  <c r="GA370" i="35" s="1"/>
  <c r="GA241" i="35"/>
  <c r="GA168" i="35"/>
  <c r="GA104" i="35"/>
  <c r="GA72" i="35"/>
  <c r="FS272" i="35"/>
  <c r="FS164" i="35"/>
  <c r="FS36" i="35"/>
  <c r="FO372" i="35"/>
  <c r="FO371" i="35"/>
  <c r="FO368" i="35"/>
  <c r="FO364" i="35"/>
  <c r="FO349" i="35"/>
  <c r="FO348" i="35"/>
  <c r="FO341" i="35"/>
  <c r="FO340" i="35"/>
  <c r="FO339" i="35"/>
  <c r="FO338" i="35"/>
  <c r="FO337" i="35"/>
  <c r="FO335" i="35"/>
  <c r="FO333" i="35"/>
  <c r="FO327" i="35"/>
  <c r="FO322" i="35"/>
  <c r="FO321" i="35"/>
  <c r="FO320" i="35"/>
  <c r="FO319" i="35"/>
  <c r="FO318" i="35"/>
  <c r="FO317" i="35"/>
  <c r="FO314" i="35"/>
  <c r="FO313" i="35"/>
  <c r="FO310" i="35"/>
  <c r="FO309" i="35"/>
  <c r="FO306" i="35"/>
  <c r="FO305" i="35"/>
  <c r="FO304" i="35"/>
  <c r="FO303" i="35"/>
  <c r="FO302" i="35"/>
  <c r="FO299" i="35"/>
  <c r="FO294" i="35"/>
  <c r="FO293" i="35"/>
  <c r="FO292" i="35"/>
  <c r="FO291" i="35"/>
  <c r="FO290" i="35"/>
  <c r="FO289" i="35"/>
  <c r="FO288" i="35"/>
  <c r="FO287" i="35"/>
  <c r="FO286" i="35"/>
  <c r="FO280" i="35"/>
  <c r="FO279" i="35"/>
  <c r="FO278" i="35"/>
  <c r="FO277" i="35"/>
  <c r="FO276" i="35"/>
  <c r="FO274" i="35"/>
  <c r="FO273" i="35"/>
  <c r="FO272" i="35"/>
  <c r="FO271" i="35"/>
  <c r="FO263" i="35"/>
  <c r="FO262" i="35"/>
  <c r="FO261" i="35"/>
  <c r="FO260" i="35"/>
  <c r="FO259" i="35"/>
  <c r="FO258" i="35"/>
  <c r="FO257" i="35"/>
  <c r="FO256" i="35"/>
  <c r="FO255" i="35"/>
  <c r="FO254" i="35"/>
  <c r="FO248" i="35"/>
  <c r="FO247" i="35"/>
  <c r="FO246" i="35"/>
  <c r="FO245" i="35"/>
  <c r="FO244" i="35"/>
  <c r="FO243" i="35"/>
  <c r="FO242" i="35"/>
  <c r="FO241" i="35"/>
  <c r="FO240" i="35"/>
  <c r="FO239" i="35"/>
  <c r="FO238" i="35"/>
  <c r="FO232" i="35"/>
  <c r="FO231" i="35"/>
  <c r="FO230" i="35"/>
  <c r="FO229" i="35"/>
  <c r="FO228" i="35"/>
  <c r="FO227" i="35"/>
  <c r="FO226" i="35"/>
  <c r="FO225" i="35"/>
  <c r="FO224" i="35"/>
  <c r="FO219" i="35"/>
  <c r="FO218" i="35"/>
  <c r="FO217" i="35"/>
  <c r="FO216" i="35"/>
  <c r="FO215" i="35"/>
  <c r="FO214" i="35"/>
  <c r="FO213" i="35"/>
  <c r="FO212" i="35"/>
  <c r="FO211" i="35"/>
  <c r="FO210" i="35"/>
  <c r="FO209" i="35"/>
  <c r="FO201" i="35"/>
  <c r="FO200" i="35"/>
  <c r="FO199" i="35"/>
  <c r="FO198" i="35"/>
  <c r="FO197" i="35"/>
  <c r="FO196" i="35"/>
  <c r="FO195" i="35"/>
  <c r="FO194" i="35"/>
  <c r="FO193" i="35"/>
  <c r="FO189" i="35"/>
  <c r="FO188" i="35"/>
  <c r="FO187" i="35"/>
  <c r="FO186" i="35"/>
  <c r="FO185" i="35"/>
  <c r="FO184" i="35"/>
  <c r="FO183" i="35"/>
  <c r="FO182" i="35"/>
  <c r="FO181" i="35"/>
  <c r="FO180" i="35"/>
  <c r="FO179" i="35"/>
  <c r="FO178" i="35"/>
  <c r="FO177" i="35"/>
  <c r="FO176" i="35"/>
  <c r="FO175" i="35"/>
  <c r="FO174" i="35"/>
  <c r="FO173" i="35"/>
  <c r="FO171" i="35"/>
  <c r="FO170" i="35"/>
  <c r="FO168" i="35"/>
  <c r="FO167" i="35"/>
  <c r="FO166" i="35"/>
  <c r="FO165" i="35"/>
  <c r="FO164" i="35"/>
  <c r="FO163" i="35"/>
  <c r="FO162" i="35"/>
  <c r="FO161" i="35"/>
  <c r="FO160" i="35"/>
  <c r="FO159" i="35"/>
  <c r="FO158" i="35"/>
  <c r="FO157" i="35"/>
  <c r="FO155" i="35"/>
  <c r="FO154" i="35"/>
  <c r="FO153" i="35"/>
  <c r="FO152" i="35"/>
  <c r="FO151" i="35"/>
  <c r="FO150" i="35"/>
  <c r="FO149" i="35"/>
  <c r="FO148" i="35"/>
  <c r="FO147" i="35"/>
  <c r="FO146" i="35"/>
  <c r="FO145" i="35"/>
  <c r="FO144" i="35"/>
  <c r="FO143" i="35"/>
  <c r="FO142" i="35"/>
  <c r="FO141" i="35"/>
  <c r="FO140" i="35"/>
  <c r="FO138" i="35"/>
  <c r="FO137" i="35"/>
  <c r="FO136" i="35"/>
  <c r="FO135" i="35"/>
  <c r="FO134" i="35"/>
  <c r="FO133" i="35"/>
  <c r="FO132" i="35"/>
  <c r="FO131" i="35"/>
  <c r="FO130" i="35"/>
  <c r="FO129" i="35"/>
  <c r="FO128" i="35"/>
  <c r="FO127" i="35"/>
  <c r="FO126" i="35"/>
  <c r="FO125" i="35"/>
  <c r="FO124" i="35"/>
  <c r="FO123" i="35"/>
  <c r="FO122" i="35"/>
  <c r="FO121" i="35"/>
  <c r="FO120" i="35"/>
  <c r="FO119" i="35"/>
  <c r="FO118" i="35"/>
  <c r="FO117" i="35"/>
  <c r="FO116" i="35"/>
  <c r="FO115" i="35"/>
  <c r="FO113" i="35"/>
  <c r="FO112" i="35"/>
  <c r="FO111" i="35"/>
  <c r="FO110" i="35"/>
  <c r="FO109" i="35"/>
  <c r="FO108" i="35"/>
  <c r="FO107" i="35"/>
  <c r="FO106" i="35"/>
  <c r="FO105" i="35"/>
  <c r="FO104" i="35"/>
  <c r="FO103" i="35"/>
  <c r="FO102" i="35"/>
  <c r="FO101" i="35"/>
  <c r="FO100" i="35"/>
  <c r="FO99" i="35"/>
  <c r="FO98" i="35"/>
  <c r="FO95" i="35"/>
  <c r="FO94" i="35"/>
  <c r="FO93" i="35"/>
  <c r="FO92" i="35"/>
  <c r="FO91" i="35"/>
  <c r="FO90" i="35"/>
  <c r="FO88" i="35"/>
  <c r="FO87" i="35"/>
  <c r="FO86" i="35"/>
  <c r="FO85" i="35"/>
  <c r="FO84" i="35"/>
  <c r="FO83" i="35"/>
  <c r="FO82" i="35"/>
  <c r="FO81" i="35"/>
  <c r="FO80" i="35"/>
  <c r="FO78" i="35"/>
  <c r="FO77" i="35"/>
  <c r="FO76" i="35"/>
  <c r="FO75" i="35"/>
  <c r="FO74" i="35"/>
  <c r="FO73" i="35"/>
  <c r="FO72" i="35"/>
  <c r="FO71" i="35"/>
  <c r="FO70" i="35"/>
  <c r="FO69" i="35"/>
  <c r="FO68" i="35"/>
  <c r="FO67" i="35"/>
  <c r="FO66" i="35"/>
  <c r="FO65" i="35"/>
  <c r="FO64" i="35"/>
  <c r="FO63" i="35"/>
  <c r="FO62" i="35"/>
  <c r="FO61" i="35"/>
  <c r="FO60" i="35"/>
  <c r="FO59" i="35"/>
  <c r="FO58" i="35"/>
  <c r="FO57" i="35"/>
  <c r="FO56" i="35"/>
  <c r="FO55" i="35"/>
  <c r="FO54" i="35"/>
  <c r="FO53" i="35"/>
  <c r="FO52" i="35"/>
  <c r="FO51" i="35"/>
  <c r="FO50" i="35"/>
  <c r="FO49" i="35"/>
  <c r="FO48" i="35"/>
  <c r="FO47" i="35"/>
  <c r="FO46" i="35"/>
  <c r="FO45" i="35"/>
  <c r="FO44" i="35"/>
  <c r="FO43" i="35"/>
  <c r="FO42" i="35"/>
  <c r="FO41" i="35"/>
  <c r="FO40" i="35"/>
  <c r="FO39" i="35"/>
  <c r="FO38" i="35"/>
  <c r="FO37" i="35"/>
  <c r="FO36" i="35"/>
  <c r="FO35" i="35"/>
  <c r="FO34" i="35"/>
  <c r="FO33" i="35"/>
  <c r="FO32" i="35"/>
  <c r="FO31" i="35"/>
  <c r="FO30" i="35"/>
  <c r="FO29" i="35"/>
  <c r="FO28" i="35"/>
  <c r="FO27" i="35"/>
  <c r="FO26" i="35"/>
  <c r="FO25" i="35"/>
  <c r="FO24" i="35"/>
  <c r="FO23" i="35"/>
  <c r="FO22" i="35"/>
  <c r="FO21" i="35"/>
  <c r="FO20" i="35"/>
  <c r="FO19" i="35"/>
  <c r="FO18" i="35"/>
  <c r="FO17" i="35"/>
  <c r="FO16" i="35"/>
  <c r="FO15" i="35"/>
  <c r="FO14" i="35"/>
  <c r="FO13" i="35"/>
  <c r="FO12" i="35"/>
  <c r="FO11" i="35"/>
  <c r="FO10" i="35"/>
  <c r="FO9" i="35"/>
  <c r="FO8" i="35"/>
  <c r="FO7" i="35"/>
  <c r="FF17" i="35" l="1"/>
  <c r="FG16" i="35"/>
  <c r="GA204" i="35"/>
  <c r="GA9" i="35"/>
  <c r="GA277" i="35"/>
  <c r="GA40" i="35"/>
  <c r="GA324" i="35"/>
  <c r="GA378" i="35"/>
  <c r="GA136" i="35"/>
  <c r="M66" i="32"/>
  <c r="K66" i="32"/>
  <c r="GA10" i="35"/>
  <c r="GA41" i="35"/>
  <c r="GA73" i="35"/>
  <c r="GA105" i="35"/>
  <c r="GA137" i="35"/>
  <c r="GA169" i="35"/>
  <c r="GA205" i="35"/>
  <c r="GA242" i="35"/>
  <c r="GA279" i="35"/>
  <c r="GA332" i="35"/>
  <c r="GA374" i="35"/>
  <c r="GA16" i="35"/>
  <c r="GA48" i="35"/>
  <c r="GA80" i="35"/>
  <c r="GA112" i="35"/>
  <c r="GA144" i="35"/>
  <c r="GA177" i="35"/>
  <c r="GA213" i="35"/>
  <c r="GA250" i="35"/>
  <c r="GA287" i="35"/>
  <c r="GA333" i="35"/>
  <c r="GA17" i="35"/>
  <c r="GA49" i="35"/>
  <c r="GA81" i="35"/>
  <c r="GA113" i="35"/>
  <c r="GA145" i="35"/>
  <c r="GA178" i="35"/>
  <c r="GA215" i="35"/>
  <c r="GA251" i="35"/>
  <c r="GA288" i="35"/>
  <c r="GA341" i="35"/>
  <c r="GA24" i="35"/>
  <c r="GA56" i="35"/>
  <c r="GA88" i="35"/>
  <c r="GA120" i="35"/>
  <c r="GA152" i="35"/>
  <c r="GA186" i="35"/>
  <c r="GA223" i="35"/>
  <c r="GA259" i="35"/>
  <c r="GA296" i="35"/>
  <c r="GA343" i="35"/>
  <c r="GA25" i="35"/>
  <c r="GA57" i="35"/>
  <c r="GA89" i="35"/>
  <c r="GA121" i="35"/>
  <c r="GA153" i="35"/>
  <c r="GA187" i="35"/>
  <c r="GA224" i="35"/>
  <c r="GA260" i="35"/>
  <c r="GA297" i="35"/>
  <c r="GA361" i="35"/>
  <c r="GA360" i="35"/>
  <c r="GA64" i="35"/>
  <c r="GA160" i="35"/>
  <c r="GA232" i="35"/>
  <c r="GA305" i="35"/>
  <c r="GA369" i="35"/>
  <c r="GA7" i="35"/>
  <c r="GA32" i="35"/>
  <c r="GA96" i="35"/>
  <c r="GA128" i="35"/>
  <c r="GA195" i="35"/>
  <c r="GA268" i="35"/>
  <c r="GA8" i="35"/>
  <c r="GA33" i="35"/>
  <c r="GA65" i="35"/>
  <c r="GA97" i="35"/>
  <c r="GA129" i="35"/>
  <c r="GA161" i="35"/>
  <c r="GA196" i="35"/>
  <c r="GA233" i="35"/>
  <c r="GA269" i="35"/>
  <c r="GA306" i="35"/>
  <c r="GA314" i="35"/>
  <c r="GA351" i="35"/>
  <c r="GA315" i="35"/>
  <c r="GA352" i="35"/>
  <c r="GA323" i="35"/>
  <c r="GA377" i="35"/>
  <c r="GA368" i="35"/>
  <c r="GA359" i="35"/>
  <c r="GA349" i="35"/>
  <c r="GA340" i="35"/>
  <c r="GA331" i="35"/>
  <c r="GA322" i="35"/>
  <c r="GA313" i="35"/>
  <c r="GA304" i="35"/>
  <c r="GA295" i="35"/>
  <c r="GA285" i="35"/>
  <c r="GA276" i="35"/>
  <c r="GA267" i="35"/>
  <c r="GA258" i="35"/>
  <c r="GA249" i="35"/>
  <c r="GA240" i="35"/>
  <c r="GA231" i="35"/>
  <c r="GA221" i="35"/>
  <c r="GA212" i="35"/>
  <c r="GA203" i="35"/>
  <c r="GA194" i="35"/>
  <c r="GA185" i="35"/>
  <c r="GA176" i="35"/>
  <c r="GA167" i="35"/>
  <c r="GA159" i="35"/>
  <c r="GA151" i="35"/>
  <c r="GA143" i="35"/>
  <c r="GA135" i="35"/>
  <c r="GA127" i="35"/>
  <c r="GA119" i="35"/>
  <c r="GA111" i="35"/>
  <c r="GA103" i="35"/>
  <c r="GA95" i="35"/>
  <c r="GA87" i="35"/>
  <c r="GA79" i="35"/>
  <c r="GA71" i="35"/>
  <c r="GA63" i="35"/>
  <c r="GA55" i="35"/>
  <c r="GA47" i="35"/>
  <c r="GA39" i="35"/>
  <c r="GA31" i="35"/>
  <c r="GA23" i="35"/>
  <c r="GA15" i="35"/>
  <c r="GA376" i="35"/>
  <c r="GA367" i="35"/>
  <c r="GA357" i="35"/>
  <c r="GA348" i="35"/>
  <c r="GA339" i="35"/>
  <c r="GA330" i="35"/>
  <c r="GA321" i="35"/>
  <c r="GA312" i="35"/>
  <c r="GA303" i="35"/>
  <c r="GA293" i="35"/>
  <c r="GA284" i="35"/>
  <c r="GA275" i="35"/>
  <c r="GA266" i="35"/>
  <c r="GA257" i="35"/>
  <c r="GA248" i="35"/>
  <c r="GA239" i="35"/>
  <c r="GA229" i="35"/>
  <c r="GA220" i="35"/>
  <c r="GA211" i="35"/>
  <c r="GA202" i="35"/>
  <c r="GA193" i="35"/>
  <c r="GA184" i="35"/>
  <c r="GA175" i="35"/>
  <c r="GA166" i="35"/>
  <c r="GA158" i="35"/>
  <c r="GA150" i="35"/>
  <c r="GA142" i="35"/>
  <c r="GA134" i="35"/>
  <c r="GA126" i="35"/>
  <c r="GA118" i="35"/>
  <c r="GA110" i="35"/>
  <c r="GA102" i="35"/>
  <c r="GA94" i="35"/>
  <c r="GA86" i="35"/>
  <c r="GA78" i="35"/>
  <c r="GA70" i="35"/>
  <c r="GA62" i="35"/>
  <c r="GA54" i="35"/>
  <c r="GA46" i="35"/>
  <c r="GA38" i="35"/>
  <c r="GA30" i="35"/>
  <c r="GA22" i="35"/>
  <c r="GA14" i="35"/>
  <c r="GA375" i="35"/>
  <c r="GA365" i="35"/>
  <c r="GA356" i="35"/>
  <c r="GA347" i="35"/>
  <c r="GA338" i="35"/>
  <c r="GA329" i="35"/>
  <c r="GA320" i="35"/>
  <c r="GA311" i="35"/>
  <c r="GA301" i="35"/>
  <c r="GA292" i="35"/>
  <c r="GA283" i="35"/>
  <c r="GA274" i="35"/>
  <c r="GA265" i="35"/>
  <c r="GA256" i="35"/>
  <c r="GA247" i="35"/>
  <c r="GA237" i="35"/>
  <c r="GA228" i="35"/>
  <c r="GA219" i="35"/>
  <c r="GA210" i="35"/>
  <c r="GA201" i="35"/>
  <c r="GA192" i="35"/>
  <c r="GA183" i="35"/>
  <c r="GA173" i="35"/>
  <c r="GA165" i="35"/>
  <c r="GA157" i="35"/>
  <c r="GA149" i="35"/>
  <c r="GA141" i="35"/>
  <c r="GA133" i="35"/>
  <c r="GA125" i="35"/>
  <c r="GA117" i="35"/>
  <c r="GA109" i="35"/>
  <c r="GA101" i="35"/>
  <c r="GA93" i="35"/>
  <c r="GA85" i="35"/>
  <c r="GA77" i="35"/>
  <c r="GA69" i="35"/>
  <c r="GA61" i="35"/>
  <c r="GA53" i="35"/>
  <c r="GA45" i="35"/>
  <c r="GA37" i="35"/>
  <c r="GA29" i="35"/>
  <c r="GA21" i="35"/>
  <c r="GA13" i="35"/>
  <c r="GA373" i="35"/>
  <c r="GA364" i="35"/>
  <c r="GA355" i="35"/>
  <c r="GA346" i="35"/>
  <c r="GA337" i="35"/>
  <c r="GA328" i="35"/>
  <c r="GA319" i="35"/>
  <c r="GA309" i="35"/>
  <c r="GA300" i="35"/>
  <c r="GA291" i="35"/>
  <c r="GA282" i="35"/>
  <c r="GA273" i="35"/>
  <c r="GA264" i="35"/>
  <c r="GA255" i="35"/>
  <c r="GA245" i="35"/>
  <c r="GA236" i="35"/>
  <c r="GA227" i="35"/>
  <c r="GA218" i="35"/>
  <c r="GA209" i="35"/>
  <c r="GA200" i="35"/>
  <c r="GA191" i="35"/>
  <c r="GA181" i="35"/>
  <c r="GA172" i="35"/>
  <c r="GA164" i="35"/>
  <c r="GA156" i="35"/>
  <c r="GA148" i="35"/>
  <c r="GA140" i="35"/>
  <c r="GA132" i="35"/>
  <c r="GA124" i="35"/>
  <c r="GA116" i="35"/>
  <c r="GA108" i="35"/>
  <c r="GA100" i="35"/>
  <c r="GA92" i="35"/>
  <c r="GA84" i="35"/>
  <c r="GA76" i="35"/>
  <c r="GA68" i="35"/>
  <c r="GA60" i="35"/>
  <c r="GA52" i="35"/>
  <c r="GA44" i="35"/>
  <c r="GA36" i="35"/>
  <c r="GA28" i="35"/>
  <c r="GA20" i="35"/>
  <c r="GA12" i="35"/>
  <c r="GA372" i="35"/>
  <c r="GA363" i="35"/>
  <c r="GA354" i="35"/>
  <c r="GA345" i="35"/>
  <c r="GA336" i="35"/>
  <c r="GA327" i="35"/>
  <c r="GA317" i="35"/>
  <c r="GA308" i="35"/>
  <c r="GA299" i="35"/>
  <c r="GA290" i="35"/>
  <c r="GA281" i="35"/>
  <c r="GA272" i="35"/>
  <c r="GA263" i="35"/>
  <c r="GA253" i="35"/>
  <c r="GA244" i="35"/>
  <c r="GA235" i="35"/>
  <c r="GA226" i="35"/>
  <c r="GA217" i="35"/>
  <c r="GA208" i="35"/>
  <c r="GA199" i="35"/>
  <c r="GA189" i="35"/>
  <c r="GA180" i="35"/>
  <c r="GA171" i="35"/>
  <c r="GA163" i="35"/>
  <c r="GA155" i="35"/>
  <c r="GA147" i="35"/>
  <c r="GA139" i="35"/>
  <c r="GA131" i="35"/>
  <c r="GA123" i="35"/>
  <c r="GA115" i="35"/>
  <c r="GA107" i="35"/>
  <c r="GA99" i="35"/>
  <c r="GA91" i="35"/>
  <c r="GA83" i="35"/>
  <c r="GA75" i="35"/>
  <c r="GA67" i="35"/>
  <c r="GA59" i="35"/>
  <c r="GA51" i="35"/>
  <c r="GA43" i="35"/>
  <c r="GA35" i="35"/>
  <c r="GA27" i="35"/>
  <c r="GA19" i="35"/>
  <c r="GA11" i="35"/>
  <c r="GA371" i="35"/>
  <c r="GA362" i="35"/>
  <c r="GA353" i="35"/>
  <c r="GA344" i="35"/>
  <c r="GA335" i="35"/>
  <c r="GA325" i="35"/>
  <c r="GA316" i="35"/>
  <c r="GA307" i="35"/>
  <c r="GA298" i="35"/>
  <c r="GA289" i="35"/>
  <c r="GA280" i="35"/>
  <c r="GA271" i="35"/>
  <c r="GA261" i="35"/>
  <c r="GA252" i="35"/>
  <c r="GA243" i="35"/>
  <c r="GA234" i="35"/>
  <c r="GA225" i="35"/>
  <c r="GA216" i="35"/>
  <c r="GA207" i="35"/>
  <c r="GA197" i="35"/>
  <c r="GA188" i="35"/>
  <c r="GA179" i="35"/>
  <c r="GA170" i="35"/>
  <c r="GA162" i="35"/>
  <c r="GA154" i="35"/>
  <c r="GA146" i="35"/>
  <c r="GA138" i="35"/>
  <c r="GA130" i="35"/>
  <c r="GA122" i="35"/>
  <c r="GA114" i="35"/>
  <c r="GA106" i="35"/>
  <c r="GA98" i="35"/>
  <c r="GA90" i="35"/>
  <c r="GA82" i="35"/>
  <c r="GA74" i="35"/>
  <c r="GA66" i="35"/>
  <c r="GA58" i="35"/>
  <c r="GA50" i="35"/>
  <c r="GA42" i="35"/>
  <c r="GA34" i="35"/>
  <c r="GA26" i="35"/>
  <c r="GA18" i="35"/>
  <c r="GA174" i="35"/>
  <c r="GA182" i="35"/>
  <c r="GA190" i="35"/>
  <c r="GA198" i="35"/>
  <c r="GA206" i="35"/>
  <c r="GA214" i="35"/>
  <c r="GA222" i="35"/>
  <c r="GA230" i="35"/>
  <c r="GA238" i="35"/>
  <c r="GA246" i="35"/>
  <c r="GA254" i="35"/>
  <c r="GA262" i="35"/>
  <c r="GA270" i="35"/>
  <c r="GA278" i="35"/>
  <c r="GA286" i="35"/>
  <c r="GA294" i="35"/>
  <c r="GA302" i="35"/>
  <c r="GA310" i="35"/>
  <c r="GA318" i="35"/>
  <c r="GA326" i="35"/>
  <c r="GA334" i="35"/>
  <c r="GA342" i="35"/>
  <c r="GA350" i="35"/>
  <c r="GA358" i="35"/>
  <c r="GA366" i="35"/>
  <c r="FS105" i="35"/>
  <c r="FS242" i="35"/>
  <c r="FS244" i="35"/>
  <c r="FS299" i="35"/>
  <c r="FS41" i="35"/>
  <c r="FS84" i="35"/>
  <c r="FS116" i="35"/>
  <c r="FS162" i="35"/>
  <c r="FS25" i="35"/>
  <c r="FS128" i="35"/>
  <c r="FS315" i="35"/>
  <c r="FS64" i="35"/>
  <c r="FS203" i="35"/>
  <c r="FS80" i="35"/>
  <c r="FS208" i="35"/>
  <c r="FS27" i="35"/>
  <c r="FS66" i="35"/>
  <c r="FS112" i="35"/>
  <c r="FS153" i="35"/>
  <c r="FS192" i="35"/>
  <c r="FS233" i="35"/>
  <c r="FS281" i="35"/>
  <c r="FS34" i="35"/>
  <c r="FS75" i="35"/>
  <c r="FS114" i="35"/>
  <c r="FS155" i="35"/>
  <c r="FS194" i="35"/>
  <c r="FS240" i="35"/>
  <c r="FS297" i="35"/>
  <c r="FS9" i="35"/>
  <c r="FS50" i="35"/>
  <c r="FS89" i="35"/>
  <c r="FS130" i="35"/>
  <c r="FS169" i="35"/>
  <c r="FS212" i="35"/>
  <c r="FS256" i="35"/>
  <c r="FS329" i="35"/>
  <c r="FS11" i="35"/>
  <c r="FS52" i="35"/>
  <c r="FS91" i="35"/>
  <c r="FS137" i="35"/>
  <c r="FS178" i="35"/>
  <c r="FS217" i="35"/>
  <c r="FS265" i="35"/>
  <c r="FS332" i="35"/>
  <c r="FS16" i="35"/>
  <c r="FS59" i="35"/>
  <c r="FS100" i="35"/>
  <c r="FS139" i="35"/>
  <c r="FS180" i="35"/>
  <c r="FS219" i="35"/>
  <c r="FS267" i="35"/>
  <c r="FS376" i="35"/>
  <c r="FS144" i="35"/>
  <c r="FS187" i="35"/>
  <c r="FS228" i="35"/>
  <c r="FS17" i="35"/>
  <c r="FS42" i="35"/>
  <c r="FS67" i="35"/>
  <c r="FS92" i="35"/>
  <c r="FS120" i="35"/>
  <c r="FS145" i="35"/>
  <c r="FS170" i="35"/>
  <c r="FS195" i="35"/>
  <c r="FS220" i="35"/>
  <c r="FS248" i="35"/>
  <c r="FS273" i="35"/>
  <c r="FS300" i="35"/>
  <c r="FS339" i="35"/>
  <c r="FS20" i="35"/>
  <c r="FS48" i="35"/>
  <c r="FS73" i="35"/>
  <c r="FS98" i="35"/>
  <c r="FS123" i="35"/>
  <c r="FS148" i="35"/>
  <c r="FS176" i="35"/>
  <c r="FS201" i="35"/>
  <c r="FS226" i="35"/>
  <c r="FS251" i="35"/>
  <c r="FS276" i="35"/>
  <c r="FS307" i="35"/>
  <c r="FS345" i="35"/>
  <c r="FS313" i="35"/>
  <c r="FS355" i="35"/>
  <c r="FS258" i="35"/>
  <c r="FS283" i="35"/>
  <c r="FS361" i="35"/>
  <c r="FS28" i="35"/>
  <c r="FS56" i="35"/>
  <c r="FS81" i="35"/>
  <c r="FS106" i="35"/>
  <c r="FS131" i="35"/>
  <c r="FS156" i="35"/>
  <c r="FS184" i="35"/>
  <c r="FS209" i="35"/>
  <c r="FS234" i="35"/>
  <c r="FS259" i="35"/>
  <c r="FS284" i="35"/>
  <c r="FS316" i="35"/>
  <c r="FS364" i="35"/>
  <c r="FS291" i="35"/>
  <c r="FS323" i="35"/>
  <c r="FS348" i="35"/>
  <c r="FS18" i="35"/>
  <c r="FS32" i="35"/>
  <c r="FS43" i="35"/>
  <c r="FS57" i="35"/>
  <c r="FS68" i="35"/>
  <c r="FS82" i="35"/>
  <c r="FS96" i="35"/>
  <c r="FS107" i="35"/>
  <c r="FS121" i="35"/>
  <c r="FS132" i="35"/>
  <c r="FS146" i="35"/>
  <c r="FS160" i="35"/>
  <c r="FS171" i="35"/>
  <c r="FS185" i="35"/>
  <c r="FS196" i="35"/>
  <c r="FS210" i="35"/>
  <c r="FS224" i="35"/>
  <c r="FS235" i="35"/>
  <c r="FS249" i="35"/>
  <c r="FS260" i="35"/>
  <c r="FS274" i="35"/>
  <c r="FS289" i="35"/>
  <c r="FS305" i="35"/>
  <c r="FS321" i="35"/>
  <c r="FS337" i="35"/>
  <c r="FS353" i="35"/>
  <c r="FS369" i="35"/>
  <c r="FS8" i="35"/>
  <c r="FS19" i="35"/>
  <c r="FS33" i="35"/>
  <c r="FS44" i="35"/>
  <c r="FS58" i="35"/>
  <c r="FS72" i="35"/>
  <c r="FS83" i="35"/>
  <c r="FS97" i="35"/>
  <c r="FS108" i="35"/>
  <c r="FS122" i="35"/>
  <c r="FS136" i="35"/>
  <c r="FS147" i="35"/>
  <c r="FS161" i="35"/>
  <c r="FS172" i="35"/>
  <c r="FS186" i="35"/>
  <c r="FS200" i="35"/>
  <c r="FS211" i="35"/>
  <c r="FS225" i="35"/>
  <c r="FS236" i="35"/>
  <c r="FS250" i="35"/>
  <c r="FS264" i="35"/>
  <c r="FS275" i="35"/>
  <c r="FS290" i="35"/>
  <c r="FS306" i="35"/>
  <c r="FS322" i="35"/>
  <c r="FS338" i="35"/>
  <c r="FS354" i="35"/>
  <c r="FS370" i="35"/>
  <c r="FS371" i="35"/>
  <c r="FS10" i="35"/>
  <c r="FS24" i="35"/>
  <c r="FS35" i="35"/>
  <c r="FS49" i="35"/>
  <c r="FS60" i="35"/>
  <c r="FS74" i="35"/>
  <c r="FS88" i="35"/>
  <c r="FS99" i="35"/>
  <c r="FS113" i="35"/>
  <c r="FS124" i="35"/>
  <c r="FS138" i="35"/>
  <c r="FS152" i="35"/>
  <c r="FS163" i="35"/>
  <c r="FS177" i="35"/>
  <c r="FS188" i="35"/>
  <c r="FS202" i="35"/>
  <c r="FS216" i="35"/>
  <c r="FS227" i="35"/>
  <c r="FS241" i="35"/>
  <c r="FS252" i="35"/>
  <c r="FS266" i="35"/>
  <c r="FS280" i="35"/>
  <c r="FS292" i="35"/>
  <c r="FS308" i="35"/>
  <c r="FS324" i="35"/>
  <c r="FS340" i="35"/>
  <c r="FS356" i="35"/>
  <c r="FS372" i="35"/>
  <c r="FS377" i="35"/>
  <c r="FS12" i="35"/>
  <c r="FS26" i="35"/>
  <c r="FS40" i="35"/>
  <c r="FS51" i="35"/>
  <c r="FS65" i="35"/>
  <c r="FS76" i="35"/>
  <c r="FS90" i="35"/>
  <c r="FS104" i="35"/>
  <c r="FS115" i="35"/>
  <c r="FS129" i="35"/>
  <c r="FS140" i="35"/>
  <c r="FS154" i="35"/>
  <c r="FS168" i="35"/>
  <c r="FS179" i="35"/>
  <c r="FS193" i="35"/>
  <c r="FS204" i="35"/>
  <c r="FS218" i="35"/>
  <c r="FS232" i="35"/>
  <c r="FS243" i="35"/>
  <c r="FS257" i="35"/>
  <c r="FS268" i="35"/>
  <c r="FS282" i="35"/>
  <c r="FS298" i="35"/>
  <c r="FS314" i="35"/>
  <c r="FS330" i="35"/>
  <c r="FS346" i="35"/>
  <c r="FS362" i="35"/>
  <c r="FS378" i="35"/>
  <c r="FS331" i="35"/>
  <c r="FS347" i="35"/>
  <c r="FS363" i="35"/>
  <c r="FS13" i="35"/>
  <c r="FS21" i="35"/>
  <c r="FS29" i="35"/>
  <c r="FS37" i="35"/>
  <c r="FS45" i="35"/>
  <c r="FS53" i="35"/>
  <c r="FS61" i="35"/>
  <c r="FS69" i="35"/>
  <c r="FS77" i="35"/>
  <c r="FS85" i="35"/>
  <c r="FS93" i="35"/>
  <c r="FS101" i="35"/>
  <c r="FS109" i="35"/>
  <c r="FS117" i="35"/>
  <c r="FS125" i="35"/>
  <c r="FS133" i="35"/>
  <c r="FS141" i="35"/>
  <c r="FS149" i="35"/>
  <c r="FS157" i="35"/>
  <c r="FS165" i="35"/>
  <c r="FS173" i="35"/>
  <c r="FS181" i="35"/>
  <c r="FS189" i="35"/>
  <c r="FS197" i="35"/>
  <c r="FS205" i="35"/>
  <c r="FS213" i="35"/>
  <c r="FS221" i="35"/>
  <c r="FS229" i="35"/>
  <c r="FS237" i="35"/>
  <c r="FS245" i="35"/>
  <c r="FS253" i="35"/>
  <c r="FS261" i="35"/>
  <c r="FS269" i="35"/>
  <c r="FS277" i="35"/>
  <c r="FS285" i="35"/>
  <c r="FS293" i="35"/>
  <c r="FS301" i="35"/>
  <c r="FS309" i="35"/>
  <c r="FS317" i="35"/>
  <c r="FS325" i="35"/>
  <c r="FS333" i="35"/>
  <c r="FS341" i="35"/>
  <c r="FS349" i="35"/>
  <c r="FS357" i="35"/>
  <c r="FS365" i="35"/>
  <c r="FS373" i="35"/>
  <c r="FS14" i="35"/>
  <c r="FS22" i="35"/>
  <c r="FS30" i="35"/>
  <c r="FS38" i="35"/>
  <c r="FS46" i="35"/>
  <c r="FS54" i="35"/>
  <c r="FS62" i="35"/>
  <c r="FS70" i="35"/>
  <c r="FS78" i="35"/>
  <c r="FS86" i="35"/>
  <c r="FS94" i="35"/>
  <c r="FS102" i="35"/>
  <c r="FS110" i="35"/>
  <c r="FS118" i="35"/>
  <c r="FS126" i="35"/>
  <c r="FS134" i="35"/>
  <c r="FS142" i="35"/>
  <c r="FS150" i="35"/>
  <c r="FS158" i="35"/>
  <c r="FS166" i="35"/>
  <c r="FS174" i="35"/>
  <c r="FS182" i="35"/>
  <c r="FS190" i="35"/>
  <c r="FS198" i="35"/>
  <c r="FS206" i="35"/>
  <c r="FS214" i="35"/>
  <c r="FS222" i="35"/>
  <c r="FS230" i="35"/>
  <c r="FS238" i="35"/>
  <c r="FS246" i="35"/>
  <c r="FS254" i="35"/>
  <c r="FS262" i="35"/>
  <c r="FS270" i="35"/>
  <c r="FS278" i="35"/>
  <c r="FS286" i="35"/>
  <c r="FS294" i="35"/>
  <c r="FS302" i="35"/>
  <c r="FS310" i="35"/>
  <c r="FS318" i="35"/>
  <c r="FS326" i="35"/>
  <c r="FS334" i="35"/>
  <c r="FS342" i="35"/>
  <c r="FS350" i="35"/>
  <c r="FS358" i="35"/>
  <c r="FS366" i="35"/>
  <c r="FS374" i="35"/>
  <c r="FS7" i="35"/>
  <c r="FS15" i="35"/>
  <c r="FS23" i="35"/>
  <c r="FS31" i="35"/>
  <c r="FS39" i="35"/>
  <c r="FS47" i="35"/>
  <c r="FS55" i="35"/>
  <c r="FS63" i="35"/>
  <c r="FS71" i="35"/>
  <c r="FS79" i="35"/>
  <c r="FS87" i="35"/>
  <c r="FS95" i="35"/>
  <c r="FS103" i="35"/>
  <c r="FS111" i="35"/>
  <c r="FS119" i="35"/>
  <c r="FS127" i="35"/>
  <c r="FS135" i="35"/>
  <c r="FS143" i="35"/>
  <c r="FS151" i="35"/>
  <c r="FS159" i="35"/>
  <c r="FS167" i="35"/>
  <c r="FS175" i="35"/>
  <c r="FS183" i="35"/>
  <c r="FS191" i="35"/>
  <c r="FS199" i="35"/>
  <c r="FS207" i="35"/>
  <c r="FS215" i="35"/>
  <c r="FS223" i="35"/>
  <c r="FS231" i="35"/>
  <c r="FS239" i="35"/>
  <c r="FS247" i="35"/>
  <c r="FS255" i="35"/>
  <c r="FS263" i="35"/>
  <c r="FS271" i="35"/>
  <c r="FS279" i="35"/>
  <c r="FS287" i="35"/>
  <c r="FS295" i="35"/>
  <c r="FS303" i="35"/>
  <c r="FS311" i="35"/>
  <c r="FS319" i="35"/>
  <c r="FS327" i="35"/>
  <c r="FS335" i="35"/>
  <c r="FS343" i="35"/>
  <c r="FS351" i="35"/>
  <c r="FS359" i="35"/>
  <c r="FS367" i="35"/>
  <c r="FS375" i="35"/>
  <c r="FS288" i="35"/>
  <c r="FS296" i="35"/>
  <c r="FS304" i="35"/>
  <c r="FS312" i="35"/>
  <c r="FS320" i="35"/>
  <c r="FS328" i="35"/>
  <c r="FS336" i="35"/>
  <c r="FS344" i="35"/>
  <c r="FS352" i="35"/>
  <c r="FS360" i="35"/>
  <c r="FS368" i="35"/>
  <c r="B45" i="10"/>
  <c r="B44" i="10"/>
  <c r="C41" i="10"/>
  <c r="C42" i="10"/>
  <c r="C43" i="10"/>
  <c r="C40" i="10"/>
  <c r="B41" i="7"/>
  <c r="B40" i="7"/>
  <c r="C37" i="7"/>
  <c r="C38" i="7"/>
  <c r="C39" i="7"/>
  <c r="C36" i="7"/>
  <c r="B40" i="6"/>
  <c r="B39" i="6"/>
  <c r="C36" i="6"/>
  <c r="C37" i="6"/>
  <c r="C38" i="6"/>
  <c r="C35" i="6"/>
  <c r="B43" i="32"/>
  <c r="B42" i="32"/>
  <c r="C39" i="32"/>
  <c r="C40" i="32"/>
  <c r="C41" i="32"/>
  <c r="C38" i="32"/>
  <c r="B44" i="23"/>
  <c r="B43" i="23"/>
  <c r="C40" i="23"/>
  <c r="C41" i="23"/>
  <c r="C42" i="23"/>
  <c r="C39" i="23"/>
  <c r="B41" i="24"/>
  <c r="B40" i="24"/>
  <c r="C37" i="24"/>
  <c r="C38" i="24"/>
  <c r="C39" i="24"/>
  <c r="C36" i="24"/>
  <c r="FF18" i="35" l="1"/>
  <c r="FG17" i="35"/>
  <c r="K67" i="32"/>
  <c r="M67" i="32"/>
  <c r="DK5" i="35"/>
  <c r="FG8" i="35"/>
  <c r="FG7" i="35"/>
  <c r="FG18" i="35" l="1"/>
  <c r="FF19" i="35"/>
  <c r="M68" i="32"/>
  <c r="K68" i="32"/>
  <c r="DG7" i="35"/>
  <c r="FG19" i="35" l="1"/>
  <c r="FF20" i="35"/>
  <c r="K69" i="32"/>
  <c r="M69" i="32"/>
  <c r="GI202" i="35"/>
  <c r="GW202" i="35" s="1"/>
  <c r="HC202" i="35" s="1"/>
  <c r="GI192" i="35"/>
  <c r="GW192" i="35" s="1"/>
  <c r="HC192" i="35" s="1"/>
  <c r="GI188" i="35"/>
  <c r="GW188" i="35" s="1"/>
  <c r="HC188" i="35" s="1"/>
  <c r="GI186" i="35"/>
  <c r="GW186" i="35" s="1"/>
  <c r="HC186" i="35" s="1"/>
  <c r="GI177" i="35"/>
  <c r="GW177" i="35" s="1"/>
  <c r="HC177" i="35" s="1"/>
  <c r="GI176" i="35"/>
  <c r="GW176" i="35" s="1"/>
  <c r="HC176" i="35" s="1"/>
  <c r="GI175" i="35"/>
  <c r="GW175" i="35" s="1"/>
  <c r="HC175" i="35" s="1"/>
  <c r="GI171" i="35"/>
  <c r="GW171" i="35" s="1"/>
  <c r="HC171" i="35" s="1"/>
  <c r="GI162" i="35"/>
  <c r="GW162" i="35" s="1"/>
  <c r="HC162" i="35" s="1"/>
  <c r="GI161" i="35"/>
  <c r="GW161" i="35" s="1"/>
  <c r="HC161" i="35" s="1"/>
  <c r="GI157" i="35"/>
  <c r="GW157" i="35" s="1"/>
  <c r="HC157" i="35" s="1"/>
  <c r="GI146" i="35"/>
  <c r="GW146" i="35" s="1"/>
  <c r="HC146" i="35" s="1"/>
  <c r="GI145" i="35"/>
  <c r="GW145" i="35" s="1"/>
  <c r="HC145" i="35" s="1"/>
  <c r="GI144" i="35"/>
  <c r="GW144" i="35" s="1"/>
  <c r="HC144" i="35" s="1"/>
  <c r="GI130" i="35"/>
  <c r="GW130" i="35" s="1"/>
  <c r="HC130" i="35" s="1"/>
  <c r="GI126" i="35"/>
  <c r="GW126" i="35" s="1"/>
  <c r="HC126" i="35" s="1"/>
  <c r="GI114" i="35"/>
  <c r="GW114" i="35" s="1"/>
  <c r="HC114" i="35" s="1"/>
  <c r="GI113" i="35"/>
  <c r="GW113" i="35" s="1"/>
  <c r="HC113" i="35" s="1"/>
  <c r="GI32" i="35"/>
  <c r="GW32" i="35" s="1"/>
  <c r="HC32" i="35" s="1"/>
  <c r="GI253" i="35"/>
  <c r="GW253" i="35" s="1"/>
  <c r="HC253" i="35" s="1"/>
  <c r="GI252" i="35"/>
  <c r="GW252" i="35" s="1"/>
  <c r="HC252" i="35" s="1"/>
  <c r="GI243" i="35"/>
  <c r="GW243" i="35" s="1"/>
  <c r="HC243" i="35" s="1"/>
  <c r="GI242" i="35"/>
  <c r="GW242" i="35" s="1"/>
  <c r="HC242" i="35" s="1"/>
  <c r="GI241" i="35"/>
  <c r="GW241" i="35" s="1"/>
  <c r="HC241" i="35" s="1"/>
  <c r="GI240" i="35"/>
  <c r="GW240" i="35" s="1"/>
  <c r="HC240" i="35" s="1"/>
  <c r="GI236" i="35"/>
  <c r="GW236" i="35" s="1"/>
  <c r="HC236" i="35" s="1"/>
  <c r="GI235" i="35"/>
  <c r="GW235" i="35" s="1"/>
  <c r="HC235" i="35" s="1"/>
  <c r="GI234" i="35"/>
  <c r="GW234" i="35" s="1"/>
  <c r="HC234" i="35" s="1"/>
  <c r="GI232" i="35"/>
  <c r="GW232" i="35" s="1"/>
  <c r="HC232" i="35" s="1"/>
  <c r="GI231" i="35"/>
  <c r="GW231" i="35" s="1"/>
  <c r="HC231" i="35" s="1"/>
  <c r="GI230" i="35"/>
  <c r="GW230" i="35" s="1"/>
  <c r="HC230" i="35" s="1"/>
  <c r="GI227" i="35"/>
  <c r="GW227" i="35" s="1"/>
  <c r="HC227" i="35" s="1"/>
  <c r="GI226" i="35"/>
  <c r="GW226" i="35" s="1"/>
  <c r="HC226" i="35" s="1"/>
  <c r="GI225" i="35"/>
  <c r="GW225" i="35" s="1"/>
  <c r="HC225" i="35" s="1"/>
  <c r="GI222" i="35"/>
  <c r="GW222" i="35" s="1"/>
  <c r="HC222" i="35" s="1"/>
  <c r="GI221" i="35"/>
  <c r="GW221" i="35" s="1"/>
  <c r="HC221" i="35" s="1"/>
  <c r="GI211" i="35"/>
  <c r="GW211" i="35" s="1"/>
  <c r="HC211" i="35" s="1"/>
  <c r="GI205" i="35"/>
  <c r="GW205" i="35" s="1"/>
  <c r="HC205" i="35" s="1"/>
  <c r="GI204" i="35"/>
  <c r="GW204" i="35" s="1"/>
  <c r="HC204" i="35" s="1"/>
  <c r="GI203" i="35"/>
  <c r="GW203" i="35" s="1"/>
  <c r="HC203" i="35" s="1"/>
  <c r="GI191" i="35"/>
  <c r="GW191" i="35" s="1"/>
  <c r="HC191" i="35" s="1"/>
  <c r="GI190" i="35"/>
  <c r="GW190" i="35" s="1"/>
  <c r="HC190" i="35" s="1"/>
  <c r="GI174" i="35"/>
  <c r="GW174" i="35" s="1"/>
  <c r="HC174" i="35" s="1"/>
  <c r="GI173" i="35"/>
  <c r="GW173" i="35" s="1"/>
  <c r="HC173" i="35" s="1"/>
  <c r="GI172" i="35"/>
  <c r="GW172" i="35" s="1"/>
  <c r="HC172" i="35" s="1"/>
  <c r="GI160" i="35"/>
  <c r="GW160" i="35" s="1"/>
  <c r="HC160" i="35" s="1"/>
  <c r="GI143" i="35"/>
  <c r="GW143" i="35" s="1"/>
  <c r="HC143" i="35" s="1"/>
  <c r="GI142" i="35"/>
  <c r="GW142" i="35" s="1"/>
  <c r="HC142" i="35" s="1"/>
  <c r="GI141" i="35"/>
  <c r="GW141" i="35" s="1"/>
  <c r="HC141" i="35" s="1"/>
  <c r="GI112" i="35"/>
  <c r="GW112" i="35" s="1"/>
  <c r="HC112" i="35" s="1"/>
  <c r="AE4" i="35"/>
  <c r="FG20" i="35" l="1"/>
  <c r="FF21" i="35"/>
  <c r="K70" i="32"/>
  <c r="M70" i="32"/>
  <c r="AM378" i="35"/>
  <c r="AM377" i="35"/>
  <c r="AM376" i="35"/>
  <c r="AM375" i="35"/>
  <c r="AM374" i="35"/>
  <c r="AM373" i="35"/>
  <c r="AM372" i="35"/>
  <c r="AM371" i="35"/>
  <c r="AM370" i="35"/>
  <c r="AM369" i="35"/>
  <c r="AM368" i="35"/>
  <c r="AM367" i="35"/>
  <c r="AM366" i="35"/>
  <c r="AM365" i="35"/>
  <c r="AM364" i="35"/>
  <c r="AM363" i="35"/>
  <c r="AM362" i="35"/>
  <c r="AM361" i="35"/>
  <c r="AM360" i="35"/>
  <c r="AM359" i="35"/>
  <c r="AM358" i="35"/>
  <c r="AM357" i="35"/>
  <c r="AM356" i="35"/>
  <c r="AM355" i="35"/>
  <c r="AM354" i="35"/>
  <c r="AM353" i="35"/>
  <c r="AM352" i="35"/>
  <c r="AM351" i="35"/>
  <c r="AM350" i="35"/>
  <c r="AM349" i="35"/>
  <c r="AM348" i="35"/>
  <c r="AM347" i="35"/>
  <c r="AM346" i="35"/>
  <c r="AM345" i="35"/>
  <c r="AM344" i="35"/>
  <c r="AM343" i="35"/>
  <c r="AM342" i="35"/>
  <c r="AM341" i="35"/>
  <c r="AM340" i="35"/>
  <c r="AM339" i="35"/>
  <c r="AM338" i="35"/>
  <c r="AM337" i="35"/>
  <c r="AM336" i="35"/>
  <c r="AM335" i="35"/>
  <c r="AM334" i="35"/>
  <c r="AM333" i="35"/>
  <c r="AM332" i="35"/>
  <c r="AM331" i="35"/>
  <c r="AM330" i="35"/>
  <c r="AM329" i="35"/>
  <c r="AM328" i="35"/>
  <c r="AM327" i="35"/>
  <c r="AM326" i="35"/>
  <c r="AM325" i="35"/>
  <c r="AM324" i="35"/>
  <c r="AM323" i="35"/>
  <c r="AM322" i="35"/>
  <c r="AM321" i="35"/>
  <c r="AM320" i="35"/>
  <c r="AM319" i="35"/>
  <c r="AM318" i="35"/>
  <c r="AM317" i="35"/>
  <c r="AM316" i="35"/>
  <c r="AM315" i="35"/>
  <c r="AM314" i="35"/>
  <c r="AM313" i="35"/>
  <c r="AM312" i="35"/>
  <c r="AM311" i="35"/>
  <c r="AM310" i="35"/>
  <c r="AM309" i="35"/>
  <c r="AM308" i="35"/>
  <c r="AM307" i="35"/>
  <c r="AM306" i="35"/>
  <c r="AM305" i="35"/>
  <c r="AM304" i="35"/>
  <c r="AM303" i="35"/>
  <c r="AM302" i="35"/>
  <c r="AM301" i="35"/>
  <c r="AM300" i="35"/>
  <c r="AM299" i="35"/>
  <c r="AM298" i="35"/>
  <c r="AM297" i="35"/>
  <c r="AM296" i="35"/>
  <c r="AM295" i="35"/>
  <c r="AM294" i="35"/>
  <c r="AM293" i="35"/>
  <c r="AM292" i="35"/>
  <c r="AM291" i="35"/>
  <c r="AM290" i="35"/>
  <c r="AM289" i="35"/>
  <c r="AM288" i="35"/>
  <c r="AM287" i="35"/>
  <c r="AM286" i="35"/>
  <c r="AM285" i="35"/>
  <c r="AM284" i="35"/>
  <c r="AM283" i="35"/>
  <c r="AM282" i="35"/>
  <c r="AM281" i="35"/>
  <c r="AM280" i="35"/>
  <c r="AM279" i="35"/>
  <c r="AM278" i="35"/>
  <c r="AM277" i="35"/>
  <c r="AM276" i="35"/>
  <c r="AM275" i="35"/>
  <c r="AM274" i="35"/>
  <c r="AM273" i="35"/>
  <c r="AM272" i="35"/>
  <c r="AM271" i="35"/>
  <c r="AM270" i="35"/>
  <c r="AM269" i="35"/>
  <c r="AM268" i="35"/>
  <c r="AM267" i="35"/>
  <c r="AM266" i="35"/>
  <c r="AM265" i="35"/>
  <c r="AM264" i="35"/>
  <c r="AM263" i="35"/>
  <c r="AM262" i="35"/>
  <c r="AM261" i="35"/>
  <c r="AM260" i="35"/>
  <c r="AM259" i="35"/>
  <c r="AM258" i="35"/>
  <c r="AM257" i="35"/>
  <c r="AM256" i="35"/>
  <c r="AM255" i="35"/>
  <c r="AM254" i="35"/>
  <c r="AM253" i="35"/>
  <c r="AM252" i="35"/>
  <c r="AM251" i="35"/>
  <c r="AM250" i="35"/>
  <c r="AM249" i="35"/>
  <c r="AM248" i="35"/>
  <c r="AM247" i="35"/>
  <c r="AM246" i="35"/>
  <c r="AM245" i="35"/>
  <c r="AM244" i="35"/>
  <c r="AM243" i="35"/>
  <c r="AM242" i="35"/>
  <c r="AM241" i="35"/>
  <c r="AM240" i="35"/>
  <c r="AM239" i="35"/>
  <c r="AM238" i="35"/>
  <c r="AM237" i="35"/>
  <c r="AM236" i="35"/>
  <c r="AM235" i="35"/>
  <c r="AM234" i="35"/>
  <c r="AM233" i="35"/>
  <c r="AM232" i="35"/>
  <c r="AM231" i="35"/>
  <c r="AM230" i="35"/>
  <c r="AM229" i="35"/>
  <c r="AM228" i="35"/>
  <c r="AM227" i="35"/>
  <c r="AM226" i="35"/>
  <c r="AM225" i="35"/>
  <c r="AM224" i="35"/>
  <c r="AM223" i="35"/>
  <c r="AM222" i="35"/>
  <c r="AM221" i="35"/>
  <c r="AM220" i="35"/>
  <c r="AM219" i="35"/>
  <c r="AM218" i="35"/>
  <c r="AM217" i="35"/>
  <c r="AM216" i="35"/>
  <c r="AM215" i="35"/>
  <c r="AM214" i="35"/>
  <c r="AM213" i="35"/>
  <c r="AM212" i="35"/>
  <c r="AM211" i="35"/>
  <c r="AM210" i="35"/>
  <c r="AM209" i="35"/>
  <c r="AM208" i="35"/>
  <c r="AM207" i="35"/>
  <c r="AM206" i="35"/>
  <c r="AM205" i="35"/>
  <c r="AM204" i="35"/>
  <c r="AM203" i="35"/>
  <c r="AM202" i="35"/>
  <c r="AM201" i="35"/>
  <c r="AM200" i="35"/>
  <c r="AM199" i="35"/>
  <c r="AM198" i="35"/>
  <c r="AM197" i="35"/>
  <c r="AM196" i="35"/>
  <c r="AM195" i="35"/>
  <c r="AM194" i="35"/>
  <c r="AM193" i="35"/>
  <c r="AM192" i="35"/>
  <c r="AM191" i="35"/>
  <c r="AM190" i="35"/>
  <c r="AM189" i="35"/>
  <c r="AM188" i="35"/>
  <c r="AM187" i="35"/>
  <c r="AM186" i="35"/>
  <c r="AM185" i="35"/>
  <c r="AM184" i="35"/>
  <c r="AM183" i="35"/>
  <c r="AM182" i="35"/>
  <c r="AM181" i="35"/>
  <c r="AM180" i="35"/>
  <c r="AM179" i="35"/>
  <c r="AM178" i="35"/>
  <c r="AM177" i="35"/>
  <c r="AM176" i="35"/>
  <c r="AM175" i="35"/>
  <c r="AM174" i="35"/>
  <c r="AM173" i="35"/>
  <c r="AM172" i="35"/>
  <c r="AM171" i="35"/>
  <c r="AM170" i="35"/>
  <c r="AM169" i="35"/>
  <c r="AM168" i="35"/>
  <c r="AM167" i="35"/>
  <c r="AM166" i="35"/>
  <c r="AM165" i="35"/>
  <c r="AM164" i="35"/>
  <c r="AM163" i="35"/>
  <c r="AM162" i="35"/>
  <c r="AM161" i="35"/>
  <c r="AM160" i="35"/>
  <c r="AM159" i="35"/>
  <c r="AM158" i="35"/>
  <c r="AM157" i="35"/>
  <c r="AM156" i="35"/>
  <c r="AM155" i="35"/>
  <c r="AM154" i="35"/>
  <c r="AM153" i="35"/>
  <c r="AM152" i="35"/>
  <c r="AM151" i="35"/>
  <c r="AM150" i="35"/>
  <c r="AM149" i="35"/>
  <c r="AM148" i="35"/>
  <c r="AM147" i="35"/>
  <c r="AM146" i="35"/>
  <c r="AM145" i="35"/>
  <c r="AM144" i="35"/>
  <c r="AM143" i="35"/>
  <c r="AM142" i="35"/>
  <c r="AM141" i="35"/>
  <c r="AM140" i="35"/>
  <c r="AM139" i="35"/>
  <c r="AM138" i="35"/>
  <c r="AM137" i="35"/>
  <c r="AM136" i="35"/>
  <c r="AM135" i="35"/>
  <c r="AM134" i="35"/>
  <c r="AM133" i="35"/>
  <c r="AM132" i="35"/>
  <c r="AM131" i="35"/>
  <c r="AM130" i="35"/>
  <c r="AM129" i="35"/>
  <c r="AM128" i="35"/>
  <c r="AM127" i="35"/>
  <c r="AM126" i="35"/>
  <c r="AM125" i="35"/>
  <c r="AM124" i="35"/>
  <c r="AM123" i="35"/>
  <c r="AM122" i="35"/>
  <c r="AM121" i="35"/>
  <c r="AM120" i="35"/>
  <c r="AM119" i="35"/>
  <c r="AM118" i="35"/>
  <c r="AM117" i="35"/>
  <c r="AM116" i="35"/>
  <c r="AM115" i="35"/>
  <c r="AM114" i="35"/>
  <c r="AM113" i="35"/>
  <c r="AM112" i="35"/>
  <c r="AM111" i="35"/>
  <c r="AM110" i="35"/>
  <c r="AM109" i="35"/>
  <c r="AM108" i="35"/>
  <c r="AM107" i="35"/>
  <c r="AM106" i="35"/>
  <c r="AM105" i="35"/>
  <c r="AM104" i="35"/>
  <c r="AM103" i="35"/>
  <c r="AM102" i="35"/>
  <c r="AM101" i="35"/>
  <c r="AM100" i="35"/>
  <c r="AM99" i="35"/>
  <c r="AM98" i="35"/>
  <c r="AM97" i="35"/>
  <c r="AM96" i="35"/>
  <c r="AM95" i="35"/>
  <c r="AM94" i="35"/>
  <c r="AM93" i="35"/>
  <c r="AM92" i="35"/>
  <c r="AM91" i="35"/>
  <c r="AM90" i="35"/>
  <c r="AM89" i="35"/>
  <c r="AM88" i="35"/>
  <c r="AM87" i="35"/>
  <c r="AM86" i="35"/>
  <c r="AM85" i="35"/>
  <c r="AM84" i="35"/>
  <c r="AM83" i="35"/>
  <c r="AM82" i="35"/>
  <c r="AM81" i="35"/>
  <c r="AM80" i="35"/>
  <c r="AM79" i="35"/>
  <c r="AM78" i="35"/>
  <c r="AM77" i="35"/>
  <c r="AM76" i="35"/>
  <c r="AM75" i="35"/>
  <c r="AM74" i="35"/>
  <c r="AM73" i="35"/>
  <c r="AM72" i="35"/>
  <c r="AM71" i="35"/>
  <c r="AM70" i="35"/>
  <c r="AM69" i="35"/>
  <c r="AM68" i="35"/>
  <c r="AM67" i="35"/>
  <c r="AM66" i="35"/>
  <c r="AM65" i="35"/>
  <c r="AM64" i="35"/>
  <c r="AM63" i="35"/>
  <c r="AM62" i="35"/>
  <c r="AM61" i="35"/>
  <c r="AM60" i="35"/>
  <c r="AM59" i="35"/>
  <c r="AM58" i="35"/>
  <c r="AM57" i="35"/>
  <c r="AM56" i="35"/>
  <c r="AM55" i="35"/>
  <c r="AM54" i="35"/>
  <c r="AM53" i="35"/>
  <c r="AM52" i="35"/>
  <c r="AM51" i="35"/>
  <c r="AM50" i="35"/>
  <c r="AM49" i="35"/>
  <c r="AM48" i="35"/>
  <c r="AM47" i="35"/>
  <c r="AM46" i="35"/>
  <c r="AM45" i="35"/>
  <c r="AM44" i="35"/>
  <c r="AM43" i="35"/>
  <c r="AM42" i="35"/>
  <c r="AM41" i="35"/>
  <c r="AM40" i="35"/>
  <c r="AM39" i="35"/>
  <c r="AM38" i="35"/>
  <c r="AM37" i="35"/>
  <c r="AM36" i="35"/>
  <c r="AM35" i="35"/>
  <c r="AM34" i="35"/>
  <c r="AM33" i="35"/>
  <c r="AM32" i="35"/>
  <c r="AM31" i="35"/>
  <c r="AM30" i="35"/>
  <c r="AM29" i="35"/>
  <c r="AM28" i="35"/>
  <c r="AM27" i="35"/>
  <c r="AM26" i="35"/>
  <c r="AM25" i="35"/>
  <c r="AM24" i="35"/>
  <c r="AM23" i="35"/>
  <c r="AM22" i="35"/>
  <c r="AM21" i="35"/>
  <c r="AM20" i="35"/>
  <c r="AM19" i="35"/>
  <c r="AM18" i="35"/>
  <c r="AM17" i="35"/>
  <c r="AM16" i="35"/>
  <c r="AM15" i="35"/>
  <c r="AM14" i="35"/>
  <c r="AM13" i="35"/>
  <c r="AM12" i="35"/>
  <c r="AM11" i="35"/>
  <c r="AM10" i="35"/>
  <c r="AM9" i="35"/>
  <c r="AM8" i="35"/>
  <c r="AM7" i="35"/>
  <c r="FG21" i="35" l="1"/>
  <c r="FF22" i="35"/>
  <c r="M71" i="32"/>
  <c r="K71" i="32"/>
  <c r="AM3" i="35"/>
  <c r="AR8" i="35"/>
  <c r="FG22" i="35" l="1"/>
  <c r="FF23" i="35"/>
  <c r="FA2" i="35"/>
  <c r="J84" i="37"/>
  <c r="J83" i="37"/>
  <c r="J82" i="37"/>
  <c r="J81" i="37"/>
  <c r="J80" i="37"/>
  <c r="J79" i="37"/>
  <c r="J78" i="37"/>
  <c r="J77" i="37"/>
  <c r="J76" i="37"/>
  <c r="J75" i="37"/>
  <c r="J74" i="37"/>
  <c r="J73" i="37"/>
  <c r="J72" i="37"/>
  <c r="J71" i="37"/>
  <c r="J70" i="37"/>
  <c r="J69" i="37"/>
  <c r="J68" i="37"/>
  <c r="J67" i="37"/>
  <c r="J66" i="37"/>
  <c r="J65" i="37"/>
  <c r="J64" i="37"/>
  <c r="J63" i="37"/>
  <c r="J62" i="37"/>
  <c r="J61" i="37"/>
  <c r="J60" i="37"/>
  <c r="J59" i="37"/>
  <c r="J58" i="37"/>
  <c r="J57" i="37"/>
  <c r="J56" i="37"/>
  <c r="J55" i="37"/>
  <c r="J54" i="37"/>
  <c r="J53" i="37"/>
  <c r="J52" i="37"/>
  <c r="J51" i="37"/>
  <c r="J50" i="37"/>
  <c r="J49" i="37"/>
  <c r="J48" i="37"/>
  <c r="J47" i="37"/>
  <c r="J46" i="37"/>
  <c r="J45" i="37"/>
  <c r="J44" i="37"/>
  <c r="J43" i="37"/>
  <c r="J42" i="37"/>
  <c r="J41" i="37"/>
  <c r="J40" i="37"/>
  <c r="J39" i="37"/>
  <c r="J38" i="37"/>
  <c r="J37" i="37"/>
  <c r="J36" i="37"/>
  <c r="J35" i="37"/>
  <c r="J34" i="37"/>
  <c r="J33" i="37"/>
  <c r="J32" i="37"/>
  <c r="J31" i="37"/>
  <c r="J30" i="37"/>
  <c r="J29" i="37"/>
  <c r="N28" i="37"/>
  <c r="J28" i="37"/>
  <c r="J27" i="37"/>
  <c r="L26" i="37"/>
  <c r="J26" i="37"/>
  <c r="B26" i="37"/>
  <c r="N21" i="37" s="1"/>
  <c r="L25" i="37"/>
  <c r="J25" i="37"/>
  <c r="M28" i="37" s="1"/>
  <c r="B25" i="37"/>
  <c r="M21" i="37" s="1"/>
  <c r="N23" i="37"/>
  <c r="O23" i="37" s="1"/>
  <c r="P23" i="37" s="1"/>
  <c r="Q23" i="37" s="1"/>
  <c r="R23" i="37" s="1"/>
  <c r="S23" i="37" s="1"/>
  <c r="T23" i="37" s="1"/>
  <c r="U23" i="37" s="1"/>
  <c r="V23" i="37" s="1"/>
  <c r="W23" i="37" s="1"/>
  <c r="X23" i="37" s="1"/>
  <c r="Y23" i="37" s="1"/>
  <c r="Z23" i="37" s="1"/>
  <c r="AA23" i="37" s="1"/>
  <c r="AB23" i="37" s="1"/>
  <c r="AC23" i="37" s="1"/>
  <c r="AD23" i="37" s="1"/>
  <c r="AE23" i="37" s="1"/>
  <c r="AF23" i="37" s="1"/>
  <c r="AG23" i="37" s="1"/>
  <c r="AH23" i="37" s="1"/>
  <c r="AI23" i="37" s="1"/>
  <c r="AJ23" i="37" s="1"/>
  <c r="AK23" i="37" s="1"/>
  <c r="AL23" i="37" s="1"/>
  <c r="AM23" i="37" s="1"/>
  <c r="AN23" i="37" s="1"/>
  <c r="AO23" i="37" s="1"/>
  <c r="AP23" i="37" s="1"/>
  <c r="AQ23" i="37" s="1"/>
  <c r="AR23" i="37" s="1"/>
  <c r="AS23" i="37" s="1"/>
  <c r="AT23" i="37" s="1"/>
  <c r="AU23" i="37" s="1"/>
  <c r="AV23" i="37" s="1"/>
  <c r="AW23" i="37" s="1"/>
  <c r="AX23" i="37" s="1"/>
  <c r="AY23" i="37" s="1"/>
  <c r="AZ23" i="37" s="1"/>
  <c r="BA23" i="37" s="1"/>
  <c r="BB23" i="37" s="1"/>
  <c r="BC23" i="37" s="1"/>
  <c r="BD23" i="37" s="1"/>
  <c r="BE23" i="37" s="1"/>
  <c r="BF23" i="37" s="1"/>
  <c r="BG23" i="37" s="1"/>
  <c r="BH23" i="37" s="1"/>
  <c r="BI23" i="37" s="1"/>
  <c r="BJ23" i="37" s="1"/>
  <c r="BK23" i="37" s="1"/>
  <c r="BL23" i="37" s="1"/>
  <c r="BM23" i="37" s="1"/>
  <c r="BN23" i="37" s="1"/>
  <c r="BO23" i="37" s="1"/>
  <c r="BP23" i="37" s="1"/>
  <c r="BQ23" i="37" s="1"/>
  <c r="BR23" i="37" s="1"/>
  <c r="BS23" i="37" s="1"/>
  <c r="BT23" i="37" s="1"/>
  <c r="I4" i="37"/>
  <c r="FG23" i="35" l="1"/>
  <c r="FF24" i="35"/>
  <c r="FG24" i="35" s="1"/>
  <c r="B27" i="37"/>
  <c r="O21" i="37" l="1"/>
  <c r="B28" i="37"/>
  <c r="E22" i="8"/>
  <c r="E21" i="34"/>
  <c r="E20" i="20"/>
  <c r="B29" i="37" l="1"/>
  <c r="P21" i="37"/>
  <c r="CI5" i="35"/>
  <c r="B30" i="37" l="1"/>
  <c r="Q21" i="37"/>
  <c r="B31" i="37" l="1"/>
  <c r="R21" i="37"/>
  <c r="F16" i="5"/>
  <c r="B384" i="19"/>
  <c r="C384" i="19" s="1"/>
  <c r="D384" i="19" s="1"/>
  <c r="E384" i="19" s="1"/>
  <c r="F384" i="19" s="1"/>
  <c r="G384" i="19" s="1"/>
  <c r="H384" i="19" s="1"/>
  <c r="I384" i="19" s="1"/>
  <c r="J384" i="19" s="1"/>
  <c r="K384" i="19" s="1"/>
  <c r="L384" i="19" s="1"/>
  <c r="M384" i="19" s="1"/>
  <c r="N384" i="19" s="1"/>
  <c r="O384" i="19" s="1"/>
  <c r="P384" i="19" s="1"/>
  <c r="Q384" i="19" s="1"/>
  <c r="R384" i="19" s="1"/>
  <c r="S384" i="19" s="1"/>
  <c r="T384" i="19" s="1"/>
  <c r="U384" i="19" s="1"/>
  <c r="V384" i="19" s="1"/>
  <c r="ER378" i="35"/>
  <c r="ER377" i="35"/>
  <c r="ER374" i="35"/>
  <c r="ER373" i="35"/>
  <c r="ER372" i="35"/>
  <c r="ER363" i="35"/>
  <c r="ER362" i="35"/>
  <c r="ER360" i="35"/>
  <c r="ER359" i="35"/>
  <c r="ER358" i="35"/>
  <c r="ER357" i="35"/>
  <c r="ER347" i="35"/>
  <c r="ER346" i="35"/>
  <c r="ER345" i="35"/>
  <c r="ER344" i="35"/>
  <c r="ER343" i="35"/>
  <c r="ER342" i="35"/>
  <c r="ER334" i="35"/>
  <c r="ER332" i="35"/>
  <c r="ER331" i="35"/>
  <c r="ER330" i="35"/>
  <c r="ER329" i="35"/>
  <c r="ER328" i="35"/>
  <c r="ER327" i="35"/>
  <c r="ER326" i="35"/>
  <c r="ER325" i="35"/>
  <c r="ER324" i="35"/>
  <c r="ER323" i="35"/>
  <c r="ER315" i="35"/>
  <c r="ER312" i="35"/>
  <c r="ER311" i="35"/>
  <c r="ER301" i="35"/>
  <c r="ER300" i="35"/>
  <c r="ER298" i="35"/>
  <c r="ER297" i="35"/>
  <c r="ER296" i="35"/>
  <c r="ER295" i="35"/>
  <c r="ER285" i="35"/>
  <c r="ER284" i="35"/>
  <c r="ER283" i="35"/>
  <c r="ER282" i="35"/>
  <c r="ER281" i="35"/>
  <c r="ER270" i="35"/>
  <c r="ER269" i="35"/>
  <c r="ER268" i="35"/>
  <c r="ER267" i="35"/>
  <c r="ER266" i="35"/>
  <c r="ER265" i="35"/>
  <c r="ER264" i="35"/>
  <c r="ER262" i="35"/>
  <c r="ER253" i="35"/>
  <c r="ER250" i="35"/>
  <c r="ER236" i="35"/>
  <c r="ER235" i="35"/>
  <c r="ER233" i="35"/>
  <c r="ER206" i="35"/>
  <c r="ER205" i="35"/>
  <c r="ER154" i="35"/>
  <c r="ER144" i="35"/>
  <c r="ER143" i="35"/>
  <c r="ER132" i="35"/>
  <c r="ER368" i="35"/>
  <c r="ER367" i="35"/>
  <c r="ER366" i="35"/>
  <c r="ER361" i="35"/>
  <c r="ER356" i="35"/>
  <c r="ER355" i="35"/>
  <c r="ER354" i="35"/>
  <c r="ER352" i="35"/>
  <c r="ER351" i="35"/>
  <c r="ER252" i="35"/>
  <c r="ER237" i="35"/>
  <c r="ER214" i="35"/>
  <c r="F16" i="39" l="1"/>
  <c r="F16" i="38"/>
  <c r="EP380" i="35"/>
  <c r="EP382" i="35"/>
  <c r="EP381" i="35"/>
  <c r="S21" i="37"/>
  <c r="B32" i="37"/>
  <c r="ER370" i="35"/>
  <c r="ER202" i="35"/>
  <c r="ER251" i="35"/>
  <c r="ER56" i="35"/>
  <c r="ER375" i="35"/>
  <c r="ER139" i="35"/>
  <c r="ER376" i="35"/>
  <c r="ER60" i="35"/>
  <c r="EP386" i="35" l="1"/>
  <c r="B33" i="37"/>
  <c r="T21" i="37"/>
  <c r="B4" i="24"/>
  <c r="B3" i="23"/>
  <c r="B385" i="19"/>
  <c r="C385" i="19" s="1"/>
  <c r="D385" i="19" s="1"/>
  <c r="E385" i="19" s="1"/>
  <c r="F385" i="19" s="1"/>
  <c r="G385" i="19" s="1"/>
  <c r="H385" i="19" s="1"/>
  <c r="I385" i="19" s="1"/>
  <c r="J385" i="19" s="1"/>
  <c r="K385" i="19" s="1"/>
  <c r="L385" i="19" s="1"/>
  <c r="M385" i="19" s="1"/>
  <c r="N385" i="19" s="1"/>
  <c r="O385" i="19" s="1"/>
  <c r="P385" i="19" s="1"/>
  <c r="Q385" i="19" s="1"/>
  <c r="R385" i="19" s="1"/>
  <c r="S385" i="19" s="1"/>
  <c r="T385" i="19" s="1"/>
  <c r="U385" i="19" s="1"/>
  <c r="V385" i="19" s="1"/>
  <c r="B8" i="19"/>
  <c r="B9" i="19"/>
  <c r="B10" i="19"/>
  <c r="B11" i="19"/>
  <c r="B12" i="19"/>
  <c r="B13" i="19"/>
  <c r="B14" i="19"/>
  <c r="B15" i="19"/>
  <c r="B16" i="19"/>
  <c r="B17" i="19"/>
  <c r="B18" i="19"/>
  <c r="B19" i="19"/>
  <c r="B20" i="19"/>
  <c r="B21" i="19"/>
  <c r="B22" i="19"/>
  <c r="B23" i="19"/>
  <c r="B24" i="19"/>
  <c r="B25" i="19"/>
  <c r="B26" i="19"/>
  <c r="B27" i="19"/>
  <c r="B28" i="19"/>
  <c r="B29" i="19"/>
  <c r="B30" i="19"/>
  <c r="B31" i="19"/>
  <c r="B32" i="19"/>
  <c r="B33" i="19"/>
  <c r="B34" i="19"/>
  <c r="B35" i="19"/>
  <c r="B36" i="19"/>
  <c r="B37" i="19"/>
  <c r="B38" i="19"/>
  <c r="B39" i="19"/>
  <c r="B40" i="19"/>
  <c r="B41" i="19"/>
  <c r="B42" i="19"/>
  <c r="B43" i="19"/>
  <c r="B44" i="19"/>
  <c r="B45" i="19"/>
  <c r="B46" i="19"/>
  <c r="B47" i="19"/>
  <c r="B48" i="19"/>
  <c r="B49" i="19"/>
  <c r="B50" i="19"/>
  <c r="B51" i="19"/>
  <c r="B52" i="19"/>
  <c r="B53" i="19"/>
  <c r="B54" i="19"/>
  <c r="B55" i="19"/>
  <c r="B56" i="19"/>
  <c r="B57" i="19"/>
  <c r="B58" i="19"/>
  <c r="B59" i="19"/>
  <c r="B60" i="19"/>
  <c r="B61" i="19"/>
  <c r="B62" i="19"/>
  <c r="B63" i="19"/>
  <c r="B64" i="19"/>
  <c r="B65" i="19"/>
  <c r="B66" i="19"/>
  <c r="B67" i="19"/>
  <c r="B68" i="19"/>
  <c r="B69" i="19"/>
  <c r="B70" i="19"/>
  <c r="B71" i="19"/>
  <c r="B72" i="19"/>
  <c r="B73" i="19"/>
  <c r="B74" i="19"/>
  <c r="B75" i="19"/>
  <c r="B76" i="19"/>
  <c r="B77" i="19"/>
  <c r="B78" i="19"/>
  <c r="B79" i="19"/>
  <c r="B80" i="19"/>
  <c r="B81" i="19"/>
  <c r="B82" i="19"/>
  <c r="B83" i="19"/>
  <c r="B84" i="19"/>
  <c r="B85" i="19"/>
  <c r="B86" i="19"/>
  <c r="B87" i="19"/>
  <c r="B88" i="19"/>
  <c r="B89" i="19"/>
  <c r="B90" i="19"/>
  <c r="B91" i="19"/>
  <c r="B92" i="19"/>
  <c r="B93" i="19"/>
  <c r="B94" i="19"/>
  <c r="B95" i="19"/>
  <c r="B96" i="19"/>
  <c r="B97" i="19"/>
  <c r="B98" i="19"/>
  <c r="B99" i="19"/>
  <c r="B100" i="19"/>
  <c r="B101" i="19"/>
  <c r="B102" i="19"/>
  <c r="B103" i="19"/>
  <c r="B104" i="19"/>
  <c r="B105" i="19"/>
  <c r="B106" i="19"/>
  <c r="B107" i="19"/>
  <c r="B108" i="19"/>
  <c r="B109" i="19"/>
  <c r="B110" i="19"/>
  <c r="B111" i="19"/>
  <c r="B112" i="19"/>
  <c r="B113" i="19"/>
  <c r="B114" i="19"/>
  <c r="B115" i="19"/>
  <c r="B116" i="19"/>
  <c r="B117" i="19"/>
  <c r="B118" i="19"/>
  <c r="B119" i="19"/>
  <c r="B120" i="19"/>
  <c r="B121" i="19"/>
  <c r="B122" i="19"/>
  <c r="B123" i="19"/>
  <c r="B124" i="19"/>
  <c r="B125" i="19"/>
  <c r="B126" i="19"/>
  <c r="B127" i="19"/>
  <c r="B128" i="19"/>
  <c r="B129" i="19"/>
  <c r="B130" i="19"/>
  <c r="B131" i="19"/>
  <c r="B132" i="19"/>
  <c r="B133" i="19"/>
  <c r="B134" i="19"/>
  <c r="B135" i="19"/>
  <c r="B136" i="19"/>
  <c r="B137" i="19"/>
  <c r="B138" i="19"/>
  <c r="B139" i="19"/>
  <c r="B140" i="19"/>
  <c r="B141" i="19"/>
  <c r="B142" i="19"/>
  <c r="B143" i="19"/>
  <c r="B144" i="19"/>
  <c r="B145" i="19"/>
  <c r="B146" i="19"/>
  <c r="B147" i="19"/>
  <c r="B148" i="19"/>
  <c r="B149" i="19"/>
  <c r="B150" i="19"/>
  <c r="B151" i="19"/>
  <c r="B152" i="19"/>
  <c r="B153" i="19"/>
  <c r="B154" i="19"/>
  <c r="B155" i="19"/>
  <c r="B156" i="19"/>
  <c r="B157" i="19"/>
  <c r="B158" i="19"/>
  <c r="B159" i="19"/>
  <c r="B160" i="19"/>
  <c r="B161" i="19"/>
  <c r="B162" i="19"/>
  <c r="B163" i="19"/>
  <c r="B164" i="19"/>
  <c r="B165" i="19"/>
  <c r="B166" i="19"/>
  <c r="B167" i="19"/>
  <c r="B168" i="19"/>
  <c r="B169" i="19"/>
  <c r="B170" i="19"/>
  <c r="B171" i="19"/>
  <c r="B172" i="19"/>
  <c r="B173" i="19"/>
  <c r="B174" i="19"/>
  <c r="B175" i="19"/>
  <c r="B176" i="19"/>
  <c r="B177" i="19"/>
  <c r="B178" i="19"/>
  <c r="B179" i="19"/>
  <c r="B180" i="19"/>
  <c r="B181" i="19"/>
  <c r="B182" i="19"/>
  <c r="B183" i="19"/>
  <c r="B184" i="19"/>
  <c r="B185" i="19"/>
  <c r="B186" i="19"/>
  <c r="B187" i="19"/>
  <c r="B188" i="19"/>
  <c r="B189" i="19"/>
  <c r="B190" i="19"/>
  <c r="B191" i="19"/>
  <c r="B192" i="19"/>
  <c r="B193" i="19"/>
  <c r="B194" i="19"/>
  <c r="B195" i="19"/>
  <c r="B196" i="19"/>
  <c r="B197" i="19"/>
  <c r="B198" i="19"/>
  <c r="B199" i="19"/>
  <c r="B200" i="19"/>
  <c r="B201" i="19"/>
  <c r="B202" i="19"/>
  <c r="B203" i="19"/>
  <c r="B204" i="19"/>
  <c r="B205" i="19"/>
  <c r="B206" i="19"/>
  <c r="B207" i="19"/>
  <c r="B208" i="19"/>
  <c r="B209" i="19"/>
  <c r="B210" i="19"/>
  <c r="B211" i="19"/>
  <c r="B212" i="19"/>
  <c r="B213" i="19"/>
  <c r="B214" i="19"/>
  <c r="B215" i="19"/>
  <c r="B216" i="19"/>
  <c r="B217" i="19"/>
  <c r="B218" i="19"/>
  <c r="B219" i="19"/>
  <c r="B220" i="19"/>
  <c r="B221" i="19"/>
  <c r="B222" i="19"/>
  <c r="B223" i="19"/>
  <c r="B224" i="19"/>
  <c r="B225" i="19"/>
  <c r="B226" i="19"/>
  <c r="B227" i="19"/>
  <c r="B228" i="19"/>
  <c r="B229" i="19"/>
  <c r="B230" i="19"/>
  <c r="B231" i="19"/>
  <c r="B232" i="19"/>
  <c r="B233" i="19"/>
  <c r="B234" i="19"/>
  <c r="B235" i="19"/>
  <c r="B236" i="19"/>
  <c r="B237" i="19"/>
  <c r="B238" i="19"/>
  <c r="B239" i="19"/>
  <c r="B240" i="19"/>
  <c r="B241" i="19"/>
  <c r="B242" i="19"/>
  <c r="B243" i="19"/>
  <c r="B244" i="19"/>
  <c r="B245" i="19"/>
  <c r="B246" i="19"/>
  <c r="B247" i="19"/>
  <c r="B248" i="19"/>
  <c r="B249" i="19"/>
  <c r="B250" i="19"/>
  <c r="B251" i="19"/>
  <c r="B252" i="19"/>
  <c r="B253" i="19"/>
  <c r="B254" i="19"/>
  <c r="B255" i="19"/>
  <c r="B256" i="19"/>
  <c r="B257" i="19"/>
  <c r="B258" i="19"/>
  <c r="B259" i="19"/>
  <c r="B260" i="19"/>
  <c r="B261" i="19"/>
  <c r="B262" i="19"/>
  <c r="B263" i="19"/>
  <c r="B264" i="19"/>
  <c r="B265" i="19"/>
  <c r="B266" i="19"/>
  <c r="B267" i="19"/>
  <c r="B268" i="19"/>
  <c r="B269" i="19"/>
  <c r="B270" i="19"/>
  <c r="B271" i="19"/>
  <c r="B272" i="19"/>
  <c r="B273" i="19"/>
  <c r="B274" i="19"/>
  <c r="B275" i="19"/>
  <c r="B276" i="19"/>
  <c r="B277" i="19"/>
  <c r="B278" i="19"/>
  <c r="B279" i="19"/>
  <c r="B280" i="19"/>
  <c r="B281" i="19"/>
  <c r="B282" i="19"/>
  <c r="B283" i="19"/>
  <c r="B284" i="19"/>
  <c r="B285" i="19"/>
  <c r="B286" i="19"/>
  <c r="B287" i="19"/>
  <c r="B288" i="19"/>
  <c r="B289" i="19"/>
  <c r="B290" i="19"/>
  <c r="B291" i="19"/>
  <c r="B292" i="19"/>
  <c r="B293" i="19"/>
  <c r="B294" i="19"/>
  <c r="B295" i="19"/>
  <c r="B296" i="19"/>
  <c r="B297" i="19"/>
  <c r="B298" i="19"/>
  <c r="B299" i="19"/>
  <c r="B300" i="19"/>
  <c r="B301" i="19"/>
  <c r="B302" i="19"/>
  <c r="B303" i="19"/>
  <c r="B304" i="19"/>
  <c r="B305" i="19"/>
  <c r="B306" i="19"/>
  <c r="B307" i="19"/>
  <c r="B308" i="19"/>
  <c r="B309" i="19"/>
  <c r="B310" i="19"/>
  <c r="B311" i="19"/>
  <c r="B312" i="19"/>
  <c r="B313" i="19"/>
  <c r="B314" i="19"/>
  <c r="B315" i="19"/>
  <c r="B316" i="19"/>
  <c r="B317" i="19"/>
  <c r="B318" i="19"/>
  <c r="B319" i="19"/>
  <c r="B320" i="19"/>
  <c r="B321" i="19"/>
  <c r="B322" i="19"/>
  <c r="B323" i="19"/>
  <c r="B324" i="19"/>
  <c r="B325" i="19"/>
  <c r="B326" i="19"/>
  <c r="B327" i="19"/>
  <c r="B328" i="19"/>
  <c r="B329" i="19"/>
  <c r="B330" i="19"/>
  <c r="B331" i="19"/>
  <c r="B332" i="19"/>
  <c r="B333" i="19"/>
  <c r="B334" i="19"/>
  <c r="B335" i="19"/>
  <c r="B336" i="19"/>
  <c r="B337" i="19"/>
  <c r="B338" i="19"/>
  <c r="B339" i="19"/>
  <c r="B340" i="19"/>
  <c r="B341" i="19"/>
  <c r="B342" i="19"/>
  <c r="B343" i="19"/>
  <c r="B344" i="19"/>
  <c r="B345" i="19"/>
  <c r="B346" i="19"/>
  <c r="B347" i="19"/>
  <c r="B348" i="19"/>
  <c r="B349" i="19"/>
  <c r="B350" i="19"/>
  <c r="B351" i="19"/>
  <c r="B352" i="19"/>
  <c r="B353" i="19"/>
  <c r="B354" i="19"/>
  <c r="B355" i="19"/>
  <c r="B356" i="19"/>
  <c r="B357" i="19"/>
  <c r="B358" i="19"/>
  <c r="B359" i="19"/>
  <c r="B360" i="19"/>
  <c r="B361" i="19"/>
  <c r="B362" i="19"/>
  <c r="B363" i="19"/>
  <c r="B364" i="19"/>
  <c r="B365" i="19"/>
  <c r="B366" i="19"/>
  <c r="B367" i="19"/>
  <c r="B368" i="19"/>
  <c r="B369" i="19"/>
  <c r="B370" i="19"/>
  <c r="B371" i="19"/>
  <c r="B372" i="19"/>
  <c r="B373" i="19"/>
  <c r="B374" i="19"/>
  <c r="B375" i="19"/>
  <c r="B376" i="19"/>
  <c r="B377" i="19"/>
  <c r="B378" i="19"/>
  <c r="B7" i="19"/>
  <c r="L378" i="19"/>
  <c r="AA378" i="19" s="1"/>
  <c r="G378" i="19"/>
  <c r="F378" i="19"/>
  <c r="E378" i="19"/>
  <c r="A378" i="19" s="1"/>
  <c r="D378" i="19"/>
  <c r="C378" i="19"/>
  <c r="L377" i="19"/>
  <c r="AA377" i="19" s="1"/>
  <c r="G377" i="19"/>
  <c r="F377" i="19"/>
  <c r="E377" i="19"/>
  <c r="A377" i="19" s="1"/>
  <c r="D377" i="19"/>
  <c r="C377" i="19"/>
  <c r="L376" i="19"/>
  <c r="AA376" i="19" s="1"/>
  <c r="G376" i="19"/>
  <c r="F376" i="19"/>
  <c r="E376" i="19"/>
  <c r="A376" i="19" s="1"/>
  <c r="D376" i="19"/>
  <c r="C376" i="19"/>
  <c r="L375" i="19"/>
  <c r="AA375" i="19" s="1"/>
  <c r="G375" i="19"/>
  <c r="F375" i="19"/>
  <c r="E375" i="19"/>
  <c r="A375" i="19" s="1"/>
  <c r="D375" i="19"/>
  <c r="C375" i="19"/>
  <c r="L374" i="19"/>
  <c r="AA374" i="19" s="1"/>
  <c r="G374" i="19"/>
  <c r="F374" i="19"/>
  <c r="E374" i="19"/>
  <c r="A374" i="19" s="1"/>
  <c r="D374" i="19"/>
  <c r="C374" i="19"/>
  <c r="L373" i="19"/>
  <c r="AA373" i="19" s="1"/>
  <c r="G373" i="19"/>
  <c r="F373" i="19"/>
  <c r="E373" i="19"/>
  <c r="A373" i="19" s="1"/>
  <c r="D373" i="19"/>
  <c r="C373" i="19"/>
  <c r="L372" i="19"/>
  <c r="AA372" i="19" s="1"/>
  <c r="G372" i="19"/>
  <c r="F372" i="19"/>
  <c r="E372" i="19"/>
  <c r="A372" i="19" s="1"/>
  <c r="D372" i="19"/>
  <c r="C372" i="19"/>
  <c r="L371" i="19"/>
  <c r="AA371" i="19" s="1"/>
  <c r="G371" i="19"/>
  <c r="F371" i="19"/>
  <c r="E371" i="19"/>
  <c r="A371" i="19" s="1"/>
  <c r="D371" i="19"/>
  <c r="C371" i="19"/>
  <c r="L370" i="19"/>
  <c r="AA370" i="19" s="1"/>
  <c r="G370" i="19"/>
  <c r="F370" i="19"/>
  <c r="E370" i="19"/>
  <c r="A370" i="19" s="1"/>
  <c r="D370" i="19"/>
  <c r="C370" i="19"/>
  <c r="L369" i="19"/>
  <c r="AA369" i="19" s="1"/>
  <c r="G369" i="19"/>
  <c r="F369" i="19"/>
  <c r="E369" i="19"/>
  <c r="A369" i="19" s="1"/>
  <c r="D369" i="19"/>
  <c r="C369" i="19"/>
  <c r="L368" i="19"/>
  <c r="AA368" i="19" s="1"/>
  <c r="G368" i="19"/>
  <c r="F368" i="19"/>
  <c r="E368" i="19"/>
  <c r="A368" i="19" s="1"/>
  <c r="D368" i="19"/>
  <c r="C368" i="19"/>
  <c r="L367" i="19"/>
  <c r="AA367" i="19" s="1"/>
  <c r="G367" i="19"/>
  <c r="F367" i="19"/>
  <c r="E367" i="19"/>
  <c r="A367" i="19" s="1"/>
  <c r="D367" i="19"/>
  <c r="C367" i="19"/>
  <c r="L366" i="19"/>
  <c r="AA366" i="19" s="1"/>
  <c r="G366" i="19"/>
  <c r="F366" i="19"/>
  <c r="E366" i="19"/>
  <c r="A366" i="19" s="1"/>
  <c r="D366" i="19"/>
  <c r="C366" i="19"/>
  <c r="L365" i="19"/>
  <c r="AA365" i="19" s="1"/>
  <c r="G365" i="19"/>
  <c r="F365" i="19"/>
  <c r="E365" i="19"/>
  <c r="A365" i="19" s="1"/>
  <c r="D365" i="19"/>
  <c r="C365" i="19"/>
  <c r="L364" i="19"/>
  <c r="AA364" i="19" s="1"/>
  <c r="G364" i="19"/>
  <c r="F364" i="19"/>
  <c r="E364" i="19"/>
  <c r="A364" i="19" s="1"/>
  <c r="D364" i="19"/>
  <c r="C364" i="19"/>
  <c r="L363" i="19"/>
  <c r="AA363" i="19" s="1"/>
  <c r="G363" i="19"/>
  <c r="F363" i="19"/>
  <c r="E363" i="19"/>
  <c r="A363" i="19" s="1"/>
  <c r="D363" i="19"/>
  <c r="C363" i="19"/>
  <c r="L362" i="19"/>
  <c r="AA362" i="19" s="1"/>
  <c r="G362" i="19"/>
  <c r="F362" i="19"/>
  <c r="E362" i="19"/>
  <c r="A362" i="19" s="1"/>
  <c r="D362" i="19"/>
  <c r="C362" i="19"/>
  <c r="L361" i="19"/>
  <c r="AA361" i="19" s="1"/>
  <c r="G361" i="19"/>
  <c r="F361" i="19"/>
  <c r="E361" i="19"/>
  <c r="A361" i="19" s="1"/>
  <c r="D361" i="19"/>
  <c r="C361" i="19"/>
  <c r="L360" i="19"/>
  <c r="AA360" i="19" s="1"/>
  <c r="G360" i="19"/>
  <c r="F360" i="19"/>
  <c r="E360" i="19"/>
  <c r="A360" i="19" s="1"/>
  <c r="D360" i="19"/>
  <c r="C360" i="19"/>
  <c r="L359" i="19"/>
  <c r="AA359" i="19" s="1"/>
  <c r="G359" i="19"/>
  <c r="F359" i="19"/>
  <c r="E359" i="19"/>
  <c r="A359" i="19" s="1"/>
  <c r="D359" i="19"/>
  <c r="C359" i="19"/>
  <c r="L358" i="19"/>
  <c r="AA358" i="19" s="1"/>
  <c r="G358" i="19"/>
  <c r="F358" i="19"/>
  <c r="E358" i="19"/>
  <c r="A358" i="19" s="1"/>
  <c r="D358" i="19"/>
  <c r="C358" i="19"/>
  <c r="L357" i="19"/>
  <c r="AA357" i="19" s="1"/>
  <c r="G357" i="19"/>
  <c r="F357" i="19"/>
  <c r="E357" i="19"/>
  <c r="A357" i="19" s="1"/>
  <c r="D357" i="19"/>
  <c r="C357" i="19"/>
  <c r="L356" i="19"/>
  <c r="AA356" i="19" s="1"/>
  <c r="G356" i="19"/>
  <c r="F356" i="19"/>
  <c r="E356" i="19"/>
  <c r="A356" i="19" s="1"/>
  <c r="D356" i="19"/>
  <c r="C356" i="19"/>
  <c r="L355" i="19"/>
  <c r="AA355" i="19" s="1"/>
  <c r="G355" i="19"/>
  <c r="F355" i="19"/>
  <c r="E355" i="19"/>
  <c r="A355" i="19" s="1"/>
  <c r="D355" i="19"/>
  <c r="C355" i="19"/>
  <c r="L354" i="19"/>
  <c r="AA354" i="19" s="1"/>
  <c r="G354" i="19"/>
  <c r="F354" i="19"/>
  <c r="E354" i="19"/>
  <c r="A354" i="19" s="1"/>
  <c r="D354" i="19"/>
  <c r="C354" i="19"/>
  <c r="L353" i="19"/>
  <c r="AA353" i="19" s="1"/>
  <c r="G353" i="19"/>
  <c r="F353" i="19"/>
  <c r="E353" i="19"/>
  <c r="A353" i="19" s="1"/>
  <c r="D353" i="19"/>
  <c r="C353" i="19"/>
  <c r="L352" i="19"/>
  <c r="AA352" i="19" s="1"/>
  <c r="G352" i="19"/>
  <c r="F352" i="19"/>
  <c r="E352" i="19"/>
  <c r="A352" i="19" s="1"/>
  <c r="D352" i="19"/>
  <c r="C352" i="19"/>
  <c r="L351" i="19"/>
  <c r="AA351" i="19" s="1"/>
  <c r="G351" i="19"/>
  <c r="F351" i="19"/>
  <c r="E351" i="19"/>
  <c r="A351" i="19" s="1"/>
  <c r="D351" i="19"/>
  <c r="C351" i="19"/>
  <c r="L350" i="19"/>
  <c r="AA350" i="19" s="1"/>
  <c r="G350" i="19"/>
  <c r="F350" i="19"/>
  <c r="E350" i="19"/>
  <c r="A350" i="19" s="1"/>
  <c r="D350" i="19"/>
  <c r="C350" i="19"/>
  <c r="L349" i="19"/>
  <c r="AA349" i="19" s="1"/>
  <c r="G349" i="19"/>
  <c r="F349" i="19"/>
  <c r="E349" i="19"/>
  <c r="A349" i="19" s="1"/>
  <c r="D349" i="19"/>
  <c r="C349" i="19"/>
  <c r="L348" i="19"/>
  <c r="AA348" i="19" s="1"/>
  <c r="G348" i="19"/>
  <c r="F348" i="19"/>
  <c r="E348" i="19"/>
  <c r="A348" i="19" s="1"/>
  <c r="D348" i="19"/>
  <c r="C348" i="19"/>
  <c r="L347" i="19"/>
  <c r="AA347" i="19" s="1"/>
  <c r="G347" i="19"/>
  <c r="F347" i="19"/>
  <c r="E347" i="19"/>
  <c r="A347" i="19" s="1"/>
  <c r="D347" i="19"/>
  <c r="C347" i="19"/>
  <c r="L346" i="19"/>
  <c r="AA346" i="19" s="1"/>
  <c r="G346" i="19"/>
  <c r="F346" i="19"/>
  <c r="E346" i="19"/>
  <c r="A346" i="19" s="1"/>
  <c r="D346" i="19"/>
  <c r="C346" i="19"/>
  <c r="L345" i="19"/>
  <c r="AA345" i="19" s="1"/>
  <c r="G345" i="19"/>
  <c r="F345" i="19"/>
  <c r="E345" i="19"/>
  <c r="A345" i="19" s="1"/>
  <c r="D345" i="19"/>
  <c r="C345" i="19"/>
  <c r="L344" i="19"/>
  <c r="AA344" i="19" s="1"/>
  <c r="G344" i="19"/>
  <c r="F344" i="19"/>
  <c r="E344" i="19"/>
  <c r="A344" i="19" s="1"/>
  <c r="D344" i="19"/>
  <c r="C344" i="19"/>
  <c r="L343" i="19"/>
  <c r="AA343" i="19" s="1"/>
  <c r="G343" i="19"/>
  <c r="F343" i="19"/>
  <c r="E343" i="19"/>
  <c r="A343" i="19" s="1"/>
  <c r="D343" i="19"/>
  <c r="C343" i="19"/>
  <c r="L342" i="19"/>
  <c r="AA342" i="19" s="1"/>
  <c r="G342" i="19"/>
  <c r="F342" i="19"/>
  <c r="E342" i="19"/>
  <c r="A342" i="19" s="1"/>
  <c r="D342" i="19"/>
  <c r="C342" i="19"/>
  <c r="L341" i="19"/>
  <c r="AA341" i="19" s="1"/>
  <c r="G341" i="19"/>
  <c r="F341" i="19"/>
  <c r="E341" i="19"/>
  <c r="A341" i="19" s="1"/>
  <c r="D341" i="19"/>
  <c r="C341" i="19"/>
  <c r="L340" i="19"/>
  <c r="AA340" i="19" s="1"/>
  <c r="G340" i="19"/>
  <c r="F340" i="19"/>
  <c r="E340" i="19"/>
  <c r="A340" i="19" s="1"/>
  <c r="D340" i="19"/>
  <c r="C340" i="19"/>
  <c r="L339" i="19"/>
  <c r="AA339" i="19" s="1"/>
  <c r="G339" i="19"/>
  <c r="F339" i="19"/>
  <c r="E339" i="19"/>
  <c r="A339" i="19" s="1"/>
  <c r="D339" i="19"/>
  <c r="C339" i="19"/>
  <c r="L338" i="19"/>
  <c r="AA338" i="19" s="1"/>
  <c r="G338" i="19"/>
  <c r="F338" i="19"/>
  <c r="E338" i="19"/>
  <c r="A338" i="19" s="1"/>
  <c r="D338" i="19"/>
  <c r="C338" i="19"/>
  <c r="L337" i="19"/>
  <c r="AA337" i="19" s="1"/>
  <c r="G337" i="19"/>
  <c r="F337" i="19"/>
  <c r="E337" i="19"/>
  <c r="A337" i="19" s="1"/>
  <c r="D337" i="19"/>
  <c r="C337" i="19"/>
  <c r="L336" i="19"/>
  <c r="AA336" i="19" s="1"/>
  <c r="G336" i="19"/>
  <c r="F336" i="19"/>
  <c r="E336" i="19"/>
  <c r="A336" i="19" s="1"/>
  <c r="D336" i="19"/>
  <c r="C336" i="19"/>
  <c r="L335" i="19"/>
  <c r="AA335" i="19" s="1"/>
  <c r="G335" i="19"/>
  <c r="F335" i="19"/>
  <c r="E335" i="19"/>
  <c r="A335" i="19" s="1"/>
  <c r="D335" i="19"/>
  <c r="C335" i="19"/>
  <c r="L334" i="19"/>
  <c r="AA334" i="19" s="1"/>
  <c r="G334" i="19"/>
  <c r="F334" i="19"/>
  <c r="E334" i="19"/>
  <c r="A334" i="19" s="1"/>
  <c r="D334" i="19"/>
  <c r="C334" i="19"/>
  <c r="L333" i="19"/>
  <c r="AA333" i="19" s="1"/>
  <c r="G333" i="19"/>
  <c r="F333" i="19"/>
  <c r="E333" i="19"/>
  <c r="A333" i="19" s="1"/>
  <c r="D333" i="19"/>
  <c r="C333" i="19"/>
  <c r="L332" i="19"/>
  <c r="AA332" i="19" s="1"/>
  <c r="G332" i="19"/>
  <c r="F332" i="19"/>
  <c r="E332" i="19"/>
  <c r="A332" i="19" s="1"/>
  <c r="D332" i="19"/>
  <c r="C332" i="19"/>
  <c r="L331" i="19"/>
  <c r="AA331" i="19" s="1"/>
  <c r="G331" i="19"/>
  <c r="F331" i="19"/>
  <c r="E331" i="19"/>
  <c r="A331" i="19" s="1"/>
  <c r="D331" i="19"/>
  <c r="C331" i="19"/>
  <c r="L330" i="19"/>
  <c r="AA330" i="19" s="1"/>
  <c r="G330" i="19"/>
  <c r="F330" i="19"/>
  <c r="E330" i="19"/>
  <c r="A330" i="19" s="1"/>
  <c r="D330" i="19"/>
  <c r="C330" i="19"/>
  <c r="L329" i="19"/>
  <c r="AA329" i="19" s="1"/>
  <c r="G329" i="19"/>
  <c r="F329" i="19"/>
  <c r="E329" i="19"/>
  <c r="A329" i="19" s="1"/>
  <c r="D329" i="19"/>
  <c r="C329" i="19"/>
  <c r="L328" i="19"/>
  <c r="AA328" i="19" s="1"/>
  <c r="G328" i="19"/>
  <c r="F328" i="19"/>
  <c r="E328" i="19"/>
  <c r="A328" i="19" s="1"/>
  <c r="D328" i="19"/>
  <c r="C328" i="19"/>
  <c r="L327" i="19"/>
  <c r="AA327" i="19" s="1"/>
  <c r="G327" i="19"/>
  <c r="F327" i="19"/>
  <c r="E327" i="19"/>
  <c r="A327" i="19" s="1"/>
  <c r="D327" i="19"/>
  <c r="C327" i="19"/>
  <c r="L326" i="19"/>
  <c r="AA326" i="19" s="1"/>
  <c r="G326" i="19"/>
  <c r="F326" i="19"/>
  <c r="E326" i="19"/>
  <c r="A326" i="19" s="1"/>
  <c r="D326" i="19"/>
  <c r="C326" i="19"/>
  <c r="L325" i="19"/>
  <c r="AA325" i="19" s="1"/>
  <c r="G325" i="19"/>
  <c r="F325" i="19"/>
  <c r="E325" i="19"/>
  <c r="A325" i="19" s="1"/>
  <c r="D325" i="19"/>
  <c r="C325" i="19"/>
  <c r="L324" i="19"/>
  <c r="AA324" i="19" s="1"/>
  <c r="G324" i="19"/>
  <c r="F324" i="19"/>
  <c r="E324" i="19"/>
  <c r="A324" i="19" s="1"/>
  <c r="D324" i="19"/>
  <c r="C324" i="19"/>
  <c r="L323" i="19"/>
  <c r="AA323" i="19" s="1"/>
  <c r="G323" i="19"/>
  <c r="F323" i="19"/>
  <c r="E323" i="19"/>
  <c r="A323" i="19" s="1"/>
  <c r="D323" i="19"/>
  <c r="C323" i="19"/>
  <c r="L322" i="19"/>
  <c r="AA322" i="19" s="1"/>
  <c r="G322" i="19"/>
  <c r="F322" i="19"/>
  <c r="E322" i="19"/>
  <c r="A322" i="19" s="1"/>
  <c r="D322" i="19"/>
  <c r="C322" i="19"/>
  <c r="L321" i="19"/>
  <c r="AA321" i="19" s="1"/>
  <c r="G321" i="19"/>
  <c r="F321" i="19"/>
  <c r="E321" i="19"/>
  <c r="A321" i="19" s="1"/>
  <c r="D321" i="19"/>
  <c r="C321" i="19"/>
  <c r="L320" i="19"/>
  <c r="AA320" i="19" s="1"/>
  <c r="G320" i="19"/>
  <c r="F320" i="19"/>
  <c r="E320" i="19"/>
  <c r="A320" i="19" s="1"/>
  <c r="D320" i="19"/>
  <c r="C320" i="19"/>
  <c r="L319" i="19"/>
  <c r="AA319" i="19" s="1"/>
  <c r="G319" i="19"/>
  <c r="F319" i="19"/>
  <c r="E319" i="19"/>
  <c r="A319" i="19" s="1"/>
  <c r="D319" i="19"/>
  <c r="C319" i="19"/>
  <c r="L318" i="19"/>
  <c r="AA318" i="19" s="1"/>
  <c r="G318" i="19"/>
  <c r="F318" i="19"/>
  <c r="E318" i="19"/>
  <c r="A318" i="19" s="1"/>
  <c r="D318" i="19"/>
  <c r="C318" i="19"/>
  <c r="L317" i="19"/>
  <c r="AA317" i="19" s="1"/>
  <c r="G317" i="19"/>
  <c r="F317" i="19"/>
  <c r="E317" i="19"/>
  <c r="A317" i="19" s="1"/>
  <c r="D317" i="19"/>
  <c r="C317" i="19"/>
  <c r="L316" i="19"/>
  <c r="AA316" i="19" s="1"/>
  <c r="G316" i="19"/>
  <c r="F316" i="19"/>
  <c r="E316" i="19"/>
  <c r="A316" i="19" s="1"/>
  <c r="D316" i="19"/>
  <c r="L315" i="19"/>
  <c r="AA315" i="19" s="1"/>
  <c r="G315" i="19"/>
  <c r="F315" i="19"/>
  <c r="E315" i="19"/>
  <c r="A315" i="19" s="1"/>
  <c r="D315" i="19"/>
  <c r="L314" i="19"/>
  <c r="AA314" i="19" s="1"/>
  <c r="G314" i="19"/>
  <c r="F314" i="19"/>
  <c r="E314" i="19"/>
  <c r="A314" i="19" s="1"/>
  <c r="D314" i="19"/>
  <c r="L313" i="19"/>
  <c r="AA313" i="19" s="1"/>
  <c r="G313" i="19"/>
  <c r="F313" i="19"/>
  <c r="E313" i="19"/>
  <c r="A313" i="19" s="1"/>
  <c r="D313" i="19"/>
  <c r="L312" i="19"/>
  <c r="AA312" i="19" s="1"/>
  <c r="G312" i="19"/>
  <c r="F312" i="19"/>
  <c r="E312" i="19"/>
  <c r="A312" i="19" s="1"/>
  <c r="D312" i="19"/>
  <c r="L311" i="19"/>
  <c r="AA311" i="19" s="1"/>
  <c r="G311" i="19"/>
  <c r="F311" i="19"/>
  <c r="E311" i="19"/>
  <c r="A311" i="19" s="1"/>
  <c r="D311" i="19"/>
  <c r="L310" i="19"/>
  <c r="AA310" i="19" s="1"/>
  <c r="G310" i="19"/>
  <c r="F310" i="19"/>
  <c r="E310" i="19"/>
  <c r="A310" i="19" s="1"/>
  <c r="D310" i="19"/>
  <c r="L309" i="19"/>
  <c r="AA309" i="19" s="1"/>
  <c r="G309" i="19"/>
  <c r="F309" i="19"/>
  <c r="E309" i="19"/>
  <c r="A309" i="19" s="1"/>
  <c r="D309" i="19"/>
  <c r="L308" i="19"/>
  <c r="AA308" i="19" s="1"/>
  <c r="G308" i="19"/>
  <c r="F308" i="19"/>
  <c r="E308" i="19"/>
  <c r="A308" i="19" s="1"/>
  <c r="D308" i="19"/>
  <c r="L307" i="19"/>
  <c r="AA307" i="19" s="1"/>
  <c r="G307" i="19"/>
  <c r="F307" i="19"/>
  <c r="E307" i="19"/>
  <c r="A307" i="19" s="1"/>
  <c r="D307" i="19"/>
  <c r="L306" i="19"/>
  <c r="AA306" i="19" s="1"/>
  <c r="G306" i="19"/>
  <c r="F306" i="19"/>
  <c r="E306" i="19"/>
  <c r="A306" i="19" s="1"/>
  <c r="D306" i="19"/>
  <c r="L305" i="19"/>
  <c r="AA305" i="19" s="1"/>
  <c r="G305" i="19"/>
  <c r="F305" i="19"/>
  <c r="E305" i="19"/>
  <c r="A305" i="19" s="1"/>
  <c r="D305" i="19"/>
  <c r="L304" i="19"/>
  <c r="AA304" i="19" s="1"/>
  <c r="G304" i="19"/>
  <c r="F304" i="19"/>
  <c r="E304" i="19"/>
  <c r="A304" i="19" s="1"/>
  <c r="D304" i="19"/>
  <c r="L303" i="19"/>
  <c r="AA303" i="19" s="1"/>
  <c r="G303" i="19"/>
  <c r="F303" i="19"/>
  <c r="E303" i="19"/>
  <c r="A303" i="19" s="1"/>
  <c r="D303" i="19"/>
  <c r="L302" i="19"/>
  <c r="AA302" i="19" s="1"/>
  <c r="G302" i="19"/>
  <c r="F302" i="19"/>
  <c r="E302" i="19"/>
  <c r="A302" i="19" s="1"/>
  <c r="D302" i="19"/>
  <c r="L301" i="19"/>
  <c r="AA301" i="19" s="1"/>
  <c r="G301" i="19"/>
  <c r="F301" i="19"/>
  <c r="E301" i="19"/>
  <c r="A301" i="19" s="1"/>
  <c r="D301" i="19"/>
  <c r="L300" i="19"/>
  <c r="AA300" i="19" s="1"/>
  <c r="G300" i="19"/>
  <c r="F300" i="19"/>
  <c r="E300" i="19"/>
  <c r="A300" i="19" s="1"/>
  <c r="D300" i="19"/>
  <c r="L299" i="19"/>
  <c r="AA299" i="19" s="1"/>
  <c r="G299" i="19"/>
  <c r="F299" i="19"/>
  <c r="E299" i="19"/>
  <c r="A299" i="19" s="1"/>
  <c r="D299" i="19"/>
  <c r="L298" i="19"/>
  <c r="AA298" i="19" s="1"/>
  <c r="G298" i="19"/>
  <c r="F298" i="19"/>
  <c r="E298" i="19"/>
  <c r="A298" i="19" s="1"/>
  <c r="D298" i="19"/>
  <c r="L297" i="19"/>
  <c r="AA297" i="19" s="1"/>
  <c r="G297" i="19"/>
  <c r="F297" i="19"/>
  <c r="E297" i="19"/>
  <c r="A297" i="19" s="1"/>
  <c r="D297" i="19"/>
  <c r="L296" i="19"/>
  <c r="AA296" i="19" s="1"/>
  <c r="G296" i="19"/>
  <c r="F296" i="19"/>
  <c r="E296" i="19"/>
  <c r="A296" i="19" s="1"/>
  <c r="D296" i="19"/>
  <c r="L295" i="19"/>
  <c r="AA295" i="19" s="1"/>
  <c r="G295" i="19"/>
  <c r="F295" i="19"/>
  <c r="E295" i="19"/>
  <c r="A295" i="19" s="1"/>
  <c r="D295" i="19"/>
  <c r="L294" i="19"/>
  <c r="AA294" i="19" s="1"/>
  <c r="G294" i="19"/>
  <c r="F294" i="19"/>
  <c r="E294" i="19"/>
  <c r="A294" i="19" s="1"/>
  <c r="D294" i="19"/>
  <c r="L293" i="19"/>
  <c r="AA293" i="19" s="1"/>
  <c r="G293" i="19"/>
  <c r="F293" i="19"/>
  <c r="E293" i="19"/>
  <c r="A293" i="19" s="1"/>
  <c r="D293" i="19"/>
  <c r="L292" i="19"/>
  <c r="AA292" i="19" s="1"/>
  <c r="G292" i="19"/>
  <c r="F292" i="19"/>
  <c r="E292" i="19"/>
  <c r="A292" i="19" s="1"/>
  <c r="D292" i="19"/>
  <c r="L291" i="19"/>
  <c r="AA291" i="19" s="1"/>
  <c r="G291" i="19"/>
  <c r="F291" i="19"/>
  <c r="E291" i="19"/>
  <c r="A291" i="19" s="1"/>
  <c r="D291" i="19"/>
  <c r="L290" i="19"/>
  <c r="AA290" i="19" s="1"/>
  <c r="G290" i="19"/>
  <c r="F290" i="19"/>
  <c r="E290" i="19"/>
  <c r="A290" i="19" s="1"/>
  <c r="D290" i="19"/>
  <c r="L289" i="19"/>
  <c r="AA289" i="19" s="1"/>
  <c r="G289" i="19"/>
  <c r="F289" i="19"/>
  <c r="E289" i="19"/>
  <c r="A289" i="19" s="1"/>
  <c r="D289" i="19"/>
  <c r="L288" i="19"/>
  <c r="AA288" i="19" s="1"/>
  <c r="G288" i="19"/>
  <c r="F288" i="19"/>
  <c r="E288" i="19"/>
  <c r="A288" i="19" s="1"/>
  <c r="D288" i="19"/>
  <c r="L287" i="19"/>
  <c r="AA287" i="19" s="1"/>
  <c r="G287" i="19"/>
  <c r="F287" i="19"/>
  <c r="E287" i="19"/>
  <c r="A287" i="19" s="1"/>
  <c r="D287" i="19"/>
  <c r="L286" i="19"/>
  <c r="AA286" i="19" s="1"/>
  <c r="G286" i="19"/>
  <c r="F286" i="19"/>
  <c r="E286" i="19"/>
  <c r="A286" i="19" s="1"/>
  <c r="D286" i="19"/>
  <c r="L285" i="19"/>
  <c r="AA285" i="19" s="1"/>
  <c r="G285" i="19"/>
  <c r="F285" i="19"/>
  <c r="E285" i="19"/>
  <c r="A285" i="19" s="1"/>
  <c r="D285" i="19"/>
  <c r="L284" i="19"/>
  <c r="AA284" i="19" s="1"/>
  <c r="G284" i="19"/>
  <c r="F284" i="19"/>
  <c r="E284" i="19"/>
  <c r="A284" i="19" s="1"/>
  <c r="D284" i="19"/>
  <c r="L283" i="19"/>
  <c r="AA283" i="19" s="1"/>
  <c r="G283" i="19"/>
  <c r="F283" i="19"/>
  <c r="E283" i="19"/>
  <c r="A283" i="19" s="1"/>
  <c r="D283" i="19"/>
  <c r="L282" i="19"/>
  <c r="AA282" i="19" s="1"/>
  <c r="G282" i="19"/>
  <c r="F282" i="19"/>
  <c r="E282" i="19"/>
  <c r="A282" i="19" s="1"/>
  <c r="D282" i="19"/>
  <c r="L281" i="19"/>
  <c r="AA281" i="19" s="1"/>
  <c r="G281" i="19"/>
  <c r="F281" i="19"/>
  <c r="E281" i="19"/>
  <c r="A281" i="19" s="1"/>
  <c r="D281" i="19"/>
  <c r="L280" i="19"/>
  <c r="AA280" i="19" s="1"/>
  <c r="G280" i="19"/>
  <c r="F280" i="19"/>
  <c r="E280" i="19"/>
  <c r="A280" i="19" s="1"/>
  <c r="D280" i="19"/>
  <c r="L279" i="19"/>
  <c r="AA279" i="19" s="1"/>
  <c r="G279" i="19"/>
  <c r="F279" i="19"/>
  <c r="E279" i="19"/>
  <c r="A279" i="19" s="1"/>
  <c r="D279" i="19"/>
  <c r="L278" i="19"/>
  <c r="AA278" i="19" s="1"/>
  <c r="G278" i="19"/>
  <c r="F278" i="19"/>
  <c r="E278" i="19"/>
  <c r="A278" i="19" s="1"/>
  <c r="D278" i="19"/>
  <c r="L277" i="19"/>
  <c r="AA277" i="19" s="1"/>
  <c r="G277" i="19"/>
  <c r="F277" i="19"/>
  <c r="E277" i="19"/>
  <c r="A277" i="19" s="1"/>
  <c r="D277" i="19"/>
  <c r="L276" i="19"/>
  <c r="AA276" i="19" s="1"/>
  <c r="G276" i="19"/>
  <c r="F276" i="19"/>
  <c r="E276" i="19"/>
  <c r="A276" i="19" s="1"/>
  <c r="D276" i="19"/>
  <c r="L275" i="19"/>
  <c r="AA275" i="19" s="1"/>
  <c r="G275" i="19"/>
  <c r="F275" i="19"/>
  <c r="E275" i="19"/>
  <c r="A275" i="19" s="1"/>
  <c r="D275" i="19"/>
  <c r="L274" i="19"/>
  <c r="AA274" i="19" s="1"/>
  <c r="G274" i="19"/>
  <c r="F274" i="19"/>
  <c r="E274" i="19"/>
  <c r="A274" i="19" s="1"/>
  <c r="D274" i="19"/>
  <c r="L273" i="19"/>
  <c r="AA273" i="19" s="1"/>
  <c r="G273" i="19"/>
  <c r="F273" i="19"/>
  <c r="E273" i="19"/>
  <c r="A273" i="19" s="1"/>
  <c r="D273" i="19"/>
  <c r="L272" i="19"/>
  <c r="AA272" i="19" s="1"/>
  <c r="G272" i="19"/>
  <c r="F272" i="19"/>
  <c r="E272" i="19"/>
  <c r="A272" i="19" s="1"/>
  <c r="D272" i="19"/>
  <c r="L271" i="19"/>
  <c r="AA271" i="19" s="1"/>
  <c r="G271" i="19"/>
  <c r="F271" i="19"/>
  <c r="E271" i="19"/>
  <c r="A271" i="19" s="1"/>
  <c r="D271" i="19"/>
  <c r="L270" i="19"/>
  <c r="AA270" i="19" s="1"/>
  <c r="G270" i="19"/>
  <c r="F270" i="19"/>
  <c r="E270" i="19"/>
  <c r="A270" i="19" s="1"/>
  <c r="D270" i="19"/>
  <c r="L269" i="19"/>
  <c r="AA269" i="19" s="1"/>
  <c r="G269" i="19"/>
  <c r="F269" i="19"/>
  <c r="E269" i="19"/>
  <c r="A269" i="19" s="1"/>
  <c r="D269" i="19"/>
  <c r="L268" i="19"/>
  <c r="AA268" i="19" s="1"/>
  <c r="G268" i="19"/>
  <c r="F268" i="19"/>
  <c r="E268" i="19"/>
  <c r="A268" i="19" s="1"/>
  <c r="D268" i="19"/>
  <c r="L267" i="19"/>
  <c r="AA267" i="19" s="1"/>
  <c r="G267" i="19"/>
  <c r="F267" i="19"/>
  <c r="E267" i="19"/>
  <c r="A267" i="19" s="1"/>
  <c r="D267" i="19"/>
  <c r="L266" i="19"/>
  <c r="AA266" i="19" s="1"/>
  <c r="G266" i="19"/>
  <c r="F266" i="19"/>
  <c r="E266" i="19"/>
  <c r="A266" i="19" s="1"/>
  <c r="D266" i="19"/>
  <c r="L265" i="19"/>
  <c r="AA265" i="19" s="1"/>
  <c r="G265" i="19"/>
  <c r="F265" i="19"/>
  <c r="E265" i="19"/>
  <c r="A265" i="19" s="1"/>
  <c r="D265" i="19"/>
  <c r="L264" i="19"/>
  <c r="AA264" i="19" s="1"/>
  <c r="G264" i="19"/>
  <c r="F264" i="19"/>
  <c r="E264" i="19"/>
  <c r="A264" i="19" s="1"/>
  <c r="D264" i="19"/>
  <c r="L263" i="19"/>
  <c r="AA263" i="19" s="1"/>
  <c r="G263" i="19"/>
  <c r="F263" i="19"/>
  <c r="E263" i="19"/>
  <c r="A263" i="19" s="1"/>
  <c r="D263" i="19"/>
  <c r="L262" i="19"/>
  <c r="AA262" i="19" s="1"/>
  <c r="G262" i="19"/>
  <c r="F262" i="19"/>
  <c r="E262" i="19"/>
  <c r="A262" i="19" s="1"/>
  <c r="D262" i="19"/>
  <c r="L261" i="19"/>
  <c r="AA261" i="19" s="1"/>
  <c r="G261" i="19"/>
  <c r="F261" i="19"/>
  <c r="E261" i="19"/>
  <c r="A261" i="19" s="1"/>
  <c r="D261" i="19"/>
  <c r="L260" i="19"/>
  <c r="AA260" i="19" s="1"/>
  <c r="G260" i="19"/>
  <c r="F260" i="19"/>
  <c r="E260" i="19"/>
  <c r="A260" i="19" s="1"/>
  <c r="D260" i="19"/>
  <c r="L259" i="19"/>
  <c r="AA259" i="19" s="1"/>
  <c r="G259" i="19"/>
  <c r="F259" i="19"/>
  <c r="E259" i="19"/>
  <c r="A259" i="19" s="1"/>
  <c r="D259" i="19"/>
  <c r="L258" i="19"/>
  <c r="AA258" i="19" s="1"/>
  <c r="G258" i="19"/>
  <c r="F258" i="19"/>
  <c r="E258" i="19"/>
  <c r="A258" i="19" s="1"/>
  <c r="D258" i="19"/>
  <c r="L257" i="19"/>
  <c r="AA257" i="19" s="1"/>
  <c r="G257" i="19"/>
  <c r="F257" i="19"/>
  <c r="E257" i="19"/>
  <c r="A257" i="19" s="1"/>
  <c r="D257" i="19"/>
  <c r="L256" i="19"/>
  <c r="AA256" i="19" s="1"/>
  <c r="G256" i="19"/>
  <c r="F256" i="19"/>
  <c r="E256" i="19"/>
  <c r="A256" i="19" s="1"/>
  <c r="D256" i="19"/>
  <c r="L255" i="19"/>
  <c r="AA255" i="19" s="1"/>
  <c r="G255" i="19"/>
  <c r="F255" i="19"/>
  <c r="E255" i="19"/>
  <c r="A255" i="19" s="1"/>
  <c r="D255" i="19"/>
  <c r="L254" i="19"/>
  <c r="AA254" i="19" s="1"/>
  <c r="G254" i="19"/>
  <c r="F254" i="19"/>
  <c r="E254" i="19"/>
  <c r="A254" i="19" s="1"/>
  <c r="D254" i="19"/>
  <c r="L253" i="19"/>
  <c r="AA253" i="19" s="1"/>
  <c r="G253" i="19"/>
  <c r="F253" i="19"/>
  <c r="E253" i="19"/>
  <c r="A253" i="19" s="1"/>
  <c r="D253" i="19"/>
  <c r="L252" i="19"/>
  <c r="AA252" i="19" s="1"/>
  <c r="G252" i="19"/>
  <c r="F252" i="19"/>
  <c r="E252" i="19"/>
  <c r="A252" i="19" s="1"/>
  <c r="D252" i="19"/>
  <c r="L251" i="19"/>
  <c r="AA251" i="19" s="1"/>
  <c r="G251" i="19"/>
  <c r="F251" i="19"/>
  <c r="E251" i="19"/>
  <c r="A251" i="19" s="1"/>
  <c r="D251" i="19"/>
  <c r="L250" i="19"/>
  <c r="AA250" i="19" s="1"/>
  <c r="G250" i="19"/>
  <c r="F250" i="19"/>
  <c r="E250" i="19"/>
  <c r="A250" i="19" s="1"/>
  <c r="D250" i="19"/>
  <c r="L249" i="19"/>
  <c r="AA249" i="19" s="1"/>
  <c r="G249" i="19"/>
  <c r="F249" i="19"/>
  <c r="E249" i="19"/>
  <c r="A249" i="19" s="1"/>
  <c r="D249" i="19"/>
  <c r="L248" i="19"/>
  <c r="AA248" i="19" s="1"/>
  <c r="G248" i="19"/>
  <c r="F248" i="19"/>
  <c r="E248" i="19"/>
  <c r="A248" i="19" s="1"/>
  <c r="D248" i="19"/>
  <c r="L247" i="19"/>
  <c r="AA247" i="19" s="1"/>
  <c r="G247" i="19"/>
  <c r="F247" i="19"/>
  <c r="E247" i="19"/>
  <c r="A247" i="19" s="1"/>
  <c r="D247" i="19"/>
  <c r="L246" i="19"/>
  <c r="AA246" i="19" s="1"/>
  <c r="G246" i="19"/>
  <c r="F246" i="19"/>
  <c r="E246" i="19"/>
  <c r="A246" i="19" s="1"/>
  <c r="D246" i="19"/>
  <c r="L245" i="19"/>
  <c r="AA245" i="19" s="1"/>
  <c r="G245" i="19"/>
  <c r="F245" i="19"/>
  <c r="E245" i="19"/>
  <c r="A245" i="19" s="1"/>
  <c r="D245" i="19"/>
  <c r="L244" i="19"/>
  <c r="AA244" i="19" s="1"/>
  <c r="G244" i="19"/>
  <c r="F244" i="19"/>
  <c r="E244" i="19"/>
  <c r="A244" i="19" s="1"/>
  <c r="D244" i="19"/>
  <c r="L243" i="19"/>
  <c r="AA243" i="19" s="1"/>
  <c r="G243" i="19"/>
  <c r="F243" i="19"/>
  <c r="E243" i="19"/>
  <c r="A243" i="19" s="1"/>
  <c r="D243" i="19"/>
  <c r="L242" i="19"/>
  <c r="AA242" i="19" s="1"/>
  <c r="G242" i="19"/>
  <c r="F242" i="19"/>
  <c r="E242" i="19"/>
  <c r="A242" i="19" s="1"/>
  <c r="D242" i="19"/>
  <c r="L241" i="19"/>
  <c r="AA241" i="19" s="1"/>
  <c r="G241" i="19"/>
  <c r="F241" i="19"/>
  <c r="E241" i="19"/>
  <c r="A241" i="19" s="1"/>
  <c r="D241" i="19"/>
  <c r="L240" i="19"/>
  <c r="AA240" i="19" s="1"/>
  <c r="G240" i="19"/>
  <c r="F240" i="19"/>
  <c r="E240" i="19"/>
  <c r="A240" i="19" s="1"/>
  <c r="D240" i="19"/>
  <c r="L239" i="19"/>
  <c r="AA239" i="19" s="1"/>
  <c r="G239" i="19"/>
  <c r="F239" i="19"/>
  <c r="E239" i="19"/>
  <c r="A239" i="19" s="1"/>
  <c r="D239" i="19"/>
  <c r="L238" i="19"/>
  <c r="AA238" i="19" s="1"/>
  <c r="G238" i="19"/>
  <c r="F238" i="19"/>
  <c r="E238" i="19"/>
  <c r="A238" i="19" s="1"/>
  <c r="D238" i="19"/>
  <c r="L237" i="19"/>
  <c r="AA237" i="19" s="1"/>
  <c r="G237" i="19"/>
  <c r="F237" i="19"/>
  <c r="E237" i="19"/>
  <c r="A237" i="19" s="1"/>
  <c r="D237" i="19"/>
  <c r="L236" i="19"/>
  <c r="AA236" i="19" s="1"/>
  <c r="G236" i="19"/>
  <c r="F236" i="19"/>
  <c r="E236" i="19"/>
  <c r="A236" i="19" s="1"/>
  <c r="D236" i="19"/>
  <c r="L235" i="19"/>
  <c r="AA235" i="19" s="1"/>
  <c r="G235" i="19"/>
  <c r="F235" i="19"/>
  <c r="E235" i="19"/>
  <c r="A235" i="19" s="1"/>
  <c r="D235" i="19"/>
  <c r="L234" i="19"/>
  <c r="AA234" i="19" s="1"/>
  <c r="G234" i="19"/>
  <c r="F234" i="19"/>
  <c r="E234" i="19"/>
  <c r="A234" i="19" s="1"/>
  <c r="D234" i="19"/>
  <c r="L233" i="19"/>
  <c r="AA233" i="19" s="1"/>
  <c r="G233" i="19"/>
  <c r="F233" i="19"/>
  <c r="E233" i="19"/>
  <c r="A233" i="19" s="1"/>
  <c r="D233" i="19"/>
  <c r="L232" i="19"/>
  <c r="AA232" i="19" s="1"/>
  <c r="G232" i="19"/>
  <c r="F232" i="19"/>
  <c r="E232" i="19"/>
  <c r="A232" i="19" s="1"/>
  <c r="D232" i="19"/>
  <c r="L231" i="19"/>
  <c r="AA231" i="19" s="1"/>
  <c r="G231" i="19"/>
  <c r="F231" i="19"/>
  <c r="E231" i="19"/>
  <c r="A231" i="19" s="1"/>
  <c r="D231" i="19"/>
  <c r="L230" i="19"/>
  <c r="AA230" i="19" s="1"/>
  <c r="G230" i="19"/>
  <c r="F230" i="19"/>
  <c r="E230" i="19"/>
  <c r="A230" i="19" s="1"/>
  <c r="D230" i="19"/>
  <c r="L229" i="19"/>
  <c r="AA229" i="19" s="1"/>
  <c r="G229" i="19"/>
  <c r="F229" i="19"/>
  <c r="E229" i="19"/>
  <c r="A229" i="19" s="1"/>
  <c r="D229" i="19"/>
  <c r="L228" i="19"/>
  <c r="AA228" i="19" s="1"/>
  <c r="G228" i="19"/>
  <c r="F228" i="19"/>
  <c r="E228" i="19"/>
  <c r="A228" i="19" s="1"/>
  <c r="D228" i="19"/>
  <c r="L227" i="19"/>
  <c r="AA227" i="19" s="1"/>
  <c r="G227" i="19"/>
  <c r="F227" i="19"/>
  <c r="E227" i="19"/>
  <c r="A227" i="19" s="1"/>
  <c r="D227" i="19"/>
  <c r="L226" i="19"/>
  <c r="AA226" i="19" s="1"/>
  <c r="G226" i="19"/>
  <c r="F226" i="19"/>
  <c r="E226" i="19"/>
  <c r="A226" i="19" s="1"/>
  <c r="D226" i="19"/>
  <c r="L225" i="19"/>
  <c r="AA225" i="19" s="1"/>
  <c r="G225" i="19"/>
  <c r="F225" i="19"/>
  <c r="E225" i="19"/>
  <c r="A225" i="19" s="1"/>
  <c r="D225" i="19"/>
  <c r="L224" i="19"/>
  <c r="AA224" i="19" s="1"/>
  <c r="G224" i="19"/>
  <c r="F224" i="19"/>
  <c r="E224" i="19"/>
  <c r="A224" i="19" s="1"/>
  <c r="D224" i="19"/>
  <c r="L223" i="19"/>
  <c r="AA223" i="19" s="1"/>
  <c r="G223" i="19"/>
  <c r="F223" i="19"/>
  <c r="E223" i="19"/>
  <c r="A223" i="19" s="1"/>
  <c r="D223" i="19"/>
  <c r="L222" i="19"/>
  <c r="AA222" i="19" s="1"/>
  <c r="G222" i="19"/>
  <c r="F222" i="19"/>
  <c r="E222" i="19"/>
  <c r="A222" i="19" s="1"/>
  <c r="D222" i="19"/>
  <c r="L221" i="19"/>
  <c r="AA221" i="19" s="1"/>
  <c r="G221" i="19"/>
  <c r="F221" i="19"/>
  <c r="E221" i="19"/>
  <c r="A221" i="19" s="1"/>
  <c r="D221" i="19"/>
  <c r="L220" i="19"/>
  <c r="AA220" i="19" s="1"/>
  <c r="G220" i="19"/>
  <c r="F220" i="19"/>
  <c r="E220" i="19"/>
  <c r="A220" i="19" s="1"/>
  <c r="D220" i="19"/>
  <c r="L219" i="19"/>
  <c r="AA219" i="19" s="1"/>
  <c r="G219" i="19"/>
  <c r="F219" i="19"/>
  <c r="E219" i="19"/>
  <c r="A219" i="19" s="1"/>
  <c r="D219" i="19"/>
  <c r="L218" i="19"/>
  <c r="AA218" i="19" s="1"/>
  <c r="G218" i="19"/>
  <c r="F218" i="19"/>
  <c r="E218" i="19"/>
  <c r="A218" i="19" s="1"/>
  <c r="D218" i="19"/>
  <c r="L217" i="19"/>
  <c r="AA217" i="19" s="1"/>
  <c r="G217" i="19"/>
  <c r="F217" i="19"/>
  <c r="E217" i="19"/>
  <c r="A217" i="19" s="1"/>
  <c r="D217" i="19"/>
  <c r="L216" i="19"/>
  <c r="AA216" i="19" s="1"/>
  <c r="G216" i="19"/>
  <c r="F216" i="19"/>
  <c r="E216" i="19"/>
  <c r="A216" i="19" s="1"/>
  <c r="D216" i="19"/>
  <c r="L215" i="19"/>
  <c r="AA215" i="19" s="1"/>
  <c r="G215" i="19"/>
  <c r="F215" i="19"/>
  <c r="E215" i="19"/>
  <c r="A215" i="19" s="1"/>
  <c r="D215" i="19"/>
  <c r="L214" i="19"/>
  <c r="AA214" i="19" s="1"/>
  <c r="G214" i="19"/>
  <c r="F214" i="19"/>
  <c r="E214" i="19"/>
  <c r="A214" i="19" s="1"/>
  <c r="D214" i="19"/>
  <c r="L213" i="19"/>
  <c r="AA213" i="19" s="1"/>
  <c r="G213" i="19"/>
  <c r="F213" i="19"/>
  <c r="E213" i="19"/>
  <c r="A213" i="19" s="1"/>
  <c r="D213" i="19"/>
  <c r="L212" i="19"/>
  <c r="AA212" i="19" s="1"/>
  <c r="G212" i="19"/>
  <c r="F212" i="19"/>
  <c r="E212" i="19"/>
  <c r="A212" i="19" s="1"/>
  <c r="D212" i="19"/>
  <c r="L211" i="19"/>
  <c r="AA211" i="19" s="1"/>
  <c r="G211" i="19"/>
  <c r="F211" i="19"/>
  <c r="E211" i="19"/>
  <c r="A211" i="19" s="1"/>
  <c r="D211" i="19"/>
  <c r="L210" i="19"/>
  <c r="AA210" i="19" s="1"/>
  <c r="G210" i="19"/>
  <c r="F210" i="19"/>
  <c r="E210" i="19"/>
  <c r="A210" i="19" s="1"/>
  <c r="D210" i="19"/>
  <c r="L209" i="19"/>
  <c r="AA209" i="19" s="1"/>
  <c r="G209" i="19"/>
  <c r="F209" i="19"/>
  <c r="E209" i="19"/>
  <c r="A209" i="19" s="1"/>
  <c r="D209" i="19"/>
  <c r="L208" i="19"/>
  <c r="AA208" i="19" s="1"/>
  <c r="G208" i="19"/>
  <c r="F208" i="19"/>
  <c r="E208" i="19"/>
  <c r="A208" i="19" s="1"/>
  <c r="D208" i="19"/>
  <c r="L207" i="19"/>
  <c r="AA207" i="19" s="1"/>
  <c r="G207" i="19"/>
  <c r="F207" i="19"/>
  <c r="E207" i="19"/>
  <c r="A207" i="19" s="1"/>
  <c r="D207" i="19"/>
  <c r="L206" i="19"/>
  <c r="AA206" i="19" s="1"/>
  <c r="G206" i="19"/>
  <c r="F206" i="19"/>
  <c r="E206" i="19"/>
  <c r="A206" i="19" s="1"/>
  <c r="D206" i="19"/>
  <c r="L205" i="19"/>
  <c r="AA205" i="19" s="1"/>
  <c r="G205" i="19"/>
  <c r="F205" i="19"/>
  <c r="E205" i="19"/>
  <c r="A205" i="19" s="1"/>
  <c r="D205" i="19"/>
  <c r="L204" i="19"/>
  <c r="AA204" i="19" s="1"/>
  <c r="G204" i="19"/>
  <c r="F204" i="19"/>
  <c r="E204" i="19"/>
  <c r="A204" i="19" s="1"/>
  <c r="D204" i="19"/>
  <c r="L203" i="19"/>
  <c r="AA203" i="19" s="1"/>
  <c r="G203" i="19"/>
  <c r="F203" i="19"/>
  <c r="E203" i="19"/>
  <c r="A203" i="19" s="1"/>
  <c r="D203" i="19"/>
  <c r="L202" i="19"/>
  <c r="AA202" i="19" s="1"/>
  <c r="G202" i="19"/>
  <c r="F202" i="19"/>
  <c r="E202" i="19"/>
  <c r="A202" i="19" s="1"/>
  <c r="D202" i="19"/>
  <c r="L201" i="19"/>
  <c r="AA201" i="19" s="1"/>
  <c r="G201" i="19"/>
  <c r="F201" i="19"/>
  <c r="E201" i="19"/>
  <c r="A201" i="19" s="1"/>
  <c r="D201" i="19"/>
  <c r="L200" i="19"/>
  <c r="AA200" i="19" s="1"/>
  <c r="G200" i="19"/>
  <c r="F200" i="19"/>
  <c r="E200" i="19"/>
  <c r="A200" i="19" s="1"/>
  <c r="D200" i="19"/>
  <c r="L199" i="19"/>
  <c r="AA199" i="19" s="1"/>
  <c r="G199" i="19"/>
  <c r="F199" i="19"/>
  <c r="E199" i="19"/>
  <c r="A199" i="19" s="1"/>
  <c r="D199" i="19"/>
  <c r="L198" i="19"/>
  <c r="AA198" i="19" s="1"/>
  <c r="G198" i="19"/>
  <c r="F198" i="19"/>
  <c r="E198" i="19"/>
  <c r="A198" i="19" s="1"/>
  <c r="D198" i="19"/>
  <c r="L197" i="19"/>
  <c r="AA197" i="19" s="1"/>
  <c r="G197" i="19"/>
  <c r="F197" i="19"/>
  <c r="E197" i="19"/>
  <c r="A197" i="19" s="1"/>
  <c r="D197" i="19"/>
  <c r="L196" i="19"/>
  <c r="AA196" i="19" s="1"/>
  <c r="G196" i="19"/>
  <c r="F196" i="19"/>
  <c r="E196" i="19"/>
  <c r="A196" i="19" s="1"/>
  <c r="D196" i="19"/>
  <c r="L195" i="19"/>
  <c r="AA195" i="19" s="1"/>
  <c r="G195" i="19"/>
  <c r="F195" i="19"/>
  <c r="E195" i="19"/>
  <c r="A195" i="19" s="1"/>
  <c r="D195" i="19"/>
  <c r="L194" i="19"/>
  <c r="AA194" i="19" s="1"/>
  <c r="G194" i="19"/>
  <c r="F194" i="19"/>
  <c r="E194" i="19"/>
  <c r="A194" i="19" s="1"/>
  <c r="D194" i="19"/>
  <c r="L193" i="19"/>
  <c r="AA193" i="19" s="1"/>
  <c r="G193" i="19"/>
  <c r="F193" i="19"/>
  <c r="E193" i="19"/>
  <c r="A193" i="19" s="1"/>
  <c r="D193" i="19"/>
  <c r="L192" i="19"/>
  <c r="AA192" i="19" s="1"/>
  <c r="G192" i="19"/>
  <c r="F192" i="19"/>
  <c r="E192" i="19"/>
  <c r="A192" i="19" s="1"/>
  <c r="D192" i="19"/>
  <c r="L191" i="19"/>
  <c r="AA191" i="19" s="1"/>
  <c r="G191" i="19"/>
  <c r="F191" i="19"/>
  <c r="E191" i="19"/>
  <c r="A191" i="19" s="1"/>
  <c r="D191" i="19"/>
  <c r="L190" i="19"/>
  <c r="AA190" i="19" s="1"/>
  <c r="G190" i="19"/>
  <c r="F190" i="19"/>
  <c r="E190" i="19"/>
  <c r="A190" i="19" s="1"/>
  <c r="D190" i="19"/>
  <c r="L189" i="19"/>
  <c r="AA189" i="19" s="1"/>
  <c r="G189" i="19"/>
  <c r="F189" i="19"/>
  <c r="E189" i="19"/>
  <c r="A189" i="19" s="1"/>
  <c r="D189" i="19"/>
  <c r="L188" i="19"/>
  <c r="AA188" i="19" s="1"/>
  <c r="G188" i="19"/>
  <c r="F188" i="19"/>
  <c r="E188" i="19"/>
  <c r="A188" i="19" s="1"/>
  <c r="D188" i="19"/>
  <c r="L187" i="19"/>
  <c r="AA187" i="19" s="1"/>
  <c r="G187" i="19"/>
  <c r="F187" i="19"/>
  <c r="E187" i="19"/>
  <c r="A187" i="19" s="1"/>
  <c r="D187" i="19"/>
  <c r="L186" i="19"/>
  <c r="AA186" i="19" s="1"/>
  <c r="G186" i="19"/>
  <c r="F186" i="19"/>
  <c r="E186" i="19"/>
  <c r="A186" i="19" s="1"/>
  <c r="D186" i="19"/>
  <c r="L185" i="19"/>
  <c r="AA185" i="19" s="1"/>
  <c r="G185" i="19"/>
  <c r="F185" i="19"/>
  <c r="E185" i="19"/>
  <c r="A185" i="19" s="1"/>
  <c r="D185" i="19"/>
  <c r="L184" i="19"/>
  <c r="AA184" i="19" s="1"/>
  <c r="G184" i="19"/>
  <c r="F184" i="19"/>
  <c r="E184" i="19"/>
  <c r="A184" i="19" s="1"/>
  <c r="D184" i="19"/>
  <c r="L183" i="19"/>
  <c r="AA183" i="19" s="1"/>
  <c r="G183" i="19"/>
  <c r="F183" i="19"/>
  <c r="E183" i="19"/>
  <c r="A183" i="19" s="1"/>
  <c r="D183" i="19"/>
  <c r="L182" i="19"/>
  <c r="AA182" i="19" s="1"/>
  <c r="G182" i="19"/>
  <c r="F182" i="19"/>
  <c r="E182" i="19"/>
  <c r="A182" i="19" s="1"/>
  <c r="D182" i="19"/>
  <c r="L181" i="19"/>
  <c r="AA181" i="19" s="1"/>
  <c r="G181" i="19"/>
  <c r="F181" i="19"/>
  <c r="E181" i="19"/>
  <c r="A181" i="19" s="1"/>
  <c r="D181" i="19"/>
  <c r="L180" i="19"/>
  <c r="AA180" i="19" s="1"/>
  <c r="G180" i="19"/>
  <c r="F180" i="19"/>
  <c r="E180" i="19"/>
  <c r="A180" i="19" s="1"/>
  <c r="D180" i="19"/>
  <c r="L179" i="19"/>
  <c r="AA179" i="19" s="1"/>
  <c r="G179" i="19"/>
  <c r="F179" i="19"/>
  <c r="E179" i="19"/>
  <c r="A179" i="19" s="1"/>
  <c r="D179" i="19"/>
  <c r="L178" i="19"/>
  <c r="AA178" i="19" s="1"/>
  <c r="G178" i="19"/>
  <c r="F178" i="19"/>
  <c r="E178" i="19"/>
  <c r="A178" i="19" s="1"/>
  <c r="D178" i="19"/>
  <c r="L177" i="19"/>
  <c r="AA177" i="19" s="1"/>
  <c r="G177" i="19"/>
  <c r="F177" i="19"/>
  <c r="E177" i="19"/>
  <c r="A177" i="19" s="1"/>
  <c r="D177" i="19"/>
  <c r="L176" i="19"/>
  <c r="AA176" i="19" s="1"/>
  <c r="G176" i="19"/>
  <c r="F176" i="19"/>
  <c r="E176" i="19"/>
  <c r="A176" i="19" s="1"/>
  <c r="D176" i="19"/>
  <c r="L175" i="19"/>
  <c r="AA175" i="19" s="1"/>
  <c r="G175" i="19"/>
  <c r="F175" i="19"/>
  <c r="E175" i="19"/>
  <c r="A175" i="19" s="1"/>
  <c r="D175" i="19"/>
  <c r="L174" i="19"/>
  <c r="AA174" i="19" s="1"/>
  <c r="G174" i="19"/>
  <c r="F174" i="19"/>
  <c r="E174" i="19"/>
  <c r="A174" i="19" s="1"/>
  <c r="D174" i="19"/>
  <c r="L173" i="19"/>
  <c r="AA173" i="19" s="1"/>
  <c r="G173" i="19"/>
  <c r="F173" i="19"/>
  <c r="E173" i="19"/>
  <c r="A173" i="19" s="1"/>
  <c r="D173" i="19"/>
  <c r="L172" i="19"/>
  <c r="AA172" i="19" s="1"/>
  <c r="G172" i="19"/>
  <c r="F172" i="19"/>
  <c r="E172" i="19"/>
  <c r="A172" i="19" s="1"/>
  <c r="D172" i="19"/>
  <c r="L171" i="19"/>
  <c r="AA171" i="19" s="1"/>
  <c r="G171" i="19"/>
  <c r="F171" i="19"/>
  <c r="E171" i="19"/>
  <c r="A171" i="19" s="1"/>
  <c r="D171" i="19"/>
  <c r="L170" i="19"/>
  <c r="AA170" i="19" s="1"/>
  <c r="G170" i="19"/>
  <c r="F170" i="19"/>
  <c r="E170" i="19"/>
  <c r="A170" i="19" s="1"/>
  <c r="D170" i="19"/>
  <c r="L169" i="19"/>
  <c r="AA169" i="19" s="1"/>
  <c r="G169" i="19"/>
  <c r="F169" i="19"/>
  <c r="E169" i="19"/>
  <c r="A169" i="19" s="1"/>
  <c r="D169" i="19"/>
  <c r="L168" i="19"/>
  <c r="AA168" i="19" s="1"/>
  <c r="G168" i="19"/>
  <c r="F168" i="19"/>
  <c r="E168" i="19"/>
  <c r="A168" i="19" s="1"/>
  <c r="D168" i="19"/>
  <c r="L167" i="19"/>
  <c r="AA167" i="19" s="1"/>
  <c r="G167" i="19"/>
  <c r="F167" i="19"/>
  <c r="E167" i="19"/>
  <c r="A167" i="19" s="1"/>
  <c r="D167" i="19"/>
  <c r="L166" i="19"/>
  <c r="AA166" i="19" s="1"/>
  <c r="G166" i="19"/>
  <c r="F166" i="19"/>
  <c r="E166" i="19"/>
  <c r="A166" i="19" s="1"/>
  <c r="D166" i="19"/>
  <c r="L165" i="19"/>
  <c r="AA165" i="19" s="1"/>
  <c r="G165" i="19"/>
  <c r="F165" i="19"/>
  <c r="E165" i="19"/>
  <c r="A165" i="19" s="1"/>
  <c r="D165" i="19"/>
  <c r="L164" i="19"/>
  <c r="AA164" i="19" s="1"/>
  <c r="G164" i="19"/>
  <c r="F164" i="19"/>
  <c r="E164" i="19"/>
  <c r="A164" i="19" s="1"/>
  <c r="D164" i="19"/>
  <c r="L163" i="19"/>
  <c r="AA163" i="19" s="1"/>
  <c r="G163" i="19"/>
  <c r="F163" i="19"/>
  <c r="E163" i="19"/>
  <c r="A163" i="19" s="1"/>
  <c r="D163" i="19"/>
  <c r="L162" i="19"/>
  <c r="AA162" i="19" s="1"/>
  <c r="G162" i="19"/>
  <c r="F162" i="19"/>
  <c r="E162" i="19"/>
  <c r="A162" i="19" s="1"/>
  <c r="D162" i="19"/>
  <c r="L161" i="19"/>
  <c r="AA161" i="19" s="1"/>
  <c r="G161" i="19"/>
  <c r="F161" i="19"/>
  <c r="E161" i="19"/>
  <c r="A161" i="19" s="1"/>
  <c r="D161" i="19"/>
  <c r="L160" i="19"/>
  <c r="AA160" i="19" s="1"/>
  <c r="G160" i="19"/>
  <c r="F160" i="19"/>
  <c r="E160" i="19"/>
  <c r="A160" i="19" s="1"/>
  <c r="D160" i="19"/>
  <c r="L159" i="19"/>
  <c r="AA159" i="19" s="1"/>
  <c r="G159" i="19"/>
  <c r="F159" i="19"/>
  <c r="E159" i="19"/>
  <c r="A159" i="19" s="1"/>
  <c r="D159" i="19"/>
  <c r="L158" i="19"/>
  <c r="AA158" i="19" s="1"/>
  <c r="G158" i="19"/>
  <c r="F158" i="19"/>
  <c r="E158" i="19"/>
  <c r="A158" i="19" s="1"/>
  <c r="D158" i="19"/>
  <c r="L157" i="19"/>
  <c r="AA157" i="19" s="1"/>
  <c r="G157" i="19"/>
  <c r="F157" i="19"/>
  <c r="E157" i="19"/>
  <c r="A157" i="19" s="1"/>
  <c r="D157" i="19"/>
  <c r="L156" i="19"/>
  <c r="AA156" i="19" s="1"/>
  <c r="G156" i="19"/>
  <c r="F156" i="19"/>
  <c r="E156" i="19"/>
  <c r="A156" i="19" s="1"/>
  <c r="D156" i="19"/>
  <c r="L155" i="19"/>
  <c r="AA155" i="19" s="1"/>
  <c r="G155" i="19"/>
  <c r="F155" i="19"/>
  <c r="E155" i="19"/>
  <c r="A155" i="19" s="1"/>
  <c r="D155" i="19"/>
  <c r="L154" i="19"/>
  <c r="AA154" i="19" s="1"/>
  <c r="G154" i="19"/>
  <c r="F154" i="19"/>
  <c r="E154" i="19"/>
  <c r="A154" i="19" s="1"/>
  <c r="D154" i="19"/>
  <c r="L153" i="19"/>
  <c r="AA153" i="19" s="1"/>
  <c r="G153" i="19"/>
  <c r="F153" i="19"/>
  <c r="E153" i="19"/>
  <c r="A153" i="19" s="1"/>
  <c r="D153" i="19"/>
  <c r="L152" i="19"/>
  <c r="AA152" i="19" s="1"/>
  <c r="G152" i="19"/>
  <c r="F152" i="19"/>
  <c r="E152" i="19"/>
  <c r="A152" i="19" s="1"/>
  <c r="D152" i="19"/>
  <c r="L151" i="19"/>
  <c r="AA151" i="19" s="1"/>
  <c r="G151" i="19"/>
  <c r="F151" i="19"/>
  <c r="E151" i="19"/>
  <c r="A151" i="19" s="1"/>
  <c r="D151" i="19"/>
  <c r="L150" i="19"/>
  <c r="AA150" i="19" s="1"/>
  <c r="G150" i="19"/>
  <c r="F150" i="19"/>
  <c r="E150" i="19"/>
  <c r="A150" i="19" s="1"/>
  <c r="D150" i="19"/>
  <c r="L149" i="19"/>
  <c r="AA149" i="19" s="1"/>
  <c r="G149" i="19"/>
  <c r="F149" i="19"/>
  <c r="E149" i="19"/>
  <c r="A149" i="19" s="1"/>
  <c r="D149" i="19"/>
  <c r="L148" i="19"/>
  <c r="AA148" i="19" s="1"/>
  <c r="G148" i="19"/>
  <c r="F148" i="19"/>
  <c r="E148" i="19"/>
  <c r="A148" i="19" s="1"/>
  <c r="D148" i="19"/>
  <c r="L147" i="19"/>
  <c r="AA147" i="19" s="1"/>
  <c r="G147" i="19"/>
  <c r="F147" i="19"/>
  <c r="E147" i="19"/>
  <c r="A147" i="19" s="1"/>
  <c r="D147" i="19"/>
  <c r="L146" i="19"/>
  <c r="AA146" i="19" s="1"/>
  <c r="G146" i="19"/>
  <c r="F146" i="19"/>
  <c r="E146" i="19"/>
  <c r="A146" i="19" s="1"/>
  <c r="D146" i="19"/>
  <c r="L145" i="19"/>
  <c r="AA145" i="19" s="1"/>
  <c r="G145" i="19"/>
  <c r="F145" i="19"/>
  <c r="E145" i="19"/>
  <c r="A145" i="19" s="1"/>
  <c r="D145" i="19"/>
  <c r="L144" i="19"/>
  <c r="AA144" i="19" s="1"/>
  <c r="G144" i="19"/>
  <c r="F144" i="19"/>
  <c r="E144" i="19"/>
  <c r="A144" i="19" s="1"/>
  <c r="D144" i="19"/>
  <c r="L143" i="19"/>
  <c r="AA143" i="19" s="1"/>
  <c r="G143" i="19"/>
  <c r="F143" i="19"/>
  <c r="E143" i="19"/>
  <c r="A143" i="19" s="1"/>
  <c r="D143" i="19"/>
  <c r="L142" i="19"/>
  <c r="AA142" i="19" s="1"/>
  <c r="G142" i="19"/>
  <c r="F142" i="19"/>
  <c r="E142" i="19"/>
  <c r="A142" i="19" s="1"/>
  <c r="D142" i="19"/>
  <c r="L141" i="19"/>
  <c r="AA141" i="19" s="1"/>
  <c r="G141" i="19"/>
  <c r="F141" i="19"/>
  <c r="E141" i="19"/>
  <c r="A141" i="19" s="1"/>
  <c r="D141" i="19"/>
  <c r="L140" i="19"/>
  <c r="AA140" i="19" s="1"/>
  <c r="G140" i="19"/>
  <c r="F140" i="19"/>
  <c r="E140" i="19"/>
  <c r="A140" i="19" s="1"/>
  <c r="D140" i="19"/>
  <c r="L139" i="19"/>
  <c r="AA139" i="19" s="1"/>
  <c r="G139" i="19"/>
  <c r="F139" i="19"/>
  <c r="E139" i="19"/>
  <c r="A139" i="19" s="1"/>
  <c r="D139" i="19"/>
  <c r="L138" i="19"/>
  <c r="AA138" i="19" s="1"/>
  <c r="G138" i="19"/>
  <c r="F138" i="19"/>
  <c r="E138" i="19"/>
  <c r="A138" i="19" s="1"/>
  <c r="D138" i="19"/>
  <c r="L137" i="19"/>
  <c r="AA137" i="19" s="1"/>
  <c r="G137" i="19"/>
  <c r="F137" i="19"/>
  <c r="E137" i="19"/>
  <c r="A137" i="19" s="1"/>
  <c r="D137" i="19"/>
  <c r="L136" i="19"/>
  <c r="AA136" i="19" s="1"/>
  <c r="G136" i="19"/>
  <c r="F136" i="19"/>
  <c r="E136" i="19"/>
  <c r="A136" i="19" s="1"/>
  <c r="D136" i="19"/>
  <c r="L135" i="19"/>
  <c r="AA135" i="19" s="1"/>
  <c r="G135" i="19"/>
  <c r="F135" i="19"/>
  <c r="E135" i="19"/>
  <c r="A135" i="19" s="1"/>
  <c r="D135" i="19"/>
  <c r="L134" i="19"/>
  <c r="AA134" i="19" s="1"/>
  <c r="G134" i="19"/>
  <c r="F134" i="19"/>
  <c r="E134" i="19"/>
  <c r="A134" i="19" s="1"/>
  <c r="D134" i="19"/>
  <c r="L133" i="19"/>
  <c r="AA133" i="19" s="1"/>
  <c r="G133" i="19"/>
  <c r="F133" i="19"/>
  <c r="E133" i="19"/>
  <c r="A133" i="19" s="1"/>
  <c r="D133" i="19"/>
  <c r="L132" i="19"/>
  <c r="AA132" i="19" s="1"/>
  <c r="G132" i="19"/>
  <c r="F132" i="19"/>
  <c r="E132" i="19"/>
  <c r="A132" i="19" s="1"/>
  <c r="D132" i="19"/>
  <c r="L131" i="19"/>
  <c r="AA131" i="19" s="1"/>
  <c r="G131" i="19"/>
  <c r="F131" i="19"/>
  <c r="E131" i="19"/>
  <c r="A131" i="19" s="1"/>
  <c r="D131" i="19"/>
  <c r="L130" i="19"/>
  <c r="AA130" i="19" s="1"/>
  <c r="G130" i="19"/>
  <c r="F130" i="19"/>
  <c r="E130" i="19"/>
  <c r="A130" i="19" s="1"/>
  <c r="D130" i="19"/>
  <c r="L129" i="19"/>
  <c r="AA129" i="19" s="1"/>
  <c r="G129" i="19"/>
  <c r="F129" i="19"/>
  <c r="E129" i="19"/>
  <c r="A129" i="19" s="1"/>
  <c r="D129" i="19"/>
  <c r="L128" i="19"/>
  <c r="AA128" i="19" s="1"/>
  <c r="G128" i="19"/>
  <c r="F128" i="19"/>
  <c r="E128" i="19"/>
  <c r="A128" i="19" s="1"/>
  <c r="D128" i="19"/>
  <c r="L127" i="19"/>
  <c r="AA127" i="19" s="1"/>
  <c r="G127" i="19"/>
  <c r="F127" i="19"/>
  <c r="E127" i="19"/>
  <c r="A127" i="19" s="1"/>
  <c r="D127" i="19"/>
  <c r="L126" i="19"/>
  <c r="AA126" i="19" s="1"/>
  <c r="G126" i="19"/>
  <c r="F126" i="19"/>
  <c r="E126" i="19"/>
  <c r="A126" i="19" s="1"/>
  <c r="D126" i="19"/>
  <c r="L125" i="19"/>
  <c r="AA125" i="19" s="1"/>
  <c r="G125" i="19"/>
  <c r="F125" i="19"/>
  <c r="E125" i="19"/>
  <c r="A125" i="19" s="1"/>
  <c r="D125" i="19"/>
  <c r="L124" i="19"/>
  <c r="AA124" i="19" s="1"/>
  <c r="G124" i="19"/>
  <c r="F124" i="19"/>
  <c r="E124" i="19"/>
  <c r="A124" i="19" s="1"/>
  <c r="D124" i="19"/>
  <c r="L123" i="19"/>
  <c r="AA123" i="19" s="1"/>
  <c r="G123" i="19"/>
  <c r="F123" i="19"/>
  <c r="E123" i="19"/>
  <c r="A123" i="19" s="1"/>
  <c r="D123" i="19"/>
  <c r="L122" i="19"/>
  <c r="AA122" i="19" s="1"/>
  <c r="G122" i="19"/>
  <c r="F122" i="19"/>
  <c r="E122" i="19"/>
  <c r="A122" i="19" s="1"/>
  <c r="D122" i="19"/>
  <c r="L121" i="19"/>
  <c r="AA121" i="19" s="1"/>
  <c r="G121" i="19"/>
  <c r="F121" i="19"/>
  <c r="E121" i="19"/>
  <c r="A121" i="19" s="1"/>
  <c r="D121" i="19"/>
  <c r="L120" i="19"/>
  <c r="AA120" i="19" s="1"/>
  <c r="G120" i="19"/>
  <c r="F120" i="19"/>
  <c r="E120" i="19"/>
  <c r="A120" i="19" s="1"/>
  <c r="D120" i="19"/>
  <c r="L119" i="19"/>
  <c r="AA119" i="19" s="1"/>
  <c r="G119" i="19"/>
  <c r="F119" i="19"/>
  <c r="E119" i="19"/>
  <c r="A119" i="19" s="1"/>
  <c r="D119" i="19"/>
  <c r="L118" i="19"/>
  <c r="AA118" i="19" s="1"/>
  <c r="G118" i="19"/>
  <c r="F118" i="19"/>
  <c r="E118" i="19"/>
  <c r="A118" i="19" s="1"/>
  <c r="D118" i="19"/>
  <c r="L117" i="19"/>
  <c r="AA117" i="19" s="1"/>
  <c r="G117" i="19"/>
  <c r="F117" i="19"/>
  <c r="E117" i="19"/>
  <c r="A117" i="19" s="1"/>
  <c r="D117" i="19"/>
  <c r="L116" i="19"/>
  <c r="AA116" i="19" s="1"/>
  <c r="G116" i="19"/>
  <c r="F116" i="19"/>
  <c r="E116" i="19"/>
  <c r="A116" i="19" s="1"/>
  <c r="D116" i="19"/>
  <c r="L115" i="19"/>
  <c r="AA115" i="19" s="1"/>
  <c r="G115" i="19"/>
  <c r="F115" i="19"/>
  <c r="E115" i="19"/>
  <c r="A115" i="19" s="1"/>
  <c r="D115" i="19"/>
  <c r="L114" i="19"/>
  <c r="AA114" i="19" s="1"/>
  <c r="G114" i="19"/>
  <c r="F114" i="19"/>
  <c r="E114" i="19"/>
  <c r="A114" i="19" s="1"/>
  <c r="D114" i="19"/>
  <c r="L113" i="19"/>
  <c r="AA113" i="19" s="1"/>
  <c r="G113" i="19"/>
  <c r="F113" i="19"/>
  <c r="E113" i="19"/>
  <c r="A113" i="19" s="1"/>
  <c r="D113" i="19"/>
  <c r="L112" i="19"/>
  <c r="AA112" i="19" s="1"/>
  <c r="G112" i="19"/>
  <c r="F112" i="19"/>
  <c r="E112" i="19"/>
  <c r="A112" i="19" s="1"/>
  <c r="D112" i="19"/>
  <c r="L111" i="19"/>
  <c r="AA111" i="19" s="1"/>
  <c r="G111" i="19"/>
  <c r="F111" i="19"/>
  <c r="E111" i="19"/>
  <c r="A111" i="19" s="1"/>
  <c r="D111" i="19"/>
  <c r="L110" i="19"/>
  <c r="AA110" i="19" s="1"/>
  <c r="G110" i="19"/>
  <c r="F110" i="19"/>
  <c r="E110" i="19"/>
  <c r="A110" i="19" s="1"/>
  <c r="D110" i="19"/>
  <c r="L109" i="19"/>
  <c r="AA109" i="19" s="1"/>
  <c r="G109" i="19"/>
  <c r="F109" i="19"/>
  <c r="E109" i="19"/>
  <c r="A109" i="19" s="1"/>
  <c r="D109" i="19"/>
  <c r="L108" i="19"/>
  <c r="AA108" i="19" s="1"/>
  <c r="G108" i="19"/>
  <c r="F108" i="19"/>
  <c r="E108" i="19"/>
  <c r="A108" i="19" s="1"/>
  <c r="D108" i="19"/>
  <c r="L107" i="19"/>
  <c r="AA107" i="19" s="1"/>
  <c r="G107" i="19"/>
  <c r="F107" i="19"/>
  <c r="E107" i="19"/>
  <c r="A107" i="19" s="1"/>
  <c r="D107" i="19"/>
  <c r="L106" i="19"/>
  <c r="AA106" i="19" s="1"/>
  <c r="G106" i="19"/>
  <c r="F106" i="19"/>
  <c r="E106" i="19"/>
  <c r="A106" i="19" s="1"/>
  <c r="D106" i="19"/>
  <c r="L105" i="19"/>
  <c r="AA105" i="19" s="1"/>
  <c r="G105" i="19"/>
  <c r="F105" i="19"/>
  <c r="E105" i="19"/>
  <c r="A105" i="19" s="1"/>
  <c r="D105" i="19"/>
  <c r="L104" i="19"/>
  <c r="AA104" i="19" s="1"/>
  <c r="G104" i="19"/>
  <c r="F104" i="19"/>
  <c r="E104" i="19"/>
  <c r="A104" i="19" s="1"/>
  <c r="D104" i="19"/>
  <c r="L103" i="19"/>
  <c r="AA103" i="19" s="1"/>
  <c r="G103" i="19"/>
  <c r="F103" i="19"/>
  <c r="E103" i="19"/>
  <c r="A103" i="19" s="1"/>
  <c r="D103" i="19"/>
  <c r="L102" i="19"/>
  <c r="AA102" i="19" s="1"/>
  <c r="G102" i="19"/>
  <c r="F102" i="19"/>
  <c r="E102" i="19"/>
  <c r="A102" i="19" s="1"/>
  <c r="D102" i="19"/>
  <c r="L101" i="19"/>
  <c r="AA101" i="19" s="1"/>
  <c r="G101" i="19"/>
  <c r="F101" i="19"/>
  <c r="E101" i="19"/>
  <c r="A101" i="19" s="1"/>
  <c r="D101" i="19"/>
  <c r="L100" i="19"/>
  <c r="AA100" i="19" s="1"/>
  <c r="G100" i="19"/>
  <c r="F100" i="19"/>
  <c r="E100" i="19"/>
  <c r="A100" i="19" s="1"/>
  <c r="D100" i="19"/>
  <c r="L99" i="19"/>
  <c r="AA99" i="19" s="1"/>
  <c r="G99" i="19"/>
  <c r="F99" i="19"/>
  <c r="E99" i="19"/>
  <c r="A99" i="19" s="1"/>
  <c r="D99" i="19"/>
  <c r="L98" i="19"/>
  <c r="AA98" i="19" s="1"/>
  <c r="G98" i="19"/>
  <c r="F98" i="19"/>
  <c r="E98" i="19"/>
  <c r="A98" i="19" s="1"/>
  <c r="D98" i="19"/>
  <c r="L97" i="19"/>
  <c r="AA97" i="19" s="1"/>
  <c r="G97" i="19"/>
  <c r="F97" i="19"/>
  <c r="E97" i="19"/>
  <c r="A97" i="19" s="1"/>
  <c r="D97" i="19"/>
  <c r="L96" i="19"/>
  <c r="AA96" i="19" s="1"/>
  <c r="G96" i="19"/>
  <c r="F96" i="19"/>
  <c r="E96" i="19"/>
  <c r="A96" i="19" s="1"/>
  <c r="D96" i="19"/>
  <c r="L95" i="19"/>
  <c r="AA95" i="19" s="1"/>
  <c r="G95" i="19"/>
  <c r="F95" i="19"/>
  <c r="E95" i="19"/>
  <c r="A95" i="19" s="1"/>
  <c r="D95" i="19"/>
  <c r="L94" i="19"/>
  <c r="AA94" i="19" s="1"/>
  <c r="G94" i="19"/>
  <c r="F94" i="19"/>
  <c r="E94" i="19"/>
  <c r="A94" i="19" s="1"/>
  <c r="D94" i="19"/>
  <c r="L93" i="19"/>
  <c r="AA93" i="19" s="1"/>
  <c r="G93" i="19"/>
  <c r="F93" i="19"/>
  <c r="E93" i="19"/>
  <c r="A93" i="19" s="1"/>
  <c r="D93" i="19"/>
  <c r="L92" i="19"/>
  <c r="AA92" i="19" s="1"/>
  <c r="G92" i="19"/>
  <c r="F92" i="19"/>
  <c r="E92" i="19"/>
  <c r="A92" i="19" s="1"/>
  <c r="D92" i="19"/>
  <c r="L91" i="19"/>
  <c r="AA91" i="19" s="1"/>
  <c r="G91" i="19"/>
  <c r="F91" i="19"/>
  <c r="E91" i="19"/>
  <c r="A91" i="19" s="1"/>
  <c r="D91" i="19"/>
  <c r="L90" i="19"/>
  <c r="AA90" i="19" s="1"/>
  <c r="G90" i="19"/>
  <c r="F90" i="19"/>
  <c r="E90" i="19"/>
  <c r="A90" i="19" s="1"/>
  <c r="D90" i="19"/>
  <c r="L89" i="19"/>
  <c r="AA89" i="19" s="1"/>
  <c r="G89" i="19"/>
  <c r="F89" i="19"/>
  <c r="E89" i="19"/>
  <c r="A89" i="19" s="1"/>
  <c r="D89" i="19"/>
  <c r="L88" i="19"/>
  <c r="AA88" i="19" s="1"/>
  <c r="G88" i="19"/>
  <c r="F88" i="19"/>
  <c r="E88" i="19"/>
  <c r="A88" i="19" s="1"/>
  <c r="D88" i="19"/>
  <c r="L87" i="19"/>
  <c r="AA87" i="19" s="1"/>
  <c r="G87" i="19"/>
  <c r="F87" i="19"/>
  <c r="E87" i="19"/>
  <c r="A87" i="19" s="1"/>
  <c r="D87" i="19"/>
  <c r="L86" i="19"/>
  <c r="AA86" i="19" s="1"/>
  <c r="G86" i="19"/>
  <c r="F86" i="19"/>
  <c r="E86" i="19"/>
  <c r="A86" i="19" s="1"/>
  <c r="D86" i="19"/>
  <c r="L85" i="19"/>
  <c r="AA85" i="19" s="1"/>
  <c r="G85" i="19"/>
  <c r="F85" i="19"/>
  <c r="E85" i="19"/>
  <c r="A85" i="19" s="1"/>
  <c r="D85" i="19"/>
  <c r="L84" i="19"/>
  <c r="AA84" i="19" s="1"/>
  <c r="G84" i="19"/>
  <c r="F84" i="19"/>
  <c r="E84" i="19"/>
  <c r="A84" i="19" s="1"/>
  <c r="D84" i="19"/>
  <c r="L83" i="19"/>
  <c r="AA83" i="19" s="1"/>
  <c r="G83" i="19"/>
  <c r="F83" i="19"/>
  <c r="E83" i="19"/>
  <c r="A83" i="19" s="1"/>
  <c r="D83" i="19"/>
  <c r="L82" i="19"/>
  <c r="AA82" i="19" s="1"/>
  <c r="G82" i="19"/>
  <c r="F82" i="19"/>
  <c r="E82" i="19"/>
  <c r="A82" i="19" s="1"/>
  <c r="D82" i="19"/>
  <c r="L81" i="19"/>
  <c r="AA81" i="19" s="1"/>
  <c r="G81" i="19"/>
  <c r="F81" i="19"/>
  <c r="E81" i="19"/>
  <c r="A81" i="19" s="1"/>
  <c r="D81" i="19"/>
  <c r="L80" i="19"/>
  <c r="AA80" i="19" s="1"/>
  <c r="G80" i="19"/>
  <c r="F80" i="19"/>
  <c r="E80" i="19"/>
  <c r="A80" i="19" s="1"/>
  <c r="D80" i="19"/>
  <c r="L79" i="19"/>
  <c r="AA79" i="19" s="1"/>
  <c r="G79" i="19"/>
  <c r="F79" i="19"/>
  <c r="E79" i="19"/>
  <c r="A79" i="19" s="1"/>
  <c r="D79" i="19"/>
  <c r="L78" i="19"/>
  <c r="AA78" i="19" s="1"/>
  <c r="G78" i="19"/>
  <c r="F78" i="19"/>
  <c r="E78" i="19"/>
  <c r="A78" i="19" s="1"/>
  <c r="D78" i="19"/>
  <c r="L77" i="19"/>
  <c r="AA77" i="19" s="1"/>
  <c r="G77" i="19"/>
  <c r="F77" i="19"/>
  <c r="E77" i="19"/>
  <c r="A77" i="19" s="1"/>
  <c r="D77" i="19"/>
  <c r="L76" i="19"/>
  <c r="AA76" i="19" s="1"/>
  <c r="G76" i="19"/>
  <c r="F76" i="19"/>
  <c r="E76" i="19"/>
  <c r="A76" i="19" s="1"/>
  <c r="D76" i="19"/>
  <c r="L75" i="19"/>
  <c r="AA75" i="19" s="1"/>
  <c r="G75" i="19"/>
  <c r="F75" i="19"/>
  <c r="E75" i="19"/>
  <c r="A75" i="19" s="1"/>
  <c r="D75" i="19"/>
  <c r="L74" i="19"/>
  <c r="AA74" i="19" s="1"/>
  <c r="G74" i="19"/>
  <c r="F74" i="19"/>
  <c r="E74" i="19"/>
  <c r="A74" i="19" s="1"/>
  <c r="D74" i="19"/>
  <c r="L73" i="19"/>
  <c r="AA73" i="19" s="1"/>
  <c r="G73" i="19"/>
  <c r="F73" i="19"/>
  <c r="E73" i="19"/>
  <c r="A73" i="19" s="1"/>
  <c r="D73" i="19"/>
  <c r="L72" i="19"/>
  <c r="AA72" i="19" s="1"/>
  <c r="G72" i="19"/>
  <c r="F72" i="19"/>
  <c r="E72" i="19"/>
  <c r="A72" i="19" s="1"/>
  <c r="D72" i="19"/>
  <c r="L71" i="19"/>
  <c r="AA71" i="19" s="1"/>
  <c r="G71" i="19"/>
  <c r="F71" i="19"/>
  <c r="E71" i="19"/>
  <c r="A71" i="19" s="1"/>
  <c r="D71" i="19"/>
  <c r="L70" i="19"/>
  <c r="AA70" i="19" s="1"/>
  <c r="G70" i="19"/>
  <c r="F70" i="19"/>
  <c r="E70" i="19"/>
  <c r="A70" i="19" s="1"/>
  <c r="D70" i="19"/>
  <c r="L69" i="19"/>
  <c r="AA69" i="19" s="1"/>
  <c r="G69" i="19"/>
  <c r="F69" i="19"/>
  <c r="E69" i="19"/>
  <c r="A69" i="19" s="1"/>
  <c r="D69" i="19"/>
  <c r="L68" i="19"/>
  <c r="AA68" i="19" s="1"/>
  <c r="G68" i="19"/>
  <c r="F68" i="19"/>
  <c r="E68" i="19"/>
  <c r="A68" i="19" s="1"/>
  <c r="D68" i="19"/>
  <c r="L67" i="19"/>
  <c r="AA67" i="19" s="1"/>
  <c r="G67" i="19"/>
  <c r="F67" i="19"/>
  <c r="E67" i="19"/>
  <c r="A67" i="19" s="1"/>
  <c r="D67" i="19"/>
  <c r="L66" i="19"/>
  <c r="AA66" i="19" s="1"/>
  <c r="G66" i="19"/>
  <c r="F66" i="19"/>
  <c r="E66" i="19"/>
  <c r="A66" i="19" s="1"/>
  <c r="D66" i="19"/>
  <c r="L65" i="19"/>
  <c r="AA65" i="19" s="1"/>
  <c r="G65" i="19"/>
  <c r="F65" i="19"/>
  <c r="E65" i="19"/>
  <c r="A65" i="19" s="1"/>
  <c r="D65" i="19"/>
  <c r="L64" i="19"/>
  <c r="AA64" i="19" s="1"/>
  <c r="G64" i="19"/>
  <c r="F64" i="19"/>
  <c r="E64" i="19"/>
  <c r="A64" i="19" s="1"/>
  <c r="D64" i="19"/>
  <c r="L63" i="19"/>
  <c r="AA63" i="19" s="1"/>
  <c r="G63" i="19"/>
  <c r="F63" i="19"/>
  <c r="E63" i="19"/>
  <c r="A63" i="19" s="1"/>
  <c r="D63" i="19"/>
  <c r="L62" i="19"/>
  <c r="AA62" i="19" s="1"/>
  <c r="G62" i="19"/>
  <c r="F62" i="19"/>
  <c r="E62" i="19"/>
  <c r="A62" i="19" s="1"/>
  <c r="D62" i="19"/>
  <c r="L61" i="19"/>
  <c r="AA61" i="19" s="1"/>
  <c r="G61" i="19"/>
  <c r="F61" i="19"/>
  <c r="E61" i="19"/>
  <c r="A61" i="19" s="1"/>
  <c r="D61" i="19"/>
  <c r="L60" i="19"/>
  <c r="AA60" i="19" s="1"/>
  <c r="G60" i="19"/>
  <c r="F60" i="19"/>
  <c r="E60" i="19"/>
  <c r="A60" i="19" s="1"/>
  <c r="D60" i="19"/>
  <c r="L59" i="19"/>
  <c r="AA59" i="19" s="1"/>
  <c r="G59" i="19"/>
  <c r="F59" i="19"/>
  <c r="E59" i="19"/>
  <c r="A59" i="19" s="1"/>
  <c r="D59" i="19"/>
  <c r="L58" i="19"/>
  <c r="AA58" i="19" s="1"/>
  <c r="G58" i="19"/>
  <c r="F58" i="19"/>
  <c r="E58" i="19"/>
  <c r="A58" i="19" s="1"/>
  <c r="D58" i="19"/>
  <c r="L57" i="19"/>
  <c r="AA57" i="19" s="1"/>
  <c r="G57" i="19"/>
  <c r="F57" i="19"/>
  <c r="E57" i="19"/>
  <c r="A57" i="19" s="1"/>
  <c r="D57" i="19"/>
  <c r="L56" i="19"/>
  <c r="AA56" i="19" s="1"/>
  <c r="G56" i="19"/>
  <c r="F56" i="19"/>
  <c r="E56" i="19"/>
  <c r="A56" i="19" s="1"/>
  <c r="D56" i="19"/>
  <c r="L55" i="19"/>
  <c r="AA55" i="19" s="1"/>
  <c r="G55" i="19"/>
  <c r="F55" i="19"/>
  <c r="E55" i="19"/>
  <c r="A55" i="19" s="1"/>
  <c r="D55" i="19"/>
  <c r="L54" i="19"/>
  <c r="AA54" i="19" s="1"/>
  <c r="G54" i="19"/>
  <c r="F54" i="19"/>
  <c r="E54" i="19"/>
  <c r="A54" i="19" s="1"/>
  <c r="D54" i="19"/>
  <c r="L53" i="19"/>
  <c r="AA53" i="19" s="1"/>
  <c r="G53" i="19"/>
  <c r="F53" i="19"/>
  <c r="E53" i="19"/>
  <c r="A53" i="19" s="1"/>
  <c r="D53" i="19"/>
  <c r="L52" i="19"/>
  <c r="AA52" i="19" s="1"/>
  <c r="G52" i="19"/>
  <c r="F52" i="19"/>
  <c r="E52" i="19"/>
  <c r="A52" i="19" s="1"/>
  <c r="D52" i="19"/>
  <c r="L51" i="19"/>
  <c r="AA51" i="19" s="1"/>
  <c r="G51" i="19"/>
  <c r="F51" i="19"/>
  <c r="E51" i="19"/>
  <c r="A51" i="19" s="1"/>
  <c r="D51" i="19"/>
  <c r="L50" i="19"/>
  <c r="AA50" i="19" s="1"/>
  <c r="G50" i="19"/>
  <c r="F50" i="19"/>
  <c r="E50" i="19"/>
  <c r="A50" i="19" s="1"/>
  <c r="D50" i="19"/>
  <c r="L49" i="19"/>
  <c r="AA49" i="19" s="1"/>
  <c r="G49" i="19"/>
  <c r="F49" i="19"/>
  <c r="E49" i="19"/>
  <c r="A49" i="19" s="1"/>
  <c r="D49" i="19"/>
  <c r="L48" i="19"/>
  <c r="AA48" i="19" s="1"/>
  <c r="G48" i="19"/>
  <c r="F48" i="19"/>
  <c r="E48" i="19"/>
  <c r="A48" i="19" s="1"/>
  <c r="D48" i="19"/>
  <c r="L47" i="19"/>
  <c r="AA47" i="19" s="1"/>
  <c r="G47" i="19"/>
  <c r="F47" i="19"/>
  <c r="E47" i="19"/>
  <c r="A47" i="19" s="1"/>
  <c r="D47" i="19"/>
  <c r="L46" i="19"/>
  <c r="AA46" i="19" s="1"/>
  <c r="G46" i="19"/>
  <c r="F46" i="19"/>
  <c r="E46" i="19"/>
  <c r="A46" i="19" s="1"/>
  <c r="D46" i="19"/>
  <c r="L45" i="19"/>
  <c r="AA45" i="19" s="1"/>
  <c r="G45" i="19"/>
  <c r="F45" i="19"/>
  <c r="E45" i="19"/>
  <c r="A45" i="19" s="1"/>
  <c r="D45" i="19"/>
  <c r="L44" i="19"/>
  <c r="AA44" i="19" s="1"/>
  <c r="G44" i="19"/>
  <c r="F44" i="19"/>
  <c r="E44" i="19"/>
  <c r="A44" i="19" s="1"/>
  <c r="D44" i="19"/>
  <c r="L43" i="19"/>
  <c r="AA43" i="19" s="1"/>
  <c r="G43" i="19"/>
  <c r="F43" i="19"/>
  <c r="E43" i="19"/>
  <c r="A43" i="19" s="1"/>
  <c r="D43" i="19"/>
  <c r="L42" i="19"/>
  <c r="AA42" i="19" s="1"/>
  <c r="G42" i="19"/>
  <c r="F42" i="19"/>
  <c r="E42" i="19"/>
  <c r="A42" i="19" s="1"/>
  <c r="D42" i="19"/>
  <c r="L41" i="19"/>
  <c r="AA41" i="19" s="1"/>
  <c r="G41" i="19"/>
  <c r="F41" i="19"/>
  <c r="E41" i="19"/>
  <c r="A41" i="19" s="1"/>
  <c r="D41" i="19"/>
  <c r="L40" i="19"/>
  <c r="AA40" i="19" s="1"/>
  <c r="G40" i="19"/>
  <c r="F40" i="19"/>
  <c r="E40" i="19"/>
  <c r="A40" i="19" s="1"/>
  <c r="D40" i="19"/>
  <c r="L39" i="19"/>
  <c r="AA39" i="19" s="1"/>
  <c r="G39" i="19"/>
  <c r="F39" i="19"/>
  <c r="E39" i="19"/>
  <c r="A39" i="19" s="1"/>
  <c r="D39" i="19"/>
  <c r="L38" i="19"/>
  <c r="AA38" i="19" s="1"/>
  <c r="G38" i="19"/>
  <c r="F38" i="19"/>
  <c r="E38" i="19"/>
  <c r="A38" i="19" s="1"/>
  <c r="D38" i="19"/>
  <c r="L37" i="19"/>
  <c r="AA37" i="19" s="1"/>
  <c r="G37" i="19"/>
  <c r="F37" i="19"/>
  <c r="E37" i="19"/>
  <c r="A37" i="19" s="1"/>
  <c r="D37" i="19"/>
  <c r="L36" i="19"/>
  <c r="AA36" i="19" s="1"/>
  <c r="G36" i="19"/>
  <c r="F36" i="19"/>
  <c r="E36" i="19"/>
  <c r="A36" i="19" s="1"/>
  <c r="D36" i="19"/>
  <c r="L35" i="19"/>
  <c r="AA35" i="19" s="1"/>
  <c r="G35" i="19"/>
  <c r="F35" i="19"/>
  <c r="E35" i="19"/>
  <c r="A35" i="19" s="1"/>
  <c r="D35" i="19"/>
  <c r="L34" i="19"/>
  <c r="AA34" i="19" s="1"/>
  <c r="G34" i="19"/>
  <c r="F34" i="19"/>
  <c r="E34" i="19"/>
  <c r="A34" i="19" s="1"/>
  <c r="D34" i="19"/>
  <c r="L33" i="19"/>
  <c r="AA33" i="19" s="1"/>
  <c r="G33" i="19"/>
  <c r="F33" i="19"/>
  <c r="E33" i="19"/>
  <c r="A33" i="19" s="1"/>
  <c r="D33" i="19"/>
  <c r="L32" i="19"/>
  <c r="AA32" i="19" s="1"/>
  <c r="G32" i="19"/>
  <c r="F32" i="19"/>
  <c r="E32" i="19"/>
  <c r="A32" i="19" s="1"/>
  <c r="D32" i="19"/>
  <c r="L31" i="19"/>
  <c r="AA31" i="19" s="1"/>
  <c r="G31" i="19"/>
  <c r="F31" i="19"/>
  <c r="E31" i="19"/>
  <c r="A31" i="19" s="1"/>
  <c r="D31" i="19"/>
  <c r="L30" i="19"/>
  <c r="AA30" i="19" s="1"/>
  <c r="G30" i="19"/>
  <c r="F30" i="19"/>
  <c r="E30" i="19"/>
  <c r="A30" i="19" s="1"/>
  <c r="D30" i="19"/>
  <c r="L29" i="19"/>
  <c r="AA29" i="19" s="1"/>
  <c r="G29" i="19"/>
  <c r="F29" i="19"/>
  <c r="E29" i="19"/>
  <c r="A29" i="19" s="1"/>
  <c r="D29" i="19"/>
  <c r="L28" i="19"/>
  <c r="AA28" i="19" s="1"/>
  <c r="G28" i="19"/>
  <c r="F28" i="19"/>
  <c r="E28" i="19"/>
  <c r="A28" i="19" s="1"/>
  <c r="D28" i="19"/>
  <c r="L27" i="19"/>
  <c r="AA27" i="19" s="1"/>
  <c r="G27" i="19"/>
  <c r="F27" i="19"/>
  <c r="E27" i="19"/>
  <c r="A27" i="19" s="1"/>
  <c r="D27" i="19"/>
  <c r="L26" i="19"/>
  <c r="AA26" i="19" s="1"/>
  <c r="G26" i="19"/>
  <c r="F26" i="19"/>
  <c r="E26" i="19"/>
  <c r="A26" i="19" s="1"/>
  <c r="D26" i="19"/>
  <c r="L25" i="19"/>
  <c r="AA25" i="19" s="1"/>
  <c r="G25" i="19"/>
  <c r="F25" i="19"/>
  <c r="E25" i="19"/>
  <c r="A25" i="19" s="1"/>
  <c r="D25" i="19"/>
  <c r="L24" i="19"/>
  <c r="AA24" i="19" s="1"/>
  <c r="G24" i="19"/>
  <c r="F24" i="19"/>
  <c r="E24" i="19"/>
  <c r="A24" i="19" s="1"/>
  <c r="D24" i="19"/>
  <c r="L23" i="19"/>
  <c r="AA23" i="19" s="1"/>
  <c r="G23" i="19"/>
  <c r="F23" i="19"/>
  <c r="E23" i="19"/>
  <c r="A23" i="19" s="1"/>
  <c r="D23" i="19"/>
  <c r="L22" i="19"/>
  <c r="AA22" i="19" s="1"/>
  <c r="G22" i="19"/>
  <c r="F22" i="19"/>
  <c r="E22" i="19"/>
  <c r="A22" i="19" s="1"/>
  <c r="D22" i="19"/>
  <c r="L21" i="19"/>
  <c r="AA21" i="19" s="1"/>
  <c r="G21" i="19"/>
  <c r="F21" i="19"/>
  <c r="E21" i="19"/>
  <c r="A21" i="19" s="1"/>
  <c r="D21" i="19"/>
  <c r="L20" i="19"/>
  <c r="AA20" i="19" s="1"/>
  <c r="G20" i="19"/>
  <c r="F20" i="19"/>
  <c r="E20" i="19"/>
  <c r="A20" i="19" s="1"/>
  <c r="D20" i="19"/>
  <c r="L19" i="19"/>
  <c r="AA19" i="19" s="1"/>
  <c r="G19" i="19"/>
  <c r="F19" i="19"/>
  <c r="E19" i="19"/>
  <c r="A19" i="19" s="1"/>
  <c r="D19" i="19"/>
  <c r="L18" i="19"/>
  <c r="AA18" i="19" s="1"/>
  <c r="G18" i="19"/>
  <c r="F18" i="19"/>
  <c r="E18" i="19"/>
  <c r="A18" i="19" s="1"/>
  <c r="D18" i="19"/>
  <c r="L17" i="19"/>
  <c r="AA17" i="19" s="1"/>
  <c r="G17" i="19"/>
  <c r="F17" i="19"/>
  <c r="E17" i="19"/>
  <c r="A17" i="19" s="1"/>
  <c r="D17" i="19"/>
  <c r="L16" i="19"/>
  <c r="AA16" i="19" s="1"/>
  <c r="G16" i="19"/>
  <c r="F16" i="19"/>
  <c r="E16" i="19"/>
  <c r="A16" i="19" s="1"/>
  <c r="D16" i="19"/>
  <c r="L15" i="19"/>
  <c r="AA15" i="19" s="1"/>
  <c r="G15" i="19"/>
  <c r="F15" i="19"/>
  <c r="E15" i="19"/>
  <c r="A15" i="19" s="1"/>
  <c r="D15" i="19"/>
  <c r="L14" i="19"/>
  <c r="AA14" i="19" s="1"/>
  <c r="G14" i="19"/>
  <c r="F14" i="19"/>
  <c r="E14" i="19"/>
  <c r="A14" i="19" s="1"/>
  <c r="D14" i="19"/>
  <c r="L13" i="19"/>
  <c r="AA13" i="19" s="1"/>
  <c r="G13" i="19"/>
  <c r="F13" i="19"/>
  <c r="E13" i="19"/>
  <c r="A13" i="19" s="1"/>
  <c r="D13" i="19"/>
  <c r="L12" i="19"/>
  <c r="AA12" i="19" s="1"/>
  <c r="G12" i="19"/>
  <c r="F12" i="19"/>
  <c r="E12" i="19"/>
  <c r="A12" i="19" s="1"/>
  <c r="D12" i="19"/>
  <c r="L11" i="19"/>
  <c r="AA11" i="19" s="1"/>
  <c r="G11" i="19"/>
  <c r="F11" i="19"/>
  <c r="E11" i="19"/>
  <c r="A11" i="19" s="1"/>
  <c r="D11" i="19"/>
  <c r="L10" i="19"/>
  <c r="AA10" i="19" s="1"/>
  <c r="G10" i="19"/>
  <c r="F10" i="19"/>
  <c r="E10" i="19"/>
  <c r="A10" i="19" s="1"/>
  <c r="D10" i="19"/>
  <c r="L9" i="19"/>
  <c r="AA9" i="19" s="1"/>
  <c r="G9" i="19"/>
  <c r="F9" i="19"/>
  <c r="E9" i="19"/>
  <c r="A9" i="19" s="1"/>
  <c r="D9" i="19"/>
  <c r="L8" i="19"/>
  <c r="AA8" i="19" s="1"/>
  <c r="G8" i="19"/>
  <c r="F8" i="19"/>
  <c r="E8" i="19"/>
  <c r="A8" i="19" s="1"/>
  <c r="D8" i="19"/>
  <c r="L7" i="19"/>
  <c r="AA7" i="19" s="1"/>
  <c r="G7" i="19"/>
  <c r="F7" i="19"/>
  <c r="E7" i="19"/>
  <c r="A7" i="19" s="1"/>
  <c r="EP385" i="35" l="1"/>
  <c r="U21" i="37"/>
  <c r="B34" i="37"/>
  <c r="V21" i="37" l="1"/>
  <c r="B35" i="37"/>
  <c r="EL12" i="35"/>
  <c r="EK12" i="35"/>
  <c r="DR383" i="35"/>
  <c r="E383" i="35"/>
  <c r="B383" i="35"/>
  <c r="DR382" i="35"/>
  <c r="B382" i="35"/>
  <c r="AI381" i="35"/>
  <c r="X379" i="35"/>
  <c r="U379" i="35"/>
  <c r="R379" i="35"/>
  <c r="M379" i="35"/>
  <c r="L379" i="35"/>
  <c r="K379" i="35"/>
  <c r="J379" i="35"/>
  <c r="I379" i="35"/>
  <c r="H379" i="35"/>
  <c r="G379" i="35"/>
  <c r="F379" i="35"/>
  <c r="B379" i="35"/>
  <c r="EE378" i="35"/>
  <c r="DS378" i="35"/>
  <c r="CR378" i="35"/>
  <c r="GO378" i="35" s="1"/>
  <c r="CN378" i="35"/>
  <c r="GK378" i="35" s="1"/>
  <c r="GY378" i="35" s="1"/>
  <c r="AR378" i="35"/>
  <c r="W378" i="35"/>
  <c r="S378" i="35"/>
  <c r="Q378" i="35"/>
  <c r="EE377" i="35"/>
  <c r="DS377" i="35"/>
  <c r="CR377" i="35"/>
  <c r="GO377" i="35" s="1"/>
  <c r="CN377" i="35"/>
  <c r="GK377" i="35" s="1"/>
  <c r="GY377" i="35" s="1"/>
  <c r="AR377" i="35"/>
  <c r="S377" i="35"/>
  <c r="Q377" i="35"/>
  <c r="EE376" i="35"/>
  <c r="DS376" i="35"/>
  <c r="CR376" i="35"/>
  <c r="GO376" i="35" s="1"/>
  <c r="CN376" i="35"/>
  <c r="GK376" i="35" s="1"/>
  <c r="GY376" i="35" s="1"/>
  <c r="AR376" i="35"/>
  <c r="S376" i="35"/>
  <c r="Q376" i="35"/>
  <c r="EE375" i="35"/>
  <c r="DS375" i="35"/>
  <c r="CR375" i="35"/>
  <c r="GO375" i="35" s="1"/>
  <c r="CN375" i="35"/>
  <c r="GK375" i="35" s="1"/>
  <c r="GY375" i="35" s="1"/>
  <c r="AR375" i="35"/>
  <c r="W375" i="35"/>
  <c r="S375" i="35"/>
  <c r="Q375" i="35"/>
  <c r="EE374" i="35"/>
  <c r="DS374" i="35"/>
  <c r="CR374" i="35"/>
  <c r="GO374" i="35" s="1"/>
  <c r="CN374" i="35"/>
  <c r="GK374" i="35" s="1"/>
  <c r="GY374" i="35" s="1"/>
  <c r="AR374" i="35"/>
  <c r="W374" i="35"/>
  <c r="S374" i="35"/>
  <c r="Q374" i="35"/>
  <c r="EE373" i="35"/>
  <c r="DS373" i="35"/>
  <c r="CR373" i="35"/>
  <c r="GO373" i="35" s="1"/>
  <c r="CN373" i="35"/>
  <c r="GK373" i="35" s="1"/>
  <c r="GY373" i="35" s="1"/>
  <c r="AR373" i="35"/>
  <c r="V373" i="35"/>
  <c r="S373" i="35"/>
  <c r="Q373" i="35"/>
  <c r="EE372" i="35"/>
  <c r="DS372" i="35"/>
  <c r="CR372" i="35"/>
  <c r="GO372" i="35" s="1"/>
  <c r="CN372" i="35"/>
  <c r="GK372" i="35" s="1"/>
  <c r="GY372" i="35" s="1"/>
  <c r="AR372" i="35"/>
  <c r="V372" i="35"/>
  <c r="S372" i="35"/>
  <c r="Q372" i="35"/>
  <c r="EE371" i="35"/>
  <c r="DS371" i="35"/>
  <c r="CR371" i="35"/>
  <c r="GO371" i="35" s="1"/>
  <c r="CN371" i="35"/>
  <c r="GK371" i="35" s="1"/>
  <c r="GY371" i="35" s="1"/>
  <c r="AR371" i="35"/>
  <c r="S371" i="35"/>
  <c r="Q371" i="35"/>
  <c r="EE370" i="35"/>
  <c r="DS370" i="35"/>
  <c r="CR370" i="35"/>
  <c r="GO370" i="35" s="1"/>
  <c r="CN370" i="35"/>
  <c r="GK370" i="35" s="1"/>
  <c r="GY370" i="35" s="1"/>
  <c r="AR370" i="35"/>
  <c r="S370" i="35"/>
  <c r="Q370" i="35"/>
  <c r="EE369" i="35"/>
  <c r="DS369" i="35"/>
  <c r="CR369" i="35"/>
  <c r="GO369" i="35" s="1"/>
  <c r="CN369" i="35"/>
  <c r="GK369" i="35" s="1"/>
  <c r="GY369" i="35" s="1"/>
  <c r="AR369" i="35"/>
  <c r="S369" i="35"/>
  <c r="Q369" i="35"/>
  <c r="EE368" i="35"/>
  <c r="DS368" i="35"/>
  <c r="CR368" i="35"/>
  <c r="GO368" i="35" s="1"/>
  <c r="CN368" i="35"/>
  <c r="GK368" i="35" s="1"/>
  <c r="GY368" i="35" s="1"/>
  <c r="AR368" i="35"/>
  <c r="S368" i="35"/>
  <c r="Q368" i="35"/>
  <c r="EE367" i="35"/>
  <c r="DS367" i="35"/>
  <c r="CR367" i="35"/>
  <c r="GO367" i="35" s="1"/>
  <c r="CN367" i="35"/>
  <c r="GK367" i="35" s="1"/>
  <c r="GY367" i="35" s="1"/>
  <c r="AR367" i="35"/>
  <c r="S367" i="35"/>
  <c r="Q367" i="35"/>
  <c r="EE366" i="35"/>
  <c r="DS366" i="35"/>
  <c r="CR366" i="35"/>
  <c r="GO366" i="35" s="1"/>
  <c r="CN366" i="35"/>
  <c r="GK366" i="35" s="1"/>
  <c r="GY366" i="35" s="1"/>
  <c r="AR366" i="35"/>
  <c r="S366" i="35"/>
  <c r="Q366" i="35"/>
  <c r="EE365" i="35"/>
  <c r="DS365" i="35"/>
  <c r="CR365" i="35"/>
  <c r="GO365" i="35" s="1"/>
  <c r="CN365" i="35"/>
  <c r="GK365" i="35" s="1"/>
  <c r="GY365" i="35" s="1"/>
  <c r="AR365" i="35"/>
  <c r="S365" i="35"/>
  <c r="Q365" i="35"/>
  <c r="EE364" i="35"/>
  <c r="DS364" i="35"/>
  <c r="CR364" i="35"/>
  <c r="GO364" i="35" s="1"/>
  <c r="CN364" i="35"/>
  <c r="GK364" i="35" s="1"/>
  <c r="GY364" i="35" s="1"/>
  <c r="AR364" i="35"/>
  <c r="S364" i="35"/>
  <c r="Q364" i="35"/>
  <c r="EE363" i="35"/>
  <c r="DS363" i="35"/>
  <c r="CR363" i="35"/>
  <c r="GO363" i="35" s="1"/>
  <c r="CN363" i="35"/>
  <c r="GK363" i="35" s="1"/>
  <c r="GY363" i="35" s="1"/>
  <c r="AR363" i="35"/>
  <c r="V363" i="35"/>
  <c r="S363" i="35"/>
  <c r="Q363" i="35"/>
  <c r="EE362" i="35"/>
  <c r="DS362" i="35"/>
  <c r="CR362" i="35"/>
  <c r="GO362" i="35" s="1"/>
  <c r="CN362" i="35"/>
  <c r="GK362" i="35" s="1"/>
  <c r="GY362" i="35" s="1"/>
  <c r="AR362" i="35"/>
  <c r="W362" i="35"/>
  <c r="S362" i="35"/>
  <c r="Q362" i="35"/>
  <c r="EE361" i="35"/>
  <c r="DS361" i="35"/>
  <c r="CR361" i="35"/>
  <c r="GO361" i="35" s="1"/>
  <c r="CN361" i="35"/>
  <c r="GK361" i="35" s="1"/>
  <c r="GY361" i="35" s="1"/>
  <c r="AR361" i="35"/>
  <c r="W361" i="35"/>
  <c r="S361" i="35"/>
  <c r="Q361" i="35"/>
  <c r="EE360" i="35"/>
  <c r="DS360" i="35"/>
  <c r="CR360" i="35"/>
  <c r="GO360" i="35" s="1"/>
  <c r="CN360" i="35"/>
  <c r="GK360" i="35" s="1"/>
  <c r="GY360" i="35" s="1"/>
  <c r="AR360" i="35"/>
  <c r="S360" i="35"/>
  <c r="Q360" i="35"/>
  <c r="EE359" i="35"/>
  <c r="DS359" i="35"/>
  <c r="CR359" i="35"/>
  <c r="GO359" i="35" s="1"/>
  <c r="CN359" i="35"/>
  <c r="GK359" i="35" s="1"/>
  <c r="GY359" i="35" s="1"/>
  <c r="AR359" i="35"/>
  <c r="S359" i="35"/>
  <c r="Q359" i="35"/>
  <c r="EE358" i="35"/>
  <c r="DS358" i="35"/>
  <c r="CR358" i="35"/>
  <c r="GO358" i="35" s="1"/>
  <c r="CN358" i="35"/>
  <c r="GK358" i="35" s="1"/>
  <c r="GY358" i="35" s="1"/>
  <c r="AR358" i="35"/>
  <c r="S358" i="35"/>
  <c r="Q358" i="35"/>
  <c r="EE357" i="35"/>
  <c r="DS357" i="35"/>
  <c r="CR357" i="35"/>
  <c r="GO357" i="35" s="1"/>
  <c r="CN357" i="35"/>
  <c r="GK357" i="35" s="1"/>
  <c r="GY357" i="35" s="1"/>
  <c r="AR357" i="35"/>
  <c r="W357" i="35"/>
  <c r="S357" i="35"/>
  <c r="Q357" i="35"/>
  <c r="EE356" i="35"/>
  <c r="DS356" i="35"/>
  <c r="CR356" i="35"/>
  <c r="GO356" i="35" s="1"/>
  <c r="CN356" i="35"/>
  <c r="GK356" i="35" s="1"/>
  <c r="GY356" i="35" s="1"/>
  <c r="AR356" i="35"/>
  <c r="S356" i="35"/>
  <c r="Q356" i="35"/>
  <c r="EE355" i="35"/>
  <c r="DS355" i="35"/>
  <c r="CR355" i="35"/>
  <c r="GO355" i="35" s="1"/>
  <c r="CN355" i="35"/>
  <c r="GK355" i="35" s="1"/>
  <c r="GY355" i="35" s="1"/>
  <c r="AR355" i="35"/>
  <c r="S355" i="35"/>
  <c r="Q355" i="35"/>
  <c r="EE354" i="35"/>
  <c r="DS354" i="35"/>
  <c r="CR354" i="35"/>
  <c r="GO354" i="35" s="1"/>
  <c r="CN354" i="35"/>
  <c r="GK354" i="35" s="1"/>
  <c r="GY354" i="35" s="1"/>
  <c r="AR354" i="35"/>
  <c r="S354" i="35"/>
  <c r="Q354" i="35"/>
  <c r="EE353" i="35"/>
  <c r="DS353" i="35"/>
  <c r="CR353" i="35"/>
  <c r="GO353" i="35" s="1"/>
  <c r="CN353" i="35"/>
  <c r="GK353" i="35" s="1"/>
  <c r="GY353" i="35" s="1"/>
  <c r="AR353" i="35"/>
  <c r="S353" i="35"/>
  <c r="Q353" i="35"/>
  <c r="EE352" i="35"/>
  <c r="DS352" i="35"/>
  <c r="CR352" i="35"/>
  <c r="GO352" i="35" s="1"/>
  <c r="CN352" i="35"/>
  <c r="GK352" i="35" s="1"/>
  <c r="GY352" i="35" s="1"/>
  <c r="AR352" i="35"/>
  <c r="S352" i="35"/>
  <c r="Q352" i="35"/>
  <c r="EE351" i="35"/>
  <c r="DS351" i="35"/>
  <c r="CR351" i="35"/>
  <c r="GO351" i="35" s="1"/>
  <c r="CN351" i="35"/>
  <c r="GK351" i="35" s="1"/>
  <c r="GY351" i="35" s="1"/>
  <c r="AR351" i="35"/>
  <c r="S351" i="35"/>
  <c r="Q351" i="35"/>
  <c r="EE350" i="35"/>
  <c r="DS350" i="35"/>
  <c r="CR350" i="35"/>
  <c r="GO350" i="35" s="1"/>
  <c r="CN350" i="35"/>
  <c r="GK350" i="35" s="1"/>
  <c r="GY350" i="35" s="1"/>
  <c r="AR350" i="35"/>
  <c r="S350" i="35"/>
  <c r="Q350" i="35"/>
  <c r="EE349" i="35"/>
  <c r="DS349" i="35"/>
  <c r="CR349" i="35"/>
  <c r="GO349" i="35" s="1"/>
  <c r="CN349" i="35"/>
  <c r="GK349" i="35" s="1"/>
  <c r="GY349" i="35" s="1"/>
  <c r="AR349" i="35"/>
  <c r="S349" i="35"/>
  <c r="Q349" i="35"/>
  <c r="C349" i="35"/>
  <c r="C350" i="35" s="1"/>
  <c r="C351" i="35" s="1"/>
  <c r="C352" i="35" s="1"/>
  <c r="C353" i="35" s="1"/>
  <c r="C354" i="35" s="1"/>
  <c r="C355" i="35" s="1"/>
  <c r="C356" i="35" s="1"/>
  <c r="C357" i="35" s="1"/>
  <c r="C358" i="35" s="1"/>
  <c r="C359" i="35" s="1"/>
  <c r="C360" i="35" s="1"/>
  <c r="C361" i="35" s="1"/>
  <c r="C362" i="35" s="1"/>
  <c r="C363" i="35" s="1"/>
  <c r="C364" i="35" s="1"/>
  <c r="C365" i="35" s="1"/>
  <c r="C366" i="35" s="1"/>
  <c r="C367" i="35" s="1"/>
  <c r="C368" i="35" s="1"/>
  <c r="C369" i="35" s="1"/>
  <c r="C370" i="35" s="1"/>
  <c r="C371" i="35" s="1"/>
  <c r="C372" i="35" s="1"/>
  <c r="C373" i="35" s="1"/>
  <c r="C374" i="35" s="1"/>
  <c r="C375" i="35" s="1"/>
  <c r="C376" i="35" s="1"/>
  <c r="C377" i="35" s="1"/>
  <c r="C378" i="35" s="1"/>
  <c r="EE348" i="35"/>
  <c r="DS348" i="35"/>
  <c r="CR348" i="35"/>
  <c r="GO348" i="35" s="1"/>
  <c r="CN348" i="35"/>
  <c r="GK348" i="35" s="1"/>
  <c r="GY348" i="35" s="1"/>
  <c r="AR348" i="35"/>
  <c r="V348" i="35"/>
  <c r="S348" i="35"/>
  <c r="Q348" i="35"/>
  <c r="EE347" i="35"/>
  <c r="DS347" i="35"/>
  <c r="CR347" i="35"/>
  <c r="GO347" i="35" s="1"/>
  <c r="CN347" i="35"/>
  <c r="GK347" i="35" s="1"/>
  <c r="GY347" i="35" s="1"/>
  <c r="AR347" i="35"/>
  <c r="W347" i="35"/>
  <c r="Q347" i="35"/>
  <c r="EE346" i="35"/>
  <c r="DS346" i="35"/>
  <c r="CR346" i="35"/>
  <c r="GO346" i="35" s="1"/>
  <c r="CN346" i="35"/>
  <c r="GK346" i="35" s="1"/>
  <c r="GY346" i="35" s="1"/>
  <c r="AR346" i="35"/>
  <c r="Q346" i="35"/>
  <c r="EE345" i="35"/>
  <c r="DS345" i="35"/>
  <c r="CR345" i="35"/>
  <c r="GO345" i="35" s="1"/>
  <c r="CN345" i="35"/>
  <c r="GK345" i="35" s="1"/>
  <c r="GY345" i="35" s="1"/>
  <c r="AR345" i="35"/>
  <c r="Q345" i="35"/>
  <c r="EE344" i="35"/>
  <c r="DS344" i="35"/>
  <c r="CR344" i="35"/>
  <c r="GO344" i="35" s="1"/>
  <c r="CN344" i="35"/>
  <c r="GK344" i="35" s="1"/>
  <c r="GY344" i="35" s="1"/>
  <c r="AR344" i="35"/>
  <c r="W344" i="35"/>
  <c r="Q344" i="35"/>
  <c r="EE343" i="35"/>
  <c r="DS343" i="35"/>
  <c r="CR343" i="35"/>
  <c r="GO343" i="35" s="1"/>
  <c r="CN343" i="35"/>
  <c r="GK343" i="35" s="1"/>
  <c r="GY343" i="35" s="1"/>
  <c r="AR343" i="35"/>
  <c r="W343" i="35"/>
  <c r="Q343" i="35"/>
  <c r="EE342" i="35"/>
  <c r="DS342" i="35"/>
  <c r="CR342" i="35"/>
  <c r="GO342" i="35" s="1"/>
  <c r="CN342" i="35"/>
  <c r="GK342" i="35" s="1"/>
  <c r="GY342" i="35" s="1"/>
  <c r="AR342" i="35"/>
  <c r="V342" i="35"/>
  <c r="Q342" i="35"/>
  <c r="EE341" i="35"/>
  <c r="DS341" i="35"/>
  <c r="CR341" i="35"/>
  <c r="GO341" i="35" s="1"/>
  <c r="CN341" i="35"/>
  <c r="GK341" i="35" s="1"/>
  <c r="GY341" i="35" s="1"/>
  <c r="AR341" i="35"/>
  <c r="V341" i="35"/>
  <c r="Q341" i="35"/>
  <c r="EE340" i="35"/>
  <c r="DS340" i="35"/>
  <c r="CR340" i="35"/>
  <c r="GO340" i="35" s="1"/>
  <c r="CN340" i="35"/>
  <c r="GK340" i="35" s="1"/>
  <c r="GY340" i="35" s="1"/>
  <c r="AR340" i="35"/>
  <c r="Q340" i="35"/>
  <c r="EE339" i="35"/>
  <c r="DS339" i="35"/>
  <c r="CR339" i="35"/>
  <c r="GO339" i="35" s="1"/>
  <c r="CN339" i="35"/>
  <c r="GK339" i="35" s="1"/>
  <c r="GY339" i="35" s="1"/>
  <c r="AR339" i="35"/>
  <c r="Q339" i="35"/>
  <c r="EE338" i="35"/>
  <c r="DS338" i="35"/>
  <c r="CR338" i="35"/>
  <c r="GO338" i="35" s="1"/>
  <c r="CN338" i="35"/>
  <c r="GK338" i="35" s="1"/>
  <c r="GY338" i="35" s="1"/>
  <c r="AR338" i="35"/>
  <c r="Q338" i="35"/>
  <c r="EE337" i="35"/>
  <c r="DS337" i="35"/>
  <c r="CR337" i="35"/>
  <c r="GO337" i="35" s="1"/>
  <c r="CN337" i="35"/>
  <c r="GK337" i="35" s="1"/>
  <c r="GY337" i="35" s="1"/>
  <c r="AR337" i="35"/>
  <c r="Q337" i="35"/>
  <c r="EE336" i="35"/>
  <c r="DS336" i="35"/>
  <c r="CR336" i="35"/>
  <c r="GO336" i="35" s="1"/>
  <c r="CN336" i="35"/>
  <c r="GK336" i="35" s="1"/>
  <c r="GY336" i="35" s="1"/>
  <c r="AR336" i="35"/>
  <c r="Q336" i="35"/>
  <c r="EE335" i="35"/>
  <c r="DS335" i="35"/>
  <c r="CR335" i="35"/>
  <c r="GO335" i="35" s="1"/>
  <c r="CN335" i="35"/>
  <c r="GK335" i="35" s="1"/>
  <c r="GY335" i="35" s="1"/>
  <c r="AR335" i="35"/>
  <c r="Q335" i="35"/>
  <c r="EE334" i="35"/>
  <c r="DS334" i="35"/>
  <c r="CR334" i="35"/>
  <c r="GO334" i="35" s="1"/>
  <c r="CN334" i="35"/>
  <c r="GK334" i="35" s="1"/>
  <c r="GY334" i="35" s="1"/>
  <c r="AR334" i="35"/>
  <c r="Q334" i="35"/>
  <c r="EE333" i="35"/>
  <c r="DS333" i="35"/>
  <c r="CR333" i="35"/>
  <c r="GO333" i="35" s="1"/>
  <c r="CN333" i="35"/>
  <c r="GK333" i="35" s="1"/>
  <c r="GY333" i="35" s="1"/>
  <c r="AR333" i="35"/>
  <c r="Q333" i="35"/>
  <c r="EE332" i="35"/>
  <c r="DS332" i="35"/>
  <c r="CR332" i="35"/>
  <c r="GO332" i="35" s="1"/>
  <c r="CN332" i="35"/>
  <c r="GK332" i="35" s="1"/>
  <c r="GY332" i="35" s="1"/>
  <c r="AR332" i="35"/>
  <c r="V332" i="35"/>
  <c r="Q332" i="35"/>
  <c r="EE331" i="35"/>
  <c r="DS331" i="35"/>
  <c r="CR331" i="35"/>
  <c r="GO331" i="35" s="1"/>
  <c r="CN331" i="35"/>
  <c r="GK331" i="35" s="1"/>
  <c r="GY331" i="35" s="1"/>
  <c r="AR331" i="35"/>
  <c r="W331" i="35"/>
  <c r="Q331" i="35"/>
  <c r="EE330" i="35"/>
  <c r="DS330" i="35"/>
  <c r="CR330" i="35"/>
  <c r="GO330" i="35" s="1"/>
  <c r="CN330" i="35"/>
  <c r="GK330" i="35" s="1"/>
  <c r="GY330" i="35" s="1"/>
  <c r="AR330" i="35"/>
  <c r="W330" i="35"/>
  <c r="Q330" i="35"/>
  <c r="EE329" i="35"/>
  <c r="DS329" i="35"/>
  <c r="CR329" i="35"/>
  <c r="GO329" i="35" s="1"/>
  <c r="CN329" i="35"/>
  <c r="GK329" i="35" s="1"/>
  <c r="GY329" i="35" s="1"/>
  <c r="AR329" i="35"/>
  <c r="Q329" i="35"/>
  <c r="EE328" i="35"/>
  <c r="DS328" i="35"/>
  <c r="CR328" i="35"/>
  <c r="GO328" i="35" s="1"/>
  <c r="CN328" i="35"/>
  <c r="GK328" i="35" s="1"/>
  <c r="GY328" i="35" s="1"/>
  <c r="AR328" i="35"/>
  <c r="Q328" i="35"/>
  <c r="EE327" i="35"/>
  <c r="DS327" i="35"/>
  <c r="CR327" i="35"/>
  <c r="GO327" i="35" s="1"/>
  <c r="CN327" i="35"/>
  <c r="GK327" i="35" s="1"/>
  <c r="GY327" i="35" s="1"/>
  <c r="AR327" i="35"/>
  <c r="Q327" i="35"/>
  <c r="EE326" i="35"/>
  <c r="DS326" i="35"/>
  <c r="CR326" i="35"/>
  <c r="GO326" i="35" s="1"/>
  <c r="CN326" i="35"/>
  <c r="GK326" i="35" s="1"/>
  <c r="GY326" i="35" s="1"/>
  <c r="AR326" i="35"/>
  <c r="W326" i="35"/>
  <c r="Q326" i="35"/>
  <c r="EE325" i="35"/>
  <c r="DS325" i="35"/>
  <c r="CR325" i="35"/>
  <c r="GO325" i="35" s="1"/>
  <c r="CN325" i="35"/>
  <c r="GK325" i="35" s="1"/>
  <c r="GY325" i="35" s="1"/>
  <c r="AR325" i="35"/>
  <c r="Q325" i="35"/>
  <c r="EE324" i="35"/>
  <c r="DS324" i="35"/>
  <c r="CR324" i="35"/>
  <c r="GO324" i="35" s="1"/>
  <c r="CN324" i="35"/>
  <c r="GK324" i="35" s="1"/>
  <c r="GY324" i="35" s="1"/>
  <c r="AR324" i="35"/>
  <c r="Q324" i="35"/>
  <c r="EE323" i="35"/>
  <c r="DS323" i="35"/>
  <c r="CR323" i="35"/>
  <c r="GO323" i="35" s="1"/>
  <c r="CN323" i="35"/>
  <c r="GK323" i="35" s="1"/>
  <c r="GY323" i="35" s="1"/>
  <c r="AR323" i="35"/>
  <c r="Q323" i="35"/>
  <c r="EE322" i="35"/>
  <c r="DS322" i="35"/>
  <c r="CR322" i="35"/>
  <c r="GO322" i="35" s="1"/>
  <c r="CN322" i="35"/>
  <c r="GK322" i="35" s="1"/>
  <c r="GY322" i="35" s="1"/>
  <c r="AR322" i="35"/>
  <c r="Q322" i="35"/>
  <c r="EE321" i="35"/>
  <c r="DS321" i="35"/>
  <c r="CR321" i="35"/>
  <c r="GO321" i="35" s="1"/>
  <c r="CN321" i="35"/>
  <c r="GK321" i="35" s="1"/>
  <c r="GY321" i="35" s="1"/>
  <c r="AR321" i="35"/>
  <c r="Q321" i="35"/>
  <c r="EE320" i="35"/>
  <c r="DS320" i="35"/>
  <c r="CR320" i="35"/>
  <c r="GO320" i="35" s="1"/>
  <c r="CN320" i="35"/>
  <c r="GK320" i="35" s="1"/>
  <c r="GY320" i="35" s="1"/>
  <c r="AR320" i="35"/>
  <c r="Q320" i="35"/>
  <c r="EE319" i="35"/>
  <c r="DS319" i="35"/>
  <c r="CR319" i="35"/>
  <c r="GO319" i="35" s="1"/>
  <c r="CN319" i="35"/>
  <c r="GK319" i="35" s="1"/>
  <c r="GY319" i="35" s="1"/>
  <c r="AR319" i="35"/>
  <c r="Q319" i="35"/>
  <c r="EE318" i="35"/>
  <c r="DS318" i="35"/>
  <c r="CR318" i="35"/>
  <c r="GO318" i="35" s="1"/>
  <c r="CN318" i="35"/>
  <c r="GK318" i="35" s="1"/>
  <c r="GY318" i="35" s="1"/>
  <c r="AR318" i="35"/>
  <c r="Q318" i="35"/>
  <c r="C318" i="35"/>
  <c r="C319" i="35" s="1"/>
  <c r="C320" i="35" s="1"/>
  <c r="C321" i="35" s="1"/>
  <c r="C322" i="35" s="1"/>
  <c r="C323" i="35" s="1"/>
  <c r="C324" i="35" s="1"/>
  <c r="C325" i="35" s="1"/>
  <c r="C326" i="35" s="1"/>
  <c r="C327" i="35" s="1"/>
  <c r="C328" i="35" s="1"/>
  <c r="C329" i="35" s="1"/>
  <c r="C330" i="35" s="1"/>
  <c r="C331" i="35" s="1"/>
  <c r="C332" i="35" s="1"/>
  <c r="C333" i="35" s="1"/>
  <c r="C334" i="35" s="1"/>
  <c r="C335" i="35" s="1"/>
  <c r="C336" i="35" s="1"/>
  <c r="C337" i="35" s="1"/>
  <c r="C338" i="35" s="1"/>
  <c r="C339" i="35" s="1"/>
  <c r="C340" i="35" s="1"/>
  <c r="C341" i="35" s="1"/>
  <c r="C342" i="35" s="1"/>
  <c r="C343" i="35" s="1"/>
  <c r="C344" i="35" s="1"/>
  <c r="C345" i="35" s="1"/>
  <c r="C346" i="35" s="1"/>
  <c r="C347" i="35" s="1"/>
  <c r="EE317" i="35"/>
  <c r="DS317" i="35"/>
  <c r="CR317" i="35"/>
  <c r="GO317" i="35" s="1"/>
  <c r="CN317" i="35"/>
  <c r="GK317" i="35" s="1"/>
  <c r="GY317" i="35" s="1"/>
  <c r="AR317" i="35"/>
  <c r="V317" i="35"/>
  <c r="Q317" i="35"/>
  <c r="EE316" i="35"/>
  <c r="DS316" i="35"/>
  <c r="CR316" i="35"/>
  <c r="GO316" i="35" s="1"/>
  <c r="CN316" i="35"/>
  <c r="GK316" i="35" s="1"/>
  <c r="GY316" i="35" s="1"/>
  <c r="AR316" i="35"/>
  <c r="W316" i="35"/>
  <c r="Q316" i="35"/>
  <c r="E316" i="35"/>
  <c r="EE315" i="35"/>
  <c r="DS315" i="35"/>
  <c r="CR315" i="35"/>
  <c r="GO315" i="35" s="1"/>
  <c r="CN315" i="35"/>
  <c r="GK315" i="35" s="1"/>
  <c r="GY315" i="35" s="1"/>
  <c r="AR315" i="35"/>
  <c r="Q315" i="35"/>
  <c r="E315" i="35"/>
  <c r="EE314" i="35"/>
  <c r="DS314" i="35"/>
  <c r="CR314" i="35"/>
  <c r="GO314" i="35" s="1"/>
  <c r="CN314" i="35"/>
  <c r="GK314" i="35" s="1"/>
  <c r="GY314" i="35" s="1"/>
  <c r="AR314" i="35"/>
  <c r="Q314" i="35"/>
  <c r="E314" i="35"/>
  <c r="CP314" i="35" s="1"/>
  <c r="EE313" i="35"/>
  <c r="DS313" i="35"/>
  <c r="CR313" i="35"/>
  <c r="GO313" i="35" s="1"/>
  <c r="CN313" i="35"/>
  <c r="GK313" i="35" s="1"/>
  <c r="GY313" i="35" s="1"/>
  <c r="AR313" i="35"/>
  <c r="W313" i="35"/>
  <c r="Q313" i="35"/>
  <c r="E313" i="35"/>
  <c r="EE312" i="35"/>
  <c r="DS312" i="35"/>
  <c r="CR312" i="35"/>
  <c r="GO312" i="35" s="1"/>
  <c r="CN312" i="35"/>
  <c r="GK312" i="35" s="1"/>
  <c r="GY312" i="35" s="1"/>
  <c r="AR312" i="35"/>
  <c r="W312" i="35"/>
  <c r="Q312" i="35"/>
  <c r="E312" i="35"/>
  <c r="EE311" i="35"/>
  <c r="DS311" i="35"/>
  <c r="CR311" i="35"/>
  <c r="GO311" i="35" s="1"/>
  <c r="CN311" i="35"/>
  <c r="GK311" i="35" s="1"/>
  <c r="GY311" i="35" s="1"/>
  <c r="AR311" i="35"/>
  <c r="V311" i="35"/>
  <c r="Q311" i="35"/>
  <c r="E311" i="35"/>
  <c r="EE310" i="35"/>
  <c r="DS310" i="35"/>
  <c r="CR310" i="35"/>
  <c r="GO310" i="35" s="1"/>
  <c r="CN310" i="35"/>
  <c r="GK310" i="35" s="1"/>
  <c r="GY310" i="35" s="1"/>
  <c r="AR310" i="35"/>
  <c r="V310" i="35"/>
  <c r="Q310" i="35"/>
  <c r="E310" i="35"/>
  <c r="EE309" i="35"/>
  <c r="DS309" i="35"/>
  <c r="CR309" i="35"/>
  <c r="GO309" i="35" s="1"/>
  <c r="CN309" i="35"/>
  <c r="GK309" i="35" s="1"/>
  <c r="GY309" i="35" s="1"/>
  <c r="AR309" i="35"/>
  <c r="Q309" i="35"/>
  <c r="E309" i="35"/>
  <c r="EE308" i="35"/>
  <c r="DS308" i="35"/>
  <c r="CR308" i="35"/>
  <c r="GO308" i="35" s="1"/>
  <c r="CN308" i="35"/>
  <c r="GK308" i="35" s="1"/>
  <c r="GY308" i="35" s="1"/>
  <c r="AR308" i="35"/>
  <c r="Q308" i="35"/>
  <c r="E308" i="35"/>
  <c r="EE307" i="35"/>
  <c r="DS307" i="35"/>
  <c r="CR307" i="35"/>
  <c r="GO307" i="35" s="1"/>
  <c r="CN307" i="35"/>
  <c r="GK307" i="35" s="1"/>
  <c r="GY307" i="35" s="1"/>
  <c r="AR307" i="35"/>
  <c r="Q307" i="35"/>
  <c r="E307" i="35"/>
  <c r="EE306" i="35"/>
  <c r="DS306" i="35"/>
  <c r="CR306" i="35"/>
  <c r="GO306" i="35" s="1"/>
  <c r="CN306" i="35"/>
  <c r="GK306" i="35" s="1"/>
  <c r="GY306" i="35" s="1"/>
  <c r="AR306" i="35"/>
  <c r="Q306" i="35"/>
  <c r="E306" i="35"/>
  <c r="EE305" i="35"/>
  <c r="DS305" i="35"/>
  <c r="CR305" i="35"/>
  <c r="GO305" i="35" s="1"/>
  <c r="CN305" i="35"/>
  <c r="GK305" i="35" s="1"/>
  <c r="GY305" i="35" s="1"/>
  <c r="AR305" i="35"/>
  <c r="Q305" i="35"/>
  <c r="E305" i="35"/>
  <c r="EE304" i="35"/>
  <c r="DS304" i="35"/>
  <c r="CR304" i="35"/>
  <c r="GO304" i="35" s="1"/>
  <c r="CN304" i="35"/>
  <c r="GK304" i="35" s="1"/>
  <c r="GY304" i="35" s="1"/>
  <c r="AR304" i="35"/>
  <c r="Q304" i="35"/>
  <c r="E304" i="35"/>
  <c r="EE303" i="35"/>
  <c r="DS303" i="35"/>
  <c r="CR303" i="35"/>
  <c r="GO303" i="35" s="1"/>
  <c r="CN303" i="35"/>
  <c r="GK303" i="35" s="1"/>
  <c r="GY303" i="35" s="1"/>
  <c r="AR303" i="35"/>
  <c r="Q303" i="35"/>
  <c r="E303" i="35"/>
  <c r="EE302" i="35"/>
  <c r="DS302" i="35"/>
  <c r="CR302" i="35"/>
  <c r="GO302" i="35" s="1"/>
  <c r="CN302" i="35"/>
  <c r="GK302" i="35" s="1"/>
  <c r="GY302" i="35" s="1"/>
  <c r="AR302" i="35"/>
  <c r="Q302" i="35"/>
  <c r="E302" i="35"/>
  <c r="CP302" i="35" s="1"/>
  <c r="EE301" i="35"/>
  <c r="DS301" i="35"/>
  <c r="CR301" i="35"/>
  <c r="GO301" i="35" s="1"/>
  <c r="CN301" i="35"/>
  <c r="GK301" i="35" s="1"/>
  <c r="GY301" i="35" s="1"/>
  <c r="AR301" i="35"/>
  <c r="V301" i="35"/>
  <c r="Q301" i="35"/>
  <c r="E301" i="35"/>
  <c r="EE300" i="35"/>
  <c r="DS300" i="35"/>
  <c r="CR300" i="35"/>
  <c r="GO300" i="35" s="1"/>
  <c r="CN300" i="35"/>
  <c r="GK300" i="35" s="1"/>
  <c r="GY300" i="35" s="1"/>
  <c r="AR300" i="35"/>
  <c r="W300" i="35"/>
  <c r="Q300" i="35"/>
  <c r="E300" i="35"/>
  <c r="CP300" i="35" s="1"/>
  <c r="EE299" i="35"/>
  <c r="DS299" i="35"/>
  <c r="CR299" i="35"/>
  <c r="GO299" i="35" s="1"/>
  <c r="CN299" i="35"/>
  <c r="GK299" i="35" s="1"/>
  <c r="GY299" i="35" s="1"/>
  <c r="AR299" i="35"/>
  <c r="W299" i="35"/>
  <c r="Q299" i="35"/>
  <c r="E299" i="35"/>
  <c r="EE298" i="35"/>
  <c r="DS298" i="35"/>
  <c r="CR298" i="35"/>
  <c r="GO298" i="35" s="1"/>
  <c r="CN298" i="35"/>
  <c r="GK298" i="35" s="1"/>
  <c r="GY298" i="35" s="1"/>
  <c r="AR298" i="35"/>
  <c r="Q298" i="35"/>
  <c r="E298" i="35"/>
  <c r="CP298" i="35" s="1"/>
  <c r="EE297" i="35"/>
  <c r="DS297" i="35"/>
  <c r="CR297" i="35"/>
  <c r="GO297" i="35" s="1"/>
  <c r="CN297" i="35"/>
  <c r="GK297" i="35" s="1"/>
  <c r="GY297" i="35" s="1"/>
  <c r="AR297" i="35"/>
  <c r="Q297" i="35"/>
  <c r="E297" i="35"/>
  <c r="CP297" i="35" s="1"/>
  <c r="EE296" i="35"/>
  <c r="DS296" i="35"/>
  <c r="CR296" i="35"/>
  <c r="GO296" i="35" s="1"/>
  <c r="CN296" i="35"/>
  <c r="GK296" i="35" s="1"/>
  <c r="GY296" i="35" s="1"/>
  <c r="AR296" i="35"/>
  <c r="Q296" i="35"/>
  <c r="E296" i="35"/>
  <c r="EE295" i="35"/>
  <c r="DS295" i="35"/>
  <c r="CR295" i="35"/>
  <c r="GO295" i="35" s="1"/>
  <c r="CN295" i="35"/>
  <c r="GK295" i="35" s="1"/>
  <c r="GY295" i="35" s="1"/>
  <c r="AR295" i="35"/>
  <c r="W295" i="35"/>
  <c r="Q295" i="35"/>
  <c r="E295" i="35"/>
  <c r="EE294" i="35"/>
  <c r="DS294" i="35"/>
  <c r="CR294" i="35"/>
  <c r="GO294" i="35" s="1"/>
  <c r="CN294" i="35"/>
  <c r="GK294" i="35" s="1"/>
  <c r="GY294" i="35" s="1"/>
  <c r="AR294" i="35"/>
  <c r="Q294" i="35"/>
  <c r="E294" i="35"/>
  <c r="CP294" i="35" s="1"/>
  <c r="EE293" i="35"/>
  <c r="DS293" i="35"/>
  <c r="CR293" i="35"/>
  <c r="GO293" i="35" s="1"/>
  <c r="CN293" i="35"/>
  <c r="GK293" i="35" s="1"/>
  <c r="GY293" i="35" s="1"/>
  <c r="AR293" i="35"/>
  <c r="Q293" i="35"/>
  <c r="E293" i="35"/>
  <c r="CP293" i="35" s="1"/>
  <c r="EE292" i="35"/>
  <c r="DS292" i="35"/>
  <c r="CR292" i="35"/>
  <c r="GO292" i="35" s="1"/>
  <c r="CN292" i="35"/>
  <c r="GK292" i="35" s="1"/>
  <c r="GY292" i="35" s="1"/>
  <c r="AR292" i="35"/>
  <c r="Q292" i="35"/>
  <c r="E292" i="35"/>
  <c r="CP292" i="35" s="1"/>
  <c r="EE291" i="35"/>
  <c r="DS291" i="35"/>
  <c r="CR291" i="35"/>
  <c r="GO291" i="35" s="1"/>
  <c r="CN291" i="35"/>
  <c r="GK291" i="35" s="1"/>
  <c r="GY291" i="35" s="1"/>
  <c r="AR291" i="35"/>
  <c r="Q291" i="35"/>
  <c r="E291" i="35"/>
  <c r="EE290" i="35"/>
  <c r="DS290" i="35"/>
  <c r="CR290" i="35"/>
  <c r="GO290" i="35" s="1"/>
  <c r="CN290" i="35"/>
  <c r="GK290" i="35" s="1"/>
  <c r="GY290" i="35" s="1"/>
  <c r="AR290" i="35"/>
  <c r="Q290" i="35"/>
  <c r="E290" i="35"/>
  <c r="EE289" i="35"/>
  <c r="DS289" i="35"/>
  <c r="CR289" i="35"/>
  <c r="GO289" i="35" s="1"/>
  <c r="CN289" i="35"/>
  <c r="GK289" i="35" s="1"/>
  <c r="GY289" i="35" s="1"/>
  <c r="AR289" i="35"/>
  <c r="Q289" i="35"/>
  <c r="E289" i="35"/>
  <c r="EE288" i="35"/>
  <c r="DS288" i="35"/>
  <c r="CR288" i="35"/>
  <c r="GO288" i="35" s="1"/>
  <c r="CN288" i="35"/>
  <c r="GK288" i="35" s="1"/>
  <c r="GY288" i="35" s="1"/>
  <c r="AR288" i="35"/>
  <c r="Q288" i="35"/>
  <c r="E288" i="35"/>
  <c r="EE287" i="35"/>
  <c r="DS287" i="35"/>
  <c r="CR287" i="35"/>
  <c r="GO287" i="35" s="1"/>
  <c r="CN287" i="35"/>
  <c r="GK287" i="35" s="1"/>
  <c r="GY287" i="35" s="1"/>
  <c r="AR287" i="35"/>
  <c r="Q287" i="35"/>
  <c r="E287" i="35"/>
  <c r="C287" i="35"/>
  <c r="C288" i="35" s="1"/>
  <c r="C289" i="35" s="1"/>
  <c r="C290" i="35" s="1"/>
  <c r="C291" i="35" s="1"/>
  <c r="C292" i="35" s="1"/>
  <c r="C293" i="35" s="1"/>
  <c r="C294" i="35" s="1"/>
  <c r="C295" i="35" s="1"/>
  <c r="C296" i="35" s="1"/>
  <c r="C297" i="35" s="1"/>
  <c r="C298" i="35" s="1"/>
  <c r="C299" i="35" s="1"/>
  <c r="C300" i="35" s="1"/>
  <c r="C301" i="35" s="1"/>
  <c r="C302" i="35" s="1"/>
  <c r="C303" i="35" s="1"/>
  <c r="C304" i="35" s="1"/>
  <c r="C305" i="35" s="1"/>
  <c r="C306" i="35" s="1"/>
  <c r="C307" i="35" s="1"/>
  <c r="C308" i="35" s="1"/>
  <c r="C309" i="35" s="1"/>
  <c r="C310" i="35" s="1"/>
  <c r="C311" i="35" s="1"/>
  <c r="C312" i="35" s="1"/>
  <c r="C313" i="35" s="1"/>
  <c r="C314" i="35" s="1"/>
  <c r="C315" i="35" s="1"/>
  <c r="C316" i="35" s="1"/>
  <c r="EE286" i="35"/>
  <c r="DS286" i="35"/>
  <c r="CR286" i="35"/>
  <c r="GO286" i="35" s="1"/>
  <c r="CN286" i="35"/>
  <c r="GK286" i="35" s="1"/>
  <c r="GY286" i="35" s="1"/>
  <c r="AR286" i="35"/>
  <c r="V286" i="35"/>
  <c r="Q286" i="35"/>
  <c r="E286" i="35"/>
  <c r="EE285" i="35"/>
  <c r="DS285" i="35"/>
  <c r="CR285" i="35"/>
  <c r="GO285" i="35" s="1"/>
  <c r="CN285" i="35"/>
  <c r="GK285" i="35" s="1"/>
  <c r="GY285" i="35" s="1"/>
  <c r="AR285" i="35"/>
  <c r="W285" i="35"/>
  <c r="Q285" i="35"/>
  <c r="E285" i="35"/>
  <c r="EE284" i="35"/>
  <c r="DS284" i="35"/>
  <c r="CR284" i="35"/>
  <c r="GO284" i="35" s="1"/>
  <c r="CN284" i="35"/>
  <c r="GK284" i="35" s="1"/>
  <c r="GY284" i="35" s="1"/>
  <c r="AR284" i="35"/>
  <c r="Q284" i="35"/>
  <c r="E284" i="35"/>
  <c r="EE283" i="35"/>
  <c r="DS283" i="35"/>
  <c r="CR283" i="35"/>
  <c r="GO283" i="35" s="1"/>
  <c r="CN283" i="35"/>
  <c r="GK283" i="35" s="1"/>
  <c r="GY283" i="35" s="1"/>
  <c r="AR283" i="35"/>
  <c r="Q283" i="35"/>
  <c r="E283" i="35"/>
  <c r="EE282" i="35"/>
  <c r="DS282" i="35"/>
  <c r="CR282" i="35"/>
  <c r="GO282" i="35" s="1"/>
  <c r="CN282" i="35"/>
  <c r="GK282" i="35" s="1"/>
  <c r="GY282" i="35" s="1"/>
  <c r="AR282" i="35"/>
  <c r="W282" i="35"/>
  <c r="Q282" i="35"/>
  <c r="E282" i="35"/>
  <c r="EE281" i="35"/>
  <c r="DS281" i="35"/>
  <c r="CR281" i="35"/>
  <c r="GO281" i="35" s="1"/>
  <c r="CN281" i="35"/>
  <c r="GK281" i="35" s="1"/>
  <c r="GY281" i="35" s="1"/>
  <c r="AR281" i="35"/>
  <c r="W281" i="35"/>
  <c r="Q281" i="35"/>
  <c r="E281" i="35"/>
  <c r="CP281" i="35" s="1"/>
  <c r="EE280" i="35"/>
  <c r="DS280" i="35"/>
  <c r="CR280" i="35"/>
  <c r="GO280" i="35" s="1"/>
  <c r="CN280" i="35"/>
  <c r="GK280" i="35" s="1"/>
  <c r="GY280" i="35" s="1"/>
  <c r="AR280" i="35"/>
  <c r="V280" i="35"/>
  <c r="Q280" i="35"/>
  <c r="E280" i="35"/>
  <c r="EE279" i="35"/>
  <c r="DS279" i="35"/>
  <c r="CR279" i="35"/>
  <c r="GO279" i="35" s="1"/>
  <c r="CN279" i="35"/>
  <c r="GK279" i="35" s="1"/>
  <c r="GY279" i="35" s="1"/>
  <c r="AR279" i="35"/>
  <c r="V279" i="35"/>
  <c r="Q279" i="35"/>
  <c r="E279" i="35"/>
  <c r="EE278" i="35"/>
  <c r="DS278" i="35"/>
  <c r="CR278" i="35"/>
  <c r="GO278" i="35" s="1"/>
  <c r="CN278" i="35"/>
  <c r="GK278" i="35" s="1"/>
  <c r="GY278" i="35" s="1"/>
  <c r="AR278" i="35"/>
  <c r="Q278" i="35"/>
  <c r="E278" i="35"/>
  <c r="EE277" i="35"/>
  <c r="DS277" i="35"/>
  <c r="CR277" i="35"/>
  <c r="GO277" i="35" s="1"/>
  <c r="CN277" i="35"/>
  <c r="GK277" i="35" s="1"/>
  <c r="GY277" i="35" s="1"/>
  <c r="AR277" i="35"/>
  <c r="Q277" i="35"/>
  <c r="E277" i="35"/>
  <c r="EE276" i="35"/>
  <c r="DS276" i="35"/>
  <c r="CR276" i="35"/>
  <c r="GO276" i="35" s="1"/>
  <c r="CN276" i="35"/>
  <c r="GK276" i="35" s="1"/>
  <c r="GY276" i="35" s="1"/>
  <c r="AR276" i="35"/>
  <c r="Q276" i="35"/>
  <c r="E276" i="35"/>
  <c r="EE275" i="35"/>
  <c r="DS275" i="35"/>
  <c r="CR275" i="35"/>
  <c r="GO275" i="35" s="1"/>
  <c r="CN275" i="35"/>
  <c r="GK275" i="35" s="1"/>
  <c r="GY275" i="35" s="1"/>
  <c r="AR275" i="35"/>
  <c r="Q275" i="35"/>
  <c r="E275" i="35"/>
  <c r="EE274" i="35"/>
  <c r="DS274" i="35"/>
  <c r="CR274" i="35"/>
  <c r="GO274" i="35" s="1"/>
  <c r="CN274" i="35"/>
  <c r="GK274" i="35" s="1"/>
  <c r="GY274" i="35" s="1"/>
  <c r="AR274" i="35"/>
  <c r="Q274" i="35"/>
  <c r="E274" i="35"/>
  <c r="EE273" i="35"/>
  <c r="DS273" i="35"/>
  <c r="CR273" i="35"/>
  <c r="GO273" i="35" s="1"/>
  <c r="CN273" i="35"/>
  <c r="GK273" i="35" s="1"/>
  <c r="GY273" i="35" s="1"/>
  <c r="AR273" i="35"/>
  <c r="Q273" i="35"/>
  <c r="E273" i="35"/>
  <c r="EE272" i="35"/>
  <c r="DS272" i="35"/>
  <c r="CR272" i="35"/>
  <c r="GO272" i="35" s="1"/>
  <c r="CN272" i="35"/>
  <c r="GK272" i="35" s="1"/>
  <c r="GY272" i="35" s="1"/>
  <c r="AR272" i="35"/>
  <c r="Q272" i="35"/>
  <c r="E272" i="35"/>
  <c r="EE271" i="35"/>
  <c r="DS271" i="35"/>
  <c r="CR271" i="35"/>
  <c r="GO271" i="35" s="1"/>
  <c r="CN271" i="35"/>
  <c r="GK271" i="35" s="1"/>
  <c r="GY271" i="35" s="1"/>
  <c r="AR271" i="35"/>
  <c r="Q271" i="35"/>
  <c r="E271" i="35"/>
  <c r="EE270" i="35"/>
  <c r="DS270" i="35"/>
  <c r="CR270" i="35"/>
  <c r="GO270" i="35" s="1"/>
  <c r="CN270" i="35"/>
  <c r="GK270" i="35" s="1"/>
  <c r="GY270" i="35" s="1"/>
  <c r="AR270" i="35"/>
  <c r="V270" i="35"/>
  <c r="Q270" i="35"/>
  <c r="E270" i="35"/>
  <c r="CP270" i="35" s="1"/>
  <c r="EE269" i="35"/>
  <c r="DS269" i="35"/>
  <c r="CR269" i="35"/>
  <c r="GO269" i="35" s="1"/>
  <c r="CN269" i="35"/>
  <c r="GK269" i="35" s="1"/>
  <c r="GY269" i="35" s="1"/>
  <c r="AR269" i="35"/>
  <c r="W269" i="35"/>
  <c r="Q269" i="35"/>
  <c r="E269" i="35"/>
  <c r="CP269" i="35" s="1"/>
  <c r="EE268" i="35"/>
  <c r="DS268" i="35"/>
  <c r="CR268" i="35"/>
  <c r="GO268" i="35" s="1"/>
  <c r="CN268" i="35"/>
  <c r="GK268" i="35" s="1"/>
  <c r="GY268" i="35" s="1"/>
  <c r="AR268" i="35"/>
  <c r="W268" i="35"/>
  <c r="Q268" i="35"/>
  <c r="E268" i="35"/>
  <c r="EE267" i="35"/>
  <c r="DS267" i="35"/>
  <c r="CR267" i="35"/>
  <c r="GO267" i="35" s="1"/>
  <c r="CN267" i="35"/>
  <c r="GK267" i="35" s="1"/>
  <c r="GY267" i="35" s="1"/>
  <c r="AR267" i="35"/>
  <c r="Q267" i="35"/>
  <c r="E267" i="35"/>
  <c r="EE266" i="35"/>
  <c r="DS266" i="35"/>
  <c r="CR266" i="35"/>
  <c r="GO266" i="35" s="1"/>
  <c r="CN266" i="35"/>
  <c r="GK266" i="35" s="1"/>
  <c r="GY266" i="35" s="1"/>
  <c r="AR266" i="35"/>
  <c r="Q266" i="35"/>
  <c r="E266" i="35"/>
  <c r="CP266" i="35" s="1"/>
  <c r="EE265" i="35"/>
  <c r="DS265" i="35"/>
  <c r="CR265" i="35"/>
  <c r="GO265" i="35" s="1"/>
  <c r="CN265" i="35"/>
  <c r="GK265" i="35" s="1"/>
  <c r="GY265" i="35" s="1"/>
  <c r="AR265" i="35"/>
  <c r="Q265" i="35"/>
  <c r="E265" i="35"/>
  <c r="EE264" i="35"/>
  <c r="DS264" i="35"/>
  <c r="CR264" i="35"/>
  <c r="GO264" i="35" s="1"/>
  <c r="CN264" i="35"/>
  <c r="GK264" i="35" s="1"/>
  <c r="GY264" i="35" s="1"/>
  <c r="AR264" i="35"/>
  <c r="W264" i="35"/>
  <c r="Q264" i="35"/>
  <c r="E264" i="35"/>
  <c r="EE263" i="35"/>
  <c r="DS263" i="35"/>
  <c r="CR263" i="35"/>
  <c r="GO263" i="35" s="1"/>
  <c r="CN263" i="35"/>
  <c r="GK263" i="35" s="1"/>
  <c r="GY263" i="35" s="1"/>
  <c r="AR263" i="35"/>
  <c r="Q263" i="35"/>
  <c r="E263" i="35"/>
  <c r="EE262" i="35"/>
  <c r="DS262" i="35"/>
  <c r="CR262" i="35"/>
  <c r="GO262" i="35" s="1"/>
  <c r="CN262" i="35"/>
  <c r="GK262" i="35" s="1"/>
  <c r="GY262" i="35" s="1"/>
  <c r="AR262" i="35"/>
  <c r="Q262" i="35"/>
  <c r="E262" i="35"/>
  <c r="EE261" i="35"/>
  <c r="DS261" i="35"/>
  <c r="CR261" i="35"/>
  <c r="GO261" i="35" s="1"/>
  <c r="CN261" i="35"/>
  <c r="GK261" i="35" s="1"/>
  <c r="GY261" i="35" s="1"/>
  <c r="AR261" i="35"/>
  <c r="Q261" i="35"/>
  <c r="E261" i="35"/>
  <c r="EE260" i="35"/>
  <c r="DS260" i="35"/>
  <c r="CR260" i="35"/>
  <c r="GO260" i="35" s="1"/>
  <c r="CN260" i="35"/>
  <c r="GK260" i="35" s="1"/>
  <c r="GY260" i="35" s="1"/>
  <c r="AR260" i="35"/>
  <c r="Q260" i="35"/>
  <c r="E260" i="35"/>
  <c r="EE259" i="35"/>
  <c r="DS259" i="35"/>
  <c r="CR259" i="35"/>
  <c r="GO259" i="35" s="1"/>
  <c r="CN259" i="35"/>
  <c r="GK259" i="35" s="1"/>
  <c r="GY259" i="35" s="1"/>
  <c r="AR259" i="35"/>
  <c r="Q259" i="35"/>
  <c r="E259" i="35"/>
  <c r="EE258" i="35"/>
  <c r="DS258" i="35"/>
  <c r="CR258" i="35"/>
  <c r="GO258" i="35" s="1"/>
  <c r="CN258" i="35"/>
  <c r="GK258" i="35" s="1"/>
  <c r="GY258" i="35" s="1"/>
  <c r="AR258" i="35"/>
  <c r="Q258" i="35"/>
  <c r="E258" i="35"/>
  <c r="EE257" i="35"/>
  <c r="DS257" i="35"/>
  <c r="CR257" i="35"/>
  <c r="GO257" i="35" s="1"/>
  <c r="CN257" i="35"/>
  <c r="GK257" i="35" s="1"/>
  <c r="GY257" i="35" s="1"/>
  <c r="AR257" i="35"/>
  <c r="Q257" i="35"/>
  <c r="E257" i="35"/>
  <c r="EE256" i="35"/>
  <c r="DS256" i="35"/>
  <c r="CR256" i="35"/>
  <c r="GO256" i="35" s="1"/>
  <c r="CN256" i="35"/>
  <c r="GK256" i="35" s="1"/>
  <c r="GY256" i="35" s="1"/>
  <c r="AR256" i="35"/>
  <c r="Q256" i="35"/>
  <c r="E256" i="35"/>
  <c r="C256" i="35"/>
  <c r="C257" i="35" s="1"/>
  <c r="C258" i="35" s="1"/>
  <c r="C259" i="35" s="1"/>
  <c r="C260" i="35" s="1"/>
  <c r="C261" i="35" s="1"/>
  <c r="C262" i="35" s="1"/>
  <c r="C263" i="35" s="1"/>
  <c r="C264" i="35" s="1"/>
  <c r="C265" i="35" s="1"/>
  <c r="C266" i="35" s="1"/>
  <c r="C267" i="35" s="1"/>
  <c r="C268" i="35" s="1"/>
  <c r="C269" i="35" s="1"/>
  <c r="C270" i="35" s="1"/>
  <c r="C271" i="35" s="1"/>
  <c r="C272" i="35" s="1"/>
  <c r="C273" i="35" s="1"/>
  <c r="C274" i="35" s="1"/>
  <c r="C275" i="35" s="1"/>
  <c r="C276" i="35" s="1"/>
  <c r="C277" i="35" s="1"/>
  <c r="C278" i="35" s="1"/>
  <c r="C279" i="35" s="1"/>
  <c r="C280" i="35" s="1"/>
  <c r="C281" i="35" s="1"/>
  <c r="C282" i="35" s="1"/>
  <c r="C283" i="35" s="1"/>
  <c r="C284" i="35" s="1"/>
  <c r="C285" i="35" s="1"/>
  <c r="EE255" i="35"/>
  <c r="DS255" i="35"/>
  <c r="CR255" i="35"/>
  <c r="GO255" i="35" s="1"/>
  <c r="CN255" i="35"/>
  <c r="GK255" i="35" s="1"/>
  <c r="GY255" i="35" s="1"/>
  <c r="AR255" i="35"/>
  <c r="V255" i="35"/>
  <c r="Q255" i="35"/>
  <c r="E255" i="35"/>
  <c r="EE254" i="35"/>
  <c r="DS254" i="35"/>
  <c r="CR254" i="35"/>
  <c r="GO254" i="35" s="1"/>
  <c r="CN254" i="35"/>
  <c r="GK254" i="35" s="1"/>
  <c r="GY254" i="35" s="1"/>
  <c r="AR254" i="35"/>
  <c r="W254" i="35"/>
  <c r="Q254" i="35"/>
  <c r="E254" i="35"/>
  <c r="EE253" i="35"/>
  <c r="DS253" i="35"/>
  <c r="CR253" i="35"/>
  <c r="GO253" i="35" s="1"/>
  <c r="CN253" i="35"/>
  <c r="GK253" i="35" s="1"/>
  <c r="GY253" i="35" s="1"/>
  <c r="AR253" i="35"/>
  <c r="Q253" i="35"/>
  <c r="E253" i="35"/>
  <c r="CP253" i="35" s="1"/>
  <c r="EE252" i="35"/>
  <c r="DS252" i="35"/>
  <c r="CR252" i="35"/>
  <c r="GO252" i="35" s="1"/>
  <c r="CN252" i="35"/>
  <c r="GK252" i="35" s="1"/>
  <c r="GY252" i="35" s="1"/>
  <c r="AR252" i="35"/>
  <c r="Q252" i="35"/>
  <c r="E252" i="35"/>
  <c r="CP252" i="35" s="1"/>
  <c r="EE251" i="35"/>
  <c r="DS251" i="35"/>
  <c r="CR251" i="35"/>
  <c r="GO251" i="35" s="1"/>
  <c r="CN251" i="35"/>
  <c r="GK251" i="35" s="1"/>
  <c r="GY251" i="35" s="1"/>
  <c r="AR251" i="35"/>
  <c r="W251" i="35"/>
  <c r="Q251" i="35"/>
  <c r="E251" i="35"/>
  <c r="EE250" i="35"/>
  <c r="DS250" i="35"/>
  <c r="CR250" i="35"/>
  <c r="GO250" i="35" s="1"/>
  <c r="CN250" i="35"/>
  <c r="GK250" i="35" s="1"/>
  <c r="GY250" i="35" s="1"/>
  <c r="AR250" i="35"/>
  <c r="W250" i="35"/>
  <c r="Q250" i="35"/>
  <c r="E250" i="35"/>
  <c r="EE249" i="35"/>
  <c r="DS249" i="35"/>
  <c r="CR249" i="35"/>
  <c r="GO249" i="35" s="1"/>
  <c r="CN249" i="35"/>
  <c r="GK249" i="35" s="1"/>
  <c r="GY249" i="35" s="1"/>
  <c r="AR249" i="35"/>
  <c r="V249" i="35"/>
  <c r="Q249" i="35"/>
  <c r="E249" i="35"/>
  <c r="EE248" i="35"/>
  <c r="DS248" i="35"/>
  <c r="CR248" i="35"/>
  <c r="GO248" i="35" s="1"/>
  <c r="CN248" i="35"/>
  <c r="GK248" i="35" s="1"/>
  <c r="GY248" i="35" s="1"/>
  <c r="AR248" i="35"/>
  <c r="V248" i="35"/>
  <c r="Q248" i="35"/>
  <c r="E248" i="35"/>
  <c r="EE247" i="35"/>
  <c r="DS247" i="35"/>
  <c r="CR247" i="35"/>
  <c r="GO247" i="35" s="1"/>
  <c r="CN247" i="35"/>
  <c r="GK247" i="35" s="1"/>
  <c r="GY247" i="35" s="1"/>
  <c r="AR247" i="35"/>
  <c r="Q247" i="35"/>
  <c r="E247" i="35"/>
  <c r="EE246" i="35"/>
  <c r="DS246" i="35"/>
  <c r="CR246" i="35"/>
  <c r="GO246" i="35" s="1"/>
  <c r="CN246" i="35"/>
  <c r="GK246" i="35" s="1"/>
  <c r="GY246" i="35" s="1"/>
  <c r="AR246" i="35"/>
  <c r="Q246" i="35"/>
  <c r="E246" i="35"/>
  <c r="EE245" i="35"/>
  <c r="DS245" i="35"/>
  <c r="CR245" i="35"/>
  <c r="GO245" i="35" s="1"/>
  <c r="CN245" i="35"/>
  <c r="GK245" i="35" s="1"/>
  <c r="GY245" i="35" s="1"/>
  <c r="AR245" i="35"/>
  <c r="Q245" i="35"/>
  <c r="E245" i="35"/>
  <c r="EE244" i="35"/>
  <c r="DS244" i="35"/>
  <c r="CR244" i="35"/>
  <c r="GO244" i="35" s="1"/>
  <c r="CN244" i="35"/>
  <c r="GK244" i="35" s="1"/>
  <c r="GY244" i="35" s="1"/>
  <c r="AR244" i="35"/>
  <c r="Q244" i="35"/>
  <c r="E244" i="35"/>
  <c r="EE243" i="35"/>
  <c r="DS243" i="35"/>
  <c r="CR243" i="35"/>
  <c r="GO243" i="35" s="1"/>
  <c r="CN243" i="35"/>
  <c r="GK243" i="35" s="1"/>
  <c r="GY243" i="35" s="1"/>
  <c r="AR243" i="35"/>
  <c r="Q243" i="35"/>
  <c r="E243" i="35"/>
  <c r="EE242" i="35"/>
  <c r="DS242" i="35"/>
  <c r="CR242" i="35"/>
  <c r="GO242" i="35" s="1"/>
  <c r="CN242" i="35"/>
  <c r="GK242" i="35" s="1"/>
  <c r="GY242" i="35" s="1"/>
  <c r="AR242" i="35"/>
  <c r="Q242" i="35"/>
  <c r="E242" i="35"/>
  <c r="EE241" i="35"/>
  <c r="DS241" i="35"/>
  <c r="CR241" i="35"/>
  <c r="GO241" i="35" s="1"/>
  <c r="CN241" i="35"/>
  <c r="GK241" i="35" s="1"/>
  <c r="GY241" i="35" s="1"/>
  <c r="AR241" i="35"/>
  <c r="Q241" i="35"/>
  <c r="E241" i="35"/>
  <c r="EE240" i="35"/>
  <c r="DS240" i="35"/>
  <c r="CR240" i="35"/>
  <c r="GO240" i="35" s="1"/>
  <c r="CN240" i="35"/>
  <c r="GK240" i="35" s="1"/>
  <c r="GY240" i="35" s="1"/>
  <c r="AR240" i="35"/>
  <c r="Q240" i="35"/>
  <c r="E240" i="35"/>
  <c r="EE239" i="35"/>
  <c r="DS239" i="35"/>
  <c r="CR239" i="35"/>
  <c r="GO239" i="35" s="1"/>
  <c r="CN239" i="35"/>
  <c r="GK239" i="35" s="1"/>
  <c r="GY239" i="35" s="1"/>
  <c r="AR239" i="35"/>
  <c r="V239" i="35"/>
  <c r="Q239" i="35"/>
  <c r="E239" i="35"/>
  <c r="EE238" i="35"/>
  <c r="DS238" i="35"/>
  <c r="CR238" i="35"/>
  <c r="GO238" i="35" s="1"/>
  <c r="CN238" i="35"/>
  <c r="GK238" i="35" s="1"/>
  <c r="GY238" i="35" s="1"/>
  <c r="AR238" i="35"/>
  <c r="W238" i="35"/>
  <c r="Q238" i="35"/>
  <c r="E238" i="35"/>
  <c r="EE237" i="35"/>
  <c r="DS237" i="35"/>
  <c r="CR237" i="35"/>
  <c r="GO237" i="35" s="1"/>
  <c r="CN237" i="35"/>
  <c r="GK237" i="35" s="1"/>
  <c r="GY237" i="35" s="1"/>
  <c r="AR237" i="35"/>
  <c r="W237" i="35"/>
  <c r="Q237" i="35"/>
  <c r="E237" i="35"/>
  <c r="EE236" i="35"/>
  <c r="DS236" i="35"/>
  <c r="CR236" i="35"/>
  <c r="GO236" i="35" s="1"/>
  <c r="CN236" i="35"/>
  <c r="GK236" i="35" s="1"/>
  <c r="GY236" i="35" s="1"/>
  <c r="AR236" i="35"/>
  <c r="Q236" i="35"/>
  <c r="E236" i="35"/>
  <c r="CP236" i="35" s="1"/>
  <c r="EE235" i="35"/>
  <c r="DS235" i="35"/>
  <c r="CR235" i="35"/>
  <c r="GO235" i="35" s="1"/>
  <c r="CN235" i="35"/>
  <c r="GK235" i="35" s="1"/>
  <c r="GY235" i="35" s="1"/>
  <c r="AR235" i="35"/>
  <c r="Q235" i="35"/>
  <c r="E235" i="35"/>
  <c r="CP235" i="35" s="1"/>
  <c r="EE234" i="35"/>
  <c r="DS234" i="35"/>
  <c r="CR234" i="35"/>
  <c r="GO234" i="35" s="1"/>
  <c r="CN234" i="35"/>
  <c r="GK234" i="35" s="1"/>
  <c r="GY234" i="35" s="1"/>
  <c r="AR234" i="35"/>
  <c r="Q234" i="35"/>
  <c r="E234" i="35"/>
  <c r="CP234" i="35" s="1"/>
  <c r="EE233" i="35"/>
  <c r="DS233" i="35"/>
  <c r="CR233" i="35"/>
  <c r="GO233" i="35" s="1"/>
  <c r="CN233" i="35"/>
  <c r="GK233" i="35" s="1"/>
  <c r="GY233" i="35" s="1"/>
  <c r="AR233" i="35"/>
  <c r="W233" i="35"/>
  <c r="Q233" i="35"/>
  <c r="E233" i="35"/>
  <c r="CP233" i="35" s="1"/>
  <c r="EE232" i="35"/>
  <c r="DS232" i="35"/>
  <c r="CR232" i="35"/>
  <c r="GO232" i="35" s="1"/>
  <c r="CN232" i="35"/>
  <c r="GK232" i="35" s="1"/>
  <c r="GY232" i="35" s="1"/>
  <c r="AR232" i="35"/>
  <c r="Q232" i="35"/>
  <c r="E232" i="35"/>
  <c r="EE231" i="35"/>
  <c r="DS231" i="35"/>
  <c r="CR231" i="35"/>
  <c r="GO231" i="35" s="1"/>
  <c r="CN231" i="35"/>
  <c r="GK231" i="35" s="1"/>
  <c r="GY231" i="35" s="1"/>
  <c r="AR231" i="35"/>
  <c r="Q231" i="35"/>
  <c r="E231" i="35"/>
  <c r="EE230" i="35"/>
  <c r="DS230" i="35"/>
  <c r="CR230" i="35"/>
  <c r="GO230" i="35" s="1"/>
  <c r="CN230" i="35"/>
  <c r="GK230" i="35" s="1"/>
  <c r="GY230" i="35" s="1"/>
  <c r="AR230" i="35"/>
  <c r="Q230" i="35"/>
  <c r="E230" i="35"/>
  <c r="EE229" i="35"/>
  <c r="DS229" i="35"/>
  <c r="CR229" i="35"/>
  <c r="GO229" i="35" s="1"/>
  <c r="CN229" i="35"/>
  <c r="GK229" i="35" s="1"/>
  <c r="GY229" i="35" s="1"/>
  <c r="AR229" i="35"/>
  <c r="Q229" i="35"/>
  <c r="E229" i="35"/>
  <c r="EE228" i="35"/>
  <c r="DS228" i="35"/>
  <c r="CR228" i="35"/>
  <c r="GO228" i="35" s="1"/>
  <c r="CN228" i="35"/>
  <c r="GK228" i="35" s="1"/>
  <c r="GY228" i="35" s="1"/>
  <c r="AR228" i="35"/>
  <c r="Q228" i="35"/>
  <c r="E228" i="35"/>
  <c r="EE227" i="35"/>
  <c r="DS227" i="35"/>
  <c r="CR227" i="35"/>
  <c r="GO227" i="35" s="1"/>
  <c r="CN227" i="35"/>
  <c r="GK227" i="35" s="1"/>
  <c r="GY227" i="35" s="1"/>
  <c r="AR227" i="35"/>
  <c r="Q227" i="35"/>
  <c r="E227" i="35"/>
  <c r="EE226" i="35"/>
  <c r="DS226" i="35"/>
  <c r="CR226" i="35"/>
  <c r="GO226" i="35" s="1"/>
  <c r="CN226" i="35"/>
  <c r="GK226" i="35" s="1"/>
  <c r="GY226" i="35" s="1"/>
  <c r="AR226" i="35"/>
  <c r="Q226" i="35"/>
  <c r="E226" i="35"/>
  <c r="EE225" i="35"/>
  <c r="DS225" i="35"/>
  <c r="CR225" i="35"/>
  <c r="GO225" i="35" s="1"/>
  <c r="CN225" i="35"/>
  <c r="GK225" i="35" s="1"/>
  <c r="GY225" i="35" s="1"/>
  <c r="AR225" i="35"/>
  <c r="Q225" i="35"/>
  <c r="E225" i="35"/>
  <c r="C225" i="35"/>
  <c r="C226" i="35" s="1"/>
  <c r="C227" i="35" s="1"/>
  <c r="C228" i="35" s="1"/>
  <c r="C229" i="35" s="1"/>
  <c r="C230" i="35" s="1"/>
  <c r="C231" i="35" s="1"/>
  <c r="C232" i="35" s="1"/>
  <c r="C233" i="35" s="1"/>
  <c r="C234" i="35" s="1"/>
  <c r="C235" i="35" s="1"/>
  <c r="C236" i="35" s="1"/>
  <c r="C237" i="35" s="1"/>
  <c r="C238" i="35" s="1"/>
  <c r="C239" i="35" s="1"/>
  <c r="C240" i="35" s="1"/>
  <c r="C241" i="35" s="1"/>
  <c r="C242" i="35" s="1"/>
  <c r="C243" i="35" s="1"/>
  <c r="C244" i="35" s="1"/>
  <c r="C245" i="35" s="1"/>
  <c r="C246" i="35" s="1"/>
  <c r="C247" i="35" s="1"/>
  <c r="C248" i="35" s="1"/>
  <c r="C249" i="35" s="1"/>
  <c r="C250" i="35" s="1"/>
  <c r="C251" i="35" s="1"/>
  <c r="C252" i="35" s="1"/>
  <c r="C253" i="35" s="1"/>
  <c r="C254" i="35" s="1"/>
  <c r="EE224" i="35"/>
  <c r="DS224" i="35"/>
  <c r="CR224" i="35"/>
  <c r="GO224" i="35" s="1"/>
  <c r="CN224" i="35"/>
  <c r="GK224" i="35" s="1"/>
  <c r="GY224" i="35" s="1"/>
  <c r="AR224" i="35"/>
  <c r="V224" i="35"/>
  <c r="Q224" i="35"/>
  <c r="E224" i="35"/>
  <c r="EE223" i="35"/>
  <c r="DS223" i="35"/>
  <c r="CR223" i="35"/>
  <c r="GO223" i="35" s="1"/>
  <c r="CN223" i="35"/>
  <c r="GK223" i="35" s="1"/>
  <c r="GY223" i="35" s="1"/>
  <c r="AR223" i="35"/>
  <c r="W223" i="35"/>
  <c r="Q223" i="35"/>
  <c r="E223" i="35"/>
  <c r="EE222" i="35"/>
  <c r="DS222" i="35"/>
  <c r="CR222" i="35"/>
  <c r="GO222" i="35" s="1"/>
  <c r="CN222" i="35"/>
  <c r="GK222" i="35" s="1"/>
  <c r="GY222" i="35" s="1"/>
  <c r="AR222" i="35"/>
  <c r="Q222" i="35"/>
  <c r="E222" i="35"/>
  <c r="EE221" i="35"/>
  <c r="DS221" i="35"/>
  <c r="CR221" i="35"/>
  <c r="GO221" i="35" s="1"/>
  <c r="CN221" i="35"/>
  <c r="GK221" i="35" s="1"/>
  <c r="GY221" i="35" s="1"/>
  <c r="AR221" i="35"/>
  <c r="Q221" i="35"/>
  <c r="E221" i="35"/>
  <c r="EE220" i="35"/>
  <c r="DS220" i="35"/>
  <c r="CR220" i="35"/>
  <c r="GO220" i="35" s="1"/>
  <c r="CN220" i="35"/>
  <c r="GK220" i="35" s="1"/>
  <c r="GY220" i="35" s="1"/>
  <c r="AR220" i="35"/>
  <c r="W220" i="35"/>
  <c r="Q220" i="35"/>
  <c r="E220" i="35"/>
  <c r="CP220" i="35" s="1"/>
  <c r="EE219" i="35"/>
  <c r="DS219" i="35"/>
  <c r="CR219" i="35"/>
  <c r="GO219" i="35" s="1"/>
  <c r="CN219" i="35"/>
  <c r="GK219" i="35" s="1"/>
  <c r="GY219" i="35" s="1"/>
  <c r="AR219" i="35"/>
  <c r="W219" i="35"/>
  <c r="Q219" i="35"/>
  <c r="E219" i="35"/>
  <c r="EE218" i="35"/>
  <c r="DS218" i="35"/>
  <c r="CR218" i="35"/>
  <c r="GO218" i="35" s="1"/>
  <c r="CN218" i="35"/>
  <c r="GK218" i="35" s="1"/>
  <c r="GY218" i="35" s="1"/>
  <c r="AR218" i="35"/>
  <c r="V218" i="35"/>
  <c r="Q218" i="35"/>
  <c r="E218" i="35"/>
  <c r="EE217" i="35"/>
  <c r="DS217" i="35"/>
  <c r="CR217" i="35"/>
  <c r="GO217" i="35" s="1"/>
  <c r="CN217" i="35"/>
  <c r="GK217" i="35" s="1"/>
  <c r="GY217" i="35" s="1"/>
  <c r="AR217" i="35"/>
  <c r="V217" i="35"/>
  <c r="Q217" i="35"/>
  <c r="E217" i="35"/>
  <c r="EE216" i="35"/>
  <c r="DS216" i="35"/>
  <c r="CR216" i="35"/>
  <c r="GO216" i="35" s="1"/>
  <c r="CN216" i="35"/>
  <c r="GK216" i="35" s="1"/>
  <c r="GY216" i="35" s="1"/>
  <c r="AR216" i="35"/>
  <c r="Q216" i="35"/>
  <c r="E216" i="35"/>
  <c r="EE215" i="35"/>
  <c r="DS215" i="35"/>
  <c r="CR215" i="35"/>
  <c r="GO215" i="35" s="1"/>
  <c r="CN215" i="35"/>
  <c r="GK215" i="35" s="1"/>
  <c r="GY215" i="35" s="1"/>
  <c r="AR215" i="35"/>
  <c r="Q215" i="35"/>
  <c r="E215" i="35"/>
  <c r="EE214" i="35"/>
  <c r="DS214" i="35"/>
  <c r="CR214" i="35"/>
  <c r="GO214" i="35" s="1"/>
  <c r="CN214" i="35"/>
  <c r="GK214" i="35" s="1"/>
  <c r="GY214" i="35" s="1"/>
  <c r="AR214" i="35"/>
  <c r="Q214" i="35"/>
  <c r="E214" i="35"/>
  <c r="EE213" i="35"/>
  <c r="DS213" i="35"/>
  <c r="CR213" i="35"/>
  <c r="GO213" i="35" s="1"/>
  <c r="CN213" i="35"/>
  <c r="GK213" i="35" s="1"/>
  <c r="GY213" i="35" s="1"/>
  <c r="AR213" i="35"/>
  <c r="Q213" i="35"/>
  <c r="E213" i="35"/>
  <c r="EE212" i="35"/>
  <c r="DS212" i="35"/>
  <c r="CR212" i="35"/>
  <c r="GO212" i="35" s="1"/>
  <c r="CN212" i="35"/>
  <c r="GK212" i="35" s="1"/>
  <c r="GY212" i="35" s="1"/>
  <c r="AR212" i="35"/>
  <c r="Q212" i="35"/>
  <c r="E212" i="35"/>
  <c r="EE211" i="35"/>
  <c r="DS211" i="35"/>
  <c r="CR211" i="35"/>
  <c r="GO211" i="35" s="1"/>
  <c r="CN211" i="35"/>
  <c r="GK211" i="35" s="1"/>
  <c r="GY211" i="35" s="1"/>
  <c r="AR211" i="35"/>
  <c r="Q211" i="35"/>
  <c r="E211" i="35"/>
  <c r="EE210" i="35"/>
  <c r="DS210" i="35"/>
  <c r="CR210" i="35"/>
  <c r="GO210" i="35" s="1"/>
  <c r="CN210" i="35"/>
  <c r="GK210" i="35" s="1"/>
  <c r="GY210" i="35" s="1"/>
  <c r="AR210" i="35"/>
  <c r="Q210" i="35"/>
  <c r="E210" i="35"/>
  <c r="EE209" i="35"/>
  <c r="DS209" i="35"/>
  <c r="CR209" i="35"/>
  <c r="GO209" i="35" s="1"/>
  <c r="CN209" i="35"/>
  <c r="GK209" i="35" s="1"/>
  <c r="GY209" i="35" s="1"/>
  <c r="AR209" i="35"/>
  <c r="Q209" i="35"/>
  <c r="E209" i="35"/>
  <c r="EE208" i="35"/>
  <c r="DS208" i="35"/>
  <c r="CR208" i="35"/>
  <c r="GO208" i="35" s="1"/>
  <c r="CN208" i="35"/>
  <c r="GK208" i="35" s="1"/>
  <c r="GY208" i="35" s="1"/>
  <c r="AR208" i="35"/>
  <c r="V208" i="35"/>
  <c r="Q208" i="35"/>
  <c r="E208" i="35"/>
  <c r="EE207" i="35"/>
  <c r="DS207" i="35"/>
  <c r="CR207" i="35"/>
  <c r="GO207" i="35" s="1"/>
  <c r="CN207" i="35"/>
  <c r="GK207" i="35" s="1"/>
  <c r="GY207" i="35" s="1"/>
  <c r="AR207" i="35"/>
  <c r="W207" i="35"/>
  <c r="Q207" i="35"/>
  <c r="E207" i="35"/>
  <c r="EE206" i="35"/>
  <c r="DS206" i="35"/>
  <c r="CR206" i="35"/>
  <c r="GO206" i="35" s="1"/>
  <c r="CN206" i="35"/>
  <c r="GK206" i="35" s="1"/>
  <c r="GY206" i="35" s="1"/>
  <c r="AR206" i="35"/>
  <c r="W206" i="35"/>
  <c r="Q206" i="35"/>
  <c r="E206" i="35"/>
  <c r="EE205" i="35"/>
  <c r="DS205" i="35"/>
  <c r="CR205" i="35"/>
  <c r="GO205" i="35" s="1"/>
  <c r="CN205" i="35"/>
  <c r="GK205" i="35" s="1"/>
  <c r="GY205" i="35" s="1"/>
  <c r="AR205" i="35"/>
  <c r="Q205" i="35"/>
  <c r="E205" i="35"/>
  <c r="CP205" i="35" s="1"/>
  <c r="EE204" i="35"/>
  <c r="DS204" i="35"/>
  <c r="CR204" i="35"/>
  <c r="GO204" i="35" s="1"/>
  <c r="CN204" i="35"/>
  <c r="GK204" i="35" s="1"/>
  <c r="GY204" i="35" s="1"/>
  <c r="AR204" i="35"/>
  <c r="Q204" i="35"/>
  <c r="E204" i="35"/>
  <c r="EE203" i="35"/>
  <c r="DS203" i="35"/>
  <c r="CR203" i="35"/>
  <c r="GO203" i="35" s="1"/>
  <c r="CN203" i="35"/>
  <c r="GK203" i="35" s="1"/>
  <c r="GY203" i="35" s="1"/>
  <c r="AR203" i="35"/>
  <c r="Q203" i="35"/>
  <c r="E203" i="35"/>
  <c r="EE202" i="35"/>
  <c r="DS202" i="35"/>
  <c r="CR202" i="35"/>
  <c r="GO202" i="35" s="1"/>
  <c r="CN202" i="35"/>
  <c r="GK202" i="35" s="1"/>
  <c r="GY202" i="35" s="1"/>
  <c r="AR202" i="35"/>
  <c r="W202" i="35"/>
  <c r="Q202" i="35"/>
  <c r="E202" i="35"/>
  <c r="EE201" i="35"/>
  <c r="DS201" i="35"/>
  <c r="CR201" i="35"/>
  <c r="GO201" i="35" s="1"/>
  <c r="CN201" i="35"/>
  <c r="GK201" i="35" s="1"/>
  <c r="GY201" i="35" s="1"/>
  <c r="AR201" i="35"/>
  <c r="Q201" i="35"/>
  <c r="E201" i="35"/>
  <c r="EE200" i="35"/>
  <c r="DS200" i="35"/>
  <c r="CR200" i="35"/>
  <c r="GO200" i="35" s="1"/>
  <c r="CN200" i="35"/>
  <c r="GK200" i="35" s="1"/>
  <c r="GY200" i="35" s="1"/>
  <c r="AR200" i="35"/>
  <c r="Q200" i="35"/>
  <c r="E200" i="35"/>
  <c r="EE199" i="35"/>
  <c r="DS199" i="35"/>
  <c r="CR199" i="35"/>
  <c r="GO199" i="35" s="1"/>
  <c r="CN199" i="35"/>
  <c r="GK199" i="35" s="1"/>
  <c r="GY199" i="35" s="1"/>
  <c r="AR199" i="35"/>
  <c r="Q199" i="35"/>
  <c r="E199" i="35"/>
  <c r="EE198" i="35"/>
  <c r="DS198" i="35"/>
  <c r="CR198" i="35"/>
  <c r="GO198" i="35" s="1"/>
  <c r="CN198" i="35"/>
  <c r="GK198" i="35" s="1"/>
  <c r="GY198" i="35" s="1"/>
  <c r="AR198" i="35"/>
  <c r="Q198" i="35"/>
  <c r="E198" i="35"/>
  <c r="EE197" i="35"/>
  <c r="DS197" i="35"/>
  <c r="CR197" i="35"/>
  <c r="GO197" i="35" s="1"/>
  <c r="CN197" i="35"/>
  <c r="GK197" i="35" s="1"/>
  <c r="GY197" i="35" s="1"/>
  <c r="AR197" i="35"/>
  <c r="Q197" i="35"/>
  <c r="E197" i="35"/>
  <c r="EE196" i="35"/>
  <c r="DS196" i="35"/>
  <c r="CR196" i="35"/>
  <c r="GO196" i="35" s="1"/>
  <c r="CN196" i="35"/>
  <c r="GK196" i="35" s="1"/>
  <c r="GY196" i="35" s="1"/>
  <c r="AR196" i="35"/>
  <c r="Q196" i="35"/>
  <c r="E196" i="35"/>
  <c r="EE195" i="35"/>
  <c r="DS195" i="35"/>
  <c r="CR195" i="35"/>
  <c r="GO195" i="35" s="1"/>
  <c r="CN195" i="35"/>
  <c r="GK195" i="35" s="1"/>
  <c r="GY195" i="35" s="1"/>
  <c r="AR195" i="35"/>
  <c r="Q195" i="35"/>
  <c r="E195" i="35"/>
  <c r="EE194" i="35"/>
  <c r="DS194" i="35"/>
  <c r="CR194" i="35"/>
  <c r="GO194" i="35" s="1"/>
  <c r="CN194" i="35"/>
  <c r="GK194" i="35" s="1"/>
  <c r="GY194" i="35" s="1"/>
  <c r="AR194" i="35"/>
  <c r="Q194" i="35"/>
  <c r="E194" i="35"/>
  <c r="C194" i="35"/>
  <c r="C195" i="35" s="1"/>
  <c r="C196" i="35" s="1"/>
  <c r="C197" i="35" s="1"/>
  <c r="C198" i="35" s="1"/>
  <c r="C199" i="35" s="1"/>
  <c r="C200" i="35" s="1"/>
  <c r="C201" i="35" s="1"/>
  <c r="C202" i="35" s="1"/>
  <c r="C203" i="35" s="1"/>
  <c r="C204" i="35" s="1"/>
  <c r="C205" i="35" s="1"/>
  <c r="C206" i="35" s="1"/>
  <c r="C207" i="35" s="1"/>
  <c r="C208" i="35" s="1"/>
  <c r="C209" i="35" s="1"/>
  <c r="C210" i="35" s="1"/>
  <c r="C211" i="35" s="1"/>
  <c r="C212" i="35" s="1"/>
  <c r="C213" i="35" s="1"/>
  <c r="C214" i="35" s="1"/>
  <c r="C215" i="35" s="1"/>
  <c r="C216" i="35" s="1"/>
  <c r="C217" i="35" s="1"/>
  <c r="C218" i="35" s="1"/>
  <c r="C219" i="35" s="1"/>
  <c r="C220" i="35" s="1"/>
  <c r="C221" i="35" s="1"/>
  <c r="C222" i="35" s="1"/>
  <c r="C223" i="35" s="1"/>
  <c r="EE193" i="35"/>
  <c r="DS193" i="35"/>
  <c r="CR193" i="35"/>
  <c r="GO193" i="35" s="1"/>
  <c r="CN193" i="35"/>
  <c r="GK193" i="35" s="1"/>
  <c r="GY193" i="35" s="1"/>
  <c r="AR193" i="35"/>
  <c r="V193" i="35"/>
  <c r="Q193" i="35"/>
  <c r="E193" i="35"/>
  <c r="EE192" i="35"/>
  <c r="DS192" i="35"/>
  <c r="CR192" i="35"/>
  <c r="GO192" i="35" s="1"/>
  <c r="CN192" i="35"/>
  <c r="GK192" i="35" s="1"/>
  <c r="GY192" i="35" s="1"/>
  <c r="AR192" i="35"/>
  <c r="W192" i="35"/>
  <c r="T192" i="35"/>
  <c r="Q192" i="35"/>
  <c r="E192" i="35"/>
  <c r="EE191" i="35"/>
  <c r="DS191" i="35"/>
  <c r="CR191" i="35"/>
  <c r="GO191" i="35" s="1"/>
  <c r="CN191" i="35"/>
  <c r="GK191" i="35" s="1"/>
  <c r="GY191" i="35" s="1"/>
  <c r="AR191" i="35"/>
  <c r="T191" i="35"/>
  <c r="Q191" i="35"/>
  <c r="E191" i="35"/>
  <c r="EE190" i="35"/>
  <c r="DS190" i="35"/>
  <c r="CR190" i="35"/>
  <c r="GO190" i="35" s="1"/>
  <c r="CN190" i="35"/>
  <c r="GK190" i="35" s="1"/>
  <c r="GY190" i="35" s="1"/>
  <c r="AR190" i="35"/>
  <c r="T190" i="35"/>
  <c r="Q190" i="35"/>
  <c r="E190" i="35"/>
  <c r="EE189" i="35"/>
  <c r="DS189" i="35"/>
  <c r="CR189" i="35"/>
  <c r="GO189" i="35" s="1"/>
  <c r="CN189" i="35"/>
  <c r="GK189" i="35" s="1"/>
  <c r="GY189" i="35" s="1"/>
  <c r="AR189" i="35"/>
  <c r="W189" i="35"/>
  <c r="T189" i="35"/>
  <c r="Q189" i="35"/>
  <c r="E189" i="35"/>
  <c r="EE188" i="35"/>
  <c r="DS188" i="35"/>
  <c r="CR188" i="35"/>
  <c r="GO188" i="35" s="1"/>
  <c r="CN188" i="35"/>
  <c r="GK188" i="35" s="1"/>
  <c r="GY188" i="35" s="1"/>
  <c r="AR188" i="35"/>
  <c r="W188" i="35"/>
  <c r="T188" i="35"/>
  <c r="Q188" i="35"/>
  <c r="E188" i="35"/>
  <c r="EE187" i="35"/>
  <c r="DS187" i="35"/>
  <c r="CR187" i="35"/>
  <c r="GO187" i="35" s="1"/>
  <c r="CN187" i="35"/>
  <c r="GK187" i="35" s="1"/>
  <c r="GY187" i="35" s="1"/>
  <c r="AR187" i="35"/>
  <c r="V187" i="35"/>
  <c r="T187" i="35"/>
  <c r="Q187" i="35"/>
  <c r="E187" i="35"/>
  <c r="EE186" i="35"/>
  <c r="DS186" i="35"/>
  <c r="CR186" i="35"/>
  <c r="GO186" i="35" s="1"/>
  <c r="CN186" i="35"/>
  <c r="GK186" i="35" s="1"/>
  <c r="GY186" i="35" s="1"/>
  <c r="AR186" i="35"/>
  <c r="V186" i="35"/>
  <c r="T186" i="35"/>
  <c r="Q186" i="35"/>
  <c r="E186" i="35"/>
  <c r="EE185" i="35"/>
  <c r="DS185" i="35"/>
  <c r="CR185" i="35"/>
  <c r="GO185" i="35" s="1"/>
  <c r="CN185" i="35"/>
  <c r="GK185" i="35" s="1"/>
  <c r="GY185" i="35" s="1"/>
  <c r="AR185" i="35"/>
  <c r="T185" i="35"/>
  <c r="Q185" i="35"/>
  <c r="E185" i="35"/>
  <c r="EE184" i="35"/>
  <c r="DS184" i="35"/>
  <c r="CR184" i="35"/>
  <c r="GO184" i="35" s="1"/>
  <c r="CN184" i="35"/>
  <c r="GK184" i="35" s="1"/>
  <c r="GY184" i="35" s="1"/>
  <c r="AR184" i="35"/>
  <c r="T184" i="35"/>
  <c r="Q184" i="35"/>
  <c r="E184" i="35"/>
  <c r="EE183" i="35"/>
  <c r="EA183" i="35"/>
  <c r="DS183" i="35"/>
  <c r="CR183" i="35"/>
  <c r="GO183" i="35" s="1"/>
  <c r="CN183" i="35"/>
  <c r="GK183" i="35" s="1"/>
  <c r="GY183" i="35" s="1"/>
  <c r="AR183" i="35"/>
  <c r="T183" i="35"/>
  <c r="Q183" i="35"/>
  <c r="E183" i="35"/>
  <c r="EE182" i="35"/>
  <c r="EA182" i="35"/>
  <c r="DS182" i="35"/>
  <c r="CR182" i="35"/>
  <c r="GO182" i="35" s="1"/>
  <c r="CN182" i="35"/>
  <c r="GK182" i="35" s="1"/>
  <c r="GY182" i="35" s="1"/>
  <c r="AR182" i="35"/>
  <c r="T182" i="35"/>
  <c r="Q182" i="35"/>
  <c r="E182" i="35"/>
  <c r="EE181" i="35"/>
  <c r="EA181" i="35"/>
  <c r="DS181" i="35"/>
  <c r="CR181" i="35"/>
  <c r="GO181" i="35" s="1"/>
  <c r="CN181" i="35"/>
  <c r="GK181" i="35" s="1"/>
  <c r="GY181" i="35" s="1"/>
  <c r="AR181" i="35"/>
  <c r="T181" i="35"/>
  <c r="Q181" i="35"/>
  <c r="E181" i="35"/>
  <c r="EE180" i="35"/>
  <c r="EA180" i="35"/>
  <c r="DS180" i="35"/>
  <c r="CR180" i="35"/>
  <c r="GO180" i="35" s="1"/>
  <c r="CN180" i="35"/>
  <c r="GK180" i="35" s="1"/>
  <c r="GY180" i="35" s="1"/>
  <c r="AR180" i="35"/>
  <c r="T180" i="35"/>
  <c r="Q180" i="35"/>
  <c r="E180" i="35"/>
  <c r="EE179" i="35"/>
  <c r="EA179" i="35"/>
  <c r="DS179" i="35"/>
  <c r="CR179" i="35"/>
  <c r="GO179" i="35" s="1"/>
  <c r="CN179" i="35"/>
  <c r="GK179" i="35" s="1"/>
  <c r="GY179" i="35" s="1"/>
  <c r="AR179" i="35"/>
  <c r="T179" i="35"/>
  <c r="Q179" i="35"/>
  <c r="E179" i="35"/>
  <c r="EE178" i="35"/>
  <c r="EA178" i="35"/>
  <c r="DS178" i="35"/>
  <c r="CR178" i="35"/>
  <c r="GO178" i="35" s="1"/>
  <c r="CN178" i="35"/>
  <c r="GK178" i="35" s="1"/>
  <c r="GY178" i="35" s="1"/>
  <c r="AR178" i="35"/>
  <c r="T178" i="35"/>
  <c r="Q178" i="35"/>
  <c r="E178" i="35"/>
  <c r="EE177" i="35"/>
  <c r="EA177" i="35"/>
  <c r="DS177" i="35"/>
  <c r="CR177" i="35"/>
  <c r="GO177" i="35" s="1"/>
  <c r="CN177" i="35"/>
  <c r="GK177" i="35" s="1"/>
  <c r="GY177" i="35" s="1"/>
  <c r="AR177" i="35"/>
  <c r="V177" i="35"/>
  <c r="T177" i="35"/>
  <c r="Q177" i="35"/>
  <c r="E177" i="35"/>
  <c r="EE176" i="35"/>
  <c r="EA176" i="35"/>
  <c r="DS176" i="35"/>
  <c r="CR176" i="35"/>
  <c r="GO176" i="35" s="1"/>
  <c r="CN176" i="35"/>
  <c r="GK176" i="35" s="1"/>
  <c r="GY176" i="35" s="1"/>
  <c r="AR176" i="35"/>
  <c r="W176" i="35"/>
  <c r="T176" i="35"/>
  <c r="Q176" i="35"/>
  <c r="E176" i="35"/>
  <c r="EE175" i="35"/>
  <c r="EA175" i="35"/>
  <c r="DS175" i="35"/>
  <c r="CR175" i="35"/>
  <c r="GO175" i="35" s="1"/>
  <c r="CN175" i="35"/>
  <c r="GK175" i="35" s="1"/>
  <c r="GY175" i="35" s="1"/>
  <c r="AR175" i="35"/>
  <c r="W175" i="35"/>
  <c r="T175" i="35"/>
  <c r="Q175" i="35"/>
  <c r="E175" i="35"/>
  <c r="CP175" i="35" s="1"/>
  <c r="EE174" i="35"/>
  <c r="EA174" i="35"/>
  <c r="DS174" i="35"/>
  <c r="CR174" i="35"/>
  <c r="GO174" i="35" s="1"/>
  <c r="CN174" i="35"/>
  <c r="GK174" i="35" s="1"/>
  <c r="GY174" i="35" s="1"/>
  <c r="AR174" i="35"/>
  <c r="T174" i="35"/>
  <c r="Q174" i="35"/>
  <c r="E174" i="35"/>
  <c r="EE173" i="35"/>
  <c r="DS173" i="35"/>
  <c r="CR173" i="35"/>
  <c r="GO173" i="35" s="1"/>
  <c r="CN173" i="35"/>
  <c r="GK173" i="35" s="1"/>
  <c r="GY173" i="35" s="1"/>
  <c r="AR173" i="35"/>
  <c r="T173" i="35"/>
  <c r="Q173" i="35"/>
  <c r="E173" i="35"/>
  <c r="EE172" i="35"/>
  <c r="DS172" i="35"/>
  <c r="CR172" i="35"/>
  <c r="GO172" i="35" s="1"/>
  <c r="CN172" i="35"/>
  <c r="GK172" i="35" s="1"/>
  <c r="GY172" i="35" s="1"/>
  <c r="AR172" i="35"/>
  <c r="T172" i="35"/>
  <c r="Q172" i="35"/>
  <c r="E172" i="35"/>
  <c r="CP172" i="35" s="1"/>
  <c r="EE171" i="35"/>
  <c r="DS171" i="35"/>
  <c r="CR171" i="35"/>
  <c r="GO171" i="35" s="1"/>
  <c r="CN171" i="35"/>
  <c r="GK171" i="35" s="1"/>
  <c r="GY171" i="35" s="1"/>
  <c r="AR171" i="35"/>
  <c r="W171" i="35"/>
  <c r="T171" i="35"/>
  <c r="Q171" i="35"/>
  <c r="E171" i="35"/>
  <c r="EE170" i="35"/>
  <c r="DS170" i="35"/>
  <c r="CR170" i="35"/>
  <c r="GO170" i="35" s="1"/>
  <c r="CN170" i="35"/>
  <c r="GK170" i="35" s="1"/>
  <c r="GY170" i="35" s="1"/>
  <c r="AR170" i="35"/>
  <c r="T170" i="35"/>
  <c r="Q170" i="35"/>
  <c r="E170" i="35"/>
  <c r="EE169" i="35"/>
  <c r="DS169" i="35"/>
  <c r="CR169" i="35"/>
  <c r="GO169" i="35" s="1"/>
  <c r="CN169" i="35"/>
  <c r="GK169" i="35" s="1"/>
  <c r="GY169" i="35" s="1"/>
  <c r="AR169" i="35"/>
  <c r="T169" i="35"/>
  <c r="Q169" i="35"/>
  <c r="E169" i="35"/>
  <c r="EE168" i="35"/>
  <c r="DS168" i="35"/>
  <c r="CR168" i="35"/>
  <c r="GO168" i="35" s="1"/>
  <c r="CN168" i="35"/>
  <c r="GK168" i="35" s="1"/>
  <c r="GY168" i="35" s="1"/>
  <c r="AR168" i="35"/>
  <c r="T168" i="35"/>
  <c r="Q168" i="35"/>
  <c r="E168" i="35"/>
  <c r="EE167" i="35"/>
  <c r="DS167" i="35"/>
  <c r="CR167" i="35"/>
  <c r="GO167" i="35" s="1"/>
  <c r="CN167" i="35"/>
  <c r="GK167" i="35" s="1"/>
  <c r="GY167" i="35" s="1"/>
  <c r="AR167" i="35"/>
  <c r="T167" i="35"/>
  <c r="Q167" i="35"/>
  <c r="E167" i="35"/>
  <c r="CP167" i="35" s="1"/>
  <c r="EE166" i="35"/>
  <c r="DS166" i="35"/>
  <c r="CR166" i="35"/>
  <c r="GO166" i="35" s="1"/>
  <c r="CN166" i="35"/>
  <c r="GK166" i="35" s="1"/>
  <c r="GY166" i="35" s="1"/>
  <c r="AR166" i="35"/>
  <c r="T166" i="35"/>
  <c r="Q166" i="35"/>
  <c r="E166" i="35"/>
  <c r="CP166" i="35" s="1"/>
  <c r="EE165" i="35"/>
  <c r="DS165" i="35"/>
  <c r="CR165" i="35"/>
  <c r="GO165" i="35" s="1"/>
  <c r="CN165" i="35"/>
  <c r="GK165" i="35" s="1"/>
  <c r="GY165" i="35" s="1"/>
  <c r="AR165" i="35"/>
  <c r="T165" i="35"/>
  <c r="Q165" i="35"/>
  <c r="E165" i="35"/>
  <c r="EE164" i="35"/>
  <c r="DS164" i="35"/>
  <c r="CR164" i="35"/>
  <c r="GO164" i="35" s="1"/>
  <c r="CN164" i="35"/>
  <c r="GK164" i="35" s="1"/>
  <c r="GY164" i="35" s="1"/>
  <c r="AR164" i="35"/>
  <c r="T164" i="35"/>
  <c r="Q164" i="35"/>
  <c r="E164" i="35"/>
  <c r="EE163" i="35"/>
  <c r="DS163" i="35"/>
  <c r="CR163" i="35"/>
  <c r="GO163" i="35" s="1"/>
  <c r="CN163" i="35"/>
  <c r="GK163" i="35" s="1"/>
  <c r="GY163" i="35" s="1"/>
  <c r="AR163" i="35"/>
  <c r="T163" i="35"/>
  <c r="Q163" i="35"/>
  <c r="E163" i="35"/>
  <c r="CP163" i="35" s="1"/>
  <c r="C163" i="35"/>
  <c r="C164" i="35" s="1"/>
  <c r="C165" i="35" s="1"/>
  <c r="C166" i="35" s="1"/>
  <c r="C167" i="35" s="1"/>
  <c r="C168" i="35" s="1"/>
  <c r="C169" i="35" s="1"/>
  <c r="C170" i="35" s="1"/>
  <c r="C171" i="35" s="1"/>
  <c r="C172" i="35" s="1"/>
  <c r="C173" i="35" s="1"/>
  <c r="C174" i="35" s="1"/>
  <c r="C175" i="35" s="1"/>
  <c r="C176" i="35" s="1"/>
  <c r="C177" i="35" s="1"/>
  <c r="C178" i="35" s="1"/>
  <c r="C179" i="35" s="1"/>
  <c r="C180" i="35" s="1"/>
  <c r="C181" i="35" s="1"/>
  <c r="C182" i="35" s="1"/>
  <c r="C183" i="35" s="1"/>
  <c r="C184" i="35" s="1"/>
  <c r="C185" i="35" s="1"/>
  <c r="C186" i="35" s="1"/>
  <c r="C187" i="35" s="1"/>
  <c r="C188" i="35" s="1"/>
  <c r="C189" i="35" s="1"/>
  <c r="C190" i="35" s="1"/>
  <c r="C191" i="35" s="1"/>
  <c r="C192" i="35" s="1"/>
  <c r="EE162" i="35"/>
  <c r="DS162" i="35"/>
  <c r="CR162" i="35"/>
  <c r="GO162" i="35" s="1"/>
  <c r="CN162" i="35"/>
  <c r="GK162" i="35" s="1"/>
  <c r="GY162" i="35" s="1"/>
  <c r="AR162" i="35"/>
  <c r="V162" i="35"/>
  <c r="T162" i="35"/>
  <c r="Q162" i="35"/>
  <c r="E162" i="35"/>
  <c r="CP162" i="35" s="1"/>
  <c r="EE161" i="35"/>
  <c r="DS161" i="35"/>
  <c r="CR161" i="35"/>
  <c r="GO161" i="35" s="1"/>
  <c r="CN161" i="35"/>
  <c r="GK161" i="35" s="1"/>
  <c r="GY161" i="35" s="1"/>
  <c r="AR161" i="35"/>
  <c r="W161" i="35"/>
  <c r="Q161" i="35"/>
  <c r="E161" i="35"/>
  <c r="CP161" i="35" s="1"/>
  <c r="EE160" i="35"/>
  <c r="DS160" i="35"/>
  <c r="CR160" i="35"/>
  <c r="GO160" i="35" s="1"/>
  <c r="CN160" i="35"/>
  <c r="GK160" i="35" s="1"/>
  <c r="GY160" i="35" s="1"/>
  <c r="AR160" i="35"/>
  <c r="Q160" i="35"/>
  <c r="E160" i="35"/>
  <c r="EE159" i="35"/>
  <c r="DS159" i="35"/>
  <c r="CR159" i="35"/>
  <c r="GO159" i="35" s="1"/>
  <c r="CN159" i="35"/>
  <c r="GK159" i="35" s="1"/>
  <c r="GY159" i="35" s="1"/>
  <c r="AR159" i="35"/>
  <c r="Q159" i="35"/>
  <c r="E159" i="35"/>
  <c r="EE158" i="35"/>
  <c r="DS158" i="35"/>
  <c r="CR158" i="35"/>
  <c r="GO158" i="35" s="1"/>
  <c r="CN158" i="35"/>
  <c r="GK158" i="35" s="1"/>
  <c r="GY158" i="35" s="1"/>
  <c r="AR158" i="35"/>
  <c r="W158" i="35"/>
  <c r="Q158" i="35"/>
  <c r="E158" i="35"/>
  <c r="EE157" i="35"/>
  <c r="DS157" i="35"/>
  <c r="CR157" i="35"/>
  <c r="GO157" i="35" s="1"/>
  <c r="CN157" i="35"/>
  <c r="GK157" i="35" s="1"/>
  <c r="GY157" i="35" s="1"/>
  <c r="AR157" i="35"/>
  <c r="W157" i="35"/>
  <c r="Q157" i="35"/>
  <c r="E157" i="35"/>
  <c r="EE156" i="35"/>
  <c r="DS156" i="35"/>
  <c r="CR156" i="35"/>
  <c r="GO156" i="35" s="1"/>
  <c r="CN156" i="35"/>
  <c r="GK156" i="35" s="1"/>
  <c r="GY156" i="35" s="1"/>
  <c r="AR156" i="35"/>
  <c r="V156" i="35"/>
  <c r="Q156" i="35"/>
  <c r="E156" i="35"/>
  <c r="CP156" i="35" s="1"/>
  <c r="EE155" i="35"/>
  <c r="DS155" i="35"/>
  <c r="CR155" i="35"/>
  <c r="GO155" i="35" s="1"/>
  <c r="CN155" i="35"/>
  <c r="GK155" i="35" s="1"/>
  <c r="GY155" i="35" s="1"/>
  <c r="AR155" i="35"/>
  <c r="V155" i="35"/>
  <c r="Q155" i="35"/>
  <c r="E155" i="35"/>
  <c r="EE154" i="35"/>
  <c r="DS154" i="35"/>
  <c r="CR154" i="35"/>
  <c r="GO154" i="35" s="1"/>
  <c r="CN154" i="35"/>
  <c r="GK154" i="35" s="1"/>
  <c r="GY154" i="35" s="1"/>
  <c r="AR154" i="35"/>
  <c r="Q154" i="35"/>
  <c r="E154" i="35"/>
  <c r="EE153" i="35"/>
  <c r="DS153" i="35"/>
  <c r="CR153" i="35"/>
  <c r="GO153" i="35" s="1"/>
  <c r="CN153" i="35"/>
  <c r="GK153" i="35" s="1"/>
  <c r="GY153" i="35" s="1"/>
  <c r="AR153" i="35"/>
  <c r="Q153" i="35"/>
  <c r="E153" i="35"/>
  <c r="CP153" i="35" s="1"/>
  <c r="EE152" i="35"/>
  <c r="DS152" i="35"/>
  <c r="CR152" i="35"/>
  <c r="GO152" i="35" s="1"/>
  <c r="CN152" i="35"/>
  <c r="GK152" i="35" s="1"/>
  <c r="GY152" i="35" s="1"/>
  <c r="AR152" i="35"/>
  <c r="Q152" i="35"/>
  <c r="E152" i="35"/>
  <c r="EE151" i="35"/>
  <c r="DS151" i="35"/>
  <c r="CR151" i="35"/>
  <c r="GO151" i="35" s="1"/>
  <c r="CN151" i="35"/>
  <c r="GK151" i="35" s="1"/>
  <c r="GY151" i="35" s="1"/>
  <c r="AR151" i="35"/>
  <c r="Q151" i="35"/>
  <c r="E151" i="35"/>
  <c r="EE150" i="35"/>
  <c r="DS150" i="35"/>
  <c r="CR150" i="35"/>
  <c r="GO150" i="35" s="1"/>
  <c r="CN150" i="35"/>
  <c r="GK150" i="35" s="1"/>
  <c r="GY150" i="35" s="1"/>
  <c r="AR150" i="35"/>
  <c r="Q150" i="35"/>
  <c r="E150" i="35"/>
  <c r="EE149" i="35"/>
  <c r="DS149" i="35"/>
  <c r="CR149" i="35"/>
  <c r="GO149" i="35" s="1"/>
  <c r="CN149" i="35"/>
  <c r="GK149" i="35" s="1"/>
  <c r="GY149" i="35" s="1"/>
  <c r="AR149" i="35"/>
  <c r="Q149" i="35"/>
  <c r="E149" i="35"/>
  <c r="EE148" i="35"/>
  <c r="DS148" i="35"/>
  <c r="CR148" i="35"/>
  <c r="GO148" i="35" s="1"/>
  <c r="CN148" i="35"/>
  <c r="GK148" i="35" s="1"/>
  <c r="GY148" i="35" s="1"/>
  <c r="AR148" i="35"/>
  <c r="Q148" i="35"/>
  <c r="E148" i="35"/>
  <c r="EE147" i="35"/>
  <c r="DS147" i="35"/>
  <c r="CR147" i="35"/>
  <c r="GO147" i="35" s="1"/>
  <c r="CN147" i="35"/>
  <c r="GK147" i="35" s="1"/>
  <c r="GY147" i="35" s="1"/>
  <c r="AR147" i="35"/>
  <c r="Q147" i="35"/>
  <c r="E147" i="35"/>
  <c r="EE146" i="35"/>
  <c r="DS146" i="35"/>
  <c r="CR146" i="35"/>
  <c r="GO146" i="35" s="1"/>
  <c r="CN146" i="35"/>
  <c r="GK146" i="35" s="1"/>
  <c r="GY146" i="35" s="1"/>
  <c r="AR146" i="35"/>
  <c r="V146" i="35"/>
  <c r="Q146" i="35"/>
  <c r="E146" i="35"/>
  <c r="EE145" i="35"/>
  <c r="DS145" i="35"/>
  <c r="CR145" i="35"/>
  <c r="GO145" i="35" s="1"/>
  <c r="CN145" i="35"/>
  <c r="GK145" i="35" s="1"/>
  <c r="GY145" i="35" s="1"/>
  <c r="AR145" i="35"/>
  <c r="W145" i="35"/>
  <c r="Q145" i="35"/>
  <c r="E145" i="35"/>
  <c r="EE144" i="35"/>
  <c r="DS144" i="35"/>
  <c r="CR144" i="35"/>
  <c r="GO144" i="35" s="1"/>
  <c r="CN144" i="35"/>
  <c r="GK144" i="35" s="1"/>
  <c r="GY144" i="35" s="1"/>
  <c r="AR144" i="35"/>
  <c r="W144" i="35"/>
  <c r="Q144" i="35"/>
  <c r="E144" i="35"/>
  <c r="CP144" i="35" s="1"/>
  <c r="EE143" i="35"/>
  <c r="DS143" i="35"/>
  <c r="CR143" i="35"/>
  <c r="GO143" i="35" s="1"/>
  <c r="CN143" i="35"/>
  <c r="GK143" i="35" s="1"/>
  <c r="GY143" i="35" s="1"/>
  <c r="AR143" i="35"/>
  <c r="Q143" i="35"/>
  <c r="E143" i="35"/>
  <c r="CP143" i="35" s="1"/>
  <c r="EE142" i="35"/>
  <c r="DS142" i="35"/>
  <c r="CR142" i="35"/>
  <c r="GO142" i="35" s="1"/>
  <c r="CN142" i="35"/>
  <c r="GK142" i="35" s="1"/>
  <c r="GY142" i="35" s="1"/>
  <c r="AR142" i="35"/>
  <c r="Q142" i="35"/>
  <c r="E142" i="35"/>
  <c r="EE141" i="35"/>
  <c r="DS141" i="35"/>
  <c r="CR141" i="35"/>
  <c r="GO141" i="35" s="1"/>
  <c r="CN141" i="35"/>
  <c r="GK141" i="35" s="1"/>
  <c r="GY141" i="35" s="1"/>
  <c r="AR141" i="35"/>
  <c r="Q141" i="35"/>
  <c r="E141" i="35"/>
  <c r="CP141" i="35" s="1"/>
  <c r="EE140" i="35"/>
  <c r="DS140" i="35"/>
  <c r="CR140" i="35"/>
  <c r="GO140" i="35" s="1"/>
  <c r="CN140" i="35"/>
  <c r="GK140" i="35" s="1"/>
  <c r="GY140" i="35" s="1"/>
  <c r="AR140" i="35"/>
  <c r="W140" i="35"/>
  <c r="Q140" i="35"/>
  <c r="E140" i="35"/>
  <c r="EE139" i="35"/>
  <c r="EA139" i="35"/>
  <c r="DS139" i="35"/>
  <c r="CR139" i="35"/>
  <c r="GO139" i="35" s="1"/>
  <c r="CN139" i="35"/>
  <c r="GK139" i="35" s="1"/>
  <c r="GY139" i="35" s="1"/>
  <c r="AR139" i="35"/>
  <c r="Q139" i="35"/>
  <c r="E139" i="35"/>
  <c r="EE138" i="35"/>
  <c r="EA138" i="35"/>
  <c r="DS138" i="35"/>
  <c r="CR138" i="35"/>
  <c r="GO138" i="35" s="1"/>
  <c r="CN138" i="35"/>
  <c r="GK138" i="35" s="1"/>
  <c r="GY138" i="35" s="1"/>
  <c r="AR138" i="35"/>
  <c r="Q138" i="35"/>
  <c r="E138" i="35"/>
  <c r="EE137" i="35"/>
  <c r="EA137" i="35"/>
  <c r="DS137" i="35"/>
  <c r="CR137" i="35"/>
  <c r="GO137" i="35" s="1"/>
  <c r="CN137" i="35"/>
  <c r="GK137" i="35" s="1"/>
  <c r="GY137" i="35" s="1"/>
  <c r="AR137" i="35"/>
  <c r="Q137" i="35"/>
  <c r="E137" i="35"/>
  <c r="EE136" i="35"/>
  <c r="EA136" i="35"/>
  <c r="DS136" i="35"/>
  <c r="CR136" i="35"/>
  <c r="GO136" i="35" s="1"/>
  <c r="CN136" i="35"/>
  <c r="GK136" i="35" s="1"/>
  <c r="GY136" i="35" s="1"/>
  <c r="AR136" i="35"/>
  <c r="Q136" i="35"/>
  <c r="E136" i="35"/>
  <c r="EE135" i="35"/>
  <c r="EA135" i="35"/>
  <c r="DS135" i="35"/>
  <c r="CR135" i="35"/>
  <c r="GO135" i="35" s="1"/>
  <c r="CN135" i="35"/>
  <c r="GK135" i="35" s="1"/>
  <c r="GY135" i="35" s="1"/>
  <c r="AR135" i="35"/>
  <c r="Q135" i="35"/>
  <c r="E135" i="35"/>
  <c r="CP135" i="35" s="1"/>
  <c r="EE134" i="35"/>
  <c r="EA134" i="35"/>
  <c r="DS134" i="35"/>
  <c r="CR134" i="35"/>
  <c r="GO134" i="35" s="1"/>
  <c r="CN134" i="35"/>
  <c r="GK134" i="35" s="1"/>
  <c r="GY134" i="35" s="1"/>
  <c r="AR134" i="35"/>
  <c r="Q134" i="35"/>
  <c r="E134" i="35"/>
  <c r="EE133" i="35"/>
  <c r="EA133" i="35"/>
  <c r="DS133" i="35"/>
  <c r="CR133" i="35"/>
  <c r="GO133" i="35" s="1"/>
  <c r="CN133" i="35"/>
  <c r="GK133" i="35" s="1"/>
  <c r="GY133" i="35" s="1"/>
  <c r="AR133" i="35"/>
  <c r="Q133" i="35"/>
  <c r="E133" i="35"/>
  <c r="EE132" i="35"/>
  <c r="EA132" i="35"/>
  <c r="DS132" i="35"/>
  <c r="CR132" i="35"/>
  <c r="GO132" i="35" s="1"/>
  <c r="CN132" i="35"/>
  <c r="GK132" i="35" s="1"/>
  <c r="GY132" i="35" s="1"/>
  <c r="AR132" i="35"/>
  <c r="Q132" i="35"/>
  <c r="E132" i="35"/>
  <c r="C132" i="35"/>
  <c r="C133" i="35" s="1"/>
  <c r="C134" i="35" s="1"/>
  <c r="C135" i="35" s="1"/>
  <c r="C136" i="35" s="1"/>
  <c r="C137" i="35" s="1"/>
  <c r="C138" i="35" s="1"/>
  <c r="C139" i="35" s="1"/>
  <c r="C140" i="35" s="1"/>
  <c r="C141" i="35" s="1"/>
  <c r="C142" i="35" s="1"/>
  <c r="C143" i="35" s="1"/>
  <c r="C144" i="35" s="1"/>
  <c r="C145" i="35" s="1"/>
  <c r="C146" i="35" s="1"/>
  <c r="C147" i="35" s="1"/>
  <c r="C148" i="35" s="1"/>
  <c r="C149" i="35" s="1"/>
  <c r="C150" i="35" s="1"/>
  <c r="C151" i="35" s="1"/>
  <c r="C152" i="35" s="1"/>
  <c r="C153" i="35" s="1"/>
  <c r="C154" i="35" s="1"/>
  <c r="C155" i="35" s="1"/>
  <c r="C156" i="35" s="1"/>
  <c r="C157" i="35" s="1"/>
  <c r="C158" i="35" s="1"/>
  <c r="C159" i="35" s="1"/>
  <c r="C160" i="35" s="1"/>
  <c r="C161" i="35" s="1"/>
  <c r="EE131" i="35"/>
  <c r="EA131" i="35"/>
  <c r="DS131" i="35"/>
  <c r="CR131" i="35"/>
  <c r="GO131" i="35" s="1"/>
  <c r="CN131" i="35"/>
  <c r="GK131" i="35" s="1"/>
  <c r="GY131" i="35" s="1"/>
  <c r="AR131" i="35"/>
  <c r="V131" i="35"/>
  <c r="Q131" i="35"/>
  <c r="E131" i="35"/>
  <c r="EE130" i="35"/>
  <c r="EA130" i="35"/>
  <c r="DS130" i="35"/>
  <c r="CR130" i="35"/>
  <c r="GO130" i="35" s="1"/>
  <c r="CN130" i="35"/>
  <c r="GK130" i="35" s="1"/>
  <c r="GY130" i="35" s="1"/>
  <c r="AR130" i="35"/>
  <c r="W130" i="35"/>
  <c r="Q130" i="35"/>
  <c r="E130" i="35"/>
  <c r="EE129" i="35"/>
  <c r="EA129" i="35"/>
  <c r="DS129" i="35"/>
  <c r="CR129" i="35"/>
  <c r="GO129" i="35" s="1"/>
  <c r="CN129" i="35"/>
  <c r="GK129" i="35" s="1"/>
  <c r="GY129" i="35" s="1"/>
  <c r="AR129" i="35"/>
  <c r="Q129" i="35"/>
  <c r="E129" i="35"/>
  <c r="CP129" i="35" s="1"/>
  <c r="EE128" i="35"/>
  <c r="EA128" i="35"/>
  <c r="DS128" i="35"/>
  <c r="CR128" i="35"/>
  <c r="GO128" i="35" s="1"/>
  <c r="CN128" i="35"/>
  <c r="GK128" i="35" s="1"/>
  <c r="GY128" i="35" s="1"/>
  <c r="AR128" i="35"/>
  <c r="Q128" i="35"/>
  <c r="E128" i="35"/>
  <c r="EE127" i="35"/>
  <c r="EA127" i="35"/>
  <c r="DS127" i="35"/>
  <c r="CR127" i="35"/>
  <c r="GO127" i="35" s="1"/>
  <c r="CN127" i="35"/>
  <c r="GK127" i="35" s="1"/>
  <c r="GY127" i="35" s="1"/>
  <c r="AR127" i="35"/>
  <c r="W127" i="35"/>
  <c r="Q127" i="35"/>
  <c r="E127" i="35"/>
  <c r="EE126" i="35"/>
  <c r="EA126" i="35"/>
  <c r="DS126" i="35"/>
  <c r="CR126" i="35"/>
  <c r="GO126" i="35" s="1"/>
  <c r="CN126" i="35"/>
  <c r="GK126" i="35" s="1"/>
  <c r="GY126" i="35" s="1"/>
  <c r="AR126" i="35"/>
  <c r="W126" i="35"/>
  <c r="Q126" i="35"/>
  <c r="E126" i="35"/>
  <c r="CP126" i="35" s="1"/>
  <c r="EE125" i="35"/>
  <c r="EA125" i="35"/>
  <c r="DS125" i="35"/>
  <c r="CR125" i="35"/>
  <c r="GO125" i="35" s="1"/>
  <c r="CN125" i="35"/>
  <c r="GK125" i="35" s="1"/>
  <c r="GY125" i="35" s="1"/>
  <c r="AR125" i="35"/>
  <c r="V125" i="35"/>
  <c r="Q125" i="35"/>
  <c r="E125" i="35"/>
  <c r="EE124" i="35"/>
  <c r="EA124" i="35"/>
  <c r="DS124" i="35"/>
  <c r="CR124" i="35"/>
  <c r="GO124" i="35" s="1"/>
  <c r="CN124" i="35"/>
  <c r="GK124" i="35" s="1"/>
  <c r="GY124" i="35" s="1"/>
  <c r="AR124" i="35"/>
  <c r="V124" i="35"/>
  <c r="Q124" i="35"/>
  <c r="E124" i="35"/>
  <c r="EE123" i="35"/>
  <c r="EA123" i="35"/>
  <c r="DS123" i="35"/>
  <c r="CR123" i="35"/>
  <c r="GO123" i="35" s="1"/>
  <c r="CN123" i="35"/>
  <c r="GK123" i="35" s="1"/>
  <c r="GY123" i="35" s="1"/>
  <c r="AR123" i="35"/>
  <c r="Q123" i="35"/>
  <c r="E123" i="35"/>
  <c r="EE122" i="35"/>
  <c r="EA122" i="35"/>
  <c r="DS122" i="35"/>
  <c r="CR122" i="35"/>
  <c r="GO122" i="35" s="1"/>
  <c r="CN122" i="35"/>
  <c r="GK122" i="35" s="1"/>
  <c r="GY122" i="35" s="1"/>
  <c r="AR122" i="35"/>
  <c r="Q122" i="35"/>
  <c r="E122" i="35"/>
  <c r="EE121" i="35"/>
  <c r="EA121" i="35"/>
  <c r="DS121" i="35"/>
  <c r="CR121" i="35"/>
  <c r="GO121" i="35" s="1"/>
  <c r="CN121" i="35"/>
  <c r="GK121" i="35" s="1"/>
  <c r="GY121" i="35" s="1"/>
  <c r="AR121" i="35"/>
  <c r="Q121" i="35"/>
  <c r="E121" i="35"/>
  <c r="EE120" i="35"/>
  <c r="EA120" i="35"/>
  <c r="DS120" i="35"/>
  <c r="CR120" i="35"/>
  <c r="GO120" i="35" s="1"/>
  <c r="CN120" i="35"/>
  <c r="GK120" i="35" s="1"/>
  <c r="GY120" i="35" s="1"/>
  <c r="AR120" i="35"/>
  <c r="Q120" i="35"/>
  <c r="E120" i="35"/>
  <c r="EE119" i="35"/>
  <c r="EA119" i="35"/>
  <c r="DS119" i="35"/>
  <c r="CR119" i="35"/>
  <c r="GO119" i="35" s="1"/>
  <c r="CN119" i="35"/>
  <c r="GK119" i="35" s="1"/>
  <c r="GY119" i="35" s="1"/>
  <c r="AR119" i="35"/>
  <c r="Q119" i="35"/>
  <c r="E119" i="35"/>
  <c r="EE118" i="35"/>
  <c r="EA118" i="35"/>
  <c r="DS118" i="35"/>
  <c r="CR118" i="35"/>
  <c r="GO118" i="35" s="1"/>
  <c r="CN118" i="35"/>
  <c r="GK118" i="35" s="1"/>
  <c r="GY118" i="35" s="1"/>
  <c r="AR118" i="35"/>
  <c r="Q118" i="35"/>
  <c r="E118" i="35"/>
  <c r="EE117" i="35"/>
  <c r="EA117" i="35"/>
  <c r="DS117" i="35"/>
  <c r="CR117" i="35"/>
  <c r="GO117" i="35" s="1"/>
  <c r="CN117" i="35"/>
  <c r="GK117" i="35" s="1"/>
  <c r="GY117" i="35" s="1"/>
  <c r="AR117" i="35"/>
  <c r="Q117" i="35"/>
  <c r="E117" i="35"/>
  <c r="EE116" i="35"/>
  <c r="EA116" i="35"/>
  <c r="DS116" i="35"/>
  <c r="CR116" i="35"/>
  <c r="GO116" i="35" s="1"/>
  <c r="CN116" i="35"/>
  <c r="GK116" i="35" s="1"/>
  <c r="GY116" i="35" s="1"/>
  <c r="AR116" i="35"/>
  <c r="Q116" i="35"/>
  <c r="E116" i="35"/>
  <c r="EE115" i="35"/>
  <c r="EA115" i="35"/>
  <c r="DS115" i="35"/>
  <c r="CR115" i="35"/>
  <c r="GO115" i="35" s="1"/>
  <c r="CN115" i="35"/>
  <c r="GK115" i="35" s="1"/>
  <c r="GY115" i="35" s="1"/>
  <c r="AR115" i="35"/>
  <c r="V115" i="35"/>
  <c r="Q115" i="35"/>
  <c r="E115" i="35"/>
  <c r="EE114" i="35"/>
  <c r="EA114" i="35"/>
  <c r="DS114" i="35"/>
  <c r="CR114" i="35"/>
  <c r="GO114" i="35" s="1"/>
  <c r="CN114" i="35"/>
  <c r="GK114" i="35" s="1"/>
  <c r="GY114" i="35" s="1"/>
  <c r="AR114" i="35"/>
  <c r="W114" i="35"/>
  <c r="Q114" i="35"/>
  <c r="E114" i="35"/>
  <c r="EE113" i="35"/>
  <c r="EA113" i="35"/>
  <c r="DS113" i="35"/>
  <c r="CR113" i="35"/>
  <c r="GO113" i="35" s="1"/>
  <c r="CN113" i="35"/>
  <c r="GK113" i="35" s="1"/>
  <c r="GY113" i="35" s="1"/>
  <c r="AR113" i="35"/>
  <c r="W113" i="35"/>
  <c r="Q113" i="35"/>
  <c r="E113" i="35"/>
  <c r="EE112" i="35"/>
  <c r="EA112" i="35"/>
  <c r="DS112" i="35"/>
  <c r="CR112" i="35"/>
  <c r="GO112" i="35" s="1"/>
  <c r="CN112" i="35"/>
  <c r="GK112" i="35" s="1"/>
  <c r="GY112" i="35" s="1"/>
  <c r="AR112" i="35"/>
  <c r="Q112" i="35"/>
  <c r="E112" i="35"/>
  <c r="EE111" i="35"/>
  <c r="EA111" i="35"/>
  <c r="DS111" i="35"/>
  <c r="CR111" i="35"/>
  <c r="GO111" i="35" s="1"/>
  <c r="CN111" i="35"/>
  <c r="GK111" i="35" s="1"/>
  <c r="GY111" i="35" s="1"/>
  <c r="AR111" i="35"/>
  <c r="Q111" i="35"/>
  <c r="E111" i="35"/>
  <c r="EE110" i="35"/>
  <c r="EA110" i="35"/>
  <c r="DS110" i="35"/>
  <c r="CR110" i="35"/>
  <c r="GO110" i="35" s="1"/>
  <c r="CN110" i="35"/>
  <c r="GK110" i="35" s="1"/>
  <c r="GY110" i="35" s="1"/>
  <c r="AR110" i="35"/>
  <c r="Q110" i="35"/>
  <c r="E110" i="35"/>
  <c r="CP110" i="35" s="1"/>
  <c r="EE109" i="35"/>
  <c r="EA109" i="35"/>
  <c r="DS109" i="35"/>
  <c r="CR109" i="35"/>
  <c r="GO109" i="35" s="1"/>
  <c r="CN109" i="35"/>
  <c r="GK109" i="35" s="1"/>
  <c r="GY109" i="35" s="1"/>
  <c r="AR109" i="35"/>
  <c r="W109" i="35"/>
  <c r="Q109" i="35"/>
  <c r="E109" i="35"/>
  <c r="CP109" i="35" s="1"/>
  <c r="EE108" i="35"/>
  <c r="EA108" i="35"/>
  <c r="DS108" i="35"/>
  <c r="CR108" i="35"/>
  <c r="GO108" i="35" s="1"/>
  <c r="CN108" i="35"/>
  <c r="GK108" i="35" s="1"/>
  <c r="GY108" i="35" s="1"/>
  <c r="AR108" i="35"/>
  <c r="Q108" i="35"/>
  <c r="E108" i="35"/>
  <c r="EE107" i="35"/>
  <c r="EA107" i="35"/>
  <c r="DS107" i="35"/>
  <c r="CR107" i="35"/>
  <c r="GO107" i="35" s="1"/>
  <c r="CN107" i="35"/>
  <c r="GK107" i="35" s="1"/>
  <c r="GY107" i="35" s="1"/>
  <c r="AR107" i="35"/>
  <c r="Q107" i="35"/>
  <c r="E107" i="35"/>
  <c r="EE106" i="35"/>
  <c r="EA106" i="35"/>
  <c r="DS106" i="35"/>
  <c r="CR106" i="35"/>
  <c r="GO106" i="35" s="1"/>
  <c r="CN106" i="35"/>
  <c r="GK106" i="35" s="1"/>
  <c r="GY106" i="35" s="1"/>
  <c r="AR106" i="35"/>
  <c r="Q106" i="35"/>
  <c r="E106" i="35"/>
  <c r="EE105" i="35"/>
  <c r="EA105" i="35"/>
  <c r="DS105" i="35"/>
  <c r="CR105" i="35"/>
  <c r="GO105" i="35" s="1"/>
  <c r="CN105" i="35"/>
  <c r="GK105" i="35" s="1"/>
  <c r="GY105" i="35" s="1"/>
  <c r="AR105" i="35"/>
  <c r="Q105" i="35"/>
  <c r="E105" i="35"/>
  <c r="EE104" i="35"/>
  <c r="EA104" i="35"/>
  <c r="DS104" i="35"/>
  <c r="CR104" i="35"/>
  <c r="GO104" i="35" s="1"/>
  <c r="CN104" i="35"/>
  <c r="GK104" i="35" s="1"/>
  <c r="GY104" i="35" s="1"/>
  <c r="AR104" i="35"/>
  <c r="Q104" i="35"/>
  <c r="E104" i="35"/>
  <c r="EE103" i="35"/>
  <c r="EA103" i="35"/>
  <c r="DS103" i="35"/>
  <c r="CR103" i="35"/>
  <c r="GO103" i="35" s="1"/>
  <c r="CN103" i="35"/>
  <c r="GK103" i="35" s="1"/>
  <c r="GY103" i="35" s="1"/>
  <c r="AR103" i="35"/>
  <c r="Q103" i="35"/>
  <c r="E103" i="35"/>
  <c r="EE102" i="35"/>
  <c r="EA102" i="35"/>
  <c r="DS102" i="35"/>
  <c r="CR102" i="35"/>
  <c r="GO102" i="35" s="1"/>
  <c r="CN102" i="35"/>
  <c r="GK102" i="35" s="1"/>
  <c r="GY102" i="35" s="1"/>
  <c r="AR102" i="35"/>
  <c r="Q102" i="35"/>
  <c r="E102" i="35"/>
  <c r="EE101" i="35"/>
  <c r="EA101" i="35"/>
  <c r="DS101" i="35"/>
  <c r="CR101" i="35"/>
  <c r="GO101" i="35" s="1"/>
  <c r="CN101" i="35"/>
  <c r="GK101" i="35" s="1"/>
  <c r="GY101" i="35" s="1"/>
  <c r="AR101" i="35"/>
  <c r="Q101" i="35"/>
  <c r="E101" i="35"/>
  <c r="C101" i="35"/>
  <c r="C102" i="35" s="1"/>
  <c r="C103" i="35" s="1"/>
  <c r="C104" i="35" s="1"/>
  <c r="C105" i="35" s="1"/>
  <c r="C106" i="35" s="1"/>
  <c r="C107" i="35" s="1"/>
  <c r="C108" i="35" s="1"/>
  <c r="C109" i="35" s="1"/>
  <c r="C110" i="35" s="1"/>
  <c r="C111" i="35" s="1"/>
  <c r="C112" i="35" s="1"/>
  <c r="C113" i="35" s="1"/>
  <c r="C114" i="35" s="1"/>
  <c r="C115" i="35" s="1"/>
  <c r="C116" i="35" s="1"/>
  <c r="C117" i="35" s="1"/>
  <c r="C118" i="35" s="1"/>
  <c r="C119" i="35" s="1"/>
  <c r="C120" i="35" s="1"/>
  <c r="C121" i="35" s="1"/>
  <c r="C122" i="35" s="1"/>
  <c r="C123" i="35" s="1"/>
  <c r="C124" i="35" s="1"/>
  <c r="C125" i="35" s="1"/>
  <c r="C126" i="35" s="1"/>
  <c r="C127" i="35" s="1"/>
  <c r="C128" i="35" s="1"/>
  <c r="C129" i="35" s="1"/>
  <c r="C130" i="35" s="1"/>
  <c r="EE100" i="35"/>
  <c r="EA100" i="35"/>
  <c r="DS100" i="35"/>
  <c r="CR100" i="35"/>
  <c r="GO100" i="35" s="1"/>
  <c r="CN100" i="35"/>
  <c r="GK100" i="35" s="1"/>
  <c r="GY100" i="35" s="1"/>
  <c r="AR100" i="35"/>
  <c r="V100" i="35"/>
  <c r="Q100" i="35"/>
  <c r="E100" i="35"/>
  <c r="EE99" i="35"/>
  <c r="EA99" i="35"/>
  <c r="DS99" i="35"/>
  <c r="CR99" i="35"/>
  <c r="GO99" i="35" s="1"/>
  <c r="CN99" i="35"/>
  <c r="GK99" i="35" s="1"/>
  <c r="GY99" i="35" s="1"/>
  <c r="AR99" i="35"/>
  <c r="W99" i="35"/>
  <c r="Q99" i="35"/>
  <c r="E99" i="35"/>
  <c r="EE98" i="35"/>
  <c r="EA98" i="35"/>
  <c r="DS98" i="35"/>
  <c r="CR98" i="35"/>
  <c r="GO98" i="35" s="1"/>
  <c r="CN98" i="35"/>
  <c r="GK98" i="35" s="1"/>
  <c r="GY98" i="35" s="1"/>
  <c r="AR98" i="35"/>
  <c r="Q98" i="35"/>
  <c r="E98" i="35"/>
  <c r="EE97" i="35"/>
  <c r="EA97" i="35"/>
  <c r="DS97" i="35"/>
  <c r="CR97" i="35"/>
  <c r="GO97" i="35" s="1"/>
  <c r="CN97" i="35"/>
  <c r="GK97" i="35" s="1"/>
  <c r="GY97" i="35" s="1"/>
  <c r="AR97" i="35"/>
  <c r="Q97" i="35"/>
  <c r="E97" i="35"/>
  <c r="CP97" i="35" s="1"/>
  <c r="EE96" i="35"/>
  <c r="EA96" i="35"/>
  <c r="DS96" i="35"/>
  <c r="CR96" i="35"/>
  <c r="GO96" i="35" s="1"/>
  <c r="CN96" i="35"/>
  <c r="GK96" i="35" s="1"/>
  <c r="GY96" i="35" s="1"/>
  <c r="AR96" i="35"/>
  <c r="W96" i="35"/>
  <c r="Q96" i="35"/>
  <c r="E96" i="35"/>
  <c r="EE95" i="35"/>
  <c r="EA95" i="35"/>
  <c r="DS95" i="35"/>
  <c r="CR95" i="35"/>
  <c r="GO95" i="35" s="1"/>
  <c r="CN95" i="35"/>
  <c r="GK95" i="35" s="1"/>
  <c r="GY95" i="35" s="1"/>
  <c r="AR95" i="35"/>
  <c r="W95" i="35"/>
  <c r="Q95" i="35"/>
  <c r="E95" i="35"/>
  <c r="EE94" i="35"/>
  <c r="EA94" i="35"/>
  <c r="DS94" i="35"/>
  <c r="CR94" i="35"/>
  <c r="GO94" i="35" s="1"/>
  <c r="CN94" i="35"/>
  <c r="GK94" i="35" s="1"/>
  <c r="GY94" i="35" s="1"/>
  <c r="AR94" i="35"/>
  <c r="V94" i="35"/>
  <c r="Q94" i="35"/>
  <c r="E94" i="35"/>
  <c r="EE93" i="35"/>
  <c r="EA93" i="35"/>
  <c r="DS93" i="35"/>
  <c r="CR93" i="35"/>
  <c r="GO93" i="35" s="1"/>
  <c r="CN93" i="35"/>
  <c r="GK93" i="35" s="1"/>
  <c r="GY93" i="35" s="1"/>
  <c r="AR93" i="35"/>
  <c r="V93" i="35"/>
  <c r="Q93" i="35"/>
  <c r="E93" i="35"/>
  <c r="EE92" i="35"/>
  <c r="EA92" i="35"/>
  <c r="DS92" i="35"/>
  <c r="CR92" i="35"/>
  <c r="GO92" i="35" s="1"/>
  <c r="CN92" i="35"/>
  <c r="GK92" i="35" s="1"/>
  <c r="GY92" i="35" s="1"/>
  <c r="AR92" i="35"/>
  <c r="Q92" i="35"/>
  <c r="E92" i="35"/>
  <c r="EE91" i="35"/>
  <c r="EA91" i="35"/>
  <c r="DS91" i="35"/>
  <c r="CR91" i="35"/>
  <c r="GO91" i="35" s="1"/>
  <c r="CN91" i="35"/>
  <c r="GK91" i="35" s="1"/>
  <c r="GY91" i="35" s="1"/>
  <c r="AR91" i="35"/>
  <c r="Q91" i="35"/>
  <c r="E91" i="35"/>
  <c r="EE90" i="35"/>
  <c r="EA90" i="35"/>
  <c r="DS90" i="35"/>
  <c r="CR90" i="35"/>
  <c r="GO90" i="35" s="1"/>
  <c r="CN90" i="35"/>
  <c r="GK90" i="35" s="1"/>
  <c r="GY90" i="35" s="1"/>
  <c r="AR90" i="35"/>
  <c r="Q90" i="35"/>
  <c r="E90" i="35"/>
  <c r="EE89" i="35"/>
  <c r="EA89" i="35"/>
  <c r="DS89" i="35"/>
  <c r="CR89" i="35"/>
  <c r="GO89" i="35" s="1"/>
  <c r="CN89" i="35"/>
  <c r="GK89" i="35" s="1"/>
  <c r="GY89" i="35" s="1"/>
  <c r="AR89" i="35"/>
  <c r="Q89" i="35"/>
  <c r="E89" i="35"/>
  <c r="EE88" i="35"/>
  <c r="EA88" i="35"/>
  <c r="DS88" i="35"/>
  <c r="CR88" i="35"/>
  <c r="GO88" i="35" s="1"/>
  <c r="CN88" i="35"/>
  <c r="GK88" i="35" s="1"/>
  <c r="GY88" i="35" s="1"/>
  <c r="AR88" i="35"/>
  <c r="Q88" i="35"/>
  <c r="E88" i="35"/>
  <c r="EE87" i="35"/>
  <c r="EA87" i="35"/>
  <c r="DS87" i="35"/>
  <c r="CR87" i="35"/>
  <c r="GO87" i="35" s="1"/>
  <c r="CN87" i="35"/>
  <c r="GK87" i="35" s="1"/>
  <c r="GY87" i="35" s="1"/>
  <c r="AR87" i="35"/>
  <c r="Q87" i="35"/>
  <c r="E87" i="35"/>
  <c r="EE86" i="35"/>
  <c r="EA86" i="35"/>
  <c r="DS86" i="35"/>
  <c r="CR86" i="35"/>
  <c r="GO86" i="35" s="1"/>
  <c r="CN86" i="35"/>
  <c r="GK86" i="35" s="1"/>
  <c r="GY86" i="35" s="1"/>
  <c r="AR86" i="35"/>
  <c r="Q86" i="35"/>
  <c r="E86" i="35"/>
  <c r="EE85" i="35"/>
  <c r="EA85" i="35"/>
  <c r="DS85" i="35"/>
  <c r="CR85" i="35"/>
  <c r="GO85" i="35" s="1"/>
  <c r="CN85" i="35"/>
  <c r="GK85" i="35" s="1"/>
  <c r="GY85" i="35" s="1"/>
  <c r="AR85" i="35"/>
  <c r="Q85" i="35"/>
  <c r="E85" i="35"/>
  <c r="EE84" i="35"/>
  <c r="EA84" i="35"/>
  <c r="DS84" i="35"/>
  <c r="CR84" i="35"/>
  <c r="GO84" i="35" s="1"/>
  <c r="CN84" i="35"/>
  <c r="GK84" i="35" s="1"/>
  <c r="GY84" i="35" s="1"/>
  <c r="AR84" i="35"/>
  <c r="V84" i="35"/>
  <c r="Q84" i="35"/>
  <c r="E84" i="35"/>
  <c r="CP84" i="35" s="1"/>
  <c r="EE83" i="35"/>
  <c r="EA83" i="35"/>
  <c r="DS83" i="35"/>
  <c r="CR83" i="35"/>
  <c r="GO83" i="35" s="1"/>
  <c r="CN83" i="35"/>
  <c r="GK83" i="35" s="1"/>
  <c r="GY83" i="35" s="1"/>
  <c r="AR83" i="35"/>
  <c r="W83" i="35"/>
  <c r="Q83" i="35"/>
  <c r="E83" i="35"/>
  <c r="EE82" i="35"/>
  <c r="EA82" i="35"/>
  <c r="DS82" i="35"/>
  <c r="CR82" i="35"/>
  <c r="GO82" i="35" s="1"/>
  <c r="CN82" i="35"/>
  <c r="GK82" i="35" s="1"/>
  <c r="GY82" i="35" s="1"/>
  <c r="AR82" i="35"/>
  <c r="W82" i="35"/>
  <c r="Q82" i="35"/>
  <c r="E82" i="35"/>
  <c r="EE81" i="35"/>
  <c r="EA81" i="35"/>
  <c r="DS81" i="35"/>
  <c r="CR81" i="35"/>
  <c r="GO81" i="35" s="1"/>
  <c r="CN81" i="35"/>
  <c r="GK81" i="35" s="1"/>
  <c r="GY81" i="35" s="1"/>
  <c r="AR81" i="35"/>
  <c r="Q81" i="35"/>
  <c r="E81" i="35"/>
  <c r="EE80" i="35"/>
  <c r="EA80" i="35"/>
  <c r="DS80" i="35"/>
  <c r="CR80" i="35"/>
  <c r="GO80" i="35" s="1"/>
  <c r="CN80" i="35"/>
  <c r="GK80" i="35" s="1"/>
  <c r="GY80" i="35" s="1"/>
  <c r="AR80" i="35"/>
  <c r="Q80" i="35"/>
  <c r="E80" i="35"/>
  <c r="EE79" i="35"/>
  <c r="EA79" i="35"/>
  <c r="DS79" i="35"/>
  <c r="CR79" i="35"/>
  <c r="GO79" i="35" s="1"/>
  <c r="CN79" i="35"/>
  <c r="GK79" i="35" s="1"/>
  <c r="GY79" i="35" s="1"/>
  <c r="AR79" i="35"/>
  <c r="Q79" i="35"/>
  <c r="E79" i="35"/>
  <c r="EE78" i="35"/>
  <c r="EA78" i="35"/>
  <c r="DS78" i="35"/>
  <c r="CR78" i="35"/>
  <c r="GO78" i="35" s="1"/>
  <c r="CN78" i="35"/>
  <c r="GK78" i="35" s="1"/>
  <c r="GY78" i="35" s="1"/>
  <c r="AR78" i="35"/>
  <c r="W78" i="35"/>
  <c r="Q78" i="35"/>
  <c r="E78" i="35"/>
  <c r="EE77" i="35"/>
  <c r="EA77" i="35"/>
  <c r="DS77" i="35"/>
  <c r="CR77" i="35"/>
  <c r="GO77" i="35" s="1"/>
  <c r="CN77" i="35"/>
  <c r="GK77" i="35" s="1"/>
  <c r="GY77" i="35" s="1"/>
  <c r="AR77" i="35"/>
  <c r="Q77" i="35"/>
  <c r="E77" i="35"/>
  <c r="EE76" i="35"/>
  <c r="EA76" i="35"/>
  <c r="DS76" i="35"/>
  <c r="CR76" i="35"/>
  <c r="GO76" i="35" s="1"/>
  <c r="CN76" i="35"/>
  <c r="GK76" i="35" s="1"/>
  <c r="GY76" i="35" s="1"/>
  <c r="AR76" i="35"/>
  <c r="Q76" i="35"/>
  <c r="E76" i="35"/>
  <c r="EE75" i="35"/>
  <c r="EA75" i="35"/>
  <c r="DS75" i="35"/>
  <c r="CR75" i="35"/>
  <c r="GO75" i="35" s="1"/>
  <c r="CN75" i="35"/>
  <c r="GK75" i="35" s="1"/>
  <c r="GY75" i="35" s="1"/>
  <c r="AR75" i="35"/>
  <c r="Q75" i="35"/>
  <c r="E75" i="35"/>
  <c r="EE74" i="35"/>
  <c r="EA74" i="35"/>
  <c r="DS74" i="35"/>
  <c r="CR74" i="35"/>
  <c r="GO74" i="35" s="1"/>
  <c r="CN74" i="35"/>
  <c r="GK74" i="35" s="1"/>
  <c r="GY74" i="35" s="1"/>
  <c r="AR74" i="35"/>
  <c r="Q74" i="35"/>
  <c r="E74" i="35"/>
  <c r="EE73" i="35"/>
  <c r="EA73" i="35"/>
  <c r="DS73" i="35"/>
  <c r="CR73" i="35"/>
  <c r="GO73" i="35" s="1"/>
  <c r="CN73" i="35"/>
  <c r="GK73" i="35" s="1"/>
  <c r="GY73" i="35" s="1"/>
  <c r="AR73" i="35"/>
  <c r="Q73" i="35"/>
  <c r="E73" i="35"/>
  <c r="EE72" i="35"/>
  <c r="EA72" i="35"/>
  <c r="DS72" i="35"/>
  <c r="CR72" i="35"/>
  <c r="GO72" i="35" s="1"/>
  <c r="CN72" i="35"/>
  <c r="GK72" i="35" s="1"/>
  <c r="GY72" i="35" s="1"/>
  <c r="AR72" i="35"/>
  <c r="Q72" i="35"/>
  <c r="E72" i="35"/>
  <c r="EE71" i="35"/>
  <c r="EA71" i="35"/>
  <c r="DS71" i="35"/>
  <c r="CR71" i="35"/>
  <c r="GO71" i="35" s="1"/>
  <c r="CN71" i="35"/>
  <c r="GK71" i="35" s="1"/>
  <c r="GY71" i="35" s="1"/>
  <c r="AR71" i="35"/>
  <c r="Q71" i="35"/>
  <c r="E71" i="35"/>
  <c r="EE70" i="35"/>
  <c r="EA70" i="35"/>
  <c r="DS70" i="35"/>
  <c r="CR70" i="35"/>
  <c r="GO70" i="35" s="1"/>
  <c r="CN70" i="35"/>
  <c r="GK70" i="35" s="1"/>
  <c r="GY70" i="35" s="1"/>
  <c r="AR70" i="35"/>
  <c r="Q70" i="35"/>
  <c r="E70" i="35"/>
  <c r="CP70" i="35" s="1"/>
  <c r="C70" i="35"/>
  <c r="C71" i="35" s="1"/>
  <c r="C72" i="35" s="1"/>
  <c r="C73" i="35" s="1"/>
  <c r="C74" i="35" s="1"/>
  <c r="C75" i="35" s="1"/>
  <c r="C76" i="35" s="1"/>
  <c r="C77" i="35" s="1"/>
  <c r="C78" i="35" s="1"/>
  <c r="C79" i="35" s="1"/>
  <c r="C80" i="35" s="1"/>
  <c r="C81" i="35" s="1"/>
  <c r="C82" i="35" s="1"/>
  <c r="C83" i="35" s="1"/>
  <c r="C84" i="35" s="1"/>
  <c r="C85" i="35" s="1"/>
  <c r="C86" i="35" s="1"/>
  <c r="C87" i="35" s="1"/>
  <c r="C88" i="35" s="1"/>
  <c r="C89" i="35" s="1"/>
  <c r="C90" i="35" s="1"/>
  <c r="C91" i="35" s="1"/>
  <c r="C92" i="35" s="1"/>
  <c r="C93" i="35" s="1"/>
  <c r="C94" i="35" s="1"/>
  <c r="C95" i="35" s="1"/>
  <c r="C96" i="35" s="1"/>
  <c r="C97" i="35" s="1"/>
  <c r="C98" i="35" s="1"/>
  <c r="C99" i="35" s="1"/>
  <c r="EE69" i="35"/>
  <c r="EA69" i="35"/>
  <c r="DS69" i="35"/>
  <c r="CR69" i="35"/>
  <c r="GO69" i="35" s="1"/>
  <c r="CN69" i="35"/>
  <c r="GK69" i="35" s="1"/>
  <c r="GY69" i="35" s="1"/>
  <c r="AR69" i="35"/>
  <c r="Y69" i="35"/>
  <c r="Y92" i="35" s="1"/>
  <c r="V69" i="35"/>
  <c r="Q69" i="35"/>
  <c r="E69" i="35"/>
  <c r="EE68" i="35"/>
  <c r="EA68" i="35"/>
  <c r="DS68" i="35"/>
  <c r="CR68" i="35"/>
  <c r="GO68" i="35" s="1"/>
  <c r="CN68" i="35"/>
  <c r="GK68" i="35" s="1"/>
  <c r="GY68" i="35" s="1"/>
  <c r="AR68" i="35"/>
  <c r="W68" i="35"/>
  <c r="Q68" i="35"/>
  <c r="E68" i="35"/>
  <c r="EE67" i="35"/>
  <c r="EA67" i="35"/>
  <c r="DS67" i="35"/>
  <c r="CR67" i="35"/>
  <c r="GO67" i="35" s="1"/>
  <c r="CN67" i="35"/>
  <c r="GK67" i="35" s="1"/>
  <c r="GY67" i="35" s="1"/>
  <c r="AR67" i="35"/>
  <c r="Q67" i="35"/>
  <c r="E67" i="35"/>
  <c r="EE66" i="35"/>
  <c r="EA66" i="35"/>
  <c r="DS66" i="35"/>
  <c r="CR66" i="35"/>
  <c r="GO66" i="35" s="1"/>
  <c r="CN66" i="35"/>
  <c r="GK66" i="35" s="1"/>
  <c r="GY66" i="35" s="1"/>
  <c r="AR66" i="35"/>
  <c r="Q66" i="35"/>
  <c r="E66" i="35"/>
  <c r="CP66" i="35" s="1"/>
  <c r="EE65" i="35"/>
  <c r="EA65" i="35"/>
  <c r="DS65" i="35"/>
  <c r="CR65" i="35"/>
  <c r="GO65" i="35" s="1"/>
  <c r="CN65" i="35"/>
  <c r="GK65" i="35" s="1"/>
  <c r="GY65" i="35" s="1"/>
  <c r="AR65" i="35"/>
  <c r="W65" i="35"/>
  <c r="Q65" i="35"/>
  <c r="E65" i="35"/>
  <c r="EE64" i="35"/>
  <c r="EA64" i="35"/>
  <c r="DS64" i="35"/>
  <c r="CR64" i="35"/>
  <c r="GO64" i="35" s="1"/>
  <c r="CN64" i="35"/>
  <c r="GK64" i="35" s="1"/>
  <c r="GY64" i="35" s="1"/>
  <c r="AR64" i="35"/>
  <c r="W64" i="35"/>
  <c r="Q64" i="35"/>
  <c r="E64" i="35"/>
  <c r="EE63" i="35"/>
  <c r="EA63" i="35"/>
  <c r="DS63" i="35"/>
  <c r="CR63" i="35"/>
  <c r="GO63" i="35" s="1"/>
  <c r="CN63" i="35"/>
  <c r="GK63" i="35" s="1"/>
  <c r="GY63" i="35" s="1"/>
  <c r="AR63" i="35"/>
  <c r="V63" i="35"/>
  <c r="Q63" i="35"/>
  <c r="E63" i="35"/>
  <c r="EE62" i="35"/>
  <c r="EA62" i="35"/>
  <c r="DS62" i="35"/>
  <c r="CR62" i="35"/>
  <c r="GO62" i="35" s="1"/>
  <c r="CN62" i="35"/>
  <c r="GK62" i="35" s="1"/>
  <c r="GY62" i="35" s="1"/>
  <c r="AR62" i="35"/>
  <c r="V62" i="35"/>
  <c r="Q62" i="35"/>
  <c r="E62" i="35"/>
  <c r="EE61" i="35"/>
  <c r="EA61" i="35"/>
  <c r="DS61" i="35"/>
  <c r="CR61" i="35"/>
  <c r="GO61" i="35" s="1"/>
  <c r="CN61" i="35"/>
  <c r="GK61" i="35" s="1"/>
  <c r="GY61" i="35" s="1"/>
  <c r="AR61" i="35"/>
  <c r="Q61" i="35"/>
  <c r="E61" i="35"/>
  <c r="EE60" i="35"/>
  <c r="EA60" i="35"/>
  <c r="DS60" i="35"/>
  <c r="CR60" i="35"/>
  <c r="GO60" i="35" s="1"/>
  <c r="CN60" i="35"/>
  <c r="GK60" i="35" s="1"/>
  <c r="GY60" i="35" s="1"/>
  <c r="AR60" i="35"/>
  <c r="Q60" i="35"/>
  <c r="E60" i="35"/>
  <c r="EE59" i="35"/>
  <c r="EA59" i="35"/>
  <c r="DS59" i="35"/>
  <c r="CR59" i="35"/>
  <c r="GO59" i="35" s="1"/>
  <c r="CN59" i="35"/>
  <c r="GK59" i="35" s="1"/>
  <c r="GY59" i="35" s="1"/>
  <c r="AR59" i="35"/>
  <c r="Q59" i="35"/>
  <c r="E59" i="35"/>
  <c r="EE58" i="35"/>
  <c r="EA58" i="35"/>
  <c r="DS58" i="35"/>
  <c r="CR58" i="35"/>
  <c r="GO58" i="35" s="1"/>
  <c r="CN58" i="35"/>
  <c r="GK58" i="35" s="1"/>
  <c r="GY58" i="35" s="1"/>
  <c r="AR58" i="35"/>
  <c r="Q58" i="35"/>
  <c r="E58" i="35"/>
  <c r="EE57" i="35"/>
  <c r="EA57" i="35"/>
  <c r="DS57" i="35"/>
  <c r="CR57" i="35"/>
  <c r="GO57" i="35" s="1"/>
  <c r="CN57" i="35"/>
  <c r="GK57" i="35" s="1"/>
  <c r="GY57" i="35" s="1"/>
  <c r="AR57" i="35"/>
  <c r="Q57" i="35"/>
  <c r="E57" i="35"/>
  <c r="CP57" i="35" s="1"/>
  <c r="EE56" i="35"/>
  <c r="EA56" i="35"/>
  <c r="DS56" i="35"/>
  <c r="CR56" i="35"/>
  <c r="GO56" i="35" s="1"/>
  <c r="CN56" i="35"/>
  <c r="GK56" i="35" s="1"/>
  <c r="GY56" i="35" s="1"/>
  <c r="AR56" i="35"/>
  <c r="Q56" i="35"/>
  <c r="E56" i="35"/>
  <c r="EE55" i="35"/>
  <c r="EA55" i="35"/>
  <c r="DS55" i="35"/>
  <c r="CR55" i="35"/>
  <c r="GO55" i="35" s="1"/>
  <c r="CN55" i="35"/>
  <c r="GK55" i="35" s="1"/>
  <c r="GY55" i="35" s="1"/>
  <c r="AR55" i="35"/>
  <c r="Q55" i="35"/>
  <c r="E55" i="35"/>
  <c r="EE54" i="35"/>
  <c r="EA54" i="35"/>
  <c r="DS54" i="35"/>
  <c r="CR54" i="35"/>
  <c r="GO54" i="35" s="1"/>
  <c r="CN54" i="35"/>
  <c r="GK54" i="35" s="1"/>
  <c r="GY54" i="35" s="1"/>
  <c r="AR54" i="35"/>
  <c r="Q54" i="35"/>
  <c r="E54" i="35"/>
  <c r="CP54" i="35" s="1"/>
  <c r="EE53" i="35"/>
  <c r="EA53" i="35"/>
  <c r="DS53" i="35"/>
  <c r="CR53" i="35"/>
  <c r="GO53" i="35" s="1"/>
  <c r="CN53" i="35"/>
  <c r="GK53" i="35" s="1"/>
  <c r="GY53" i="35" s="1"/>
  <c r="AR53" i="35"/>
  <c r="V53" i="35"/>
  <c r="Q53" i="35"/>
  <c r="E53" i="35"/>
  <c r="EE52" i="35"/>
  <c r="EA52" i="35"/>
  <c r="DS52" i="35"/>
  <c r="CR52" i="35"/>
  <c r="GO52" i="35" s="1"/>
  <c r="CN52" i="35"/>
  <c r="GK52" i="35" s="1"/>
  <c r="GY52" i="35" s="1"/>
  <c r="AR52" i="35"/>
  <c r="W52" i="35"/>
  <c r="Q52" i="35"/>
  <c r="E52" i="35"/>
  <c r="EE51" i="35"/>
  <c r="EA51" i="35"/>
  <c r="DS51" i="35"/>
  <c r="CR51" i="35"/>
  <c r="GO51" i="35" s="1"/>
  <c r="CN51" i="35"/>
  <c r="GK51" i="35" s="1"/>
  <c r="GY51" i="35" s="1"/>
  <c r="AR51" i="35"/>
  <c r="W51" i="35"/>
  <c r="Q51" i="35"/>
  <c r="E51" i="35"/>
  <c r="EE50" i="35"/>
  <c r="EA50" i="35"/>
  <c r="DS50" i="35"/>
  <c r="CR50" i="35"/>
  <c r="GO50" i="35" s="1"/>
  <c r="CN50" i="35"/>
  <c r="GK50" i="35" s="1"/>
  <c r="GY50" i="35" s="1"/>
  <c r="AR50" i="35"/>
  <c r="Q50" i="35"/>
  <c r="E50" i="35"/>
  <c r="EE49" i="35"/>
  <c r="EA49" i="35"/>
  <c r="DS49" i="35"/>
  <c r="CR49" i="35"/>
  <c r="GO49" i="35" s="1"/>
  <c r="CN49" i="35"/>
  <c r="GK49" i="35" s="1"/>
  <c r="GY49" i="35" s="1"/>
  <c r="AR49" i="35"/>
  <c r="Q49" i="35"/>
  <c r="E49" i="35"/>
  <c r="EE48" i="35"/>
  <c r="EA48" i="35"/>
  <c r="DS48" i="35"/>
  <c r="CR48" i="35"/>
  <c r="GO48" i="35" s="1"/>
  <c r="CN48" i="35"/>
  <c r="GK48" i="35" s="1"/>
  <c r="GY48" i="35" s="1"/>
  <c r="AR48" i="35"/>
  <c r="Q48" i="35"/>
  <c r="E48" i="35"/>
  <c r="EE47" i="35"/>
  <c r="EA47" i="35"/>
  <c r="DS47" i="35"/>
  <c r="CR47" i="35"/>
  <c r="GO47" i="35" s="1"/>
  <c r="CN47" i="35"/>
  <c r="GK47" i="35" s="1"/>
  <c r="GY47" i="35" s="1"/>
  <c r="AR47" i="35"/>
  <c r="W47" i="35"/>
  <c r="Q47" i="35"/>
  <c r="E47" i="35"/>
  <c r="CP47" i="35" s="1"/>
  <c r="EE46" i="35"/>
  <c r="EA46" i="35"/>
  <c r="DS46" i="35"/>
  <c r="CR46" i="35"/>
  <c r="GO46" i="35" s="1"/>
  <c r="CN46" i="35"/>
  <c r="GK46" i="35" s="1"/>
  <c r="GY46" i="35" s="1"/>
  <c r="AR46" i="35"/>
  <c r="Q46" i="35"/>
  <c r="E46" i="35"/>
  <c r="EE45" i="35"/>
  <c r="EA45" i="35"/>
  <c r="DS45" i="35"/>
  <c r="CR45" i="35"/>
  <c r="GO45" i="35" s="1"/>
  <c r="CN45" i="35"/>
  <c r="GK45" i="35" s="1"/>
  <c r="GY45" i="35" s="1"/>
  <c r="AR45" i="35"/>
  <c r="Q45" i="35"/>
  <c r="E45" i="35"/>
  <c r="EE44" i="35"/>
  <c r="EA44" i="35"/>
  <c r="DS44" i="35"/>
  <c r="CR44" i="35"/>
  <c r="GO44" i="35" s="1"/>
  <c r="CN44" i="35"/>
  <c r="GK44" i="35" s="1"/>
  <c r="GY44" i="35" s="1"/>
  <c r="AR44" i="35"/>
  <c r="Q44" i="35"/>
  <c r="E44" i="35"/>
  <c r="CP44" i="35" s="1"/>
  <c r="EE43" i="35"/>
  <c r="EA43" i="35"/>
  <c r="DS43" i="35"/>
  <c r="CR43" i="35"/>
  <c r="GO43" i="35" s="1"/>
  <c r="CN43" i="35"/>
  <c r="GK43" i="35" s="1"/>
  <c r="GY43" i="35" s="1"/>
  <c r="AR43" i="35"/>
  <c r="Q43" i="35"/>
  <c r="E43" i="35"/>
  <c r="EE42" i="35"/>
  <c r="EA42" i="35"/>
  <c r="DS42" i="35"/>
  <c r="CR42" i="35"/>
  <c r="GO42" i="35" s="1"/>
  <c r="CN42" i="35"/>
  <c r="GK42" i="35" s="1"/>
  <c r="GY42" i="35" s="1"/>
  <c r="AR42" i="35"/>
  <c r="Q42" i="35"/>
  <c r="E42" i="35"/>
  <c r="EE41" i="35"/>
  <c r="EA41" i="35"/>
  <c r="DS41" i="35"/>
  <c r="CR41" i="35"/>
  <c r="GO41" i="35" s="1"/>
  <c r="CN41" i="35"/>
  <c r="GK41" i="35" s="1"/>
  <c r="GY41" i="35" s="1"/>
  <c r="AR41" i="35"/>
  <c r="Q41" i="35"/>
  <c r="E41" i="35"/>
  <c r="EE40" i="35"/>
  <c r="EA40" i="35"/>
  <c r="DS40" i="35"/>
  <c r="CR40" i="35"/>
  <c r="GO40" i="35" s="1"/>
  <c r="CN40" i="35"/>
  <c r="GK40" i="35" s="1"/>
  <c r="GY40" i="35" s="1"/>
  <c r="AR40" i="35"/>
  <c r="Q40" i="35"/>
  <c r="E40" i="35"/>
  <c r="EE39" i="35"/>
  <c r="EA39" i="35"/>
  <c r="DS39" i="35"/>
  <c r="CR39" i="35"/>
  <c r="GO39" i="35" s="1"/>
  <c r="CN39" i="35"/>
  <c r="GK39" i="35" s="1"/>
  <c r="GY39" i="35" s="1"/>
  <c r="AR39" i="35"/>
  <c r="Q39" i="35"/>
  <c r="E39" i="35"/>
  <c r="C39" i="35"/>
  <c r="C40" i="35" s="1"/>
  <c r="C41" i="35" s="1"/>
  <c r="C42" i="35" s="1"/>
  <c r="C43" i="35" s="1"/>
  <c r="C44" i="35" s="1"/>
  <c r="C45" i="35" s="1"/>
  <c r="C46" i="35" s="1"/>
  <c r="C47" i="35" s="1"/>
  <c r="C48" i="35" s="1"/>
  <c r="C49" i="35" s="1"/>
  <c r="C50" i="35" s="1"/>
  <c r="C51" i="35" s="1"/>
  <c r="C52" i="35" s="1"/>
  <c r="C53" i="35" s="1"/>
  <c r="C54" i="35" s="1"/>
  <c r="C55" i="35" s="1"/>
  <c r="C56" i="35" s="1"/>
  <c r="C57" i="35" s="1"/>
  <c r="C58" i="35" s="1"/>
  <c r="C59" i="35" s="1"/>
  <c r="C60" i="35" s="1"/>
  <c r="C61" i="35" s="1"/>
  <c r="C62" i="35" s="1"/>
  <c r="C63" i="35" s="1"/>
  <c r="C64" i="35" s="1"/>
  <c r="C65" i="35" s="1"/>
  <c r="C66" i="35" s="1"/>
  <c r="C67" i="35" s="1"/>
  <c r="C68" i="35" s="1"/>
  <c r="EE38" i="35"/>
  <c r="EA38" i="35"/>
  <c r="DS38" i="35"/>
  <c r="CR38" i="35"/>
  <c r="GO38" i="35" s="1"/>
  <c r="CN38" i="35"/>
  <c r="GK38" i="35" s="1"/>
  <c r="GY38" i="35" s="1"/>
  <c r="AR38" i="35"/>
  <c r="V38" i="35"/>
  <c r="Q38" i="35"/>
  <c r="E38" i="35"/>
  <c r="EE37" i="35"/>
  <c r="EA37" i="35"/>
  <c r="DS37" i="35"/>
  <c r="CR37" i="35"/>
  <c r="GO37" i="35" s="1"/>
  <c r="CN37" i="35"/>
  <c r="GK37" i="35" s="1"/>
  <c r="GY37" i="35" s="1"/>
  <c r="AR37" i="35"/>
  <c r="W37" i="35"/>
  <c r="Q37" i="35"/>
  <c r="E37" i="35"/>
  <c r="EE36" i="35"/>
  <c r="EA36" i="35"/>
  <c r="DS36" i="35"/>
  <c r="CR36" i="35"/>
  <c r="GO36" i="35" s="1"/>
  <c r="CN36" i="35"/>
  <c r="GK36" i="35" s="1"/>
  <c r="GY36" i="35" s="1"/>
  <c r="AR36" i="35"/>
  <c r="Q36" i="35"/>
  <c r="E36" i="35"/>
  <c r="EE35" i="35"/>
  <c r="EA35" i="35"/>
  <c r="DS35" i="35"/>
  <c r="CR35" i="35"/>
  <c r="GO35" i="35" s="1"/>
  <c r="CN35" i="35"/>
  <c r="GK35" i="35" s="1"/>
  <c r="GY35" i="35" s="1"/>
  <c r="AR35" i="35"/>
  <c r="Q35" i="35"/>
  <c r="E35" i="35"/>
  <c r="EE34" i="35"/>
  <c r="EA34" i="35"/>
  <c r="DS34" i="35"/>
  <c r="CR34" i="35"/>
  <c r="GO34" i="35" s="1"/>
  <c r="CN34" i="35"/>
  <c r="GK34" i="35" s="1"/>
  <c r="GY34" i="35" s="1"/>
  <c r="AR34" i="35"/>
  <c r="W34" i="35"/>
  <c r="Q34" i="35"/>
  <c r="E34" i="35"/>
  <c r="CP34" i="35" s="1"/>
  <c r="EE33" i="35"/>
  <c r="EA33" i="35"/>
  <c r="DS33" i="35"/>
  <c r="CR33" i="35"/>
  <c r="GO33" i="35" s="1"/>
  <c r="CN33" i="35"/>
  <c r="GK33" i="35" s="1"/>
  <c r="GY33" i="35" s="1"/>
  <c r="AR33" i="35"/>
  <c r="W33" i="35"/>
  <c r="Q33" i="35"/>
  <c r="E33" i="35"/>
  <c r="EE32" i="35"/>
  <c r="EA32" i="35"/>
  <c r="DS32" i="35"/>
  <c r="CR32" i="35"/>
  <c r="GO32" i="35" s="1"/>
  <c r="CN32" i="35"/>
  <c r="GK32" i="35" s="1"/>
  <c r="GY32" i="35" s="1"/>
  <c r="AR32" i="35"/>
  <c r="V32" i="35"/>
  <c r="Q32" i="35"/>
  <c r="E32" i="35"/>
  <c r="EE31" i="35"/>
  <c r="EA31" i="35"/>
  <c r="DS31" i="35"/>
  <c r="CR31" i="35"/>
  <c r="GO31" i="35" s="1"/>
  <c r="CN31" i="35"/>
  <c r="GK31" i="35" s="1"/>
  <c r="GY31" i="35" s="1"/>
  <c r="AR31" i="35"/>
  <c r="V31" i="35"/>
  <c r="Q31" i="35"/>
  <c r="E31" i="35"/>
  <c r="EE30" i="35"/>
  <c r="EA30" i="35"/>
  <c r="DS30" i="35"/>
  <c r="CR30" i="35"/>
  <c r="GO30" i="35" s="1"/>
  <c r="CN30" i="35"/>
  <c r="GK30" i="35" s="1"/>
  <c r="GY30" i="35" s="1"/>
  <c r="AR30" i="35"/>
  <c r="Q30" i="35"/>
  <c r="E30" i="35"/>
  <c r="CP30" i="35" s="1"/>
  <c r="EE29" i="35"/>
  <c r="EA29" i="35"/>
  <c r="DS29" i="35"/>
  <c r="CR29" i="35"/>
  <c r="GO29" i="35" s="1"/>
  <c r="CN29" i="35"/>
  <c r="GK29" i="35" s="1"/>
  <c r="GY29" i="35" s="1"/>
  <c r="AR29" i="35"/>
  <c r="Q29" i="35"/>
  <c r="E29" i="35"/>
  <c r="EE28" i="35"/>
  <c r="EA28" i="35"/>
  <c r="DS28" i="35"/>
  <c r="CR28" i="35"/>
  <c r="GO28" i="35" s="1"/>
  <c r="CN28" i="35"/>
  <c r="GK28" i="35" s="1"/>
  <c r="GY28" i="35" s="1"/>
  <c r="AR28" i="35"/>
  <c r="Q28" i="35"/>
  <c r="E28" i="35"/>
  <c r="EE27" i="35"/>
  <c r="EA27" i="35"/>
  <c r="DS27" i="35"/>
  <c r="CR27" i="35"/>
  <c r="GO27" i="35" s="1"/>
  <c r="CN27" i="35"/>
  <c r="GK27" i="35" s="1"/>
  <c r="GY27" i="35" s="1"/>
  <c r="AR27" i="35"/>
  <c r="Q27" i="35"/>
  <c r="E27" i="35"/>
  <c r="EE26" i="35"/>
  <c r="EA26" i="35"/>
  <c r="DS26" i="35"/>
  <c r="CR26" i="35"/>
  <c r="GO26" i="35" s="1"/>
  <c r="CN26" i="35"/>
  <c r="GK26" i="35" s="1"/>
  <c r="GY26" i="35" s="1"/>
  <c r="AR26" i="35"/>
  <c r="Q26" i="35"/>
  <c r="E26" i="35"/>
  <c r="EE25" i="35"/>
  <c r="EA25" i="35"/>
  <c r="DS25" i="35"/>
  <c r="CR25" i="35"/>
  <c r="GO25" i="35" s="1"/>
  <c r="CN25" i="35"/>
  <c r="GK25" i="35" s="1"/>
  <c r="GY25" i="35" s="1"/>
  <c r="AR25" i="35"/>
  <c r="Q25" i="35"/>
  <c r="E25" i="35"/>
  <c r="EE24" i="35"/>
  <c r="EA24" i="35"/>
  <c r="DS24" i="35"/>
  <c r="CR24" i="35"/>
  <c r="GO24" i="35" s="1"/>
  <c r="CN24" i="35"/>
  <c r="GK24" i="35" s="1"/>
  <c r="GY24" i="35" s="1"/>
  <c r="AR24" i="35"/>
  <c r="Q24" i="35"/>
  <c r="E24" i="35"/>
  <c r="EE23" i="35"/>
  <c r="EA23" i="35"/>
  <c r="DS23" i="35"/>
  <c r="CR23" i="35"/>
  <c r="GO23" i="35" s="1"/>
  <c r="CN23" i="35"/>
  <c r="GK23" i="35" s="1"/>
  <c r="GY23" i="35" s="1"/>
  <c r="AR23" i="35"/>
  <c r="Q23" i="35"/>
  <c r="E23" i="35"/>
  <c r="EE22" i="35"/>
  <c r="EA22" i="35"/>
  <c r="DS22" i="35"/>
  <c r="CR22" i="35"/>
  <c r="GO22" i="35" s="1"/>
  <c r="CN22" i="35"/>
  <c r="GK22" i="35" s="1"/>
  <c r="GY22" i="35" s="1"/>
  <c r="AR22" i="35"/>
  <c r="V22" i="35"/>
  <c r="Q22" i="35"/>
  <c r="E22" i="35"/>
  <c r="EE21" i="35"/>
  <c r="EA21" i="35"/>
  <c r="DS21" i="35"/>
  <c r="CR21" i="35"/>
  <c r="GO21" i="35" s="1"/>
  <c r="CN21" i="35"/>
  <c r="GK21" i="35" s="1"/>
  <c r="GY21" i="35" s="1"/>
  <c r="AR21" i="35"/>
  <c r="W21" i="35"/>
  <c r="Q21" i="35"/>
  <c r="E21" i="35"/>
  <c r="EE20" i="35"/>
  <c r="EA20" i="35"/>
  <c r="DS20" i="35"/>
  <c r="CR20" i="35"/>
  <c r="GO20" i="35" s="1"/>
  <c r="CN20" i="35"/>
  <c r="GK20" i="35" s="1"/>
  <c r="GY20" i="35" s="1"/>
  <c r="AR20" i="35"/>
  <c r="W20" i="35"/>
  <c r="Q20" i="35"/>
  <c r="E20" i="35"/>
  <c r="EE19" i="35"/>
  <c r="EA19" i="35"/>
  <c r="DS19" i="35"/>
  <c r="CR19" i="35"/>
  <c r="GO19" i="35" s="1"/>
  <c r="CN19" i="35"/>
  <c r="GK19" i="35" s="1"/>
  <c r="GY19" i="35" s="1"/>
  <c r="AR19" i="35"/>
  <c r="Q19" i="35"/>
  <c r="E19" i="35"/>
  <c r="EE18" i="35"/>
  <c r="EA18" i="35"/>
  <c r="DS18" i="35"/>
  <c r="CR18" i="35"/>
  <c r="GO18" i="35" s="1"/>
  <c r="CN18" i="35"/>
  <c r="GK18" i="35" s="1"/>
  <c r="GY18" i="35" s="1"/>
  <c r="AR18" i="35"/>
  <c r="Q18" i="35"/>
  <c r="E18" i="35"/>
  <c r="EE17" i="35"/>
  <c r="EA17" i="35"/>
  <c r="DS17" i="35"/>
  <c r="CR17" i="35"/>
  <c r="GO17" i="35" s="1"/>
  <c r="CN17" i="35"/>
  <c r="GK17" i="35" s="1"/>
  <c r="GY17" i="35" s="1"/>
  <c r="AR17" i="35"/>
  <c r="Q17" i="35"/>
  <c r="E17" i="35"/>
  <c r="CP17" i="35" s="1"/>
  <c r="EE16" i="35"/>
  <c r="EA16" i="35"/>
  <c r="DS16" i="35"/>
  <c r="CR16" i="35"/>
  <c r="GO16" i="35" s="1"/>
  <c r="CN16" i="35"/>
  <c r="GK16" i="35" s="1"/>
  <c r="GY16" i="35" s="1"/>
  <c r="AR16" i="35"/>
  <c r="W16" i="35"/>
  <c r="Q16" i="35"/>
  <c r="E16" i="35"/>
  <c r="EE15" i="35"/>
  <c r="EA15" i="35"/>
  <c r="DS15" i="35"/>
  <c r="CR15" i="35"/>
  <c r="GO15" i="35" s="1"/>
  <c r="CN15" i="35"/>
  <c r="GK15" i="35" s="1"/>
  <c r="GY15" i="35" s="1"/>
  <c r="AR15" i="35"/>
  <c r="Q15" i="35"/>
  <c r="E15" i="35"/>
  <c r="EE14" i="35"/>
  <c r="EA14" i="35"/>
  <c r="DS14" i="35"/>
  <c r="CR14" i="35"/>
  <c r="GO14" i="35" s="1"/>
  <c r="CN14" i="35"/>
  <c r="GK14" i="35" s="1"/>
  <c r="GY14" i="35" s="1"/>
  <c r="AR14" i="35"/>
  <c r="Q14" i="35"/>
  <c r="E14" i="35"/>
  <c r="EE13" i="35"/>
  <c r="EA13" i="35"/>
  <c r="DS13" i="35"/>
  <c r="CR13" i="35"/>
  <c r="GO13" i="35" s="1"/>
  <c r="CN13" i="35"/>
  <c r="GK13" i="35" s="1"/>
  <c r="GY13" i="35" s="1"/>
  <c r="AR13" i="35"/>
  <c r="Q13" i="35"/>
  <c r="E13" i="35"/>
  <c r="EE12" i="35"/>
  <c r="EA12" i="35"/>
  <c r="DS12" i="35"/>
  <c r="CR12" i="35"/>
  <c r="GO12" i="35" s="1"/>
  <c r="CN12" i="35"/>
  <c r="GK12" i="35" s="1"/>
  <c r="GY12" i="35" s="1"/>
  <c r="AR12" i="35"/>
  <c r="Q12" i="35"/>
  <c r="E12" i="35"/>
  <c r="EE11" i="35"/>
  <c r="EA11" i="35"/>
  <c r="DS11" i="35"/>
  <c r="CR11" i="35"/>
  <c r="GO11" i="35" s="1"/>
  <c r="CN11" i="35"/>
  <c r="GK11" i="35" s="1"/>
  <c r="GY11" i="35" s="1"/>
  <c r="AR11" i="35"/>
  <c r="Q11" i="35"/>
  <c r="E11" i="35"/>
  <c r="EE10" i="35"/>
  <c r="EA10" i="35"/>
  <c r="DS10" i="35"/>
  <c r="CR10" i="35"/>
  <c r="GO10" i="35" s="1"/>
  <c r="CN10" i="35"/>
  <c r="GK10" i="35" s="1"/>
  <c r="GY10" i="35" s="1"/>
  <c r="AR10" i="35"/>
  <c r="Q10" i="35"/>
  <c r="E10" i="35"/>
  <c r="EE9" i="35"/>
  <c r="EA9" i="35"/>
  <c r="DS9" i="35"/>
  <c r="CR9" i="35"/>
  <c r="GO9" i="35" s="1"/>
  <c r="CN9" i="35"/>
  <c r="GK9" i="35" s="1"/>
  <c r="GY9" i="35" s="1"/>
  <c r="AR9" i="35"/>
  <c r="Q9" i="35"/>
  <c r="E9" i="35"/>
  <c r="EE8" i="35"/>
  <c r="EA8" i="35"/>
  <c r="DS8" i="35"/>
  <c r="CR8" i="35"/>
  <c r="GO8" i="35" s="1"/>
  <c r="CN8" i="35"/>
  <c r="GK8" i="35" s="1"/>
  <c r="GY8" i="35" s="1"/>
  <c r="Q8" i="35"/>
  <c r="E8" i="35"/>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A8" i="35"/>
  <c r="A9" i="35" s="1"/>
  <c r="A10" i="35" s="1"/>
  <c r="A11" i="35" s="1"/>
  <c r="A12" i="35" s="1"/>
  <c r="A13" i="35" s="1"/>
  <c r="A14" i="35" s="1"/>
  <c r="A15" i="35" s="1"/>
  <c r="A16" i="35" s="1"/>
  <c r="A17" i="35" s="1"/>
  <c r="A18" i="35" s="1"/>
  <c r="A19" i="35" s="1"/>
  <c r="A20" i="35" s="1"/>
  <c r="A21" i="35" s="1"/>
  <c r="A22" i="35" s="1"/>
  <c r="A23" i="35" s="1"/>
  <c r="A24" i="35" s="1"/>
  <c r="A25" i="35" s="1"/>
  <c r="A26" i="35" s="1"/>
  <c r="A27" i="35" s="1"/>
  <c r="A28" i="35" s="1"/>
  <c r="A29" i="35" s="1"/>
  <c r="A30" i="35" s="1"/>
  <c r="A31" i="35" s="1"/>
  <c r="A32" i="35" s="1"/>
  <c r="A33" i="35" s="1"/>
  <c r="A34" i="35" s="1"/>
  <c r="A35" i="35" s="1"/>
  <c r="A36" i="35" s="1"/>
  <c r="A37" i="35" s="1"/>
  <c r="A38" i="35" s="1"/>
  <c r="A39" i="35" s="1"/>
  <c r="A40" i="35" s="1"/>
  <c r="A41" i="35" s="1"/>
  <c r="A42" i="35" s="1"/>
  <c r="A43" i="35" s="1"/>
  <c r="A44" i="35" s="1"/>
  <c r="A45" i="35" s="1"/>
  <c r="A46" i="35" s="1"/>
  <c r="A47" i="35" s="1"/>
  <c r="A48" i="35" s="1"/>
  <c r="A49" i="35" s="1"/>
  <c r="A50" i="35" s="1"/>
  <c r="A51" i="35" s="1"/>
  <c r="A52" i="35" s="1"/>
  <c r="A53" i="35" s="1"/>
  <c r="A54" i="35" s="1"/>
  <c r="A55" i="35" s="1"/>
  <c r="A56" i="35" s="1"/>
  <c r="A57" i="35" s="1"/>
  <c r="A58" i="35" s="1"/>
  <c r="A59" i="35" s="1"/>
  <c r="A60" i="35" s="1"/>
  <c r="A61" i="35" s="1"/>
  <c r="A62" i="35" s="1"/>
  <c r="A63" i="35" s="1"/>
  <c r="A64" i="35" s="1"/>
  <c r="A65" i="35" s="1"/>
  <c r="A66" i="35" s="1"/>
  <c r="A67" i="35" s="1"/>
  <c r="A68" i="35" s="1"/>
  <c r="A69" i="35" s="1"/>
  <c r="A70" i="35" s="1"/>
  <c r="A71" i="35" s="1"/>
  <c r="A72" i="35" s="1"/>
  <c r="A73" i="35" s="1"/>
  <c r="A74" i="35" s="1"/>
  <c r="A75" i="35" s="1"/>
  <c r="A76" i="35" s="1"/>
  <c r="A77" i="35" s="1"/>
  <c r="A78" i="35" s="1"/>
  <c r="A79" i="35" s="1"/>
  <c r="A80" i="35" s="1"/>
  <c r="A81" i="35" s="1"/>
  <c r="A82" i="35" s="1"/>
  <c r="A83" i="35" s="1"/>
  <c r="A84" i="35" s="1"/>
  <c r="A85" i="35" s="1"/>
  <c r="A86" i="35" s="1"/>
  <c r="A87" i="35" s="1"/>
  <c r="A88" i="35" s="1"/>
  <c r="A89" i="35" s="1"/>
  <c r="A90" i="35" s="1"/>
  <c r="A91" i="35" s="1"/>
  <c r="A92" i="35" s="1"/>
  <c r="A93" i="35" s="1"/>
  <c r="A94" i="35" s="1"/>
  <c r="A95" i="35" s="1"/>
  <c r="A96" i="35" s="1"/>
  <c r="A97" i="35" s="1"/>
  <c r="A98" i="35" s="1"/>
  <c r="A99" i="35" s="1"/>
  <c r="A100" i="35" s="1"/>
  <c r="A101" i="35" s="1"/>
  <c r="A102" i="35" s="1"/>
  <c r="A103" i="35" s="1"/>
  <c r="A104" i="35" s="1"/>
  <c r="A105" i="35" s="1"/>
  <c r="A106" i="35" s="1"/>
  <c r="A107" i="35" s="1"/>
  <c r="A108" i="35" s="1"/>
  <c r="A109" i="35" s="1"/>
  <c r="A110" i="35" s="1"/>
  <c r="A111" i="35" s="1"/>
  <c r="A112" i="35" s="1"/>
  <c r="A113" i="35" s="1"/>
  <c r="A114" i="35" s="1"/>
  <c r="A115" i="35" s="1"/>
  <c r="A116" i="35" s="1"/>
  <c r="A117" i="35" s="1"/>
  <c r="A118" i="35" s="1"/>
  <c r="A119" i="35" s="1"/>
  <c r="A120" i="35" s="1"/>
  <c r="A121" i="35" s="1"/>
  <c r="A122" i="35" s="1"/>
  <c r="A123" i="35" s="1"/>
  <c r="A124" i="35" s="1"/>
  <c r="A125" i="35" s="1"/>
  <c r="A126" i="35" s="1"/>
  <c r="A127" i="35" s="1"/>
  <c r="A128" i="35" s="1"/>
  <c r="A129" i="35" s="1"/>
  <c r="A130" i="35" s="1"/>
  <c r="A131" i="35" s="1"/>
  <c r="A132" i="35" s="1"/>
  <c r="A133" i="35" s="1"/>
  <c r="A134" i="35" s="1"/>
  <c r="A135" i="35" s="1"/>
  <c r="A136" i="35" s="1"/>
  <c r="A137" i="35" s="1"/>
  <c r="A138" i="35" s="1"/>
  <c r="A139" i="35" s="1"/>
  <c r="A140" i="35" s="1"/>
  <c r="A141" i="35" s="1"/>
  <c r="A142" i="35" s="1"/>
  <c r="A143" i="35" s="1"/>
  <c r="A144" i="35" s="1"/>
  <c r="A145" i="35" s="1"/>
  <c r="A146" i="35" s="1"/>
  <c r="A147" i="35" s="1"/>
  <c r="A148" i="35" s="1"/>
  <c r="A149" i="35" s="1"/>
  <c r="A150" i="35" s="1"/>
  <c r="A151" i="35" s="1"/>
  <c r="A152" i="35" s="1"/>
  <c r="A153" i="35" s="1"/>
  <c r="A154" i="35" s="1"/>
  <c r="A155" i="35" s="1"/>
  <c r="A156" i="35" s="1"/>
  <c r="A157" i="35" s="1"/>
  <c r="A158" i="35" s="1"/>
  <c r="A159" i="35" s="1"/>
  <c r="A160" i="35" s="1"/>
  <c r="A161" i="35" s="1"/>
  <c r="A162" i="35" s="1"/>
  <c r="A163" i="35" s="1"/>
  <c r="A164" i="35" s="1"/>
  <c r="A165" i="35" s="1"/>
  <c r="A166" i="35" s="1"/>
  <c r="A167" i="35" s="1"/>
  <c r="A168" i="35" s="1"/>
  <c r="A169" i="35" s="1"/>
  <c r="A170" i="35" s="1"/>
  <c r="A171" i="35" s="1"/>
  <c r="A172" i="35" s="1"/>
  <c r="A173" i="35" s="1"/>
  <c r="A174" i="35" s="1"/>
  <c r="A175" i="35" s="1"/>
  <c r="A176" i="35" s="1"/>
  <c r="A177" i="35" s="1"/>
  <c r="A178" i="35" s="1"/>
  <c r="A179" i="35" s="1"/>
  <c r="A180" i="35" s="1"/>
  <c r="A181" i="35" s="1"/>
  <c r="A182" i="35" s="1"/>
  <c r="A183" i="35" s="1"/>
  <c r="A184" i="35" s="1"/>
  <c r="A185" i="35" s="1"/>
  <c r="A186" i="35" s="1"/>
  <c r="A187" i="35" s="1"/>
  <c r="A188" i="35" s="1"/>
  <c r="A189" i="35" s="1"/>
  <c r="A190" i="35" s="1"/>
  <c r="A191" i="35" s="1"/>
  <c r="A192" i="35" s="1"/>
  <c r="A193" i="35" s="1"/>
  <c r="A194" i="35" s="1"/>
  <c r="A195" i="35" s="1"/>
  <c r="A196" i="35" s="1"/>
  <c r="A197" i="35" s="1"/>
  <c r="A198" i="35" s="1"/>
  <c r="A199" i="35" s="1"/>
  <c r="A200" i="35" s="1"/>
  <c r="A201" i="35" s="1"/>
  <c r="A202" i="35" s="1"/>
  <c r="A203" i="35" s="1"/>
  <c r="A204" i="35" s="1"/>
  <c r="A205" i="35" s="1"/>
  <c r="A206" i="35" s="1"/>
  <c r="A207" i="35" s="1"/>
  <c r="A208" i="35" s="1"/>
  <c r="A209" i="35" s="1"/>
  <c r="A210" i="35" s="1"/>
  <c r="A211" i="35" s="1"/>
  <c r="A212" i="35" s="1"/>
  <c r="A213" i="35" s="1"/>
  <c r="A214" i="35" s="1"/>
  <c r="A215" i="35" s="1"/>
  <c r="A216" i="35" s="1"/>
  <c r="A217" i="35" s="1"/>
  <c r="A218" i="35" s="1"/>
  <c r="A219" i="35" s="1"/>
  <c r="A220" i="35" s="1"/>
  <c r="A221" i="35" s="1"/>
  <c r="A222" i="35" s="1"/>
  <c r="A223" i="35" s="1"/>
  <c r="A224" i="35" s="1"/>
  <c r="A225" i="35" s="1"/>
  <c r="A226" i="35" s="1"/>
  <c r="A227" i="35" s="1"/>
  <c r="A228" i="35" s="1"/>
  <c r="A229" i="35" s="1"/>
  <c r="A230" i="35" s="1"/>
  <c r="A231" i="35" s="1"/>
  <c r="A232" i="35" s="1"/>
  <c r="A233" i="35" s="1"/>
  <c r="A234" i="35" s="1"/>
  <c r="A235" i="35" s="1"/>
  <c r="A236" i="35" s="1"/>
  <c r="A237" i="35" s="1"/>
  <c r="A238" i="35" s="1"/>
  <c r="A239" i="35" s="1"/>
  <c r="A240" i="35" s="1"/>
  <c r="A241" i="35" s="1"/>
  <c r="A242" i="35" s="1"/>
  <c r="A243" i="35" s="1"/>
  <c r="A244" i="35" s="1"/>
  <c r="A245" i="35" s="1"/>
  <c r="A246" i="35" s="1"/>
  <c r="A247" i="35" s="1"/>
  <c r="A248" i="35" s="1"/>
  <c r="A249" i="35" s="1"/>
  <c r="A250" i="35" s="1"/>
  <c r="A251" i="35" s="1"/>
  <c r="A252" i="35" s="1"/>
  <c r="A253" i="35" s="1"/>
  <c r="A254" i="35" s="1"/>
  <c r="A255" i="35" s="1"/>
  <c r="A256" i="35" s="1"/>
  <c r="A257" i="35" s="1"/>
  <c r="A258" i="35" s="1"/>
  <c r="A259" i="35" s="1"/>
  <c r="A260" i="35" s="1"/>
  <c r="A261" i="35" s="1"/>
  <c r="A262" i="35" s="1"/>
  <c r="A263" i="35" s="1"/>
  <c r="A264" i="35" s="1"/>
  <c r="A265" i="35" s="1"/>
  <c r="A266" i="35" s="1"/>
  <c r="A267" i="35" s="1"/>
  <c r="A268" i="35" s="1"/>
  <c r="A269" i="35" s="1"/>
  <c r="A270" i="35" s="1"/>
  <c r="A271" i="35" s="1"/>
  <c r="A272" i="35" s="1"/>
  <c r="A273" i="35" s="1"/>
  <c r="A274" i="35" s="1"/>
  <c r="A275" i="35" s="1"/>
  <c r="A276" i="35" s="1"/>
  <c r="A277" i="35" s="1"/>
  <c r="A278" i="35" s="1"/>
  <c r="A279" i="35" s="1"/>
  <c r="A280" i="35" s="1"/>
  <c r="A281" i="35" s="1"/>
  <c r="A282" i="35" s="1"/>
  <c r="A283" i="35" s="1"/>
  <c r="A284" i="35" s="1"/>
  <c r="A285" i="35" s="1"/>
  <c r="A286" i="35" s="1"/>
  <c r="A287" i="35" s="1"/>
  <c r="A288" i="35" s="1"/>
  <c r="A289" i="35" s="1"/>
  <c r="A290" i="35" s="1"/>
  <c r="A291" i="35" s="1"/>
  <c r="A292" i="35" s="1"/>
  <c r="A293" i="35" s="1"/>
  <c r="A294" i="35" s="1"/>
  <c r="A295" i="35" s="1"/>
  <c r="A296" i="35" s="1"/>
  <c r="A297" i="35" s="1"/>
  <c r="A298" i="35" s="1"/>
  <c r="A299" i="35" s="1"/>
  <c r="A300" i="35" s="1"/>
  <c r="A301" i="35" s="1"/>
  <c r="A302" i="35" s="1"/>
  <c r="A303" i="35" s="1"/>
  <c r="A304" i="35" s="1"/>
  <c r="A305" i="35" s="1"/>
  <c r="A306" i="35" s="1"/>
  <c r="A307" i="35" s="1"/>
  <c r="A308" i="35" s="1"/>
  <c r="A309" i="35" s="1"/>
  <c r="A310" i="35" s="1"/>
  <c r="A311" i="35" s="1"/>
  <c r="A312" i="35" s="1"/>
  <c r="A313" i="35" s="1"/>
  <c r="A314" i="35" s="1"/>
  <c r="A315" i="35" s="1"/>
  <c r="A316" i="35" s="1"/>
  <c r="A317" i="35" s="1"/>
  <c r="A318" i="35" s="1"/>
  <c r="A319" i="35" s="1"/>
  <c r="A320" i="35" s="1"/>
  <c r="A321" i="35" s="1"/>
  <c r="A322" i="35" s="1"/>
  <c r="A323" i="35" s="1"/>
  <c r="A324" i="35" s="1"/>
  <c r="A325" i="35" s="1"/>
  <c r="A326" i="35" s="1"/>
  <c r="A327" i="35" s="1"/>
  <c r="A328" i="35" s="1"/>
  <c r="A329" i="35" s="1"/>
  <c r="A330" i="35" s="1"/>
  <c r="A331" i="35" s="1"/>
  <c r="A332" i="35" s="1"/>
  <c r="A333" i="35" s="1"/>
  <c r="A334" i="35" s="1"/>
  <c r="A335" i="35" s="1"/>
  <c r="A336" i="35" s="1"/>
  <c r="A337" i="35" s="1"/>
  <c r="A338" i="35" s="1"/>
  <c r="A339" i="35" s="1"/>
  <c r="A340" i="35" s="1"/>
  <c r="A341" i="35" s="1"/>
  <c r="A342" i="35" s="1"/>
  <c r="A343" i="35" s="1"/>
  <c r="A344" i="35" s="1"/>
  <c r="A345" i="35" s="1"/>
  <c r="A346" i="35" s="1"/>
  <c r="A347" i="35" s="1"/>
  <c r="A348" i="35" s="1"/>
  <c r="A349" i="35" s="1"/>
  <c r="A350" i="35" s="1"/>
  <c r="A351" i="35" s="1"/>
  <c r="A352" i="35" s="1"/>
  <c r="A353" i="35" s="1"/>
  <c r="A354" i="35" s="1"/>
  <c r="A355" i="35" s="1"/>
  <c r="A356" i="35" s="1"/>
  <c r="A357" i="35" s="1"/>
  <c r="A358" i="35" s="1"/>
  <c r="A359" i="35" s="1"/>
  <c r="A360" i="35" s="1"/>
  <c r="A361" i="35" s="1"/>
  <c r="A362" i="35" s="1"/>
  <c r="A363" i="35" s="1"/>
  <c r="A364" i="35" s="1"/>
  <c r="A365" i="35" s="1"/>
  <c r="A366" i="35" s="1"/>
  <c r="A367" i="35" s="1"/>
  <c r="A368" i="35" s="1"/>
  <c r="A369" i="35" s="1"/>
  <c r="A370" i="35" s="1"/>
  <c r="A371" i="35" s="1"/>
  <c r="A372" i="35" s="1"/>
  <c r="A373" i="35" s="1"/>
  <c r="A374" i="35" s="1"/>
  <c r="A375" i="35" s="1"/>
  <c r="A376" i="35" s="1"/>
  <c r="A377" i="35" s="1"/>
  <c r="A378" i="35" s="1"/>
  <c r="A399" i="35" s="1"/>
  <c r="EE7" i="35"/>
  <c r="EA7" i="35"/>
  <c r="DS7" i="35"/>
  <c r="DG62" i="35"/>
  <c r="CR7" i="35"/>
  <c r="GO7" i="35" s="1"/>
  <c r="CN7" i="35"/>
  <c r="GK7" i="35" s="1"/>
  <c r="GY7" i="35" s="1"/>
  <c r="AR7" i="35"/>
  <c r="V7" i="35"/>
  <c r="Q7" i="35"/>
  <c r="E7" i="35"/>
  <c r="Z5" i="35"/>
  <c r="N5" i="35"/>
  <c r="N85" i="35" s="1"/>
  <c r="O85" i="35" s="1"/>
  <c r="P4" i="35"/>
  <c r="P7" i="35" s="1"/>
  <c r="AR285" i="22"/>
  <c r="AR284" i="22"/>
  <c r="AR281" i="22"/>
  <c r="AR280" i="22"/>
  <c r="AR279" i="22"/>
  <c r="AR278" i="22"/>
  <c r="AR277" i="22"/>
  <c r="AR276" i="22"/>
  <c r="AR275" i="22"/>
  <c r="AR273" i="22"/>
  <c r="AR268" i="22"/>
  <c r="AR267" i="22"/>
  <c r="AR266" i="22"/>
  <c r="AR265" i="22"/>
  <c r="AR264" i="22"/>
  <c r="AR263" i="22"/>
  <c r="AR262" i="22"/>
  <c r="AR254" i="22"/>
  <c r="AR252" i="22"/>
  <c r="AR251" i="22"/>
  <c r="AR250" i="22"/>
  <c r="AR249" i="22"/>
  <c r="AR248" i="22"/>
  <c r="AR246" i="22"/>
  <c r="AR241" i="22"/>
  <c r="AR237" i="22"/>
  <c r="AR236" i="22"/>
  <c r="AR235" i="22"/>
  <c r="AR233" i="22"/>
  <c r="AR230" i="22"/>
  <c r="AR227" i="22"/>
  <c r="AR226" i="22"/>
  <c r="AR225" i="22"/>
  <c r="AR224" i="22"/>
  <c r="AR223" i="22"/>
  <c r="AR214" i="22"/>
  <c r="AR213" i="22"/>
  <c r="AR212" i="22"/>
  <c r="AR211" i="22"/>
  <c r="AR210" i="22"/>
  <c r="AR209" i="22"/>
  <c r="AR208" i="22"/>
  <c r="AR200" i="22"/>
  <c r="AR199" i="22"/>
  <c r="AR198" i="22"/>
  <c r="AR197" i="22"/>
  <c r="AR196" i="22"/>
  <c r="AR188" i="22"/>
  <c r="AR183" i="22"/>
  <c r="AR182" i="22"/>
  <c r="AR181" i="22"/>
  <c r="AR173" i="22"/>
  <c r="AR172" i="22"/>
  <c r="AR171" i="22"/>
  <c r="AR170" i="22"/>
  <c r="AR169" i="22"/>
  <c r="AR168" i="22"/>
  <c r="AR167" i="22"/>
  <c r="AR163" i="22"/>
  <c r="AR160" i="22"/>
  <c r="AR159" i="22"/>
  <c r="AR158" i="22"/>
  <c r="AR157" i="22"/>
  <c r="AR156" i="22"/>
  <c r="AR155" i="22"/>
  <c r="AR154" i="22"/>
  <c r="AR150" i="22"/>
  <c r="AR148" i="22"/>
  <c r="AR147" i="22"/>
  <c r="AR145" i="22"/>
  <c r="AR144" i="22"/>
  <c r="AR143" i="22"/>
  <c r="AR142" i="22"/>
  <c r="AR141" i="22"/>
  <c r="AR140" i="22"/>
  <c r="AR139" i="22"/>
  <c r="AR138" i="22"/>
  <c r="AR134" i="22"/>
  <c r="AR133" i="22"/>
  <c r="AR132" i="22"/>
  <c r="AR131" i="22"/>
  <c r="AR130" i="22"/>
  <c r="AR129" i="22"/>
  <c r="AR128" i="22"/>
  <c r="AR127" i="22"/>
  <c r="AR126" i="22"/>
  <c r="AR125" i="22"/>
  <c r="AR122" i="22"/>
  <c r="AR121" i="22"/>
  <c r="AR120" i="22"/>
  <c r="AR119" i="22"/>
  <c r="AR118" i="22"/>
  <c r="AR117" i="22"/>
  <c r="AR116" i="22"/>
  <c r="AR115" i="22"/>
  <c r="AR114" i="22"/>
  <c r="AR113" i="22"/>
  <c r="AR112" i="22"/>
  <c r="AR111" i="22"/>
  <c r="AR110" i="22"/>
  <c r="AR109" i="22"/>
  <c r="AR108" i="22"/>
  <c r="AR101" i="22"/>
  <c r="AR100" i="22"/>
  <c r="AR99" i="22"/>
  <c r="AR98" i="22"/>
  <c r="AR97" i="22"/>
  <c r="AR96" i="22"/>
  <c r="AR95" i="22"/>
  <c r="AR94" i="22"/>
  <c r="AR93" i="22"/>
  <c r="AR92" i="22"/>
  <c r="AR91" i="22"/>
  <c r="AR90" i="22"/>
  <c r="AR89" i="22"/>
  <c r="AR88" i="22"/>
  <c r="AR87" i="22"/>
  <c r="AR86" i="22"/>
  <c r="AR85" i="22"/>
  <c r="AR84" i="22"/>
  <c r="AR83" i="22"/>
  <c r="AR82" i="22"/>
  <c r="AR81" i="22"/>
  <c r="AR80" i="22"/>
  <c r="AR79" i="22"/>
  <c r="AR78" i="22"/>
  <c r="AR77" i="22"/>
  <c r="AR76" i="22"/>
  <c r="AR75" i="22"/>
  <c r="AR74" i="22"/>
  <c r="AR73" i="22"/>
  <c r="AR72" i="22"/>
  <c r="AR71" i="22"/>
  <c r="AR70" i="22"/>
  <c r="AR69" i="22"/>
  <c r="AR68" i="22"/>
  <c r="AR67" i="22"/>
  <c r="AR66" i="22"/>
  <c r="AR65" i="22"/>
  <c r="AR64" i="22"/>
  <c r="AR63" i="22"/>
  <c r="AR62" i="22"/>
  <c r="AR61" i="22"/>
  <c r="AR60" i="22"/>
  <c r="AR59" i="22"/>
  <c r="AR58" i="22"/>
  <c r="AR57" i="22"/>
  <c r="AR56" i="22"/>
  <c r="AR55" i="22"/>
  <c r="AR54" i="22"/>
  <c r="AR53" i="22"/>
  <c r="AR52" i="22"/>
  <c r="AR51" i="22"/>
  <c r="AR50" i="22"/>
  <c r="AR49" i="22"/>
  <c r="AR48" i="22"/>
  <c r="AR47" i="22"/>
  <c r="AR46" i="22"/>
  <c r="AR45" i="22"/>
  <c r="AR39" i="22"/>
  <c r="AR38" i="22"/>
  <c r="AR37" i="22"/>
  <c r="AR36" i="22"/>
  <c r="AR35" i="22"/>
  <c r="AR34" i="22"/>
  <c r="AR33" i="22"/>
  <c r="AR32" i="22"/>
  <c r="AR31" i="22"/>
  <c r="AR30" i="22"/>
  <c r="AR29" i="22"/>
  <c r="AR28" i="22"/>
  <c r="AR27" i="22"/>
  <c r="AR26" i="22"/>
  <c r="AR25" i="22"/>
  <c r="AR24" i="22"/>
  <c r="AR23" i="22"/>
  <c r="AR22" i="22"/>
  <c r="AR21" i="22"/>
  <c r="AR20" i="22"/>
  <c r="AR19" i="22"/>
  <c r="AR18" i="22"/>
  <c r="AR17" i="22"/>
  <c r="AR16" i="22"/>
  <c r="AR15" i="22"/>
  <c r="AR14" i="22"/>
  <c r="AR13" i="22"/>
  <c r="AR12" i="22"/>
  <c r="AR11" i="22"/>
  <c r="AR10" i="22"/>
  <c r="U124" i="22"/>
  <c r="T124" i="22"/>
  <c r="S124" i="22"/>
  <c r="U146" i="22"/>
  <c r="T146" i="22"/>
  <c r="S146" i="22"/>
  <c r="U153" i="22"/>
  <c r="T153" i="22"/>
  <c r="S153" i="22"/>
  <c r="U166" i="22"/>
  <c r="T166" i="22"/>
  <c r="S166" i="22"/>
  <c r="U175" i="22"/>
  <c r="T175" i="22"/>
  <c r="S175" i="22"/>
  <c r="U174" i="22"/>
  <c r="T174" i="22"/>
  <c r="S174" i="22"/>
  <c r="U180" i="22"/>
  <c r="T180" i="22"/>
  <c r="S180" i="22"/>
  <c r="U193" i="22"/>
  <c r="T193" i="22"/>
  <c r="S193" i="22"/>
  <c r="U202" i="22"/>
  <c r="T202" i="22"/>
  <c r="S202" i="22"/>
  <c r="U201" i="22"/>
  <c r="T201" i="22"/>
  <c r="S201" i="22"/>
  <c r="U207" i="22"/>
  <c r="T207" i="22"/>
  <c r="S207" i="22"/>
  <c r="U220" i="22"/>
  <c r="T220" i="22"/>
  <c r="S220" i="22"/>
  <c r="U229" i="22"/>
  <c r="T229" i="22"/>
  <c r="S229" i="22"/>
  <c r="U228" i="22"/>
  <c r="T228" i="22"/>
  <c r="S228" i="22"/>
  <c r="U234" i="22"/>
  <c r="T234" i="22"/>
  <c r="S234" i="22"/>
  <c r="U247" i="22"/>
  <c r="T247" i="22"/>
  <c r="S247" i="22"/>
  <c r="U256" i="22"/>
  <c r="T256" i="22"/>
  <c r="S256" i="22"/>
  <c r="U255" i="22"/>
  <c r="T255" i="22"/>
  <c r="S255" i="22"/>
  <c r="U261" i="22"/>
  <c r="T261" i="22"/>
  <c r="S261" i="22"/>
  <c r="U283" i="22"/>
  <c r="T283" i="22"/>
  <c r="S283" i="22"/>
  <c r="U282" i="22"/>
  <c r="T282" i="22"/>
  <c r="S282" i="22"/>
  <c r="U274" i="22"/>
  <c r="T274" i="22"/>
  <c r="S274" i="22"/>
  <c r="C23" i="19" l="1"/>
  <c r="CP23" i="35"/>
  <c r="C24" i="19"/>
  <c r="CP24" i="35"/>
  <c r="C25" i="19"/>
  <c r="CP25" i="35"/>
  <c r="C26" i="19"/>
  <c r="CP26" i="35"/>
  <c r="C27" i="19"/>
  <c r="CP27" i="35"/>
  <c r="C28" i="19"/>
  <c r="CP28" i="35"/>
  <c r="C29" i="19"/>
  <c r="CP29" i="35"/>
  <c r="C31" i="19"/>
  <c r="CP31" i="35"/>
  <c r="C48" i="19"/>
  <c r="CP48" i="35"/>
  <c r="C49" i="19"/>
  <c r="CP49" i="35"/>
  <c r="C50" i="19"/>
  <c r="CP50" i="35"/>
  <c r="C51" i="19"/>
  <c r="CP51" i="35"/>
  <c r="C69" i="19"/>
  <c r="CP69" i="35"/>
  <c r="C94" i="19"/>
  <c r="CP94" i="35"/>
  <c r="C114" i="19"/>
  <c r="CP114" i="35"/>
  <c r="C142" i="19"/>
  <c r="CP142" i="35"/>
  <c r="C180" i="19"/>
  <c r="CP180" i="35"/>
  <c r="C190" i="19"/>
  <c r="CP190" i="35"/>
  <c r="C191" i="19"/>
  <c r="CP191" i="35"/>
  <c r="C192" i="19"/>
  <c r="CP192" i="35"/>
  <c r="C196" i="19"/>
  <c r="CP196" i="35"/>
  <c r="C216" i="19"/>
  <c r="CP216" i="35"/>
  <c r="C231" i="19"/>
  <c r="CP231" i="35"/>
  <c r="C243" i="19"/>
  <c r="CP243" i="35"/>
  <c r="C258" i="19"/>
  <c r="CP258" i="35"/>
  <c r="C267" i="19"/>
  <c r="CP267" i="35"/>
  <c r="C278" i="19"/>
  <c r="CP278" i="35"/>
  <c r="C305" i="19"/>
  <c r="CP305" i="35"/>
  <c r="C52" i="19"/>
  <c r="CP52" i="35"/>
  <c r="C115" i="19"/>
  <c r="CP115" i="35"/>
  <c r="C152" i="19"/>
  <c r="CP152" i="35"/>
  <c r="C195" i="19"/>
  <c r="CP195" i="35"/>
  <c r="C230" i="19"/>
  <c r="CP230" i="35"/>
  <c r="C254" i="19"/>
  <c r="CP254" i="35"/>
  <c r="C33" i="19"/>
  <c r="CP33" i="35"/>
  <c r="C53" i="19"/>
  <c r="CP53" i="35"/>
  <c r="C96" i="19"/>
  <c r="CP96" i="35"/>
  <c r="C116" i="19"/>
  <c r="CP116" i="35"/>
  <c r="C117" i="19"/>
  <c r="CP117" i="35"/>
  <c r="C118" i="19"/>
  <c r="CP118" i="35"/>
  <c r="C119" i="19"/>
  <c r="CP119" i="35"/>
  <c r="C120" i="19"/>
  <c r="CP120" i="35"/>
  <c r="C121" i="19"/>
  <c r="CP121" i="35"/>
  <c r="C122" i="19"/>
  <c r="CP122" i="35"/>
  <c r="C123" i="19"/>
  <c r="CP123" i="35"/>
  <c r="C124" i="19"/>
  <c r="CP124" i="35"/>
  <c r="C151" i="19"/>
  <c r="CP151" i="35"/>
  <c r="C176" i="19"/>
  <c r="CP176" i="35"/>
  <c r="C182" i="19"/>
  <c r="CP182" i="35"/>
  <c r="C194" i="19"/>
  <c r="CP194" i="35"/>
  <c r="C202" i="19"/>
  <c r="CP202" i="35"/>
  <c r="C203" i="19"/>
  <c r="CP203" i="35"/>
  <c r="C214" i="19"/>
  <c r="CP214" i="35"/>
  <c r="C229" i="19"/>
  <c r="CP229" i="35"/>
  <c r="C241" i="19"/>
  <c r="CP241" i="35"/>
  <c r="C256" i="19"/>
  <c r="CP256" i="35"/>
  <c r="C264" i="19"/>
  <c r="CP264" i="35"/>
  <c r="C265" i="19"/>
  <c r="CP265" i="35"/>
  <c r="C276" i="19"/>
  <c r="CP276" i="35"/>
  <c r="C291" i="19"/>
  <c r="CP291" i="35"/>
  <c r="C303" i="19"/>
  <c r="CP303" i="35"/>
  <c r="C315" i="19"/>
  <c r="CP315" i="35"/>
  <c r="C55" i="19"/>
  <c r="CP55" i="35"/>
  <c r="C56" i="19"/>
  <c r="CP56" i="35"/>
  <c r="C58" i="19"/>
  <c r="CP58" i="35"/>
  <c r="C59" i="19"/>
  <c r="CP59" i="35"/>
  <c r="C60" i="19"/>
  <c r="CP60" i="35"/>
  <c r="C61" i="19"/>
  <c r="CP61" i="35"/>
  <c r="C62" i="19"/>
  <c r="CP62" i="35"/>
  <c r="C71" i="19"/>
  <c r="CP71" i="35"/>
  <c r="C72" i="19"/>
  <c r="CP72" i="35"/>
  <c r="C73" i="19"/>
  <c r="CP73" i="35"/>
  <c r="C74" i="19"/>
  <c r="CP74" i="35"/>
  <c r="C75" i="19"/>
  <c r="CP75" i="35"/>
  <c r="C76" i="19"/>
  <c r="CP76" i="35"/>
  <c r="C77" i="19"/>
  <c r="CP77" i="35"/>
  <c r="C78" i="19"/>
  <c r="CP78" i="35"/>
  <c r="C98" i="19"/>
  <c r="CP98" i="35"/>
  <c r="C99" i="19"/>
  <c r="CP99" i="35"/>
  <c r="C125" i="19"/>
  <c r="CP125" i="35"/>
  <c r="C150" i="19"/>
  <c r="CP150" i="35"/>
  <c r="C183" i="19"/>
  <c r="CP183" i="35"/>
  <c r="C201" i="19"/>
  <c r="CP201" i="35"/>
  <c r="C213" i="19"/>
  <c r="CP213" i="35"/>
  <c r="C228" i="19"/>
  <c r="CP228" i="35"/>
  <c r="C237" i="19"/>
  <c r="CP237" i="35"/>
  <c r="C238" i="19"/>
  <c r="CP238" i="35"/>
  <c r="C239" i="19"/>
  <c r="CP239" i="35"/>
  <c r="C240" i="19"/>
  <c r="CP240" i="35"/>
  <c r="C248" i="19"/>
  <c r="CP248" i="35"/>
  <c r="C249" i="19"/>
  <c r="CP249" i="35"/>
  <c r="C250" i="19"/>
  <c r="CP250" i="35"/>
  <c r="GM250" i="35" s="1"/>
  <c r="C251" i="19"/>
  <c r="CP251" i="35"/>
  <c r="C263" i="19"/>
  <c r="CP263" i="35"/>
  <c r="C275" i="19"/>
  <c r="CP275" i="35"/>
  <c r="C290" i="19"/>
  <c r="CP290" i="35"/>
  <c r="C299" i="19"/>
  <c r="CP299" i="35"/>
  <c r="C301" i="19"/>
  <c r="CP301" i="35"/>
  <c r="C310" i="19"/>
  <c r="CP310" i="35"/>
  <c r="C311" i="19"/>
  <c r="CP311" i="35"/>
  <c r="GM311" i="35" s="1"/>
  <c r="C312" i="19"/>
  <c r="CP312" i="35"/>
  <c r="C313" i="19"/>
  <c r="CP313" i="35"/>
  <c r="C7" i="19"/>
  <c r="CP7" i="35"/>
  <c r="C32" i="19"/>
  <c r="CP32" i="35"/>
  <c r="GM32" i="35" s="1"/>
  <c r="C139" i="19"/>
  <c r="CP139" i="35"/>
  <c r="C193" i="19"/>
  <c r="CP193" i="35"/>
  <c r="C304" i="19"/>
  <c r="CP304" i="35"/>
  <c r="C9" i="19"/>
  <c r="CP9" i="35"/>
  <c r="C10" i="19"/>
  <c r="CP10" i="35"/>
  <c r="C11" i="19"/>
  <c r="CP11" i="35"/>
  <c r="C12" i="19"/>
  <c r="CP12" i="35"/>
  <c r="C13" i="19"/>
  <c r="CP13" i="35"/>
  <c r="GM13" i="35" s="1"/>
  <c r="C14" i="19"/>
  <c r="CP14" i="35"/>
  <c r="C15" i="19"/>
  <c r="CP15" i="35"/>
  <c r="C16" i="19"/>
  <c r="CP16" i="35"/>
  <c r="C35" i="19"/>
  <c r="CP35" i="35"/>
  <c r="GM35" i="35" s="1"/>
  <c r="C36" i="19"/>
  <c r="CP36" i="35"/>
  <c r="C37" i="19"/>
  <c r="CP37" i="35"/>
  <c r="C63" i="19"/>
  <c r="CP63" i="35"/>
  <c r="C79" i="19"/>
  <c r="CP79" i="35"/>
  <c r="GM79" i="35" s="1"/>
  <c r="C80" i="19"/>
  <c r="CP80" i="35"/>
  <c r="C81" i="19"/>
  <c r="CP81" i="35"/>
  <c r="C82" i="19"/>
  <c r="CP82" i="35"/>
  <c r="C100" i="19"/>
  <c r="CP100" i="35"/>
  <c r="GM100" i="35" s="1"/>
  <c r="C149" i="19"/>
  <c r="CP149" i="35"/>
  <c r="C177" i="19"/>
  <c r="CP177" i="35"/>
  <c r="C184" i="19"/>
  <c r="CP184" i="35"/>
  <c r="C185" i="19"/>
  <c r="CP185" i="35"/>
  <c r="GM185" i="35" s="1"/>
  <c r="C186" i="19"/>
  <c r="CP186" i="35"/>
  <c r="C200" i="19"/>
  <c r="CP200" i="35"/>
  <c r="C212" i="19"/>
  <c r="CP212" i="35"/>
  <c r="C227" i="19"/>
  <c r="CP227" i="35"/>
  <c r="GM227" i="35" s="1"/>
  <c r="C247" i="19"/>
  <c r="CP247" i="35"/>
  <c r="C262" i="19"/>
  <c r="CP262" i="35"/>
  <c r="C274" i="19"/>
  <c r="CP274" i="35"/>
  <c r="C289" i="19"/>
  <c r="CP289" i="35"/>
  <c r="GM289" i="35" s="1"/>
  <c r="C309" i="19"/>
  <c r="CP309" i="35"/>
  <c r="C95" i="19"/>
  <c r="CP95" i="35"/>
  <c r="C133" i="19"/>
  <c r="CP133" i="35"/>
  <c r="C137" i="19"/>
  <c r="CP137" i="35"/>
  <c r="GM137" i="35" s="1"/>
  <c r="C181" i="19"/>
  <c r="CP181" i="35"/>
  <c r="C255" i="19"/>
  <c r="CP255" i="35"/>
  <c r="C316" i="19"/>
  <c r="CP316" i="35"/>
  <c r="C8" i="19"/>
  <c r="CP8" i="35"/>
  <c r="GM8" i="35" s="1"/>
  <c r="C18" i="19"/>
  <c r="CP18" i="35"/>
  <c r="C19" i="19"/>
  <c r="CP19" i="35"/>
  <c r="C20" i="19"/>
  <c r="CP20" i="35"/>
  <c r="C38" i="19"/>
  <c r="CP38" i="35"/>
  <c r="C64" i="19"/>
  <c r="CP64" i="35"/>
  <c r="C83" i="19"/>
  <c r="CP83" i="35"/>
  <c r="C127" i="19"/>
  <c r="CP127" i="35"/>
  <c r="C148" i="19"/>
  <c r="CP148" i="35"/>
  <c r="GM148" i="35" s="1"/>
  <c r="C160" i="19"/>
  <c r="CP160" i="35"/>
  <c r="C187" i="19"/>
  <c r="CP187" i="35"/>
  <c r="C199" i="19"/>
  <c r="CP199" i="35"/>
  <c r="C211" i="19"/>
  <c r="CP211" i="35"/>
  <c r="GM211" i="35" s="1"/>
  <c r="C223" i="19"/>
  <c r="CP223" i="35"/>
  <c r="C224" i="19"/>
  <c r="CP224" i="35"/>
  <c r="C226" i="19"/>
  <c r="CP226" i="35"/>
  <c r="C246" i="19"/>
  <c r="CP246" i="35"/>
  <c r="C261" i="19"/>
  <c r="CP261" i="35"/>
  <c r="C273" i="19"/>
  <c r="CP273" i="35"/>
  <c r="C285" i="19"/>
  <c r="CP285" i="35"/>
  <c r="C286" i="19"/>
  <c r="CP286" i="35"/>
  <c r="C288" i="19"/>
  <c r="CP288" i="35"/>
  <c r="C308" i="19"/>
  <c r="CP308" i="35"/>
  <c r="C134" i="19"/>
  <c r="CP134" i="35"/>
  <c r="C138" i="19"/>
  <c r="CP138" i="35"/>
  <c r="C257" i="19"/>
  <c r="CP257" i="35"/>
  <c r="C21" i="19"/>
  <c r="CP21" i="35"/>
  <c r="C65" i="19"/>
  <c r="CP65" i="35"/>
  <c r="C101" i="19"/>
  <c r="CP101" i="35"/>
  <c r="GM101" i="35" s="1"/>
  <c r="C102" i="19"/>
  <c r="CP102" i="35"/>
  <c r="C103" i="19"/>
  <c r="CP103" i="35"/>
  <c r="C104" i="19"/>
  <c r="CP104" i="35"/>
  <c r="C105" i="19"/>
  <c r="CP105" i="35"/>
  <c r="GM105" i="35" s="1"/>
  <c r="C106" i="19"/>
  <c r="CP106" i="35"/>
  <c r="C107" i="19"/>
  <c r="CP107" i="35"/>
  <c r="C108" i="19"/>
  <c r="CP108" i="35"/>
  <c r="C128" i="19"/>
  <c r="CP128" i="35"/>
  <c r="GM128" i="35" s="1"/>
  <c r="C130" i="19"/>
  <c r="CP130" i="35"/>
  <c r="C145" i="19"/>
  <c r="CP145" i="35"/>
  <c r="C146" i="19"/>
  <c r="CP146" i="35"/>
  <c r="C147" i="19"/>
  <c r="CP147" i="35"/>
  <c r="GM147" i="35" s="1"/>
  <c r="C155" i="19"/>
  <c r="CP155" i="35"/>
  <c r="C157" i="19"/>
  <c r="CP157" i="35"/>
  <c r="C158" i="19"/>
  <c r="CP158" i="35"/>
  <c r="C159" i="19"/>
  <c r="CP159" i="35"/>
  <c r="C164" i="19"/>
  <c r="CP164" i="35"/>
  <c r="C165" i="19"/>
  <c r="CP165" i="35"/>
  <c r="C168" i="19"/>
  <c r="CP168" i="35"/>
  <c r="C169" i="19"/>
  <c r="CP169" i="35"/>
  <c r="GM169" i="35" s="1"/>
  <c r="C170" i="19"/>
  <c r="CP170" i="35"/>
  <c r="C171" i="19"/>
  <c r="CP171" i="35"/>
  <c r="C178" i="19"/>
  <c r="CP178" i="35"/>
  <c r="C188" i="19"/>
  <c r="CP188" i="35"/>
  <c r="GM188" i="35" s="1"/>
  <c r="C198" i="19"/>
  <c r="CP198" i="35"/>
  <c r="C210" i="19"/>
  <c r="CP210" i="35"/>
  <c r="C222" i="19"/>
  <c r="CP222" i="35"/>
  <c r="C225" i="19"/>
  <c r="CP225" i="35"/>
  <c r="GM225" i="35" s="1"/>
  <c r="C245" i="19"/>
  <c r="CP245" i="35"/>
  <c r="C260" i="19"/>
  <c r="CP260" i="35"/>
  <c r="C272" i="19"/>
  <c r="CP272" i="35"/>
  <c r="C284" i="19"/>
  <c r="CP284" i="35"/>
  <c r="GM284" i="35" s="1"/>
  <c r="C287" i="19"/>
  <c r="CP287" i="35"/>
  <c r="C295" i="19"/>
  <c r="CP295" i="35"/>
  <c r="C296" i="19"/>
  <c r="CP296" i="35"/>
  <c r="C307" i="19"/>
  <c r="CP307" i="35"/>
  <c r="GM307" i="35" s="1"/>
  <c r="C132" i="19"/>
  <c r="CP132" i="35"/>
  <c r="C136" i="19"/>
  <c r="CP136" i="35"/>
  <c r="C140" i="19"/>
  <c r="CP140" i="35"/>
  <c r="C204" i="19"/>
  <c r="CP204" i="35"/>
  <c r="C215" i="19"/>
  <c r="CP215" i="35"/>
  <c r="C242" i="19"/>
  <c r="CP242" i="35"/>
  <c r="C277" i="19"/>
  <c r="CP277" i="35"/>
  <c r="C22" i="19"/>
  <c r="CP22" i="35"/>
  <c r="GM22" i="35" s="1"/>
  <c r="C39" i="19"/>
  <c r="CP39" i="35"/>
  <c r="C40" i="19"/>
  <c r="CP40" i="35"/>
  <c r="C41" i="19"/>
  <c r="CP41" i="35"/>
  <c r="C42" i="19"/>
  <c r="CP42" i="35"/>
  <c r="C43" i="19"/>
  <c r="CP43" i="35"/>
  <c r="C45" i="19"/>
  <c r="CP45" i="35"/>
  <c r="C46" i="19"/>
  <c r="CP46" i="35"/>
  <c r="C67" i="19"/>
  <c r="CP67" i="35"/>
  <c r="GM67" i="35" s="1"/>
  <c r="C68" i="19"/>
  <c r="CP68" i="35"/>
  <c r="C85" i="19"/>
  <c r="CP85" i="35"/>
  <c r="C86" i="19"/>
  <c r="CP86" i="35"/>
  <c r="C87" i="19"/>
  <c r="CP87" i="35"/>
  <c r="GM87" i="35" s="1"/>
  <c r="C88" i="19"/>
  <c r="CP88" i="35"/>
  <c r="C89" i="19"/>
  <c r="CP89" i="35"/>
  <c r="C90" i="19"/>
  <c r="CP90" i="35"/>
  <c r="C91" i="19"/>
  <c r="CP91" i="35"/>
  <c r="GM91" i="35" s="1"/>
  <c r="C92" i="19"/>
  <c r="CP92" i="35"/>
  <c r="C93" i="19"/>
  <c r="CP93" i="35"/>
  <c r="C111" i="19"/>
  <c r="CP111" i="35"/>
  <c r="C112" i="19"/>
  <c r="CP112" i="35"/>
  <c r="GM112" i="35" s="1"/>
  <c r="C113" i="19"/>
  <c r="CP113" i="35"/>
  <c r="C131" i="19"/>
  <c r="CP131" i="35"/>
  <c r="C154" i="19"/>
  <c r="CP154" i="35"/>
  <c r="C173" i="19"/>
  <c r="CP173" i="35"/>
  <c r="C174" i="19"/>
  <c r="CP174" i="35"/>
  <c r="C179" i="19"/>
  <c r="CP179" i="35"/>
  <c r="C189" i="19"/>
  <c r="CP189" i="35"/>
  <c r="C197" i="19"/>
  <c r="CP197" i="35"/>
  <c r="GM197" i="35" s="1"/>
  <c r="C206" i="19"/>
  <c r="CP206" i="35"/>
  <c r="C207" i="19"/>
  <c r="CP207" i="35"/>
  <c r="C208" i="19"/>
  <c r="CP208" i="35"/>
  <c r="C209" i="19"/>
  <c r="CP209" i="35"/>
  <c r="GM209" i="35" s="1"/>
  <c r="C217" i="19"/>
  <c r="CP217" i="35"/>
  <c r="C218" i="19"/>
  <c r="CP218" i="35"/>
  <c r="C219" i="19"/>
  <c r="CP219" i="35"/>
  <c r="C221" i="19"/>
  <c r="CP221" i="35"/>
  <c r="GM221" i="35" s="1"/>
  <c r="C232" i="19"/>
  <c r="CP232" i="35"/>
  <c r="C244" i="19"/>
  <c r="CP244" i="35"/>
  <c r="C259" i="19"/>
  <c r="CP259" i="35"/>
  <c r="C268" i="19"/>
  <c r="CP268" i="35"/>
  <c r="GM268" i="35" s="1"/>
  <c r="C271" i="19"/>
  <c r="CP271" i="35"/>
  <c r="C279" i="19"/>
  <c r="CP279" i="35"/>
  <c r="C280" i="19"/>
  <c r="CP280" i="35"/>
  <c r="C282" i="19"/>
  <c r="CP282" i="35"/>
  <c r="GM282" i="35" s="1"/>
  <c r="C283" i="19"/>
  <c r="CP283" i="35"/>
  <c r="C306" i="19"/>
  <c r="CP306" i="35"/>
  <c r="C236" i="19"/>
  <c r="C126" i="19"/>
  <c r="C205" i="19"/>
  <c r="GM205" i="35"/>
  <c r="C293" i="19"/>
  <c r="GM293" i="35"/>
  <c r="C17" i="19"/>
  <c r="GM17" i="35"/>
  <c r="C129" i="19"/>
  <c r="GM129" i="35"/>
  <c r="C166" i="19"/>
  <c r="C220" i="19"/>
  <c r="GM220" i="35"/>
  <c r="C269" i="19"/>
  <c r="GM269" i="35"/>
  <c r="C235" i="19"/>
  <c r="GM235" i="35"/>
  <c r="C266" i="19"/>
  <c r="GM266" i="35"/>
  <c r="C253" i="19"/>
  <c r="GM253" i="35"/>
  <c r="C143" i="19"/>
  <c r="C281" i="19"/>
  <c r="GM281" i="35"/>
  <c r="C302" i="19"/>
  <c r="GM302" i="35"/>
  <c r="C153" i="19"/>
  <c r="GM153" i="35"/>
  <c r="C161" i="19"/>
  <c r="GM161" i="35"/>
  <c r="C30" i="19"/>
  <c r="GM30" i="35"/>
  <c r="C109" i="19"/>
  <c r="GM109" i="35"/>
  <c r="C163" i="19"/>
  <c r="GM163" i="35"/>
  <c r="C172" i="19"/>
  <c r="GM172" i="35"/>
  <c r="C300" i="19"/>
  <c r="GM300" i="35"/>
  <c r="C162" i="19"/>
  <c r="GM162" i="35"/>
  <c r="C141" i="19"/>
  <c r="GM141" i="35"/>
  <c r="C298" i="19"/>
  <c r="C144" i="19"/>
  <c r="GM144" i="35"/>
  <c r="C233" i="19"/>
  <c r="GM233" i="35"/>
  <c r="C175" i="19"/>
  <c r="GM175" i="35"/>
  <c r="C135" i="19"/>
  <c r="GM135" i="35"/>
  <c r="C294" i="19"/>
  <c r="GM294" i="35"/>
  <c r="C84" i="19"/>
  <c r="GM84" i="35"/>
  <c r="C167" i="19"/>
  <c r="GM167" i="35"/>
  <c r="C234" i="19"/>
  <c r="GM234" i="35"/>
  <c r="C66" i="19"/>
  <c r="GM66" i="35"/>
  <c r="C70" i="19"/>
  <c r="GM70" i="35"/>
  <c r="C292" i="19"/>
  <c r="GM292" i="35"/>
  <c r="C297" i="19"/>
  <c r="C156" i="19"/>
  <c r="C34" i="19"/>
  <c r="GM34" i="35"/>
  <c r="C44" i="19"/>
  <c r="GM44" i="35"/>
  <c r="C47" i="19"/>
  <c r="GM47" i="35"/>
  <c r="C54" i="19"/>
  <c r="GM54" i="35"/>
  <c r="C57" i="19"/>
  <c r="GM57" i="35"/>
  <c r="C97" i="19"/>
  <c r="GM97" i="35"/>
  <c r="C110" i="19"/>
  <c r="GM110" i="35"/>
  <c r="C252" i="19"/>
  <c r="GM252" i="35"/>
  <c r="C270" i="19"/>
  <c r="GM270" i="35"/>
  <c r="C314" i="19"/>
  <c r="GM314" i="35"/>
  <c r="Z93" i="35"/>
  <c r="Z281" i="35"/>
  <c r="GM372" i="35"/>
  <c r="GM45" i="35"/>
  <c r="GM61" i="35"/>
  <c r="GM341" i="35"/>
  <c r="GM157" i="35"/>
  <c r="GM14" i="35"/>
  <c r="GM78" i="35"/>
  <c r="GM142" i="35"/>
  <c r="GM206" i="35"/>
  <c r="GM334" i="35"/>
  <c r="GM111" i="35"/>
  <c r="GM72" i="35"/>
  <c r="GM136" i="35"/>
  <c r="GM200" i="35"/>
  <c r="GM264" i="35"/>
  <c r="GM328" i="35"/>
  <c r="GM95" i="35"/>
  <c r="GM25" i="35"/>
  <c r="GM89" i="35"/>
  <c r="GM217" i="35"/>
  <c r="GM345" i="35"/>
  <c r="GM159" i="35"/>
  <c r="GM26" i="35"/>
  <c r="GM125" i="35"/>
  <c r="GM133" i="35"/>
  <c r="GM86" i="35"/>
  <c r="GM150" i="35"/>
  <c r="GM214" i="35"/>
  <c r="GM278" i="35"/>
  <c r="GM342" i="35"/>
  <c r="GM151" i="35"/>
  <c r="GM16" i="35"/>
  <c r="GM80" i="35"/>
  <c r="GM208" i="35"/>
  <c r="GM272" i="35"/>
  <c r="GM336" i="35"/>
  <c r="GM143" i="35"/>
  <c r="GM33" i="35"/>
  <c r="GM353" i="35"/>
  <c r="GM199" i="35"/>
  <c r="GM98" i="35"/>
  <c r="GM226" i="35"/>
  <c r="GM290" i="35"/>
  <c r="GM354" i="35"/>
  <c r="GM19" i="35"/>
  <c r="GM83" i="35"/>
  <c r="GM275" i="35"/>
  <c r="GM339" i="35"/>
  <c r="GM127" i="35"/>
  <c r="GM20" i="35"/>
  <c r="GM212" i="35"/>
  <c r="GM276" i="35"/>
  <c r="GM340" i="35"/>
  <c r="GM228" i="35"/>
  <c r="GM356" i="35"/>
  <c r="GM301" i="35"/>
  <c r="GM85" i="35"/>
  <c r="GM181" i="35"/>
  <c r="GM263" i="35"/>
  <c r="GM104" i="35"/>
  <c r="GM232" i="35"/>
  <c r="GM303" i="35"/>
  <c r="GM37" i="35"/>
  <c r="GM173" i="35"/>
  <c r="GM189" i="35"/>
  <c r="GM333" i="35"/>
  <c r="GM261" i="35"/>
  <c r="GM285" i="35"/>
  <c r="GM94" i="35"/>
  <c r="GM158" i="35"/>
  <c r="GM222" i="35"/>
  <c r="GM286" i="35"/>
  <c r="GM350" i="35"/>
  <c r="GM183" i="35"/>
  <c r="GM24" i="35"/>
  <c r="GM88" i="35"/>
  <c r="GM152" i="35"/>
  <c r="GM216" i="35"/>
  <c r="GM280" i="35"/>
  <c r="GM344" i="35"/>
  <c r="GM191" i="35"/>
  <c r="GM41" i="35"/>
  <c r="GM297" i="35"/>
  <c r="GM361" i="35"/>
  <c r="GM231" i="35"/>
  <c r="GM42" i="35"/>
  <c r="GM106" i="35"/>
  <c r="GM170" i="35"/>
  <c r="GM298" i="35"/>
  <c r="GM362" i="35"/>
  <c r="GM27" i="35"/>
  <c r="GM155" i="35"/>
  <c r="GM219" i="35"/>
  <c r="GM283" i="35"/>
  <c r="GM347" i="35"/>
  <c r="GM28" i="35"/>
  <c r="GM92" i="35"/>
  <c r="GM156" i="35"/>
  <c r="GM348" i="35"/>
  <c r="GM165" i="35"/>
  <c r="GM46" i="35"/>
  <c r="GM238" i="35"/>
  <c r="GM366" i="35"/>
  <c r="GM168" i="35"/>
  <c r="GM360" i="35"/>
  <c r="GM249" i="35"/>
  <c r="GM313" i="35"/>
  <c r="GM327" i="35"/>
  <c r="GM58" i="35"/>
  <c r="GM186" i="35"/>
  <c r="GM378" i="35"/>
  <c r="GM43" i="35"/>
  <c r="GM363" i="35"/>
  <c r="GM108" i="35"/>
  <c r="GM365" i="35"/>
  <c r="GM246" i="35"/>
  <c r="GM295" i="35"/>
  <c r="GM176" i="35"/>
  <c r="GM368" i="35"/>
  <c r="GM321" i="35"/>
  <c r="GM130" i="35"/>
  <c r="GM7" i="35"/>
  <c r="GM179" i="35"/>
  <c r="GM52" i="35"/>
  <c r="GM308" i="35"/>
  <c r="GM237" i="35"/>
  <c r="GM21" i="35"/>
  <c r="GM77" i="35"/>
  <c r="GM349" i="35"/>
  <c r="GM38" i="35"/>
  <c r="GM102" i="35"/>
  <c r="GM166" i="35"/>
  <c r="GM230" i="35"/>
  <c r="GM358" i="35"/>
  <c r="GM223" i="35"/>
  <c r="GM96" i="35"/>
  <c r="GM160" i="35"/>
  <c r="GM224" i="35"/>
  <c r="GM288" i="35"/>
  <c r="GM352" i="35"/>
  <c r="GM247" i="35"/>
  <c r="GM49" i="35"/>
  <c r="GM113" i="35"/>
  <c r="GM177" i="35"/>
  <c r="GM241" i="35"/>
  <c r="GM305" i="35"/>
  <c r="GM369" i="35"/>
  <c r="GM279" i="35"/>
  <c r="GM50" i="35"/>
  <c r="GM114" i="35"/>
  <c r="GM178" i="35"/>
  <c r="GM242" i="35"/>
  <c r="GM306" i="35"/>
  <c r="GM370" i="35"/>
  <c r="GM207" i="35"/>
  <c r="GM99" i="35"/>
  <c r="GM291" i="35"/>
  <c r="GM355" i="35"/>
  <c r="GM215" i="35"/>
  <c r="GM36" i="35"/>
  <c r="GM164" i="35"/>
  <c r="GM317" i="35"/>
  <c r="GM174" i="35"/>
  <c r="GM40" i="35"/>
  <c r="GM296" i="35"/>
  <c r="GM121" i="35"/>
  <c r="GM377" i="35"/>
  <c r="GM122" i="35"/>
  <c r="GM239" i="35"/>
  <c r="GM171" i="35"/>
  <c r="GM299" i="35"/>
  <c r="GM364" i="35"/>
  <c r="GM69" i="35"/>
  <c r="GM149" i="35"/>
  <c r="GM118" i="35"/>
  <c r="GM310" i="35"/>
  <c r="GM48" i="35"/>
  <c r="GM240" i="35"/>
  <c r="GM375" i="35"/>
  <c r="GM193" i="35"/>
  <c r="GM31" i="35"/>
  <c r="GM194" i="35"/>
  <c r="GM322" i="35"/>
  <c r="GM51" i="35"/>
  <c r="GM243" i="35"/>
  <c r="GM287" i="35"/>
  <c r="GM180" i="35"/>
  <c r="GM53" i="35"/>
  <c r="GM213" i="35"/>
  <c r="GM29" i="35"/>
  <c r="GM309" i="35"/>
  <c r="GM62" i="35"/>
  <c r="GM126" i="35"/>
  <c r="GM190" i="35"/>
  <c r="GM254" i="35"/>
  <c r="GM318" i="35"/>
  <c r="GM23" i="35"/>
  <c r="GM335" i="35"/>
  <c r="GM56" i="35"/>
  <c r="GM120" i="35"/>
  <c r="GM184" i="35"/>
  <c r="GM248" i="35"/>
  <c r="GM312" i="35"/>
  <c r="GM376" i="35"/>
  <c r="GM9" i="35"/>
  <c r="GM73" i="35"/>
  <c r="GM201" i="35"/>
  <c r="GM265" i="35"/>
  <c r="GM329" i="35"/>
  <c r="GM10" i="35"/>
  <c r="GM74" i="35"/>
  <c r="GM138" i="35"/>
  <c r="GM202" i="35"/>
  <c r="GM330" i="35"/>
  <c r="GM39" i="35"/>
  <c r="GM59" i="35"/>
  <c r="GM123" i="35"/>
  <c r="GM187" i="35"/>
  <c r="GM251" i="35"/>
  <c r="GM315" i="35"/>
  <c r="GM15" i="35"/>
  <c r="GM319" i="35"/>
  <c r="GM60" i="35"/>
  <c r="GM124" i="35"/>
  <c r="GM316" i="35"/>
  <c r="GM90" i="35"/>
  <c r="GM154" i="35"/>
  <c r="GM218" i="35"/>
  <c r="GM346" i="35"/>
  <c r="GM103" i="35"/>
  <c r="GM11" i="35"/>
  <c r="GM75" i="35"/>
  <c r="GM139" i="35"/>
  <c r="GM203" i="35"/>
  <c r="GM267" i="35"/>
  <c r="GM331" i="35"/>
  <c r="GM12" i="35"/>
  <c r="GM76" i="35"/>
  <c r="GM140" i="35"/>
  <c r="GM204" i="35"/>
  <c r="GM332" i="35"/>
  <c r="GM107" i="35"/>
  <c r="GM255" i="35"/>
  <c r="GM236" i="35"/>
  <c r="GM229" i="35"/>
  <c r="GM182" i="35"/>
  <c r="GM374" i="35"/>
  <c r="GM304" i="35"/>
  <c r="GM65" i="35"/>
  <c r="GM257" i="35"/>
  <c r="GM367" i="35"/>
  <c r="GM258" i="35"/>
  <c r="GM271" i="35"/>
  <c r="GM115" i="35"/>
  <c r="GM116" i="35"/>
  <c r="GM244" i="35"/>
  <c r="GM357" i="35"/>
  <c r="GM117" i="35"/>
  <c r="GM325" i="35"/>
  <c r="GM277" i="35"/>
  <c r="GM93" i="35"/>
  <c r="GM373" i="35"/>
  <c r="GM134" i="35"/>
  <c r="GM198" i="35"/>
  <c r="GM262" i="35"/>
  <c r="GM326" i="35"/>
  <c r="GM63" i="35"/>
  <c r="GM343" i="35"/>
  <c r="GM64" i="35"/>
  <c r="GM192" i="35"/>
  <c r="GM256" i="35"/>
  <c r="GM320" i="35"/>
  <c r="GM81" i="35"/>
  <c r="GM145" i="35"/>
  <c r="GM273" i="35"/>
  <c r="GM337" i="35"/>
  <c r="GM119" i="35"/>
  <c r="GM18" i="35"/>
  <c r="GM82" i="35"/>
  <c r="GM146" i="35"/>
  <c r="GM210" i="35"/>
  <c r="GM274" i="35"/>
  <c r="GM338" i="35"/>
  <c r="GM71" i="35"/>
  <c r="GM359" i="35"/>
  <c r="GM131" i="35"/>
  <c r="GM195" i="35"/>
  <c r="GM259" i="35"/>
  <c r="GM323" i="35"/>
  <c r="GM55" i="35"/>
  <c r="GM351" i="35"/>
  <c r="GM68" i="35"/>
  <c r="GM132" i="35"/>
  <c r="GM196" i="35"/>
  <c r="GM260" i="35"/>
  <c r="GM324" i="35"/>
  <c r="GM245" i="35"/>
  <c r="GM371" i="35"/>
  <c r="N8" i="19"/>
  <c r="AB8" i="19" s="1"/>
  <c r="FQ8" i="35"/>
  <c r="N11" i="19"/>
  <c r="AB11" i="19" s="1"/>
  <c r="FQ11" i="35"/>
  <c r="N13" i="19"/>
  <c r="AB13" i="19" s="1"/>
  <c r="FQ13" i="35"/>
  <c r="N32" i="19"/>
  <c r="AB32" i="19" s="1"/>
  <c r="FQ32" i="35"/>
  <c r="N47" i="19"/>
  <c r="AB47" i="19" s="1"/>
  <c r="FQ47" i="35"/>
  <c r="N48" i="19"/>
  <c r="AB48" i="19" s="1"/>
  <c r="FQ48" i="35"/>
  <c r="N49" i="19"/>
  <c r="AB49" i="19" s="1"/>
  <c r="FQ49" i="35"/>
  <c r="N65" i="19"/>
  <c r="AB65" i="19" s="1"/>
  <c r="FQ65" i="35"/>
  <c r="N66" i="19"/>
  <c r="AB66" i="19" s="1"/>
  <c r="FQ66" i="35"/>
  <c r="N67" i="19"/>
  <c r="AB67" i="19" s="1"/>
  <c r="FQ67" i="35"/>
  <c r="N83" i="19"/>
  <c r="AB83" i="19" s="1"/>
  <c r="FQ83" i="35"/>
  <c r="N101" i="19"/>
  <c r="AB101" i="19" s="1"/>
  <c r="FQ101" i="35"/>
  <c r="N102" i="19"/>
  <c r="AB102" i="19" s="1"/>
  <c r="FQ102" i="35"/>
  <c r="N103" i="19"/>
  <c r="AB103" i="19" s="1"/>
  <c r="FQ103" i="35"/>
  <c r="N104" i="19"/>
  <c r="AB104" i="19" s="1"/>
  <c r="FQ104" i="35"/>
  <c r="N105" i="19"/>
  <c r="AB105" i="19" s="1"/>
  <c r="FQ105" i="35"/>
  <c r="N106" i="19"/>
  <c r="AB106" i="19" s="1"/>
  <c r="FQ106" i="35"/>
  <c r="N107" i="19"/>
  <c r="AB107" i="19" s="1"/>
  <c r="FQ107" i="35"/>
  <c r="N108" i="19"/>
  <c r="AB108" i="19" s="1"/>
  <c r="FQ108" i="35"/>
  <c r="N125" i="19"/>
  <c r="AB125" i="19" s="1"/>
  <c r="FQ125" i="35"/>
  <c r="N150" i="19"/>
  <c r="AB150" i="19" s="1"/>
  <c r="FQ150" i="35"/>
  <c r="N171" i="19"/>
  <c r="AB171" i="19" s="1"/>
  <c r="FQ171" i="35"/>
  <c r="N172" i="19"/>
  <c r="AB172" i="19" s="1"/>
  <c r="FQ172" i="35"/>
  <c r="N173" i="19"/>
  <c r="AB173" i="19" s="1"/>
  <c r="FQ173" i="35"/>
  <c r="N174" i="19"/>
  <c r="AB174" i="19" s="1"/>
  <c r="FQ174" i="35"/>
  <c r="N178" i="19"/>
  <c r="AB178" i="19" s="1"/>
  <c r="FQ178" i="35"/>
  <c r="N186" i="19"/>
  <c r="AB186" i="19" s="1"/>
  <c r="FQ186" i="35"/>
  <c r="N199" i="19"/>
  <c r="AB199" i="19" s="1"/>
  <c r="FQ199" i="35"/>
  <c r="N211" i="19"/>
  <c r="AB211" i="19" s="1"/>
  <c r="FQ211" i="35"/>
  <c r="N230" i="19"/>
  <c r="AB230" i="19" s="1"/>
  <c r="FQ230" i="35"/>
  <c r="N231" i="19"/>
  <c r="AB231" i="19" s="1"/>
  <c r="FQ231" i="35"/>
  <c r="N232" i="19"/>
  <c r="AB232" i="19" s="1"/>
  <c r="FQ232" i="35"/>
  <c r="N233" i="19"/>
  <c r="AB233" i="19" s="1"/>
  <c r="FQ233" i="35"/>
  <c r="N244" i="19"/>
  <c r="AB244" i="19" s="1"/>
  <c r="FQ244" i="35"/>
  <c r="N259" i="19"/>
  <c r="AB259" i="19" s="1"/>
  <c r="FQ259" i="35"/>
  <c r="N275" i="19"/>
  <c r="AB275" i="19" s="1"/>
  <c r="FQ275" i="35"/>
  <c r="N292" i="19"/>
  <c r="AB292" i="19" s="1"/>
  <c r="FQ292" i="35"/>
  <c r="N305" i="19"/>
  <c r="AB305" i="19" s="1"/>
  <c r="FQ305" i="35"/>
  <c r="N318" i="19"/>
  <c r="AB318" i="19" s="1"/>
  <c r="FQ318" i="35"/>
  <c r="N322" i="19"/>
  <c r="AB322" i="19" s="1"/>
  <c r="FQ322" i="35"/>
  <c r="N332" i="19"/>
  <c r="AB332" i="19" s="1"/>
  <c r="FQ332" i="35"/>
  <c r="N336" i="19"/>
  <c r="AB336" i="19" s="1"/>
  <c r="FQ336" i="35"/>
  <c r="N340" i="19"/>
  <c r="AB340" i="19" s="1"/>
  <c r="FQ340" i="35"/>
  <c r="N346" i="19"/>
  <c r="AB346" i="19" s="1"/>
  <c r="FQ346" i="35"/>
  <c r="N347" i="19"/>
  <c r="AB347" i="19" s="1"/>
  <c r="FQ347" i="35"/>
  <c r="N348" i="19"/>
  <c r="AB348" i="19" s="1"/>
  <c r="FQ348" i="35"/>
  <c r="N349" i="19"/>
  <c r="AB349" i="19" s="1"/>
  <c r="FQ349" i="35"/>
  <c r="N358" i="19"/>
  <c r="AB358" i="19" s="1"/>
  <c r="FQ358" i="35"/>
  <c r="N369" i="19"/>
  <c r="AB369" i="19" s="1"/>
  <c r="FQ369" i="35"/>
  <c r="N68" i="19"/>
  <c r="AB68" i="19" s="1"/>
  <c r="FQ68" i="35"/>
  <c r="N84" i="19"/>
  <c r="AB84" i="19" s="1"/>
  <c r="FQ84" i="35"/>
  <c r="N85" i="19"/>
  <c r="AB85" i="19" s="1"/>
  <c r="FQ85" i="35"/>
  <c r="N86" i="19"/>
  <c r="AB86" i="19" s="1"/>
  <c r="FQ86" i="35"/>
  <c r="N87" i="19"/>
  <c r="AB87" i="19" s="1"/>
  <c r="FQ87" i="35"/>
  <c r="N88" i="19"/>
  <c r="AB88" i="19" s="1"/>
  <c r="FQ88" i="35"/>
  <c r="N89" i="19"/>
  <c r="AB89" i="19" s="1"/>
  <c r="FQ89" i="35"/>
  <c r="N90" i="19"/>
  <c r="AB90" i="19" s="1"/>
  <c r="FQ90" i="35"/>
  <c r="N91" i="19"/>
  <c r="AB91" i="19" s="1"/>
  <c r="FQ91" i="35"/>
  <c r="N92" i="19"/>
  <c r="AB92" i="19" s="1"/>
  <c r="FQ92" i="35"/>
  <c r="N126" i="19"/>
  <c r="AB126" i="19" s="1"/>
  <c r="FQ126" i="35"/>
  <c r="N149" i="19"/>
  <c r="AB149" i="19" s="1"/>
  <c r="FQ149" i="35"/>
  <c r="N179" i="19"/>
  <c r="AB179" i="19" s="1"/>
  <c r="FQ179" i="35"/>
  <c r="N187" i="19"/>
  <c r="AB187" i="19" s="1"/>
  <c r="FQ187" i="35"/>
  <c r="N198" i="19"/>
  <c r="AB198" i="19" s="1"/>
  <c r="FQ198" i="35"/>
  <c r="N210" i="19"/>
  <c r="AB210" i="19" s="1"/>
  <c r="FQ210" i="35"/>
  <c r="N222" i="19"/>
  <c r="AB222" i="19" s="1"/>
  <c r="FQ222" i="35"/>
  <c r="N223" i="19"/>
  <c r="AB223" i="19" s="1"/>
  <c r="FQ223" i="35"/>
  <c r="N229" i="19"/>
  <c r="AB229" i="19" s="1"/>
  <c r="FQ229" i="35"/>
  <c r="N243" i="19"/>
  <c r="AB243" i="19" s="1"/>
  <c r="FQ243" i="35"/>
  <c r="N258" i="19"/>
  <c r="AB258" i="19" s="1"/>
  <c r="FQ258" i="35"/>
  <c r="N274" i="19"/>
  <c r="AB274" i="19" s="1"/>
  <c r="FQ274" i="35"/>
  <c r="N291" i="19"/>
  <c r="AB291" i="19" s="1"/>
  <c r="FQ291" i="35"/>
  <c r="N304" i="19"/>
  <c r="AB304" i="19" s="1"/>
  <c r="FQ304" i="35"/>
  <c r="N317" i="19"/>
  <c r="AB317" i="19" s="1"/>
  <c r="FQ317" i="35"/>
  <c r="N326" i="19"/>
  <c r="AB326" i="19" s="1"/>
  <c r="FQ326" i="35"/>
  <c r="N331" i="19"/>
  <c r="AB331" i="19" s="1"/>
  <c r="FQ331" i="35"/>
  <c r="N356" i="19"/>
  <c r="AB356" i="19" s="1"/>
  <c r="FQ356" i="35"/>
  <c r="N357" i="19"/>
  <c r="AB357" i="19" s="1"/>
  <c r="FQ357" i="35"/>
  <c r="N368" i="19"/>
  <c r="AB368" i="19" s="1"/>
  <c r="FQ368" i="35"/>
  <c r="N16" i="19"/>
  <c r="AB16" i="19" s="1"/>
  <c r="FQ16" i="35"/>
  <c r="N17" i="19"/>
  <c r="AB17" i="19" s="1"/>
  <c r="FQ17" i="35"/>
  <c r="N18" i="19"/>
  <c r="AB18" i="19" s="1"/>
  <c r="FQ18" i="35"/>
  <c r="N19" i="19"/>
  <c r="AB19" i="19" s="1"/>
  <c r="FQ19" i="35"/>
  <c r="N51" i="19"/>
  <c r="AB51" i="19" s="1"/>
  <c r="FQ51" i="35"/>
  <c r="N93" i="19"/>
  <c r="AB93" i="19" s="1"/>
  <c r="FQ93" i="35"/>
  <c r="N109" i="19"/>
  <c r="AB109" i="19" s="1"/>
  <c r="FQ109" i="35"/>
  <c r="N110" i="19"/>
  <c r="AB110" i="19" s="1"/>
  <c r="FQ110" i="35"/>
  <c r="N111" i="19"/>
  <c r="AB111" i="19" s="1"/>
  <c r="FQ111" i="35"/>
  <c r="N112" i="19"/>
  <c r="AB112" i="19" s="1"/>
  <c r="FQ112" i="35"/>
  <c r="N127" i="19"/>
  <c r="AB127" i="19" s="1"/>
  <c r="FQ127" i="35"/>
  <c r="N128" i="19"/>
  <c r="AB128" i="19" s="1"/>
  <c r="FQ128" i="35"/>
  <c r="N129" i="19"/>
  <c r="AB129" i="19" s="1"/>
  <c r="FQ129" i="35"/>
  <c r="N148" i="19"/>
  <c r="AB148" i="19" s="1"/>
  <c r="FQ148" i="35"/>
  <c r="N175" i="19"/>
  <c r="AB175" i="19" s="1"/>
  <c r="FQ175" i="35"/>
  <c r="N180" i="19"/>
  <c r="AB180" i="19" s="1"/>
  <c r="FQ180" i="35"/>
  <c r="N188" i="19"/>
  <c r="AB188" i="19" s="1"/>
  <c r="FQ188" i="35"/>
  <c r="N197" i="19"/>
  <c r="AB197" i="19" s="1"/>
  <c r="FQ197" i="35"/>
  <c r="N209" i="19"/>
  <c r="AB209" i="19" s="1"/>
  <c r="FQ209" i="35"/>
  <c r="N221" i="19"/>
  <c r="AB221" i="19" s="1"/>
  <c r="FQ221" i="35"/>
  <c r="N224" i="19"/>
  <c r="AB224" i="19" s="1"/>
  <c r="FQ224" i="35"/>
  <c r="N228" i="19"/>
  <c r="AB228" i="19" s="1"/>
  <c r="FQ228" i="35"/>
  <c r="N242" i="19"/>
  <c r="AB242" i="19" s="1"/>
  <c r="FQ242" i="35"/>
  <c r="N257" i="19"/>
  <c r="AB257" i="19" s="1"/>
  <c r="FQ257" i="35"/>
  <c r="N273" i="19"/>
  <c r="AB273" i="19" s="1"/>
  <c r="FQ273" i="35"/>
  <c r="N290" i="19"/>
  <c r="AB290" i="19" s="1"/>
  <c r="FQ290" i="35"/>
  <c r="N303" i="19"/>
  <c r="AB303" i="19" s="1"/>
  <c r="FQ303" i="35"/>
  <c r="N315" i="19"/>
  <c r="AB315" i="19" s="1"/>
  <c r="FQ315" i="35"/>
  <c r="N316" i="19"/>
  <c r="AB316" i="19" s="1"/>
  <c r="FQ316" i="35"/>
  <c r="N321" i="19"/>
  <c r="AB321" i="19" s="1"/>
  <c r="FQ321" i="35"/>
  <c r="N325" i="19"/>
  <c r="AB325" i="19" s="1"/>
  <c r="FQ325" i="35"/>
  <c r="N330" i="19"/>
  <c r="AB330" i="19" s="1"/>
  <c r="FQ330" i="35"/>
  <c r="N335" i="19"/>
  <c r="AB335" i="19" s="1"/>
  <c r="FQ335" i="35"/>
  <c r="N339" i="19"/>
  <c r="AB339" i="19" s="1"/>
  <c r="FQ339" i="35"/>
  <c r="N345" i="19"/>
  <c r="AB345" i="19" s="1"/>
  <c r="FQ345" i="35"/>
  <c r="N355" i="19"/>
  <c r="AB355" i="19" s="1"/>
  <c r="FQ355" i="35"/>
  <c r="N367" i="19"/>
  <c r="AB367" i="19" s="1"/>
  <c r="FQ367" i="35"/>
  <c r="N20" i="19"/>
  <c r="AB20" i="19" s="1"/>
  <c r="FQ20" i="35"/>
  <c r="N34" i="19"/>
  <c r="AB34" i="19" s="1"/>
  <c r="FQ34" i="35"/>
  <c r="N35" i="19"/>
  <c r="AB35" i="19" s="1"/>
  <c r="FQ35" i="35"/>
  <c r="N36" i="19"/>
  <c r="AB36" i="19" s="1"/>
  <c r="FQ36" i="35"/>
  <c r="N52" i="19"/>
  <c r="AB52" i="19" s="1"/>
  <c r="FQ52" i="35"/>
  <c r="N69" i="19"/>
  <c r="AB69" i="19" s="1"/>
  <c r="FQ69" i="35"/>
  <c r="N94" i="19"/>
  <c r="AB94" i="19" s="1"/>
  <c r="FQ94" i="35"/>
  <c r="N113" i="19"/>
  <c r="AB113" i="19" s="1"/>
  <c r="FQ113" i="35"/>
  <c r="N130" i="19"/>
  <c r="AB130" i="19" s="1"/>
  <c r="FQ130" i="35"/>
  <c r="N147" i="19"/>
  <c r="AB147" i="19" s="1"/>
  <c r="FQ147" i="35"/>
  <c r="N160" i="19"/>
  <c r="AB160" i="19" s="1"/>
  <c r="FQ160" i="35"/>
  <c r="N161" i="19"/>
  <c r="AB161" i="19" s="1"/>
  <c r="FQ161" i="35"/>
  <c r="N181" i="19"/>
  <c r="AB181" i="19" s="1"/>
  <c r="FQ181" i="35"/>
  <c r="N189" i="19"/>
  <c r="AB189" i="19" s="1"/>
  <c r="FQ189" i="35"/>
  <c r="N190" i="19"/>
  <c r="AB190" i="19" s="1"/>
  <c r="FQ190" i="35"/>
  <c r="N191" i="19"/>
  <c r="AB191" i="19" s="1"/>
  <c r="FQ191" i="35"/>
  <c r="N196" i="19"/>
  <c r="AB196" i="19" s="1"/>
  <c r="FQ196" i="35"/>
  <c r="N205" i="19"/>
  <c r="AB205" i="19" s="1"/>
  <c r="FQ205" i="35"/>
  <c r="N206" i="19"/>
  <c r="AB206" i="19" s="1"/>
  <c r="FQ206" i="35"/>
  <c r="N207" i="19"/>
  <c r="AB207" i="19" s="1"/>
  <c r="FQ207" i="35"/>
  <c r="N208" i="19"/>
  <c r="AB208" i="19" s="1"/>
  <c r="FQ208" i="35"/>
  <c r="N216" i="19"/>
  <c r="AB216" i="19" s="1"/>
  <c r="FQ216" i="35"/>
  <c r="N217" i="19"/>
  <c r="AB217" i="19" s="1"/>
  <c r="FQ217" i="35"/>
  <c r="N218" i="19"/>
  <c r="AB218" i="19" s="1"/>
  <c r="FQ218" i="35"/>
  <c r="N219" i="19"/>
  <c r="AB219" i="19" s="1"/>
  <c r="FQ219" i="35"/>
  <c r="N220" i="19"/>
  <c r="AB220" i="19" s="1"/>
  <c r="FQ220" i="35"/>
  <c r="N225" i="19"/>
  <c r="AB225" i="19" s="1"/>
  <c r="FQ225" i="35"/>
  <c r="N226" i="19"/>
  <c r="AB226" i="19" s="1"/>
  <c r="FQ226" i="35"/>
  <c r="N227" i="19"/>
  <c r="AB227" i="19" s="1"/>
  <c r="FQ227" i="35"/>
  <c r="N241" i="19"/>
  <c r="AB241" i="19" s="1"/>
  <c r="FQ241" i="35"/>
  <c r="N253" i="19"/>
  <c r="AB253" i="19" s="1"/>
  <c r="FQ253" i="35"/>
  <c r="N254" i="19"/>
  <c r="AB254" i="19" s="1"/>
  <c r="FQ254" i="35"/>
  <c r="N255" i="19"/>
  <c r="AB255" i="19" s="1"/>
  <c r="FQ255" i="35"/>
  <c r="N256" i="19"/>
  <c r="AB256" i="19" s="1"/>
  <c r="FQ256" i="35"/>
  <c r="N272" i="19"/>
  <c r="AB272" i="19" s="1"/>
  <c r="FQ272" i="35"/>
  <c r="N284" i="19"/>
  <c r="AB284" i="19" s="1"/>
  <c r="FQ284" i="35"/>
  <c r="N285" i="19"/>
  <c r="AB285" i="19" s="1"/>
  <c r="FQ285" i="35"/>
  <c r="N289" i="19"/>
  <c r="AB289" i="19" s="1"/>
  <c r="FQ289" i="35"/>
  <c r="N302" i="19"/>
  <c r="AB302" i="19" s="1"/>
  <c r="FQ302" i="35"/>
  <c r="N314" i="19"/>
  <c r="AB314" i="19" s="1"/>
  <c r="FQ314" i="35"/>
  <c r="N329" i="19"/>
  <c r="AB329" i="19" s="1"/>
  <c r="FQ329" i="35"/>
  <c r="N354" i="19"/>
  <c r="AB354" i="19" s="1"/>
  <c r="FQ354" i="35"/>
  <c r="N366" i="19"/>
  <c r="AB366" i="19" s="1"/>
  <c r="FQ366" i="35"/>
  <c r="N21" i="19"/>
  <c r="AB21" i="19" s="1"/>
  <c r="FQ21" i="35"/>
  <c r="N37" i="19"/>
  <c r="AB37" i="19" s="1"/>
  <c r="FQ37" i="35"/>
  <c r="N53" i="19"/>
  <c r="AB53" i="19" s="1"/>
  <c r="FQ53" i="35"/>
  <c r="N54" i="19"/>
  <c r="AB54" i="19" s="1"/>
  <c r="FQ54" i="35"/>
  <c r="N55" i="19"/>
  <c r="AB55" i="19" s="1"/>
  <c r="FQ55" i="35"/>
  <c r="N56" i="19"/>
  <c r="AB56" i="19" s="1"/>
  <c r="FQ56" i="35"/>
  <c r="N57" i="19"/>
  <c r="AB57" i="19" s="1"/>
  <c r="FQ57" i="35"/>
  <c r="N58" i="19"/>
  <c r="AB58" i="19" s="1"/>
  <c r="FQ58" i="35"/>
  <c r="N59" i="19"/>
  <c r="AB59" i="19" s="1"/>
  <c r="FQ59" i="35"/>
  <c r="N60" i="19"/>
  <c r="AB60" i="19" s="1"/>
  <c r="FQ60" i="35"/>
  <c r="N61" i="19"/>
  <c r="AB61" i="19" s="1"/>
  <c r="FQ61" i="35"/>
  <c r="N70" i="19"/>
  <c r="AB70" i="19" s="1"/>
  <c r="FQ70" i="35"/>
  <c r="N95" i="19"/>
  <c r="AB95" i="19" s="1"/>
  <c r="FQ95" i="35"/>
  <c r="N114" i="19"/>
  <c r="AB114" i="19" s="1"/>
  <c r="FQ114" i="35"/>
  <c r="N131" i="19"/>
  <c r="AB131" i="19" s="1"/>
  <c r="FQ131" i="35"/>
  <c r="N143" i="19"/>
  <c r="AB143" i="19" s="1"/>
  <c r="FQ143" i="35"/>
  <c r="N144" i="19"/>
  <c r="AB144" i="19" s="1"/>
  <c r="FQ144" i="35"/>
  <c r="N145" i="19"/>
  <c r="AB145" i="19" s="1"/>
  <c r="FQ145" i="35"/>
  <c r="N146" i="19"/>
  <c r="AB146" i="19" s="1"/>
  <c r="FQ146" i="35"/>
  <c r="N154" i="19"/>
  <c r="AB154" i="19" s="1"/>
  <c r="FQ154" i="35"/>
  <c r="N155" i="19"/>
  <c r="AB155" i="19" s="1"/>
  <c r="FQ155" i="35"/>
  <c r="N159" i="19"/>
  <c r="AB159" i="19" s="1"/>
  <c r="FQ159" i="35"/>
  <c r="N182" i="19"/>
  <c r="AB182" i="19" s="1"/>
  <c r="FQ182" i="35"/>
  <c r="N195" i="19"/>
  <c r="AB195" i="19" s="1"/>
  <c r="FQ195" i="35"/>
  <c r="N204" i="19"/>
  <c r="AB204" i="19" s="1"/>
  <c r="FQ204" i="35"/>
  <c r="N215" i="19"/>
  <c r="AB215" i="19" s="1"/>
  <c r="FQ215" i="35"/>
  <c r="N240" i="19"/>
  <c r="AB240" i="19" s="1"/>
  <c r="FQ240" i="35"/>
  <c r="N252" i="19"/>
  <c r="AB252" i="19" s="1"/>
  <c r="FQ252" i="35"/>
  <c r="N263" i="19"/>
  <c r="AB263" i="19" s="1"/>
  <c r="FQ263" i="35"/>
  <c r="N266" i="19"/>
  <c r="AB266" i="19" s="1"/>
  <c r="FQ266" i="35"/>
  <c r="N267" i="19"/>
  <c r="AB267" i="19" s="1"/>
  <c r="FQ267" i="35"/>
  <c r="N271" i="19"/>
  <c r="AB271" i="19" s="1"/>
  <c r="FQ271" i="35"/>
  <c r="N283" i="19"/>
  <c r="AB283" i="19" s="1"/>
  <c r="FQ283" i="35"/>
  <c r="N286" i="19"/>
  <c r="AB286" i="19" s="1"/>
  <c r="FQ286" i="35"/>
  <c r="N287" i="19"/>
  <c r="AB287" i="19" s="1"/>
  <c r="FQ287" i="35"/>
  <c r="N288" i="19"/>
  <c r="AB288" i="19" s="1"/>
  <c r="FQ288" i="35"/>
  <c r="N298" i="19"/>
  <c r="AB298" i="19" s="1"/>
  <c r="FQ298" i="35"/>
  <c r="N299" i="19"/>
  <c r="AB299" i="19" s="1"/>
  <c r="FQ299" i="35"/>
  <c r="N300" i="19"/>
  <c r="AB300" i="19" s="1"/>
  <c r="FQ300" i="35"/>
  <c r="N301" i="19"/>
  <c r="AB301" i="19" s="1"/>
  <c r="FQ301" i="35"/>
  <c r="N309" i="19"/>
  <c r="AB309" i="19" s="1"/>
  <c r="FQ309" i="35"/>
  <c r="N310" i="19"/>
  <c r="AB310" i="19" s="1"/>
  <c r="FQ310" i="35"/>
  <c r="N311" i="19"/>
  <c r="AB311" i="19" s="1"/>
  <c r="FQ311" i="35"/>
  <c r="N312" i="19"/>
  <c r="AB312" i="19" s="1"/>
  <c r="FQ312" i="35"/>
  <c r="N313" i="19"/>
  <c r="AB313" i="19" s="1"/>
  <c r="FQ313" i="35"/>
  <c r="N320" i="19"/>
  <c r="AB320" i="19" s="1"/>
  <c r="FQ320" i="35"/>
  <c r="N324" i="19"/>
  <c r="AB324" i="19" s="1"/>
  <c r="FQ324" i="35"/>
  <c r="N334" i="19"/>
  <c r="AB334" i="19" s="1"/>
  <c r="FQ334" i="35"/>
  <c r="N338" i="19"/>
  <c r="AB338" i="19" s="1"/>
  <c r="FQ338" i="35"/>
  <c r="N344" i="19"/>
  <c r="AB344" i="19" s="1"/>
  <c r="FQ344" i="35"/>
  <c r="N353" i="19"/>
  <c r="AB353" i="19" s="1"/>
  <c r="FQ353" i="35"/>
  <c r="N365" i="19"/>
  <c r="AB365" i="19" s="1"/>
  <c r="FQ365" i="35"/>
  <c r="N9" i="19"/>
  <c r="AB9" i="19" s="1"/>
  <c r="FQ9" i="35"/>
  <c r="N10" i="19"/>
  <c r="AB10" i="19" s="1"/>
  <c r="FQ10" i="35"/>
  <c r="N12" i="19"/>
  <c r="AB12" i="19" s="1"/>
  <c r="FQ12" i="35"/>
  <c r="N14" i="19"/>
  <c r="AB14" i="19" s="1"/>
  <c r="FQ14" i="35"/>
  <c r="N15" i="19"/>
  <c r="AB15" i="19" s="1"/>
  <c r="FQ15" i="35"/>
  <c r="N33" i="19"/>
  <c r="AB33" i="19" s="1"/>
  <c r="FQ33" i="35"/>
  <c r="N50" i="19"/>
  <c r="AB50" i="19" s="1"/>
  <c r="FQ50" i="35"/>
  <c r="N22" i="19"/>
  <c r="AB22" i="19" s="1"/>
  <c r="FQ22" i="35"/>
  <c r="N23" i="19"/>
  <c r="AB23" i="19" s="1"/>
  <c r="FQ23" i="35"/>
  <c r="N24" i="19"/>
  <c r="AB24" i="19" s="1"/>
  <c r="FQ24" i="35"/>
  <c r="N38" i="19"/>
  <c r="AB38" i="19" s="1"/>
  <c r="FQ38" i="35"/>
  <c r="N62" i="19"/>
  <c r="AB62" i="19" s="1"/>
  <c r="FQ62" i="35"/>
  <c r="N71" i="19"/>
  <c r="AB71" i="19" s="1"/>
  <c r="FQ71" i="35"/>
  <c r="N72" i="19"/>
  <c r="AB72" i="19" s="1"/>
  <c r="FQ72" i="35"/>
  <c r="N73" i="19"/>
  <c r="AB73" i="19" s="1"/>
  <c r="FQ73" i="35"/>
  <c r="N74" i="19"/>
  <c r="AB74" i="19" s="1"/>
  <c r="FQ74" i="35"/>
  <c r="N75" i="19"/>
  <c r="AB75" i="19" s="1"/>
  <c r="FQ75" i="35"/>
  <c r="N76" i="19"/>
  <c r="AB76" i="19" s="1"/>
  <c r="FQ76" i="35"/>
  <c r="N77" i="19"/>
  <c r="AB77" i="19" s="1"/>
  <c r="FQ77" i="35"/>
  <c r="N96" i="19"/>
  <c r="AB96" i="19" s="1"/>
  <c r="FQ96" i="35"/>
  <c r="N97" i="19"/>
  <c r="AB97" i="19" s="1"/>
  <c r="FQ97" i="35"/>
  <c r="N98" i="19"/>
  <c r="AB98" i="19" s="1"/>
  <c r="FQ98" i="35"/>
  <c r="N115" i="19"/>
  <c r="AB115" i="19" s="1"/>
  <c r="FQ115" i="35"/>
  <c r="N116" i="19"/>
  <c r="AB116" i="19" s="1"/>
  <c r="FQ116" i="35"/>
  <c r="N117" i="19"/>
  <c r="AB117" i="19" s="1"/>
  <c r="FQ117" i="35"/>
  <c r="N118" i="19"/>
  <c r="AB118" i="19" s="1"/>
  <c r="FQ118" i="35"/>
  <c r="N119" i="19"/>
  <c r="AB119" i="19" s="1"/>
  <c r="FQ119" i="35"/>
  <c r="N142" i="19"/>
  <c r="AB142" i="19" s="1"/>
  <c r="FQ142" i="35"/>
  <c r="N153" i="19"/>
  <c r="AB153" i="19" s="1"/>
  <c r="FQ153" i="35"/>
  <c r="N156" i="19"/>
  <c r="AB156" i="19" s="1"/>
  <c r="FQ156" i="35"/>
  <c r="N157" i="19"/>
  <c r="AB157" i="19" s="1"/>
  <c r="FQ157" i="35"/>
  <c r="N158" i="19"/>
  <c r="AB158" i="19" s="1"/>
  <c r="FQ158" i="35"/>
  <c r="N162" i="19"/>
  <c r="AB162" i="19" s="1"/>
  <c r="FQ162" i="35"/>
  <c r="N176" i="19"/>
  <c r="AB176" i="19" s="1"/>
  <c r="FQ176" i="35"/>
  <c r="N183" i="19"/>
  <c r="AB183" i="19" s="1"/>
  <c r="FQ183" i="35"/>
  <c r="N192" i="19"/>
  <c r="AB192" i="19" s="1"/>
  <c r="FQ192" i="35"/>
  <c r="N193" i="19"/>
  <c r="AB193" i="19" s="1"/>
  <c r="FQ193" i="35"/>
  <c r="N194" i="19"/>
  <c r="AB194" i="19" s="1"/>
  <c r="FQ194" i="35"/>
  <c r="N203" i="19"/>
  <c r="AB203" i="19" s="1"/>
  <c r="FQ203" i="35"/>
  <c r="N214" i="19"/>
  <c r="AB214" i="19" s="1"/>
  <c r="FQ214" i="35"/>
  <c r="N236" i="19"/>
  <c r="AB236" i="19" s="1"/>
  <c r="FQ236" i="35"/>
  <c r="N237" i="19"/>
  <c r="AB237" i="19" s="1"/>
  <c r="FQ237" i="35"/>
  <c r="N238" i="19"/>
  <c r="AB238" i="19" s="1"/>
  <c r="FQ238" i="35"/>
  <c r="N239" i="19"/>
  <c r="AB239" i="19" s="1"/>
  <c r="FQ239" i="35"/>
  <c r="N247" i="19"/>
  <c r="AB247" i="19" s="1"/>
  <c r="FQ247" i="35"/>
  <c r="N248" i="19"/>
  <c r="AB248" i="19" s="1"/>
  <c r="FQ248" i="35"/>
  <c r="N249" i="19"/>
  <c r="AB249" i="19" s="1"/>
  <c r="FQ249" i="35"/>
  <c r="N250" i="19"/>
  <c r="AB250" i="19" s="1"/>
  <c r="FQ250" i="35"/>
  <c r="N251" i="19"/>
  <c r="AB251" i="19" s="1"/>
  <c r="FQ251" i="35"/>
  <c r="N262" i="19"/>
  <c r="AB262" i="19" s="1"/>
  <c r="FQ262" i="35"/>
  <c r="N264" i="19"/>
  <c r="AB264" i="19" s="1"/>
  <c r="FQ264" i="35"/>
  <c r="N265" i="19"/>
  <c r="AB265" i="19" s="1"/>
  <c r="FQ265" i="35"/>
  <c r="N268" i="19"/>
  <c r="AB268" i="19" s="1"/>
  <c r="FQ268" i="35"/>
  <c r="N269" i="19"/>
  <c r="AB269" i="19" s="1"/>
  <c r="FQ269" i="35"/>
  <c r="N270" i="19"/>
  <c r="AB270" i="19" s="1"/>
  <c r="FQ270" i="35"/>
  <c r="N278" i="19"/>
  <c r="AB278" i="19" s="1"/>
  <c r="FQ278" i="35"/>
  <c r="N279" i="19"/>
  <c r="AB279" i="19" s="1"/>
  <c r="FQ279" i="35"/>
  <c r="N280" i="19"/>
  <c r="AB280" i="19" s="1"/>
  <c r="FQ280" i="35"/>
  <c r="N281" i="19"/>
  <c r="AB281" i="19" s="1"/>
  <c r="FQ281" i="35"/>
  <c r="N282" i="19"/>
  <c r="AB282" i="19" s="1"/>
  <c r="FQ282" i="35"/>
  <c r="N297" i="19"/>
  <c r="AB297" i="19" s="1"/>
  <c r="FQ297" i="35"/>
  <c r="N308" i="19"/>
  <c r="AB308" i="19" s="1"/>
  <c r="FQ308" i="35"/>
  <c r="N328" i="19"/>
  <c r="AB328" i="19" s="1"/>
  <c r="FQ328" i="35"/>
  <c r="N343" i="19"/>
  <c r="AB343" i="19" s="1"/>
  <c r="FQ343" i="35"/>
  <c r="N352" i="19"/>
  <c r="AB352" i="19" s="1"/>
  <c r="FQ352" i="35"/>
  <c r="N364" i="19"/>
  <c r="AB364" i="19" s="1"/>
  <c r="FQ364" i="35"/>
  <c r="N377" i="19"/>
  <c r="AB377" i="19" s="1"/>
  <c r="FQ377" i="35"/>
  <c r="N378" i="19"/>
  <c r="AB378" i="19" s="1"/>
  <c r="FQ378" i="35"/>
  <c r="N7" i="19"/>
  <c r="AB7" i="19" s="1"/>
  <c r="FQ7" i="35"/>
  <c r="N25" i="19"/>
  <c r="AB25" i="19" s="1"/>
  <c r="FQ25" i="35"/>
  <c r="N26" i="19"/>
  <c r="AB26" i="19" s="1"/>
  <c r="FQ26" i="35"/>
  <c r="N27" i="19"/>
  <c r="AB27" i="19" s="1"/>
  <c r="FQ27" i="35"/>
  <c r="N28" i="19"/>
  <c r="AB28" i="19" s="1"/>
  <c r="FQ28" i="35"/>
  <c r="N29" i="19"/>
  <c r="AB29" i="19" s="1"/>
  <c r="FQ29" i="35"/>
  <c r="N30" i="19"/>
  <c r="AB30" i="19" s="1"/>
  <c r="FQ30" i="35"/>
  <c r="N39" i="19"/>
  <c r="AB39" i="19" s="1"/>
  <c r="FQ39" i="35"/>
  <c r="N40" i="19"/>
  <c r="AB40" i="19" s="1"/>
  <c r="FQ40" i="35"/>
  <c r="N41" i="19"/>
  <c r="AB41" i="19" s="1"/>
  <c r="FQ41" i="35"/>
  <c r="N63" i="19"/>
  <c r="AB63" i="19" s="1"/>
  <c r="FQ63" i="35"/>
  <c r="N78" i="19"/>
  <c r="AB78" i="19" s="1"/>
  <c r="FQ78" i="35"/>
  <c r="N79" i="19"/>
  <c r="AB79" i="19" s="1"/>
  <c r="FQ79" i="35"/>
  <c r="N80" i="19"/>
  <c r="AB80" i="19" s="1"/>
  <c r="FQ80" i="35"/>
  <c r="N81" i="19"/>
  <c r="AB81" i="19" s="1"/>
  <c r="FQ81" i="35"/>
  <c r="N99" i="19"/>
  <c r="AB99" i="19" s="1"/>
  <c r="FQ99" i="35"/>
  <c r="N120" i="19"/>
  <c r="AB120" i="19" s="1"/>
  <c r="FQ120" i="35"/>
  <c r="N121" i="19"/>
  <c r="AB121" i="19" s="1"/>
  <c r="FQ121" i="35"/>
  <c r="N122" i="19"/>
  <c r="AB122" i="19" s="1"/>
  <c r="FQ122" i="35"/>
  <c r="N123" i="19"/>
  <c r="AB123" i="19" s="1"/>
  <c r="FQ123" i="35"/>
  <c r="N132" i="19"/>
  <c r="AB132" i="19" s="1"/>
  <c r="FQ132" i="35"/>
  <c r="N133" i="19"/>
  <c r="AB133" i="19" s="1"/>
  <c r="FQ133" i="35"/>
  <c r="N134" i="19"/>
  <c r="AB134" i="19" s="1"/>
  <c r="FQ134" i="35"/>
  <c r="N135" i="19"/>
  <c r="AB135" i="19" s="1"/>
  <c r="FQ135" i="35"/>
  <c r="N136" i="19"/>
  <c r="AB136" i="19" s="1"/>
  <c r="FQ136" i="35"/>
  <c r="N137" i="19"/>
  <c r="AB137" i="19" s="1"/>
  <c r="FQ137" i="35"/>
  <c r="N138" i="19"/>
  <c r="AB138" i="19" s="1"/>
  <c r="FQ138" i="35"/>
  <c r="N139" i="19"/>
  <c r="AB139" i="19" s="1"/>
  <c r="FQ139" i="35"/>
  <c r="N141" i="19"/>
  <c r="AB141" i="19" s="1"/>
  <c r="FQ141" i="35"/>
  <c r="N152" i="19"/>
  <c r="AB152" i="19" s="1"/>
  <c r="FQ152" i="35"/>
  <c r="N163" i="19"/>
  <c r="AB163" i="19" s="1"/>
  <c r="FQ163" i="35"/>
  <c r="N164" i="19"/>
  <c r="AB164" i="19" s="1"/>
  <c r="FQ164" i="35"/>
  <c r="N165" i="19"/>
  <c r="AB165" i="19" s="1"/>
  <c r="FQ165" i="35"/>
  <c r="N166" i="19"/>
  <c r="AB166" i="19" s="1"/>
  <c r="FQ166" i="35"/>
  <c r="N167" i="19"/>
  <c r="AB167" i="19" s="1"/>
  <c r="FQ167" i="35"/>
  <c r="N168" i="19"/>
  <c r="AB168" i="19" s="1"/>
  <c r="FQ168" i="35"/>
  <c r="N169" i="19"/>
  <c r="AB169" i="19" s="1"/>
  <c r="FQ169" i="35"/>
  <c r="N184" i="19"/>
  <c r="AB184" i="19" s="1"/>
  <c r="FQ184" i="35"/>
  <c r="N201" i="19"/>
  <c r="AB201" i="19" s="1"/>
  <c r="FQ201" i="35"/>
  <c r="N202" i="19"/>
  <c r="AB202" i="19" s="1"/>
  <c r="FQ202" i="35"/>
  <c r="N213" i="19"/>
  <c r="AB213" i="19" s="1"/>
  <c r="FQ213" i="35"/>
  <c r="N235" i="19"/>
  <c r="AB235" i="19" s="1"/>
  <c r="FQ235" i="35"/>
  <c r="N246" i="19"/>
  <c r="AB246" i="19" s="1"/>
  <c r="FQ246" i="35"/>
  <c r="N261" i="19"/>
  <c r="AB261" i="19" s="1"/>
  <c r="FQ261" i="35"/>
  <c r="N277" i="19"/>
  <c r="AB277" i="19" s="1"/>
  <c r="FQ277" i="35"/>
  <c r="N294" i="19"/>
  <c r="AB294" i="19" s="1"/>
  <c r="FQ294" i="35"/>
  <c r="N296" i="19"/>
  <c r="AB296" i="19" s="1"/>
  <c r="FQ296" i="35"/>
  <c r="N307" i="19"/>
  <c r="AB307" i="19" s="1"/>
  <c r="FQ307" i="35"/>
  <c r="N319" i="19"/>
  <c r="AB319" i="19" s="1"/>
  <c r="FQ319" i="35"/>
  <c r="N323" i="19"/>
  <c r="AB323" i="19" s="1"/>
  <c r="FQ323" i="35"/>
  <c r="N333" i="19"/>
  <c r="AB333" i="19" s="1"/>
  <c r="FQ333" i="35"/>
  <c r="N337" i="19"/>
  <c r="AB337" i="19" s="1"/>
  <c r="FQ337" i="35"/>
  <c r="N342" i="19"/>
  <c r="AB342" i="19" s="1"/>
  <c r="FQ342" i="35"/>
  <c r="N351" i="19"/>
  <c r="AB351" i="19" s="1"/>
  <c r="FQ351" i="35"/>
  <c r="N360" i="19"/>
  <c r="AB360" i="19" s="1"/>
  <c r="FQ360" i="35"/>
  <c r="N361" i="19"/>
  <c r="AB361" i="19" s="1"/>
  <c r="FQ361" i="35"/>
  <c r="N362" i="19"/>
  <c r="AB362" i="19" s="1"/>
  <c r="FQ362" i="35"/>
  <c r="N363" i="19"/>
  <c r="AB363" i="19" s="1"/>
  <c r="FQ363" i="35"/>
  <c r="N371" i="19"/>
  <c r="AB371" i="19" s="1"/>
  <c r="FQ371" i="35"/>
  <c r="N376" i="19"/>
  <c r="AB376" i="19" s="1"/>
  <c r="FQ376" i="35"/>
  <c r="N31" i="19"/>
  <c r="AB31" i="19" s="1"/>
  <c r="FQ31" i="35"/>
  <c r="N42" i="19"/>
  <c r="AB42" i="19" s="1"/>
  <c r="FQ42" i="35"/>
  <c r="N43" i="19"/>
  <c r="AB43" i="19" s="1"/>
  <c r="FQ43" i="35"/>
  <c r="N44" i="19"/>
  <c r="AB44" i="19" s="1"/>
  <c r="FQ44" i="35"/>
  <c r="N45" i="19"/>
  <c r="AB45" i="19" s="1"/>
  <c r="FQ45" i="35"/>
  <c r="N46" i="19"/>
  <c r="AB46" i="19" s="1"/>
  <c r="FQ46" i="35"/>
  <c r="N64" i="19"/>
  <c r="AB64" i="19" s="1"/>
  <c r="FQ64" i="35"/>
  <c r="N82" i="19"/>
  <c r="AB82" i="19" s="1"/>
  <c r="FQ82" i="35"/>
  <c r="N100" i="19"/>
  <c r="AB100" i="19" s="1"/>
  <c r="FQ100" i="35"/>
  <c r="N124" i="19"/>
  <c r="AB124" i="19" s="1"/>
  <c r="FQ124" i="35"/>
  <c r="N140" i="19"/>
  <c r="AB140" i="19" s="1"/>
  <c r="FQ140" i="35"/>
  <c r="N151" i="19"/>
  <c r="AB151" i="19" s="1"/>
  <c r="FQ151" i="35"/>
  <c r="N170" i="19"/>
  <c r="AB170" i="19" s="1"/>
  <c r="FQ170" i="35"/>
  <c r="N177" i="19"/>
  <c r="AB177" i="19" s="1"/>
  <c r="FQ177" i="35"/>
  <c r="N185" i="19"/>
  <c r="AB185" i="19" s="1"/>
  <c r="FQ185" i="35"/>
  <c r="N200" i="19"/>
  <c r="AB200" i="19" s="1"/>
  <c r="FQ200" i="35"/>
  <c r="N212" i="19"/>
  <c r="AB212" i="19" s="1"/>
  <c r="FQ212" i="35"/>
  <c r="N234" i="19"/>
  <c r="AB234" i="19" s="1"/>
  <c r="FQ234" i="35"/>
  <c r="N245" i="19"/>
  <c r="AB245" i="19" s="1"/>
  <c r="FQ245" i="35"/>
  <c r="N260" i="19"/>
  <c r="AB260" i="19" s="1"/>
  <c r="FQ260" i="35"/>
  <c r="N276" i="19"/>
  <c r="AB276" i="19" s="1"/>
  <c r="FQ276" i="35"/>
  <c r="N293" i="19"/>
  <c r="AB293" i="19" s="1"/>
  <c r="FQ293" i="35"/>
  <c r="N295" i="19"/>
  <c r="AB295" i="19" s="1"/>
  <c r="FQ295" i="35"/>
  <c r="N306" i="19"/>
  <c r="AB306" i="19" s="1"/>
  <c r="FQ306" i="35"/>
  <c r="N327" i="19"/>
  <c r="AB327" i="19" s="1"/>
  <c r="FQ327" i="35"/>
  <c r="N341" i="19"/>
  <c r="AB341" i="19" s="1"/>
  <c r="FQ341" i="35"/>
  <c r="N350" i="19"/>
  <c r="AB350" i="19" s="1"/>
  <c r="FQ350" i="35"/>
  <c r="N359" i="19"/>
  <c r="AB359" i="19" s="1"/>
  <c r="FQ359" i="35"/>
  <c r="N370" i="19"/>
  <c r="AB370" i="19" s="1"/>
  <c r="FQ370" i="35"/>
  <c r="N372" i="19"/>
  <c r="AB372" i="19" s="1"/>
  <c r="FQ372" i="35"/>
  <c r="N373" i="19"/>
  <c r="AB373" i="19" s="1"/>
  <c r="FQ373" i="35"/>
  <c r="N374" i="19"/>
  <c r="AB374" i="19" s="1"/>
  <c r="FQ374" i="35"/>
  <c r="N375" i="19"/>
  <c r="AB375" i="19" s="1"/>
  <c r="FQ375" i="35"/>
  <c r="Y82" i="35"/>
  <c r="Y74" i="35"/>
  <c r="Y70" i="35"/>
  <c r="Y78" i="35"/>
  <c r="Y90" i="35"/>
  <c r="Y91" i="35"/>
  <c r="Z7" i="35"/>
  <c r="AD7" i="35" s="1"/>
  <c r="B36" i="37"/>
  <c r="W21" i="37"/>
  <c r="Z83" i="35"/>
  <c r="Z11" i="35"/>
  <c r="Z12" i="35"/>
  <c r="Z79" i="35"/>
  <c r="Z10" i="35"/>
  <c r="DG11" i="35"/>
  <c r="DJ11" i="35" s="1"/>
  <c r="DK11" i="35" s="1"/>
  <c r="DJ7" i="35"/>
  <c r="DG12" i="35"/>
  <c r="DJ12" i="35" s="1"/>
  <c r="DK12" i="35" s="1"/>
  <c r="DG10" i="35"/>
  <c r="DJ10" i="35" s="1"/>
  <c r="DK10" i="35" s="1"/>
  <c r="V379" i="35"/>
  <c r="E379" i="35"/>
  <c r="DJ62" i="35"/>
  <c r="DK62" i="35" s="1"/>
  <c r="DH62" i="35"/>
  <c r="AI388" i="35"/>
  <c r="P374" i="35"/>
  <c r="P373" i="35"/>
  <c r="P378" i="35"/>
  <c r="P376" i="35"/>
  <c r="P371" i="35"/>
  <c r="P369" i="35"/>
  <c r="P375" i="35"/>
  <c r="P370" i="35"/>
  <c r="P367" i="35"/>
  <c r="P372" i="35"/>
  <c r="P368" i="35"/>
  <c r="P377" i="35"/>
  <c r="P356" i="35"/>
  <c r="P354" i="35"/>
  <c r="P365" i="35"/>
  <c r="P363" i="35"/>
  <c r="P362" i="35"/>
  <c r="P361" i="35"/>
  <c r="P360" i="35"/>
  <c r="P357" i="35"/>
  <c r="P366" i="35"/>
  <c r="P364" i="35"/>
  <c r="P359" i="35"/>
  <c r="P358" i="35"/>
  <c r="P346" i="35"/>
  <c r="P352" i="35"/>
  <c r="P350" i="35"/>
  <c r="P355" i="35"/>
  <c r="P348" i="35"/>
  <c r="P345" i="35"/>
  <c r="P343" i="35"/>
  <c r="P347" i="35"/>
  <c r="P340" i="35"/>
  <c r="P349" i="35"/>
  <c r="P342" i="35"/>
  <c r="P341" i="35"/>
  <c r="P337" i="35"/>
  <c r="P332" i="35"/>
  <c r="P334" i="35"/>
  <c r="P339" i="35"/>
  <c r="P351" i="35"/>
  <c r="P338" i="35"/>
  <c r="P353" i="35"/>
  <c r="P335" i="35"/>
  <c r="P328" i="35"/>
  <c r="P323" i="35"/>
  <c r="P331" i="35"/>
  <c r="P320" i="35"/>
  <c r="P333" i="35"/>
  <c r="P330" i="35"/>
  <c r="P325" i="35"/>
  <c r="P327" i="35"/>
  <c r="P322" i="35"/>
  <c r="P344" i="35"/>
  <c r="P329" i="35"/>
  <c r="P324" i="35"/>
  <c r="P321" i="35"/>
  <c r="P336" i="35"/>
  <c r="P326" i="35"/>
  <c r="P316" i="35"/>
  <c r="P314" i="35"/>
  <c r="P319" i="35"/>
  <c r="P312" i="35"/>
  <c r="P315" i="35"/>
  <c r="P310" i="35"/>
  <c r="P318" i="35"/>
  <c r="P317" i="35"/>
  <c r="P313" i="35"/>
  <c r="P308" i="35"/>
  <c r="P305" i="35"/>
  <c r="P303" i="35"/>
  <c r="P294" i="35"/>
  <c r="P292" i="35"/>
  <c r="P290" i="35"/>
  <c r="P288" i="35"/>
  <c r="P311" i="35"/>
  <c r="P309" i="35"/>
  <c r="P301" i="35"/>
  <c r="P286" i="35"/>
  <c r="P284" i="35"/>
  <c r="P299" i="35"/>
  <c r="P297" i="35"/>
  <c r="P306" i="35"/>
  <c r="P304" i="35"/>
  <c r="P302" i="35"/>
  <c r="P295" i="35"/>
  <c r="P293" i="35"/>
  <c r="P291" i="35"/>
  <c r="P289" i="35"/>
  <c r="P285" i="35"/>
  <c r="P283" i="35"/>
  <c r="P300" i="35"/>
  <c r="P307" i="35"/>
  <c r="P278" i="35"/>
  <c r="P276" i="35"/>
  <c r="P274" i="35"/>
  <c r="P272" i="35"/>
  <c r="P263" i="35"/>
  <c r="P261" i="35"/>
  <c r="P259" i="35"/>
  <c r="P298" i="35"/>
  <c r="P280" i="35"/>
  <c r="P270" i="35"/>
  <c r="P287" i="35"/>
  <c r="P296" i="35"/>
  <c r="P279" i="35"/>
  <c r="P277" i="35"/>
  <c r="P275" i="35"/>
  <c r="P273" i="35"/>
  <c r="P271" i="35"/>
  <c r="P264" i="35"/>
  <c r="P262" i="35"/>
  <c r="P269" i="35"/>
  <c r="P281" i="35"/>
  <c r="P267" i="35"/>
  <c r="P266" i="35"/>
  <c r="P239" i="35"/>
  <c r="P282" i="35"/>
  <c r="P260" i="35"/>
  <c r="P250" i="35"/>
  <c r="P257" i="35"/>
  <c r="P265" i="35"/>
  <c r="P255" i="35"/>
  <c r="P253" i="35"/>
  <c r="P248" i="35"/>
  <c r="P246" i="35"/>
  <c r="P251" i="35"/>
  <c r="P268" i="35"/>
  <c r="P238" i="35"/>
  <c r="P258" i="35"/>
  <c r="P256" i="35"/>
  <c r="P249" i="35"/>
  <c r="P240" i="35"/>
  <c r="P224" i="35"/>
  <c r="P222" i="35"/>
  <c r="P217" i="35"/>
  <c r="P215" i="35"/>
  <c r="P213" i="35"/>
  <c r="P243" i="35"/>
  <c r="P237" i="35"/>
  <c r="P236" i="35"/>
  <c r="P220" i="35"/>
  <c r="P235" i="35"/>
  <c r="P252" i="35"/>
  <c r="P241" i="35"/>
  <c r="P233" i="35"/>
  <c r="P231" i="35"/>
  <c r="P229" i="35"/>
  <c r="P227" i="35"/>
  <c r="P225" i="35"/>
  <c r="P218" i="35"/>
  <c r="P245" i="35"/>
  <c r="P244" i="35"/>
  <c r="P223" i="35"/>
  <c r="P221" i="35"/>
  <c r="P216" i="35"/>
  <c r="P214" i="35"/>
  <c r="P234" i="35"/>
  <c r="P242" i="35"/>
  <c r="P219" i="35"/>
  <c r="P208" i="35"/>
  <c r="P193" i="35"/>
  <c r="P212" i="35"/>
  <c r="P187" i="35"/>
  <c r="P206" i="35"/>
  <c r="P204" i="35"/>
  <c r="P191" i="35"/>
  <c r="P247" i="35"/>
  <c r="P230" i="35"/>
  <c r="P226" i="35"/>
  <c r="P211" i="35"/>
  <c r="P209" i="35"/>
  <c r="P202" i="35"/>
  <c r="P200" i="35"/>
  <c r="P198" i="35"/>
  <c r="P196" i="35"/>
  <c r="P194" i="35"/>
  <c r="P254" i="35"/>
  <c r="P207" i="35"/>
  <c r="P192" i="35"/>
  <c r="P189" i="35"/>
  <c r="P205" i="35"/>
  <c r="P203" i="35"/>
  <c r="P195" i="35"/>
  <c r="P185" i="35"/>
  <c r="P179" i="35"/>
  <c r="P199" i="35"/>
  <c r="P188" i="35"/>
  <c r="P180" i="35"/>
  <c r="P228" i="35"/>
  <c r="P181" i="35"/>
  <c r="P197" i="35"/>
  <c r="P190" i="35"/>
  <c r="P182" i="35"/>
  <c r="P186" i="35"/>
  <c r="P183" i="35"/>
  <c r="P201" i="35"/>
  <c r="P184" i="35"/>
  <c r="P232" i="35"/>
  <c r="P210" i="35"/>
  <c r="P178" i="35"/>
  <c r="P167" i="35"/>
  <c r="P173" i="35"/>
  <c r="P170" i="35"/>
  <c r="P165" i="35"/>
  <c r="P162" i="35"/>
  <c r="P160" i="35"/>
  <c r="P155" i="35"/>
  <c r="P153" i="35"/>
  <c r="P151" i="35"/>
  <c r="P168" i="35"/>
  <c r="P158" i="35"/>
  <c r="P174" i="35"/>
  <c r="P171" i="35"/>
  <c r="P163" i="35"/>
  <c r="P177" i="35"/>
  <c r="P176" i="35"/>
  <c r="P175" i="35"/>
  <c r="P166" i="35"/>
  <c r="P156" i="35"/>
  <c r="P172" i="35"/>
  <c r="P169" i="35"/>
  <c r="P161" i="35"/>
  <c r="P159" i="35"/>
  <c r="P154" i="35"/>
  <c r="P152" i="35"/>
  <c r="P150" i="35"/>
  <c r="P145" i="35"/>
  <c r="P137" i="35"/>
  <c r="P133" i="35"/>
  <c r="P157" i="35"/>
  <c r="P143" i="35"/>
  <c r="P141" i="35"/>
  <c r="P129" i="35"/>
  <c r="P148" i="35"/>
  <c r="P138" i="35"/>
  <c r="P134" i="35"/>
  <c r="P164" i="35"/>
  <c r="P146" i="35"/>
  <c r="P130" i="35"/>
  <c r="P139" i="35"/>
  <c r="P135" i="35"/>
  <c r="P144" i="35"/>
  <c r="P142" i="35"/>
  <c r="P131" i="35"/>
  <c r="P149" i="35"/>
  <c r="P147" i="35"/>
  <c r="P140" i="35"/>
  <c r="P136" i="35"/>
  <c r="P132" i="35"/>
  <c r="P128" i="35"/>
  <c r="P123" i="35"/>
  <c r="P119" i="35"/>
  <c r="P114" i="35"/>
  <c r="P109" i="35"/>
  <c r="P105" i="35"/>
  <c r="P101" i="35"/>
  <c r="P127" i="35"/>
  <c r="P115" i="35"/>
  <c r="P110" i="35"/>
  <c r="P124" i="35"/>
  <c r="P120" i="35"/>
  <c r="P116" i="35"/>
  <c r="P106" i="35"/>
  <c r="P102" i="35"/>
  <c r="P125" i="35"/>
  <c r="P111" i="35"/>
  <c r="P126" i="35"/>
  <c r="P121" i="35"/>
  <c r="P117" i="35"/>
  <c r="P107" i="35"/>
  <c r="P103" i="35"/>
  <c r="P112" i="35"/>
  <c r="P122" i="35"/>
  <c r="P118" i="35"/>
  <c r="P108" i="35"/>
  <c r="P104" i="35"/>
  <c r="P94" i="35"/>
  <c r="P80" i="35"/>
  <c r="P113" i="35"/>
  <c r="P100" i="35"/>
  <c r="P95" i="35"/>
  <c r="P92" i="35"/>
  <c r="P88" i="35"/>
  <c r="P84" i="35"/>
  <c r="P83" i="35"/>
  <c r="P69" i="35"/>
  <c r="P57" i="35"/>
  <c r="P48" i="35"/>
  <c r="P45" i="35"/>
  <c r="P90" i="35"/>
  <c r="P81" i="35"/>
  <c r="P74" i="35"/>
  <c r="P70" i="35"/>
  <c r="P63" i="35"/>
  <c r="P60" i="35"/>
  <c r="P51" i="35"/>
  <c r="P40" i="35"/>
  <c r="P93" i="35"/>
  <c r="P82" i="35"/>
  <c r="P79" i="35"/>
  <c r="P78" i="35"/>
  <c r="P67" i="35"/>
  <c r="P55" i="35"/>
  <c r="P43" i="35"/>
  <c r="P37" i="35"/>
  <c r="P97" i="35"/>
  <c r="P85" i="35"/>
  <c r="P75" i="35"/>
  <c r="P71" i="35"/>
  <c r="P64" i="35"/>
  <c r="P58" i="35"/>
  <c r="P52" i="35"/>
  <c r="P49" i="35"/>
  <c r="P46" i="35"/>
  <c r="P96" i="35"/>
  <c r="P89" i="35"/>
  <c r="P76" i="35"/>
  <c r="P72" i="35"/>
  <c r="P68" i="35"/>
  <c r="P65" i="35"/>
  <c r="P56" i="35"/>
  <c r="P53" i="35"/>
  <c r="P44" i="35"/>
  <c r="P99" i="35"/>
  <c r="P91" i="35"/>
  <c r="P59" i="35"/>
  <c r="P50" i="35"/>
  <c r="P47" i="35"/>
  <c r="P39" i="35"/>
  <c r="P62" i="35"/>
  <c r="P28" i="35"/>
  <c r="P24" i="35"/>
  <c r="P13" i="35"/>
  <c r="P9" i="35"/>
  <c r="P98" i="35"/>
  <c r="P38" i="35"/>
  <c r="P12" i="35"/>
  <c r="P11" i="35"/>
  <c r="P10" i="35"/>
  <c r="P77" i="35"/>
  <c r="P73" i="35"/>
  <c r="P35" i="35"/>
  <c r="P29" i="35"/>
  <c r="P25" i="35"/>
  <c r="P14" i="35"/>
  <c r="P61" i="35"/>
  <c r="P54" i="35"/>
  <c r="P42" i="35"/>
  <c r="P36" i="35"/>
  <c r="P34" i="35"/>
  <c r="P20" i="35"/>
  <c r="P15" i="35"/>
  <c r="P41" i="35"/>
  <c r="P33" i="35"/>
  <c r="P30" i="35"/>
  <c r="P26" i="35"/>
  <c r="P21" i="35"/>
  <c r="P19" i="35"/>
  <c r="P18" i="35"/>
  <c r="P17" i="35"/>
  <c r="P32" i="35"/>
  <c r="P22" i="35"/>
  <c r="P16" i="35"/>
  <c r="P8" i="35"/>
  <c r="P31" i="35"/>
  <c r="P27" i="35"/>
  <c r="P23" i="35"/>
  <c r="P87" i="35"/>
  <c r="P86" i="35"/>
  <c r="P66" i="35"/>
  <c r="N8" i="35"/>
  <c r="O8" i="35" s="1"/>
  <c r="N16" i="35"/>
  <c r="O16" i="35" s="1"/>
  <c r="N22" i="35"/>
  <c r="O22" i="35" s="1"/>
  <c r="N32" i="35"/>
  <c r="O32" i="35" s="1"/>
  <c r="N53" i="35"/>
  <c r="O53" i="35" s="1"/>
  <c r="N55" i="35"/>
  <c r="O55" i="35" s="1"/>
  <c r="N68" i="35"/>
  <c r="O68" i="35" s="1"/>
  <c r="N7" i="35"/>
  <c r="AR379" i="35"/>
  <c r="Z9" i="35"/>
  <c r="DG9" i="35"/>
  <c r="Z13" i="35"/>
  <c r="DG13" i="35"/>
  <c r="N17" i="35"/>
  <c r="O17" i="35" s="1"/>
  <c r="N18" i="35"/>
  <c r="O18" i="35" s="1"/>
  <c r="N19" i="35"/>
  <c r="O19" i="35" s="1"/>
  <c r="N21" i="35"/>
  <c r="O21" i="35" s="1"/>
  <c r="Z24" i="35"/>
  <c r="DG24" i="35"/>
  <c r="N26" i="35"/>
  <c r="O26" i="35" s="1"/>
  <c r="Z28" i="35"/>
  <c r="DG28" i="35"/>
  <c r="N30" i="35"/>
  <c r="O30" i="35" s="1"/>
  <c r="N33" i="35"/>
  <c r="O33" i="35" s="1"/>
  <c r="N39" i="35"/>
  <c r="O39" i="35" s="1"/>
  <c r="DG50" i="35"/>
  <c r="Z59" i="35"/>
  <c r="Z80" i="35"/>
  <c r="Z81" i="35"/>
  <c r="N82" i="35"/>
  <c r="O82" i="35" s="1"/>
  <c r="N97" i="35"/>
  <c r="O97" i="35" s="1"/>
  <c r="N15" i="35"/>
  <c r="O15" i="35" s="1"/>
  <c r="N20" i="35"/>
  <c r="O20" i="35" s="1"/>
  <c r="N34" i="35"/>
  <c r="O34" i="35" s="1"/>
  <c r="DG35" i="35"/>
  <c r="DG40" i="35"/>
  <c r="Z62" i="35"/>
  <c r="N72" i="35"/>
  <c r="O72" i="35" s="1"/>
  <c r="N76" i="35"/>
  <c r="O76" i="35" s="1"/>
  <c r="Z86" i="35"/>
  <c r="N14" i="35"/>
  <c r="O14" i="35" s="1"/>
  <c r="Z23" i="35"/>
  <c r="DG23" i="35"/>
  <c r="N25" i="35"/>
  <c r="O25" i="35" s="1"/>
  <c r="Z27" i="35"/>
  <c r="DG27" i="35"/>
  <c r="N29" i="35"/>
  <c r="O29" i="35" s="1"/>
  <c r="N35" i="35"/>
  <c r="O35" i="35" s="1"/>
  <c r="Z60" i="35"/>
  <c r="DG69" i="35"/>
  <c r="DG73" i="35"/>
  <c r="N78" i="35"/>
  <c r="O78" i="35" s="1"/>
  <c r="N91" i="35"/>
  <c r="O91" i="35" s="1"/>
  <c r="Q379" i="35"/>
  <c r="CN379" i="35"/>
  <c r="Z8" i="35"/>
  <c r="DG8" i="35"/>
  <c r="N10" i="35"/>
  <c r="O10" i="35" s="1"/>
  <c r="N11" i="35"/>
  <c r="O11" i="35" s="1"/>
  <c r="N12" i="35"/>
  <c r="O12" i="35" s="1"/>
  <c r="W379" i="35"/>
  <c r="Z31" i="35"/>
  <c r="DG31" i="35"/>
  <c r="N37" i="35"/>
  <c r="O37" i="35" s="1"/>
  <c r="Z39" i="35"/>
  <c r="DG39" i="35"/>
  <c r="Z40" i="35"/>
  <c r="N56" i="35"/>
  <c r="O56" i="35" s="1"/>
  <c r="DG59" i="35"/>
  <c r="N65" i="35"/>
  <c r="O65" i="35" s="1"/>
  <c r="N67" i="35"/>
  <c r="O67" i="35" s="1"/>
  <c r="Z84" i="35"/>
  <c r="DG90" i="35"/>
  <c r="N9" i="35"/>
  <c r="O9" i="35" s="1"/>
  <c r="N13" i="35"/>
  <c r="O13" i="35" s="1"/>
  <c r="Z16" i="35"/>
  <c r="DG16" i="35"/>
  <c r="Z17" i="35"/>
  <c r="DG17" i="35"/>
  <c r="Z18" i="35"/>
  <c r="DG18" i="35"/>
  <c r="Z19" i="35"/>
  <c r="DG19" i="35"/>
  <c r="Z22" i="35"/>
  <c r="DG22" i="35"/>
  <c r="N24" i="35"/>
  <c r="O24" i="35" s="1"/>
  <c r="Z26" i="35"/>
  <c r="DG26" i="35"/>
  <c r="N28" i="35"/>
  <c r="O28" i="35" s="1"/>
  <c r="Z30" i="35"/>
  <c r="DG30" i="35"/>
  <c r="Z32" i="35"/>
  <c r="DG32" i="35"/>
  <c r="DG37" i="35"/>
  <c r="N43" i="35"/>
  <c r="O43" i="35" s="1"/>
  <c r="Z50" i="35"/>
  <c r="DG60" i="35"/>
  <c r="N378" i="35"/>
  <c r="O378" i="35" s="1"/>
  <c r="N376" i="35"/>
  <c r="O376" i="35" s="1"/>
  <c r="N377" i="35"/>
  <c r="O377" i="35" s="1"/>
  <c r="N375" i="35"/>
  <c r="O375" i="35" s="1"/>
  <c r="N374" i="35"/>
  <c r="O374" i="35" s="1"/>
  <c r="N365" i="35"/>
  <c r="O365" i="35" s="1"/>
  <c r="N361" i="35"/>
  <c r="O361" i="35" s="1"/>
  <c r="N359" i="35"/>
  <c r="O359" i="35" s="1"/>
  <c r="N371" i="35"/>
  <c r="O371" i="35" s="1"/>
  <c r="N369" i="35"/>
  <c r="O369" i="35" s="1"/>
  <c r="N358" i="35"/>
  <c r="O358" i="35" s="1"/>
  <c r="N372" i="35"/>
  <c r="O372" i="35" s="1"/>
  <c r="N370" i="35"/>
  <c r="O370" i="35" s="1"/>
  <c r="N368" i="35"/>
  <c r="O368" i="35" s="1"/>
  <c r="N367" i="35"/>
  <c r="O367" i="35" s="1"/>
  <c r="N363" i="35"/>
  <c r="O363" i="35" s="1"/>
  <c r="N362" i="35"/>
  <c r="O362" i="35" s="1"/>
  <c r="N373" i="35"/>
  <c r="O373" i="35" s="1"/>
  <c r="N366" i="35"/>
  <c r="O366" i="35" s="1"/>
  <c r="N364" i="35"/>
  <c r="O364" i="35" s="1"/>
  <c r="N360" i="35"/>
  <c r="O360" i="35" s="1"/>
  <c r="N354" i="35"/>
  <c r="O354" i="35" s="1"/>
  <c r="N356" i="35"/>
  <c r="O356" i="35" s="1"/>
  <c r="N344" i="35"/>
  <c r="O344" i="35" s="1"/>
  <c r="N346" i="35"/>
  <c r="O346" i="35" s="1"/>
  <c r="N352" i="35"/>
  <c r="O352" i="35" s="1"/>
  <c r="N350" i="35"/>
  <c r="O350" i="35" s="1"/>
  <c r="N355" i="35"/>
  <c r="O355" i="35" s="1"/>
  <c r="N348" i="35"/>
  <c r="O348" i="35" s="1"/>
  <c r="N353" i="35"/>
  <c r="O353" i="35" s="1"/>
  <c r="N338" i="35"/>
  <c r="O338" i="35" s="1"/>
  <c r="N347" i="35"/>
  <c r="O347" i="35" s="1"/>
  <c r="N345" i="35"/>
  <c r="O345" i="35" s="1"/>
  <c r="N335" i="35"/>
  <c r="O335" i="35" s="1"/>
  <c r="N349" i="35"/>
  <c r="O349" i="35" s="1"/>
  <c r="N340" i="35"/>
  <c r="O340" i="35" s="1"/>
  <c r="N357" i="35"/>
  <c r="O357" i="35" s="1"/>
  <c r="N342" i="35"/>
  <c r="O342" i="35" s="1"/>
  <c r="N341" i="35"/>
  <c r="O341" i="35" s="1"/>
  <c r="N337" i="35"/>
  <c r="O337" i="35" s="1"/>
  <c r="N332" i="35"/>
  <c r="O332" i="35" s="1"/>
  <c r="N351" i="35"/>
  <c r="O351" i="35" s="1"/>
  <c r="N339" i="35"/>
  <c r="O339" i="35" s="1"/>
  <c r="N343" i="35"/>
  <c r="O343" i="35" s="1"/>
  <c r="N336" i="35"/>
  <c r="O336" i="35" s="1"/>
  <c r="N333" i="35"/>
  <c r="O333" i="35" s="1"/>
  <c r="N321" i="35"/>
  <c r="O321" i="35" s="1"/>
  <c r="N326" i="35"/>
  <c r="O326" i="35" s="1"/>
  <c r="N328" i="35"/>
  <c r="O328" i="35" s="1"/>
  <c r="N323" i="35"/>
  <c r="O323" i="35" s="1"/>
  <c r="N331" i="35"/>
  <c r="O331" i="35" s="1"/>
  <c r="N330" i="35"/>
  <c r="O330" i="35" s="1"/>
  <c r="N325" i="35"/>
  <c r="O325" i="35" s="1"/>
  <c r="N334" i="35"/>
  <c r="O334" i="35" s="1"/>
  <c r="N327" i="35"/>
  <c r="O327" i="35" s="1"/>
  <c r="N322" i="35"/>
  <c r="O322" i="35" s="1"/>
  <c r="N318" i="35"/>
  <c r="O318" i="35" s="1"/>
  <c r="N315" i="35"/>
  <c r="O315" i="35" s="1"/>
  <c r="N310" i="35"/>
  <c r="O310" i="35" s="1"/>
  <c r="N308" i="35"/>
  <c r="O308" i="35" s="1"/>
  <c r="N317" i="35"/>
  <c r="O317" i="35" s="1"/>
  <c r="N329" i="35"/>
  <c r="O329" i="35" s="1"/>
  <c r="N311" i="35"/>
  <c r="O311" i="35" s="1"/>
  <c r="N316" i="35"/>
  <c r="O316" i="35" s="1"/>
  <c r="N314" i="35"/>
  <c r="O314" i="35" s="1"/>
  <c r="N320" i="35"/>
  <c r="O320" i="35" s="1"/>
  <c r="N319" i="35"/>
  <c r="O319" i="35" s="1"/>
  <c r="N324" i="35"/>
  <c r="O324" i="35" s="1"/>
  <c r="N312" i="35"/>
  <c r="O312" i="35" s="1"/>
  <c r="N307" i="35"/>
  <c r="O307" i="35" s="1"/>
  <c r="N300" i="35"/>
  <c r="O300" i="35" s="1"/>
  <c r="N298" i="35"/>
  <c r="O298" i="35" s="1"/>
  <c r="N296" i="35"/>
  <c r="O296" i="35" s="1"/>
  <c r="N309" i="35"/>
  <c r="O309" i="35" s="1"/>
  <c r="N305" i="35"/>
  <c r="O305" i="35" s="1"/>
  <c r="N303" i="35"/>
  <c r="O303" i="35" s="1"/>
  <c r="N294" i="35"/>
  <c r="O294" i="35" s="1"/>
  <c r="N292" i="35"/>
  <c r="O292" i="35" s="1"/>
  <c r="N290" i="35"/>
  <c r="O290" i="35" s="1"/>
  <c r="N288" i="35"/>
  <c r="O288" i="35" s="1"/>
  <c r="N301" i="35"/>
  <c r="O301" i="35" s="1"/>
  <c r="N286" i="35"/>
  <c r="O286" i="35" s="1"/>
  <c r="N284" i="35"/>
  <c r="O284" i="35" s="1"/>
  <c r="N313" i="35"/>
  <c r="O313" i="35" s="1"/>
  <c r="N299" i="35"/>
  <c r="O299" i="35" s="1"/>
  <c r="N297" i="35"/>
  <c r="O297" i="35" s="1"/>
  <c r="N306" i="35"/>
  <c r="O306" i="35" s="1"/>
  <c r="N304" i="35"/>
  <c r="O304" i="35" s="1"/>
  <c r="N302" i="35"/>
  <c r="O302" i="35" s="1"/>
  <c r="N295" i="35"/>
  <c r="O295" i="35" s="1"/>
  <c r="N293" i="35"/>
  <c r="O293" i="35" s="1"/>
  <c r="N291" i="35"/>
  <c r="O291" i="35" s="1"/>
  <c r="N289" i="35"/>
  <c r="O289" i="35" s="1"/>
  <c r="N287" i="35"/>
  <c r="O287" i="35" s="1"/>
  <c r="N280" i="35"/>
  <c r="O280" i="35" s="1"/>
  <c r="N269" i="35"/>
  <c r="O269" i="35" s="1"/>
  <c r="N285" i="35"/>
  <c r="O285" i="35" s="1"/>
  <c r="N281" i="35"/>
  <c r="O281" i="35" s="1"/>
  <c r="N267" i="35"/>
  <c r="O267" i="35" s="1"/>
  <c r="N265" i="35"/>
  <c r="O265" i="35" s="1"/>
  <c r="N278" i="35"/>
  <c r="O278" i="35" s="1"/>
  <c r="N276" i="35"/>
  <c r="O276" i="35" s="1"/>
  <c r="N274" i="35"/>
  <c r="O274" i="35" s="1"/>
  <c r="N272" i="35"/>
  <c r="O272" i="35" s="1"/>
  <c r="N263" i="35"/>
  <c r="O263" i="35" s="1"/>
  <c r="N261" i="35"/>
  <c r="O261" i="35" s="1"/>
  <c r="N259" i="35"/>
  <c r="O259" i="35" s="1"/>
  <c r="N283" i="35"/>
  <c r="O283" i="35" s="1"/>
  <c r="N282" i="35"/>
  <c r="O282" i="35" s="1"/>
  <c r="N279" i="35"/>
  <c r="O279" i="35" s="1"/>
  <c r="N277" i="35"/>
  <c r="O277" i="35" s="1"/>
  <c r="N275" i="35"/>
  <c r="O275" i="35" s="1"/>
  <c r="N273" i="35"/>
  <c r="O273" i="35" s="1"/>
  <c r="N271" i="35"/>
  <c r="O271" i="35" s="1"/>
  <c r="N264" i="35"/>
  <c r="O264" i="35" s="1"/>
  <c r="N262" i="35"/>
  <c r="O262" i="35" s="1"/>
  <c r="N260" i="35"/>
  <c r="O260" i="35" s="1"/>
  <c r="N258" i="35"/>
  <c r="O258" i="35" s="1"/>
  <c r="N256" i="35"/>
  <c r="O256" i="35" s="1"/>
  <c r="N249" i="35"/>
  <c r="O249" i="35" s="1"/>
  <c r="N236" i="35"/>
  <c r="O236" i="35" s="1"/>
  <c r="N266" i="35"/>
  <c r="O266" i="35" s="1"/>
  <c r="N254" i="35"/>
  <c r="O254" i="35" s="1"/>
  <c r="N252" i="35"/>
  <c r="O252" i="35" s="1"/>
  <c r="N247" i="35"/>
  <c r="O247" i="35" s="1"/>
  <c r="N245" i="35"/>
  <c r="O245" i="35" s="1"/>
  <c r="N243" i="35"/>
  <c r="O243" i="35" s="1"/>
  <c r="N241" i="35"/>
  <c r="O241" i="35" s="1"/>
  <c r="N250" i="35"/>
  <c r="O250" i="35" s="1"/>
  <c r="N257" i="35"/>
  <c r="O257" i="35" s="1"/>
  <c r="N237" i="35"/>
  <c r="O237" i="35" s="1"/>
  <c r="N270" i="35"/>
  <c r="O270" i="35" s="1"/>
  <c r="N255" i="35"/>
  <c r="O255" i="35" s="1"/>
  <c r="N253" i="35"/>
  <c r="O253" i="35" s="1"/>
  <c r="N248" i="35"/>
  <c r="O248" i="35" s="1"/>
  <c r="N246" i="35"/>
  <c r="O246" i="35" s="1"/>
  <c r="N244" i="35"/>
  <c r="O244" i="35" s="1"/>
  <c r="N242" i="35"/>
  <c r="O242" i="35" s="1"/>
  <c r="N240" i="35"/>
  <c r="O240" i="35" s="1"/>
  <c r="N268" i="35"/>
  <c r="O268" i="35" s="1"/>
  <c r="N251" i="35"/>
  <c r="O251" i="35" s="1"/>
  <c r="N219" i="35"/>
  <c r="O219" i="35" s="1"/>
  <c r="N232" i="35"/>
  <c r="O232" i="35" s="1"/>
  <c r="N230" i="35"/>
  <c r="O230" i="35" s="1"/>
  <c r="N228" i="35"/>
  <c r="O228" i="35" s="1"/>
  <c r="N226" i="35"/>
  <c r="O226" i="35" s="1"/>
  <c r="N224" i="35"/>
  <c r="O224" i="35" s="1"/>
  <c r="N222" i="35"/>
  <c r="O222" i="35" s="1"/>
  <c r="N238" i="35"/>
  <c r="O238" i="35" s="1"/>
  <c r="N220" i="35"/>
  <c r="O220" i="35" s="1"/>
  <c r="N235" i="35"/>
  <c r="O235" i="35" s="1"/>
  <c r="N233" i="35"/>
  <c r="O233" i="35" s="1"/>
  <c r="N231" i="35"/>
  <c r="O231" i="35" s="1"/>
  <c r="N229" i="35"/>
  <c r="O229" i="35" s="1"/>
  <c r="N227" i="35"/>
  <c r="O227" i="35" s="1"/>
  <c r="N225" i="35"/>
  <c r="O225" i="35" s="1"/>
  <c r="N218" i="35"/>
  <c r="O218" i="35" s="1"/>
  <c r="N239" i="35"/>
  <c r="O239" i="35" s="1"/>
  <c r="N223" i="35"/>
  <c r="O223" i="35" s="1"/>
  <c r="N215" i="35"/>
  <c r="O215" i="35" s="1"/>
  <c r="N213" i="35"/>
  <c r="O213" i="35" s="1"/>
  <c r="N205" i="35"/>
  <c r="O205" i="35" s="1"/>
  <c r="N203" i="35"/>
  <c r="O203" i="35" s="1"/>
  <c r="N221" i="35"/>
  <c r="O221" i="35" s="1"/>
  <c r="N210" i="35"/>
  <c r="O210" i="35" s="1"/>
  <c r="N201" i="35"/>
  <c r="O201" i="35" s="1"/>
  <c r="N199" i="35"/>
  <c r="O199" i="35" s="1"/>
  <c r="N197" i="35"/>
  <c r="O197" i="35" s="1"/>
  <c r="N195" i="35"/>
  <c r="O195" i="35" s="1"/>
  <c r="N190" i="35"/>
  <c r="O190" i="35" s="1"/>
  <c r="N186" i="35"/>
  <c r="O186" i="35" s="1"/>
  <c r="N234" i="35"/>
  <c r="O234" i="35" s="1"/>
  <c r="N216" i="35"/>
  <c r="O216" i="35" s="1"/>
  <c r="N212" i="35"/>
  <c r="O212" i="35" s="1"/>
  <c r="N208" i="35"/>
  <c r="O208" i="35" s="1"/>
  <c r="N193" i="35"/>
  <c r="O193" i="35" s="1"/>
  <c r="N217" i="35"/>
  <c r="O217" i="35" s="1"/>
  <c r="N206" i="35"/>
  <c r="O206" i="35" s="1"/>
  <c r="N204" i="35"/>
  <c r="O204" i="35" s="1"/>
  <c r="N191" i="35"/>
  <c r="O191" i="35" s="1"/>
  <c r="N211" i="35"/>
  <c r="O211" i="35" s="1"/>
  <c r="N209" i="35"/>
  <c r="O209" i="35" s="1"/>
  <c r="N202" i="35"/>
  <c r="O202" i="35" s="1"/>
  <c r="N200" i="35"/>
  <c r="O200" i="35" s="1"/>
  <c r="N198" i="35"/>
  <c r="O198" i="35" s="1"/>
  <c r="N196" i="35"/>
  <c r="O196" i="35" s="1"/>
  <c r="N194" i="35"/>
  <c r="O194" i="35" s="1"/>
  <c r="N188" i="35"/>
  <c r="O188" i="35" s="1"/>
  <c r="N207" i="35"/>
  <c r="O207" i="35" s="1"/>
  <c r="N178" i="35"/>
  <c r="O178" i="35" s="1"/>
  <c r="N185" i="35"/>
  <c r="O185" i="35" s="1"/>
  <c r="N179" i="35"/>
  <c r="O179" i="35" s="1"/>
  <c r="N192" i="35"/>
  <c r="O192" i="35" s="1"/>
  <c r="N180" i="35"/>
  <c r="O180" i="35" s="1"/>
  <c r="N187" i="35"/>
  <c r="O187" i="35" s="1"/>
  <c r="N181" i="35"/>
  <c r="O181" i="35" s="1"/>
  <c r="N182" i="35"/>
  <c r="O182" i="35" s="1"/>
  <c r="N183" i="35"/>
  <c r="O183" i="35" s="1"/>
  <c r="N214" i="35"/>
  <c r="O214" i="35" s="1"/>
  <c r="N189" i="35"/>
  <c r="O189" i="35" s="1"/>
  <c r="N184" i="35"/>
  <c r="O184" i="35" s="1"/>
  <c r="N177" i="35"/>
  <c r="O177" i="35" s="1"/>
  <c r="N176" i="35"/>
  <c r="O176" i="35" s="1"/>
  <c r="N175" i="35"/>
  <c r="O175" i="35" s="1"/>
  <c r="N172" i="35"/>
  <c r="O172" i="35" s="1"/>
  <c r="N169" i="35"/>
  <c r="O169" i="35" s="1"/>
  <c r="N164" i="35"/>
  <c r="O164" i="35" s="1"/>
  <c r="N167" i="35"/>
  <c r="O167" i="35" s="1"/>
  <c r="N157" i="35"/>
  <c r="O157" i="35" s="1"/>
  <c r="N173" i="35"/>
  <c r="O173" i="35" s="1"/>
  <c r="N170" i="35"/>
  <c r="O170" i="35" s="1"/>
  <c r="N165" i="35"/>
  <c r="O165" i="35" s="1"/>
  <c r="N162" i="35"/>
  <c r="O162" i="35" s="1"/>
  <c r="N160" i="35"/>
  <c r="O160" i="35" s="1"/>
  <c r="N155" i="35"/>
  <c r="O155" i="35" s="1"/>
  <c r="N153" i="35"/>
  <c r="O153" i="35" s="1"/>
  <c r="N168" i="35"/>
  <c r="O168" i="35" s="1"/>
  <c r="N158" i="35"/>
  <c r="O158" i="35" s="1"/>
  <c r="N174" i="35"/>
  <c r="O174" i="35" s="1"/>
  <c r="N171" i="35"/>
  <c r="O171" i="35" s="1"/>
  <c r="N163" i="35"/>
  <c r="O163" i="35" s="1"/>
  <c r="N149" i="35"/>
  <c r="O149" i="35" s="1"/>
  <c r="N147" i="35"/>
  <c r="O147" i="35" s="1"/>
  <c r="N140" i="35"/>
  <c r="O140" i="35" s="1"/>
  <c r="N136" i="35"/>
  <c r="O136" i="35" s="1"/>
  <c r="N132" i="35"/>
  <c r="O132" i="35" s="1"/>
  <c r="N127" i="35"/>
  <c r="O127" i="35" s="1"/>
  <c r="N128" i="35"/>
  <c r="O128" i="35" s="1"/>
  <c r="N154" i="35"/>
  <c r="O154" i="35" s="1"/>
  <c r="N150" i="35"/>
  <c r="O150" i="35" s="1"/>
  <c r="N145" i="35"/>
  <c r="O145" i="35" s="1"/>
  <c r="N137" i="35"/>
  <c r="O137" i="35" s="1"/>
  <c r="N133" i="35"/>
  <c r="O133" i="35" s="1"/>
  <c r="N159" i="35"/>
  <c r="O159" i="35" s="1"/>
  <c r="N156" i="35"/>
  <c r="O156" i="35" s="1"/>
  <c r="N151" i="35"/>
  <c r="O151" i="35" s="1"/>
  <c r="N143" i="35"/>
  <c r="O143" i="35" s="1"/>
  <c r="N141" i="35"/>
  <c r="O141" i="35" s="1"/>
  <c r="N129" i="35"/>
  <c r="O129" i="35" s="1"/>
  <c r="N152" i="35"/>
  <c r="O152" i="35" s="1"/>
  <c r="N148" i="35"/>
  <c r="O148" i="35" s="1"/>
  <c r="N138" i="35"/>
  <c r="O138" i="35" s="1"/>
  <c r="N134" i="35"/>
  <c r="O134" i="35" s="1"/>
  <c r="N146" i="35"/>
  <c r="O146" i="35" s="1"/>
  <c r="N130" i="35"/>
  <c r="O130" i="35" s="1"/>
  <c r="N166" i="35"/>
  <c r="O166" i="35" s="1"/>
  <c r="N161" i="35"/>
  <c r="O161" i="35" s="1"/>
  <c r="N139" i="35"/>
  <c r="O139" i="35" s="1"/>
  <c r="N135" i="35"/>
  <c r="O135" i="35" s="1"/>
  <c r="N122" i="35"/>
  <c r="O122" i="35" s="1"/>
  <c r="N118" i="35"/>
  <c r="O118" i="35" s="1"/>
  <c r="N108" i="35"/>
  <c r="O108" i="35" s="1"/>
  <c r="N104" i="35"/>
  <c r="O104" i="35" s="1"/>
  <c r="N113" i="35"/>
  <c r="O113" i="35" s="1"/>
  <c r="N100" i="35"/>
  <c r="O100" i="35" s="1"/>
  <c r="N123" i="35"/>
  <c r="O123" i="35" s="1"/>
  <c r="N119" i="35"/>
  <c r="O119" i="35" s="1"/>
  <c r="N114" i="35"/>
  <c r="O114" i="35" s="1"/>
  <c r="N109" i="35"/>
  <c r="O109" i="35" s="1"/>
  <c r="N105" i="35"/>
  <c r="O105" i="35" s="1"/>
  <c r="N101" i="35"/>
  <c r="O101" i="35" s="1"/>
  <c r="N96" i="35"/>
  <c r="O96" i="35" s="1"/>
  <c r="N115" i="35"/>
  <c r="O115" i="35" s="1"/>
  <c r="N110" i="35"/>
  <c r="O110" i="35" s="1"/>
  <c r="N124" i="35"/>
  <c r="O124" i="35" s="1"/>
  <c r="N120" i="35"/>
  <c r="O120" i="35" s="1"/>
  <c r="N116" i="35"/>
  <c r="O116" i="35" s="1"/>
  <c r="N106" i="35"/>
  <c r="O106" i="35" s="1"/>
  <c r="N102" i="35"/>
  <c r="O102" i="35" s="1"/>
  <c r="N144" i="35"/>
  <c r="O144" i="35" s="1"/>
  <c r="N131" i="35"/>
  <c r="O131" i="35" s="1"/>
  <c r="N125" i="35"/>
  <c r="O125" i="35" s="1"/>
  <c r="N111" i="35"/>
  <c r="O111" i="35" s="1"/>
  <c r="N142" i="35"/>
  <c r="O142" i="35" s="1"/>
  <c r="N126" i="35"/>
  <c r="O126" i="35" s="1"/>
  <c r="N121" i="35"/>
  <c r="O121" i="35" s="1"/>
  <c r="N117" i="35"/>
  <c r="O117" i="35" s="1"/>
  <c r="N107" i="35"/>
  <c r="O107" i="35" s="1"/>
  <c r="N103" i="35"/>
  <c r="O103" i="35" s="1"/>
  <c r="N84" i="35"/>
  <c r="O84" i="35" s="1"/>
  <c r="N79" i="35"/>
  <c r="O79" i="35" s="1"/>
  <c r="N112" i="35"/>
  <c r="O112" i="35" s="1"/>
  <c r="N99" i="35"/>
  <c r="O99" i="35" s="1"/>
  <c r="N59" i="35"/>
  <c r="O59" i="35" s="1"/>
  <c r="N50" i="35"/>
  <c r="O50" i="35" s="1"/>
  <c r="N47" i="35"/>
  <c r="O47" i="35" s="1"/>
  <c r="N92" i="35"/>
  <c r="O92" i="35" s="1"/>
  <c r="N86" i="35"/>
  <c r="O86" i="35" s="1"/>
  <c r="N77" i="35"/>
  <c r="O77" i="35" s="1"/>
  <c r="N73" i="35"/>
  <c r="O73" i="35" s="1"/>
  <c r="N66" i="35"/>
  <c r="O66" i="35" s="1"/>
  <c r="N62" i="35"/>
  <c r="O62" i="35" s="1"/>
  <c r="N54" i="35"/>
  <c r="O54" i="35" s="1"/>
  <c r="N42" i="35"/>
  <c r="O42" i="35" s="1"/>
  <c r="N88" i="35"/>
  <c r="O88" i="35" s="1"/>
  <c r="N83" i="35"/>
  <c r="O83" i="35" s="1"/>
  <c r="N69" i="35"/>
  <c r="O69" i="35" s="1"/>
  <c r="N57" i="35"/>
  <c r="O57" i="35" s="1"/>
  <c r="N48" i="35"/>
  <c r="O48" i="35" s="1"/>
  <c r="N45" i="35"/>
  <c r="O45" i="35" s="1"/>
  <c r="N36" i="35"/>
  <c r="O36" i="35" s="1"/>
  <c r="N93" i="35"/>
  <c r="O93" i="35" s="1"/>
  <c r="N90" i="35"/>
  <c r="O90" i="35" s="1"/>
  <c r="N81" i="35"/>
  <c r="O81" i="35" s="1"/>
  <c r="N80" i="35"/>
  <c r="O80" i="35" s="1"/>
  <c r="N74" i="35"/>
  <c r="O74" i="35" s="1"/>
  <c r="N70" i="35"/>
  <c r="O70" i="35" s="1"/>
  <c r="N63" i="35"/>
  <c r="O63" i="35" s="1"/>
  <c r="N60" i="35"/>
  <c r="O60" i="35" s="1"/>
  <c r="N51" i="35"/>
  <c r="O51" i="35" s="1"/>
  <c r="N40" i="35"/>
  <c r="O40" i="35" s="1"/>
  <c r="N98" i="35"/>
  <c r="O98" i="35" s="1"/>
  <c r="N95" i="35"/>
  <c r="O95" i="35" s="1"/>
  <c r="N87" i="35"/>
  <c r="O87" i="35" s="1"/>
  <c r="N75" i="35"/>
  <c r="O75" i="35" s="1"/>
  <c r="N71" i="35"/>
  <c r="O71" i="35" s="1"/>
  <c r="N64" i="35"/>
  <c r="O64" i="35" s="1"/>
  <c r="N58" i="35"/>
  <c r="O58" i="35" s="1"/>
  <c r="N52" i="35"/>
  <c r="O52" i="35" s="1"/>
  <c r="N49" i="35"/>
  <c r="O49" i="35" s="1"/>
  <c r="N46" i="35"/>
  <c r="O46" i="35" s="1"/>
  <c r="N94" i="35"/>
  <c r="O94" i="35" s="1"/>
  <c r="N89" i="35"/>
  <c r="O89" i="35" s="1"/>
  <c r="N61" i="35"/>
  <c r="O61" i="35" s="1"/>
  <c r="N41" i="35"/>
  <c r="O41" i="35" s="1"/>
  <c r="N38" i="35"/>
  <c r="O38" i="35" s="1"/>
  <c r="DG373" i="35"/>
  <c r="DG378" i="35"/>
  <c r="DG372" i="35"/>
  <c r="DG377" i="35"/>
  <c r="DG375" i="35"/>
  <c r="DG370" i="35"/>
  <c r="DG368" i="35"/>
  <c r="DG374" i="35"/>
  <c r="DG376" i="35"/>
  <c r="DG371" i="35"/>
  <c r="DG369" i="35"/>
  <c r="DG367" i="35"/>
  <c r="DG365" i="35"/>
  <c r="DG363" i="35"/>
  <c r="DG359" i="35"/>
  <c r="DG355" i="35"/>
  <c r="DG353" i="35"/>
  <c r="DG366" i="35"/>
  <c r="DG358" i="35"/>
  <c r="DG364" i="35"/>
  <c r="DG356" i="35"/>
  <c r="DG362" i="35"/>
  <c r="DG361" i="35"/>
  <c r="DG360" i="35"/>
  <c r="DG345" i="35"/>
  <c r="DG352" i="35"/>
  <c r="DG351" i="35"/>
  <c r="DG349" i="35"/>
  <c r="DG347" i="35"/>
  <c r="DG344" i="35"/>
  <c r="DG342" i="35"/>
  <c r="DG357" i="35"/>
  <c r="DG339" i="35"/>
  <c r="DG350" i="35"/>
  <c r="DG343" i="35"/>
  <c r="DG336" i="35"/>
  <c r="DG331" i="35"/>
  <c r="DG333" i="35"/>
  <c r="DG338" i="35"/>
  <c r="DG354" i="35"/>
  <c r="DG346" i="35"/>
  <c r="DG341" i="35"/>
  <c r="DG337" i="35"/>
  <c r="DG348" i="35"/>
  <c r="DG340" i="35"/>
  <c r="DG334" i="35"/>
  <c r="DG332" i="35"/>
  <c r="DG327" i="35"/>
  <c r="DG322" i="35"/>
  <c r="DG319" i="35"/>
  <c r="DG335" i="35"/>
  <c r="DG329" i="35"/>
  <c r="DG324" i="35"/>
  <c r="DG330" i="35"/>
  <c r="DG326" i="35"/>
  <c r="DG321" i="35"/>
  <c r="DG328" i="35"/>
  <c r="DG323" i="35"/>
  <c r="DG320" i="35"/>
  <c r="DG312" i="35"/>
  <c r="DG325" i="35"/>
  <c r="DG315" i="35"/>
  <c r="DG313" i="35"/>
  <c r="DG308" i="35"/>
  <c r="DG306" i="35"/>
  <c r="DG317" i="35"/>
  <c r="DG311" i="35"/>
  <c r="DG318" i="35"/>
  <c r="DG316" i="35"/>
  <c r="DG314" i="35"/>
  <c r="DG297" i="35"/>
  <c r="DG295" i="35"/>
  <c r="DG304" i="35"/>
  <c r="DG302" i="35"/>
  <c r="DG293" i="35"/>
  <c r="DG291" i="35"/>
  <c r="DG289" i="35"/>
  <c r="DG287" i="35"/>
  <c r="DG285" i="35"/>
  <c r="DG310" i="35"/>
  <c r="DG300" i="35"/>
  <c r="DG283" i="35"/>
  <c r="DG281" i="35"/>
  <c r="DG298" i="35"/>
  <c r="DG296" i="35"/>
  <c r="DG307" i="35"/>
  <c r="DG305" i="35"/>
  <c r="DG303" i="35"/>
  <c r="DG301" i="35"/>
  <c r="DG294" i="35"/>
  <c r="DG292" i="35"/>
  <c r="DG290" i="35"/>
  <c r="DG288" i="35"/>
  <c r="DG286" i="35"/>
  <c r="DG309" i="35"/>
  <c r="DG284" i="35"/>
  <c r="DG282" i="35"/>
  <c r="DG279" i="35"/>
  <c r="DG266" i="35"/>
  <c r="DG264" i="35"/>
  <c r="DG277" i="35"/>
  <c r="DG275" i="35"/>
  <c r="DG273" i="35"/>
  <c r="DG271" i="35"/>
  <c r="DG262" i="35"/>
  <c r="DG260" i="35"/>
  <c r="DG299" i="35"/>
  <c r="DG269" i="35"/>
  <c r="DG280" i="35"/>
  <c r="DG267" i="35"/>
  <c r="DG265" i="35"/>
  <c r="DG270" i="35"/>
  <c r="DG253" i="35"/>
  <c r="DG251" i="35"/>
  <c r="DG246" i="35"/>
  <c r="DG244" i="35"/>
  <c r="DG242" i="35"/>
  <c r="DG240" i="35"/>
  <c r="DG238" i="35"/>
  <c r="DG258" i="35"/>
  <c r="DG249" i="35"/>
  <c r="DG278" i="35"/>
  <c r="DG268" i="35"/>
  <c r="DG263" i="35"/>
  <c r="DG259" i="35"/>
  <c r="DG256" i="35"/>
  <c r="DG254" i="35"/>
  <c r="DG252" i="35"/>
  <c r="DG247" i="35"/>
  <c r="DG245" i="35"/>
  <c r="DG243" i="35"/>
  <c r="DG241" i="35"/>
  <c r="DG239" i="35"/>
  <c r="DG276" i="35"/>
  <c r="DG272" i="35"/>
  <c r="DG250" i="35"/>
  <c r="DG274" i="35"/>
  <c r="DG257" i="35"/>
  <c r="DG234" i="35"/>
  <c r="DG231" i="35"/>
  <c r="DG229" i="35"/>
  <c r="DG227" i="35"/>
  <c r="DG225" i="35"/>
  <c r="DG223" i="35"/>
  <c r="DG221" i="35"/>
  <c r="DG216" i="35"/>
  <c r="DG214" i="35"/>
  <c r="DG212" i="35"/>
  <c r="DG237" i="35"/>
  <c r="DG233" i="35"/>
  <c r="DG236" i="35"/>
  <c r="DG232" i="35"/>
  <c r="DG230" i="35"/>
  <c r="DG228" i="35"/>
  <c r="DG226" i="35"/>
  <c r="DG224" i="35"/>
  <c r="DG217" i="35"/>
  <c r="DG261" i="35"/>
  <c r="DG255" i="35"/>
  <c r="DG235" i="35"/>
  <c r="DG222" i="35"/>
  <c r="DG220" i="35"/>
  <c r="DG215" i="35"/>
  <c r="DG213" i="35"/>
  <c r="DG248" i="35"/>
  <c r="DG211" i="35"/>
  <c r="DG209" i="35"/>
  <c r="DG200" i="35"/>
  <c r="DG198" i="35"/>
  <c r="DG196" i="35"/>
  <c r="DG194" i="35"/>
  <c r="DG192" i="35"/>
  <c r="DG189" i="35"/>
  <c r="DG218" i="35"/>
  <c r="DG207" i="35"/>
  <c r="DG205" i="35"/>
  <c r="DG203" i="35"/>
  <c r="DG210" i="35"/>
  <c r="DG208" i="35"/>
  <c r="DG201" i="35"/>
  <c r="DG199" i="35"/>
  <c r="DG197" i="35"/>
  <c r="DG195" i="35"/>
  <c r="DG193" i="35"/>
  <c r="DG206" i="35"/>
  <c r="DG191" i="35"/>
  <c r="DG183" i="35"/>
  <c r="DG204" i="35"/>
  <c r="DG190" i="35"/>
  <c r="DG184" i="35"/>
  <c r="DG178" i="35"/>
  <c r="DG202" i="35"/>
  <c r="DG185" i="35"/>
  <c r="DG179" i="35"/>
  <c r="DG188" i="35"/>
  <c r="DG180" i="35"/>
  <c r="DG187" i="35"/>
  <c r="DG181" i="35"/>
  <c r="DG219" i="35"/>
  <c r="DG186" i="35"/>
  <c r="DG182" i="35"/>
  <c r="DG177" i="35"/>
  <c r="DG171" i="35"/>
  <c r="DG176" i="35"/>
  <c r="DG175" i="35"/>
  <c r="DG174" i="35"/>
  <c r="DG166" i="35"/>
  <c r="DG172" i="35"/>
  <c r="DG169" i="35"/>
  <c r="DG161" i="35"/>
  <c r="DG164" i="35"/>
  <c r="DG159" i="35"/>
  <c r="DG167" i="35"/>
  <c r="DG157" i="35"/>
  <c r="DG173" i="35"/>
  <c r="DG170" i="35"/>
  <c r="DG162" i="35"/>
  <c r="DG165" i="35"/>
  <c r="DG155" i="35"/>
  <c r="DG158" i="35"/>
  <c r="DG152" i="35"/>
  <c r="DG144" i="35"/>
  <c r="DG139" i="35"/>
  <c r="DG135" i="35"/>
  <c r="DG131" i="35"/>
  <c r="DG163" i="35"/>
  <c r="DG156" i="35"/>
  <c r="DG153" i="35"/>
  <c r="DG142" i="35"/>
  <c r="DG140" i="35"/>
  <c r="DG127" i="35"/>
  <c r="DG160" i="35"/>
  <c r="DG147" i="35"/>
  <c r="DG136" i="35"/>
  <c r="DG132" i="35"/>
  <c r="DG168" i="35"/>
  <c r="DG145" i="35"/>
  <c r="DG128" i="35"/>
  <c r="DG149" i="35"/>
  <c r="DG137" i="35"/>
  <c r="DG133" i="35"/>
  <c r="DG154" i="35"/>
  <c r="DG150" i="35"/>
  <c r="DG143" i="35"/>
  <c r="DG141" i="35"/>
  <c r="DG129" i="35"/>
  <c r="DG146" i="35"/>
  <c r="DG126" i="35"/>
  <c r="DG111" i="35"/>
  <c r="DG98" i="35"/>
  <c r="DG134" i="35"/>
  <c r="DG121" i="35"/>
  <c r="DG117" i="35"/>
  <c r="DG107" i="35"/>
  <c r="DG103" i="35"/>
  <c r="DG99" i="35"/>
  <c r="DG130" i="35"/>
  <c r="DG112" i="35"/>
  <c r="DG94" i="35"/>
  <c r="DG89" i="35"/>
  <c r="DG85" i="35"/>
  <c r="DG151" i="35"/>
  <c r="DG138" i="35"/>
  <c r="DG122" i="35"/>
  <c r="DG118" i="35"/>
  <c r="DG113" i="35"/>
  <c r="DG108" i="35"/>
  <c r="DG104" i="35"/>
  <c r="DG100" i="35"/>
  <c r="DG114" i="35"/>
  <c r="DG109" i="35"/>
  <c r="DG96" i="35"/>
  <c r="DG148" i="35"/>
  <c r="DG123" i="35"/>
  <c r="DG119" i="35"/>
  <c r="DG115" i="35"/>
  <c r="DG105" i="35"/>
  <c r="DG124" i="35"/>
  <c r="DG110" i="35"/>
  <c r="DG97" i="35"/>
  <c r="DG91" i="35"/>
  <c r="DG87" i="35"/>
  <c r="DG82" i="35"/>
  <c r="DG77" i="35"/>
  <c r="DG125" i="35"/>
  <c r="DG120" i="35"/>
  <c r="DG116" i="35"/>
  <c r="DG106" i="35"/>
  <c r="DG102" i="35"/>
  <c r="DG101" i="35"/>
  <c r="DG83" i="35"/>
  <c r="DG75" i="35"/>
  <c r="DG71" i="35"/>
  <c r="DG67" i="35"/>
  <c r="DG64" i="35"/>
  <c r="DG55" i="35"/>
  <c r="DG52" i="35"/>
  <c r="DG95" i="35"/>
  <c r="DG84" i="35"/>
  <c r="DG58" i="35"/>
  <c r="DG49" i="35"/>
  <c r="DG46" i="35"/>
  <c r="DG38" i="35"/>
  <c r="DG93" i="35"/>
  <c r="DG86" i="35"/>
  <c r="DG79" i="35"/>
  <c r="DG78" i="35"/>
  <c r="DG76" i="35"/>
  <c r="DG72" i="35"/>
  <c r="DG68" i="35"/>
  <c r="DG65" i="35"/>
  <c r="DG61" i="35"/>
  <c r="DG53" i="35"/>
  <c r="DG41" i="35"/>
  <c r="DG88" i="35"/>
  <c r="DG81" i="35"/>
  <c r="DG80" i="35"/>
  <c r="DG56" i="35"/>
  <c r="DG47" i="35"/>
  <c r="DG44" i="35"/>
  <c r="DG66" i="35"/>
  <c r="DG54" i="35"/>
  <c r="DG42" i="35"/>
  <c r="DG74" i="35"/>
  <c r="DG70" i="35"/>
  <c r="DG63" i="35"/>
  <c r="DG57" i="35"/>
  <c r="DG51" i="35"/>
  <c r="DG48" i="35"/>
  <c r="DG45" i="35"/>
  <c r="DG36" i="35"/>
  <c r="DS379" i="35"/>
  <c r="DS382" i="35" s="1"/>
  <c r="Z15" i="35"/>
  <c r="DG15" i="35"/>
  <c r="Z21" i="35"/>
  <c r="DG21" i="35"/>
  <c r="Z33" i="35"/>
  <c r="DG33" i="35"/>
  <c r="DG43" i="35"/>
  <c r="N44" i="35"/>
  <c r="O44" i="35" s="1"/>
  <c r="DG92" i="35"/>
  <c r="Z378" i="35"/>
  <c r="Z372" i="35"/>
  <c r="Z377" i="35"/>
  <c r="Z375" i="35"/>
  <c r="Z370" i="35"/>
  <c r="Z368" i="35"/>
  <c r="Z374" i="35"/>
  <c r="Z360" i="35"/>
  <c r="Z355" i="35"/>
  <c r="Z353" i="35"/>
  <c r="Z373" i="35"/>
  <c r="Z359" i="35"/>
  <c r="Z366" i="35"/>
  <c r="Z364" i="35"/>
  <c r="Z371" i="35"/>
  <c r="Z369" i="35"/>
  <c r="Z358" i="35"/>
  <c r="Z356" i="35"/>
  <c r="Z367" i="35"/>
  <c r="Z365" i="35"/>
  <c r="Z363" i="35"/>
  <c r="Z362" i="35"/>
  <c r="Z361" i="35"/>
  <c r="Z345" i="35"/>
  <c r="Z357" i="35"/>
  <c r="Z351" i="35"/>
  <c r="Z349" i="35"/>
  <c r="Z347" i="35"/>
  <c r="Z376" i="35"/>
  <c r="Z354" i="35"/>
  <c r="Z344" i="35"/>
  <c r="Z342" i="35"/>
  <c r="Z339" i="35"/>
  <c r="Z348" i="35"/>
  <c r="Z336" i="35"/>
  <c r="Z331" i="35"/>
  <c r="Z333" i="35"/>
  <c r="Z350" i="35"/>
  <c r="Z343" i="35"/>
  <c r="Z338" i="35"/>
  <c r="Z341" i="35"/>
  <c r="Z340" i="35"/>
  <c r="Z352" i="35"/>
  <c r="Z337" i="35"/>
  <c r="Z346" i="35"/>
  <c r="Z334" i="35"/>
  <c r="Z327" i="35"/>
  <c r="Z322" i="35"/>
  <c r="Z335" i="35"/>
  <c r="Z319" i="35"/>
  <c r="Z332" i="35"/>
  <c r="Z329" i="35"/>
  <c r="Z324" i="35"/>
  <c r="Z326" i="35"/>
  <c r="Z321" i="35"/>
  <c r="Z328" i="35"/>
  <c r="Z323" i="35"/>
  <c r="Z330" i="35"/>
  <c r="Z320" i="35"/>
  <c r="Z312" i="35"/>
  <c r="Z325" i="35"/>
  <c r="Z317" i="35"/>
  <c r="Z315" i="35"/>
  <c r="Z313" i="35"/>
  <c r="Z308" i="35"/>
  <c r="Z318" i="35"/>
  <c r="Z311" i="35"/>
  <c r="Z316" i="35"/>
  <c r="Z314" i="35"/>
  <c r="Z297" i="35"/>
  <c r="Z295" i="35"/>
  <c r="Z306" i="35"/>
  <c r="Z304" i="35"/>
  <c r="Z302" i="35"/>
  <c r="Z293" i="35"/>
  <c r="Z291" i="35"/>
  <c r="Z289" i="35"/>
  <c r="Z287" i="35"/>
  <c r="Z285" i="35"/>
  <c r="Z300" i="35"/>
  <c r="Z283" i="35"/>
  <c r="Z310" i="35"/>
  <c r="Z298" i="35"/>
  <c r="Z296" i="35"/>
  <c r="Z307" i="35"/>
  <c r="Z305" i="35"/>
  <c r="Z303" i="35"/>
  <c r="Z301" i="35"/>
  <c r="Z294" i="35"/>
  <c r="Z292" i="35"/>
  <c r="Z290" i="35"/>
  <c r="Z288" i="35"/>
  <c r="Z286" i="35"/>
  <c r="Z284" i="35"/>
  <c r="Z282" i="35"/>
  <c r="Z309" i="35"/>
  <c r="Z279" i="35"/>
  <c r="Z266" i="35"/>
  <c r="Z264" i="35"/>
  <c r="Z299" i="35"/>
  <c r="Z277" i="35"/>
  <c r="Z275" i="35"/>
  <c r="Z273" i="35"/>
  <c r="Z271" i="35"/>
  <c r="Z262" i="35"/>
  <c r="Z260" i="35"/>
  <c r="Z269" i="35"/>
  <c r="Z267" i="35"/>
  <c r="Z265" i="35"/>
  <c r="Z280" i="35"/>
  <c r="Z263" i="35"/>
  <c r="Z253" i="35"/>
  <c r="Z251" i="35"/>
  <c r="Z246" i="35"/>
  <c r="Z244" i="35"/>
  <c r="Z242" i="35"/>
  <c r="Z240" i="35"/>
  <c r="Z238" i="35"/>
  <c r="Z278" i="35"/>
  <c r="Z270" i="35"/>
  <c r="Z268" i="35"/>
  <c r="Z249" i="35"/>
  <c r="Z258" i="35"/>
  <c r="Z256" i="35"/>
  <c r="Z254" i="35"/>
  <c r="Z276" i="35"/>
  <c r="Z261" i="35"/>
  <c r="Z252" i="35"/>
  <c r="Z247" i="35"/>
  <c r="Z245" i="35"/>
  <c r="Z243" i="35"/>
  <c r="Z241" i="35"/>
  <c r="Z239" i="35"/>
  <c r="Z259" i="35"/>
  <c r="Z250" i="35"/>
  <c r="Z274" i="35"/>
  <c r="Z257" i="35"/>
  <c r="Z231" i="35"/>
  <c r="Z229" i="35"/>
  <c r="Z227" i="35"/>
  <c r="Z225" i="35"/>
  <c r="Z223" i="35"/>
  <c r="Z221" i="35"/>
  <c r="Z216" i="35"/>
  <c r="Z214" i="35"/>
  <c r="Z212" i="35"/>
  <c r="Z234" i="35"/>
  <c r="Z272" i="35"/>
  <c r="Z232" i="35"/>
  <c r="Z230" i="35"/>
  <c r="Z228" i="35"/>
  <c r="Z226" i="35"/>
  <c r="Z224" i="35"/>
  <c r="Z217" i="35"/>
  <c r="Z255" i="35"/>
  <c r="Z237" i="35"/>
  <c r="Z222" i="35"/>
  <c r="Z220" i="35"/>
  <c r="Z215" i="35"/>
  <c r="Z213" i="35"/>
  <c r="Z248" i="35"/>
  <c r="Z218" i="35"/>
  <c r="Z211" i="35"/>
  <c r="Z209" i="35"/>
  <c r="Z200" i="35"/>
  <c r="Z198" i="35"/>
  <c r="Z196" i="35"/>
  <c r="Z194" i="35"/>
  <c r="Z192" i="35"/>
  <c r="Z189" i="35"/>
  <c r="Z236" i="35"/>
  <c r="Z207" i="35"/>
  <c r="Z205" i="35"/>
  <c r="Z203" i="35"/>
  <c r="Z235" i="35"/>
  <c r="Z210" i="35"/>
  <c r="Z208" i="35"/>
  <c r="Z201" i="35"/>
  <c r="Z199" i="35"/>
  <c r="Z197" i="35"/>
  <c r="Z195" i="35"/>
  <c r="Z193" i="35"/>
  <c r="Z219" i="35"/>
  <c r="Z233" i="35"/>
  <c r="Z206" i="35"/>
  <c r="Z190" i="35"/>
  <c r="Z183" i="35"/>
  <c r="Z204" i="35"/>
  <c r="Z184" i="35"/>
  <c r="Z178" i="35"/>
  <c r="Z202" i="35"/>
  <c r="Z188" i="35"/>
  <c r="Z185" i="35"/>
  <c r="Z179" i="35"/>
  <c r="Z191" i="35"/>
  <c r="Z180" i="35"/>
  <c r="Z181" i="35"/>
  <c r="Z187" i="35"/>
  <c r="Z186" i="35"/>
  <c r="Z182" i="35"/>
  <c r="Z171" i="35"/>
  <c r="Z177" i="35"/>
  <c r="Z176" i="35"/>
  <c r="Z175" i="35"/>
  <c r="Z174" i="35"/>
  <c r="Z166" i="35"/>
  <c r="Z172" i="35"/>
  <c r="Z169" i="35"/>
  <c r="Z161" i="35"/>
  <c r="Z164" i="35"/>
  <c r="Z159" i="35"/>
  <c r="Z167" i="35"/>
  <c r="Z157" i="35"/>
  <c r="Z173" i="35"/>
  <c r="Z170" i="35"/>
  <c r="Z162" i="35"/>
  <c r="Z165" i="35"/>
  <c r="Z155" i="35"/>
  <c r="Z156" i="35"/>
  <c r="Z152" i="35"/>
  <c r="Z144" i="35"/>
  <c r="Z139" i="35"/>
  <c r="Z135" i="35"/>
  <c r="Z131" i="35"/>
  <c r="Z142" i="35"/>
  <c r="Z140" i="35"/>
  <c r="Z168" i="35"/>
  <c r="Z149" i="35"/>
  <c r="Z147" i="35"/>
  <c r="Z136" i="35"/>
  <c r="Z132" i="35"/>
  <c r="Z153" i="35"/>
  <c r="Z145" i="35"/>
  <c r="Z128" i="35"/>
  <c r="Z163" i="35"/>
  <c r="Z158" i="35"/>
  <c r="Z137" i="35"/>
  <c r="Z133" i="35"/>
  <c r="Z160" i="35"/>
  <c r="Z150" i="35"/>
  <c r="Z143" i="35"/>
  <c r="Z141" i="35"/>
  <c r="Z129" i="35"/>
  <c r="Z134" i="35"/>
  <c r="Z126" i="35"/>
  <c r="Z111" i="35"/>
  <c r="Z154" i="35"/>
  <c r="Z130" i="35"/>
  <c r="Z121" i="35"/>
  <c r="Z117" i="35"/>
  <c r="Z107" i="35"/>
  <c r="Z103" i="35"/>
  <c r="Z138" i="35"/>
  <c r="Z112" i="35"/>
  <c r="Z94" i="35"/>
  <c r="Z89" i="35"/>
  <c r="Z85" i="35"/>
  <c r="Z122" i="35"/>
  <c r="Z118" i="35"/>
  <c r="Z113" i="35"/>
  <c r="Z108" i="35"/>
  <c r="Z104" i="35"/>
  <c r="Z100" i="35"/>
  <c r="Z148" i="35"/>
  <c r="Z114" i="35"/>
  <c r="Z109" i="35"/>
  <c r="Z96" i="35"/>
  <c r="Z123" i="35"/>
  <c r="Z119" i="35"/>
  <c r="Z115" i="35"/>
  <c r="Z105" i="35"/>
  <c r="Z127" i="35"/>
  <c r="Z124" i="35"/>
  <c r="Z110" i="35"/>
  <c r="Z97" i="35"/>
  <c r="Z91" i="35"/>
  <c r="Z87" i="35"/>
  <c r="Z82" i="35"/>
  <c r="Z151" i="35"/>
  <c r="Z146" i="35"/>
  <c r="Z125" i="35"/>
  <c r="Z120" i="35"/>
  <c r="Z116" i="35"/>
  <c r="Z106" i="35"/>
  <c r="Z102" i="35"/>
  <c r="Z101" i="35"/>
  <c r="Z75" i="35"/>
  <c r="Z71" i="35"/>
  <c r="Z67" i="35"/>
  <c r="Z64" i="35"/>
  <c r="Z55" i="35"/>
  <c r="Z52" i="35"/>
  <c r="Z98" i="35"/>
  <c r="Z95" i="35"/>
  <c r="Z58" i="35"/>
  <c r="Z49" i="35"/>
  <c r="Z46" i="35"/>
  <c r="Z38" i="35"/>
  <c r="Z76" i="35"/>
  <c r="Z72" i="35"/>
  <c r="Z68" i="35"/>
  <c r="Z65" i="35"/>
  <c r="Z61" i="35"/>
  <c r="Z53" i="35"/>
  <c r="Z41" i="35"/>
  <c r="Z99" i="35"/>
  <c r="Z56" i="35"/>
  <c r="Z47" i="35"/>
  <c r="Z44" i="35"/>
  <c r="Z92" i="35"/>
  <c r="Z88" i="35"/>
  <c r="Z66" i="35"/>
  <c r="Z54" i="35"/>
  <c r="Z42" i="35"/>
  <c r="Z90" i="35"/>
  <c r="Z78" i="35"/>
  <c r="Z74" i="35"/>
  <c r="Z70" i="35"/>
  <c r="Z63" i="35"/>
  <c r="Z57" i="35"/>
  <c r="Z51" i="35"/>
  <c r="Z48" i="35"/>
  <c r="Z45" i="35"/>
  <c r="Z36" i="35"/>
  <c r="DH7" i="35"/>
  <c r="Z14" i="35"/>
  <c r="DG14" i="35"/>
  <c r="Z20" i="35"/>
  <c r="DG20" i="35"/>
  <c r="N23" i="35"/>
  <c r="O23" i="35" s="1"/>
  <c r="Z25" i="35"/>
  <c r="DG25" i="35"/>
  <c r="N27" i="35"/>
  <c r="O27" i="35" s="1"/>
  <c r="Z29" i="35"/>
  <c r="DG29" i="35"/>
  <c r="N31" i="35"/>
  <c r="O31" i="35" s="1"/>
  <c r="Z34" i="35"/>
  <c r="DG34" i="35"/>
  <c r="Z35" i="35"/>
  <c r="Z37" i="35"/>
  <c r="Z43" i="35"/>
  <c r="Z69" i="35"/>
  <c r="Z73" i="35"/>
  <c r="Z77" i="35"/>
  <c r="Y88" i="35"/>
  <c r="Y99" i="35"/>
  <c r="Y100" i="35" s="1"/>
  <c r="Y93" i="35"/>
  <c r="Y95" i="35"/>
  <c r="Y81" i="35"/>
  <c r="Y97" i="35"/>
  <c r="Y73" i="35"/>
  <c r="Y77" i="35"/>
  <c r="Y83" i="35"/>
  <c r="Y84" i="35"/>
  <c r="Y86" i="35"/>
  <c r="Y72" i="35"/>
  <c r="Y76" i="35"/>
  <c r="Y89" i="35"/>
  <c r="Y94" i="35"/>
  <c r="Y87" i="35"/>
  <c r="Y96" i="35"/>
  <c r="Y98" i="35"/>
  <c r="Y71" i="35"/>
  <c r="Y75" i="35"/>
  <c r="Y85" i="35"/>
  <c r="Y79" i="35"/>
  <c r="Y80" i="35"/>
  <c r="T379" i="35"/>
  <c r="V124" i="22"/>
  <c r="V202" i="22"/>
  <c r="V201" i="22"/>
  <c r="V234" i="22"/>
  <c r="V283" i="22"/>
  <c r="V261" i="22"/>
  <c r="V228" i="22"/>
  <c r="V193" i="22"/>
  <c r="V247" i="22"/>
  <c r="V180" i="22"/>
  <c r="V282" i="22"/>
  <c r="V207" i="22"/>
  <c r="V166" i="22"/>
  <c r="V255" i="22"/>
  <c r="V229" i="22"/>
  <c r="V174" i="22"/>
  <c r="V153" i="22"/>
  <c r="V274" i="22"/>
  <c r="V256" i="22"/>
  <c r="V220" i="22"/>
  <c r="V175" i="22"/>
  <c r="V146" i="22"/>
  <c r="AS289" i="22"/>
  <c r="M124" i="22"/>
  <c r="K283" i="22"/>
  <c r="M283" i="22"/>
  <c r="M282" i="22"/>
  <c r="M274" i="22"/>
  <c r="M261" i="22"/>
  <c r="M256" i="22"/>
  <c r="M255" i="22"/>
  <c r="M247" i="22"/>
  <c r="M234" i="22"/>
  <c r="M229" i="22"/>
  <c r="M228" i="22"/>
  <c r="M220" i="22"/>
  <c r="M207" i="22"/>
  <c r="M202" i="22"/>
  <c r="M201" i="22"/>
  <c r="M193" i="22"/>
  <c r="M180" i="22"/>
  <c r="M175" i="22"/>
  <c r="M174" i="22"/>
  <c r="M166" i="22"/>
  <c r="M153" i="22"/>
  <c r="M146" i="22"/>
  <c r="W287" i="22"/>
  <c r="W286" i="22"/>
  <c r="W285" i="22"/>
  <c r="W284" i="22"/>
  <c r="W281" i="22"/>
  <c r="W280" i="22"/>
  <c r="W279" i="22"/>
  <c r="W278" i="22"/>
  <c r="W277" i="22"/>
  <c r="W276" i="22"/>
  <c r="W275" i="22"/>
  <c r="W273" i="22"/>
  <c r="W272" i="22"/>
  <c r="W271" i="22"/>
  <c r="W270" i="22"/>
  <c r="W269" i="22"/>
  <c r="W268" i="22"/>
  <c r="W267" i="22"/>
  <c r="W266" i="22"/>
  <c r="W265" i="22"/>
  <c r="W264" i="22"/>
  <c r="W263" i="22"/>
  <c r="W262" i="22"/>
  <c r="W260" i="22"/>
  <c r="W259" i="22"/>
  <c r="W258" i="22"/>
  <c r="W257" i="22"/>
  <c r="W254" i="22"/>
  <c r="W253" i="22"/>
  <c r="W252" i="22"/>
  <c r="W251" i="22"/>
  <c r="W250" i="22"/>
  <c r="W249" i="22"/>
  <c r="W248" i="22"/>
  <c r="W246" i="22"/>
  <c r="W245" i="22"/>
  <c r="W244" i="22"/>
  <c r="W243" i="22"/>
  <c r="W242" i="22"/>
  <c r="W241" i="22"/>
  <c r="W240" i="22"/>
  <c r="W239" i="22"/>
  <c r="W238" i="22"/>
  <c r="W237" i="22"/>
  <c r="W236" i="22"/>
  <c r="W235" i="22"/>
  <c r="W233" i="22"/>
  <c r="W232" i="22"/>
  <c r="W231" i="22"/>
  <c r="W230" i="22"/>
  <c r="W227" i="22"/>
  <c r="W226" i="22"/>
  <c r="W225" i="22"/>
  <c r="W224" i="22"/>
  <c r="W223" i="22"/>
  <c r="W222" i="22"/>
  <c r="W221" i="22"/>
  <c r="W219" i="22"/>
  <c r="W218" i="22"/>
  <c r="W217" i="22"/>
  <c r="W216" i="22"/>
  <c r="W215" i="22"/>
  <c r="W214" i="22"/>
  <c r="W213" i="22"/>
  <c r="W212" i="22"/>
  <c r="W211" i="22"/>
  <c r="W210" i="22"/>
  <c r="W209" i="22"/>
  <c r="W208" i="22"/>
  <c r="W206" i="22"/>
  <c r="W205" i="22"/>
  <c r="W204" i="22"/>
  <c r="W203" i="22"/>
  <c r="W200" i="22"/>
  <c r="W199" i="22"/>
  <c r="W198" i="22"/>
  <c r="W197" i="22"/>
  <c r="W196" i="22"/>
  <c r="W195" i="22"/>
  <c r="W194" i="22"/>
  <c r="W192" i="22"/>
  <c r="W191" i="22"/>
  <c r="W190" i="22"/>
  <c r="W189" i="22"/>
  <c r="W188" i="22"/>
  <c r="W187" i="22"/>
  <c r="W186" i="22"/>
  <c r="W185" i="22"/>
  <c r="W184" i="22"/>
  <c r="W183" i="22"/>
  <c r="W182" i="22"/>
  <c r="W181" i="22"/>
  <c r="W179" i="22"/>
  <c r="W178" i="22"/>
  <c r="W177" i="22"/>
  <c r="W176" i="22"/>
  <c r="W173" i="22"/>
  <c r="W172" i="22"/>
  <c r="W171" i="22"/>
  <c r="W170" i="22"/>
  <c r="W169" i="22"/>
  <c r="W168" i="22"/>
  <c r="W167" i="22"/>
  <c r="W165" i="22"/>
  <c r="W164" i="22"/>
  <c r="W163" i="22"/>
  <c r="W162" i="22"/>
  <c r="W161" i="22"/>
  <c r="W160" i="22"/>
  <c r="W159" i="22"/>
  <c r="W158" i="22"/>
  <c r="W157" i="22"/>
  <c r="W156" i="22"/>
  <c r="W155" i="22"/>
  <c r="W154" i="22"/>
  <c r="W152" i="22"/>
  <c r="W151" i="22"/>
  <c r="W150" i="22"/>
  <c r="W149" i="22"/>
  <c r="W148" i="22"/>
  <c r="W147" i="22"/>
  <c r="W145" i="22"/>
  <c r="W144" i="22"/>
  <c r="W143" i="22"/>
  <c r="W142" i="22"/>
  <c r="W141" i="22"/>
  <c r="W140" i="22"/>
  <c r="W139" i="22"/>
  <c r="W138" i="22"/>
  <c r="W137" i="22"/>
  <c r="W136" i="22"/>
  <c r="W135" i="22"/>
  <c r="W134" i="22"/>
  <c r="W133" i="22"/>
  <c r="W132" i="22"/>
  <c r="W131" i="22"/>
  <c r="W130" i="22"/>
  <c r="W129" i="22"/>
  <c r="W128" i="22"/>
  <c r="W127" i="22"/>
  <c r="W126" i="22"/>
  <c r="W125" i="22"/>
  <c r="W123" i="22"/>
  <c r="W122" i="22"/>
  <c r="W121" i="22"/>
  <c r="W120" i="22"/>
  <c r="W119" i="22"/>
  <c r="W118" i="22"/>
  <c r="W117" i="22"/>
  <c r="W116" i="22"/>
  <c r="W115" i="22"/>
  <c r="W114" i="22"/>
  <c r="W113" i="22"/>
  <c r="W112" i="22"/>
  <c r="W111" i="22"/>
  <c r="W110" i="22"/>
  <c r="W109" i="22"/>
  <c r="W108" i="22"/>
  <c r="W107" i="22"/>
  <c r="W106" i="22"/>
  <c r="W105" i="22"/>
  <c r="W104" i="22"/>
  <c r="W103" i="22"/>
  <c r="W102" i="22"/>
  <c r="W101" i="22"/>
  <c r="W100" i="22"/>
  <c r="W99" i="22"/>
  <c r="W98" i="22"/>
  <c r="W97" i="22"/>
  <c r="W96" i="22"/>
  <c r="W95" i="22"/>
  <c r="W94" i="22"/>
  <c r="W93" i="22"/>
  <c r="W283" i="22"/>
  <c r="W282" i="22"/>
  <c r="W274" i="22"/>
  <c r="W261" i="22"/>
  <c r="W256" i="22"/>
  <c r="W255" i="22"/>
  <c r="W247" i="22"/>
  <c r="W234" i="22"/>
  <c r="W229" i="22"/>
  <c r="W228" i="22"/>
  <c r="W220" i="22"/>
  <c r="W207" i="22"/>
  <c r="W202" i="22"/>
  <c r="W201" i="22"/>
  <c r="W193" i="22"/>
  <c r="W180" i="22"/>
  <c r="W175" i="22"/>
  <c r="W174" i="22"/>
  <c r="W166" i="22"/>
  <c r="W153" i="22"/>
  <c r="W146" i="22"/>
  <c r="W124" i="22"/>
  <c r="W92" i="22"/>
  <c r="W91" i="22"/>
  <c r="W90" i="22"/>
  <c r="W89" i="22"/>
  <c r="W88" i="22"/>
  <c r="W87" i="22"/>
  <c r="W86" i="22"/>
  <c r="W85" i="22"/>
  <c r="W84" i="22"/>
  <c r="W83" i="22"/>
  <c r="W82" i="22"/>
  <c r="W81" i="22"/>
  <c r="W80" i="22"/>
  <c r="W79" i="22"/>
  <c r="W78" i="22"/>
  <c r="W77" i="22"/>
  <c r="W76" i="22"/>
  <c r="W75" i="22"/>
  <c r="W74" i="22"/>
  <c r="W73" i="22"/>
  <c r="W72" i="22"/>
  <c r="W71" i="22"/>
  <c r="W70" i="22"/>
  <c r="W69" i="22"/>
  <c r="W68" i="22"/>
  <c r="W67" i="22"/>
  <c r="W66" i="22"/>
  <c r="W65" i="22"/>
  <c r="W64" i="22"/>
  <c r="W63" i="22"/>
  <c r="W62" i="22"/>
  <c r="W61" i="22"/>
  <c r="W60" i="22"/>
  <c r="W59" i="22"/>
  <c r="W58" i="22"/>
  <c r="W57" i="22"/>
  <c r="W56" i="22"/>
  <c r="W55" i="22"/>
  <c r="W54" i="22"/>
  <c r="W53" i="22"/>
  <c r="W52" i="22"/>
  <c r="W51" i="22"/>
  <c r="W50" i="22"/>
  <c r="W49" i="22"/>
  <c r="W48" i="22"/>
  <c r="W47" i="22"/>
  <c r="W46" i="22"/>
  <c r="W45" i="22"/>
  <c r="W44" i="22"/>
  <c r="W43" i="22"/>
  <c r="W42" i="22"/>
  <c r="W41" i="22"/>
  <c r="W40" i="22"/>
  <c r="W39" i="22"/>
  <c r="W38" i="22"/>
  <c r="W37" i="22"/>
  <c r="W36" i="22"/>
  <c r="W35" i="22"/>
  <c r="W34" i="22"/>
  <c r="W33" i="22"/>
  <c r="W32" i="22"/>
  <c r="W31" i="22"/>
  <c r="W30" i="22"/>
  <c r="W29" i="22"/>
  <c r="W28" i="22"/>
  <c r="W27" i="22"/>
  <c r="W26" i="22"/>
  <c r="W25" i="22"/>
  <c r="W24" i="22"/>
  <c r="W23" i="22"/>
  <c r="W22" i="22"/>
  <c r="W21" i="22"/>
  <c r="W20" i="22"/>
  <c r="W19" i="22"/>
  <c r="W18" i="22"/>
  <c r="W17" i="22"/>
  <c r="W16" i="22"/>
  <c r="W15" i="22"/>
  <c r="W14" i="22"/>
  <c r="W13" i="22"/>
  <c r="W12" i="22"/>
  <c r="W11" i="22"/>
  <c r="W10" i="22"/>
  <c r="K282" i="22"/>
  <c r="L282" i="22" s="1"/>
  <c r="K10" i="22"/>
  <c r="AD12" i="35" l="1"/>
  <c r="AD10" i="35"/>
  <c r="AE10" i="35" s="1"/>
  <c r="AF10" i="35" s="1"/>
  <c r="AG10" i="35" s="1"/>
  <c r="AD15" i="35"/>
  <c r="AE15" i="35" s="1"/>
  <c r="AD16" i="35"/>
  <c r="AE16" i="35" s="1"/>
  <c r="AD11" i="35"/>
  <c r="AE11" i="35" s="1"/>
  <c r="AD93" i="35"/>
  <c r="AE93" i="35" s="1"/>
  <c r="AD32" i="35"/>
  <c r="AE32" i="35" s="1"/>
  <c r="AD41" i="35"/>
  <c r="AE41" i="35" s="1"/>
  <c r="AD14" i="35"/>
  <c r="AE14" i="35" s="1"/>
  <c r="AD39" i="35"/>
  <c r="AE39" i="35" s="1"/>
  <c r="AD56" i="35"/>
  <c r="AE56" i="35" s="1"/>
  <c r="AD49" i="35"/>
  <c r="AE49" i="35" s="1"/>
  <c r="AD37" i="35"/>
  <c r="AE37" i="35" s="1"/>
  <c r="AD40" i="35"/>
  <c r="AE40" i="35" s="1"/>
  <c r="AD45" i="35"/>
  <c r="AE45" i="35" s="1"/>
  <c r="AD17" i="35"/>
  <c r="AE17" i="35" s="1"/>
  <c r="AD25" i="35"/>
  <c r="AE25" i="35" s="1"/>
  <c r="AD38" i="35"/>
  <c r="AE38" i="35" s="1"/>
  <c r="AD47" i="35"/>
  <c r="AE47" i="35" s="1"/>
  <c r="AD65" i="35"/>
  <c r="AE65" i="35" s="1"/>
  <c r="AD52" i="35"/>
  <c r="AE52" i="35" s="1"/>
  <c r="AD43" i="35"/>
  <c r="AE43" i="35" s="1"/>
  <c r="AD51" i="35"/>
  <c r="AE51" i="35" s="1"/>
  <c r="AD48" i="35"/>
  <c r="AE48" i="35" s="1"/>
  <c r="AD23" i="35"/>
  <c r="AE23" i="35" s="1"/>
  <c r="AD18" i="35"/>
  <c r="AE18" i="35" s="1"/>
  <c r="AD20" i="35"/>
  <c r="AE20" i="35" s="1"/>
  <c r="AD29" i="35"/>
  <c r="AE29" i="35" s="1"/>
  <c r="AD50" i="35"/>
  <c r="AE50" i="35" s="1"/>
  <c r="AD68" i="35"/>
  <c r="AE68" i="35" s="1"/>
  <c r="AD58" i="35"/>
  <c r="AE58" i="35" s="1"/>
  <c r="AD55" i="35"/>
  <c r="AE55" i="35" s="1"/>
  <c r="AD60" i="35"/>
  <c r="AE60" i="35" s="1"/>
  <c r="AD57" i="35"/>
  <c r="AE57" i="35" s="1"/>
  <c r="AD27" i="35"/>
  <c r="AE27" i="35" s="1"/>
  <c r="AD19" i="35"/>
  <c r="AE19" i="35" s="1"/>
  <c r="AD34" i="35"/>
  <c r="AE34" i="35" s="1"/>
  <c r="AD35" i="35"/>
  <c r="AE35" i="35" s="1"/>
  <c r="AD9" i="35"/>
  <c r="AE9" i="35" s="1"/>
  <c r="AD59" i="35"/>
  <c r="AE59" i="35" s="1"/>
  <c r="AF59" i="35" s="1"/>
  <c r="AG59" i="35" s="1"/>
  <c r="AD64" i="35"/>
  <c r="AE64" i="35" s="1"/>
  <c r="AD67" i="35"/>
  <c r="AE67" i="35" s="1"/>
  <c r="AD63" i="35"/>
  <c r="AE63" i="35" s="1"/>
  <c r="AD69" i="35"/>
  <c r="AE69" i="35" s="1"/>
  <c r="AD31" i="35"/>
  <c r="AE31" i="35" s="1"/>
  <c r="AF31" i="35" s="1"/>
  <c r="AG31" i="35" s="1"/>
  <c r="AD21" i="35"/>
  <c r="AE21" i="35" s="1"/>
  <c r="AD36" i="35"/>
  <c r="AE36" i="35" s="1"/>
  <c r="AD13" i="35"/>
  <c r="AE13" i="35" s="1"/>
  <c r="AD91" i="35"/>
  <c r="AE91" i="35" s="1"/>
  <c r="AD78" i="35"/>
  <c r="AE78" i="35" s="1"/>
  <c r="AD70" i="35"/>
  <c r="AE70" i="35" s="1"/>
  <c r="AD8" i="35"/>
  <c r="AE8" i="35" s="1"/>
  <c r="AD26" i="35"/>
  <c r="AE26" i="35" s="1"/>
  <c r="AD42" i="35"/>
  <c r="AE42" i="35" s="1"/>
  <c r="AD24" i="35"/>
  <c r="AE24" i="35" s="1"/>
  <c r="AD30" i="35"/>
  <c r="AE30" i="35" s="1"/>
  <c r="AD54" i="35"/>
  <c r="AE54" i="35" s="1"/>
  <c r="AD28" i="35"/>
  <c r="AE28" i="35" s="1"/>
  <c r="AD44" i="35"/>
  <c r="AE44" i="35" s="1"/>
  <c r="AD82" i="35"/>
  <c r="AE82" i="35" s="1"/>
  <c r="AD66" i="35"/>
  <c r="AE66" i="35" s="1"/>
  <c r="AD22" i="35"/>
  <c r="AE22" i="35" s="1"/>
  <c r="AD33" i="35"/>
  <c r="AE33" i="35" s="1"/>
  <c r="AD61" i="35"/>
  <c r="AE61" i="35" s="1"/>
  <c r="AD62" i="35"/>
  <c r="AE62" i="35" s="1"/>
  <c r="AD53" i="35"/>
  <c r="AE53" i="35" s="1"/>
  <c r="AD46" i="35"/>
  <c r="AE46" i="35" s="1"/>
  <c r="AD97" i="35"/>
  <c r="AE97" i="35" s="1"/>
  <c r="AD90" i="35"/>
  <c r="AE90" i="35" s="1"/>
  <c r="AD92" i="35"/>
  <c r="AE92" i="35" s="1"/>
  <c r="AD86" i="35"/>
  <c r="AE86" i="35" s="1"/>
  <c r="AD95" i="35"/>
  <c r="AE95" i="35" s="1"/>
  <c r="AD87" i="35"/>
  <c r="AE87" i="35" s="1"/>
  <c r="AD100" i="35"/>
  <c r="AE100" i="35" s="1"/>
  <c r="AD98" i="35"/>
  <c r="AE98" i="35" s="1"/>
  <c r="AD72" i="35"/>
  <c r="AE72" i="35" s="1"/>
  <c r="AD80" i="35"/>
  <c r="AE80" i="35" s="1"/>
  <c r="AD73" i="35"/>
  <c r="AE73" i="35" s="1"/>
  <c r="AD76" i="35"/>
  <c r="AE76" i="35" s="1"/>
  <c r="AD71" i="35"/>
  <c r="AE71" i="35" s="1"/>
  <c r="AD83" i="35"/>
  <c r="AE83" i="35" s="1"/>
  <c r="AD94" i="35"/>
  <c r="AE94" i="35" s="1"/>
  <c r="AD77" i="35"/>
  <c r="AE77" i="35" s="1"/>
  <c r="AD99" i="35"/>
  <c r="AE99" i="35" s="1"/>
  <c r="AD89" i="35"/>
  <c r="AE89" i="35" s="1"/>
  <c r="AD75" i="35"/>
  <c r="AE75" i="35" s="1"/>
  <c r="AD79" i="35"/>
  <c r="AE79" i="35" s="1"/>
  <c r="AD74" i="35"/>
  <c r="AE74" i="35" s="1"/>
  <c r="AD84" i="35"/>
  <c r="AE84" i="35" s="1"/>
  <c r="AD96" i="35"/>
  <c r="AE96" i="35" s="1"/>
  <c r="AD85" i="35"/>
  <c r="AE85" i="35" s="1"/>
  <c r="AD81" i="35"/>
  <c r="AE81" i="35" s="1"/>
  <c r="AD88" i="35"/>
  <c r="AE88" i="35" s="1"/>
  <c r="I22" i="4"/>
  <c r="FE7" i="35"/>
  <c r="DK7" i="35"/>
  <c r="AE12" i="35"/>
  <c r="AF12" i="35" s="1"/>
  <c r="AG12" i="35" s="1"/>
  <c r="X21" i="37"/>
  <c r="B37" i="37"/>
  <c r="Z379" i="35"/>
  <c r="DH10" i="35"/>
  <c r="DH12" i="35"/>
  <c r="DH11" i="35"/>
  <c r="P379" i="35"/>
  <c r="DJ25" i="35"/>
  <c r="DK25" i="35" s="1"/>
  <c r="DH25" i="35"/>
  <c r="DJ43" i="35"/>
  <c r="DK43" i="35" s="1"/>
  <c r="DH43" i="35"/>
  <c r="DH36" i="35"/>
  <c r="DJ36" i="35"/>
  <c r="DK36" i="35" s="1"/>
  <c r="DJ42" i="35"/>
  <c r="DK42" i="35" s="1"/>
  <c r="DH42" i="35"/>
  <c r="DJ88" i="35"/>
  <c r="DK88" i="35" s="1"/>
  <c r="DH88" i="35"/>
  <c r="DH78" i="35"/>
  <c r="DJ78" i="35"/>
  <c r="DK78" i="35" s="1"/>
  <c r="DJ84" i="35"/>
  <c r="DK84" i="35" s="1"/>
  <c r="DH84" i="35"/>
  <c r="DH83" i="35"/>
  <c r="DJ83" i="35"/>
  <c r="DK83" i="35" s="1"/>
  <c r="DJ82" i="35"/>
  <c r="DK82" i="35" s="1"/>
  <c r="DH82" i="35"/>
  <c r="DJ119" i="35"/>
  <c r="DK119" i="35" s="1"/>
  <c r="DH119" i="35"/>
  <c r="DJ108" i="35"/>
  <c r="DK108" i="35" s="1"/>
  <c r="DH108" i="35"/>
  <c r="DH94" i="35"/>
  <c r="DJ94" i="35"/>
  <c r="DK94" i="35" s="1"/>
  <c r="DJ134" i="35"/>
  <c r="DK134" i="35" s="1"/>
  <c r="DH134" i="35"/>
  <c r="DH150" i="35"/>
  <c r="DJ150" i="35"/>
  <c r="DK150" i="35" s="1"/>
  <c r="DJ132" i="35"/>
  <c r="DK132" i="35" s="1"/>
  <c r="DH132" i="35"/>
  <c r="DJ156" i="35"/>
  <c r="DK156" i="35" s="1"/>
  <c r="DH156" i="35"/>
  <c r="DJ155" i="35"/>
  <c r="DK155" i="35" s="1"/>
  <c r="DH155" i="35"/>
  <c r="DJ164" i="35"/>
  <c r="DK164" i="35" s="1"/>
  <c r="DH164" i="35"/>
  <c r="DJ171" i="35"/>
  <c r="DK171" i="35" s="1"/>
  <c r="DH171" i="35"/>
  <c r="DJ188" i="35"/>
  <c r="DK188" i="35" s="1"/>
  <c r="DH188" i="35"/>
  <c r="DJ183" i="35"/>
  <c r="DK183" i="35" s="1"/>
  <c r="DH183" i="35"/>
  <c r="DJ208" i="35"/>
  <c r="DK208" i="35" s="1"/>
  <c r="DH208" i="35"/>
  <c r="DJ194" i="35"/>
  <c r="DK194" i="35" s="1"/>
  <c r="DH194" i="35"/>
  <c r="DJ215" i="35"/>
  <c r="DK215" i="35" s="1"/>
  <c r="DH215" i="35"/>
  <c r="DJ226" i="35"/>
  <c r="DK226" i="35" s="1"/>
  <c r="DH226" i="35"/>
  <c r="DH214" i="35"/>
  <c r="DJ214" i="35"/>
  <c r="DK214" i="35" s="1"/>
  <c r="DJ234" i="35"/>
  <c r="DK234" i="35" s="1"/>
  <c r="DH234" i="35"/>
  <c r="DJ243" i="35"/>
  <c r="DK243" i="35" s="1"/>
  <c r="DH243" i="35"/>
  <c r="DH268" i="35"/>
  <c r="DJ268" i="35"/>
  <c r="DK268" i="35" s="1"/>
  <c r="DJ246" i="35"/>
  <c r="DK246" i="35" s="1"/>
  <c r="DH246" i="35"/>
  <c r="DJ299" i="35"/>
  <c r="DK299" i="35" s="1"/>
  <c r="DH299" i="35"/>
  <c r="DJ266" i="35"/>
  <c r="DK266" i="35" s="1"/>
  <c r="DH266" i="35"/>
  <c r="DJ292" i="35"/>
  <c r="DK292" i="35" s="1"/>
  <c r="DH292" i="35"/>
  <c r="DJ281" i="35"/>
  <c r="DK281" i="35" s="1"/>
  <c r="DH281" i="35"/>
  <c r="DH293" i="35"/>
  <c r="DJ293" i="35"/>
  <c r="DK293" i="35" s="1"/>
  <c r="DJ311" i="35"/>
  <c r="DK311" i="35" s="1"/>
  <c r="DH311" i="35"/>
  <c r="DH320" i="35"/>
  <c r="DJ320" i="35"/>
  <c r="DK320" i="35" s="1"/>
  <c r="DJ335" i="35"/>
  <c r="DK335" i="35" s="1"/>
  <c r="DH335" i="35"/>
  <c r="DH337" i="35"/>
  <c r="DJ337" i="35"/>
  <c r="DK337" i="35" s="1"/>
  <c r="DH343" i="35"/>
  <c r="DJ343" i="35"/>
  <c r="DK343" i="35" s="1"/>
  <c r="DH351" i="35"/>
  <c r="DJ351" i="35"/>
  <c r="DK351" i="35" s="1"/>
  <c r="DJ358" i="35"/>
  <c r="DK358" i="35" s="1"/>
  <c r="DH358" i="35"/>
  <c r="DH369" i="35"/>
  <c r="DJ369" i="35"/>
  <c r="DK369" i="35" s="1"/>
  <c r="DH372" i="35"/>
  <c r="DJ372" i="35"/>
  <c r="DK372" i="35" s="1"/>
  <c r="DJ30" i="35"/>
  <c r="DK30" i="35" s="1"/>
  <c r="DH30" i="35"/>
  <c r="DJ19" i="35"/>
  <c r="DK19" i="35" s="1"/>
  <c r="DH19" i="35"/>
  <c r="DJ73" i="35"/>
  <c r="DK73" i="35" s="1"/>
  <c r="DH73" i="35"/>
  <c r="DJ23" i="35"/>
  <c r="DK23" i="35" s="1"/>
  <c r="DH23" i="35"/>
  <c r="DJ35" i="35"/>
  <c r="DK35" i="35" s="1"/>
  <c r="DH35" i="35"/>
  <c r="DJ24" i="35"/>
  <c r="DK24" i="35" s="1"/>
  <c r="DH24" i="35"/>
  <c r="Y130" i="35"/>
  <c r="Y131" i="35" s="1"/>
  <c r="AD131" i="35" s="1"/>
  <c r="Y127" i="35"/>
  <c r="Y128" i="35"/>
  <c r="Y125" i="35"/>
  <c r="Y120" i="35"/>
  <c r="AD120" i="35" s="1"/>
  <c r="Y116" i="35"/>
  <c r="AD116" i="35" s="1"/>
  <c r="Y106" i="35"/>
  <c r="AD106" i="35" s="1"/>
  <c r="Y102" i="35"/>
  <c r="Y129" i="35"/>
  <c r="AD129" i="35" s="1"/>
  <c r="Y126" i="35"/>
  <c r="Y111" i="35"/>
  <c r="Y121" i="35"/>
  <c r="Y117" i="35"/>
  <c r="AD117" i="35" s="1"/>
  <c r="Y107" i="35"/>
  <c r="Y103" i="35"/>
  <c r="AD103" i="35" s="1"/>
  <c r="Y112" i="35"/>
  <c r="AD112" i="35" s="1"/>
  <c r="Y122" i="35"/>
  <c r="Y118" i="35"/>
  <c r="Y113" i="35"/>
  <c r="AD113" i="35" s="1"/>
  <c r="Y108" i="35"/>
  <c r="Y104" i="35"/>
  <c r="AD104" i="35" s="1"/>
  <c r="Y114" i="35"/>
  <c r="Y109" i="35"/>
  <c r="AD109" i="35" s="1"/>
  <c r="Y123" i="35"/>
  <c r="AD123" i="35" s="1"/>
  <c r="Y119" i="35"/>
  <c r="Y115" i="35"/>
  <c r="Y105" i="35"/>
  <c r="Y101" i="35"/>
  <c r="Y124" i="35"/>
  <c r="Y110" i="35"/>
  <c r="AD110" i="35" s="1"/>
  <c r="DH33" i="35"/>
  <c r="DJ33" i="35"/>
  <c r="DK33" i="35" s="1"/>
  <c r="DH45" i="35"/>
  <c r="DJ45" i="35"/>
  <c r="DK45" i="35" s="1"/>
  <c r="DJ54" i="35"/>
  <c r="DK54" i="35" s="1"/>
  <c r="DH54" i="35"/>
  <c r="DH41" i="35"/>
  <c r="DJ41" i="35"/>
  <c r="DK41" i="35" s="1"/>
  <c r="DJ79" i="35"/>
  <c r="DK79" i="35" s="1"/>
  <c r="DH79" i="35"/>
  <c r="DH95" i="35"/>
  <c r="DJ95" i="35"/>
  <c r="DK95" i="35" s="1"/>
  <c r="DJ101" i="35"/>
  <c r="DK101" i="35" s="1"/>
  <c r="DH101" i="35"/>
  <c r="DJ87" i="35"/>
  <c r="DK87" i="35" s="1"/>
  <c r="DH87" i="35"/>
  <c r="DJ123" i="35"/>
  <c r="DK123" i="35" s="1"/>
  <c r="DH123" i="35"/>
  <c r="DJ113" i="35"/>
  <c r="DK113" i="35" s="1"/>
  <c r="DH113" i="35"/>
  <c r="DJ112" i="35"/>
  <c r="DK112" i="35" s="1"/>
  <c r="DH112" i="35"/>
  <c r="DJ98" i="35"/>
  <c r="DK98" i="35" s="1"/>
  <c r="DH98" i="35"/>
  <c r="DH154" i="35"/>
  <c r="DJ154" i="35"/>
  <c r="DK154" i="35" s="1"/>
  <c r="DJ136" i="35"/>
  <c r="DK136" i="35" s="1"/>
  <c r="DH136" i="35"/>
  <c r="DJ163" i="35"/>
  <c r="DK163" i="35" s="1"/>
  <c r="DH163" i="35"/>
  <c r="DJ165" i="35"/>
  <c r="DK165" i="35" s="1"/>
  <c r="DH165" i="35"/>
  <c r="DH161" i="35"/>
  <c r="DJ161" i="35"/>
  <c r="DK161" i="35" s="1"/>
  <c r="DJ177" i="35"/>
  <c r="DK177" i="35" s="1"/>
  <c r="DH177" i="35"/>
  <c r="DJ179" i="35"/>
  <c r="DK179" i="35" s="1"/>
  <c r="DH179" i="35"/>
  <c r="DJ191" i="35"/>
  <c r="DK191" i="35" s="1"/>
  <c r="DH191" i="35"/>
  <c r="DJ210" i="35"/>
  <c r="DK210" i="35" s="1"/>
  <c r="DH210" i="35"/>
  <c r="DJ196" i="35"/>
  <c r="DK196" i="35" s="1"/>
  <c r="DH196" i="35"/>
  <c r="DJ220" i="35"/>
  <c r="DK220" i="35" s="1"/>
  <c r="DH220" i="35"/>
  <c r="DJ228" i="35"/>
  <c r="DK228" i="35" s="1"/>
  <c r="DH228" i="35"/>
  <c r="DH216" i="35"/>
  <c r="DJ216" i="35"/>
  <c r="DK216" i="35" s="1"/>
  <c r="DJ257" i="35"/>
  <c r="DK257" i="35" s="1"/>
  <c r="DH257" i="35"/>
  <c r="DH245" i="35"/>
  <c r="DJ245" i="35"/>
  <c r="DK245" i="35" s="1"/>
  <c r="DJ278" i="35"/>
  <c r="DK278" i="35" s="1"/>
  <c r="DH278" i="35"/>
  <c r="DJ251" i="35"/>
  <c r="DK251" i="35" s="1"/>
  <c r="DH251" i="35"/>
  <c r="DH260" i="35"/>
  <c r="DJ260" i="35"/>
  <c r="DK260" i="35" s="1"/>
  <c r="DJ279" i="35"/>
  <c r="DK279" i="35" s="1"/>
  <c r="DH279" i="35"/>
  <c r="DJ294" i="35"/>
  <c r="DK294" i="35" s="1"/>
  <c r="DH294" i="35"/>
  <c r="DH283" i="35"/>
  <c r="DJ283" i="35"/>
  <c r="DK283" i="35" s="1"/>
  <c r="DH302" i="35"/>
  <c r="DJ302" i="35"/>
  <c r="DK302" i="35" s="1"/>
  <c r="DJ317" i="35"/>
  <c r="DK317" i="35" s="1"/>
  <c r="DH317" i="35"/>
  <c r="DJ323" i="35"/>
  <c r="DK323" i="35" s="1"/>
  <c r="DH323" i="35"/>
  <c r="DH319" i="35"/>
  <c r="DJ319" i="35"/>
  <c r="DK319" i="35" s="1"/>
  <c r="DH341" i="35"/>
  <c r="DJ341" i="35"/>
  <c r="DK341" i="35" s="1"/>
  <c r="DJ350" i="35"/>
  <c r="DK350" i="35" s="1"/>
  <c r="DH350" i="35"/>
  <c r="DH352" i="35"/>
  <c r="DJ352" i="35"/>
  <c r="DK352" i="35" s="1"/>
  <c r="DH366" i="35"/>
  <c r="DJ366" i="35"/>
  <c r="DK366" i="35" s="1"/>
  <c r="DH371" i="35"/>
  <c r="DJ371" i="35"/>
  <c r="DK371" i="35" s="1"/>
  <c r="DJ378" i="35"/>
  <c r="DK378" i="35" s="1"/>
  <c r="DH378" i="35"/>
  <c r="DJ39" i="35"/>
  <c r="DK39" i="35" s="1"/>
  <c r="DH39" i="35"/>
  <c r="DJ69" i="35"/>
  <c r="DK69" i="35" s="1"/>
  <c r="DH69" i="35"/>
  <c r="DJ50" i="35"/>
  <c r="DK50" i="35" s="1"/>
  <c r="DH50" i="35"/>
  <c r="DJ34" i="35"/>
  <c r="DK34" i="35" s="1"/>
  <c r="DH34" i="35"/>
  <c r="DH48" i="35"/>
  <c r="DJ48" i="35"/>
  <c r="DK48" i="35" s="1"/>
  <c r="DJ66" i="35"/>
  <c r="DK66" i="35" s="1"/>
  <c r="DH66" i="35"/>
  <c r="DJ53" i="35"/>
  <c r="DK53" i="35" s="1"/>
  <c r="DH53" i="35"/>
  <c r="DJ86" i="35"/>
  <c r="DK86" i="35" s="1"/>
  <c r="DH86" i="35"/>
  <c r="DJ52" i="35"/>
  <c r="DK52" i="35" s="1"/>
  <c r="DH52" i="35"/>
  <c r="DJ102" i="35"/>
  <c r="DK102" i="35" s="1"/>
  <c r="DH102" i="35"/>
  <c r="DJ91" i="35"/>
  <c r="DK91" i="35" s="1"/>
  <c r="DH91" i="35"/>
  <c r="DJ148" i="35"/>
  <c r="DK148" i="35" s="1"/>
  <c r="DH148" i="35"/>
  <c r="DJ118" i="35"/>
  <c r="DK118" i="35" s="1"/>
  <c r="DH118" i="35"/>
  <c r="DJ130" i="35"/>
  <c r="DK130" i="35" s="1"/>
  <c r="DH130" i="35"/>
  <c r="DJ111" i="35"/>
  <c r="DK111" i="35" s="1"/>
  <c r="DH111" i="35"/>
  <c r="DJ133" i="35"/>
  <c r="DK133" i="35" s="1"/>
  <c r="DH133" i="35"/>
  <c r="DJ147" i="35"/>
  <c r="DK147" i="35" s="1"/>
  <c r="DH147" i="35"/>
  <c r="DH131" i="35"/>
  <c r="DJ131" i="35"/>
  <c r="DK131" i="35" s="1"/>
  <c r="DJ162" i="35"/>
  <c r="DK162" i="35" s="1"/>
  <c r="DH162" i="35"/>
  <c r="DJ169" i="35"/>
  <c r="DK169" i="35" s="1"/>
  <c r="DH169" i="35"/>
  <c r="DJ182" i="35"/>
  <c r="DK182" i="35" s="1"/>
  <c r="DH182" i="35"/>
  <c r="DJ185" i="35"/>
  <c r="DK185" i="35" s="1"/>
  <c r="DH185" i="35"/>
  <c r="DJ206" i="35"/>
  <c r="DK206" i="35" s="1"/>
  <c r="DH206" i="35"/>
  <c r="DJ203" i="35"/>
  <c r="DK203" i="35" s="1"/>
  <c r="DH203" i="35"/>
  <c r="DJ198" i="35"/>
  <c r="DK198" i="35" s="1"/>
  <c r="DH198" i="35"/>
  <c r="DJ222" i="35"/>
  <c r="DK222" i="35" s="1"/>
  <c r="DH222" i="35"/>
  <c r="DJ230" i="35"/>
  <c r="DK230" i="35" s="1"/>
  <c r="DH230" i="35"/>
  <c r="DH221" i="35"/>
  <c r="DJ221" i="35"/>
  <c r="DK221" i="35" s="1"/>
  <c r="DJ274" i="35"/>
  <c r="DK274" i="35" s="1"/>
  <c r="DH274" i="35"/>
  <c r="DJ247" i="35"/>
  <c r="DK247" i="35" s="1"/>
  <c r="DH247" i="35"/>
  <c r="DJ249" i="35"/>
  <c r="DK249" i="35" s="1"/>
  <c r="DH249" i="35"/>
  <c r="DJ253" i="35"/>
  <c r="DK253" i="35" s="1"/>
  <c r="DH253" i="35"/>
  <c r="DH262" i="35"/>
  <c r="DJ262" i="35"/>
  <c r="DK262" i="35" s="1"/>
  <c r="DH282" i="35"/>
  <c r="DJ282" i="35"/>
  <c r="DK282" i="35" s="1"/>
  <c r="DJ301" i="35"/>
  <c r="DK301" i="35" s="1"/>
  <c r="DH301" i="35"/>
  <c r="DJ300" i="35"/>
  <c r="DK300" i="35" s="1"/>
  <c r="DH300" i="35"/>
  <c r="DH304" i="35"/>
  <c r="DJ304" i="35"/>
  <c r="DK304" i="35" s="1"/>
  <c r="DJ306" i="35"/>
  <c r="DK306" i="35" s="1"/>
  <c r="DH306" i="35"/>
  <c r="DJ328" i="35"/>
  <c r="DK328" i="35" s="1"/>
  <c r="DH328" i="35"/>
  <c r="DJ322" i="35"/>
  <c r="DK322" i="35" s="1"/>
  <c r="DH322" i="35"/>
  <c r="DJ346" i="35"/>
  <c r="DK346" i="35" s="1"/>
  <c r="DH346" i="35"/>
  <c r="DJ339" i="35"/>
  <c r="DK339" i="35" s="1"/>
  <c r="DH339" i="35"/>
  <c r="DJ345" i="35"/>
  <c r="DK345" i="35" s="1"/>
  <c r="DH345" i="35"/>
  <c r="DJ353" i="35"/>
  <c r="DK353" i="35" s="1"/>
  <c r="DH353" i="35"/>
  <c r="DJ376" i="35"/>
  <c r="DK376" i="35" s="1"/>
  <c r="DH376" i="35"/>
  <c r="DJ373" i="35"/>
  <c r="DK373" i="35" s="1"/>
  <c r="DH373" i="35"/>
  <c r="DJ60" i="35"/>
  <c r="DK60" i="35" s="1"/>
  <c r="DH60" i="35"/>
  <c r="DJ18" i="35"/>
  <c r="DK18" i="35" s="1"/>
  <c r="DH18" i="35"/>
  <c r="DJ90" i="35"/>
  <c r="DK90" i="35" s="1"/>
  <c r="DH90" i="35"/>
  <c r="DJ8" i="35"/>
  <c r="DK8" i="35" s="1"/>
  <c r="DH8" i="35"/>
  <c r="DJ20" i="35"/>
  <c r="DK20" i="35" s="1"/>
  <c r="DH20" i="35"/>
  <c r="DH21" i="35"/>
  <c r="DJ21" i="35"/>
  <c r="DK21" i="35" s="1"/>
  <c r="DH51" i="35"/>
  <c r="DJ51" i="35"/>
  <c r="DK51" i="35" s="1"/>
  <c r="DJ44" i="35"/>
  <c r="DK44" i="35" s="1"/>
  <c r="DH44" i="35"/>
  <c r="DJ61" i="35"/>
  <c r="DK61" i="35" s="1"/>
  <c r="DH61" i="35"/>
  <c r="DJ93" i="35"/>
  <c r="DK93" i="35" s="1"/>
  <c r="DH93" i="35"/>
  <c r="DJ55" i="35"/>
  <c r="DK55" i="35" s="1"/>
  <c r="DH55" i="35"/>
  <c r="DJ106" i="35"/>
  <c r="DK106" i="35" s="1"/>
  <c r="DH106" i="35"/>
  <c r="DJ97" i="35"/>
  <c r="DK97" i="35" s="1"/>
  <c r="DH97" i="35"/>
  <c r="DJ96" i="35"/>
  <c r="DK96" i="35" s="1"/>
  <c r="DH96" i="35"/>
  <c r="DJ122" i="35"/>
  <c r="DK122" i="35" s="1"/>
  <c r="DH122" i="35"/>
  <c r="DH99" i="35"/>
  <c r="DJ99" i="35"/>
  <c r="DK99" i="35" s="1"/>
  <c r="DJ126" i="35"/>
  <c r="DK126" i="35" s="1"/>
  <c r="DH126" i="35"/>
  <c r="DJ137" i="35"/>
  <c r="DK137" i="35" s="1"/>
  <c r="DH137" i="35"/>
  <c r="DJ160" i="35"/>
  <c r="DK160" i="35" s="1"/>
  <c r="DH160" i="35"/>
  <c r="DH135" i="35"/>
  <c r="DJ135" i="35"/>
  <c r="DK135" i="35" s="1"/>
  <c r="DJ170" i="35"/>
  <c r="DK170" i="35" s="1"/>
  <c r="DH170" i="35"/>
  <c r="DJ172" i="35"/>
  <c r="DK172" i="35" s="1"/>
  <c r="DH172" i="35"/>
  <c r="DH186" i="35"/>
  <c r="DJ186" i="35"/>
  <c r="DK186" i="35" s="1"/>
  <c r="DJ202" i="35"/>
  <c r="DK202" i="35" s="1"/>
  <c r="DH202" i="35"/>
  <c r="DJ193" i="35"/>
  <c r="DK193" i="35" s="1"/>
  <c r="DH193" i="35"/>
  <c r="DJ205" i="35"/>
  <c r="DK205" i="35" s="1"/>
  <c r="DH205" i="35"/>
  <c r="DJ200" i="35"/>
  <c r="DK200" i="35" s="1"/>
  <c r="DH200" i="35"/>
  <c r="DJ235" i="35"/>
  <c r="DK235" i="35" s="1"/>
  <c r="DH235" i="35"/>
  <c r="DJ232" i="35"/>
  <c r="DK232" i="35" s="1"/>
  <c r="DH232" i="35"/>
  <c r="DJ223" i="35"/>
  <c r="DK223" i="35" s="1"/>
  <c r="DH223" i="35"/>
  <c r="DJ250" i="35"/>
  <c r="DK250" i="35" s="1"/>
  <c r="DH250" i="35"/>
  <c r="DJ252" i="35"/>
  <c r="DK252" i="35" s="1"/>
  <c r="DH252" i="35"/>
  <c r="DH258" i="35"/>
  <c r="DJ258" i="35"/>
  <c r="DK258" i="35" s="1"/>
  <c r="DH270" i="35"/>
  <c r="DJ270" i="35"/>
  <c r="DK270" i="35" s="1"/>
  <c r="DH271" i="35"/>
  <c r="DJ271" i="35"/>
  <c r="DK271" i="35" s="1"/>
  <c r="DH284" i="35"/>
  <c r="DJ284" i="35"/>
  <c r="DK284" i="35" s="1"/>
  <c r="DJ303" i="35"/>
  <c r="DK303" i="35" s="1"/>
  <c r="DH303" i="35"/>
  <c r="DJ310" i="35"/>
  <c r="DK310" i="35" s="1"/>
  <c r="DH310" i="35"/>
  <c r="DJ295" i="35"/>
  <c r="DK295" i="35" s="1"/>
  <c r="DH295" i="35"/>
  <c r="DJ308" i="35"/>
  <c r="DK308" i="35" s="1"/>
  <c r="DH308" i="35"/>
  <c r="DJ321" i="35"/>
  <c r="DK321" i="35" s="1"/>
  <c r="DH321" i="35"/>
  <c r="DJ327" i="35"/>
  <c r="DK327" i="35" s="1"/>
  <c r="DH327" i="35"/>
  <c r="DH354" i="35"/>
  <c r="DJ354" i="35"/>
  <c r="DK354" i="35" s="1"/>
  <c r="DJ357" i="35"/>
  <c r="DK357" i="35" s="1"/>
  <c r="DH357" i="35"/>
  <c r="DH360" i="35"/>
  <c r="DJ360" i="35"/>
  <c r="DK360" i="35" s="1"/>
  <c r="DJ355" i="35"/>
  <c r="DK355" i="35" s="1"/>
  <c r="DH355" i="35"/>
  <c r="DJ374" i="35"/>
  <c r="DK374" i="35" s="1"/>
  <c r="DH374" i="35"/>
  <c r="DJ26" i="35"/>
  <c r="DK26" i="35" s="1"/>
  <c r="DH26" i="35"/>
  <c r="DJ9" i="35"/>
  <c r="DK9" i="35" s="1"/>
  <c r="DH9" i="35"/>
  <c r="DH57" i="35"/>
  <c r="DJ57" i="35"/>
  <c r="DK57" i="35" s="1"/>
  <c r="DJ47" i="35"/>
  <c r="DK47" i="35" s="1"/>
  <c r="DH47" i="35"/>
  <c r="DJ65" i="35"/>
  <c r="DK65" i="35" s="1"/>
  <c r="DH65" i="35"/>
  <c r="DH38" i="35"/>
  <c r="DJ38" i="35"/>
  <c r="DK38" i="35" s="1"/>
  <c r="DJ64" i="35"/>
  <c r="DK64" i="35" s="1"/>
  <c r="DH64" i="35"/>
  <c r="DJ116" i="35"/>
  <c r="DK116" i="35" s="1"/>
  <c r="DH116" i="35"/>
  <c r="DJ110" i="35"/>
  <c r="DK110" i="35" s="1"/>
  <c r="DH110" i="35"/>
  <c r="DJ109" i="35"/>
  <c r="DK109" i="35" s="1"/>
  <c r="DH109" i="35"/>
  <c r="DJ138" i="35"/>
  <c r="DK138" i="35" s="1"/>
  <c r="DH138" i="35"/>
  <c r="DH103" i="35"/>
  <c r="DJ103" i="35"/>
  <c r="DK103" i="35" s="1"/>
  <c r="DJ146" i="35"/>
  <c r="DK146" i="35" s="1"/>
  <c r="DH146" i="35"/>
  <c r="DH149" i="35"/>
  <c r="DJ149" i="35"/>
  <c r="DK149" i="35" s="1"/>
  <c r="DJ127" i="35"/>
  <c r="DK127" i="35" s="1"/>
  <c r="DH127" i="35"/>
  <c r="DH139" i="35"/>
  <c r="DJ139" i="35"/>
  <c r="DK139" i="35" s="1"/>
  <c r="DJ173" i="35"/>
  <c r="DK173" i="35" s="1"/>
  <c r="DH173" i="35"/>
  <c r="DJ166" i="35"/>
  <c r="DK166" i="35" s="1"/>
  <c r="DH166" i="35"/>
  <c r="DJ219" i="35"/>
  <c r="DK219" i="35" s="1"/>
  <c r="DH219" i="35"/>
  <c r="DJ178" i="35"/>
  <c r="DK178" i="35" s="1"/>
  <c r="DH178" i="35"/>
  <c r="DJ195" i="35"/>
  <c r="DK195" i="35" s="1"/>
  <c r="DH195" i="35"/>
  <c r="DH207" i="35"/>
  <c r="DJ207" i="35"/>
  <c r="DK207" i="35" s="1"/>
  <c r="DJ209" i="35"/>
  <c r="DK209" i="35" s="1"/>
  <c r="DH209" i="35"/>
  <c r="DJ255" i="35"/>
  <c r="DK255" i="35" s="1"/>
  <c r="DH255" i="35"/>
  <c r="DJ236" i="35"/>
  <c r="DK236" i="35" s="1"/>
  <c r="DH236" i="35"/>
  <c r="DJ225" i="35"/>
  <c r="DK225" i="35" s="1"/>
  <c r="DH225" i="35"/>
  <c r="DH272" i="35"/>
  <c r="DJ272" i="35"/>
  <c r="DK272" i="35" s="1"/>
  <c r="DJ254" i="35"/>
  <c r="DK254" i="35" s="1"/>
  <c r="DH254" i="35"/>
  <c r="DH238" i="35"/>
  <c r="DJ238" i="35"/>
  <c r="DK238" i="35" s="1"/>
  <c r="DJ265" i="35"/>
  <c r="DK265" i="35" s="1"/>
  <c r="DH265" i="35"/>
  <c r="DH273" i="35"/>
  <c r="DJ273" i="35"/>
  <c r="DK273" i="35" s="1"/>
  <c r="DJ309" i="35"/>
  <c r="DK309" i="35" s="1"/>
  <c r="DH309" i="35"/>
  <c r="DJ305" i="35"/>
  <c r="DK305" i="35" s="1"/>
  <c r="DH305" i="35"/>
  <c r="DH285" i="35"/>
  <c r="DJ285" i="35"/>
  <c r="DK285" i="35" s="1"/>
  <c r="DJ297" i="35"/>
  <c r="DK297" i="35" s="1"/>
  <c r="DH297" i="35"/>
  <c r="DJ313" i="35"/>
  <c r="DK313" i="35" s="1"/>
  <c r="DH313" i="35"/>
  <c r="DJ326" i="35"/>
  <c r="DK326" i="35" s="1"/>
  <c r="DH326" i="35"/>
  <c r="DJ332" i="35"/>
  <c r="DK332" i="35" s="1"/>
  <c r="DH332" i="35"/>
  <c r="DJ338" i="35"/>
  <c r="DK338" i="35" s="1"/>
  <c r="DH338" i="35"/>
  <c r="DJ342" i="35"/>
  <c r="DK342" i="35" s="1"/>
  <c r="DH342" i="35"/>
  <c r="DH361" i="35"/>
  <c r="DJ361" i="35"/>
  <c r="DK361" i="35" s="1"/>
  <c r="DJ359" i="35"/>
  <c r="DK359" i="35" s="1"/>
  <c r="DH359" i="35"/>
  <c r="DH368" i="35"/>
  <c r="DJ368" i="35"/>
  <c r="DK368" i="35" s="1"/>
  <c r="DJ17" i="35"/>
  <c r="DK17" i="35" s="1"/>
  <c r="DH17" i="35"/>
  <c r="DJ31" i="35"/>
  <c r="DK31" i="35" s="1"/>
  <c r="DH31" i="35"/>
  <c r="DJ29" i="35"/>
  <c r="DK29" i="35" s="1"/>
  <c r="DH29" i="35"/>
  <c r="DJ14" i="35"/>
  <c r="DK14" i="35" s="1"/>
  <c r="DH14" i="35"/>
  <c r="DH15" i="35"/>
  <c r="DJ15" i="35"/>
  <c r="DK15" i="35" s="1"/>
  <c r="DH63" i="35"/>
  <c r="DJ63" i="35"/>
  <c r="DK63" i="35" s="1"/>
  <c r="DJ56" i="35"/>
  <c r="DK56" i="35" s="1"/>
  <c r="DH56" i="35"/>
  <c r="DJ68" i="35"/>
  <c r="DK68" i="35" s="1"/>
  <c r="DH68" i="35"/>
  <c r="DH46" i="35"/>
  <c r="DJ46" i="35"/>
  <c r="DK46" i="35" s="1"/>
  <c r="DJ67" i="35"/>
  <c r="DK67" i="35" s="1"/>
  <c r="DH67" i="35"/>
  <c r="DJ120" i="35"/>
  <c r="DK120" i="35" s="1"/>
  <c r="DH120" i="35"/>
  <c r="DJ124" i="35"/>
  <c r="DK124" i="35" s="1"/>
  <c r="DH124" i="35"/>
  <c r="DJ114" i="35"/>
  <c r="DK114" i="35" s="1"/>
  <c r="DH114" i="35"/>
  <c r="DH151" i="35"/>
  <c r="DJ151" i="35"/>
  <c r="DK151" i="35" s="1"/>
  <c r="DH107" i="35"/>
  <c r="DJ107" i="35"/>
  <c r="DK107" i="35" s="1"/>
  <c r="DJ129" i="35"/>
  <c r="DK129" i="35" s="1"/>
  <c r="DH129" i="35"/>
  <c r="DJ128" i="35"/>
  <c r="DK128" i="35" s="1"/>
  <c r="DH128" i="35"/>
  <c r="DJ140" i="35"/>
  <c r="DK140" i="35" s="1"/>
  <c r="DH140" i="35"/>
  <c r="DH144" i="35"/>
  <c r="DJ144" i="35"/>
  <c r="DK144" i="35" s="1"/>
  <c r="DJ157" i="35"/>
  <c r="DK157" i="35" s="1"/>
  <c r="DH157" i="35"/>
  <c r="DH174" i="35"/>
  <c r="DJ174" i="35"/>
  <c r="DK174" i="35" s="1"/>
  <c r="DJ181" i="35"/>
  <c r="DK181" i="35" s="1"/>
  <c r="DH181" i="35"/>
  <c r="DH184" i="35"/>
  <c r="DJ184" i="35"/>
  <c r="DK184" i="35" s="1"/>
  <c r="DJ197" i="35"/>
  <c r="DK197" i="35" s="1"/>
  <c r="DH197" i="35"/>
  <c r="DJ218" i="35"/>
  <c r="DK218" i="35" s="1"/>
  <c r="DH218" i="35"/>
  <c r="DJ211" i="35"/>
  <c r="DK211" i="35" s="1"/>
  <c r="DH211" i="35"/>
  <c r="DH261" i="35"/>
  <c r="DJ261" i="35"/>
  <c r="DK261" i="35" s="1"/>
  <c r="DJ233" i="35"/>
  <c r="DK233" i="35" s="1"/>
  <c r="DH233" i="35"/>
  <c r="DJ227" i="35"/>
  <c r="DK227" i="35" s="1"/>
  <c r="DH227" i="35"/>
  <c r="DJ276" i="35"/>
  <c r="DK276" i="35" s="1"/>
  <c r="DH276" i="35"/>
  <c r="DJ256" i="35"/>
  <c r="DK256" i="35" s="1"/>
  <c r="DH256" i="35"/>
  <c r="DJ240" i="35"/>
  <c r="DK240" i="35" s="1"/>
  <c r="DH240" i="35"/>
  <c r="DJ267" i="35"/>
  <c r="DK267" i="35" s="1"/>
  <c r="DH267" i="35"/>
  <c r="DH275" i="35"/>
  <c r="DJ275" i="35"/>
  <c r="DK275" i="35" s="1"/>
  <c r="DJ286" i="35"/>
  <c r="DK286" i="35" s="1"/>
  <c r="DH286" i="35"/>
  <c r="DJ307" i="35"/>
  <c r="DK307" i="35" s="1"/>
  <c r="DH307" i="35"/>
  <c r="DH287" i="35"/>
  <c r="DJ287" i="35"/>
  <c r="DK287" i="35" s="1"/>
  <c r="DJ314" i="35"/>
  <c r="DK314" i="35" s="1"/>
  <c r="DH314" i="35"/>
  <c r="DJ315" i="35"/>
  <c r="DK315" i="35" s="1"/>
  <c r="DH315" i="35"/>
  <c r="DJ330" i="35"/>
  <c r="DK330" i="35" s="1"/>
  <c r="DH330" i="35"/>
  <c r="DJ334" i="35"/>
  <c r="DK334" i="35" s="1"/>
  <c r="DH334" i="35"/>
  <c r="DJ333" i="35"/>
  <c r="DK333" i="35" s="1"/>
  <c r="DH333" i="35"/>
  <c r="DJ344" i="35"/>
  <c r="DK344" i="35" s="1"/>
  <c r="DH344" i="35"/>
  <c r="DJ362" i="35"/>
  <c r="DK362" i="35" s="1"/>
  <c r="DH362" i="35"/>
  <c r="DJ363" i="35"/>
  <c r="DK363" i="35" s="1"/>
  <c r="DH363" i="35"/>
  <c r="DH370" i="35"/>
  <c r="DJ370" i="35"/>
  <c r="DK370" i="35" s="1"/>
  <c r="DJ37" i="35"/>
  <c r="DK37" i="35" s="1"/>
  <c r="DH37" i="35"/>
  <c r="DJ27" i="35"/>
  <c r="DK27" i="35" s="1"/>
  <c r="DH27" i="35"/>
  <c r="DJ28" i="35"/>
  <c r="DK28" i="35" s="1"/>
  <c r="DH28" i="35"/>
  <c r="DJ92" i="35"/>
  <c r="DK92" i="35" s="1"/>
  <c r="DH92" i="35"/>
  <c r="DH70" i="35"/>
  <c r="DJ70" i="35"/>
  <c r="DK70" i="35" s="1"/>
  <c r="DJ80" i="35"/>
  <c r="DK80" i="35" s="1"/>
  <c r="DH80" i="35"/>
  <c r="DJ72" i="35"/>
  <c r="DK72" i="35" s="1"/>
  <c r="DH72" i="35"/>
  <c r="DH49" i="35"/>
  <c r="DJ49" i="35"/>
  <c r="DK49" i="35" s="1"/>
  <c r="DJ71" i="35"/>
  <c r="DK71" i="35" s="1"/>
  <c r="DH71" i="35"/>
  <c r="DJ125" i="35"/>
  <c r="DK125" i="35" s="1"/>
  <c r="DH125" i="35"/>
  <c r="DJ105" i="35"/>
  <c r="DK105" i="35" s="1"/>
  <c r="DH105" i="35"/>
  <c r="DJ100" i="35"/>
  <c r="DK100" i="35" s="1"/>
  <c r="DH100" i="35"/>
  <c r="DH85" i="35"/>
  <c r="DJ85" i="35"/>
  <c r="DK85" i="35" s="1"/>
  <c r="DH117" i="35"/>
  <c r="DJ117" i="35"/>
  <c r="DK117" i="35" s="1"/>
  <c r="DJ141" i="35"/>
  <c r="DK141" i="35" s="1"/>
  <c r="DH141" i="35"/>
  <c r="DJ145" i="35"/>
  <c r="DK145" i="35" s="1"/>
  <c r="DH145" i="35"/>
  <c r="DJ142" i="35"/>
  <c r="DK142" i="35" s="1"/>
  <c r="DH142" i="35"/>
  <c r="DH152" i="35"/>
  <c r="DJ152" i="35"/>
  <c r="DK152" i="35" s="1"/>
  <c r="DJ167" i="35"/>
  <c r="DK167" i="35" s="1"/>
  <c r="DH167" i="35"/>
  <c r="DH175" i="35"/>
  <c r="DJ175" i="35"/>
  <c r="DK175" i="35" s="1"/>
  <c r="DJ187" i="35"/>
  <c r="DK187" i="35" s="1"/>
  <c r="DH187" i="35"/>
  <c r="DJ190" i="35"/>
  <c r="DK190" i="35" s="1"/>
  <c r="DH190" i="35"/>
  <c r="DJ199" i="35"/>
  <c r="DK199" i="35" s="1"/>
  <c r="DH199" i="35"/>
  <c r="DJ189" i="35"/>
  <c r="DK189" i="35" s="1"/>
  <c r="DH189" i="35"/>
  <c r="DJ248" i="35"/>
  <c r="DK248" i="35" s="1"/>
  <c r="DH248" i="35"/>
  <c r="DH217" i="35"/>
  <c r="DJ217" i="35"/>
  <c r="DK217" i="35" s="1"/>
  <c r="DJ237" i="35"/>
  <c r="DK237" i="35" s="1"/>
  <c r="DH237" i="35"/>
  <c r="DJ229" i="35"/>
  <c r="DK229" i="35" s="1"/>
  <c r="DH229" i="35"/>
  <c r="DJ239" i="35"/>
  <c r="DK239" i="35" s="1"/>
  <c r="DH239" i="35"/>
  <c r="DJ259" i="35"/>
  <c r="DK259" i="35" s="1"/>
  <c r="DH259" i="35"/>
  <c r="DJ242" i="35"/>
  <c r="DK242" i="35" s="1"/>
  <c r="DH242" i="35"/>
  <c r="DJ280" i="35"/>
  <c r="DK280" i="35" s="1"/>
  <c r="DH280" i="35"/>
  <c r="DH277" i="35"/>
  <c r="DJ277" i="35"/>
  <c r="DK277" i="35" s="1"/>
  <c r="DJ288" i="35"/>
  <c r="DK288" i="35" s="1"/>
  <c r="DH288" i="35"/>
  <c r="DJ296" i="35"/>
  <c r="DK296" i="35" s="1"/>
  <c r="DH296" i="35"/>
  <c r="DH289" i="35"/>
  <c r="DJ289" i="35"/>
  <c r="DK289" i="35" s="1"/>
  <c r="DJ316" i="35"/>
  <c r="DK316" i="35" s="1"/>
  <c r="DH316" i="35"/>
  <c r="DJ325" i="35"/>
  <c r="DK325" i="35" s="1"/>
  <c r="DH325" i="35"/>
  <c r="DJ324" i="35"/>
  <c r="DK324" i="35" s="1"/>
  <c r="DH324" i="35"/>
  <c r="DJ340" i="35"/>
  <c r="DK340" i="35" s="1"/>
  <c r="DH340" i="35"/>
  <c r="DH331" i="35"/>
  <c r="DJ331" i="35"/>
  <c r="DK331" i="35" s="1"/>
  <c r="DH347" i="35"/>
  <c r="DJ347" i="35"/>
  <c r="DK347" i="35" s="1"/>
  <c r="DH356" i="35"/>
  <c r="DJ356" i="35"/>
  <c r="DK356" i="35" s="1"/>
  <c r="DJ365" i="35"/>
  <c r="DK365" i="35" s="1"/>
  <c r="DH365" i="35"/>
  <c r="DJ375" i="35"/>
  <c r="DK375" i="35" s="1"/>
  <c r="DH375" i="35"/>
  <c r="DJ32" i="35"/>
  <c r="DK32" i="35" s="1"/>
  <c r="DH32" i="35"/>
  <c r="DJ22" i="35"/>
  <c r="DK22" i="35" s="1"/>
  <c r="DH22" i="35"/>
  <c r="DJ16" i="35"/>
  <c r="DK16" i="35" s="1"/>
  <c r="DH16" i="35"/>
  <c r="DJ59" i="35"/>
  <c r="DK59" i="35" s="1"/>
  <c r="DH59" i="35"/>
  <c r="DJ13" i="35"/>
  <c r="DK13" i="35" s="1"/>
  <c r="DH13" i="35"/>
  <c r="N379" i="35"/>
  <c r="O7" i="35"/>
  <c r="DH74" i="35"/>
  <c r="DJ74" i="35"/>
  <c r="DK74" i="35" s="1"/>
  <c r="DJ81" i="35"/>
  <c r="DK81" i="35" s="1"/>
  <c r="DH81" i="35"/>
  <c r="DJ76" i="35"/>
  <c r="DK76" i="35" s="1"/>
  <c r="DH76" i="35"/>
  <c r="DH58" i="35"/>
  <c r="DJ58" i="35"/>
  <c r="DK58" i="35" s="1"/>
  <c r="DJ75" i="35"/>
  <c r="DK75" i="35" s="1"/>
  <c r="DH75" i="35"/>
  <c r="DJ77" i="35"/>
  <c r="DK77" i="35" s="1"/>
  <c r="DH77" i="35"/>
  <c r="DJ115" i="35"/>
  <c r="DK115" i="35" s="1"/>
  <c r="DH115" i="35"/>
  <c r="DJ104" i="35"/>
  <c r="DK104" i="35" s="1"/>
  <c r="DH104" i="35"/>
  <c r="DJ89" i="35"/>
  <c r="DK89" i="35" s="1"/>
  <c r="DH89" i="35"/>
  <c r="DH121" i="35"/>
  <c r="DJ121" i="35"/>
  <c r="DK121" i="35" s="1"/>
  <c r="DJ143" i="35"/>
  <c r="DK143" i="35" s="1"/>
  <c r="DH143" i="35"/>
  <c r="DJ168" i="35"/>
  <c r="DK168" i="35" s="1"/>
  <c r="DH168" i="35"/>
  <c r="DJ153" i="35"/>
  <c r="DK153" i="35" s="1"/>
  <c r="DH153" i="35"/>
  <c r="DJ158" i="35"/>
  <c r="DK158" i="35" s="1"/>
  <c r="DH158" i="35"/>
  <c r="DJ159" i="35"/>
  <c r="DK159" i="35" s="1"/>
  <c r="DH159" i="35"/>
  <c r="DH176" i="35"/>
  <c r="DJ176" i="35"/>
  <c r="DK176" i="35" s="1"/>
  <c r="DJ180" i="35"/>
  <c r="DK180" i="35" s="1"/>
  <c r="DH180" i="35"/>
  <c r="DJ204" i="35"/>
  <c r="DK204" i="35" s="1"/>
  <c r="DH204" i="35"/>
  <c r="DJ201" i="35"/>
  <c r="DK201" i="35" s="1"/>
  <c r="DH201" i="35"/>
  <c r="DJ192" i="35"/>
  <c r="DK192" i="35" s="1"/>
  <c r="DH192" i="35"/>
  <c r="DJ213" i="35"/>
  <c r="DK213" i="35" s="1"/>
  <c r="DH213" i="35"/>
  <c r="DJ224" i="35"/>
  <c r="DK224" i="35" s="1"/>
  <c r="DH224" i="35"/>
  <c r="DH212" i="35"/>
  <c r="DJ212" i="35"/>
  <c r="DK212" i="35" s="1"/>
  <c r="DJ231" i="35"/>
  <c r="DK231" i="35" s="1"/>
  <c r="DH231" i="35"/>
  <c r="DH241" i="35"/>
  <c r="DJ241" i="35"/>
  <c r="DK241" i="35" s="1"/>
  <c r="DH263" i="35"/>
  <c r="DJ263" i="35"/>
  <c r="DK263" i="35" s="1"/>
  <c r="DJ244" i="35"/>
  <c r="DK244" i="35" s="1"/>
  <c r="DH244" i="35"/>
  <c r="DJ269" i="35"/>
  <c r="DK269" i="35" s="1"/>
  <c r="DH269" i="35"/>
  <c r="DJ264" i="35"/>
  <c r="DK264" i="35" s="1"/>
  <c r="DH264" i="35"/>
  <c r="DJ290" i="35"/>
  <c r="DK290" i="35" s="1"/>
  <c r="DH290" i="35"/>
  <c r="DJ298" i="35"/>
  <c r="DK298" i="35" s="1"/>
  <c r="DH298" i="35"/>
  <c r="DH291" i="35"/>
  <c r="DJ291" i="35"/>
  <c r="DK291" i="35" s="1"/>
  <c r="DJ318" i="35"/>
  <c r="DK318" i="35" s="1"/>
  <c r="DH318" i="35"/>
  <c r="DJ312" i="35"/>
  <c r="DK312" i="35" s="1"/>
  <c r="DH312" i="35"/>
  <c r="DJ329" i="35"/>
  <c r="DK329" i="35" s="1"/>
  <c r="DH329" i="35"/>
  <c r="DJ348" i="35"/>
  <c r="DK348" i="35" s="1"/>
  <c r="DH348" i="35"/>
  <c r="DH336" i="35"/>
  <c r="DJ336" i="35"/>
  <c r="DK336" i="35" s="1"/>
  <c r="DH349" i="35"/>
  <c r="DJ349" i="35"/>
  <c r="DK349" i="35" s="1"/>
  <c r="DJ364" i="35"/>
  <c r="DK364" i="35" s="1"/>
  <c r="DH364" i="35"/>
  <c r="DH367" i="35"/>
  <c r="DJ367" i="35"/>
  <c r="DK367" i="35" s="1"/>
  <c r="DJ377" i="35"/>
  <c r="DK377" i="35" s="1"/>
  <c r="DH377" i="35"/>
  <c r="DJ40" i="35"/>
  <c r="DK40" i="35" s="1"/>
  <c r="DH40" i="35"/>
  <c r="P9" i="22"/>
  <c r="P8" i="22"/>
  <c r="P7" i="22"/>
  <c r="K287" i="22"/>
  <c r="K286" i="22"/>
  <c r="K285" i="22"/>
  <c r="K284" i="22"/>
  <c r="K281" i="22"/>
  <c r="K280" i="22"/>
  <c r="K279" i="22"/>
  <c r="K278" i="22"/>
  <c r="K277" i="22"/>
  <c r="K276" i="22"/>
  <c r="K275" i="22"/>
  <c r="K274" i="22"/>
  <c r="K273" i="22"/>
  <c r="K272" i="22"/>
  <c r="K271" i="22"/>
  <c r="K270" i="22"/>
  <c r="K269" i="22"/>
  <c r="K268" i="22"/>
  <c r="K267" i="22"/>
  <c r="K266" i="22"/>
  <c r="K265" i="22"/>
  <c r="K264" i="22"/>
  <c r="K263" i="22"/>
  <c r="K262" i="22"/>
  <c r="K261" i="22"/>
  <c r="K260" i="22"/>
  <c r="K259" i="22"/>
  <c r="K258" i="22"/>
  <c r="K257" i="22"/>
  <c r="K256" i="22"/>
  <c r="K255" i="22"/>
  <c r="K254" i="22"/>
  <c r="K253" i="22"/>
  <c r="K252" i="22"/>
  <c r="K251" i="22"/>
  <c r="K250" i="22"/>
  <c r="K249" i="22"/>
  <c r="K248" i="22"/>
  <c r="K247" i="22"/>
  <c r="K246" i="22"/>
  <c r="K245" i="22"/>
  <c r="K244" i="22"/>
  <c r="K243" i="22"/>
  <c r="K242" i="22"/>
  <c r="K241" i="22"/>
  <c r="K240" i="22"/>
  <c r="K239" i="22"/>
  <c r="K238" i="22"/>
  <c r="K237" i="22"/>
  <c r="K236" i="22"/>
  <c r="K235" i="22"/>
  <c r="K234" i="22"/>
  <c r="K233" i="22"/>
  <c r="K232" i="22"/>
  <c r="K231" i="22"/>
  <c r="K230" i="22"/>
  <c r="K229" i="22"/>
  <c r="K228" i="22"/>
  <c r="K227" i="22"/>
  <c r="K226" i="22"/>
  <c r="K225" i="22"/>
  <c r="K224" i="22"/>
  <c r="K223" i="22"/>
  <c r="K222" i="22"/>
  <c r="K221" i="22"/>
  <c r="K220" i="22"/>
  <c r="K219" i="22"/>
  <c r="K218" i="22"/>
  <c r="K217" i="22"/>
  <c r="K216" i="22"/>
  <c r="K215" i="22"/>
  <c r="K214" i="22"/>
  <c r="K213" i="22"/>
  <c r="K212" i="22"/>
  <c r="K211" i="22"/>
  <c r="K210" i="22"/>
  <c r="K209" i="22"/>
  <c r="K208" i="22"/>
  <c r="K207" i="22"/>
  <c r="K206" i="22"/>
  <c r="K205" i="22"/>
  <c r="K204" i="22"/>
  <c r="K203" i="22"/>
  <c r="K202" i="22"/>
  <c r="K201" i="22"/>
  <c r="K200" i="22"/>
  <c r="K199" i="22"/>
  <c r="K198" i="22"/>
  <c r="K197" i="22"/>
  <c r="K196" i="22"/>
  <c r="K195" i="22"/>
  <c r="K194" i="22"/>
  <c r="K193" i="22"/>
  <c r="K192" i="22"/>
  <c r="K191" i="22"/>
  <c r="K190" i="22"/>
  <c r="K189" i="22"/>
  <c r="K188" i="22"/>
  <c r="K187" i="22"/>
  <c r="K186" i="22"/>
  <c r="K185" i="22"/>
  <c r="K184" i="22"/>
  <c r="K183" i="22"/>
  <c r="K182" i="22"/>
  <c r="K181" i="22"/>
  <c r="K180" i="22"/>
  <c r="K179" i="22"/>
  <c r="K178" i="22"/>
  <c r="K177" i="22"/>
  <c r="K176" i="22"/>
  <c r="K175" i="22"/>
  <c r="K174" i="22"/>
  <c r="K173" i="22"/>
  <c r="K172" i="22"/>
  <c r="K171" i="22"/>
  <c r="K170" i="22"/>
  <c r="K169" i="22"/>
  <c r="K168" i="22"/>
  <c r="K167" i="22"/>
  <c r="K166" i="22"/>
  <c r="K165" i="22"/>
  <c r="K164" i="22"/>
  <c r="K163" i="22"/>
  <c r="K162" i="22"/>
  <c r="K161" i="22"/>
  <c r="K160" i="22"/>
  <c r="K159" i="22"/>
  <c r="K158" i="22"/>
  <c r="K157" i="22"/>
  <c r="K156" i="22"/>
  <c r="K155" i="22"/>
  <c r="K154" i="22"/>
  <c r="K153" i="22"/>
  <c r="K152" i="22"/>
  <c r="K151" i="22"/>
  <c r="K150" i="22"/>
  <c r="K149" i="22"/>
  <c r="K148" i="22"/>
  <c r="K147" i="22"/>
  <c r="K146" i="22"/>
  <c r="K145" i="22"/>
  <c r="K144" i="22"/>
  <c r="K143" i="22"/>
  <c r="K142" i="22"/>
  <c r="K141" i="22"/>
  <c r="K140" i="22"/>
  <c r="K139" i="22"/>
  <c r="K138" i="22"/>
  <c r="K137" i="22"/>
  <c r="K136" i="22"/>
  <c r="K135" i="22"/>
  <c r="K134" i="22"/>
  <c r="K133" i="22"/>
  <c r="K132" i="22"/>
  <c r="K131" i="22"/>
  <c r="K130" i="22"/>
  <c r="K129" i="22"/>
  <c r="K128" i="22"/>
  <c r="K127" i="22"/>
  <c r="K126" i="22"/>
  <c r="K125" i="22"/>
  <c r="K124" i="22"/>
  <c r="L124" i="22" s="1"/>
  <c r="K123" i="22"/>
  <c r="K122" i="22"/>
  <c r="K121" i="22"/>
  <c r="K120" i="22"/>
  <c r="K119" i="22"/>
  <c r="K118" i="22"/>
  <c r="K117" i="22"/>
  <c r="K116" i="22"/>
  <c r="K115" i="22"/>
  <c r="K114" i="22"/>
  <c r="K113" i="22"/>
  <c r="K112" i="22"/>
  <c r="K111" i="22"/>
  <c r="K110" i="22"/>
  <c r="K109" i="22"/>
  <c r="K108" i="22"/>
  <c r="K107" i="22"/>
  <c r="K106" i="22"/>
  <c r="K105" i="22"/>
  <c r="K104" i="22"/>
  <c r="K103" i="22"/>
  <c r="K102" i="22"/>
  <c r="K101" i="22"/>
  <c r="K100" i="22"/>
  <c r="K99" i="22"/>
  <c r="K98" i="22"/>
  <c r="K97" i="22"/>
  <c r="K96" i="22"/>
  <c r="K95" i="22"/>
  <c r="K94" i="22"/>
  <c r="K93" i="22"/>
  <c r="K92" i="22"/>
  <c r="K91" i="22"/>
  <c r="K90" i="22"/>
  <c r="K89" i="22"/>
  <c r="K88" i="22"/>
  <c r="K87" i="22"/>
  <c r="K86" i="22"/>
  <c r="K85" i="22"/>
  <c r="K84" i="22"/>
  <c r="K83" i="22"/>
  <c r="K82" i="22"/>
  <c r="K81" i="22"/>
  <c r="K80" i="22"/>
  <c r="K79" i="22"/>
  <c r="K78" i="22"/>
  <c r="K77" i="22"/>
  <c r="K76" i="22"/>
  <c r="K75" i="22"/>
  <c r="K74" i="22"/>
  <c r="K73" i="22"/>
  <c r="K72" i="22"/>
  <c r="K71" i="22"/>
  <c r="K70" i="22"/>
  <c r="K69" i="22"/>
  <c r="K68" i="22"/>
  <c r="K67" i="22"/>
  <c r="K66" i="22"/>
  <c r="K65" i="22"/>
  <c r="K64" i="22"/>
  <c r="K63" i="22"/>
  <c r="K62" i="22"/>
  <c r="K61" i="22"/>
  <c r="K60" i="22"/>
  <c r="K59" i="22"/>
  <c r="K58" i="22"/>
  <c r="K57" i="22"/>
  <c r="K56" i="22"/>
  <c r="K55" i="22"/>
  <c r="K54" i="22"/>
  <c r="K53" i="22"/>
  <c r="K52" i="22"/>
  <c r="K51" i="22"/>
  <c r="K50" i="22"/>
  <c r="K49" i="22"/>
  <c r="K48" i="22"/>
  <c r="K47" i="22"/>
  <c r="K46" i="22"/>
  <c r="K45" i="22"/>
  <c r="K44" i="22"/>
  <c r="K43" i="22"/>
  <c r="K42" i="22"/>
  <c r="K41" i="22"/>
  <c r="K40" i="22"/>
  <c r="K39" i="22"/>
  <c r="K38" i="22"/>
  <c r="K37" i="22"/>
  <c r="K36" i="22"/>
  <c r="K35" i="22"/>
  <c r="K34" i="22"/>
  <c r="K33" i="22"/>
  <c r="K32" i="22"/>
  <c r="K31" i="22"/>
  <c r="K30" i="22"/>
  <c r="K29" i="22"/>
  <c r="K28" i="22"/>
  <c r="K27" i="22"/>
  <c r="K26" i="22"/>
  <c r="K25" i="22"/>
  <c r="K24" i="22"/>
  <c r="K23" i="22"/>
  <c r="K22" i="22"/>
  <c r="K21" i="22"/>
  <c r="K20" i="22"/>
  <c r="K19" i="22"/>
  <c r="K18" i="22"/>
  <c r="K17" i="22"/>
  <c r="K16" i="22"/>
  <c r="K15" i="22"/>
  <c r="K14" i="22"/>
  <c r="K13" i="22"/>
  <c r="K12" i="22"/>
  <c r="K11" i="22"/>
  <c r="AD121" i="35" l="1"/>
  <c r="AE121" i="35" s="1"/>
  <c r="AF121" i="35" s="1"/>
  <c r="AG121" i="35" s="1"/>
  <c r="AE129" i="35"/>
  <c r="AF129" i="35" s="1"/>
  <c r="AG129" i="35" s="1"/>
  <c r="AE113" i="35"/>
  <c r="AF113" i="35" s="1"/>
  <c r="AG113" i="35" s="1"/>
  <c r="AE123" i="35"/>
  <c r="AF123" i="35" s="1"/>
  <c r="AG123" i="35" s="1"/>
  <c r="AE112" i="35"/>
  <c r="AF112" i="35" s="1"/>
  <c r="AG112" i="35" s="1"/>
  <c r="AD126" i="35"/>
  <c r="AE126" i="35" s="1"/>
  <c r="AF126" i="35" s="1"/>
  <c r="AG126" i="35" s="1"/>
  <c r="AD115" i="35"/>
  <c r="AE115" i="35" s="1"/>
  <c r="AF115" i="35" s="1"/>
  <c r="AG115" i="35" s="1"/>
  <c r="AE109" i="35"/>
  <c r="AF109" i="35" s="1"/>
  <c r="AG109" i="35" s="1"/>
  <c r="AE103" i="35"/>
  <c r="AF103" i="35" s="1"/>
  <c r="AG103" i="35" s="1"/>
  <c r="AE106" i="35"/>
  <c r="AF106" i="35" s="1"/>
  <c r="AG106" i="35" s="1"/>
  <c r="AD108" i="35"/>
  <c r="AE108" i="35" s="1"/>
  <c r="AF108" i="35" s="1"/>
  <c r="AG108" i="35" s="1"/>
  <c r="AD130" i="35"/>
  <c r="AE130" i="35" s="1"/>
  <c r="AD127" i="35"/>
  <c r="AE127" i="35" s="1"/>
  <c r="AF127" i="35" s="1"/>
  <c r="AG127" i="35" s="1"/>
  <c r="AE110" i="35"/>
  <c r="AF110" i="35" s="1"/>
  <c r="AG110" i="35" s="1"/>
  <c r="AE116" i="35"/>
  <c r="AF116" i="35" s="1"/>
  <c r="AG116" i="35" s="1"/>
  <c r="AD119" i="35"/>
  <c r="AE119" i="35" s="1"/>
  <c r="AF119" i="35" s="1"/>
  <c r="AG119" i="35" s="1"/>
  <c r="AD107" i="35"/>
  <c r="AE107" i="35" s="1"/>
  <c r="AF107" i="35" s="1"/>
  <c r="AG107" i="35" s="1"/>
  <c r="AD101" i="35"/>
  <c r="AE101" i="35" s="1"/>
  <c r="AF101" i="35" s="1"/>
  <c r="AG101" i="35" s="1"/>
  <c r="AD125" i="35"/>
  <c r="AE125" i="35" s="1"/>
  <c r="AF125" i="35" s="1"/>
  <c r="AG125" i="35" s="1"/>
  <c r="AE104" i="35"/>
  <c r="AF104" i="35" s="1"/>
  <c r="AG104" i="35" s="1"/>
  <c r="AE117" i="35"/>
  <c r="AF117" i="35" s="1"/>
  <c r="AG117" i="35" s="1"/>
  <c r="AE120" i="35"/>
  <c r="AF120" i="35" s="1"/>
  <c r="AG120" i="35" s="1"/>
  <c r="AD124" i="35"/>
  <c r="AE124" i="35" s="1"/>
  <c r="AF124" i="35" s="1"/>
  <c r="AG124" i="35" s="1"/>
  <c r="AD128" i="35"/>
  <c r="AE128" i="35" s="1"/>
  <c r="AF128" i="35" s="1"/>
  <c r="AG128" i="35" s="1"/>
  <c r="AD114" i="35"/>
  <c r="AE114" i="35" s="1"/>
  <c r="AF114" i="35" s="1"/>
  <c r="AG114" i="35" s="1"/>
  <c r="AD111" i="35"/>
  <c r="AE111" i="35" s="1"/>
  <c r="AF111" i="35" s="1"/>
  <c r="AG111" i="35" s="1"/>
  <c r="AD105" i="35"/>
  <c r="AE105" i="35" s="1"/>
  <c r="AF105" i="35" s="1"/>
  <c r="AG105" i="35" s="1"/>
  <c r="AD102" i="35"/>
  <c r="AE102" i="35" s="1"/>
  <c r="AF102" i="35" s="1"/>
  <c r="AG102" i="35" s="1"/>
  <c r="AD122" i="35"/>
  <c r="AE122" i="35" s="1"/>
  <c r="AF122" i="35" s="1"/>
  <c r="AG122" i="35" s="1"/>
  <c r="AD118" i="35"/>
  <c r="AE118" i="35" s="1"/>
  <c r="AF118" i="35" s="1"/>
  <c r="AG118" i="35" s="1"/>
  <c r="P7" i="19"/>
  <c r="P12" i="19"/>
  <c r="P62" i="19"/>
  <c r="P10" i="19"/>
  <c r="P318" i="19"/>
  <c r="P213" i="19"/>
  <c r="P75" i="19"/>
  <c r="P142" i="19"/>
  <c r="P226" i="19"/>
  <c r="P155" i="19"/>
  <c r="P25" i="19"/>
  <c r="P348" i="19"/>
  <c r="P269" i="19"/>
  <c r="P231" i="19"/>
  <c r="P192" i="19"/>
  <c r="P168" i="19"/>
  <c r="P104" i="19"/>
  <c r="P289" i="19"/>
  <c r="P284" i="19"/>
  <c r="P135" i="19"/>
  <c r="P99" i="19"/>
  <c r="P221" i="19"/>
  <c r="P366" i="19"/>
  <c r="P319" i="19"/>
  <c r="P283" i="19"/>
  <c r="P216" i="19"/>
  <c r="P161" i="19"/>
  <c r="P154" i="19"/>
  <c r="P33" i="19"/>
  <c r="P372" i="19"/>
  <c r="P343" i="19"/>
  <c r="P367" i="19"/>
  <c r="P59" i="19"/>
  <c r="P316" i="19"/>
  <c r="P239" i="19"/>
  <c r="P187" i="19"/>
  <c r="P334" i="19"/>
  <c r="P305" i="19"/>
  <c r="P173" i="19"/>
  <c r="P110" i="19"/>
  <c r="P321" i="19"/>
  <c r="P303" i="19"/>
  <c r="P232" i="19"/>
  <c r="P170" i="19"/>
  <c r="P376" i="19"/>
  <c r="P346" i="19"/>
  <c r="P274" i="19"/>
  <c r="P198" i="19"/>
  <c r="P147" i="19"/>
  <c r="P257" i="19"/>
  <c r="P212" i="19"/>
  <c r="P365" i="19"/>
  <c r="P340" i="19"/>
  <c r="P280" i="19"/>
  <c r="P229" i="19"/>
  <c r="P189" i="19"/>
  <c r="P145" i="19"/>
  <c r="P92" i="19"/>
  <c r="P27" i="19"/>
  <c r="P362" i="19"/>
  <c r="P330" i="19"/>
  <c r="P307" i="19"/>
  <c r="P240" i="19"/>
  <c r="P233" i="19"/>
  <c r="P197" i="19"/>
  <c r="P157" i="19"/>
  <c r="P14" i="19"/>
  <c r="P342" i="19"/>
  <c r="P313" i="19"/>
  <c r="P309" i="19"/>
  <c r="P254" i="19"/>
  <c r="P255" i="19"/>
  <c r="P47" i="19"/>
  <c r="P357" i="19"/>
  <c r="P308" i="19"/>
  <c r="P252" i="19"/>
  <c r="P235" i="19"/>
  <c r="P202" i="19"/>
  <c r="P18" i="19"/>
  <c r="P353" i="19"/>
  <c r="P322" i="19"/>
  <c r="P300" i="19"/>
  <c r="P253" i="19"/>
  <c r="P203" i="19"/>
  <c r="P169" i="19"/>
  <c r="P148" i="19"/>
  <c r="P86" i="19"/>
  <c r="P34" i="19"/>
  <c r="P251" i="19"/>
  <c r="P210" i="19"/>
  <c r="P311" i="19"/>
  <c r="P266" i="19"/>
  <c r="P243" i="19"/>
  <c r="P215" i="19"/>
  <c r="P188" i="19"/>
  <c r="P156" i="19"/>
  <c r="P291" i="19"/>
  <c r="P363" i="19"/>
  <c r="P227" i="19"/>
  <c r="P195" i="19"/>
  <c r="P193" i="19"/>
  <c r="P196" i="19"/>
  <c r="P113" i="19"/>
  <c r="P364" i="19"/>
  <c r="P329" i="19"/>
  <c r="P298" i="19"/>
  <c r="P244" i="19"/>
  <c r="P201" i="19"/>
  <c r="P159" i="19"/>
  <c r="P143" i="19"/>
  <c r="P356" i="19"/>
  <c r="P261" i="19"/>
  <c r="P184" i="19"/>
  <c r="P144" i="19"/>
  <c r="P368" i="19"/>
  <c r="P273" i="19"/>
  <c r="P272" i="19"/>
  <c r="P354" i="19"/>
  <c r="P271" i="19"/>
  <c r="P186" i="19"/>
  <c r="P352" i="19"/>
  <c r="P41" i="19"/>
  <c r="P369" i="19"/>
  <c r="P337" i="19"/>
  <c r="P293" i="19"/>
  <c r="P11" i="19"/>
  <c r="P264" i="19"/>
  <c r="P153" i="19"/>
  <c r="P277" i="19"/>
  <c r="P263" i="19"/>
  <c r="P324" i="19"/>
  <c r="P296" i="19"/>
  <c r="P242" i="19"/>
  <c r="P237" i="19"/>
  <c r="P199" i="19"/>
  <c r="P167" i="19"/>
  <c r="P141" i="19"/>
  <c r="P344" i="19"/>
  <c r="P315" i="19"/>
  <c r="P286" i="19"/>
  <c r="P256" i="19"/>
  <c r="P338" i="19"/>
  <c r="P297" i="19"/>
  <c r="P209" i="19"/>
  <c r="P219" i="19"/>
  <c r="P127" i="19"/>
  <c r="P374" i="19"/>
  <c r="P295" i="19"/>
  <c r="P250" i="19"/>
  <c r="P200" i="19"/>
  <c r="P160" i="19"/>
  <c r="P345" i="19"/>
  <c r="P328" i="19"/>
  <c r="P301" i="19"/>
  <c r="P249" i="19"/>
  <c r="P230" i="19"/>
  <c r="P206" i="19"/>
  <c r="P162" i="19"/>
  <c r="P323" i="19"/>
  <c r="P294" i="19"/>
  <c r="P278" i="19"/>
  <c r="P228" i="19"/>
  <c r="P191" i="19"/>
  <c r="P165" i="19"/>
  <c r="P87" i="19"/>
  <c r="P299" i="19"/>
  <c r="P234" i="19"/>
  <c r="P194" i="19"/>
  <c r="P171" i="19"/>
  <c r="P236" i="19"/>
  <c r="P349" i="19"/>
  <c r="P312" i="19"/>
  <c r="P290" i="19"/>
  <c r="P224" i="19"/>
  <c r="P204" i="19"/>
  <c r="P158" i="19"/>
  <c r="P347" i="19"/>
  <c r="P217" i="19"/>
  <c r="P152" i="19"/>
  <c r="P370" i="19"/>
  <c r="P275" i="19"/>
  <c r="P151" i="19"/>
  <c r="P285" i="19"/>
  <c r="P207" i="19"/>
  <c r="P149" i="19"/>
  <c r="P38" i="19"/>
  <c r="P270" i="19"/>
  <c r="P282" i="19"/>
  <c r="P245" i="19"/>
  <c r="P214" i="19"/>
  <c r="P150" i="19"/>
  <c r="P377" i="19"/>
  <c r="P331" i="19"/>
  <c r="P375" i="19"/>
  <c r="P248" i="19"/>
  <c r="P267" i="19"/>
  <c r="P218" i="19"/>
  <c r="P326" i="19"/>
  <c r="P146" i="19"/>
  <c r="P9" i="19"/>
  <c r="P336" i="19"/>
  <c r="P241" i="19"/>
  <c r="P325" i="19"/>
  <c r="P288" i="19"/>
  <c r="P259" i="19"/>
  <c r="P190" i="19"/>
  <c r="P333" i="19"/>
  <c r="P314" i="19"/>
  <c r="P276" i="19"/>
  <c r="P211" i="19"/>
  <c r="P140" i="19"/>
  <c r="P359" i="19"/>
  <c r="P332" i="19"/>
  <c r="P265" i="19"/>
  <c r="P225" i="19"/>
  <c r="P166" i="19"/>
  <c r="P355" i="19"/>
  <c r="P327" i="19"/>
  <c r="P310" i="19"/>
  <c r="P223" i="19"/>
  <c r="P205" i="19"/>
  <c r="P172" i="19"/>
  <c r="P373" i="19"/>
  <c r="P339" i="19"/>
  <c r="P306" i="19"/>
  <c r="P247" i="19"/>
  <c r="P222" i="19"/>
  <c r="P185" i="19"/>
  <c r="P378" i="19"/>
  <c r="P350" i="19"/>
  <c r="P317" i="19"/>
  <c r="P279" i="19"/>
  <c r="P220" i="19"/>
  <c r="P163" i="19"/>
  <c r="P358" i="19"/>
  <c r="P335" i="19"/>
  <c r="P281" i="19"/>
  <c r="P246" i="19"/>
  <c r="P208" i="19"/>
  <c r="P164" i="19"/>
  <c r="P287" i="19"/>
  <c r="P361" i="19"/>
  <c r="P238" i="19"/>
  <c r="P360" i="19"/>
  <c r="P258" i="19"/>
  <c r="P304" i="19"/>
  <c r="P262" i="19"/>
  <c r="P48" i="19"/>
  <c r="P371" i="19"/>
  <c r="P341" i="19"/>
  <c r="P302" i="19"/>
  <c r="P260" i="19"/>
  <c r="P351" i="19"/>
  <c r="P320" i="19"/>
  <c r="P268" i="19"/>
  <c r="Y21" i="37"/>
  <c r="B38" i="37"/>
  <c r="P292" i="19"/>
  <c r="AF23" i="35"/>
  <c r="AG23" i="35" s="1"/>
  <c r="AF33" i="35"/>
  <c r="AG33" i="35" s="1"/>
  <c r="AF21" i="35"/>
  <c r="AG21" i="35" s="1"/>
  <c r="AF88" i="35"/>
  <c r="AG88" i="35" s="1"/>
  <c r="AF22" i="35"/>
  <c r="AG22" i="35" s="1"/>
  <c r="AH12" i="35"/>
  <c r="AI12" i="35" s="1"/>
  <c r="AF24" i="35"/>
  <c r="AG24" i="35" s="1"/>
  <c r="AF83" i="35"/>
  <c r="AG83" i="35" s="1"/>
  <c r="AF42" i="35"/>
  <c r="AG42" i="35" s="1"/>
  <c r="AF55" i="35"/>
  <c r="AG55" i="35" s="1"/>
  <c r="AF81" i="35"/>
  <c r="AG81" i="35" s="1"/>
  <c r="AF54" i="35"/>
  <c r="AG54" i="35" s="1"/>
  <c r="AH31" i="35"/>
  <c r="AI31" i="35" s="1"/>
  <c r="AF69" i="35"/>
  <c r="AG69" i="35" s="1"/>
  <c r="AF82" i="35"/>
  <c r="AG82" i="35" s="1"/>
  <c r="AF16" i="35"/>
  <c r="AG16" i="35" s="1"/>
  <c r="AH59" i="35"/>
  <c r="AI59" i="35" s="1"/>
  <c r="AF50" i="35"/>
  <c r="AG50" i="35" s="1"/>
  <c r="AF46" i="35"/>
  <c r="AG46" i="35" s="1"/>
  <c r="AF84" i="35"/>
  <c r="AG84" i="35" s="1"/>
  <c r="AF8" i="35"/>
  <c r="AG8" i="35" s="1"/>
  <c r="AF74" i="35"/>
  <c r="AG74" i="35" s="1"/>
  <c r="AF96" i="35"/>
  <c r="AG96" i="35" s="1"/>
  <c r="AF79" i="35"/>
  <c r="AG79" i="35" s="1"/>
  <c r="AF76" i="35"/>
  <c r="AG76" i="35" s="1"/>
  <c r="AF9" i="35"/>
  <c r="AG9" i="35" s="1"/>
  <c r="AF37" i="35"/>
  <c r="AG37" i="35" s="1"/>
  <c r="AF87" i="35"/>
  <c r="AG87" i="35" s="1"/>
  <c r="AF94" i="35"/>
  <c r="AG94" i="35" s="1"/>
  <c r="AF27" i="35"/>
  <c r="AG27" i="35" s="1"/>
  <c r="AF44" i="35"/>
  <c r="AG44" i="35" s="1"/>
  <c r="AF73" i="35"/>
  <c r="AG73" i="35" s="1"/>
  <c r="AF34" i="35"/>
  <c r="AG34" i="35" s="1"/>
  <c r="AF100" i="35"/>
  <c r="AG100" i="35" s="1"/>
  <c r="AF29" i="35"/>
  <c r="AG29" i="35" s="1"/>
  <c r="AF61" i="35"/>
  <c r="AG61" i="35" s="1"/>
  <c r="AF13" i="35"/>
  <c r="AG13" i="35" s="1"/>
  <c r="AF80" i="35"/>
  <c r="AG80" i="35" s="1"/>
  <c r="AF57" i="35"/>
  <c r="AG57" i="35" s="1"/>
  <c r="AF20" i="35"/>
  <c r="AG20" i="35" s="1"/>
  <c r="AF91" i="35"/>
  <c r="AG91" i="35" s="1"/>
  <c r="AF63" i="35"/>
  <c r="AG63" i="35" s="1"/>
  <c r="AF85" i="35"/>
  <c r="AG85" i="35" s="1"/>
  <c r="AF26" i="35"/>
  <c r="AG26" i="35" s="1"/>
  <c r="AF89" i="35"/>
  <c r="AG89" i="35" s="1"/>
  <c r="AF71" i="35"/>
  <c r="AG71" i="35" s="1"/>
  <c r="AF41" i="35"/>
  <c r="AG41" i="35" s="1"/>
  <c r="AF97" i="35"/>
  <c r="AG97" i="35" s="1"/>
  <c r="AF43" i="35"/>
  <c r="AG43" i="35" s="1"/>
  <c r="AF58" i="35"/>
  <c r="AG58" i="35" s="1"/>
  <c r="AF19" i="35"/>
  <c r="AG19" i="35" s="1"/>
  <c r="AF49" i="35"/>
  <c r="AG49" i="35" s="1"/>
  <c r="AF53" i="35"/>
  <c r="AG53" i="35" s="1"/>
  <c r="AF30" i="35"/>
  <c r="AG30" i="35" s="1"/>
  <c r="AF77" i="35"/>
  <c r="AG77" i="35" s="1"/>
  <c r="AF72" i="35"/>
  <c r="AG72" i="35" s="1"/>
  <c r="AF38" i="35"/>
  <c r="AG38" i="35" s="1"/>
  <c r="AF75" i="35"/>
  <c r="AG75" i="35" s="1"/>
  <c r="AF51" i="35"/>
  <c r="AG51" i="35" s="1"/>
  <c r="Y156" i="35"/>
  <c r="Y161" i="35"/>
  <c r="AD161" i="35" s="1"/>
  <c r="Y159" i="35"/>
  <c r="Y154" i="35"/>
  <c r="Y157" i="35"/>
  <c r="Y151" i="35"/>
  <c r="Y148" i="35"/>
  <c r="Y146" i="35"/>
  <c r="Y138" i="35"/>
  <c r="Y134" i="35"/>
  <c r="Y152" i="35"/>
  <c r="Y155" i="35"/>
  <c r="Y144" i="35"/>
  <c r="Y139" i="35"/>
  <c r="Y135" i="35"/>
  <c r="Y142" i="35"/>
  <c r="Y140" i="35"/>
  <c r="Y149" i="35"/>
  <c r="Y147" i="35"/>
  <c r="Y136" i="35"/>
  <c r="Y132" i="35"/>
  <c r="Y153" i="35"/>
  <c r="Y145" i="35"/>
  <c r="Y158" i="35"/>
  <c r="Y137" i="35"/>
  <c r="Y133" i="35"/>
  <c r="Y143" i="35"/>
  <c r="Y141" i="35"/>
  <c r="Y150" i="35"/>
  <c r="Y160" i="35"/>
  <c r="AF11" i="35"/>
  <c r="AG11" i="35" s="1"/>
  <c r="AF15" i="35"/>
  <c r="AG15" i="35" s="1"/>
  <c r="AF92" i="35"/>
  <c r="AG92" i="35" s="1"/>
  <c r="AF95" i="35"/>
  <c r="AG95" i="35" s="1"/>
  <c r="AF64" i="35"/>
  <c r="AG64" i="35" s="1"/>
  <c r="AF14" i="35"/>
  <c r="AG14" i="35" s="1"/>
  <c r="AF25" i="35"/>
  <c r="AG25" i="35" s="1"/>
  <c r="AF99" i="35"/>
  <c r="AG99" i="35" s="1"/>
  <c r="O379" i="35"/>
  <c r="AE7" i="35"/>
  <c r="AF35" i="35"/>
  <c r="AG35" i="35" s="1"/>
  <c r="AF32" i="35"/>
  <c r="AG32" i="35" s="1"/>
  <c r="AF68" i="35"/>
  <c r="AG68" i="35" s="1"/>
  <c r="AF98" i="35"/>
  <c r="AG98" i="35" s="1"/>
  <c r="AF78" i="35"/>
  <c r="AG78" i="35" s="1"/>
  <c r="AF66" i="35"/>
  <c r="AG66" i="35" s="1"/>
  <c r="AE131" i="35"/>
  <c r="AF65" i="35"/>
  <c r="AG65" i="35" s="1"/>
  <c r="AF47" i="35"/>
  <c r="AG47" i="35" s="1"/>
  <c r="AF90" i="35"/>
  <c r="AG90" i="35" s="1"/>
  <c r="AF86" i="35"/>
  <c r="AG86" i="35" s="1"/>
  <c r="AF56" i="35"/>
  <c r="AG56" i="35" s="1"/>
  <c r="AH10" i="35"/>
  <c r="AI10" i="35" s="1"/>
  <c r="AF48" i="35"/>
  <c r="AG48" i="35" s="1"/>
  <c r="AF62" i="35"/>
  <c r="AG62" i="35" s="1"/>
  <c r="AF17" i="35"/>
  <c r="AG17" i="35" s="1"/>
  <c r="AF36" i="35"/>
  <c r="AG36" i="35" s="1"/>
  <c r="AF67" i="35"/>
  <c r="AG67" i="35" s="1"/>
  <c r="AF40" i="35"/>
  <c r="AG40" i="35" s="1"/>
  <c r="AF39" i="35"/>
  <c r="AG39" i="35" s="1"/>
  <c r="AF70" i="35"/>
  <c r="AG70" i="35" s="1"/>
  <c r="AF45" i="35"/>
  <c r="AG45" i="35" s="1"/>
  <c r="AF60" i="35"/>
  <c r="AG60" i="35" s="1"/>
  <c r="AF18" i="35"/>
  <c r="AG18" i="35" s="1"/>
  <c r="AF93" i="35"/>
  <c r="AG93" i="35" s="1"/>
  <c r="AF52" i="35"/>
  <c r="AG52" i="35" s="1"/>
  <c r="AF28" i="35"/>
  <c r="AG28" i="35" s="1"/>
  <c r="L207" i="22"/>
  <c r="L247" i="22"/>
  <c r="L153" i="22"/>
  <c r="L193" i="22"/>
  <c r="L201" i="22"/>
  <c r="L175" i="22"/>
  <c r="L274" i="22"/>
  <c r="L255" i="22"/>
  <c r="L146" i="22"/>
  <c r="L234" i="22"/>
  <c r="L283" i="22"/>
  <c r="L202" i="22"/>
  <c r="L180" i="22"/>
  <c r="L220" i="22"/>
  <c r="L228" i="22"/>
  <c r="L256" i="22"/>
  <c r="L229" i="22"/>
  <c r="L261" i="22"/>
  <c r="L166" i="22"/>
  <c r="L174" i="22"/>
  <c r="B288" i="22"/>
  <c r="AM12" i="22"/>
  <c r="AL12" i="22"/>
  <c r="AD143" i="35" l="1"/>
  <c r="AE143" i="35" s="1"/>
  <c r="AF143" i="35" s="1"/>
  <c r="AG143" i="35" s="1"/>
  <c r="AD147" i="35"/>
  <c r="AE147" i="35" s="1"/>
  <c r="AF147" i="35" s="1"/>
  <c r="AG147" i="35" s="1"/>
  <c r="AD152" i="35"/>
  <c r="AE152" i="35" s="1"/>
  <c r="AF152" i="35" s="1"/>
  <c r="AG152" i="35" s="1"/>
  <c r="AD159" i="35"/>
  <c r="AE159" i="35" s="1"/>
  <c r="AF159" i="35" s="1"/>
  <c r="AG159" i="35" s="1"/>
  <c r="AD133" i="35"/>
  <c r="AE133" i="35" s="1"/>
  <c r="AF133" i="35" s="1"/>
  <c r="AG133" i="35" s="1"/>
  <c r="AD149" i="35"/>
  <c r="AE149" i="35" s="1"/>
  <c r="AF149" i="35" s="1"/>
  <c r="AG149" i="35" s="1"/>
  <c r="AD134" i="35"/>
  <c r="AE134" i="35" s="1"/>
  <c r="AF134" i="35" s="1"/>
  <c r="AG134" i="35" s="1"/>
  <c r="AD136" i="35"/>
  <c r="AE136" i="35" s="1"/>
  <c r="AF136" i="35" s="1"/>
  <c r="AG136" i="35" s="1"/>
  <c r="AD137" i="35"/>
  <c r="AE137" i="35" s="1"/>
  <c r="AF137" i="35" s="1"/>
  <c r="AG137" i="35" s="1"/>
  <c r="AD156" i="35"/>
  <c r="AE156" i="35" s="1"/>
  <c r="AF156" i="35" s="1"/>
  <c r="AG156" i="35" s="1"/>
  <c r="AD141" i="35"/>
  <c r="AE141" i="35" s="1"/>
  <c r="AF141" i="35" s="1"/>
  <c r="AG141" i="35" s="1"/>
  <c r="AD140" i="35"/>
  <c r="AE140" i="35" s="1"/>
  <c r="AF140" i="35" s="1"/>
  <c r="AG140" i="35" s="1"/>
  <c r="AD138" i="35"/>
  <c r="AE138" i="35" s="1"/>
  <c r="AF138" i="35" s="1"/>
  <c r="AG138" i="35" s="1"/>
  <c r="AD158" i="35"/>
  <c r="AE158" i="35" s="1"/>
  <c r="AF158" i="35" s="1"/>
  <c r="AG158" i="35" s="1"/>
  <c r="AD142" i="35"/>
  <c r="AE142" i="35" s="1"/>
  <c r="AF142" i="35" s="1"/>
  <c r="AG142" i="35" s="1"/>
  <c r="AD146" i="35"/>
  <c r="AE146" i="35" s="1"/>
  <c r="AF146" i="35" s="1"/>
  <c r="AG146" i="35" s="1"/>
  <c r="AD154" i="35"/>
  <c r="AE154" i="35" s="1"/>
  <c r="AF154" i="35" s="1"/>
  <c r="AG154" i="35" s="1"/>
  <c r="AD145" i="35"/>
  <c r="AE145" i="35" s="1"/>
  <c r="AF145" i="35" s="1"/>
  <c r="AG145" i="35" s="1"/>
  <c r="AD135" i="35"/>
  <c r="AE135" i="35" s="1"/>
  <c r="AF135" i="35" s="1"/>
  <c r="AG135" i="35" s="1"/>
  <c r="AD148" i="35"/>
  <c r="AE148" i="35" s="1"/>
  <c r="AF148" i="35" s="1"/>
  <c r="AG148" i="35" s="1"/>
  <c r="AD155" i="35"/>
  <c r="AE155" i="35" s="1"/>
  <c r="AF155" i="35" s="1"/>
  <c r="AG155" i="35" s="1"/>
  <c r="AD160" i="35"/>
  <c r="AE160" i="35" s="1"/>
  <c r="AF160" i="35" s="1"/>
  <c r="AG160" i="35" s="1"/>
  <c r="AD153" i="35"/>
  <c r="AE153" i="35" s="1"/>
  <c r="AF153" i="35" s="1"/>
  <c r="AG153" i="35" s="1"/>
  <c r="AD139" i="35"/>
  <c r="AE139" i="35" s="1"/>
  <c r="AF139" i="35" s="1"/>
  <c r="AG139" i="35" s="1"/>
  <c r="AD151" i="35"/>
  <c r="AE151" i="35" s="1"/>
  <c r="AF151" i="35" s="1"/>
  <c r="AG151" i="35" s="1"/>
  <c r="AD150" i="35"/>
  <c r="AE150" i="35" s="1"/>
  <c r="AF150" i="35" s="1"/>
  <c r="AG150" i="35" s="1"/>
  <c r="AD132" i="35"/>
  <c r="AE132" i="35" s="1"/>
  <c r="AF132" i="35" s="1"/>
  <c r="AG132" i="35" s="1"/>
  <c r="AD144" i="35"/>
  <c r="AE144" i="35" s="1"/>
  <c r="AF144" i="35" s="1"/>
  <c r="AG144" i="35" s="1"/>
  <c r="AD157" i="35"/>
  <c r="AE157" i="35" s="1"/>
  <c r="AF157" i="35" s="1"/>
  <c r="AG157" i="35" s="1"/>
  <c r="P8" i="19"/>
  <c r="P79" i="19"/>
  <c r="P42" i="19"/>
  <c r="P17" i="19"/>
  <c r="P133" i="19"/>
  <c r="P52" i="19"/>
  <c r="P129" i="19"/>
  <c r="P121" i="19"/>
  <c r="P138" i="19"/>
  <c r="P46" i="19"/>
  <c r="P176" i="19"/>
  <c r="P131" i="19"/>
  <c r="P63" i="19"/>
  <c r="P73" i="19"/>
  <c r="P81" i="19"/>
  <c r="P70" i="19"/>
  <c r="P117" i="19"/>
  <c r="P103" i="19"/>
  <c r="P124" i="19"/>
  <c r="P139" i="19"/>
  <c r="P94" i="19"/>
  <c r="P55" i="19"/>
  <c r="P53" i="19"/>
  <c r="P120" i="19"/>
  <c r="P39" i="19"/>
  <c r="P84" i="19"/>
  <c r="P122" i="19"/>
  <c r="P78" i="19"/>
  <c r="P32" i="19"/>
  <c r="P40" i="19"/>
  <c r="P60" i="19"/>
  <c r="P56" i="19"/>
  <c r="P22" i="19"/>
  <c r="P74" i="19"/>
  <c r="P24" i="19"/>
  <c r="P72" i="19"/>
  <c r="P132" i="19"/>
  <c r="P111" i="19"/>
  <c r="P64" i="19"/>
  <c r="P105" i="19"/>
  <c r="P128" i="19"/>
  <c r="P28" i="19"/>
  <c r="P85" i="19"/>
  <c r="P108" i="19"/>
  <c r="P58" i="19"/>
  <c r="P68" i="19"/>
  <c r="P77" i="19"/>
  <c r="P37" i="19"/>
  <c r="P20" i="19"/>
  <c r="P98" i="19"/>
  <c r="P61" i="19"/>
  <c r="P119" i="19"/>
  <c r="P102" i="19"/>
  <c r="P125" i="19"/>
  <c r="P57" i="19"/>
  <c r="P65" i="19"/>
  <c r="P71" i="19"/>
  <c r="P116" i="19"/>
  <c r="P31" i="19"/>
  <c r="P35" i="19"/>
  <c r="P19" i="19"/>
  <c r="P130" i="19"/>
  <c r="P181" i="19"/>
  <c r="P114" i="19"/>
  <c r="P21" i="19"/>
  <c r="P30" i="19"/>
  <c r="P91" i="19"/>
  <c r="P29" i="19"/>
  <c r="P76" i="19"/>
  <c r="P69" i="19"/>
  <c r="P49" i="19"/>
  <c r="P182" i="19"/>
  <c r="P45" i="19"/>
  <c r="P15" i="19"/>
  <c r="P54" i="19"/>
  <c r="P115" i="19"/>
  <c r="P16" i="19"/>
  <c r="P175" i="19"/>
  <c r="P126" i="19"/>
  <c r="P83" i="19"/>
  <c r="P183" i="19"/>
  <c r="P95" i="19"/>
  <c r="P93" i="19"/>
  <c r="P13" i="19"/>
  <c r="P136" i="19"/>
  <c r="P100" i="19"/>
  <c r="P23" i="19"/>
  <c r="P88" i="19"/>
  <c r="P178" i="19"/>
  <c r="P66" i="19"/>
  <c r="P101" i="19"/>
  <c r="P51" i="19"/>
  <c r="P107" i="19"/>
  <c r="P177" i="19"/>
  <c r="P26" i="19"/>
  <c r="P82" i="19"/>
  <c r="P43" i="19"/>
  <c r="P109" i="19"/>
  <c r="P80" i="19"/>
  <c r="P118" i="19"/>
  <c r="P137" i="19"/>
  <c r="P67" i="19"/>
  <c r="P179" i="19"/>
  <c r="P174" i="19"/>
  <c r="P112" i="19"/>
  <c r="P96" i="19"/>
  <c r="P36" i="19"/>
  <c r="P180" i="19"/>
  <c r="P44" i="19"/>
  <c r="P90" i="19"/>
  <c r="P134" i="19"/>
  <c r="P50" i="19"/>
  <c r="P123" i="19"/>
  <c r="P106" i="19"/>
  <c r="P97" i="19"/>
  <c r="P89" i="19"/>
  <c r="Z21" i="37"/>
  <c r="B39" i="37"/>
  <c r="AH36" i="35"/>
  <c r="AI36" i="35" s="1"/>
  <c r="AH127" i="35"/>
  <c r="AI127" i="35" s="1"/>
  <c r="AH11" i="35"/>
  <c r="AI11" i="35" s="1"/>
  <c r="AH75" i="35"/>
  <c r="AI75" i="35" s="1"/>
  <c r="AH101" i="35"/>
  <c r="AI101" i="35" s="1"/>
  <c r="AH26" i="35"/>
  <c r="AI26" i="35" s="1"/>
  <c r="AH76" i="35"/>
  <c r="AI76" i="35" s="1"/>
  <c r="AH8" i="35"/>
  <c r="AI8" i="35" s="1"/>
  <c r="AH55" i="35"/>
  <c r="AI55" i="35" s="1"/>
  <c r="AJ12" i="35"/>
  <c r="AK12" i="35" s="1"/>
  <c r="AH45" i="35"/>
  <c r="AI45" i="35" s="1"/>
  <c r="AH78" i="35"/>
  <c r="AI78" i="35" s="1"/>
  <c r="AH30" i="35"/>
  <c r="AI30" i="35" s="1"/>
  <c r="AH113" i="35"/>
  <c r="AI113" i="35" s="1"/>
  <c r="AH126" i="35"/>
  <c r="AI126" i="35" s="1"/>
  <c r="AH87" i="35"/>
  <c r="AI87" i="35" s="1"/>
  <c r="AH84" i="35"/>
  <c r="AI84" i="35" s="1"/>
  <c r="AH42" i="35"/>
  <c r="AI42" i="35" s="1"/>
  <c r="AH109" i="35"/>
  <c r="AI109" i="35" s="1"/>
  <c r="AH70" i="35"/>
  <c r="AI70" i="35" s="1"/>
  <c r="AH95" i="35"/>
  <c r="AI95" i="35" s="1"/>
  <c r="AH53" i="35"/>
  <c r="AI53" i="35" s="1"/>
  <c r="AH29" i="35"/>
  <c r="AI29" i="35" s="1"/>
  <c r="AH44" i="35"/>
  <c r="AI44" i="35" s="1"/>
  <c r="AH37" i="35"/>
  <c r="AI37" i="35" s="1"/>
  <c r="AH46" i="35"/>
  <c r="AI46" i="35" s="1"/>
  <c r="AH111" i="35"/>
  <c r="AI111" i="35" s="1"/>
  <c r="AH51" i="35"/>
  <c r="AI51" i="35" s="1"/>
  <c r="AH39" i="35"/>
  <c r="AI39" i="35" s="1"/>
  <c r="AH47" i="35"/>
  <c r="AI47" i="35" s="1"/>
  <c r="AH99" i="35"/>
  <c r="AI99" i="35" s="1"/>
  <c r="AH102" i="35"/>
  <c r="AI102" i="35" s="1"/>
  <c r="AH80" i="35"/>
  <c r="AI80" i="35" s="1"/>
  <c r="AH100" i="35"/>
  <c r="AI100" i="35" s="1"/>
  <c r="AH110" i="35"/>
  <c r="AI110" i="35" s="1"/>
  <c r="AH79" i="35"/>
  <c r="AI79" i="35" s="1"/>
  <c r="AJ31" i="35"/>
  <c r="AK31" i="35" s="1"/>
  <c r="AH15" i="35"/>
  <c r="AI15" i="35" s="1"/>
  <c r="AH65" i="35"/>
  <c r="AI65" i="35" s="1"/>
  <c r="AH25" i="35"/>
  <c r="AI25" i="35" s="1"/>
  <c r="AH72" i="35"/>
  <c r="AI72" i="35" s="1"/>
  <c r="AH13" i="35"/>
  <c r="AI13" i="35" s="1"/>
  <c r="AH27" i="35"/>
  <c r="AI27" i="35" s="1"/>
  <c r="AH96" i="35"/>
  <c r="AI96" i="35" s="1"/>
  <c r="AH16" i="35"/>
  <c r="AI16" i="35" s="1"/>
  <c r="AH21" i="35"/>
  <c r="AI21" i="35" s="1"/>
  <c r="AH104" i="35"/>
  <c r="AI104" i="35" s="1"/>
  <c r="AH107" i="35"/>
  <c r="AI107" i="35" s="1"/>
  <c r="AH50" i="35"/>
  <c r="AI50" i="35" s="1"/>
  <c r="AH14" i="35"/>
  <c r="AI14" i="35" s="1"/>
  <c r="AH63" i="35"/>
  <c r="AI63" i="35" s="1"/>
  <c r="AH123" i="35"/>
  <c r="AI123" i="35" s="1"/>
  <c r="AH122" i="35"/>
  <c r="AI122" i="35" s="1"/>
  <c r="AH82" i="35"/>
  <c r="AI82" i="35" s="1"/>
  <c r="AH33" i="35"/>
  <c r="AI33" i="35" s="1"/>
  <c r="AH9" i="35"/>
  <c r="AI9" i="35" s="1"/>
  <c r="AH32" i="35"/>
  <c r="AI32" i="35" s="1"/>
  <c r="AH64" i="35"/>
  <c r="AI64" i="35" s="1"/>
  <c r="AH91" i="35"/>
  <c r="AI91" i="35" s="1"/>
  <c r="AH73" i="35"/>
  <c r="AI73" i="35" s="1"/>
  <c r="AH119" i="35"/>
  <c r="AI119" i="35" s="1"/>
  <c r="AH121" i="35"/>
  <c r="AI121" i="35" s="1"/>
  <c r="AH23" i="35"/>
  <c r="AI23" i="35" s="1"/>
  <c r="AH60" i="35"/>
  <c r="AI60" i="35" s="1"/>
  <c r="AH62" i="35"/>
  <c r="AI62" i="35" s="1"/>
  <c r="AH35" i="35"/>
  <c r="AI35" i="35" s="1"/>
  <c r="AH58" i="35"/>
  <c r="AI58" i="35" s="1"/>
  <c r="AH89" i="35"/>
  <c r="AI89" i="35" s="1"/>
  <c r="AH57" i="35"/>
  <c r="AI57" i="35" s="1"/>
  <c r="AH34" i="35"/>
  <c r="AI34" i="35" s="1"/>
  <c r="AH128" i="35"/>
  <c r="AI128" i="35" s="1"/>
  <c r="AJ59" i="35"/>
  <c r="AK59" i="35" s="1"/>
  <c r="AH81" i="35"/>
  <c r="AI81" i="35" s="1"/>
  <c r="AH88" i="35"/>
  <c r="AI88" i="35" s="1"/>
  <c r="AH52" i="35"/>
  <c r="AI52" i="35" s="1"/>
  <c r="AH67" i="35"/>
  <c r="AI67" i="35" s="1"/>
  <c r="AH28" i="35"/>
  <c r="AI28" i="35" s="1"/>
  <c r="AH40" i="35"/>
  <c r="AI40" i="35" s="1"/>
  <c r="AH56" i="35"/>
  <c r="AI56" i="35" s="1"/>
  <c r="AH41" i="35"/>
  <c r="AI41" i="35" s="1"/>
  <c r="AH115" i="35"/>
  <c r="AI115" i="35" s="1"/>
  <c r="AH61" i="35"/>
  <c r="AI61" i="35" s="1"/>
  <c r="AH103" i="35"/>
  <c r="AI103" i="35" s="1"/>
  <c r="AH124" i="35"/>
  <c r="AI124" i="35" s="1"/>
  <c r="AH24" i="35"/>
  <c r="AI24" i="35" s="1"/>
  <c r="AF7" i="35"/>
  <c r="AG7" i="35" s="1"/>
  <c r="AH93" i="35"/>
  <c r="AI93" i="35" s="1"/>
  <c r="AH86" i="35"/>
  <c r="AI86" i="35" s="1"/>
  <c r="AJ10" i="35"/>
  <c r="AK10" i="35" s="1"/>
  <c r="AH90" i="35"/>
  <c r="AI90" i="35" s="1"/>
  <c r="AH66" i="35"/>
  <c r="AI66" i="35" s="1"/>
  <c r="AH68" i="35"/>
  <c r="AI68" i="35" s="1"/>
  <c r="AH92" i="35"/>
  <c r="AI92" i="35" s="1"/>
  <c r="AH38" i="35"/>
  <c r="AI38" i="35" s="1"/>
  <c r="AH77" i="35"/>
  <c r="AI77" i="35" s="1"/>
  <c r="AH19" i="35"/>
  <c r="AI19" i="35" s="1"/>
  <c r="AH125" i="35"/>
  <c r="AI125" i="35" s="1"/>
  <c r="AH49" i="35"/>
  <c r="AI49" i="35" s="1"/>
  <c r="AH71" i="35"/>
  <c r="AI71" i="35" s="1"/>
  <c r="AH18" i="35"/>
  <c r="AI18" i="35" s="1"/>
  <c r="AH17" i="35"/>
  <c r="AI17" i="35" s="1"/>
  <c r="AH118" i="35"/>
  <c r="AI118" i="35" s="1"/>
  <c r="AF130" i="35"/>
  <c r="AG130" i="35" s="1"/>
  <c r="AH108" i="35"/>
  <c r="AI108" i="35" s="1"/>
  <c r="Y162" i="35"/>
  <c r="AD162" i="35" s="1"/>
  <c r="AE161" i="35"/>
  <c r="AH97" i="35"/>
  <c r="AI97" i="35" s="1"/>
  <c r="AH105" i="35"/>
  <c r="AI105" i="35" s="1"/>
  <c r="AH85" i="35"/>
  <c r="AI85" i="35" s="1"/>
  <c r="AH20" i="35"/>
  <c r="AI20" i="35" s="1"/>
  <c r="AH117" i="35"/>
  <c r="AI117" i="35" s="1"/>
  <c r="AH120" i="35"/>
  <c r="AI120" i="35" s="1"/>
  <c r="AH94" i="35"/>
  <c r="AI94" i="35" s="1"/>
  <c r="AH112" i="35"/>
  <c r="AI112" i="35" s="1"/>
  <c r="AH114" i="35"/>
  <c r="AI114" i="35" s="1"/>
  <c r="AH74" i="35"/>
  <c r="AI74" i="35" s="1"/>
  <c r="AH129" i="35"/>
  <c r="AI129" i="35" s="1"/>
  <c r="AH106" i="35"/>
  <c r="AI106" i="35" s="1"/>
  <c r="AH69" i="35"/>
  <c r="AI69" i="35" s="1"/>
  <c r="AH54" i="35"/>
  <c r="AI54" i="35" s="1"/>
  <c r="AH83" i="35"/>
  <c r="AI83" i="35" s="1"/>
  <c r="AH22" i="35"/>
  <c r="AI22" i="35" s="1"/>
  <c r="AH48" i="35"/>
  <c r="AI48" i="35" s="1"/>
  <c r="AF131" i="35"/>
  <c r="AG131" i="35" s="1"/>
  <c r="AH98" i="35"/>
  <c r="AI98" i="35" s="1"/>
  <c r="AH116" i="35"/>
  <c r="AI116" i="35" s="1"/>
  <c r="AH43" i="35"/>
  <c r="AI43" i="35" s="1"/>
  <c r="D7" i="19"/>
  <c r="AL31" i="35" l="1"/>
  <c r="AL12" i="35"/>
  <c r="AL10" i="35"/>
  <c r="AL59" i="35"/>
  <c r="AA21" i="37"/>
  <c r="B40" i="37"/>
  <c r="AJ94" i="35"/>
  <c r="AK94" i="35" s="1"/>
  <c r="AJ77" i="35"/>
  <c r="AK77" i="35" s="1"/>
  <c r="AJ92" i="35"/>
  <c r="AK92" i="35" s="1"/>
  <c r="AH150" i="35"/>
  <c r="AI150" i="35" s="1"/>
  <c r="AJ115" i="35"/>
  <c r="AK115" i="35" s="1"/>
  <c r="AH148" i="35"/>
  <c r="AI148" i="35" s="1"/>
  <c r="AJ60" i="35"/>
  <c r="AK60" i="35" s="1"/>
  <c r="AJ96" i="35"/>
  <c r="AK96" i="35" s="1"/>
  <c r="AH156" i="35"/>
  <c r="AI156" i="35" s="1"/>
  <c r="AJ120" i="35"/>
  <c r="AK120" i="35" s="1"/>
  <c r="AJ38" i="35"/>
  <c r="AK38" i="35" s="1"/>
  <c r="AL38" i="35" s="1"/>
  <c r="AJ68" i="35"/>
  <c r="AK68" i="35" s="1"/>
  <c r="AJ41" i="35"/>
  <c r="AK41" i="35" s="1"/>
  <c r="AH135" i="35"/>
  <c r="AI135" i="35" s="1"/>
  <c r="AJ58" i="35"/>
  <c r="AK58" i="35" s="1"/>
  <c r="AJ50" i="35"/>
  <c r="AK50" i="35" s="1"/>
  <c r="AJ87" i="35"/>
  <c r="AK87" i="35" s="1"/>
  <c r="AJ18" i="35"/>
  <c r="AK18" i="35" s="1"/>
  <c r="AJ129" i="35"/>
  <c r="AK129" i="35" s="1"/>
  <c r="AL129" i="35" s="1"/>
  <c r="AH133" i="35"/>
  <c r="AI133" i="35" s="1"/>
  <c r="AH159" i="35"/>
  <c r="AI159" i="35" s="1"/>
  <c r="AH154" i="35"/>
  <c r="AI154" i="35" s="1"/>
  <c r="AH142" i="35"/>
  <c r="AI142" i="35" s="1"/>
  <c r="AH146" i="35"/>
  <c r="AI146" i="35" s="1"/>
  <c r="AJ122" i="35"/>
  <c r="AK122" i="35" s="1"/>
  <c r="AJ107" i="35"/>
  <c r="AK107" i="35" s="1"/>
  <c r="AJ102" i="35"/>
  <c r="AK102" i="35" s="1"/>
  <c r="AJ75" i="35"/>
  <c r="AK75" i="35" s="1"/>
  <c r="AJ74" i="35"/>
  <c r="AK74" i="35" s="1"/>
  <c r="AJ108" i="35"/>
  <c r="AK108" i="35" s="1"/>
  <c r="AJ49" i="35"/>
  <c r="AK49" i="35" s="1"/>
  <c r="AH139" i="35"/>
  <c r="AI139" i="35" s="1"/>
  <c r="AJ56" i="35"/>
  <c r="AK56" i="35" s="1"/>
  <c r="AJ128" i="35"/>
  <c r="AK128" i="35" s="1"/>
  <c r="AJ99" i="35"/>
  <c r="AK99" i="35" s="1"/>
  <c r="AJ70" i="35"/>
  <c r="AK70" i="35" s="1"/>
  <c r="AJ55" i="35"/>
  <c r="AK55" i="35" s="1"/>
  <c r="AJ98" i="35"/>
  <c r="AK98" i="35" s="1"/>
  <c r="AH144" i="35"/>
  <c r="AI144" i="35" s="1"/>
  <c r="AJ90" i="35"/>
  <c r="AK90" i="35" s="1"/>
  <c r="AJ34" i="35"/>
  <c r="AK34" i="35" s="1"/>
  <c r="AL34" i="35" s="1"/>
  <c r="AJ32" i="35"/>
  <c r="AK32" i="35" s="1"/>
  <c r="AJ79" i="35"/>
  <c r="AK79" i="35" s="1"/>
  <c r="AJ37" i="35"/>
  <c r="AK37" i="35" s="1"/>
  <c r="AL37" i="35" s="1"/>
  <c r="AJ8" i="35"/>
  <c r="AK8" i="35" s="1"/>
  <c r="AJ53" i="35"/>
  <c r="AK53" i="35" s="1"/>
  <c r="AH131" i="35"/>
  <c r="AI131" i="35" s="1"/>
  <c r="AJ125" i="35"/>
  <c r="AK125" i="35" s="1"/>
  <c r="AJ103" i="35"/>
  <c r="AK103" i="35" s="1"/>
  <c r="AJ9" i="35"/>
  <c r="AK9" i="35" s="1"/>
  <c r="AJ44" i="35"/>
  <c r="AK44" i="35" s="1"/>
  <c r="AJ76" i="35"/>
  <c r="AK76" i="35" s="1"/>
  <c r="AJ127" i="35"/>
  <c r="AK127" i="35" s="1"/>
  <c r="AJ65" i="35"/>
  <c r="AK65" i="35" s="1"/>
  <c r="AH137" i="35"/>
  <c r="AI137" i="35" s="1"/>
  <c r="AJ118" i="35"/>
  <c r="AK118" i="35" s="1"/>
  <c r="AH132" i="35"/>
  <c r="AI132" i="35" s="1"/>
  <c r="AH160" i="35"/>
  <c r="AI160" i="35" s="1"/>
  <c r="AJ52" i="35"/>
  <c r="AK52" i="35" s="1"/>
  <c r="AJ39" i="35"/>
  <c r="AK39" i="35" s="1"/>
  <c r="AJ42" i="35"/>
  <c r="AK42" i="35" s="1"/>
  <c r="AJ30" i="35"/>
  <c r="AK30" i="35" s="1"/>
  <c r="AJ43" i="35"/>
  <c r="AK43" i="35" s="1"/>
  <c r="AJ17" i="35"/>
  <c r="AK17" i="35" s="1"/>
  <c r="AL17" i="35" s="1"/>
  <c r="AH143" i="35"/>
  <c r="AI143" i="35" s="1"/>
  <c r="AJ86" i="35"/>
  <c r="AK86" i="35" s="1"/>
  <c r="AH141" i="35"/>
  <c r="AI141" i="35" s="1"/>
  <c r="AJ88" i="35"/>
  <c r="AK88" i="35" s="1"/>
  <c r="AJ62" i="35"/>
  <c r="AK62" i="35" s="1"/>
  <c r="AL62" i="35" s="1"/>
  <c r="AJ73" i="35"/>
  <c r="AK73" i="35" s="1"/>
  <c r="AJ16" i="35"/>
  <c r="AK16" i="35" s="1"/>
  <c r="AJ25" i="35"/>
  <c r="AK25" i="35" s="1"/>
  <c r="AJ100" i="35"/>
  <c r="AK100" i="35" s="1"/>
  <c r="AJ51" i="35"/>
  <c r="AK51" i="35" s="1"/>
  <c r="AJ78" i="35"/>
  <c r="AK78" i="35" s="1"/>
  <c r="AJ105" i="35"/>
  <c r="AK105" i="35" s="1"/>
  <c r="AH130" i="35"/>
  <c r="AI130" i="35" s="1"/>
  <c r="AJ19" i="35"/>
  <c r="AK19" i="35" s="1"/>
  <c r="AH155" i="35"/>
  <c r="AI155" i="35" s="1"/>
  <c r="AH7" i="35"/>
  <c r="AI7" i="35" s="1"/>
  <c r="AJ7" i="35" s="1"/>
  <c r="AJ123" i="35"/>
  <c r="AK123" i="35" s="1"/>
  <c r="AH149" i="35"/>
  <c r="AI149" i="35" s="1"/>
  <c r="AH147" i="35"/>
  <c r="AI147" i="35" s="1"/>
  <c r="AJ66" i="35"/>
  <c r="AK66" i="35" s="1"/>
  <c r="AL66" i="35" s="1"/>
  <c r="AH136" i="35"/>
  <c r="AI136" i="35" s="1"/>
  <c r="AJ54" i="35"/>
  <c r="AK54" i="35" s="1"/>
  <c r="AH134" i="35"/>
  <c r="AI134" i="35" s="1"/>
  <c r="AJ71" i="35"/>
  <c r="AK71" i="35" s="1"/>
  <c r="AH152" i="35"/>
  <c r="AI152" i="35" s="1"/>
  <c r="AH151" i="35"/>
  <c r="AI151" i="35" s="1"/>
  <c r="AJ61" i="35"/>
  <c r="AK61" i="35" s="1"/>
  <c r="AH138" i="35"/>
  <c r="AI138" i="35" s="1"/>
  <c r="AJ114" i="35"/>
  <c r="AK114" i="35" s="1"/>
  <c r="AJ24" i="35"/>
  <c r="AK24" i="35" s="1"/>
  <c r="AH145" i="35"/>
  <c r="AI145" i="35" s="1"/>
  <c r="AH158" i="35"/>
  <c r="AI158" i="35" s="1"/>
  <c r="AJ33" i="35"/>
  <c r="AK33" i="35" s="1"/>
  <c r="AJ27" i="35"/>
  <c r="AK27" i="35" s="1"/>
  <c r="AJ110" i="35"/>
  <c r="AK110" i="35" s="1"/>
  <c r="AL110" i="35" s="1"/>
  <c r="AJ29" i="35"/>
  <c r="AK29" i="35" s="1"/>
  <c r="AJ11" i="35"/>
  <c r="AK11" i="35" s="1"/>
  <c r="AJ116" i="35"/>
  <c r="AK116" i="35" s="1"/>
  <c r="AJ97" i="35"/>
  <c r="AK97" i="35" s="1"/>
  <c r="AH153" i="35"/>
  <c r="AI153" i="35" s="1"/>
  <c r="AJ81" i="35"/>
  <c r="AK81" i="35" s="1"/>
  <c r="AJ63" i="35"/>
  <c r="AK63" i="35" s="1"/>
  <c r="AJ126" i="35"/>
  <c r="AK126" i="35" s="1"/>
  <c r="AH140" i="35"/>
  <c r="AI140" i="35" s="1"/>
  <c r="AH157" i="35"/>
  <c r="AI157" i="35" s="1"/>
  <c r="AJ22" i="35"/>
  <c r="AK22" i="35" s="1"/>
  <c r="AJ106" i="35"/>
  <c r="AK106" i="35" s="1"/>
  <c r="AJ112" i="35"/>
  <c r="AK112" i="35" s="1"/>
  <c r="AJ20" i="35"/>
  <c r="AK20" i="35" s="1"/>
  <c r="AF161" i="35"/>
  <c r="AG161" i="35" s="1"/>
  <c r="AJ124" i="35"/>
  <c r="AK124" i="35" s="1"/>
  <c r="AJ28" i="35"/>
  <c r="AK28" i="35" s="1"/>
  <c r="AJ67" i="35"/>
  <c r="AK67" i="35" s="1"/>
  <c r="AJ89" i="35"/>
  <c r="AK89" i="35" s="1"/>
  <c r="AJ35" i="35"/>
  <c r="AK35" i="35" s="1"/>
  <c r="AJ121" i="35"/>
  <c r="AK121" i="35" s="1"/>
  <c r="AJ64" i="35"/>
  <c r="AK64" i="35" s="1"/>
  <c r="AJ82" i="35"/>
  <c r="AK82" i="35" s="1"/>
  <c r="AJ14" i="35"/>
  <c r="AK14" i="35" s="1"/>
  <c r="AJ21" i="35"/>
  <c r="AK21" i="35" s="1"/>
  <c r="AJ13" i="35"/>
  <c r="AK13" i="35" s="1"/>
  <c r="AJ15" i="35"/>
  <c r="AK15" i="35" s="1"/>
  <c r="AJ47" i="35"/>
  <c r="AK47" i="35" s="1"/>
  <c r="AL47" i="35" s="1"/>
  <c r="AJ46" i="35"/>
  <c r="AK46" i="35" s="1"/>
  <c r="AJ113" i="35"/>
  <c r="AK113" i="35" s="1"/>
  <c r="AJ26" i="35"/>
  <c r="AK26" i="35" s="1"/>
  <c r="AJ48" i="35"/>
  <c r="AK48" i="35" s="1"/>
  <c r="AJ117" i="35"/>
  <c r="AK117" i="35" s="1"/>
  <c r="AJ93" i="35"/>
  <c r="AK93" i="35" s="1"/>
  <c r="AJ40" i="35"/>
  <c r="AK40" i="35" s="1"/>
  <c r="AL40" i="35" s="1"/>
  <c r="AJ91" i="35"/>
  <c r="AK91" i="35" s="1"/>
  <c r="AL91" i="35" s="1"/>
  <c r="AJ45" i="35"/>
  <c r="AK45" i="35" s="1"/>
  <c r="AJ83" i="35"/>
  <c r="AK83" i="35" s="1"/>
  <c r="AJ85" i="35"/>
  <c r="AK85" i="35" s="1"/>
  <c r="Y192" i="35"/>
  <c r="AD192" i="35" s="1"/>
  <c r="Y189" i="35"/>
  <c r="Y190" i="35"/>
  <c r="Y187" i="35"/>
  <c r="Y186" i="35"/>
  <c r="Y182" i="35"/>
  <c r="Y183" i="35"/>
  <c r="Y184" i="35"/>
  <c r="Y188" i="35"/>
  <c r="Y185" i="35"/>
  <c r="Y179" i="35"/>
  <c r="Y191" i="35"/>
  <c r="Y180" i="35"/>
  <c r="Y181" i="35"/>
  <c r="Y171" i="35"/>
  <c r="Y168" i="35"/>
  <c r="Y177" i="35"/>
  <c r="Y176" i="35"/>
  <c r="Y175" i="35"/>
  <c r="Y174" i="35"/>
  <c r="Y163" i="35"/>
  <c r="Y166" i="35"/>
  <c r="Y172" i="35"/>
  <c r="Y169" i="35"/>
  <c r="Y164" i="35"/>
  <c r="Y178" i="35"/>
  <c r="Y167" i="35"/>
  <c r="Y173" i="35"/>
  <c r="Y170" i="35"/>
  <c r="Y165" i="35"/>
  <c r="AE162" i="35"/>
  <c r="AJ119" i="35"/>
  <c r="AK119" i="35" s="1"/>
  <c r="AJ72" i="35"/>
  <c r="AK72" i="35" s="1"/>
  <c r="AJ80" i="35"/>
  <c r="AK80" i="35" s="1"/>
  <c r="AJ95" i="35"/>
  <c r="AK95" i="35" s="1"/>
  <c r="AJ84" i="35"/>
  <c r="AK84" i="35" s="1"/>
  <c r="AJ101" i="35"/>
  <c r="AK101" i="35" s="1"/>
  <c r="AJ36" i="35"/>
  <c r="AK36" i="35" s="1"/>
  <c r="AL36" i="35" s="1"/>
  <c r="AJ69" i="35"/>
  <c r="AK69" i="35" s="1"/>
  <c r="AJ57" i="35"/>
  <c r="AK57" i="35" s="1"/>
  <c r="AJ23" i="35"/>
  <c r="AK23" i="35" s="1"/>
  <c r="AL23" i="35" s="1"/>
  <c r="AJ104" i="35"/>
  <c r="AK104" i="35" s="1"/>
  <c r="AJ111" i="35"/>
  <c r="AK111" i="35" s="1"/>
  <c r="AJ109" i="35"/>
  <c r="AK109" i="35" s="1"/>
  <c r="AL109" i="35" s="1"/>
  <c r="X124" i="22"/>
  <c r="I16" i="4"/>
  <c r="I24" i="4"/>
  <c r="AO59" i="35" l="1"/>
  <c r="AP59" i="35" s="1"/>
  <c r="AQ59" i="35" s="1"/>
  <c r="AO10" i="35"/>
  <c r="AP10" i="35" s="1"/>
  <c r="AQ10" i="35" s="1"/>
  <c r="AO12" i="35"/>
  <c r="AP12" i="35" s="1"/>
  <c r="AQ12" i="35" s="1"/>
  <c r="AO31" i="35"/>
  <c r="AP31" i="35" s="1"/>
  <c r="AQ31" i="35" s="1"/>
  <c r="AD177" i="35"/>
  <c r="AE177" i="35" s="1"/>
  <c r="AF177" i="35" s="1"/>
  <c r="AG177" i="35" s="1"/>
  <c r="AD169" i="35"/>
  <c r="AE169" i="35" s="1"/>
  <c r="AF169" i="35" s="1"/>
  <c r="AG169" i="35" s="1"/>
  <c r="AD184" i="35"/>
  <c r="AE184" i="35" s="1"/>
  <c r="AF184" i="35" s="1"/>
  <c r="AG184" i="35" s="1"/>
  <c r="AD172" i="35"/>
  <c r="AE172" i="35" s="1"/>
  <c r="AF172" i="35" s="1"/>
  <c r="AG172" i="35" s="1"/>
  <c r="AD171" i="35"/>
  <c r="AE171" i="35" s="1"/>
  <c r="AF171" i="35" s="1"/>
  <c r="AG171" i="35" s="1"/>
  <c r="AD183" i="35"/>
  <c r="AE183" i="35" s="1"/>
  <c r="AF183" i="35" s="1"/>
  <c r="AG183" i="35" s="1"/>
  <c r="AD181" i="35"/>
  <c r="AE181" i="35" s="1"/>
  <c r="AF181" i="35" s="1"/>
  <c r="AG181" i="35" s="1"/>
  <c r="AD165" i="35"/>
  <c r="AE165" i="35" s="1"/>
  <c r="AF165" i="35" s="1"/>
  <c r="AG165" i="35" s="1"/>
  <c r="AD166" i="35"/>
  <c r="AE166" i="35" s="1"/>
  <c r="AF166" i="35" s="1"/>
  <c r="AG166" i="35" s="1"/>
  <c r="AD182" i="35"/>
  <c r="AE182" i="35" s="1"/>
  <c r="AF182" i="35" s="1"/>
  <c r="AG182" i="35" s="1"/>
  <c r="AD170" i="35"/>
  <c r="AE170" i="35" s="1"/>
  <c r="AF170" i="35" s="1"/>
  <c r="AG170" i="35" s="1"/>
  <c r="AD163" i="35"/>
  <c r="AE163" i="35" s="1"/>
  <c r="AF163" i="35" s="1"/>
  <c r="AG163" i="35" s="1"/>
  <c r="AD180" i="35"/>
  <c r="AE180" i="35" s="1"/>
  <c r="AF180" i="35" s="1"/>
  <c r="AG180" i="35" s="1"/>
  <c r="AD186" i="35"/>
  <c r="AE186" i="35" s="1"/>
  <c r="AF186" i="35" s="1"/>
  <c r="AG186" i="35" s="1"/>
  <c r="AD174" i="35"/>
  <c r="AE174" i="35" s="1"/>
  <c r="AF174" i="35" s="1"/>
  <c r="AG174" i="35" s="1"/>
  <c r="AD187" i="35"/>
  <c r="AE187" i="35" s="1"/>
  <c r="AF187" i="35" s="1"/>
  <c r="AG187" i="35" s="1"/>
  <c r="AD167" i="35"/>
  <c r="AE167" i="35" s="1"/>
  <c r="AF167" i="35" s="1"/>
  <c r="AG167" i="35" s="1"/>
  <c r="AD175" i="35"/>
  <c r="AE175" i="35" s="1"/>
  <c r="AF175" i="35" s="1"/>
  <c r="AG175" i="35" s="1"/>
  <c r="AD179" i="35"/>
  <c r="AE179" i="35" s="1"/>
  <c r="AF179" i="35" s="1"/>
  <c r="AG179" i="35" s="1"/>
  <c r="AD190" i="35"/>
  <c r="AE190" i="35" s="1"/>
  <c r="AF190" i="35" s="1"/>
  <c r="AG190" i="35" s="1"/>
  <c r="AD164" i="35"/>
  <c r="AE164" i="35" s="1"/>
  <c r="AF164" i="35" s="1"/>
  <c r="AG164" i="35" s="1"/>
  <c r="AD188" i="35"/>
  <c r="AE188" i="35" s="1"/>
  <c r="AF188" i="35" s="1"/>
  <c r="AG188" i="35" s="1"/>
  <c r="AD168" i="35"/>
  <c r="AE168" i="35" s="1"/>
  <c r="AF168" i="35" s="1"/>
  <c r="AG168" i="35" s="1"/>
  <c r="AD173" i="35"/>
  <c r="AE173" i="35" s="1"/>
  <c r="AF173" i="35" s="1"/>
  <c r="AG173" i="35" s="1"/>
  <c r="AD191" i="35"/>
  <c r="AE191" i="35" s="1"/>
  <c r="AF191" i="35" s="1"/>
  <c r="AG191" i="35" s="1"/>
  <c r="AD178" i="35"/>
  <c r="AE178" i="35" s="1"/>
  <c r="AF178" i="35" s="1"/>
  <c r="AG178" i="35" s="1"/>
  <c r="AD176" i="35"/>
  <c r="AE176" i="35" s="1"/>
  <c r="AF176" i="35" s="1"/>
  <c r="AG176" i="35" s="1"/>
  <c r="AD185" i="35"/>
  <c r="AE185" i="35" s="1"/>
  <c r="AF185" i="35" s="1"/>
  <c r="AG185" i="35" s="1"/>
  <c r="AD189" i="35"/>
  <c r="AE189" i="35" s="1"/>
  <c r="AF189" i="35" s="1"/>
  <c r="AG189" i="35" s="1"/>
  <c r="AL53" i="35"/>
  <c r="AL93" i="35"/>
  <c r="AL13" i="35"/>
  <c r="AO109" i="35"/>
  <c r="AL117" i="35"/>
  <c r="AL21" i="35"/>
  <c r="AL29" i="35"/>
  <c r="AO37" i="35"/>
  <c r="AL95" i="35"/>
  <c r="AL80" i="35"/>
  <c r="AL61" i="35"/>
  <c r="AL85" i="35"/>
  <c r="AL26" i="35"/>
  <c r="AL32" i="35"/>
  <c r="AL128" i="35"/>
  <c r="AL77" i="35"/>
  <c r="AL64" i="35"/>
  <c r="AL45" i="35"/>
  <c r="AL125" i="35"/>
  <c r="AL69" i="35"/>
  <c r="AL101" i="35"/>
  <c r="AL104" i="35"/>
  <c r="AL84" i="35"/>
  <c r="AO40" i="35"/>
  <c r="AL89" i="35"/>
  <c r="AL22" i="35"/>
  <c r="AL116" i="35"/>
  <c r="AL24" i="35"/>
  <c r="AL54" i="35"/>
  <c r="AL19" i="35"/>
  <c r="AL73" i="35"/>
  <c r="AL30" i="35"/>
  <c r="AL65" i="35"/>
  <c r="AL98" i="35"/>
  <c r="AL108" i="35"/>
  <c r="AL28" i="35"/>
  <c r="AL15" i="35"/>
  <c r="AL111" i="35"/>
  <c r="AL67" i="35"/>
  <c r="AL11" i="35"/>
  <c r="AL114" i="35"/>
  <c r="AO62" i="35"/>
  <c r="AL42" i="35"/>
  <c r="AL127" i="35"/>
  <c r="AL8" i="35"/>
  <c r="AL55" i="35"/>
  <c r="AL74" i="35"/>
  <c r="AL41" i="35"/>
  <c r="AL115" i="35"/>
  <c r="AO66" i="35"/>
  <c r="AL105" i="35"/>
  <c r="AL88" i="35"/>
  <c r="AL39" i="35"/>
  <c r="AL76" i="35"/>
  <c r="AL75" i="35"/>
  <c r="AO23" i="35"/>
  <c r="AL72" i="35"/>
  <c r="AL48" i="35"/>
  <c r="AL14" i="35"/>
  <c r="AL124" i="35"/>
  <c r="AL126" i="35"/>
  <c r="AO110" i="35"/>
  <c r="AL78" i="35"/>
  <c r="AL52" i="35"/>
  <c r="AL44" i="35"/>
  <c r="AL79" i="35"/>
  <c r="AL99" i="35"/>
  <c r="AL102" i="35"/>
  <c r="AO129" i="35"/>
  <c r="AO38" i="35"/>
  <c r="AL92" i="35"/>
  <c r="AL70" i="35"/>
  <c r="AL119" i="35"/>
  <c r="AL82" i="35"/>
  <c r="AL63" i="35"/>
  <c r="AL27" i="35"/>
  <c r="AL51" i="35"/>
  <c r="AL86" i="35"/>
  <c r="AL9" i="35"/>
  <c r="AL107" i="35"/>
  <c r="AL18" i="35"/>
  <c r="AL120" i="35"/>
  <c r="AL83" i="35"/>
  <c r="AL113" i="35"/>
  <c r="AL20" i="35"/>
  <c r="AL81" i="35"/>
  <c r="AL33" i="35"/>
  <c r="AL123" i="35"/>
  <c r="AL100" i="35"/>
  <c r="AL103" i="35"/>
  <c r="AO34" i="35"/>
  <c r="AL56" i="35"/>
  <c r="AL122" i="35"/>
  <c r="AL87" i="35"/>
  <c r="AL94" i="35"/>
  <c r="AO36" i="35"/>
  <c r="AL46" i="35"/>
  <c r="AL121" i="35"/>
  <c r="AL112" i="35"/>
  <c r="AL71" i="35"/>
  <c r="AL25" i="35"/>
  <c r="AO17" i="35"/>
  <c r="AL118" i="35"/>
  <c r="AL90" i="35"/>
  <c r="AL50" i="35"/>
  <c r="AL96" i="35"/>
  <c r="AL68" i="35"/>
  <c r="AL57" i="35"/>
  <c r="AO91" i="35"/>
  <c r="AO47" i="35"/>
  <c r="AL35" i="35"/>
  <c r="AL106" i="35"/>
  <c r="AL97" i="35"/>
  <c r="AL16" i="35"/>
  <c r="AL43" i="35"/>
  <c r="AL49" i="35"/>
  <c r="AL58" i="35"/>
  <c r="AL60" i="35"/>
  <c r="B41" i="37"/>
  <c r="AB21" i="37"/>
  <c r="AJ148" i="35"/>
  <c r="AK148" i="35" s="1"/>
  <c r="AJ134" i="35"/>
  <c r="AK134" i="35" s="1"/>
  <c r="AJ132" i="35"/>
  <c r="AK132" i="35" s="1"/>
  <c r="AJ146" i="35"/>
  <c r="AK146" i="35" s="1"/>
  <c r="AJ153" i="35"/>
  <c r="AK153" i="35" s="1"/>
  <c r="AJ130" i="35"/>
  <c r="AK130" i="35" s="1"/>
  <c r="AJ157" i="35"/>
  <c r="AK157" i="35" s="1"/>
  <c r="AH161" i="35"/>
  <c r="AI161" i="35" s="1"/>
  <c r="AJ154" i="35"/>
  <c r="AK154" i="35" s="1"/>
  <c r="AJ156" i="35"/>
  <c r="AK156" i="35" s="1"/>
  <c r="AJ160" i="35"/>
  <c r="AK160" i="35" s="1"/>
  <c r="AJ158" i="35"/>
  <c r="AK158" i="35" s="1"/>
  <c r="AJ151" i="35"/>
  <c r="AK151" i="35" s="1"/>
  <c r="AJ141" i="35"/>
  <c r="AK141" i="35" s="1"/>
  <c r="AJ159" i="35"/>
  <c r="AK159" i="35" s="1"/>
  <c r="AJ149" i="35"/>
  <c r="AK149" i="35" s="1"/>
  <c r="AJ145" i="35"/>
  <c r="AK145" i="35" s="1"/>
  <c r="AJ152" i="35"/>
  <c r="AK152" i="35" s="1"/>
  <c r="AJ131" i="35"/>
  <c r="AK131" i="35" s="1"/>
  <c r="AJ144" i="35"/>
  <c r="AK144" i="35" s="1"/>
  <c r="AJ135" i="35"/>
  <c r="AK135" i="35" s="1"/>
  <c r="AJ142" i="35"/>
  <c r="AK142" i="35" s="1"/>
  <c r="AJ147" i="35"/>
  <c r="AK147" i="35" s="1"/>
  <c r="AJ143" i="35"/>
  <c r="AK143" i="35" s="1"/>
  <c r="AJ139" i="35"/>
  <c r="AK139" i="35" s="1"/>
  <c r="AJ150" i="35"/>
  <c r="AK150" i="35" s="1"/>
  <c r="Y193" i="35"/>
  <c r="AD193" i="35" s="1"/>
  <c r="AE192" i="35"/>
  <c r="AJ155" i="35"/>
  <c r="AK155" i="35" s="1"/>
  <c r="AJ137" i="35"/>
  <c r="AK137" i="35" s="1"/>
  <c r="AF162" i="35"/>
  <c r="AG162" i="35" s="1"/>
  <c r="AJ138" i="35"/>
  <c r="AK138" i="35" s="1"/>
  <c r="AJ133" i="35"/>
  <c r="AK133" i="35" s="1"/>
  <c r="AJ136" i="35"/>
  <c r="AK136" i="35" s="1"/>
  <c r="AJ140" i="35"/>
  <c r="AK140" i="35" s="1"/>
  <c r="AS292" i="22"/>
  <c r="AA287" i="22"/>
  <c r="AA286" i="22"/>
  <c r="AA285" i="22"/>
  <c r="AA284" i="22"/>
  <c r="AA283" i="22"/>
  <c r="AA282" i="22"/>
  <c r="AA281" i="22"/>
  <c r="AA280" i="22"/>
  <c r="AA279" i="22"/>
  <c r="AA278" i="22"/>
  <c r="AA277" i="22"/>
  <c r="AA276" i="22"/>
  <c r="AA275" i="22"/>
  <c r="AA274" i="22"/>
  <c r="AA273" i="22"/>
  <c r="AA272" i="22"/>
  <c r="AA271" i="22"/>
  <c r="AA270" i="22"/>
  <c r="AA269" i="22"/>
  <c r="AA268" i="22"/>
  <c r="AA267" i="22"/>
  <c r="AA266" i="22"/>
  <c r="AA265" i="22"/>
  <c r="AA264" i="22"/>
  <c r="AA263" i="22"/>
  <c r="AA262" i="22"/>
  <c r="AA261" i="22"/>
  <c r="AA260" i="22"/>
  <c r="AA259" i="22"/>
  <c r="AA258" i="22"/>
  <c r="AA257" i="22"/>
  <c r="AA256" i="22"/>
  <c r="AA255" i="22"/>
  <c r="AA254" i="22"/>
  <c r="AA253" i="22"/>
  <c r="AA252" i="22"/>
  <c r="AA251" i="22"/>
  <c r="AA250" i="22"/>
  <c r="AA249" i="22"/>
  <c r="AA248" i="22"/>
  <c r="AA247" i="22"/>
  <c r="AA246" i="22"/>
  <c r="AA245" i="22"/>
  <c r="AA244" i="22"/>
  <c r="AA243" i="22"/>
  <c r="AA242" i="22"/>
  <c r="AA241" i="22"/>
  <c r="AA240" i="22"/>
  <c r="AA239" i="22"/>
  <c r="AA238" i="22"/>
  <c r="AA237" i="22"/>
  <c r="AA236" i="22"/>
  <c r="AA235" i="22"/>
  <c r="AA234" i="22"/>
  <c r="AA233" i="22"/>
  <c r="AA232" i="22"/>
  <c r="AA231" i="22"/>
  <c r="AA230" i="22"/>
  <c r="AA229" i="22"/>
  <c r="AA228" i="22"/>
  <c r="AA227" i="22"/>
  <c r="AA226" i="22"/>
  <c r="AA225" i="22"/>
  <c r="AA224" i="22"/>
  <c r="AA223" i="22"/>
  <c r="AA222" i="22"/>
  <c r="AA221" i="22"/>
  <c r="AA220" i="22"/>
  <c r="AA219" i="22"/>
  <c r="AA218" i="22"/>
  <c r="AA217" i="22"/>
  <c r="AA216" i="22"/>
  <c r="AA215" i="22"/>
  <c r="AA214" i="22"/>
  <c r="AA213" i="22"/>
  <c r="AA212" i="22"/>
  <c r="AA211" i="22"/>
  <c r="AA210" i="22"/>
  <c r="AA209" i="22"/>
  <c r="AA208" i="22"/>
  <c r="AA207" i="22"/>
  <c r="AA206" i="22"/>
  <c r="AA205" i="22"/>
  <c r="AA204" i="22"/>
  <c r="AA203" i="22"/>
  <c r="AA202" i="22"/>
  <c r="AA201" i="22"/>
  <c r="AA200" i="22"/>
  <c r="AA199" i="22"/>
  <c r="AA198" i="22"/>
  <c r="AA197" i="22"/>
  <c r="AA196" i="22"/>
  <c r="AA195" i="22"/>
  <c r="AA194" i="22"/>
  <c r="AA193" i="22"/>
  <c r="AA192" i="22"/>
  <c r="AA191" i="22"/>
  <c r="AA190" i="22"/>
  <c r="AA189" i="22"/>
  <c r="AA188" i="22"/>
  <c r="AA187" i="22"/>
  <c r="AA186" i="22"/>
  <c r="AA185" i="22"/>
  <c r="AA184" i="22"/>
  <c r="AA183" i="22"/>
  <c r="AA182" i="22"/>
  <c r="AA181" i="22"/>
  <c r="AA180" i="22"/>
  <c r="AA179" i="22"/>
  <c r="AA178" i="22"/>
  <c r="AA177" i="22"/>
  <c r="AA176" i="22"/>
  <c r="AA175" i="22"/>
  <c r="AA174" i="22"/>
  <c r="AA173" i="22"/>
  <c r="AA172" i="22"/>
  <c r="AA171" i="22"/>
  <c r="AA170" i="22"/>
  <c r="AA169" i="22"/>
  <c r="AA168" i="22"/>
  <c r="AA167" i="22"/>
  <c r="AA166" i="22"/>
  <c r="AA165" i="22"/>
  <c r="AA164" i="22"/>
  <c r="AA163" i="22"/>
  <c r="AA162" i="22"/>
  <c r="AA161" i="22"/>
  <c r="AA160" i="22"/>
  <c r="AA159" i="22"/>
  <c r="AA158" i="22"/>
  <c r="AA157" i="22"/>
  <c r="AA156" i="22"/>
  <c r="AA155" i="22"/>
  <c r="AA154" i="22"/>
  <c r="AA153" i="22"/>
  <c r="AA152" i="22"/>
  <c r="AA151" i="22"/>
  <c r="AA150" i="22"/>
  <c r="AA149" i="22"/>
  <c r="AA148" i="22"/>
  <c r="AA147" i="22"/>
  <c r="AA146" i="22"/>
  <c r="AA145" i="22"/>
  <c r="AA144" i="22"/>
  <c r="AA143" i="22"/>
  <c r="AA142" i="22"/>
  <c r="AA141" i="22"/>
  <c r="AA140" i="22"/>
  <c r="AA139" i="22"/>
  <c r="AA138" i="22"/>
  <c r="AA137" i="22"/>
  <c r="AA136" i="22"/>
  <c r="AA135" i="22"/>
  <c r="AA134" i="22"/>
  <c r="AA133" i="22"/>
  <c r="AA132" i="22"/>
  <c r="AA131" i="22"/>
  <c r="AA130" i="22"/>
  <c r="AA129" i="22"/>
  <c r="AA128" i="22"/>
  <c r="AA127" i="22"/>
  <c r="AA126" i="22"/>
  <c r="AA125" i="22"/>
  <c r="AA124" i="22"/>
  <c r="AA123" i="22"/>
  <c r="AA122" i="22"/>
  <c r="AA121" i="22"/>
  <c r="AA120" i="22"/>
  <c r="AA119" i="22"/>
  <c r="AA118" i="22"/>
  <c r="AA117" i="22"/>
  <c r="AA116" i="22"/>
  <c r="AA115" i="22"/>
  <c r="AA114" i="22"/>
  <c r="AA113" i="22"/>
  <c r="AA112" i="22"/>
  <c r="AA111" i="22"/>
  <c r="AA110" i="22"/>
  <c r="AA109" i="22"/>
  <c r="AA108" i="22"/>
  <c r="AA107" i="22"/>
  <c r="AA106" i="22"/>
  <c r="AA105" i="22"/>
  <c r="AA104" i="22"/>
  <c r="AA103" i="22"/>
  <c r="AA102" i="22"/>
  <c r="AA101" i="22"/>
  <c r="AA100" i="22"/>
  <c r="AA99" i="22"/>
  <c r="AA98" i="22"/>
  <c r="AA97" i="22"/>
  <c r="AA96" i="22"/>
  <c r="AA95" i="22"/>
  <c r="AA94" i="22"/>
  <c r="AA93" i="22"/>
  <c r="AA92" i="22"/>
  <c r="AA91" i="22"/>
  <c r="AA90" i="22"/>
  <c r="AA89" i="22"/>
  <c r="AA88" i="22"/>
  <c r="AA87" i="22"/>
  <c r="AA86" i="22"/>
  <c r="AA85" i="22"/>
  <c r="AA84" i="22"/>
  <c r="AA83" i="22"/>
  <c r="AA82" i="22"/>
  <c r="AA81" i="22"/>
  <c r="AA80" i="22"/>
  <c r="AA79" i="22"/>
  <c r="AA78" i="22"/>
  <c r="AA77" i="22"/>
  <c r="AA76" i="22"/>
  <c r="AA75" i="22"/>
  <c r="AA74" i="22"/>
  <c r="AA73" i="22"/>
  <c r="AA72" i="22"/>
  <c r="AA71" i="22"/>
  <c r="AA70" i="22"/>
  <c r="AA69" i="22"/>
  <c r="AA68" i="22"/>
  <c r="AA67" i="22"/>
  <c r="AA66" i="22"/>
  <c r="AA65" i="22"/>
  <c r="AA64" i="22"/>
  <c r="AA63" i="22"/>
  <c r="AA62" i="22"/>
  <c r="AA61" i="22"/>
  <c r="AA60" i="22"/>
  <c r="AA59" i="22"/>
  <c r="AA58" i="22"/>
  <c r="AA57" i="22"/>
  <c r="AA56" i="22"/>
  <c r="AA55" i="22"/>
  <c r="AA54" i="22"/>
  <c r="AA53" i="22"/>
  <c r="AA52" i="22"/>
  <c r="AA51" i="22"/>
  <c r="AA50" i="22"/>
  <c r="AA49" i="22"/>
  <c r="AA48" i="22"/>
  <c r="AA47" i="22"/>
  <c r="AA46" i="22"/>
  <c r="AA45" i="22"/>
  <c r="AA44" i="22"/>
  <c r="AA43" i="22"/>
  <c r="AA42" i="22"/>
  <c r="AA41" i="22"/>
  <c r="AA40" i="22"/>
  <c r="AA39" i="22"/>
  <c r="AA38" i="22"/>
  <c r="AA37" i="22"/>
  <c r="AA36" i="22"/>
  <c r="AA35" i="22"/>
  <c r="AA34" i="22"/>
  <c r="AA33" i="22"/>
  <c r="AA32" i="22"/>
  <c r="AA31" i="22"/>
  <c r="AA30" i="22"/>
  <c r="AA29" i="22"/>
  <c r="AA28" i="22"/>
  <c r="AA27" i="22"/>
  <c r="AA26" i="22"/>
  <c r="AA25" i="22"/>
  <c r="AA24" i="22"/>
  <c r="AA23" i="22"/>
  <c r="AA22" i="22"/>
  <c r="AA21" i="22"/>
  <c r="AA20" i="22"/>
  <c r="AA19" i="22"/>
  <c r="AA18" i="22"/>
  <c r="AA17" i="22"/>
  <c r="AA16" i="22"/>
  <c r="AA15" i="22"/>
  <c r="AA14" i="22"/>
  <c r="AA13" i="22"/>
  <c r="AA12" i="22"/>
  <c r="AA11" i="22"/>
  <c r="AA10" i="22"/>
  <c r="Y287" i="22"/>
  <c r="Y286" i="22"/>
  <c r="Y285" i="22"/>
  <c r="Y284" i="22"/>
  <c r="Y283" i="22"/>
  <c r="Y282" i="22"/>
  <c r="Y281" i="22"/>
  <c r="Y280" i="22"/>
  <c r="Y279" i="22"/>
  <c r="Y278" i="22"/>
  <c r="Y277" i="22"/>
  <c r="Y276" i="22"/>
  <c r="Y275" i="22"/>
  <c r="Y274" i="22"/>
  <c r="Y273" i="22"/>
  <c r="Y272" i="22"/>
  <c r="Y271" i="22"/>
  <c r="Y270" i="22"/>
  <c r="Y269" i="22"/>
  <c r="Y268" i="22"/>
  <c r="Y267" i="22"/>
  <c r="Y266" i="22"/>
  <c r="Y265" i="22"/>
  <c r="Y264" i="22"/>
  <c r="Y263" i="22"/>
  <c r="Y262" i="22"/>
  <c r="Y261" i="22"/>
  <c r="Y260" i="22"/>
  <c r="Y259" i="22"/>
  <c r="Y258" i="22"/>
  <c r="Y257" i="22"/>
  <c r="Y256" i="22"/>
  <c r="Y255" i="22"/>
  <c r="Y254" i="22"/>
  <c r="Y253" i="22"/>
  <c r="Y252" i="22"/>
  <c r="Y251" i="22"/>
  <c r="Y250" i="22"/>
  <c r="Y249" i="22"/>
  <c r="Y248" i="22"/>
  <c r="Y247" i="22"/>
  <c r="Y246" i="22"/>
  <c r="Y245" i="22"/>
  <c r="Y244" i="22"/>
  <c r="Y243" i="22"/>
  <c r="Y242" i="22"/>
  <c r="Y241" i="22"/>
  <c r="Y240" i="22"/>
  <c r="Y239" i="22"/>
  <c r="Y238" i="22"/>
  <c r="Y237" i="22"/>
  <c r="Y236" i="22"/>
  <c r="Y235" i="22"/>
  <c r="Y234" i="22"/>
  <c r="Y233" i="22"/>
  <c r="Y232" i="22"/>
  <c r="Y231" i="22"/>
  <c r="Y230" i="22"/>
  <c r="Y229" i="22"/>
  <c r="Y228" i="22"/>
  <c r="Y227" i="22"/>
  <c r="Y226" i="22"/>
  <c r="Y225" i="22"/>
  <c r="Y224" i="22"/>
  <c r="Y223" i="22"/>
  <c r="Y222" i="22"/>
  <c r="Y221" i="22"/>
  <c r="Y220" i="22"/>
  <c r="Y219" i="22"/>
  <c r="Y218" i="22"/>
  <c r="Y217" i="22"/>
  <c r="Y216" i="22"/>
  <c r="Y215" i="22"/>
  <c r="Y214" i="22"/>
  <c r="Y213" i="22"/>
  <c r="Y212" i="22"/>
  <c r="Y211" i="22"/>
  <c r="Y210" i="22"/>
  <c r="Y209" i="22"/>
  <c r="Y208" i="22"/>
  <c r="Y207" i="22"/>
  <c r="Y206" i="22"/>
  <c r="Y205" i="22"/>
  <c r="Y204" i="22"/>
  <c r="Y203" i="22"/>
  <c r="Y202" i="22"/>
  <c r="Y201" i="22"/>
  <c r="Y200" i="22"/>
  <c r="Y199" i="22"/>
  <c r="Y198" i="22"/>
  <c r="Y197" i="22"/>
  <c r="Y196" i="22"/>
  <c r="Y195" i="22"/>
  <c r="Y194" i="22"/>
  <c r="Y193" i="22"/>
  <c r="Y192" i="22"/>
  <c r="Y191" i="22"/>
  <c r="Y190" i="22"/>
  <c r="Y189" i="22"/>
  <c r="Y188" i="22"/>
  <c r="Y187" i="22"/>
  <c r="Y186" i="22"/>
  <c r="Y185" i="22"/>
  <c r="Y184" i="22"/>
  <c r="Y183" i="22"/>
  <c r="Y182" i="22"/>
  <c r="Y181" i="22"/>
  <c r="Y180" i="22"/>
  <c r="Y179" i="22"/>
  <c r="Y178" i="22"/>
  <c r="Y177" i="22"/>
  <c r="Y176" i="22"/>
  <c r="Y175" i="22"/>
  <c r="Y174" i="22"/>
  <c r="Y173" i="22"/>
  <c r="Y172" i="22"/>
  <c r="Y171" i="22"/>
  <c r="Y170" i="22"/>
  <c r="Y169" i="22"/>
  <c r="Y168" i="22"/>
  <c r="Y167" i="22"/>
  <c r="Y166" i="22"/>
  <c r="Y165" i="22"/>
  <c r="Y164" i="22"/>
  <c r="Y163" i="22"/>
  <c r="Y162" i="22"/>
  <c r="Y161" i="22"/>
  <c r="Y160" i="22"/>
  <c r="Y159" i="22"/>
  <c r="Y158" i="22"/>
  <c r="Y157" i="22"/>
  <c r="Y156" i="22"/>
  <c r="Y155" i="22"/>
  <c r="Y154" i="22"/>
  <c r="Y153" i="22"/>
  <c r="Y152" i="22"/>
  <c r="Y151" i="22"/>
  <c r="Y150" i="22"/>
  <c r="Y149" i="22"/>
  <c r="Y148" i="22"/>
  <c r="Y147" i="22"/>
  <c r="Y146" i="22"/>
  <c r="Y145" i="22"/>
  <c r="Y144" i="22"/>
  <c r="Y143" i="22"/>
  <c r="Y142" i="22"/>
  <c r="Y141" i="22"/>
  <c r="Y140" i="22"/>
  <c r="Y139" i="22"/>
  <c r="Y138" i="22"/>
  <c r="Y137" i="22"/>
  <c r="Y136" i="22"/>
  <c r="Y135" i="22"/>
  <c r="Y134" i="22"/>
  <c r="Y133" i="22"/>
  <c r="Y132" i="22"/>
  <c r="Y131" i="22"/>
  <c r="Y130" i="22"/>
  <c r="Y129" i="22"/>
  <c r="Y128" i="22"/>
  <c r="Y127" i="22"/>
  <c r="Y126" i="22"/>
  <c r="Y125" i="22"/>
  <c r="Y124" i="22"/>
  <c r="Y123" i="22"/>
  <c r="Y122" i="22"/>
  <c r="Y121" i="22"/>
  <c r="Y120" i="22"/>
  <c r="Y119" i="22"/>
  <c r="Y118" i="22"/>
  <c r="Y117" i="22"/>
  <c r="Y116" i="22"/>
  <c r="Y115" i="22"/>
  <c r="Y114" i="22"/>
  <c r="Y113" i="22"/>
  <c r="Y112" i="22"/>
  <c r="Y111" i="22"/>
  <c r="Y110" i="22"/>
  <c r="Y109" i="22"/>
  <c r="Y108" i="22"/>
  <c r="Y107" i="22"/>
  <c r="Y106" i="22"/>
  <c r="Y105" i="22"/>
  <c r="Y104" i="22"/>
  <c r="Y103" i="22"/>
  <c r="Y102" i="22"/>
  <c r="Y101" i="22"/>
  <c r="Y100" i="22"/>
  <c r="Y99" i="22"/>
  <c r="Y98" i="22"/>
  <c r="Y97" i="22"/>
  <c r="Y96" i="22"/>
  <c r="Y95" i="22"/>
  <c r="Y94" i="22"/>
  <c r="Y93" i="22"/>
  <c r="Y92" i="22"/>
  <c r="Y91" i="22"/>
  <c r="Y90" i="22"/>
  <c r="Y89" i="22"/>
  <c r="Y88" i="22"/>
  <c r="Y87" i="22"/>
  <c r="Y86" i="22"/>
  <c r="Y85" i="22"/>
  <c r="Y84" i="22"/>
  <c r="Y83" i="22"/>
  <c r="Y82" i="22"/>
  <c r="Y81" i="22"/>
  <c r="Y80" i="22"/>
  <c r="Y79" i="22"/>
  <c r="Y78" i="22"/>
  <c r="Y77" i="22"/>
  <c r="Y76" i="22"/>
  <c r="Y75" i="22"/>
  <c r="Y74" i="22"/>
  <c r="Y73" i="22"/>
  <c r="Y72" i="22"/>
  <c r="Y71" i="22"/>
  <c r="Y70" i="22"/>
  <c r="Y69" i="22"/>
  <c r="Y68" i="22"/>
  <c r="Y67" i="22"/>
  <c r="Y66" i="22"/>
  <c r="Y65" i="22"/>
  <c r="Y64" i="22"/>
  <c r="Y63" i="22"/>
  <c r="Y62" i="22"/>
  <c r="Y61" i="22"/>
  <c r="Y60" i="22"/>
  <c r="Y59" i="22"/>
  <c r="Y58" i="22"/>
  <c r="Y57" i="22"/>
  <c r="Y56" i="22"/>
  <c r="Y55" i="22"/>
  <c r="Y54" i="22"/>
  <c r="Y53" i="22"/>
  <c r="Y52" i="22"/>
  <c r="Y51" i="22"/>
  <c r="Y50" i="22"/>
  <c r="Y49" i="22"/>
  <c r="Y48" i="22"/>
  <c r="Y47" i="22"/>
  <c r="Y46" i="22"/>
  <c r="Y45" i="22"/>
  <c r="Y44" i="22"/>
  <c r="Y43" i="22"/>
  <c r="Y42" i="22"/>
  <c r="Y41" i="22"/>
  <c r="Y40" i="22"/>
  <c r="Y39" i="22"/>
  <c r="Y38" i="22"/>
  <c r="Y37" i="22"/>
  <c r="Y36" i="22"/>
  <c r="Y35" i="22"/>
  <c r="Y34" i="22"/>
  <c r="Y33" i="22"/>
  <c r="Y32" i="22"/>
  <c r="Y31" i="22"/>
  <c r="Y30" i="22"/>
  <c r="Y29" i="22"/>
  <c r="Y28" i="22"/>
  <c r="Y27" i="22"/>
  <c r="Y26" i="22"/>
  <c r="Y25" i="22"/>
  <c r="Y24" i="22"/>
  <c r="Y23" i="22"/>
  <c r="Y22" i="22"/>
  <c r="Y21" i="22"/>
  <c r="Y20" i="22"/>
  <c r="Y19" i="22"/>
  <c r="Y18" i="22"/>
  <c r="Y17" i="22"/>
  <c r="Y16" i="22"/>
  <c r="Y15" i="22"/>
  <c r="Y14" i="22"/>
  <c r="Y13" i="22"/>
  <c r="Y12" i="22"/>
  <c r="Y11" i="22"/>
  <c r="Y10" i="22"/>
  <c r="I11" i="22"/>
  <c r="O11" i="22" s="1"/>
  <c r="I12" i="22"/>
  <c r="O12" i="22" s="1"/>
  <c r="I13" i="22"/>
  <c r="O13" i="22" s="1"/>
  <c r="I14" i="22"/>
  <c r="O14" i="22" s="1"/>
  <c r="I15" i="22"/>
  <c r="O15" i="22" s="1"/>
  <c r="I16" i="22"/>
  <c r="O16" i="22" s="1"/>
  <c r="I17" i="22"/>
  <c r="O17" i="22" s="1"/>
  <c r="I18" i="22"/>
  <c r="O18" i="22" s="1"/>
  <c r="I19" i="22"/>
  <c r="O19" i="22" s="1"/>
  <c r="I20" i="22"/>
  <c r="O20" i="22" s="1"/>
  <c r="I21" i="22"/>
  <c r="O21" i="22" s="1"/>
  <c r="I22" i="22"/>
  <c r="O22" i="22" s="1"/>
  <c r="I23" i="22"/>
  <c r="O23" i="22" s="1"/>
  <c r="I24" i="22"/>
  <c r="O24" i="22" s="1"/>
  <c r="I25" i="22"/>
  <c r="O25" i="22" s="1"/>
  <c r="I26" i="22"/>
  <c r="O26" i="22" s="1"/>
  <c r="I27" i="22"/>
  <c r="O27" i="22" s="1"/>
  <c r="I28" i="22"/>
  <c r="O28" i="22" s="1"/>
  <c r="I29" i="22"/>
  <c r="O29" i="22" s="1"/>
  <c r="I30" i="22"/>
  <c r="O30" i="22" s="1"/>
  <c r="I31" i="22"/>
  <c r="O31" i="22" s="1"/>
  <c r="I32" i="22"/>
  <c r="O32" i="22" s="1"/>
  <c r="I33" i="22"/>
  <c r="O33" i="22" s="1"/>
  <c r="I34" i="22"/>
  <c r="O34" i="22" s="1"/>
  <c r="I35" i="22"/>
  <c r="O35" i="22" s="1"/>
  <c r="I36" i="22"/>
  <c r="O36" i="22" s="1"/>
  <c r="I37" i="22"/>
  <c r="O37" i="22" s="1"/>
  <c r="I38" i="22"/>
  <c r="O38" i="22" s="1"/>
  <c r="I39" i="22"/>
  <c r="O39" i="22" s="1"/>
  <c r="I40" i="22"/>
  <c r="O40" i="22" s="1"/>
  <c r="I41" i="22"/>
  <c r="O41" i="22" s="1"/>
  <c r="I42" i="22"/>
  <c r="O42" i="22" s="1"/>
  <c r="I43" i="22"/>
  <c r="O43" i="22" s="1"/>
  <c r="I44" i="22"/>
  <c r="O44" i="22" s="1"/>
  <c r="I45" i="22"/>
  <c r="O45" i="22" s="1"/>
  <c r="I46" i="22"/>
  <c r="O46" i="22" s="1"/>
  <c r="I47" i="22"/>
  <c r="O47" i="22" s="1"/>
  <c r="I48" i="22"/>
  <c r="O48" i="22" s="1"/>
  <c r="I49" i="22"/>
  <c r="O49" i="22" s="1"/>
  <c r="I50" i="22"/>
  <c r="O50" i="22" s="1"/>
  <c r="I51" i="22"/>
  <c r="O51" i="22" s="1"/>
  <c r="I52" i="22"/>
  <c r="O52" i="22" s="1"/>
  <c r="I53" i="22"/>
  <c r="O53" i="22" s="1"/>
  <c r="I54" i="22"/>
  <c r="O54" i="22" s="1"/>
  <c r="I55" i="22"/>
  <c r="O55" i="22" s="1"/>
  <c r="I56" i="22"/>
  <c r="O56" i="22" s="1"/>
  <c r="I57" i="22"/>
  <c r="O57" i="22" s="1"/>
  <c r="I58" i="22"/>
  <c r="O58" i="22" s="1"/>
  <c r="I59" i="22"/>
  <c r="O59" i="22" s="1"/>
  <c r="I60" i="22"/>
  <c r="O60" i="22" s="1"/>
  <c r="I61" i="22"/>
  <c r="O61" i="22" s="1"/>
  <c r="I62" i="22"/>
  <c r="O62" i="22" s="1"/>
  <c r="I63" i="22"/>
  <c r="O63" i="22" s="1"/>
  <c r="I64" i="22"/>
  <c r="O64" i="22" s="1"/>
  <c r="I65" i="22"/>
  <c r="O65" i="22" s="1"/>
  <c r="I66" i="22"/>
  <c r="O66" i="22" s="1"/>
  <c r="I67" i="22"/>
  <c r="O67" i="22" s="1"/>
  <c r="I68" i="22"/>
  <c r="O68" i="22" s="1"/>
  <c r="I69" i="22"/>
  <c r="O69" i="22" s="1"/>
  <c r="I70" i="22"/>
  <c r="O70" i="22" s="1"/>
  <c r="I71" i="22"/>
  <c r="O71" i="22" s="1"/>
  <c r="I72" i="22"/>
  <c r="O72" i="22" s="1"/>
  <c r="I73" i="22"/>
  <c r="O73" i="22" s="1"/>
  <c r="I74" i="22"/>
  <c r="O74" i="22" s="1"/>
  <c r="I75" i="22"/>
  <c r="O75" i="22" s="1"/>
  <c r="I76" i="22"/>
  <c r="O76" i="22" s="1"/>
  <c r="I77" i="22"/>
  <c r="O77" i="22" s="1"/>
  <c r="I78" i="22"/>
  <c r="O78" i="22" s="1"/>
  <c r="I79" i="22"/>
  <c r="O79" i="22" s="1"/>
  <c r="I80" i="22"/>
  <c r="O80" i="22" s="1"/>
  <c r="I81" i="22"/>
  <c r="O81" i="22" s="1"/>
  <c r="I82" i="22"/>
  <c r="O82" i="22" s="1"/>
  <c r="I83" i="22"/>
  <c r="O83" i="22" s="1"/>
  <c r="I84" i="22"/>
  <c r="O84" i="22" s="1"/>
  <c r="I85" i="22"/>
  <c r="O85" i="22" s="1"/>
  <c r="I86" i="22"/>
  <c r="O86" i="22" s="1"/>
  <c r="I87" i="22"/>
  <c r="O87" i="22" s="1"/>
  <c r="I88" i="22"/>
  <c r="O88" i="22" s="1"/>
  <c r="I89" i="22"/>
  <c r="O89" i="22" s="1"/>
  <c r="I90" i="22"/>
  <c r="O90" i="22" s="1"/>
  <c r="I91" i="22"/>
  <c r="O91" i="22" s="1"/>
  <c r="I92" i="22"/>
  <c r="O92" i="22" s="1"/>
  <c r="I93" i="22"/>
  <c r="O93" i="22" s="1"/>
  <c r="I94" i="22"/>
  <c r="O94" i="22" s="1"/>
  <c r="I95" i="22"/>
  <c r="O95" i="22" s="1"/>
  <c r="I96" i="22"/>
  <c r="O96" i="22" s="1"/>
  <c r="I97" i="22"/>
  <c r="O97" i="22" s="1"/>
  <c r="I98" i="22"/>
  <c r="O98" i="22" s="1"/>
  <c r="I99" i="22"/>
  <c r="O99" i="22" s="1"/>
  <c r="I100" i="22"/>
  <c r="O100" i="22" s="1"/>
  <c r="I101" i="22"/>
  <c r="O101" i="22" s="1"/>
  <c r="I102" i="22"/>
  <c r="O102" i="22" s="1"/>
  <c r="I103" i="22"/>
  <c r="O103" i="22" s="1"/>
  <c r="I104" i="22"/>
  <c r="O104" i="22" s="1"/>
  <c r="I105" i="22"/>
  <c r="O105" i="22" s="1"/>
  <c r="I106" i="22"/>
  <c r="O106" i="22" s="1"/>
  <c r="I107" i="22"/>
  <c r="O107" i="22" s="1"/>
  <c r="I108" i="22"/>
  <c r="O108" i="22" s="1"/>
  <c r="I109" i="22"/>
  <c r="O109" i="22" s="1"/>
  <c r="I110" i="22"/>
  <c r="O110" i="22" s="1"/>
  <c r="I111" i="22"/>
  <c r="O111" i="22" s="1"/>
  <c r="I112" i="22"/>
  <c r="O112" i="22" s="1"/>
  <c r="I113" i="22"/>
  <c r="O113" i="22" s="1"/>
  <c r="I114" i="22"/>
  <c r="O114" i="22" s="1"/>
  <c r="I115" i="22"/>
  <c r="O115" i="22" s="1"/>
  <c r="I116" i="22"/>
  <c r="O116" i="22" s="1"/>
  <c r="I117" i="22"/>
  <c r="O117" i="22" s="1"/>
  <c r="I118" i="22"/>
  <c r="O118" i="22" s="1"/>
  <c r="I119" i="22"/>
  <c r="O119" i="22" s="1"/>
  <c r="I120" i="22"/>
  <c r="O120" i="22" s="1"/>
  <c r="I121" i="22"/>
  <c r="O121" i="22" s="1"/>
  <c r="I122" i="22"/>
  <c r="O122" i="22" s="1"/>
  <c r="I123" i="22"/>
  <c r="O123" i="22" s="1"/>
  <c r="I125" i="22"/>
  <c r="O125" i="22" s="1"/>
  <c r="I126" i="22"/>
  <c r="O126" i="22" s="1"/>
  <c r="I127" i="22"/>
  <c r="O127" i="22" s="1"/>
  <c r="I128" i="22"/>
  <c r="O128" i="22" s="1"/>
  <c r="I129" i="22"/>
  <c r="O129" i="22" s="1"/>
  <c r="I130" i="22"/>
  <c r="O130" i="22" s="1"/>
  <c r="I131" i="22"/>
  <c r="O131" i="22" s="1"/>
  <c r="I132" i="22"/>
  <c r="O132" i="22" s="1"/>
  <c r="I133" i="22"/>
  <c r="O133" i="22" s="1"/>
  <c r="I134" i="22"/>
  <c r="O134" i="22" s="1"/>
  <c r="I135" i="22"/>
  <c r="O135" i="22" s="1"/>
  <c r="I136" i="22"/>
  <c r="O136" i="22" s="1"/>
  <c r="I137" i="22"/>
  <c r="O137" i="22" s="1"/>
  <c r="I138" i="22"/>
  <c r="O138" i="22" s="1"/>
  <c r="I139" i="22"/>
  <c r="O139" i="22" s="1"/>
  <c r="I140" i="22"/>
  <c r="O140" i="22" s="1"/>
  <c r="I141" i="22"/>
  <c r="O141" i="22" s="1"/>
  <c r="I142" i="22"/>
  <c r="O142" i="22" s="1"/>
  <c r="I143" i="22"/>
  <c r="O143" i="22" s="1"/>
  <c r="I144" i="22"/>
  <c r="O144" i="22" s="1"/>
  <c r="I145" i="22"/>
  <c r="O145" i="22" s="1"/>
  <c r="I147" i="22"/>
  <c r="O147" i="22" s="1"/>
  <c r="I148" i="22"/>
  <c r="O148" i="22" s="1"/>
  <c r="I149" i="22"/>
  <c r="O149" i="22" s="1"/>
  <c r="I150" i="22"/>
  <c r="O150" i="22" s="1"/>
  <c r="I151" i="22"/>
  <c r="O151" i="22" s="1"/>
  <c r="I152" i="22"/>
  <c r="O152" i="22" s="1"/>
  <c r="I154" i="22"/>
  <c r="O154" i="22" s="1"/>
  <c r="I155" i="22"/>
  <c r="O155" i="22" s="1"/>
  <c r="I156" i="22"/>
  <c r="O156" i="22" s="1"/>
  <c r="I157" i="22"/>
  <c r="O157" i="22" s="1"/>
  <c r="I158" i="22"/>
  <c r="O158" i="22" s="1"/>
  <c r="I159" i="22"/>
  <c r="O159" i="22" s="1"/>
  <c r="I160" i="22"/>
  <c r="O160" i="22" s="1"/>
  <c r="I161" i="22"/>
  <c r="O161" i="22" s="1"/>
  <c r="I162" i="22"/>
  <c r="O162" i="22" s="1"/>
  <c r="I163" i="22"/>
  <c r="O163" i="22" s="1"/>
  <c r="I164" i="22"/>
  <c r="O164" i="22" s="1"/>
  <c r="I165" i="22"/>
  <c r="O165" i="22" s="1"/>
  <c r="I167" i="22"/>
  <c r="O167" i="22" s="1"/>
  <c r="I168" i="22"/>
  <c r="O168" i="22" s="1"/>
  <c r="I169" i="22"/>
  <c r="O169" i="22" s="1"/>
  <c r="I170" i="22"/>
  <c r="O170" i="22" s="1"/>
  <c r="I171" i="22"/>
  <c r="O171" i="22" s="1"/>
  <c r="I172" i="22"/>
  <c r="O172" i="22" s="1"/>
  <c r="I173" i="22"/>
  <c r="O173" i="22" s="1"/>
  <c r="I176" i="22"/>
  <c r="O176" i="22" s="1"/>
  <c r="I177" i="22"/>
  <c r="O177" i="22" s="1"/>
  <c r="I178" i="22"/>
  <c r="O178" i="22" s="1"/>
  <c r="I179" i="22"/>
  <c r="O179" i="22" s="1"/>
  <c r="I181" i="22"/>
  <c r="O181" i="22" s="1"/>
  <c r="I182" i="22"/>
  <c r="O182" i="22" s="1"/>
  <c r="I183" i="22"/>
  <c r="O183" i="22" s="1"/>
  <c r="I184" i="22"/>
  <c r="O184" i="22" s="1"/>
  <c r="I185" i="22"/>
  <c r="O185" i="22" s="1"/>
  <c r="I186" i="22"/>
  <c r="O186" i="22" s="1"/>
  <c r="I187" i="22"/>
  <c r="O187" i="22" s="1"/>
  <c r="I188" i="22"/>
  <c r="O188" i="22" s="1"/>
  <c r="I189" i="22"/>
  <c r="O189" i="22" s="1"/>
  <c r="I190" i="22"/>
  <c r="O190" i="22" s="1"/>
  <c r="I191" i="22"/>
  <c r="O191" i="22" s="1"/>
  <c r="I192" i="22"/>
  <c r="O192" i="22" s="1"/>
  <c r="I194" i="22"/>
  <c r="O194" i="22" s="1"/>
  <c r="I195" i="22"/>
  <c r="O195" i="22" s="1"/>
  <c r="I196" i="22"/>
  <c r="O196" i="22" s="1"/>
  <c r="I197" i="22"/>
  <c r="O197" i="22" s="1"/>
  <c r="I198" i="22"/>
  <c r="O198" i="22" s="1"/>
  <c r="I199" i="22"/>
  <c r="O199" i="22" s="1"/>
  <c r="I200" i="22"/>
  <c r="O200" i="22" s="1"/>
  <c r="I203" i="22"/>
  <c r="O203" i="22" s="1"/>
  <c r="I204" i="22"/>
  <c r="O204" i="22" s="1"/>
  <c r="I205" i="22"/>
  <c r="O205" i="22" s="1"/>
  <c r="I206" i="22"/>
  <c r="O206" i="22" s="1"/>
  <c r="I208" i="22"/>
  <c r="O208" i="22" s="1"/>
  <c r="I209" i="22"/>
  <c r="O209" i="22" s="1"/>
  <c r="I210" i="22"/>
  <c r="O210" i="22" s="1"/>
  <c r="I211" i="22"/>
  <c r="O211" i="22" s="1"/>
  <c r="I212" i="22"/>
  <c r="O212" i="22" s="1"/>
  <c r="I213" i="22"/>
  <c r="O213" i="22" s="1"/>
  <c r="I214" i="22"/>
  <c r="O214" i="22" s="1"/>
  <c r="I215" i="22"/>
  <c r="O215" i="22" s="1"/>
  <c r="I216" i="22"/>
  <c r="O216" i="22" s="1"/>
  <c r="I217" i="22"/>
  <c r="O217" i="22" s="1"/>
  <c r="I218" i="22"/>
  <c r="O218" i="22" s="1"/>
  <c r="I219" i="22"/>
  <c r="O219" i="22" s="1"/>
  <c r="I221" i="22"/>
  <c r="O221" i="22" s="1"/>
  <c r="I222" i="22"/>
  <c r="O222" i="22" s="1"/>
  <c r="I223" i="22"/>
  <c r="O223" i="22" s="1"/>
  <c r="I224" i="22"/>
  <c r="O224" i="22" s="1"/>
  <c r="I225" i="22"/>
  <c r="O225" i="22" s="1"/>
  <c r="I226" i="22"/>
  <c r="O226" i="22" s="1"/>
  <c r="I227" i="22"/>
  <c r="O227" i="22" s="1"/>
  <c r="I230" i="22"/>
  <c r="O230" i="22" s="1"/>
  <c r="I231" i="22"/>
  <c r="O231" i="22" s="1"/>
  <c r="I232" i="22"/>
  <c r="O232" i="22" s="1"/>
  <c r="I233" i="22"/>
  <c r="O233" i="22" s="1"/>
  <c r="I235" i="22"/>
  <c r="O235" i="22" s="1"/>
  <c r="I236" i="22"/>
  <c r="O236" i="22" s="1"/>
  <c r="I237" i="22"/>
  <c r="O237" i="22" s="1"/>
  <c r="I238" i="22"/>
  <c r="O238" i="22" s="1"/>
  <c r="I239" i="22"/>
  <c r="O239" i="22" s="1"/>
  <c r="I240" i="22"/>
  <c r="O240" i="22" s="1"/>
  <c r="I241" i="22"/>
  <c r="O241" i="22" s="1"/>
  <c r="I242" i="22"/>
  <c r="O242" i="22" s="1"/>
  <c r="I243" i="22"/>
  <c r="O243" i="22" s="1"/>
  <c r="I244" i="22"/>
  <c r="O244" i="22" s="1"/>
  <c r="I245" i="22"/>
  <c r="O245" i="22" s="1"/>
  <c r="I246" i="22"/>
  <c r="O246" i="22" s="1"/>
  <c r="I248" i="22"/>
  <c r="O248" i="22" s="1"/>
  <c r="I249" i="22"/>
  <c r="O249" i="22" s="1"/>
  <c r="I250" i="22"/>
  <c r="O250" i="22" s="1"/>
  <c r="I251" i="22"/>
  <c r="O251" i="22" s="1"/>
  <c r="I252" i="22"/>
  <c r="O252" i="22" s="1"/>
  <c r="I253" i="22"/>
  <c r="O253" i="22" s="1"/>
  <c r="I254" i="22"/>
  <c r="O254" i="22" s="1"/>
  <c r="I257" i="22"/>
  <c r="O257" i="22" s="1"/>
  <c r="I258" i="22"/>
  <c r="O258" i="22" s="1"/>
  <c r="I259" i="22"/>
  <c r="O259" i="22" s="1"/>
  <c r="I260" i="22"/>
  <c r="O260" i="22" s="1"/>
  <c r="I262" i="22"/>
  <c r="O262" i="22" s="1"/>
  <c r="I263" i="22"/>
  <c r="O263" i="22" s="1"/>
  <c r="I264" i="22"/>
  <c r="O264" i="22" s="1"/>
  <c r="I265" i="22"/>
  <c r="O265" i="22" s="1"/>
  <c r="I266" i="22"/>
  <c r="O266" i="22" s="1"/>
  <c r="I267" i="22"/>
  <c r="O267" i="22" s="1"/>
  <c r="I268" i="22"/>
  <c r="O268" i="22" s="1"/>
  <c r="I269" i="22"/>
  <c r="O269" i="22" s="1"/>
  <c r="I270" i="22"/>
  <c r="O270" i="22" s="1"/>
  <c r="I271" i="22"/>
  <c r="O271" i="22" s="1"/>
  <c r="I272" i="22"/>
  <c r="O272" i="22" s="1"/>
  <c r="I273" i="22"/>
  <c r="O273" i="22" s="1"/>
  <c r="I275" i="22"/>
  <c r="O275" i="22" s="1"/>
  <c r="I276" i="22"/>
  <c r="O276" i="22" s="1"/>
  <c r="I277" i="22"/>
  <c r="O277" i="22" s="1"/>
  <c r="I278" i="22"/>
  <c r="O278" i="22" s="1"/>
  <c r="I279" i="22"/>
  <c r="O279" i="22" s="1"/>
  <c r="I280" i="22"/>
  <c r="O280" i="22" s="1"/>
  <c r="I281" i="22"/>
  <c r="O281" i="22" s="1"/>
  <c r="I284" i="22"/>
  <c r="O284" i="22" s="1"/>
  <c r="I285" i="22"/>
  <c r="O285" i="22" s="1"/>
  <c r="I286" i="22"/>
  <c r="O286" i="22" s="1"/>
  <c r="I287" i="22"/>
  <c r="O287" i="22" s="1"/>
  <c r="I10" i="22"/>
  <c r="G54" i="34"/>
  <c r="B54" i="34"/>
  <c r="Q28" i="34"/>
  <c r="L28" i="34"/>
  <c r="E12" i="34"/>
  <c r="O12" i="34" s="1"/>
  <c r="E9" i="34"/>
  <c r="O9" i="34" s="1"/>
  <c r="G7" i="34"/>
  <c r="E7" i="34"/>
  <c r="O7" i="34" s="1"/>
  <c r="E6" i="34"/>
  <c r="O6" i="34" s="1"/>
  <c r="C1" i="34"/>
  <c r="N17" i="34" s="1"/>
  <c r="AO35" i="35" l="1"/>
  <c r="AP35" i="35" s="1"/>
  <c r="AQ35" i="35" s="1"/>
  <c r="AO118" i="35"/>
  <c r="AP118" i="35" s="1"/>
  <c r="AQ118" i="35" s="1"/>
  <c r="AO94" i="35"/>
  <c r="AP94" i="35" s="1"/>
  <c r="AQ94" i="35" s="1"/>
  <c r="AO33" i="35"/>
  <c r="AP33" i="35" s="1"/>
  <c r="AQ33" i="35" s="1"/>
  <c r="AO9" i="35"/>
  <c r="AP9" i="35" s="1"/>
  <c r="AQ9" i="35" s="1"/>
  <c r="AO92" i="35"/>
  <c r="AP92" i="35" s="1"/>
  <c r="AQ92" i="35" s="1"/>
  <c r="AO78" i="35"/>
  <c r="AP78" i="35" s="1"/>
  <c r="AQ78" i="35" s="1"/>
  <c r="AO75" i="35"/>
  <c r="AP75" i="35" s="1"/>
  <c r="AQ75" i="35" s="1"/>
  <c r="AO74" i="35"/>
  <c r="AP74" i="35" s="1"/>
  <c r="AQ74" i="35" s="1"/>
  <c r="AO67" i="35"/>
  <c r="AP67" i="35" s="1"/>
  <c r="AQ67" i="35" s="1"/>
  <c r="AO73" i="35"/>
  <c r="AP73" i="35" s="1"/>
  <c r="AQ73" i="35" s="1"/>
  <c r="AO84" i="35"/>
  <c r="AP84" i="35" s="1"/>
  <c r="AQ84" i="35" s="1"/>
  <c r="AO128" i="35"/>
  <c r="AP128" i="35" s="1"/>
  <c r="AQ128" i="35" s="1"/>
  <c r="AO29" i="35"/>
  <c r="AP29" i="35" s="1"/>
  <c r="AQ29" i="35" s="1"/>
  <c r="AO60" i="35"/>
  <c r="AP60" i="35" s="1"/>
  <c r="AQ60" i="35" s="1"/>
  <c r="AO87" i="35"/>
  <c r="AP87" i="35" s="1"/>
  <c r="AQ87" i="35" s="1"/>
  <c r="AO81" i="35"/>
  <c r="AP81" i="35" s="1"/>
  <c r="AQ81" i="35" s="1"/>
  <c r="AO86" i="35"/>
  <c r="AP86" i="35" s="1"/>
  <c r="AQ86" i="35" s="1"/>
  <c r="AO76" i="35"/>
  <c r="AP76" i="35" s="1"/>
  <c r="AQ76" i="35" s="1"/>
  <c r="AO55" i="35"/>
  <c r="AP55" i="35" s="1"/>
  <c r="AQ55" i="35" s="1"/>
  <c r="AO111" i="35"/>
  <c r="AP111" i="35" s="1"/>
  <c r="AQ111" i="35" s="1"/>
  <c r="AO19" i="35"/>
  <c r="AP19" i="35" s="1"/>
  <c r="AQ19" i="35" s="1"/>
  <c r="AO104" i="35"/>
  <c r="AP104" i="35" s="1"/>
  <c r="AQ104" i="35" s="1"/>
  <c r="AO32" i="35"/>
  <c r="AP32" i="35" s="1"/>
  <c r="AQ32" i="35" s="1"/>
  <c r="AO21" i="35"/>
  <c r="AP21" i="35" s="1"/>
  <c r="AQ21" i="35" s="1"/>
  <c r="AO58" i="35"/>
  <c r="AP58" i="35" s="1"/>
  <c r="AQ58" i="35" s="1"/>
  <c r="AO25" i="35"/>
  <c r="AP25" i="35" s="1"/>
  <c r="AQ25" i="35" s="1"/>
  <c r="AO122" i="35"/>
  <c r="AP122" i="35" s="1"/>
  <c r="AQ122" i="35" s="1"/>
  <c r="AO20" i="35"/>
  <c r="AP20" i="35" s="1"/>
  <c r="AQ20" i="35" s="1"/>
  <c r="AO51" i="35"/>
  <c r="AP51" i="35" s="1"/>
  <c r="AQ51" i="35" s="1"/>
  <c r="AO126" i="35"/>
  <c r="AP126" i="35" s="1"/>
  <c r="AQ126" i="35" s="1"/>
  <c r="AO39" i="35"/>
  <c r="AP39" i="35" s="1"/>
  <c r="AQ39" i="35" s="1"/>
  <c r="AO8" i="35"/>
  <c r="AP8" i="35" s="1"/>
  <c r="AQ8" i="35" s="1"/>
  <c r="AO15" i="35"/>
  <c r="AP15" i="35" s="1"/>
  <c r="AQ15" i="35" s="1"/>
  <c r="AO54" i="35"/>
  <c r="AP54" i="35" s="1"/>
  <c r="AQ54" i="35" s="1"/>
  <c r="AO101" i="35"/>
  <c r="AP101" i="35" s="1"/>
  <c r="AQ101" i="35" s="1"/>
  <c r="AO26" i="35"/>
  <c r="AP26" i="35" s="1"/>
  <c r="AQ26" i="35" s="1"/>
  <c r="AO117" i="35"/>
  <c r="AP117" i="35" s="1"/>
  <c r="AQ117" i="35" s="1"/>
  <c r="AO49" i="35"/>
  <c r="AP49" i="35" s="1"/>
  <c r="AQ49" i="35" s="1"/>
  <c r="AO57" i="35"/>
  <c r="AP57" i="35" s="1"/>
  <c r="AQ57" i="35" s="1"/>
  <c r="AO71" i="35"/>
  <c r="AP71" i="35" s="1"/>
  <c r="AQ71" i="35" s="1"/>
  <c r="AO56" i="35"/>
  <c r="AP56" i="35" s="1"/>
  <c r="AQ56" i="35" s="1"/>
  <c r="AO113" i="35"/>
  <c r="AP113" i="35" s="1"/>
  <c r="AQ113" i="35" s="1"/>
  <c r="AO27" i="35"/>
  <c r="AP27" i="35" s="1"/>
  <c r="AQ27" i="35" s="1"/>
  <c r="AO102" i="35"/>
  <c r="AP102" i="35" s="1"/>
  <c r="AQ102" i="35" s="1"/>
  <c r="AO124" i="35"/>
  <c r="AP124" i="35" s="1"/>
  <c r="AQ124" i="35" s="1"/>
  <c r="AO88" i="35"/>
  <c r="AP88" i="35" s="1"/>
  <c r="AQ88" i="35" s="1"/>
  <c r="AO127" i="35"/>
  <c r="AP127" i="35" s="1"/>
  <c r="AQ127" i="35" s="1"/>
  <c r="AO28" i="35"/>
  <c r="AP28" i="35" s="1"/>
  <c r="AQ28" i="35" s="1"/>
  <c r="AO24" i="35"/>
  <c r="AP24" i="35" s="1"/>
  <c r="AQ24" i="35" s="1"/>
  <c r="AO69" i="35"/>
  <c r="AP69" i="35" s="1"/>
  <c r="AQ69" i="35" s="1"/>
  <c r="AO85" i="35"/>
  <c r="AP85" i="35" s="1"/>
  <c r="AQ85" i="35" s="1"/>
  <c r="AO43" i="35"/>
  <c r="AP43" i="35" s="1"/>
  <c r="AQ43" i="35" s="1"/>
  <c r="AO68" i="35"/>
  <c r="AP68" i="35" s="1"/>
  <c r="AQ68" i="35" s="1"/>
  <c r="AO112" i="35"/>
  <c r="AP112" i="35" s="1"/>
  <c r="AQ112" i="35" s="1"/>
  <c r="AO83" i="35"/>
  <c r="AP83" i="35" s="1"/>
  <c r="AQ83" i="35" s="1"/>
  <c r="AO63" i="35"/>
  <c r="AP63" i="35" s="1"/>
  <c r="AQ63" i="35" s="1"/>
  <c r="AO99" i="35"/>
  <c r="AP99" i="35" s="1"/>
  <c r="AQ99" i="35" s="1"/>
  <c r="AO14" i="35"/>
  <c r="AP14" i="35" s="1"/>
  <c r="AQ14" i="35" s="1"/>
  <c r="AO105" i="35"/>
  <c r="AP105" i="35" s="1"/>
  <c r="AQ105" i="35" s="1"/>
  <c r="AO42" i="35"/>
  <c r="AP42" i="35" s="1"/>
  <c r="AQ42" i="35" s="1"/>
  <c r="AO108" i="35"/>
  <c r="AP108" i="35" s="1"/>
  <c r="AQ108" i="35" s="1"/>
  <c r="AO116" i="35"/>
  <c r="AP116" i="35" s="1"/>
  <c r="AQ116" i="35" s="1"/>
  <c r="AO125" i="35"/>
  <c r="AP125" i="35" s="1"/>
  <c r="AQ125" i="35" s="1"/>
  <c r="AO61" i="35"/>
  <c r="AP61" i="35" s="1"/>
  <c r="AQ61" i="35" s="1"/>
  <c r="AO13" i="35"/>
  <c r="AP13" i="35" s="1"/>
  <c r="AQ13" i="35" s="1"/>
  <c r="AO16" i="35"/>
  <c r="AP16" i="35" s="1"/>
  <c r="AQ16" i="35" s="1"/>
  <c r="AO96" i="35"/>
  <c r="AP96" i="35" s="1"/>
  <c r="AQ96" i="35" s="1"/>
  <c r="AO121" i="35"/>
  <c r="AP121" i="35" s="1"/>
  <c r="AQ121" i="35" s="1"/>
  <c r="AO103" i="35"/>
  <c r="AP103" i="35" s="1"/>
  <c r="AQ103" i="35" s="1"/>
  <c r="AO120" i="35"/>
  <c r="AP120" i="35" s="1"/>
  <c r="AQ120" i="35" s="1"/>
  <c r="AO82" i="35"/>
  <c r="AP82" i="35" s="1"/>
  <c r="AQ82" i="35" s="1"/>
  <c r="AO79" i="35"/>
  <c r="AP79" i="35" s="1"/>
  <c r="AQ79" i="35" s="1"/>
  <c r="AO48" i="35"/>
  <c r="AP48" i="35" s="1"/>
  <c r="AQ48" i="35" s="1"/>
  <c r="AO98" i="35"/>
  <c r="AP98" i="35" s="1"/>
  <c r="AQ98" i="35" s="1"/>
  <c r="AO22" i="35"/>
  <c r="AP22" i="35" s="1"/>
  <c r="AQ22" i="35" s="1"/>
  <c r="AO45" i="35"/>
  <c r="AP45" i="35" s="1"/>
  <c r="AQ45" i="35" s="1"/>
  <c r="AO80" i="35"/>
  <c r="AP80" i="35" s="1"/>
  <c r="AQ80" i="35" s="1"/>
  <c r="AO93" i="35"/>
  <c r="AP93" i="35" s="1"/>
  <c r="AQ93" i="35" s="1"/>
  <c r="AO97" i="35"/>
  <c r="AP97" i="35" s="1"/>
  <c r="AQ97" i="35" s="1"/>
  <c r="AO50" i="35"/>
  <c r="AP50" i="35" s="1"/>
  <c r="AQ50" i="35" s="1"/>
  <c r="AO46" i="35"/>
  <c r="AP46" i="35" s="1"/>
  <c r="AQ46" i="35" s="1"/>
  <c r="AO100" i="35"/>
  <c r="AP100" i="35" s="1"/>
  <c r="AQ100" i="35" s="1"/>
  <c r="AO18" i="35"/>
  <c r="AP18" i="35" s="1"/>
  <c r="AQ18" i="35" s="1"/>
  <c r="AO119" i="35"/>
  <c r="AP119" i="35" s="1"/>
  <c r="AQ119" i="35" s="1"/>
  <c r="AO44" i="35"/>
  <c r="AP44" i="35" s="1"/>
  <c r="AQ44" i="35" s="1"/>
  <c r="AO72" i="35"/>
  <c r="AP72" i="35" s="1"/>
  <c r="AQ72" i="35" s="1"/>
  <c r="AO115" i="35"/>
  <c r="AP115" i="35" s="1"/>
  <c r="AQ115" i="35" s="1"/>
  <c r="AO114" i="35"/>
  <c r="AP114" i="35" s="1"/>
  <c r="AQ114" i="35" s="1"/>
  <c r="AO65" i="35"/>
  <c r="AP65" i="35" s="1"/>
  <c r="AQ65" i="35" s="1"/>
  <c r="AO89" i="35"/>
  <c r="AP89" i="35" s="1"/>
  <c r="AQ89" i="35" s="1"/>
  <c r="AO64" i="35"/>
  <c r="AP64" i="35" s="1"/>
  <c r="AQ64" i="35" s="1"/>
  <c r="AO95" i="35"/>
  <c r="AP95" i="35" s="1"/>
  <c r="AQ95" i="35" s="1"/>
  <c r="AO53" i="35"/>
  <c r="AP53" i="35" s="1"/>
  <c r="AQ53" i="35" s="1"/>
  <c r="AO106" i="35"/>
  <c r="AP106" i="35" s="1"/>
  <c r="AQ106" i="35" s="1"/>
  <c r="AO90" i="35"/>
  <c r="AP90" i="35" s="1"/>
  <c r="AQ90" i="35" s="1"/>
  <c r="AO123" i="35"/>
  <c r="AP123" i="35" s="1"/>
  <c r="AQ123" i="35" s="1"/>
  <c r="AO107" i="35"/>
  <c r="AP107" i="35" s="1"/>
  <c r="AQ107" i="35" s="1"/>
  <c r="AO70" i="35"/>
  <c r="AP70" i="35" s="1"/>
  <c r="AQ70" i="35" s="1"/>
  <c r="AO52" i="35"/>
  <c r="AP52" i="35" s="1"/>
  <c r="AQ52" i="35" s="1"/>
  <c r="AO41" i="35"/>
  <c r="AP41" i="35" s="1"/>
  <c r="AQ41" i="35" s="1"/>
  <c r="AO11" i="35"/>
  <c r="AP11" i="35" s="1"/>
  <c r="AQ11" i="35" s="1"/>
  <c r="AO30" i="35"/>
  <c r="AP30" i="35" s="1"/>
  <c r="AQ30" i="35" s="1"/>
  <c r="AO77" i="35"/>
  <c r="AP77" i="35" s="1"/>
  <c r="AQ77" i="35" s="1"/>
  <c r="AT31" i="35"/>
  <c r="AT10" i="35"/>
  <c r="AT59" i="35"/>
  <c r="AP36" i="35"/>
  <c r="AQ36" i="35" s="1"/>
  <c r="AP23" i="35"/>
  <c r="AQ23" i="35" s="1"/>
  <c r="AP40" i="35"/>
  <c r="AQ40" i="35" s="1"/>
  <c r="AP37" i="35"/>
  <c r="AQ37" i="35" s="1"/>
  <c r="AP47" i="35"/>
  <c r="AQ47" i="35" s="1"/>
  <c r="AP17" i="35"/>
  <c r="AQ17" i="35" s="1"/>
  <c r="AP38" i="35"/>
  <c r="AQ38" i="35" s="1"/>
  <c r="AP110" i="35"/>
  <c r="AQ110" i="35" s="1"/>
  <c r="AP91" i="35"/>
  <c r="AQ91" i="35" s="1"/>
  <c r="AP129" i="35"/>
  <c r="AQ129" i="35" s="1"/>
  <c r="AT12" i="35"/>
  <c r="AP109" i="35"/>
  <c r="AQ109" i="35" s="1"/>
  <c r="AP34" i="35"/>
  <c r="AQ34" i="35" s="1"/>
  <c r="AP66" i="35"/>
  <c r="AQ66" i="35" s="1"/>
  <c r="AP62" i="35"/>
  <c r="AQ62" i="35" s="1"/>
  <c r="AL157" i="35"/>
  <c r="AL141" i="35"/>
  <c r="AL149" i="35"/>
  <c r="AL133" i="35"/>
  <c r="AL139" i="35"/>
  <c r="AL143" i="35"/>
  <c r="AL136" i="35"/>
  <c r="AL150" i="35"/>
  <c r="AL131" i="35"/>
  <c r="AL160" i="35"/>
  <c r="AL130" i="35"/>
  <c r="AL153" i="35"/>
  <c r="AL140" i="35"/>
  <c r="AL146" i="35"/>
  <c r="AL152" i="35"/>
  <c r="AL156" i="35"/>
  <c r="AL147" i="35"/>
  <c r="AL159" i="35"/>
  <c r="AL132" i="35"/>
  <c r="AL138" i="35"/>
  <c r="AL142" i="35"/>
  <c r="AL134" i="35"/>
  <c r="AL154" i="35"/>
  <c r="AL137" i="35"/>
  <c r="AL135" i="35"/>
  <c r="AL151" i="35"/>
  <c r="AL148" i="35"/>
  <c r="AL145" i="35"/>
  <c r="AL155" i="35"/>
  <c r="AL144" i="35"/>
  <c r="AL158" i="35"/>
  <c r="B42" i="37"/>
  <c r="AC21" i="37"/>
  <c r="AH180" i="35"/>
  <c r="AI180" i="35" s="1"/>
  <c r="AH163" i="35"/>
  <c r="AI163" i="35" s="1"/>
  <c r="AH165" i="35"/>
  <c r="AI165" i="35" s="1"/>
  <c r="AH171" i="35"/>
  <c r="AI171" i="35" s="1"/>
  <c r="AH184" i="35"/>
  <c r="AI184" i="35" s="1"/>
  <c r="AH182" i="35"/>
  <c r="AI182" i="35" s="1"/>
  <c r="AH172" i="35"/>
  <c r="AI172" i="35" s="1"/>
  <c r="AH187" i="35"/>
  <c r="AI187" i="35" s="1"/>
  <c r="AH177" i="35"/>
  <c r="AI177" i="35" s="1"/>
  <c r="AH176" i="35"/>
  <c r="AI176" i="35" s="1"/>
  <c r="AH191" i="35"/>
  <c r="AI191" i="35" s="1"/>
  <c r="AH174" i="35"/>
  <c r="AI174" i="35" s="1"/>
  <c r="AH189" i="35"/>
  <c r="AI189" i="35" s="1"/>
  <c r="AJ161" i="35"/>
  <c r="AK161" i="35" s="1"/>
  <c r="AH179" i="35"/>
  <c r="AI179" i="35" s="1"/>
  <c r="AH173" i="35"/>
  <c r="AI173" i="35" s="1"/>
  <c r="AH181" i="35"/>
  <c r="AI181" i="35" s="1"/>
  <c r="AH175" i="35"/>
  <c r="AI175" i="35" s="1"/>
  <c r="AH186" i="35"/>
  <c r="AI186" i="35" s="1"/>
  <c r="AH190" i="35"/>
  <c r="AI190" i="35" s="1"/>
  <c r="AH169" i="35"/>
  <c r="AI169" i="35" s="1"/>
  <c r="AH170" i="35"/>
  <c r="AI170" i="35" s="1"/>
  <c r="AH183" i="35"/>
  <c r="AI183" i="35" s="1"/>
  <c r="AH167" i="35"/>
  <c r="AI167" i="35" s="1"/>
  <c r="AH166" i="35"/>
  <c r="AI166" i="35" s="1"/>
  <c r="AH188" i="35"/>
  <c r="AI188" i="35" s="1"/>
  <c r="AK7" i="35"/>
  <c r="AL7" i="35" s="1"/>
  <c r="AH164" i="35"/>
  <c r="AI164" i="35" s="1"/>
  <c r="AH178" i="35"/>
  <c r="AI178" i="35" s="1"/>
  <c r="AH168" i="35"/>
  <c r="AI168" i="35" s="1"/>
  <c r="AH185" i="35"/>
  <c r="AI185" i="35" s="1"/>
  <c r="AF192" i="35"/>
  <c r="AG192" i="35" s="1"/>
  <c r="Y218" i="35"/>
  <c r="Y223" i="35"/>
  <c r="AD223" i="35" s="1"/>
  <c r="Y221" i="35"/>
  <c r="Y219" i="35"/>
  <c r="Y217" i="35"/>
  <c r="Y222" i="35"/>
  <c r="Y216" i="35"/>
  <c r="Y204" i="35"/>
  <c r="Y202" i="35"/>
  <c r="Y211" i="35"/>
  <c r="Y209" i="35"/>
  <c r="Y200" i="35"/>
  <c r="Y198" i="35"/>
  <c r="Y196" i="35"/>
  <c r="Y194" i="35"/>
  <c r="Y207" i="35"/>
  <c r="Y205" i="35"/>
  <c r="Y203" i="35"/>
  <c r="Y220" i="35"/>
  <c r="Y214" i="35"/>
  <c r="Y210" i="35"/>
  <c r="Y208" i="35"/>
  <c r="Y201" i="35"/>
  <c r="Y199" i="35"/>
  <c r="Y197" i="35"/>
  <c r="Y195" i="35"/>
  <c r="Y215" i="35"/>
  <c r="Y213" i="35"/>
  <c r="Y212" i="35"/>
  <c r="Y206" i="35"/>
  <c r="AE193" i="35"/>
  <c r="AH162" i="35"/>
  <c r="O10" i="22"/>
  <c r="J284" i="22"/>
  <c r="J237" i="22"/>
  <c r="J181" i="22"/>
  <c r="J135" i="22"/>
  <c r="L135" i="22" s="1"/>
  <c r="P135" i="22" s="1"/>
  <c r="J78" i="22"/>
  <c r="L78" i="22" s="1"/>
  <c r="P78" i="22" s="1"/>
  <c r="J276" i="22"/>
  <c r="J267" i="22"/>
  <c r="J258" i="22"/>
  <c r="L258" i="22" s="1"/>
  <c r="P258" i="22" s="1"/>
  <c r="J200" i="22"/>
  <c r="J210" i="22"/>
  <c r="L210" i="22" s="1"/>
  <c r="P210" i="22" s="1"/>
  <c r="J199" i="22"/>
  <c r="J162" i="22"/>
  <c r="J154" i="22"/>
  <c r="L154" i="22" s="1"/>
  <c r="P154" i="22" s="1"/>
  <c r="J144" i="22"/>
  <c r="L144" i="22" s="1"/>
  <c r="P144" i="22" s="1"/>
  <c r="J136" i="22"/>
  <c r="L136" i="22" s="1"/>
  <c r="P136" i="22" s="1"/>
  <c r="J128" i="22"/>
  <c r="J119" i="22"/>
  <c r="L119" i="22" s="1"/>
  <c r="P119" i="22" s="1"/>
  <c r="J111" i="22"/>
  <c r="L111" i="22" s="1"/>
  <c r="P111" i="22" s="1"/>
  <c r="J103" i="22"/>
  <c r="L103" i="22" s="1"/>
  <c r="P103" i="22" s="1"/>
  <c r="J95" i="22"/>
  <c r="L95" i="22" s="1"/>
  <c r="P95" i="22" s="1"/>
  <c r="J87" i="22"/>
  <c r="L87" i="22" s="1"/>
  <c r="P87" i="22" s="1"/>
  <c r="J79" i="22"/>
  <c r="L79" i="22" s="1"/>
  <c r="P79" i="22" s="1"/>
  <c r="J71" i="22"/>
  <c r="J63" i="22"/>
  <c r="J55" i="22"/>
  <c r="L55" i="22" s="1"/>
  <c r="P55" i="22" s="1"/>
  <c r="J47" i="22"/>
  <c r="L47" i="22" s="1"/>
  <c r="P47" i="22" s="1"/>
  <c r="J39" i="22"/>
  <c r="J31" i="22"/>
  <c r="J23" i="22"/>
  <c r="L23" i="22" s="1"/>
  <c r="P23" i="22" s="1"/>
  <c r="J15" i="22"/>
  <c r="L15" i="22" s="1"/>
  <c r="P15" i="22" s="1"/>
  <c r="J245" i="22"/>
  <c r="L245" i="22" s="1"/>
  <c r="P245" i="22" s="1"/>
  <c r="J102" i="22"/>
  <c r="L102" i="22" s="1"/>
  <c r="P102" i="22" s="1"/>
  <c r="J46" i="22"/>
  <c r="J22" i="22"/>
  <c r="J281" i="22"/>
  <c r="L281" i="22" s="1"/>
  <c r="P281" i="22" s="1"/>
  <c r="J264" i="22"/>
  <c r="L264" i="22" s="1"/>
  <c r="P264" i="22" s="1"/>
  <c r="J244" i="22"/>
  <c r="J236" i="22"/>
  <c r="J216" i="22"/>
  <c r="L216" i="22" s="1"/>
  <c r="P216" i="22" s="1"/>
  <c r="J197" i="22"/>
  <c r="J188" i="22"/>
  <c r="J169" i="22"/>
  <c r="L169" i="22" s="1"/>
  <c r="P169" i="22" s="1"/>
  <c r="J160" i="22"/>
  <c r="L160" i="22" s="1"/>
  <c r="P160" i="22" s="1"/>
  <c r="J151" i="22"/>
  <c r="L151" i="22" s="1"/>
  <c r="P151" i="22" s="1"/>
  <c r="J142" i="22"/>
  <c r="J134" i="22"/>
  <c r="L134" i="22" s="1"/>
  <c r="P134" i="22" s="1"/>
  <c r="J126" i="22"/>
  <c r="L126" i="22" s="1"/>
  <c r="P126" i="22" s="1"/>
  <c r="J117" i="22"/>
  <c r="L117" i="22" s="1"/>
  <c r="P117" i="22" s="1"/>
  <c r="J101" i="22"/>
  <c r="L101" i="22" s="1"/>
  <c r="P101" i="22" s="1"/>
  <c r="J93" i="22"/>
  <c r="J85" i="22"/>
  <c r="J77" i="22"/>
  <c r="L77" i="22" s="1"/>
  <c r="P77" i="22" s="1"/>
  <c r="J69" i="22"/>
  <c r="L69" i="22" s="1"/>
  <c r="P69" i="22" s="1"/>
  <c r="J61" i="22"/>
  <c r="L61" i="22" s="1"/>
  <c r="P61" i="22" s="1"/>
  <c r="J53" i="22"/>
  <c r="L53" i="22" s="1"/>
  <c r="P53" i="22" s="1"/>
  <c r="J45" i="22"/>
  <c r="J37" i="22"/>
  <c r="L37" i="22" s="1"/>
  <c r="P37" i="22" s="1"/>
  <c r="J13" i="22"/>
  <c r="L13" i="22" s="1"/>
  <c r="P13" i="22" s="1"/>
  <c r="J273" i="22"/>
  <c r="J226" i="22"/>
  <c r="L226" i="22" s="1"/>
  <c r="P226" i="22" s="1"/>
  <c r="J189" i="22"/>
  <c r="J127" i="22"/>
  <c r="J70" i="22"/>
  <c r="L70" i="22" s="1"/>
  <c r="P70" i="22" s="1"/>
  <c r="J252" i="22"/>
  <c r="L252" i="22" s="1"/>
  <c r="P252" i="22" s="1"/>
  <c r="J235" i="22"/>
  <c r="J196" i="22"/>
  <c r="L196" i="22" s="1"/>
  <c r="P196" i="22" s="1"/>
  <c r="J178" i="22"/>
  <c r="L178" i="22" s="1"/>
  <c r="P178" i="22" s="1"/>
  <c r="J168" i="22"/>
  <c r="L168" i="22" s="1"/>
  <c r="P168" i="22" s="1"/>
  <c r="J159" i="22"/>
  <c r="J150" i="22"/>
  <c r="J125" i="22"/>
  <c r="L125" i="22" s="1"/>
  <c r="P125" i="22" s="1"/>
  <c r="J116" i="22"/>
  <c r="J108" i="22"/>
  <c r="J100" i="22"/>
  <c r="J92" i="22"/>
  <c r="L92" i="22" s="1"/>
  <c r="P92" i="22" s="1"/>
  <c r="J84" i="22"/>
  <c r="L84" i="22" s="1"/>
  <c r="P84" i="22" s="1"/>
  <c r="J76" i="22"/>
  <c r="L76" i="22" s="1"/>
  <c r="P76" i="22" s="1"/>
  <c r="J68" i="22"/>
  <c r="J60" i="22"/>
  <c r="L60" i="22" s="1"/>
  <c r="P60" i="22" s="1"/>
  <c r="J52" i="22"/>
  <c r="L52" i="22" s="1"/>
  <c r="P52" i="22" s="1"/>
  <c r="J44" i="22"/>
  <c r="J36" i="22"/>
  <c r="J28" i="22"/>
  <c r="L28" i="22" s="1"/>
  <c r="P28" i="22" s="1"/>
  <c r="J20" i="22"/>
  <c r="J12" i="22"/>
  <c r="J209" i="22"/>
  <c r="L209" i="22" s="1"/>
  <c r="P209" i="22" s="1"/>
  <c r="J143" i="22"/>
  <c r="L143" i="22" s="1"/>
  <c r="P143" i="22" s="1"/>
  <c r="J110" i="22"/>
  <c r="L110" i="22" s="1"/>
  <c r="P110" i="22" s="1"/>
  <c r="J54" i="22"/>
  <c r="L54" i="22" s="1"/>
  <c r="P54" i="22" s="1"/>
  <c r="J30" i="22"/>
  <c r="L30" i="22" s="1"/>
  <c r="P30" i="22" s="1"/>
  <c r="J242" i="22"/>
  <c r="L242" i="22" s="1"/>
  <c r="P242" i="22" s="1"/>
  <c r="J233" i="22"/>
  <c r="L233" i="22" s="1"/>
  <c r="P233" i="22" s="1"/>
  <c r="J205" i="22"/>
  <c r="L205" i="22" s="1"/>
  <c r="P205" i="22" s="1"/>
  <c r="J167" i="22"/>
  <c r="L167" i="22" s="1"/>
  <c r="P167" i="22" s="1"/>
  <c r="J158" i="22"/>
  <c r="L158" i="22" s="1"/>
  <c r="P158" i="22" s="1"/>
  <c r="J140" i="22"/>
  <c r="L140" i="22" s="1"/>
  <c r="P140" i="22" s="1"/>
  <c r="J132" i="22"/>
  <c r="L132" i="22" s="1"/>
  <c r="P132" i="22" s="1"/>
  <c r="J152" i="22"/>
  <c r="L152" i="22" s="1"/>
  <c r="P152" i="22" s="1"/>
  <c r="J86" i="22"/>
  <c r="L86" i="22" s="1"/>
  <c r="P86" i="22" s="1"/>
  <c r="J38" i="22"/>
  <c r="L38" i="22" s="1"/>
  <c r="P38" i="22" s="1"/>
  <c r="J10" i="22"/>
  <c r="L10" i="22" s="1"/>
  <c r="J260" i="22"/>
  <c r="L260" i="22" s="1"/>
  <c r="P260" i="22" s="1"/>
  <c r="J232" i="22"/>
  <c r="J213" i="22"/>
  <c r="J204" i="22"/>
  <c r="L204" i="22" s="1"/>
  <c r="P204" i="22" s="1"/>
  <c r="J194" i="22"/>
  <c r="J176" i="22"/>
  <c r="L176" i="22" s="1"/>
  <c r="P176" i="22" s="1"/>
  <c r="J148" i="22"/>
  <c r="L148" i="22" s="1"/>
  <c r="P148" i="22" s="1"/>
  <c r="J122" i="22"/>
  <c r="L122" i="22" s="1"/>
  <c r="P122" i="22" s="1"/>
  <c r="J114" i="22"/>
  <c r="L114" i="22" s="1"/>
  <c r="P114" i="22" s="1"/>
  <c r="J98" i="22"/>
  <c r="L98" i="22" s="1"/>
  <c r="P98" i="22" s="1"/>
  <c r="J90" i="22"/>
  <c r="L90" i="22" s="1"/>
  <c r="P90" i="22" s="1"/>
  <c r="J82" i="22"/>
  <c r="L82" i="22" s="1"/>
  <c r="P82" i="22" s="1"/>
  <c r="J74" i="22"/>
  <c r="L74" i="22" s="1"/>
  <c r="P74" i="22" s="1"/>
  <c r="J66" i="22"/>
  <c r="J58" i="22"/>
  <c r="L58" i="22" s="1"/>
  <c r="P58" i="22" s="1"/>
  <c r="J50" i="22"/>
  <c r="L50" i="22" s="1"/>
  <c r="P50" i="22" s="1"/>
  <c r="J34" i="22"/>
  <c r="L34" i="22" s="1"/>
  <c r="P34" i="22" s="1"/>
  <c r="J18" i="22"/>
  <c r="L18" i="22" s="1"/>
  <c r="P18" i="22" s="1"/>
  <c r="J118" i="22"/>
  <c r="L118" i="22" s="1"/>
  <c r="P118" i="22" s="1"/>
  <c r="J62" i="22"/>
  <c r="L62" i="22" s="1"/>
  <c r="P62" i="22" s="1"/>
  <c r="J14" i="22"/>
  <c r="J277" i="22"/>
  <c r="L277" i="22" s="1"/>
  <c r="P277" i="22" s="1"/>
  <c r="J268" i="22"/>
  <c r="J259" i="22"/>
  <c r="J212" i="22"/>
  <c r="J184" i="22"/>
  <c r="L184" i="22" s="1"/>
  <c r="P184" i="22" s="1"/>
  <c r="J173" i="22"/>
  <c r="J156" i="22"/>
  <c r="L156" i="22" s="1"/>
  <c r="P156" i="22" s="1"/>
  <c r="J138" i="22"/>
  <c r="L138" i="22" s="1"/>
  <c r="P138" i="22" s="1"/>
  <c r="J130" i="22"/>
  <c r="J121" i="22"/>
  <c r="L121" i="22" s="1"/>
  <c r="P121" i="22" s="1"/>
  <c r="J105" i="22"/>
  <c r="L105" i="22" s="1"/>
  <c r="P105" i="22" s="1"/>
  <c r="J97" i="22"/>
  <c r="L97" i="22" s="1"/>
  <c r="P97" i="22" s="1"/>
  <c r="J81" i="22"/>
  <c r="L81" i="22" s="1"/>
  <c r="P81" i="22" s="1"/>
  <c r="J73" i="22"/>
  <c r="L73" i="22" s="1"/>
  <c r="P73" i="22" s="1"/>
  <c r="J65" i="22"/>
  <c r="L65" i="22" s="1"/>
  <c r="P65" i="22" s="1"/>
  <c r="J57" i="22"/>
  <c r="L57" i="22" s="1"/>
  <c r="P57" i="22" s="1"/>
  <c r="J41" i="22"/>
  <c r="L41" i="22" s="1"/>
  <c r="P41" i="22" s="1"/>
  <c r="J33" i="22"/>
  <c r="J17" i="22"/>
  <c r="L17" i="22" s="1"/>
  <c r="P17" i="22" s="1"/>
  <c r="J94" i="22"/>
  <c r="L94" i="22" s="1"/>
  <c r="P94" i="22" s="1"/>
  <c r="J219" i="22"/>
  <c r="L219" i="22" s="1"/>
  <c r="P219" i="22" s="1"/>
  <c r="J183" i="22"/>
  <c r="J172" i="22"/>
  <c r="L172" i="22" s="1"/>
  <c r="P172" i="22" s="1"/>
  <c r="J137" i="22"/>
  <c r="L137" i="22" s="1"/>
  <c r="P137" i="22" s="1"/>
  <c r="J120" i="22"/>
  <c r="J112" i="22"/>
  <c r="L112" i="22" s="1"/>
  <c r="P112" i="22" s="1"/>
  <c r="J104" i="22"/>
  <c r="L104" i="22" s="1"/>
  <c r="P104" i="22" s="1"/>
  <c r="J96" i="22"/>
  <c r="J88" i="22"/>
  <c r="J80" i="22"/>
  <c r="L80" i="22" s="1"/>
  <c r="P80" i="22" s="1"/>
  <c r="J72" i="22"/>
  <c r="J64" i="22"/>
  <c r="L64" i="22" s="1"/>
  <c r="P64" i="22" s="1"/>
  <c r="J56" i="22"/>
  <c r="L56" i="22" s="1"/>
  <c r="P56" i="22" s="1"/>
  <c r="J40" i="22"/>
  <c r="L40" i="22" s="1"/>
  <c r="P40" i="22" s="1"/>
  <c r="J32" i="22"/>
  <c r="L32" i="22" s="1"/>
  <c r="P32" i="22" s="1"/>
  <c r="J24" i="22"/>
  <c r="L24" i="22" s="1"/>
  <c r="P24" i="22" s="1"/>
  <c r="J16" i="22"/>
  <c r="J21" i="22"/>
  <c r="L21" i="22" s="1"/>
  <c r="P21" i="22" s="1"/>
  <c r="J109" i="22"/>
  <c r="L109" i="22" s="1"/>
  <c r="P109" i="22" s="1"/>
  <c r="J26" i="22"/>
  <c r="L26" i="22" s="1"/>
  <c r="P26" i="22" s="1"/>
  <c r="J164" i="22"/>
  <c r="L164" i="22" s="1"/>
  <c r="P164" i="22" s="1"/>
  <c r="J48" i="22"/>
  <c r="L48" i="22" s="1"/>
  <c r="P48" i="22" s="1"/>
  <c r="J29" i="22"/>
  <c r="L29" i="22" s="1"/>
  <c r="P29" i="22" s="1"/>
  <c r="J287" i="22"/>
  <c r="L287" i="22" s="1"/>
  <c r="P287" i="22" s="1"/>
  <c r="J263" i="22"/>
  <c r="L263" i="22" s="1"/>
  <c r="P263" i="22" s="1"/>
  <c r="J231" i="22"/>
  <c r="L231" i="22" s="1"/>
  <c r="P231" i="22" s="1"/>
  <c r="J145" i="22"/>
  <c r="L145" i="22" s="1"/>
  <c r="P145" i="22" s="1"/>
  <c r="J241" i="22"/>
  <c r="L241" i="22" s="1"/>
  <c r="P241" i="22" s="1"/>
  <c r="J286" i="22"/>
  <c r="L286" i="22" s="1"/>
  <c r="P286" i="22" s="1"/>
  <c r="J254" i="22"/>
  <c r="L254" i="22" s="1"/>
  <c r="P254" i="22" s="1"/>
  <c r="J230" i="22"/>
  <c r="L230" i="22" s="1"/>
  <c r="P230" i="22" s="1"/>
  <c r="J198" i="22"/>
  <c r="L198" i="22" s="1"/>
  <c r="P198" i="22" s="1"/>
  <c r="J285" i="22"/>
  <c r="L285" i="22" s="1"/>
  <c r="P285" i="22" s="1"/>
  <c r="J269" i="22"/>
  <c r="L269" i="22" s="1"/>
  <c r="P269" i="22" s="1"/>
  <c r="J253" i="22"/>
  <c r="L253" i="22" s="1"/>
  <c r="P253" i="22" s="1"/>
  <c r="J221" i="22"/>
  <c r="L221" i="22" s="1"/>
  <c r="P221" i="22" s="1"/>
  <c r="J165" i="22"/>
  <c r="L165" i="22" s="1"/>
  <c r="P165" i="22" s="1"/>
  <c r="J157" i="22"/>
  <c r="L157" i="22" s="1"/>
  <c r="P157" i="22" s="1"/>
  <c r="J149" i="22"/>
  <c r="L149" i="22" s="1"/>
  <c r="P149" i="22" s="1"/>
  <c r="J141" i="22"/>
  <c r="L141" i="22" s="1"/>
  <c r="P141" i="22" s="1"/>
  <c r="J133" i="22"/>
  <c r="J42" i="22"/>
  <c r="L42" i="22" s="1"/>
  <c r="P42" i="22" s="1"/>
  <c r="J106" i="22"/>
  <c r="L106" i="22" s="1"/>
  <c r="P106" i="22" s="1"/>
  <c r="J223" i="22"/>
  <c r="L223" i="22" s="1"/>
  <c r="P223" i="22" s="1"/>
  <c r="J191" i="22"/>
  <c r="L191" i="22" s="1"/>
  <c r="P191" i="22" s="1"/>
  <c r="J262" i="22"/>
  <c r="L262" i="22" s="1"/>
  <c r="P262" i="22" s="1"/>
  <c r="J222" i="22"/>
  <c r="L222" i="22" s="1"/>
  <c r="P222" i="22" s="1"/>
  <c r="J248" i="22"/>
  <c r="L248" i="22" s="1"/>
  <c r="P248" i="22" s="1"/>
  <c r="J280" i="22"/>
  <c r="L280" i="22" s="1"/>
  <c r="P280" i="22" s="1"/>
  <c r="J279" i="22"/>
  <c r="L279" i="22" s="1"/>
  <c r="P279" i="22" s="1"/>
  <c r="J239" i="22"/>
  <c r="L239" i="22" s="1"/>
  <c r="P239" i="22" s="1"/>
  <c r="J161" i="22"/>
  <c r="L161" i="22" s="1"/>
  <c r="P161" i="22" s="1"/>
  <c r="J257" i="22"/>
  <c r="L257" i="22" s="1"/>
  <c r="P257" i="22" s="1"/>
  <c r="J270" i="22"/>
  <c r="L270" i="22" s="1"/>
  <c r="P270" i="22" s="1"/>
  <c r="J214" i="22"/>
  <c r="L214" i="22" s="1"/>
  <c r="P214" i="22" s="1"/>
  <c r="J251" i="22"/>
  <c r="L251" i="22" s="1"/>
  <c r="P251" i="22" s="1"/>
  <c r="J227" i="22"/>
  <c r="L227" i="22" s="1"/>
  <c r="P227" i="22" s="1"/>
  <c r="J211" i="22"/>
  <c r="L211" i="22" s="1"/>
  <c r="P211" i="22" s="1"/>
  <c r="J203" i="22"/>
  <c r="L203" i="22" s="1"/>
  <c r="P203" i="22" s="1"/>
  <c r="J195" i="22"/>
  <c r="L195" i="22" s="1"/>
  <c r="P195" i="22" s="1"/>
  <c r="J187" i="22"/>
  <c r="L187" i="22" s="1"/>
  <c r="P187" i="22" s="1"/>
  <c r="J179" i="22"/>
  <c r="L179" i="22" s="1"/>
  <c r="P179" i="22" s="1"/>
  <c r="J171" i="22"/>
  <c r="L171" i="22" s="1"/>
  <c r="P171" i="22" s="1"/>
  <c r="J163" i="22"/>
  <c r="L163" i="22" s="1"/>
  <c r="P163" i="22" s="1"/>
  <c r="J155" i="22"/>
  <c r="L155" i="22" s="1"/>
  <c r="P155" i="22" s="1"/>
  <c r="J147" i="22"/>
  <c r="L147" i="22" s="1"/>
  <c r="P147" i="22" s="1"/>
  <c r="J139" i="22"/>
  <c r="L139" i="22" s="1"/>
  <c r="P139" i="22" s="1"/>
  <c r="J131" i="22"/>
  <c r="L131" i="22" s="1"/>
  <c r="P131" i="22" s="1"/>
  <c r="J123" i="22"/>
  <c r="L123" i="22" s="1"/>
  <c r="P123" i="22" s="1"/>
  <c r="J115" i="22"/>
  <c r="L115" i="22" s="1"/>
  <c r="P115" i="22" s="1"/>
  <c r="J107" i="22"/>
  <c r="L107" i="22" s="1"/>
  <c r="P107" i="22" s="1"/>
  <c r="J99" i="22"/>
  <c r="L99" i="22" s="1"/>
  <c r="P99" i="22" s="1"/>
  <c r="J91" i="22"/>
  <c r="L91" i="22" s="1"/>
  <c r="P91" i="22" s="1"/>
  <c r="J83" i="22"/>
  <c r="L83" i="22" s="1"/>
  <c r="P83" i="22" s="1"/>
  <c r="J75" i="22"/>
  <c r="L75" i="22" s="1"/>
  <c r="P75" i="22" s="1"/>
  <c r="J67" i="22"/>
  <c r="L67" i="22" s="1"/>
  <c r="P67" i="22" s="1"/>
  <c r="J59" i="22"/>
  <c r="L59" i="22" s="1"/>
  <c r="P59" i="22" s="1"/>
  <c r="J51" i="22"/>
  <c r="L51" i="22" s="1"/>
  <c r="P51" i="22" s="1"/>
  <c r="J43" i="22"/>
  <c r="L43" i="22" s="1"/>
  <c r="P43" i="22" s="1"/>
  <c r="J35" i="22"/>
  <c r="L35" i="22" s="1"/>
  <c r="P35" i="22" s="1"/>
  <c r="J27" i="22"/>
  <c r="L27" i="22" s="1"/>
  <c r="P27" i="22" s="1"/>
  <c r="J19" i="22"/>
  <c r="L19" i="22" s="1"/>
  <c r="P19" i="22" s="1"/>
  <c r="J11" i="22"/>
  <c r="L11" i="22" s="1"/>
  <c r="P11" i="22" s="1"/>
  <c r="J185" i="22"/>
  <c r="L185" i="22" s="1"/>
  <c r="P185" i="22" s="1"/>
  <c r="J217" i="22"/>
  <c r="J249" i="22"/>
  <c r="L249" i="22" s="1"/>
  <c r="P249" i="22" s="1"/>
  <c r="J265" i="22"/>
  <c r="L265" i="22" s="1"/>
  <c r="P265" i="22" s="1"/>
  <c r="J271" i="22"/>
  <c r="L271" i="22" s="1"/>
  <c r="P271" i="22" s="1"/>
  <c r="J215" i="22"/>
  <c r="L215" i="22" s="1"/>
  <c r="P215" i="22" s="1"/>
  <c r="J129" i="22"/>
  <c r="L129" i="22" s="1"/>
  <c r="P129" i="22" s="1"/>
  <c r="J177" i="22"/>
  <c r="L177" i="22" s="1"/>
  <c r="P177" i="22" s="1"/>
  <c r="J225" i="22"/>
  <c r="L225" i="22" s="1"/>
  <c r="P225" i="22" s="1"/>
  <c r="J278" i="22"/>
  <c r="L278" i="22" s="1"/>
  <c r="P278" i="22" s="1"/>
  <c r="J246" i="22"/>
  <c r="L246" i="22" s="1"/>
  <c r="P246" i="22" s="1"/>
  <c r="J238" i="22"/>
  <c r="L238" i="22" s="1"/>
  <c r="P238" i="22" s="1"/>
  <c r="J206" i="22"/>
  <c r="L206" i="22" s="1"/>
  <c r="P206" i="22" s="1"/>
  <c r="J190" i="22"/>
  <c r="L190" i="22" s="1"/>
  <c r="P190" i="22" s="1"/>
  <c r="J182" i="22"/>
  <c r="L182" i="22" s="1"/>
  <c r="P182" i="22" s="1"/>
  <c r="J275" i="22"/>
  <c r="L275" i="22" s="1"/>
  <c r="P275" i="22" s="1"/>
  <c r="J243" i="22"/>
  <c r="L243" i="22" s="1"/>
  <c r="P243" i="22" s="1"/>
  <c r="J170" i="22"/>
  <c r="L170" i="22" s="1"/>
  <c r="P170" i="22" s="1"/>
  <c r="J186" i="22"/>
  <c r="L186" i="22" s="1"/>
  <c r="P186" i="22" s="1"/>
  <c r="J218" i="22"/>
  <c r="L218" i="22" s="1"/>
  <c r="P218" i="22" s="1"/>
  <c r="J250" i="22"/>
  <c r="L250" i="22" s="1"/>
  <c r="P250" i="22" s="1"/>
  <c r="J266" i="22"/>
  <c r="L266" i="22" s="1"/>
  <c r="P266" i="22" s="1"/>
  <c r="J49" i="22"/>
  <c r="L49" i="22" s="1"/>
  <c r="P49" i="22" s="1"/>
  <c r="J113" i="22"/>
  <c r="L113" i="22" s="1"/>
  <c r="P113" i="22" s="1"/>
  <c r="J25" i="22"/>
  <c r="L25" i="22" s="1"/>
  <c r="P25" i="22" s="1"/>
  <c r="J89" i="22"/>
  <c r="L89" i="22" s="1"/>
  <c r="P89" i="22" s="1"/>
  <c r="J192" i="22"/>
  <c r="L192" i="22" s="1"/>
  <c r="P192" i="22" s="1"/>
  <c r="J208" i="22"/>
  <c r="L208" i="22" s="1"/>
  <c r="P208" i="22" s="1"/>
  <c r="J224" i="22"/>
  <c r="L224" i="22" s="1"/>
  <c r="P224" i="22" s="1"/>
  <c r="J240" i="22"/>
  <c r="L240" i="22" s="1"/>
  <c r="P240" i="22" s="1"/>
  <c r="J272" i="22"/>
  <c r="L272" i="22" s="1"/>
  <c r="P272" i="22" s="1"/>
  <c r="N19" i="34"/>
  <c r="N18" i="34"/>
  <c r="M1" i="34"/>
  <c r="AO144" i="35" l="1"/>
  <c r="AP144" i="35" s="1"/>
  <c r="AQ144" i="35" s="1"/>
  <c r="AO134" i="35"/>
  <c r="AP134" i="35" s="1"/>
  <c r="AQ134" i="35" s="1"/>
  <c r="AO146" i="35"/>
  <c r="AP146" i="35" s="1"/>
  <c r="AQ146" i="35" s="1"/>
  <c r="AO143" i="35"/>
  <c r="AP143" i="35" s="1"/>
  <c r="AQ143" i="35" s="1"/>
  <c r="AO155" i="35"/>
  <c r="AP155" i="35" s="1"/>
  <c r="AQ155" i="35" s="1"/>
  <c r="AO142" i="35"/>
  <c r="AP142" i="35" s="1"/>
  <c r="AQ142" i="35" s="1"/>
  <c r="AO140" i="35"/>
  <c r="AP140" i="35" s="1"/>
  <c r="AQ140" i="35" s="1"/>
  <c r="AO139" i="35"/>
  <c r="AP139" i="35" s="1"/>
  <c r="AQ139" i="35" s="1"/>
  <c r="AO145" i="35"/>
  <c r="AP145" i="35" s="1"/>
  <c r="AQ145" i="35" s="1"/>
  <c r="AO138" i="35"/>
  <c r="AP138" i="35" s="1"/>
  <c r="AQ138" i="35" s="1"/>
  <c r="AO153" i="35"/>
  <c r="AP153" i="35" s="1"/>
  <c r="AQ153" i="35" s="1"/>
  <c r="AO133" i="35"/>
  <c r="AP133" i="35" s="1"/>
  <c r="AQ133" i="35" s="1"/>
  <c r="AO148" i="35"/>
  <c r="AP148" i="35" s="1"/>
  <c r="AQ148" i="35" s="1"/>
  <c r="AO132" i="35"/>
  <c r="AP132" i="35" s="1"/>
  <c r="AQ132" i="35" s="1"/>
  <c r="AO130" i="35"/>
  <c r="AP130" i="35" s="1"/>
  <c r="AQ130" i="35" s="1"/>
  <c r="AO149" i="35"/>
  <c r="AP149" i="35" s="1"/>
  <c r="AQ149" i="35" s="1"/>
  <c r="AO151" i="35"/>
  <c r="AP151" i="35" s="1"/>
  <c r="AQ151" i="35" s="1"/>
  <c r="AO159" i="35"/>
  <c r="AP159" i="35" s="1"/>
  <c r="AQ159" i="35" s="1"/>
  <c r="AO160" i="35"/>
  <c r="AP160" i="35" s="1"/>
  <c r="AQ160" i="35" s="1"/>
  <c r="AO141" i="35"/>
  <c r="AP141" i="35" s="1"/>
  <c r="AQ141" i="35" s="1"/>
  <c r="AO135" i="35"/>
  <c r="AP135" i="35" s="1"/>
  <c r="AQ135" i="35" s="1"/>
  <c r="AO147" i="35"/>
  <c r="AP147" i="35" s="1"/>
  <c r="AQ147" i="35" s="1"/>
  <c r="AO131" i="35"/>
  <c r="AP131" i="35" s="1"/>
  <c r="AQ131" i="35" s="1"/>
  <c r="AO157" i="35"/>
  <c r="AP157" i="35" s="1"/>
  <c r="AQ157" i="35" s="1"/>
  <c r="AO156" i="35"/>
  <c r="AP156" i="35" s="1"/>
  <c r="AQ156" i="35" s="1"/>
  <c r="AO150" i="35"/>
  <c r="AP150" i="35" s="1"/>
  <c r="AQ150" i="35" s="1"/>
  <c r="AO137" i="35"/>
  <c r="AP137" i="35" s="1"/>
  <c r="AQ137" i="35" s="1"/>
  <c r="AO158" i="35"/>
  <c r="AP158" i="35" s="1"/>
  <c r="AQ158" i="35" s="1"/>
  <c r="AO154" i="35"/>
  <c r="AP154" i="35" s="1"/>
  <c r="AQ154" i="35" s="1"/>
  <c r="AO152" i="35"/>
  <c r="AP152" i="35" s="1"/>
  <c r="AQ152" i="35" s="1"/>
  <c r="AO136" i="35"/>
  <c r="AP136" i="35" s="1"/>
  <c r="AQ136" i="35" s="1"/>
  <c r="AD201" i="35"/>
  <c r="AE201" i="35" s="1"/>
  <c r="AF201" i="35" s="1"/>
  <c r="AG201" i="35" s="1"/>
  <c r="AD212" i="35"/>
  <c r="AE212" i="35" s="1"/>
  <c r="AF212" i="35" s="1"/>
  <c r="AG212" i="35" s="1"/>
  <c r="AD210" i="35"/>
  <c r="AE210" i="35" s="1"/>
  <c r="AF210" i="35" s="1"/>
  <c r="AG210" i="35" s="1"/>
  <c r="AD198" i="35"/>
  <c r="AE198" i="35" s="1"/>
  <c r="AF198" i="35" s="1"/>
  <c r="AG198" i="35" s="1"/>
  <c r="AD217" i="35"/>
  <c r="AE217" i="35" s="1"/>
  <c r="AF217" i="35" s="1"/>
  <c r="AG217" i="35" s="1"/>
  <c r="AD213" i="35"/>
  <c r="AE213" i="35" s="1"/>
  <c r="AF213" i="35" s="1"/>
  <c r="AG213" i="35" s="1"/>
  <c r="AD214" i="35"/>
  <c r="AE214" i="35" s="1"/>
  <c r="AF214" i="35" s="1"/>
  <c r="AG214" i="35" s="1"/>
  <c r="AD200" i="35"/>
  <c r="AE200" i="35" s="1"/>
  <c r="AF200" i="35" s="1"/>
  <c r="AG200" i="35" s="1"/>
  <c r="AD219" i="35"/>
  <c r="AE219" i="35" s="1"/>
  <c r="AF219" i="35" s="1"/>
  <c r="AG219" i="35" s="1"/>
  <c r="AD194" i="35"/>
  <c r="AE194" i="35" s="1"/>
  <c r="AF194" i="35" s="1"/>
  <c r="AG194" i="35" s="1"/>
  <c r="AD215" i="35"/>
  <c r="AE215" i="35" s="1"/>
  <c r="AF215" i="35" s="1"/>
  <c r="AG215" i="35" s="1"/>
  <c r="AD221" i="35"/>
  <c r="AE221" i="35" s="1"/>
  <c r="AF221" i="35" s="1"/>
  <c r="AG221" i="35" s="1"/>
  <c r="AD195" i="35"/>
  <c r="AE195" i="35" s="1"/>
  <c r="AF195" i="35" s="1"/>
  <c r="AG195" i="35" s="1"/>
  <c r="AD203" i="35"/>
  <c r="AE203" i="35" s="1"/>
  <c r="AF203" i="35" s="1"/>
  <c r="AG203" i="35" s="1"/>
  <c r="AD211" i="35"/>
  <c r="AE211" i="35" s="1"/>
  <c r="AF211" i="35" s="1"/>
  <c r="AG211" i="35" s="1"/>
  <c r="AD216" i="35"/>
  <c r="AE216" i="35" s="1"/>
  <c r="AF216" i="35" s="1"/>
  <c r="AG216" i="35" s="1"/>
  <c r="AD220" i="35"/>
  <c r="AE220" i="35" s="1"/>
  <c r="AF220" i="35" s="1"/>
  <c r="AG220" i="35" s="1"/>
  <c r="AD197" i="35"/>
  <c r="AE197" i="35" s="1"/>
  <c r="AF197" i="35" s="1"/>
  <c r="AG197" i="35" s="1"/>
  <c r="AD205" i="35"/>
  <c r="AE205" i="35" s="1"/>
  <c r="AF205" i="35" s="1"/>
  <c r="AG205" i="35" s="1"/>
  <c r="AD202" i="35"/>
  <c r="AE202" i="35" s="1"/>
  <c r="AF202" i="35" s="1"/>
  <c r="AG202" i="35" s="1"/>
  <c r="AD218" i="35"/>
  <c r="AE218" i="35" s="1"/>
  <c r="AF218" i="35" s="1"/>
  <c r="AG218" i="35" s="1"/>
  <c r="AD209" i="35"/>
  <c r="AE209" i="35" s="1"/>
  <c r="AF209" i="35" s="1"/>
  <c r="AG209" i="35" s="1"/>
  <c r="AD199" i="35"/>
  <c r="AE199" i="35" s="1"/>
  <c r="AF199" i="35" s="1"/>
  <c r="AG199" i="35" s="1"/>
  <c r="AD207" i="35"/>
  <c r="AE207" i="35" s="1"/>
  <c r="AF207" i="35" s="1"/>
  <c r="AG207" i="35" s="1"/>
  <c r="AD204" i="35"/>
  <c r="AE204" i="35" s="1"/>
  <c r="AF204" i="35" s="1"/>
  <c r="AG204" i="35" s="1"/>
  <c r="AD206" i="35"/>
  <c r="AE206" i="35" s="1"/>
  <c r="AF206" i="35" s="1"/>
  <c r="AG206" i="35" s="1"/>
  <c r="AD208" i="35"/>
  <c r="AE208" i="35" s="1"/>
  <c r="AF208" i="35" s="1"/>
  <c r="AG208" i="35" s="1"/>
  <c r="AD196" i="35"/>
  <c r="AE196" i="35" s="1"/>
  <c r="AF196" i="35" s="1"/>
  <c r="AG196" i="35" s="1"/>
  <c r="AD222" i="35"/>
  <c r="AE222" i="35" s="1"/>
  <c r="AF222" i="35" s="1"/>
  <c r="AG222" i="35" s="1"/>
  <c r="DB12" i="35"/>
  <c r="DB59" i="35"/>
  <c r="DB10" i="35"/>
  <c r="DB31" i="35"/>
  <c r="AS12" i="35"/>
  <c r="AS10" i="35"/>
  <c r="AU59" i="35"/>
  <c r="AW59" i="35" s="1"/>
  <c r="AU10" i="35"/>
  <c r="AW10" i="35" s="1"/>
  <c r="AS59" i="35"/>
  <c r="AS31" i="35"/>
  <c r="AU12" i="35"/>
  <c r="AW12" i="35" s="1"/>
  <c r="AU31" i="35"/>
  <c r="AW31" i="35" s="1"/>
  <c r="AT114" i="35"/>
  <c r="AT22" i="35"/>
  <c r="AT13" i="35"/>
  <c r="AT68" i="35"/>
  <c r="AT91" i="35"/>
  <c r="AT86" i="35"/>
  <c r="AT29" i="35"/>
  <c r="AT92" i="35"/>
  <c r="AT40" i="35"/>
  <c r="AT107" i="35"/>
  <c r="AT115" i="35"/>
  <c r="AT98" i="35"/>
  <c r="AT61" i="35"/>
  <c r="AT14" i="35"/>
  <c r="AT127" i="35"/>
  <c r="AT58" i="35"/>
  <c r="AT81" i="35"/>
  <c r="AT128" i="35"/>
  <c r="AT9" i="35"/>
  <c r="AT30" i="35"/>
  <c r="AT123" i="35"/>
  <c r="AT72" i="35"/>
  <c r="AT50" i="35"/>
  <c r="AT120" i="35"/>
  <c r="AT99" i="35"/>
  <c r="AT88" i="35"/>
  <c r="AT71" i="35"/>
  <c r="AT51" i="35"/>
  <c r="AT84" i="35"/>
  <c r="AT33" i="35"/>
  <c r="AT11" i="35"/>
  <c r="AT36" i="35"/>
  <c r="AT28" i="35"/>
  <c r="AT95" i="35"/>
  <c r="AT97" i="35"/>
  <c r="AT103" i="35"/>
  <c r="AT63" i="35"/>
  <c r="AT109" i="35"/>
  <c r="AT57" i="35"/>
  <c r="AT15" i="35"/>
  <c r="AT20" i="35"/>
  <c r="AT73" i="35"/>
  <c r="AT94" i="35"/>
  <c r="AT41" i="35"/>
  <c r="AT90" i="35"/>
  <c r="AT64" i="35"/>
  <c r="AT93" i="35"/>
  <c r="AT66" i="35"/>
  <c r="AT121" i="35"/>
  <c r="AT116" i="35"/>
  <c r="AT85" i="35"/>
  <c r="AT49" i="35"/>
  <c r="AT8" i="35"/>
  <c r="AT76" i="35"/>
  <c r="AT67" i="35"/>
  <c r="AT118" i="35"/>
  <c r="AT106" i="35"/>
  <c r="AT101" i="35"/>
  <c r="AT89" i="35"/>
  <c r="AT119" i="35"/>
  <c r="AT48" i="35"/>
  <c r="AT108" i="35"/>
  <c r="AT69" i="35"/>
  <c r="AT102" i="35"/>
  <c r="AT39" i="35"/>
  <c r="AT110" i="35"/>
  <c r="AT74" i="35"/>
  <c r="AT35" i="35"/>
  <c r="AT18" i="35"/>
  <c r="AT42" i="35"/>
  <c r="AT34" i="35"/>
  <c r="AT27" i="35"/>
  <c r="AT117" i="35"/>
  <c r="AT104" i="35"/>
  <c r="AT47" i="35"/>
  <c r="AT75" i="35"/>
  <c r="AT37" i="35"/>
  <c r="AT52" i="35"/>
  <c r="AT100" i="35"/>
  <c r="AT45" i="35"/>
  <c r="AT16" i="35"/>
  <c r="AT112" i="35"/>
  <c r="AT113" i="35"/>
  <c r="AT26" i="35"/>
  <c r="AT19" i="35"/>
  <c r="AT60" i="35"/>
  <c r="AT78" i="35"/>
  <c r="AT77" i="35"/>
  <c r="AT70" i="35"/>
  <c r="AT79" i="35"/>
  <c r="AT87" i="35"/>
  <c r="AT23" i="35"/>
  <c r="AT53" i="35"/>
  <c r="AT65" i="35"/>
  <c r="AT44" i="35"/>
  <c r="AT46" i="35"/>
  <c r="AT80" i="35"/>
  <c r="AT62" i="35"/>
  <c r="AT82" i="35"/>
  <c r="AT96" i="35"/>
  <c r="AT125" i="35"/>
  <c r="AT105" i="35"/>
  <c r="AT83" i="35"/>
  <c r="AT43" i="35"/>
  <c r="AT24" i="35"/>
  <c r="AT124" i="35"/>
  <c r="AT56" i="35"/>
  <c r="AT54" i="35"/>
  <c r="AT126" i="35"/>
  <c r="AT122" i="35"/>
  <c r="AT21" i="35"/>
  <c r="AT111" i="35"/>
  <c r="AT38" i="35"/>
  <c r="AT17" i="35"/>
  <c r="AT129" i="35"/>
  <c r="AT25" i="35"/>
  <c r="AT32" i="35"/>
  <c r="AT55" i="35"/>
  <c r="AL161" i="35"/>
  <c r="B43" i="37"/>
  <c r="AD21" i="37"/>
  <c r="AJ169" i="35"/>
  <c r="AK169" i="35" s="1"/>
  <c r="AH192" i="35"/>
  <c r="AI192" i="35" s="1"/>
  <c r="AJ164" i="35"/>
  <c r="AK164" i="35" s="1"/>
  <c r="AJ173" i="35"/>
  <c r="AK173" i="35" s="1"/>
  <c r="AJ174" i="35"/>
  <c r="AK174" i="35" s="1"/>
  <c r="AJ171" i="35"/>
  <c r="AK171" i="35" s="1"/>
  <c r="AJ179" i="35"/>
  <c r="AK179" i="35" s="1"/>
  <c r="AJ172" i="35"/>
  <c r="AK172" i="35" s="1"/>
  <c r="AJ165" i="35"/>
  <c r="AK165" i="35" s="1"/>
  <c r="AJ191" i="35"/>
  <c r="AK191" i="35" s="1"/>
  <c r="AJ183" i="35"/>
  <c r="AK183" i="35" s="1"/>
  <c r="AJ176" i="35"/>
  <c r="AK176" i="35" s="1"/>
  <c r="AJ163" i="35"/>
  <c r="AK163" i="35" s="1"/>
  <c r="AJ167" i="35"/>
  <c r="AK167" i="35" s="1"/>
  <c r="AJ170" i="35"/>
  <c r="AK170" i="35" s="1"/>
  <c r="AJ175" i="35"/>
  <c r="AK175" i="35" s="1"/>
  <c r="AJ182" i="35"/>
  <c r="AK182" i="35" s="1"/>
  <c r="AJ187" i="35"/>
  <c r="AK187" i="35" s="1"/>
  <c r="AJ189" i="35"/>
  <c r="AK189" i="35" s="1"/>
  <c r="AJ184" i="35"/>
  <c r="AK184" i="35" s="1"/>
  <c r="AJ180" i="35"/>
  <c r="AK180" i="35" s="1"/>
  <c r="Y224" i="35"/>
  <c r="AD224" i="35" s="1"/>
  <c r="AE223" i="35"/>
  <c r="AJ186" i="35"/>
  <c r="AK186" i="35" s="1"/>
  <c r="AJ178" i="35"/>
  <c r="AK178" i="35" s="1"/>
  <c r="AJ181" i="35"/>
  <c r="AK181" i="35" s="1"/>
  <c r="AJ188" i="35"/>
  <c r="AK188" i="35" s="1"/>
  <c r="AF193" i="35"/>
  <c r="AG193" i="35" s="1"/>
  <c r="AJ185" i="35"/>
  <c r="AK185" i="35" s="1"/>
  <c r="AJ177" i="35"/>
  <c r="AK177" i="35" s="1"/>
  <c r="AJ190" i="35"/>
  <c r="AK190" i="35" s="1"/>
  <c r="AI162" i="35"/>
  <c r="AJ168" i="35"/>
  <c r="AK168" i="35" s="1"/>
  <c r="AJ166" i="35"/>
  <c r="AK166" i="35" s="1"/>
  <c r="P10" i="22"/>
  <c r="T10" i="22" s="1"/>
  <c r="T238" i="22"/>
  <c r="S238" i="22"/>
  <c r="T184" i="22"/>
  <c r="S184" i="22"/>
  <c r="T95" i="22"/>
  <c r="S95" i="22"/>
  <c r="S78" i="22"/>
  <c r="T78" i="22"/>
  <c r="S40" i="22"/>
  <c r="T40" i="22"/>
  <c r="S206" i="22"/>
  <c r="T287" i="22"/>
  <c r="S287" i="22"/>
  <c r="S286" i="22"/>
  <c r="T286" i="22"/>
  <c r="S285" i="22"/>
  <c r="T285" i="22"/>
  <c r="T279" i="22"/>
  <c r="S279" i="22"/>
  <c r="T280" i="22"/>
  <c r="S280" i="22"/>
  <c r="T275" i="22"/>
  <c r="S275" i="22"/>
  <c r="T278" i="22"/>
  <c r="S278" i="22"/>
  <c r="T277" i="22"/>
  <c r="S277" i="22"/>
  <c r="T281" i="22"/>
  <c r="S281" i="22"/>
  <c r="T266" i="22"/>
  <c r="S266" i="22"/>
  <c r="T269" i="22"/>
  <c r="S269" i="22"/>
  <c r="T263" i="22"/>
  <c r="S263" i="22"/>
  <c r="T271" i="22"/>
  <c r="S271" i="22"/>
  <c r="T264" i="22"/>
  <c r="S264" i="22"/>
  <c r="S265" i="22"/>
  <c r="T265" i="22"/>
  <c r="T270" i="22"/>
  <c r="S270" i="22"/>
  <c r="T262" i="22"/>
  <c r="S262" i="22"/>
  <c r="T272" i="22"/>
  <c r="S272" i="22"/>
  <c r="T257" i="22"/>
  <c r="S257" i="22"/>
  <c r="T258" i="22"/>
  <c r="S258" i="22"/>
  <c r="S260" i="22"/>
  <c r="T260" i="22"/>
  <c r="T254" i="22"/>
  <c r="S254" i="22"/>
  <c r="S253" i="22"/>
  <c r="T253" i="22"/>
  <c r="T252" i="22"/>
  <c r="S252" i="22"/>
  <c r="T250" i="22"/>
  <c r="S250" i="22"/>
  <c r="T248" i="22"/>
  <c r="S248" i="22"/>
  <c r="S249" i="22"/>
  <c r="T249" i="22"/>
  <c r="T251" i="22"/>
  <c r="S251" i="22"/>
  <c r="T239" i="22"/>
  <c r="S239" i="22"/>
  <c r="T245" i="22"/>
  <c r="S245" i="22"/>
  <c r="S241" i="22"/>
  <c r="T241" i="22"/>
  <c r="T246" i="22"/>
  <c r="S246" i="22"/>
  <c r="T242" i="22"/>
  <c r="S242" i="22"/>
  <c r="T240" i="22"/>
  <c r="S240" i="22"/>
  <c r="T243" i="22"/>
  <c r="S243" i="22"/>
  <c r="T231" i="22"/>
  <c r="S231" i="22"/>
  <c r="S233" i="22"/>
  <c r="T233" i="22"/>
  <c r="S230" i="22"/>
  <c r="T230" i="22"/>
  <c r="T223" i="22"/>
  <c r="S223" i="22"/>
  <c r="T221" i="22"/>
  <c r="S221" i="22"/>
  <c r="T224" i="22"/>
  <c r="S224" i="22"/>
  <c r="T225" i="22"/>
  <c r="S225" i="22"/>
  <c r="S227" i="22"/>
  <c r="T227" i="22"/>
  <c r="T222" i="22"/>
  <c r="S222" i="22"/>
  <c r="T226" i="22"/>
  <c r="S226" i="22"/>
  <c r="T211" i="22"/>
  <c r="S211" i="22"/>
  <c r="T219" i="22"/>
  <c r="S219" i="22"/>
  <c r="T216" i="22"/>
  <c r="S216" i="22"/>
  <c r="T208" i="22"/>
  <c r="S208" i="22"/>
  <c r="S209" i="22"/>
  <c r="T209" i="22"/>
  <c r="T218" i="22"/>
  <c r="S218" i="22"/>
  <c r="T215" i="22"/>
  <c r="S215" i="22"/>
  <c r="S214" i="22"/>
  <c r="T214" i="22"/>
  <c r="T210" i="22"/>
  <c r="S210" i="22"/>
  <c r="T204" i="22"/>
  <c r="S204" i="22"/>
  <c r="T203" i="22"/>
  <c r="S203" i="22"/>
  <c r="T206" i="22"/>
  <c r="T205" i="22"/>
  <c r="S205" i="22"/>
  <c r="T196" i="22"/>
  <c r="S196" i="22"/>
  <c r="S195" i="22"/>
  <c r="T195" i="22"/>
  <c r="T198" i="22"/>
  <c r="S198" i="22"/>
  <c r="S187" i="22"/>
  <c r="T187" i="22"/>
  <c r="T185" i="22"/>
  <c r="S185" i="22"/>
  <c r="T182" i="22"/>
  <c r="S182" i="22"/>
  <c r="T190" i="22"/>
  <c r="S190" i="22"/>
  <c r="T191" i="22"/>
  <c r="S191" i="22"/>
  <c r="T192" i="22"/>
  <c r="S192" i="22"/>
  <c r="T186" i="22"/>
  <c r="S186" i="22"/>
  <c r="T176" i="22"/>
  <c r="S176" i="22"/>
  <c r="T177" i="22"/>
  <c r="S177" i="22"/>
  <c r="T178" i="22"/>
  <c r="S178" i="22"/>
  <c r="S179" i="22"/>
  <c r="T179" i="22"/>
  <c r="T171" i="22"/>
  <c r="S171" i="22"/>
  <c r="T169" i="22"/>
  <c r="S169" i="22"/>
  <c r="T170" i="22"/>
  <c r="S170" i="22"/>
  <c r="T172" i="22"/>
  <c r="S172" i="22"/>
  <c r="S168" i="22"/>
  <c r="T168" i="22"/>
  <c r="T167" i="22"/>
  <c r="S167" i="22"/>
  <c r="T161" i="22"/>
  <c r="S161" i="22"/>
  <c r="T156" i="22"/>
  <c r="S156" i="22"/>
  <c r="T158" i="22"/>
  <c r="S158" i="22"/>
  <c r="S155" i="22"/>
  <c r="T155" i="22"/>
  <c r="T154" i="22"/>
  <c r="S154" i="22"/>
  <c r="S165" i="22"/>
  <c r="T165" i="22"/>
  <c r="T163" i="22"/>
  <c r="S163" i="22"/>
  <c r="T164" i="22"/>
  <c r="S164" i="22"/>
  <c r="S157" i="22"/>
  <c r="T157" i="22"/>
  <c r="T160" i="22"/>
  <c r="S160" i="22"/>
  <c r="S152" i="22"/>
  <c r="T152" i="22"/>
  <c r="S147" i="22"/>
  <c r="T147" i="22"/>
  <c r="T149" i="22"/>
  <c r="S149" i="22"/>
  <c r="T148" i="22"/>
  <c r="S148" i="22"/>
  <c r="T151" i="22"/>
  <c r="S151" i="22"/>
  <c r="S67" i="22"/>
  <c r="T67" i="22"/>
  <c r="T65" i="22"/>
  <c r="S65" i="22"/>
  <c r="S132" i="22"/>
  <c r="T132" i="22"/>
  <c r="T37" i="22"/>
  <c r="S37" i="22"/>
  <c r="S119" i="22"/>
  <c r="T119" i="22"/>
  <c r="T75" i="22"/>
  <c r="S75" i="22"/>
  <c r="S106" i="22"/>
  <c r="T106" i="22"/>
  <c r="T109" i="22"/>
  <c r="S109" i="22"/>
  <c r="T80" i="22"/>
  <c r="S80" i="22"/>
  <c r="T73" i="22"/>
  <c r="S73" i="22"/>
  <c r="T118" i="22"/>
  <c r="S118" i="22"/>
  <c r="T90" i="22"/>
  <c r="S90" i="22"/>
  <c r="S140" i="22"/>
  <c r="T140" i="22"/>
  <c r="T110" i="22"/>
  <c r="S110" i="22"/>
  <c r="S52" i="22"/>
  <c r="T52" i="22"/>
  <c r="T117" i="22"/>
  <c r="S117" i="22"/>
  <c r="T102" i="22"/>
  <c r="S102" i="22"/>
  <c r="T59" i="22"/>
  <c r="S59" i="22"/>
  <c r="T137" i="22"/>
  <c r="S137" i="22"/>
  <c r="T30" i="22"/>
  <c r="S30" i="22"/>
  <c r="T113" i="22"/>
  <c r="S113" i="22"/>
  <c r="T131" i="22"/>
  <c r="S131" i="22"/>
  <c r="T62" i="22"/>
  <c r="S62" i="22"/>
  <c r="T54" i="22"/>
  <c r="S54" i="22"/>
  <c r="T101" i="22"/>
  <c r="S101" i="22"/>
  <c r="T49" i="22"/>
  <c r="S49" i="22"/>
  <c r="T129" i="22"/>
  <c r="S129" i="22"/>
  <c r="T139" i="22"/>
  <c r="S139" i="22"/>
  <c r="S19" i="22"/>
  <c r="T19" i="22"/>
  <c r="S83" i="22"/>
  <c r="T83" i="22"/>
  <c r="S42" i="22"/>
  <c r="T42" i="22"/>
  <c r="T21" i="22"/>
  <c r="S21" i="22"/>
  <c r="T81" i="22"/>
  <c r="S81" i="22"/>
  <c r="S18" i="22"/>
  <c r="T18" i="22"/>
  <c r="S98" i="22"/>
  <c r="T98" i="22"/>
  <c r="S143" i="22"/>
  <c r="T143" i="22"/>
  <c r="S60" i="22"/>
  <c r="T60" i="22"/>
  <c r="T125" i="22"/>
  <c r="S125" i="22"/>
  <c r="T70" i="22"/>
  <c r="S70" i="22"/>
  <c r="T53" i="22"/>
  <c r="S53" i="22"/>
  <c r="T126" i="22"/>
  <c r="S126" i="22"/>
  <c r="T136" i="22"/>
  <c r="S136" i="22"/>
  <c r="S74" i="22"/>
  <c r="T74" i="22"/>
  <c r="S47" i="22"/>
  <c r="T47" i="22"/>
  <c r="S26" i="22"/>
  <c r="T26" i="22"/>
  <c r="S82" i="22"/>
  <c r="T82" i="22"/>
  <c r="S55" i="22"/>
  <c r="T55" i="22"/>
  <c r="T11" i="22"/>
  <c r="S11" i="22"/>
  <c r="T145" i="22"/>
  <c r="S145" i="22"/>
  <c r="S27" i="22"/>
  <c r="T27" i="22"/>
  <c r="T91" i="22"/>
  <c r="S91" i="22"/>
  <c r="T24" i="22"/>
  <c r="S24" i="22"/>
  <c r="T94" i="22"/>
  <c r="S94" i="22"/>
  <c r="T97" i="22"/>
  <c r="S97" i="22"/>
  <c r="T34" i="22"/>
  <c r="S34" i="22"/>
  <c r="T114" i="22"/>
  <c r="S114" i="22"/>
  <c r="T61" i="22"/>
  <c r="S61" i="22"/>
  <c r="T134" i="22"/>
  <c r="S134" i="22"/>
  <c r="T15" i="22"/>
  <c r="S15" i="22"/>
  <c r="T79" i="22"/>
  <c r="S79" i="22"/>
  <c r="T144" i="22"/>
  <c r="S144" i="22"/>
  <c r="T123" i="22"/>
  <c r="S123" i="22"/>
  <c r="T138" i="22"/>
  <c r="S138" i="22"/>
  <c r="S111" i="22"/>
  <c r="T111" i="22"/>
  <c r="S35" i="22"/>
  <c r="T35" i="22"/>
  <c r="T141" i="22"/>
  <c r="S141" i="22"/>
  <c r="T104" i="22"/>
  <c r="S104" i="22"/>
  <c r="T50" i="22"/>
  <c r="S50" i="22"/>
  <c r="S76" i="22"/>
  <c r="T76" i="22"/>
  <c r="S87" i="22"/>
  <c r="T87" i="22"/>
  <c r="S43" i="22"/>
  <c r="T43" i="22"/>
  <c r="T29" i="22"/>
  <c r="S29" i="22"/>
  <c r="T112" i="22"/>
  <c r="S112" i="22"/>
  <c r="T121" i="22"/>
  <c r="S121" i="22"/>
  <c r="S58" i="22"/>
  <c r="T58" i="22"/>
  <c r="T38" i="22"/>
  <c r="S38" i="22"/>
  <c r="S84" i="22"/>
  <c r="T84" i="22"/>
  <c r="T77" i="22"/>
  <c r="S77" i="22"/>
  <c r="T135" i="22"/>
  <c r="S135" i="22"/>
  <c r="T64" i="22"/>
  <c r="S64" i="22"/>
  <c r="T57" i="22"/>
  <c r="S57" i="22"/>
  <c r="T13" i="22"/>
  <c r="S13" i="22"/>
  <c r="T89" i="22"/>
  <c r="S89" i="22"/>
  <c r="T99" i="22"/>
  <c r="S99" i="22"/>
  <c r="T32" i="22"/>
  <c r="S32" i="22"/>
  <c r="T17" i="22"/>
  <c r="S17" i="22"/>
  <c r="T105" i="22"/>
  <c r="S105" i="22"/>
  <c r="S122" i="22"/>
  <c r="T122" i="22"/>
  <c r="T69" i="22"/>
  <c r="S69" i="22"/>
  <c r="T23" i="22"/>
  <c r="S23" i="22"/>
  <c r="T25" i="22"/>
  <c r="S25" i="22"/>
  <c r="S107" i="22"/>
  <c r="T107" i="22"/>
  <c r="S51" i="22"/>
  <c r="T51" i="22"/>
  <c r="T115" i="22"/>
  <c r="S115" i="22"/>
  <c r="T48" i="22"/>
  <c r="S48" i="22"/>
  <c r="T56" i="22"/>
  <c r="S56" i="22"/>
  <c r="T41" i="22"/>
  <c r="S41" i="22"/>
  <c r="T86" i="22"/>
  <c r="S86" i="22"/>
  <c r="S28" i="22"/>
  <c r="T28" i="22"/>
  <c r="S92" i="22"/>
  <c r="T92" i="22"/>
  <c r="T103" i="22"/>
  <c r="S103" i="22"/>
  <c r="L217" i="22"/>
  <c r="P217" i="22" s="1"/>
  <c r="L267" i="22"/>
  <c r="P267" i="22" s="1"/>
  <c r="L244" i="22"/>
  <c r="P244" i="22" s="1"/>
  <c r="L162" i="22"/>
  <c r="P162" i="22" s="1"/>
  <c r="L16" i="22"/>
  <c r="P16" i="22" s="1"/>
  <c r="L183" i="22"/>
  <c r="P183" i="22" s="1"/>
  <c r="L68" i="22"/>
  <c r="P68" i="22" s="1"/>
  <c r="L108" i="22"/>
  <c r="P108" i="22" s="1"/>
  <c r="L142" i="22"/>
  <c r="P142" i="22" s="1"/>
  <c r="L36" i="22"/>
  <c r="P36" i="22" s="1"/>
  <c r="L100" i="22"/>
  <c r="P100" i="22" s="1"/>
  <c r="L88" i="22"/>
  <c r="P88" i="22" s="1"/>
  <c r="L44" i="22"/>
  <c r="P44" i="22" s="1"/>
  <c r="L133" i="22"/>
  <c r="P133" i="22" s="1"/>
  <c r="L45" i="22"/>
  <c r="P45" i="22" s="1"/>
  <c r="L120" i="22"/>
  <c r="P120" i="22" s="1"/>
  <c r="L33" i="22"/>
  <c r="P33" i="22" s="1"/>
  <c r="L181" i="22"/>
  <c r="P181" i="22" s="1"/>
  <c r="L71" i="22"/>
  <c r="P71" i="22" s="1"/>
  <c r="L12" i="22"/>
  <c r="P12" i="22" s="1"/>
  <c r="L22" i="22"/>
  <c r="P22" i="22" s="1"/>
  <c r="L237" i="22"/>
  <c r="P237" i="22" s="1"/>
  <c r="L20" i="22"/>
  <c r="P20" i="22" s="1"/>
  <c r="L116" i="22"/>
  <c r="P116" i="22" s="1"/>
  <c r="L150" i="22"/>
  <c r="P150" i="22" s="1"/>
  <c r="L85" i="22"/>
  <c r="P85" i="22" s="1"/>
  <c r="L188" i="22"/>
  <c r="P188" i="22" s="1"/>
  <c r="L273" i="22"/>
  <c r="P273" i="22" s="1"/>
  <c r="L173" i="22"/>
  <c r="P173" i="22" s="1"/>
  <c r="L14" i="22"/>
  <c r="P14" i="22" s="1"/>
  <c r="L96" i="22"/>
  <c r="P96" i="22" s="1"/>
  <c r="L200" i="22"/>
  <c r="P200" i="22" s="1"/>
  <c r="L276" i="22"/>
  <c r="P276" i="22" s="1"/>
  <c r="L130" i="22"/>
  <c r="P130" i="22" s="1"/>
  <c r="L194" i="22"/>
  <c r="P194" i="22" s="1"/>
  <c r="L66" i="22"/>
  <c r="P66" i="22" s="1"/>
  <c r="L46" i="22"/>
  <c r="P46" i="22" s="1"/>
  <c r="L268" i="22"/>
  <c r="P268" i="22" s="1"/>
  <c r="L63" i="22"/>
  <c r="P63" i="22" s="1"/>
  <c r="L159" i="22"/>
  <c r="P159" i="22" s="1"/>
  <c r="L235" i="22"/>
  <c r="P235" i="22" s="1"/>
  <c r="L189" i="22"/>
  <c r="P189" i="22" s="1"/>
  <c r="L284" i="22"/>
  <c r="P284" i="22" s="1"/>
  <c r="L213" i="22"/>
  <c r="P213" i="22" s="1"/>
  <c r="L93" i="22"/>
  <c r="P93" i="22" s="1"/>
  <c r="L197" i="22"/>
  <c r="P197" i="22" s="1"/>
  <c r="L236" i="22"/>
  <c r="P236" i="22" s="1"/>
  <c r="L31" i="22"/>
  <c r="P31" i="22" s="1"/>
  <c r="L199" i="22"/>
  <c r="P199" i="22" s="1"/>
  <c r="L212" i="22"/>
  <c r="P212" i="22" s="1"/>
  <c r="L128" i="22"/>
  <c r="P128" i="22" s="1"/>
  <c r="L259" i="22"/>
  <c r="P259" i="22" s="1"/>
  <c r="L72" i="22"/>
  <c r="P72" i="22" s="1"/>
  <c r="L232" i="22"/>
  <c r="P232" i="22" s="1"/>
  <c r="L127" i="22"/>
  <c r="P127" i="22" s="1"/>
  <c r="L39" i="22"/>
  <c r="P39" i="22" s="1"/>
  <c r="AX31" i="35" l="1"/>
  <c r="AX10" i="35"/>
  <c r="AX59" i="35"/>
  <c r="AO7" i="35"/>
  <c r="AP7" i="35" s="1"/>
  <c r="AO161" i="35"/>
  <c r="AP161" i="35" s="1"/>
  <c r="AQ161" i="35" s="1"/>
  <c r="AX12" i="35"/>
  <c r="DB56" i="35"/>
  <c r="DB82" i="35"/>
  <c r="DB77" i="35"/>
  <c r="DB45" i="35"/>
  <c r="DB27" i="35"/>
  <c r="DB102" i="35"/>
  <c r="DB118" i="35"/>
  <c r="DB66" i="35"/>
  <c r="DB15" i="35"/>
  <c r="DB36" i="35"/>
  <c r="DB120" i="35"/>
  <c r="DB58" i="35"/>
  <c r="DB92" i="35"/>
  <c r="DB17" i="35"/>
  <c r="DB124" i="35"/>
  <c r="DB62" i="35"/>
  <c r="DB78" i="35"/>
  <c r="DB100" i="35"/>
  <c r="DB34" i="35"/>
  <c r="DB69" i="35"/>
  <c r="DB67" i="35"/>
  <c r="DB93" i="35"/>
  <c r="DB57" i="35"/>
  <c r="DB11" i="35"/>
  <c r="DB50" i="35"/>
  <c r="DB127" i="35"/>
  <c r="DB29" i="35"/>
  <c r="DB38" i="35"/>
  <c r="DB24" i="35"/>
  <c r="DB80" i="35"/>
  <c r="DB60" i="35"/>
  <c r="DB52" i="35"/>
  <c r="DB42" i="35"/>
  <c r="DB108" i="35"/>
  <c r="DB76" i="35"/>
  <c r="DB64" i="35"/>
  <c r="DB109" i="35"/>
  <c r="DB33" i="35"/>
  <c r="DB72" i="35"/>
  <c r="DB14" i="35"/>
  <c r="DB86" i="35"/>
  <c r="DB55" i="35"/>
  <c r="DB111" i="35"/>
  <c r="DB43" i="35"/>
  <c r="DB46" i="35"/>
  <c r="DB23" i="35"/>
  <c r="DB19" i="35"/>
  <c r="DB37" i="35"/>
  <c r="DB18" i="35"/>
  <c r="DB48" i="35"/>
  <c r="AS8" i="35"/>
  <c r="DB90" i="35"/>
  <c r="DB63" i="35"/>
  <c r="DB84" i="35"/>
  <c r="DB123" i="35"/>
  <c r="DB61" i="35"/>
  <c r="DB91" i="35"/>
  <c r="DB32" i="35"/>
  <c r="DB21" i="35"/>
  <c r="DB83" i="35"/>
  <c r="DB44" i="35"/>
  <c r="DB87" i="35"/>
  <c r="DB26" i="35"/>
  <c r="DB75" i="35"/>
  <c r="DB35" i="35"/>
  <c r="DB119" i="35"/>
  <c r="DB49" i="35"/>
  <c r="DB41" i="35"/>
  <c r="DB103" i="35"/>
  <c r="DB51" i="35"/>
  <c r="DB30" i="35"/>
  <c r="DB98" i="35"/>
  <c r="DB68" i="35"/>
  <c r="DB25" i="35"/>
  <c r="DB122" i="35"/>
  <c r="DB105" i="35"/>
  <c r="DB65" i="35"/>
  <c r="DB79" i="35"/>
  <c r="DB113" i="35"/>
  <c r="DB47" i="35"/>
  <c r="DB74" i="35"/>
  <c r="DB89" i="35"/>
  <c r="DB85" i="35"/>
  <c r="DB94" i="35"/>
  <c r="DB97" i="35"/>
  <c r="DB71" i="35"/>
  <c r="DB9" i="35"/>
  <c r="DB115" i="35"/>
  <c r="DB13" i="35"/>
  <c r="DB129" i="35"/>
  <c r="DB126" i="35"/>
  <c r="DB125" i="35"/>
  <c r="DB53" i="35"/>
  <c r="DB112" i="35"/>
  <c r="DB104" i="35"/>
  <c r="DB110" i="35"/>
  <c r="DB101" i="35"/>
  <c r="DB116" i="35"/>
  <c r="DB73" i="35"/>
  <c r="DB95" i="35"/>
  <c r="DB88" i="35"/>
  <c r="DB128" i="35"/>
  <c r="DB107" i="35"/>
  <c r="DB22" i="35"/>
  <c r="DB54" i="35"/>
  <c r="DB96" i="35"/>
  <c r="DB70" i="35"/>
  <c r="DB16" i="35"/>
  <c r="DB117" i="35"/>
  <c r="DB39" i="35"/>
  <c r="DB106" i="35"/>
  <c r="DB121" i="35"/>
  <c r="DB20" i="35"/>
  <c r="DB28" i="35"/>
  <c r="DB99" i="35"/>
  <c r="DB81" i="35"/>
  <c r="DB40" i="35"/>
  <c r="DB114" i="35"/>
  <c r="AS70" i="35"/>
  <c r="AS94" i="35"/>
  <c r="AU85" i="35"/>
  <c r="AW85" i="35" s="1"/>
  <c r="AS79" i="35"/>
  <c r="AV12" i="35"/>
  <c r="DP12" i="35" s="1"/>
  <c r="AU74" i="35"/>
  <c r="AW74" i="35" s="1"/>
  <c r="AU11" i="35"/>
  <c r="AW11" i="35" s="1"/>
  <c r="AS13" i="35"/>
  <c r="AS9" i="35"/>
  <c r="AS85" i="35"/>
  <c r="AU25" i="35"/>
  <c r="AW25" i="35" s="1"/>
  <c r="AV59" i="35"/>
  <c r="DP59" i="35" s="1"/>
  <c r="AU97" i="35"/>
  <c r="AW97" i="35" s="1"/>
  <c r="AS47" i="35"/>
  <c r="AU91" i="35"/>
  <c r="AW91" i="35" s="1"/>
  <c r="AS97" i="35"/>
  <c r="AS115" i="35"/>
  <c r="AS113" i="35"/>
  <c r="AS39" i="35"/>
  <c r="AU39" i="35"/>
  <c r="AW39" i="35" s="1"/>
  <c r="AU89" i="35"/>
  <c r="AW89" i="35" s="1"/>
  <c r="AS71" i="35"/>
  <c r="AU23" i="35"/>
  <c r="AW23" i="35" s="1"/>
  <c r="AU19" i="35"/>
  <c r="AW19" i="35" s="1"/>
  <c r="AS37" i="35"/>
  <c r="AS23" i="35"/>
  <c r="AU37" i="35"/>
  <c r="AW37" i="35" s="1"/>
  <c r="DB8" i="35"/>
  <c r="AS91" i="35"/>
  <c r="AU18" i="35"/>
  <c r="AW18" i="35" s="1"/>
  <c r="AS19" i="35"/>
  <c r="AU53" i="35"/>
  <c r="AW53" i="35" s="1"/>
  <c r="AU70" i="35"/>
  <c r="AW70" i="35" s="1"/>
  <c r="AS128" i="35"/>
  <c r="AU22" i="35"/>
  <c r="AW22" i="35" s="1"/>
  <c r="AS126" i="35"/>
  <c r="AU125" i="35"/>
  <c r="AW125" i="35" s="1"/>
  <c r="AU112" i="35"/>
  <c r="AW112" i="35" s="1"/>
  <c r="AU114" i="35"/>
  <c r="AW114" i="35" s="1"/>
  <c r="AS99" i="35"/>
  <c r="AU121" i="35"/>
  <c r="AW121" i="35" s="1"/>
  <c r="AS114" i="35"/>
  <c r="AS74" i="35"/>
  <c r="AU94" i="35"/>
  <c r="AW94" i="35" s="1"/>
  <c r="AU103" i="35"/>
  <c r="AW103" i="35" s="1"/>
  <c r="AS95" i="35"/>
  <c r="AS75" i="35"/>
  <c r="AU107" i="35"/>
  <c r="AW107" i="35" s="1"/>
  <c r="AV10" i="35"/>
  <c r="DP10" i="35" s="1"/>
  <c r="AU75" i="35"/>
  <c r="AW75" i="35" s="1"/>
  <c r="AS125" i="35"/>
  <c r="AS89" i="35"/>
  <c r="AU115" i="35"/>
  <c r="AW115" i="35" s="1"/>
  <c r="AU113" i="35"/>
  <c r="AW113" i="35" s="1"/>
  <c r="AU71" i="35"/>
  <c r="AW71" i="35" s="1"/>
  <c r="AV31" i="35"/>
  <c r="DO31" i="35" s="1"/>
  <c r="DN31" i="35" s="1"/>
  <c r="AU79" i="35"/>
  <c r="AW79" i="35" s="1"/>
  <c r="AU13" i="35"/>
  <c r="AW13" i="35" s="1"/>
  <c r="AU47" i="35"/>
  <c r="AW47" i="35" s="1"/>
  <c r="AS25" i="35"/>
  <c r="AU9" i="35"/>
  <c r="AW9" i="35" s="1"/>
  <c r="AU126" i="35"/>
  <c r="AV126" i="35" s="1"/>
  <c r="AS53" i="35"/>
  <c r="AS108" i="35"/>
  <c r="AS93" i="35"/>
  <c r="AU67" i="35"/>
  <c r="AW67" i="35" s="1"/>
  <c r="AU127" i="35"/>
  <c r="AW127" i="35" s="1"/>
  <c r="AS72" i="35"/>
  <c r="AS34" i="35"/>
  <c r="AS21" i="35"/>
  <c r="AS57" i="35"/>
  <c r="AU62" i="35"/>
  <c r="AW62" i="35" s="1"/>
  <c r="AS69" i="35"/>
  <c r="AU96" i="35"/>
  <c r="AW96" i="35" s="1"/>
  <c r="AS88" i="35"/>
  <c r="AS16" i="35"/>
  <c r="AU56" i="35"/>
  <c r="AW56" i="35" s="1"/>
  <c r="AS81" i="35"/>
  <c r="AU106" i="35"/>
  <c r="AW106" i="35" s="1"/>
  <c r="AS40" i="35"/>
  <c r="AU110" i="35"/>
  <c r="AW110" i="35" s="1"/>
  <c r="AU50" i="35"/>
  <c r="AW50" i="35" s="1"/>
  <c r="AS28" i="35"/>
  <c r="AS78" i="35"/>
  <c r="AU88" i="35"/>
  <c r="AW88" i="35" s="1"/>
  <c r="AU16" i="35"/>
  <c r="AW16" i="35" s="1"/>
  <c r="AU73" i="35"/>
  <c r="AW73" i="35" s="1"/>
  <c r="AU81" i="35"/>
  <c r="AW81" i="35" s="1"/>
  <c r="AU40" i="35"/>
  <c r="AW40" i="35" s="1"/>
  <c r="AS50" i="35"/>
  <c r="AS116" i="35"/>
  <c r="AS110" i="35"/>
  <c r="AU28" i="35"/>
  <c r="AW28" i="35" s="1"/>
  <c r="AS104" i="35"/>
  <c r="AS117" i="35"/>
  <c r="AS29" i="35"/>
  <c r="AU101" i="35"/>
  <c r="AW101" i="35" s="1"/>
  <c r="AS73" i="35"/>
  <c r="AU54" i="35"/>
  <c r="AW54" i="35" s="1"/>
  <c r="AU100" i="35"/>
  <c r="AW100" i="35" s="1"/>
  <c r="AS20" i="35"/>
  <c r="AS106" i="35"/>
  <c r="AU104" i="35"/>
  <c r="AW104" i="35" s="1"/>
  <c r="AU117" i="35"/>
  <c r="AW117" i="35" s="1"/>
  <c r="AU29" i="35"/>
  <c r="AW29" i="35" s="1"/>
  <c r="AS101" i="35"/>
  <c r="AU128" i="35"/>
  <c r="AW128" i="35" s="1"/>
  <c r="AS112" i="35"/>
  <c r="AS54" i="35"/>
  <c r="AS11" i="35"/>
  <c r="AU95" i="35"/>
  <c r="AW95" i="35" s="1"/>
  <c r="AS22" i="35"/>
  <c r="AU20" i="35"/>
  <c r="AW20" i="35" s="1"/>
  <c r="AS107" i="35"/>
  <c r="AU99" i="35"/>
  <c r="AW99" i="35" s="1"/>
  <c r="AU69" i="35"/>
  <c r="AW69" i="35" s="1"/>
  <c r="AS67" i="35"/>
  <c r="AS96" i="35"/>
  <c r="AU34" i="35"/>
  <c r="AW34" i="35" s="1"/>
  <c r="AS121" i="35"/>
  <c r="AS127" i="35"/>
  <c r="AU116" i="35"/>
  <c r="AW116" i="35" s="1"/>
  <c r="AU57" i="35"/>
  <c r="AW57" i="35" s="1"/>
  <c r="AU93" i="35"/>
  <c r="AW93" i="35" s="1"/>
  <c r="AS62" i="35"/>
  <c r="AS17" i="35"/>
  <c r="AS124" i="35"/>
  <c r="AU17" i="35"/>
  <c r="AW17" i="35" s="1"/>
  <c r="AU124" i="35"/>
  <c r="AW124" i="35" s="1"/>
  <c r="AU33" i="35"/>
  <c r="AW33" i="35" s="1"/>
  <c r="AU60" i="35"/>
  <c r="AW60" i="35" s="1"/>
  <c r="AS43" i="35"/>
  <c r="AU72" i="35"/>
  <c r="AW72" i="35" s="1"/>
  <c r="AU108" i="35"/>
  <c r="AW108" i="35" s="1"/>
  <c r="AS64" i="35"/>
  <c r="AS14" i="35"/>
  <c r="AU76" i="35"/>
  <c r="AW76" i="35" s="1"/>
  <c r="AU64" i="35"/>
  <c r="AW64" i="35" s="1"/>
  <c r="AU14" i="35"/>
  <c r="AW14" i="35" s="1"/>
  <c r="AS76" i="35"/>
  <c r="AU109" i="35"/>
  <c r="AW109" i="35" s="1"/>
  <c r="AU42" i="35"/>
  <c r="AW42" i="35" s="1"/>
  <c r="AS109" i="35"/>
  <c r="AS52" i="35"/>
  <c r="AS42" i="35"/>
  <c r="AS33" i="35"/>
  <c r="AU52" i="35"/>
  <c r="AW52" i="35" s="1"/>
  <c r="AS60" i="35"/>
  <c r="AS24" i="35"/>
  <c r="AU24" i="35"/>
  <c r="AW24" i="35" s="1"/>
  <c r="AS38" i="35"/>
  <c r="AS80" i="35"/>
  <c r="AU38" i="35"/>
  <c r="AW38" i="35" s="1"/>
  <c r="AU80" i="35"/>
  <c r="AW80" i="35" s="1"/>
  <c r="AU43" i="35"/>
  <c r="AW43" i="35" s="1"/>
  <c r="AS111" i="35"/>
  <c r="AU111" i="35"/>
  <c r="AW111" i="35" s="1"/>
  <c r="AU77" i="35"/>
  <c r="AW77" i="35" s="1"/>
  <c r="AS46" i="35"/>
  <c r="AS55" i="35"/>
  <c r="AS77" i="35"/>
  <c r="AU46" i="35"/>
  <c r="AW46" i="35" s="1"/>
  <c r="AU55" i="35"/>
  <c r="AW55" i="35" s="1"/>
  <c r="AU78" i="35"/>
  <c r="AW78" i="35" s="1"/>
  <c r="AS100" i="35"/>
  <c r="AS92" i="35"/>
  <c r="AS129" i="35"/>
  <c r="AU92" i="35"/>
  <c r="AW92" i="35" s="1"/>
  <c r="AU129" i="35"/>
  <c r="AW129" i="35" s="1"/>
  <c r="AS118" i="35"/>
  <c r="AS122" i="35"/>
  <c r="AS123" i="35"/>
  <c r="AU63" i="35"/>
  <c r="AW63" i="35" s="1"/>
  <c r="AU8" i="35"/>
  <c r="AW8" i="35" s="1"/>
  <c r="AS105" i="35"/>
  <c r="AU122" i="35"/>
  <c r="AV122" i="35" s="1"/>
  <c r="AS18" i="35"/>
  <c r="AU65" i="35"/>
  <c r="AW65" i="35" s="1"/>
  <c r="AS90" i="35"/>
  <c r="AU61" i="35"/>
  <c r="AW61" i="35" s="1"/>
  <c r="AS65" i="35"/>
  <c r="AU90" i="35"/>
  <c r="AW90" i="35" s="1"/>
  <c r="AS61" i="35"/>
  <c r="AS86" i="35"/>
  <c r="AS48" i="35"/>
  <c r="AS84" i="35"/>
  <c r="AU86" i="35"/>
  <c r="AW86" i="35" s="1"/>
  <c r="AU48" i="35"/>
  <c r="AW48" i="35" s="1"/>
  <c r="AU84" i="35"/>
  <c r="AW84" i="35" s="1"/>
  <c r="AU123" i="35"/>
  <c r="AW123" i="35" s="1"/>
  <c r="AS63" i="35"/>
  <c r="AU105" i="35"/>
  <c r="AW105" i="35" s="1"/>
  <c r="AT147" i="35"/>
  <c r="AT160" i="35"/>
  <c r="AT132" i="35"/>
  <c r="AT139" i="35"/>
  <c r="AT146" i="35"/>
  <c r="AT133" i="35"/>
  <c r="AT148" i="35"/>
  <c r="AT140" i="35"/>
  <c r="AT150" i="35"/>
  <c r="AT142" i="35"/>
  <c r="AT156" i="35"/>
  <c r="AT144" i="35"/>
  <c r="AT136" i="35"/>
  <c r="AT138" i="35"/>
  <c r="AT152" i="35"/>
  <c r="AT153" i="35"/>
  <c r="AT154" i="35"/>
  <c r="AT157" i="35"/>
  <c r="AT131" i="35"/>
  <c r="AT130" i="35"/>
  <c r="AU87" i="35"/>
  <c r="AW87" i="35" s="1"/>
  <c r="AU119" i="35"/>
  <c r="AW119" i="35" s="1"/>
  <c r="AS102" i="35"/>
  <c r="AU21" i="35"/>
  <c r="AW21" i="35" s="1"/>
  <c r="AU118" i="35"/>
  <c r="AW118" i="35" s="1"/>
  <c r="AS32" i="35"/>
  <c r="AU36" i="35"/>
  <c r="AW36" i="35" s="1"/>
  <c r="AU27" i="35"/>
  <c r="AW27" i="35" s="1"/>
  <c r="AS87" i="35"/>
  <c r="AS45" i="35"/>
  <c r="AS119" i="35"/>
  <c r="AU102" i="35"/>
  <c r="AW102" i="35" s="1"/>
  <c r="AS49" i="35"/>
  <c r="AS82" i="35"/>
  <c r="AU41" i="35"/>
  <c r="AW41" i="35" s="1"/>
  <c r="AT151" i="35"/>
  <c r="AU32" i="35"/>
  <c r="AV32" i="35" s="1"/>
  <c r="AS58" i="35"/>
  <c r="AS36" i="35"/>
  <c r="AS27" i="35"/>
  <c r="AU45" i="35"/>
  <c r="AW45" i="35" s="1"/>
  <c r="AU49" i="35"/>
  <c r="AW49" i="35" s="1"/>
  <c r="AU82" i="35"/>
  <c r="AW82" i="35" s="1"/>
  <c r="AS41" i="35"/>
  <c r="AT143" i="35"/>
  <c r="AU58" i="35"/>
  <c r="AW58" i="35" s="1"/>
  <c r="AS30" i="35"/>
  <c r="AU68" i="35"/>
  <c r="AW68" i="35" s="1"/>
  <c r="AS98" i="35"/>
  <c r="AS120" i="35"/>
  <c r="AU30" i="35"/>
  <c r="AW30" i="35" s="1"/>
  <c r="AS68" i="35"/>
  <c r="AS15" i="35"/>
  <c r="AU66" i="35"/>
  <c r="AW66" i="35" s="1"/>
  <c r="AU98" i="35"/>
  <c r="AW98" i="35" s="1"/>
  <c r="AS83" i="35"/>
  <c r="AT155" i="35"/>
  <c r="AT134" i="35"/>
  <c r="AT158" i="35"/>
  <c r="AT137" i="35"/>
  <c r="AT135" i="35"/>
  <c r="AT141" i="35"/>
  <c r="AT149" i="35"/>
  <c r="AT145" i="35"/>
  <c r="AU120" i="35"/>
  <c r="AW120" i="35" s="1"/>
  <c r="AS51" i="35"/>
  <c r="AS35" i="35"/>
  <c r="AU15" i="35"/>
  <c r="AW15" i="35" s="1"/>
  <c r="AS66" i="35"/>
  <c r="AU83" i="35"/>
  <c r="AW83" i="35" s="1"/>
  <c r="AS26" i="35"/>
  <c r="AS44" i="35"/>
  <c r="AT159" i="35"/>
  <c r="AU51" i="35"/>
  <c r="AW51" i="35" s="1"/>
  <c r="AU35" i="35"/>
  <c r="AW35" i="35" s="1"/>
  <c r="AS56" i="35"/>
  <c r="AS103" i="35"/>
  <c r="AU26" i="35"/>
  <c r="AW26" i="35" s="1"/>
  <c r="AU44" i="35"/>
  <c r="AV44" i="35" s="1"/>
  <c r="DP44" i="35" s="1"/>
  <c r="AL181" i="35"/>
  <c r="AL189" i="35"/>
  <c r="AL165" i="35"/>
  <c r="AL173" i="35"/>
  <c r="AL190" i="35"/>
  <c r="AL167" i="35"/>
  <c r="AL172" i="35"/>
  <c r="AL164" i="35"/>
  <c r="AL182" i="35"/>
  <c r="AL163" i="35"/>
  <c r="AL180" i="35"/>
  <c r="AL185" i="35"/>
  <c r="AL184" i="35"/>
  <c r="AL176" i="35"/>
  <c r="AL179" i="35"/>
  <c r="AL166" i="35"/>
  <c r="AL177" i="35"/>
  <c r="AL175" i="35"/>
  <c r="AL183" i="35"/>
  <c r="AL169" i="35"/>
  <c r="AL188" i="35"/>
  <c r="AL178" i="35"/>
  <c r="AL187" i="35"/>
  <c r="AL170" i="35"/>
  <c r="AL191" i="35"/>
  <c r="AL171" i="35"/>
  <c r="AL174" i="35"/>
  <c r="AL168" i="35"/>
  <c r="AL186" i="35"/>
  <c r="AE21" i="37"/>
  <c r="B44" i="37"/>
  <c r="AH208" i="35"/>
  <c r="AI208" i="35" s="1"/>
  <c r="AH197" i="35"/>
  <c r="AI197" i="35" s="1"/>
  <c r="AH219" i="35"/>
  <c r="AI219" i="35" s="1"/>
  <c r="AH217" i="35"/>
  <c r="AI217" i="35" s="1"/>
  <c r="AH194" i="35"/>
  <c r="AI194" i="35" s="1"/>
  <c r="AH221" i="35"/>
  <c r="AI221" i="35" s="1"/>
  <c r="AH195" i="35"/>
  <c r="AI195" i="35" s="1"/>
  <c r="AH200" i="35"/>
  <c r="AI200" i="35" s="1"/>
  <c r="AH198" i="35"/>
  <c r="AI198" i="35" s="1"/>
  <c r="AH215" i="35"/>
  <c r="AI215" i="35" s="1"/>
  <c r="AH201" i="35"/>
  <c r="AI201" i="35" s="1"/>
  <c r="AH210" i="35"/>
  <c r="AI210" i="35" s="1"/>
  <c r="AH218" i="35"/>
  <c r="AI218" i="35" s="1"/>
  <c r="AH220" i="35"/>
  <c r="AI220" i="35" s="1"/>
  <c r="AJ192" i="35"/>
  <c r="AK192" i="35" s="1"/>
  <c r="AH212" i="35"/>
  <c r="AI212" i="35" s="1"/>
  <c r="AH207" i="35"/>
  <c r="AI207" i="35" s="1"/>
  <c r="AH211" i="35"/>
  <c r="AI211" i="35" s="1"/>
  <c r="AH196" i="35"/>
  <c r="AI196" i="35" s="1"/>
  <c r="AH199" i="35"/>
  <c r="AI199" i="35" s="1"/>
  <c r="AH213" i="35"/>
  <c r="AI213" i="35" s="1"/>
  <c r="AH222" i="35"/>
  <c r="AI222" i="35" s="1"/>
  <c r="AH193" i="35"/>
  <c r="AI193" i="35" s="1"/>
  <c r="AH206" i="35"/>
  <c r="AI206" i="35" s="1"/>
  <c r="Y248" i="35"/>
  <c r="Y253" i="35"/>
  <c r="Y251" i="35"/>
  <c r="Y246" i="35"/>
  <c r="Y244" i="35"/>
  <c r="Y242" i="35"/>
  <c r="Y240" i="35"/>
  <c r="Y249" i="35"/>
  <c r="Y254" i="35"/>
  <c r="AD254" i="35" s="1"/>
  <c r="Y236" i="35"/>
  <c r="Y252" i="35"/>
  <c r="Y247" i="35"/>
  <c r="Y245" i="35"/>
  <c r="Y243" i="35"/>
  <c r="Y241" i="35"/>
  <c r="Y239" i="35"/>
  <c r="Y250" i="35"/>
  <c r="Y235" i="35"/>
  <c r="Y233" i="35"/>
  <c r="AD233" i="35" s="1"/>
  <c r="AE233" i="35" s="1"/>
  <c r="AF233" i="35" s="1"/>
  <c r="Y231" i="35"/>
  <c r="Y229" i="35"/>
  <c r="Y227" i="35"/>
  <c r="Y225" i="35"/>
  <c r="Y234" i="35"/>
  <c r="Y232" i="35"/>
  <c r="Y230" i="35"/>
  <c r="Y228" i="35"/>
  <c r="Y226" i="35"/>
  <c r="Y237" i="35"/>
  <c r="Y238" i="35"/>
  <c r="AE224" i="35"/>
  <c r="AJ162" i="35"/>
  <c r="AK162" i="35" s="1"/>
  <c r="AH209" i="35"/>
  <c r="AI209" i="35" s="1"/>
  <c r="AH216" i="35"/>
  <c r="AI216" i="35" s="1"/>
  <c r="AH203" i="35"/>
  <c r="AI203" i="35" s="1"/>
  <c r="AH204" i="35"/>
  <c r="AI204" i="35" s="1"/>
  <c r="AH202" i="35"/>
  <c r="AI202" i="35" s="1"/>
  <c r="AH214" i="35"/>
  <c r="AI214" i="35" s="1"/>
  <c r="AH205" i="35"/>
  <c r="AI205" i="35" s="1"/>
  <c r="AF223" i="35"/>
  <c r="AG223" i="35" s="1"/>
  <c r="V28" i="22"/>
  <c r="V25" i="22"/>
  <c r="V55" i="22"/>
  <c r="V74" i="22"/>
  <c r="V98" i="22"/>
  <c r="X98" i="22" s="1"/>
  <c r="V42" i="22"/>
  <c r="V137" i="22"/>
  <c r="V52" i="22"/>
  <c r="V106" i="22"/>
  <c r="V132" i="22"/>
  <c r="V148" i="22"/>
  <c r="V165" i="22"/>
  <c r="V179" i="22"/>
  <c r="V43" i="22"/>
  <c r="V186" i="22"/>
  <c r="V208" i="22"/>
  <c r="V245" i="22"/>
  <c r="V248" i="22"/>
  <c r="V254" i="22"/>
  <c r="V226" i="22"/>
  <c r="V224" i="22"/>
  <c r="S10" i="22"/>
  <c r="V10" i="22" s="1"/>
  <c r="X10" i="22" s="1"/>
  <c r="Z10" i="22" s="1"/>
  <c r="V198" i="22"/>
  <c r="V272" i="22"/>
  <c r="V157" i="22"/>
  <c r="V27" i="22"/>
  <c r="V154" i="22"/>
  <c r="V131" i="22"/>
  <c r="V87" i="22"/>
  <c r="V134" i="22"/>
  <c r="V49" i="22"/>
  <c r="V123" i="22"/>
  <c r="V82" i="22"/>
  <c r="V18" i="22"/>
  <c r="V65" i="22"/>
  <c r="V83" i="22"/>
  <c r="V262" i="22"/>
  <c r="V177" i="22"/>
  <c r="V191" i="22"/>
  <c r="V264" i="22"/>
  <c r="V242" i="22"/>
  <c r="V185" i="22"/>
  <c r="V178" i="22"/>
  <c r="S189" i="22"/>
  <c r="T189" i="22"/>
  <c r="V84" i="22"/>
  <c r="V92" i="22"/>
  <c r="V56" i="22"/>
  <c r="X56" i="22" s="1"/>
  <c r="V107" i="22"/>
  <c r="V122" i="22"/>
  <c r="V203" i="22"/>
  <c r="V215" i="22"/>
  <c r="V216" i="22"/>
  <c r="V222" i="22"/>
  <c r="V221" i="22"/>
  <c r="V231" i="22"/>
  <c r="V246" i="22"/>
  <c r="V239" i="22"/>
  <c r="V250" i="22"/>
  <c r="V271" i="22"/>
  <c r="V195" i="22"/>
  <c r="V252" i="22"/>
  <c r="V196" i="22"/>
  <c r="V40" i="22"/>
  <c r="V281" i="22"/>
  <c r="V280" i="22"/>
  <c r="V287" i="22"/>
  <c r="V209" i="22"/>
  <c r="V266" i="22"/>
  <c r="V86" i="22"/>
  <c r="V115" i="22"/>
  <c r="V78" i="22"/>
  <c r="V89" i="22"/>
  <c r="V135" i="22"/>
  <c r="V38" i="22"/>
  <c r="V144" i="22"/>
  <c r="V61" i="22"/>
  <c r="V94" i="22"/>
  <c r="V145" i="22"/>
  <c r="V126" i="22"/>
  <c r="V81" i="22"/>
  <c r="V101" i="22"/>
  <c r="V113" i="22"/>
  <c r="V102" i="22"/>
  <c r="V140" i="22"/>
  <c r="V80" i="22"/>
  <c r="V164" i="22"/>
  <c r="V167" i="22"/>
  <c r="V169" i="22"/>
  <c r="V286" i="22"/>
  <c r="V51" i="22"/>
  <c r="V58" i="22"/>
  <c r="V111" i="22"/>
  <c r="V47" i="22"/>
  <c r="V143" i="22"/>
  <c r="V152" i="22"/>
  <c r="X152" i="22" s="1"/>
  <c r="V168" i="22"/>
  <c r="V187" i="22"/>
  <c r="V275" i="22"/>
  <c r="V206" i="22"/>
  <c r="V227" i="22"/>
  <c r="V238" i="22"/>
  <c r="V60" i="22"/>
  <c r="V19" i="22"/>
  <c r="V211" i="22"/>
  <c r="V225" i="22"/>
  <c r="V257" i="22"/>
  <c r="V269" i="22"/>
  <c r="V204" i="22"/>
  <c r="V218" i="22"/>
  <c r="V219" i="22"/>
  <c r="V223" i="22"/>
  <c r="V243" i="22"/>
  <c r="V251" i="22"/>
  <c r="V258" i="22"/>
  <c r="V270" i="22"/>
  <c r="V263" i="22"/>
  <c r="V277" i="22"/>
  <c r="V279" i="22"/>
  <c r="V105" i="22"/>
  <c r="V76" i="22"/>
  <c r="V35" i="22"/>
  <c r="V26" i="22"/>
  <c r="V119" i="22"/>
  <c r="V67" i="22"/>
  <c r="V147" i="22"/>
  <c r="V155" i="22"/>
  <c r="V210" i="22"/>
  <c r="V103" i="22"/>
  <c r="V41" i="22"/>
  <c r="V23" i="22"/>
  <c r="V17" i="22"/>
  <c r="X17" i="22" s="1"/>
  <c r="V13" i="22"/>
  <c r="V95" i="22"/>
  <c r="V29" i="22"/>
  <c r="V50" i="22"/>
  <c r="V79" i="22"/>
  <c r="V114" i="22"/>
  <c r="X114" i="22" s="1"/>
  <c r="V24" i="22"/>
  <c r="X24" i="22" s="1"/>
  <c r="V11" i="22"/>
  <c r="V53" i="22"/>
  <c r="V21" i="22"/>
  <c r="V139" i="22"/>
  <c r="V54" i="22"/>
  <c r="V30" i="22"/>
  <c r="V117" i="22"/>
  <c r="V90" i="22"/>
  <c r="V109" i="22"/>
  <c r="V37" i="22"/>
  <c r="V151" i="22"/>
  <c r="X151" i="22" s="1"/>
  <c r="V163" i="22"/>
  <c r="V158" i="22"/>
  <c r="V171" i="22"/>
  <c r="V176" i="22"/>
  <c r="V184" i="22"/>
  <c r="V205" i="22"/>
  <c r="V230" i="22"/>
  <c r="V240" i="22"/>
  <c r="V241" i="22"/>
  <c r="V249" i="22"/>
  <c r="V253" i="22"/>
  <c r="V265" i="22"/>
  <c r="V278" i="22"/>
  <c r="V285" i="22"/>
  <c r="V69" i="22"/>
  <c r="V32" i="22"/>
  <c r="V57" i="22"/>
  <c r="V77" i="22"/>
  <c r="V121" i="22"/>
  <c r="V104" i="22"/>
  <c r="V138" i="22"/>
  <c r="V15" i="22"/>
  <c r="V34" i="22"/>
  <c r="X34" i="22" s="1"/>
  <c r="Z34" i="22" s="1"/>
  <c r="V91" i="22"/>
  <c r="V70" i="22"/>
  <c r="V129" i="22"/>
  <c r="V62" i="22"/>
  <c r="V118" i="22"/>
  <c r="V160" i="22"/>
  <c r="V156" i="22"/>
  <c r="V172" i="22"/>
  <c r="V190" i="22"/>
  <c r="V214" i="22"/>
  <c r="V233" i="22"/>
  <c r="V48" i="22"/>
  <c r="V99" i="22"/>
  <c r="V64" i="22"/>
  <c r="V112" i="22"/>
  <c r="V141" i="22"/>
  <c r="V97" i="22"/>
  <c r="V136" i="22"/>
  <c r="V125" i="22"/>
  <c r="V59" i="22"/>
  <c r="V110" i="22"/>
  <c r="V73" i="22"/>
  <c r="V75" i="22"/>
  <c r="V149" i="22"/>
  <c r="V161" i="22"/>
  <c r="V170" i="22"/>
  <c r="V192" i="22"/>
  <c r="V182" i="22"/>
  <c r="V260" i="22"/>
  <c r="T284" i="22"/>
  <c r="S284" i="22"/>
  <c r="S276" i="22"/>
  <c r="T276" i="22"/>
  <c r="S273" i="22"/>
  <c r="T273" i="22"/>
  <c r="S267" i="22"/>
  <c r="T267" i="22"/>
  <c r="T268" i="22"/>
  <c r="S268" i="22"/>
  <c r="S259" i="22"/>
  <c r="T259" i="22"/>
  <c r="T235" i="22"/>
  <c r="S235" i="22"/>
  <c r="S236" i="22"/>
  <c r="T236" i="22"/>
  <c r="T237" i="22"/>
  <c r="S237" i="22"/>
  <c r="T244" i="22"/>
  <c r="S244" i="22"/>
  <c r="T232" i="22"/>
  <c r="S232" i="22"/>
  <c r="T213" i="22"/>
  <c r="S213" i="22"/>
  <c r="T212" i="22"/>
  <c r="S212" i="22"/>
  <c r="T217" i="22"/>
  <c r="S217" i="22"/>
  <c r="T197" i="22"/>
  <c r="S197" i="22"/>
  <c r="S194" i="22"/>
  <c r="T194" i="22"/>
  <c r="T199" i="22"/>
  <c r="S199" i="22"/>
  <c r="S200" i="22"/>
  <c r="T200" i="22"/>
  <c r="S188" i="22"/>
  <c r="T188" i="22"/>
  <c r="T183" i="22"/>
  <c r="S183" i="22"/>
  <c r="T181" i="22"/>
  <c r="S181" i="22"/>
  <c r="S173" i="22"/>
  <c r="T173" i="22"/>
  <c r="T159" i="22"/>
  <c r="S159" i="22"/>
  <c r="T162" i="22"/>
  <c r="S162" i="22"/>
  <c r="T150" i="22"/>
  <c r="S150" i="22"/>
  <c r="T93" i="22"/>
  <c r="S93" i="22"/>
  <c r="S44" i="22"/>
  <c r="T44" i="22"/>
  <c r="T133" i="22"/>
  <c r="S133" i="22"/>
  <c r="T72" i="22"/>
  <c r="S72" i="22"/>
  <c r="T46" i="22"/>
  <c r="S46" i="22"/>
  <c r="T22" i="22"/>
  <c r="S22" i="22"/>
  <c r="T16" i="22"/>
  <c r="S16" i="22"/>
  <c r="S66" i="22"/>
  <c r="T66" i="22"/>
  <c r="S12" i="22"/>
  <c r="T12" i="22"/>
  <c r="T88" i="22"/>
  <c r="S88" i="22"/>
  <c r="T128" i="22"/>
  <c r="S128" i="22"/>
  <c r="T71" i="22"/>
  <c r="S71" i="22"/>
  <c r="S100" i="22"/>
  <c r="T100" i="22"/>
  <c r="S130" i="22"/>
  <c r="T130" i="22"/>
  <c r="T85" i="22"/>
  <c r="S85" i="22"/>
  <c r="S36" i="22"/>
  <c r="T36" i="22"/>
  <c r="T33" i="22"/>
  <c r="S33" i="22"/>
  <c r="T142" i="22"/>
  <c r="S142" i="22"/>
  <c r="S39" i="22"/>
  <c r="T39" i="22"/>
  <c r="S31" i="22"/>
  <c r="T31" i="22"/>
  <c r="S116" i="22"/>
  <c r="T116" i="22"/>
  <c r="T120" i="22"/>
  <c r="S120" i="22"/>
  <c r="S108" i="22"/>
  <c r="T108" i="22"/>
  <c r="S127" i="22"/>
  <c r="T127" i="22"/>
  <c r="S63" i="22"/>
  <c r="T63" i="22"/>
  <c r="T96" i="22"/>
  <c r="S96" i="22"/>
  <c r="S20" i="22"/>
  <c r="T20" i="22"/>
  <c r="T45" i="22"/>
  <c r="S45" i="22"/>
  <c r="S68" i="22"/>
  <c r="T68" i="22"/>
  <c r="T14" i="22"/>
  <c r="S14" i="22"/>
  <c r="X261" i="22"/>
  <c r="Z124" i="22"/>
  <c r="X166" i="22"/>
  <c r="Z166" i="22" s="1"/>
  <c r="X146" i="22"/>
  <c r="Z146" i="22" s="1"/>
  <c r="G62" i="10"/>
  <c r="G60" i="10"/>
  <c r="G58" i="10"/>
  <c r="G56" i="10"/>
  <c r="G54" i="10"/>
  <c r="G52" i="10"/>
  <c r="D62" i="10"/>
  <c r="D60" i="10"/>
  <c r="D58" i="10"/>
  <c r="D56" i="10"/>
  <c r="D54" i="10"/>
  <c r="D52" i="10"/>
  <c r="B62" i="10"/>
  <c r="B60" i="10"/>
  <c r="B58" i="10"/>
  <c r="B56" i="10"/>
  <c r="B54" i="10"/>
  <c r="B52" i="10"/>
  <c r="AZ59" i="35" l="1"/>
  <c r="AZ31" i="35"/>
  <c r="AZ10" i="35"/>
  <c r="AZ12" i="35"/>
  <c r="AX30" i="35"/>
  <c r="AX82" i="35"/>
  <c r="AX36" i="35"/>
  <c r="AX14" i="35"/>
  <c r="AX128" i="35"/>
  <c r="AX22" i="35"/>
  <c r="AX37" i="35"/>
  <c r="AX85" i="35"/>
  <c r="AX90" i="35"/>
  <c r="AX28" i="35"/>
  <c r="AX9" i="35"/>
  <c r="AX80" i="35"/>
  <c r="AX64" i="35"/>
  <c r="AX33" i="35"/>
  <c r="AX50" i="35"/>
  <c r="AX96" i="35"/>
  <c r="AX67" i="35"/>
  <c r="AX13" i="35"/>
  <c r="AX26" i="35"/>
  <c r="AX66" i="35"/>
  <c r="AX112" i="35"/>
  <c r="AX72" i="35"/>
  <c r="AX69" i="35"/>
  <c r="AX45" i="35"/>
  <c r="AX20" i="35"/>
  <c r="AX29" i="35"/>
  <c r="AX40" i="35"/>
  <c r="AX48" i="35"/>
  <c r="AX21" i="35"/>
  <c r="AX92" i="35"/>
  <c r="AX53" i="35"/>
  <c r="AX77" i="35"/>
  <c r="AX18" i="35"/>
  <c r="AX84" i="35"/>
  <c r="AX109" i="35"/>
  <c r="AX56" i="35"/>
  <c r="AX115" i="35"/>
  <c r="AX125" i="35"/>
  <c r="AX15" i="35"/>
  <c r="AX61" i="35"/>
  <c r="AX93" i="35"/>
  <c r="AX98" i="35"/>
  <c r="AX34" i="35"/>
  <c r="AX106" i="35"/>
  <c r="AX114" i="35"/>
  <c r="AX23" i="35"/>
  <c r="AX11" i="35"/>
  <c r="AO171" i="35"/>
  <c r="AP171" i="35" s="1"/>
  <c r="AQ171" i="35" s="1"/>
  <c r="AO175" i="35"/>
  <c r="AP175" i="35" s="1"/>
  <c r="AQ175" i="35" s="1"/>
  <c r="AO163" i="35"/>
  <c r="AP163" i="35" s="1"/>
  <c r="AQ163" i="35" s="1"/>
  <c r="AO189" i="35"/>
  <c r="AP189" i="35" s="1"/>
  <c r="AQ189" i="35" s="1"/>
  <c r="AO191" i="35"/>
  <c r="AP191" i="35" s="1"/>
  <c r="AQ191" i="35" s="1"/>
  <c r="AO177" i="35"/>
  <c r="AP177" i="35" s="1"/>
  <c r="AQ177" i="35" s="1"/>
  <c r="AO182" i="35"/>
  <c r="AP182" i="35" s="1"/>
  <c r="AQ182" i="35" s="1"/>
  <c r="AO181" i="35"/>
  <c r="AP181" i="35" s="1"/>
  <c r="AQ181" i="35" s="1"/>
  <c r="AO170" i="35"/>
  <c r="AP170" i="35" s="1"/>
  <c r="AQ170" i="35" s="1"/>
  <c r="AO166" i="35"/>
  <c r="AP166" i="35" s="1"/>
  <c r="AQ166" i="35" s="1"/>
  <c r="AO164" i="35"/>
  <c r="AP164" i="35" s="1"/>
  <c r="AQ164" i="35" s="1"/>
  <c r="AO187" i="35"/>
  <c r="AP187" i="35" s="1"/>
  <c r="AQ187" i="35" s="1"/>
  <c r="AO179" i="35"/>
  <c r="AP179" i="35" s="1"/>
  <c r="AQ179" i="35" s="1"/>
  <c r="AO172" i="35"/>
  <c r="AP172" i="35" s="1"/>
  <c r="AQ172" i="35" s="1"/>
  <c r="AO178" i="35"/>
  <c r="AP178" i="35" s="1"/>
  <c r="AQ178" i="35" s="1"/>
  <c r="AO176" i="35"/>
  <c r="AP176" i="35" s="1"/>
  <c r="AQ176" i="35" s="1"/>
  <c r="AO167" i="35"/>
  <c r="AP167" i="35" s="1"/>
  <c r="AQ167" i="35" s="1"/>
  <c r="AO186" i="35"/>
  <c r="AP186" i="35" s="1"/>
  <c r="AQ186" i="35" s="1"/>
  <c r="AO188" i="35"/>
  <c r="AP188" i="35" s="1"/>
  <c r="AQ188" i="35" s="1"/>
  <c r="AO184" i="35"/>
  <c r="AP184" i="35" s="1"/>
  <c r="AQ184" i="35" s="1"/>
  <c r="AO190" i="35"/>
  <c r="AP190" i="35" s="1"/>
  <c r="AQ190" i="35" s="1"/>
  <c r="AO168" i="35"/>
  <c r="AP168" i="35" s="1"/>
  <c r="AQ168" i="35" s="1"/>
  <c r="AO169" i="35"/>
  <c r="AP169" i="35" s="1"/>
  <c r="AQ169" i="35" s="1"/>
  <c r="AO185" i="35"/>
  <c r="AP185" i="35" s="1"/>
  <c r="AQ185" i="35" s="1"/>
  <c r="AO173" i="35"/>
  <c r="AP173" i="35" s="1"/>
  <c r="AQ173" i="35" s="1"/>
  <c r="AO174" i="35"/>
  <c r="AP174" i="35" s="1"/>
  <c r="AQ174" i="35" s="1"/>
  <c r="AO183" i="35"/>
  <c r="AP183" i="35" s="1"/>
  <c r="AQ183" i="35" s="1"/>
  <c r="AO180" i="35"/>
  <c r="AP180" i="35" s="1"/>
  <c r="AQ180" i="35" s="1"/>
  <c r="AO165" i="35"/>
  <c r="AP165" i="35" s="1"/>
  <c r="AQ165" i="35" s="1"/>
  <c r="AX58" i="35"/>
  <c r="AZ58" i="35" s="1"/>
  <c r="AX95" i="35"/>
  <c r="AX104" i="35"/>
  <c r="AX73" i="35"/>
  <c r="AX71" i="35"/>
  <c r="AX91" i="35"/>
  <c r="AX119" i="35"/>
  <c r="AX123" i="35"/>
  <c r="AX8" i="35"/>
  <c r="AX24" i="35"/>
  <c r="AX42" i="35"/>
  <c r="AX108" i="35"/>
  <c r="AZ108" i="35" s="1"/>
  <c r="AX16" i="35"/>
  <c r="AX113" i="35"/>
  <c r="AZ113" i="35" s="1"/>
  <c r="AX74" i="35"/>
  <c r="AX35" i="35"/>
  <c r="AX87" i="35"/>
  <c r="AX63" i="35"/>
  <c r="AX111" i="35"/>
  <c r="AX88" i="35"/>
  <c r="AX103" i="35"/>
  <c r="AX89" i="35"/>
  <c r="AX97" i="35"/>
  <c r="AZ97" i="35" s="1"/>
  <c r="AX51" i="35"/>
  <c r="AX27" i="35"/>
  <c r="AZ27" i="35" s="1"/>
  <c r="AX78" i="35"/>
  <c r="AX100" i="35"/>
  <c r="AX94" i="35"/>
  <c r="AX39" i="35"/>
  <c r="AZ39" i="35" s="1"/>
  <c r="AX120" i="35"/>
  <c r="AX41" i="35"/>
  <c r="AZ41" i="35" s="1"/>
  <c r="AX86" i="35"/>
  <c r="AZ86" i="35" s="1"/>
  <c r="AX55" i="35"/>
  <c r="AX43" i="35"/>
  <c r="AX52" i="35"/>
  <c r="AX60" i="35"/>
  <c r="AZ60" i="35" s="1"/>
  <c r="AX57" i="35"/>
  <c r="AX99" i="35"/>
  <c r="AZ99" i="35" s="1"/>
  <c r="AX54" i="35"/>
  <c r="AX127" i="35"/>
  <c r="AZ127" i="35" s="1"/>
  <c r="AX47" i="35"/>
  <c r="AX25" i="35"/>
  <c r="AX49" i="35"/>
  <c r="AX65" i="35"/>
  <c r="AX46" i="35"/>
  <c r="AX116" i="35"/>
  <c r="AZ116" i="35" s="1"/>
  <c r="AX75" i="35"/>
  <c r="AZ75" i="35" s="1"/>
  <c r="AX68" i="35"/>
  <c r="AX118" i="35"/>
  <c r="AZ118" i="35" s="1"/>
  <c r="AX129" i="35"/>
  <c r="AX38" i="35"/>
  <c r="AX76" i="35"/>
  <c r="AX124" i="35"/>
  <c r="AX101" i="35"/>
  <c r="AX110" i="35"/>
  <c r="AX79" i="35"/>
  <c r="AX121" i="35"/>
  <c r="AX70" i="35"/>
  <c r="AX83" i="35"/>
  <c r="AX102" i="35"/>
  <c r="AX105" i="35"/>
  <c r="AZ105" i="35" s="1"/>
  <c r="AX17" i="35"/>
  <c r="AX117" i="35"/>
  <c r="AX81" i="35"/>
  <c r="AX62" i="35"/>
  <c r="AZ62" i="35" s="1"/>
  <c r="AX107" i="35"/>
  <c r="AX19" i="35"/>
  <c r="AW44" i="35"/>
  <c r="AW126" i="35"/>
  <c r="AW122" i="35"/>
  <c r="AW32" i="35"/>
  <c r="AD238" i="35"/>
  <c r="AE238" i="35" s="1"/>
  <c r="AF238" i="35" s="1"/>
  <c r="AG238" i="35" s="1"/>
  <c r="AD227" i="35"/>
  <c r="AE227" i="35" s="1"/>
  <c r="AF227" i="35" s="1"/>
  <c r="AG227" i="35" s="1"/>
  <c r="AD243" i="35"/>
  <c r="AE243" i="35" s="1"/>
  <c r="AF243" i="35" s="1"/>
  <c r="AG243" i="35" s="1"/>
  <c r="AD242" i="35"/>
  <c r="AE242" i="35" s="1"/>
  <c r="AF242" i="35" s="1"/>
  <c r="AG242" i="35" s="1"/>
  <c r="AD249" i="35"/>
  <c r="AE249" i="35" s="1"/>
  <c r="AF249" i="35" s="1"/>
  <c r="AG249" i="35" s="1"/>
  <c r="AD237" i="35"/>
  <c r="AE237" i="35" s="1"/>
  <c r="AF237" i="35" s="1"/>
  <c r="AG237" i="35" s="1"/>
  <c r="AD229" i="35"/>
  <c r="AE229" i="35" s="1"/>
  <c r="AF229" i="35" s="1"/>
  <c r="AG229" i="35" s="1"/>
  <c r="AD245" i="35"/>
  <c r="AE245" i="35" s="1"/>
  <c r="AF245" i="35" s="1"/>
  <c r="AG245" i="35" s="1"/>
  <c r="AD244" i="35"/>
  <c r="AE244" i="35" s="1"/>
  <c r="AF244" i="35" s="1"/>
  <c r="AG244" i="35" s="1"/>
  <c r="AD247" i="35"/>
  <c r="AE247" i="35" s="1"/>
  <c r="AF247" i="35" s="1"/>
  <c r="AG247" i="35" s="1"/>
  <c r="AD228" i="35"/>
  <c r="AE228" i="35" s="1"/>
  <c r="AF228" i="35" s="1"/>
  <c r="AG228" i="35" s="1"/>
  <c r="AG233" i="35"/>
  <c r="AD252" i="35"/>
  <c r="AE252" i="35" s="1"/>
  <c r="AF252" i="35" s="1"/>
  <c r="AG252" i="35" s="1"/>
  <c r="AD251" i="35"/>
  <c r="AE251" i="35" s="1"/>
  <c r="AF251" i="35" s="1"/>
  <c r="AG251" i="35" s="1"/>
  <c r="AD231" i="35"/>
  <c r="AE231" i="35" s="1"/>
  <c r="AF231" i="35" s="1"/>
  <c r="AG231" i="35" s="1"/>
  <c r="AD246" i="35"/>
  <c r="AE246" i="35" s="1"/>
  <c r="AF246" i="35" s="1"/>
  <c r="AG246" i="35" s="1"/>
  <c r="AD230" i="35"/>
  <c r="AE230" i="35" s="1"/>
  <c r="AF230" i="35" s="1"/>
  <c r="AG230" i="35" s="1"/>
  <c r="AD235" i="35"/>
  <c r="AE235" i="35" s="1"/>
  <c r="AF235" i="35" s="1"/>
  <c r="AG235" i="35" s="1"/>
  <c r="AD236" i="35"/>
  <c r="AE236" i="35" s="1"/>
  <c r="AF236" i="35" s="1"/>
  <c r="AG236" i="35" s="1"/>
  <c r="AD253" i="35"/>
  <c r="AE253" i="35" s="1"/>
  <c r="AF253" i="35" s="1"/>
  <c r="AG253" i="35" s="1"/>
  <c r="AD226" i="35"/>
  <c r="AE226" i="35" s="1"/>
  <c r="AF226" i="35" s="1"/>
  <c r="AG226" i="35" s="1"/>
  <c r="AD232" i="35"/>
  <c r="AE232" i="35" s="1"/>
  <c r="AF232" i="35" s="1"/>
  <c r="AG232" i="35" s="1"/>
  <c r="AD250" i="35"/>
  <c r="AE250" i="35" s="1"/>
  <c r="AF250" i="35" s="1"/>
  <c r="AG250" i="35" s="1"/>
  <c r="AD248" i="35"/>
  <c r="AE248" i="35" s="1"/>
  <c r="AF248" i="35" s="1"/>
  <c r="AG248" i="35" s="1"/>
  <c r="AD234" i="35"/>
  <c r="AE234" i="35" s="1"/>
  <c r="AF234" i="35" s="1"/>
  <c r="AG234" i="35" s="1"/>
  <c r="AD239" i="35"/>
  <c r="AE239" i="35" s="1"/>
  <c r="AF239" i="35" s="1"/>
  <c r="AG239" i="35" s="1"/>
  <c r="AD225" i="35"/>
  <c r="AE225" i="35" s="1"/>
  <c r="AF225" i="35" s="1"/>
  <c r="AG225" i="35" s="1"/>
  <c r="AD241" i="35"/>
  <c r="AE241" i="35" s="1"/>
  <c r="AF241" i="35" s="1"/>
  <c r="AG241" i="35" s="1"/>
  <c r="AD240" i="35"/>
  <c r="AE240" i="35" s="1"/>
  <c r="AF240" i="35" s="1"/>
  <c r="AG240" i="35" s="1"/>
  <c r="DO59" i="35"/>
  <c r="DN59" i="35" s="1"/>
  <c r="DB136" i="35"/>
  <c r="DB158" i="35"/>
  <c r="DB143" i="35"/>
  <c r="DB138" i="35"/>
  <c r="DB133" i="35"/>
  <c r="DB146" i="35"/>
  <c r="DB159" i="35"/>
  <c r="DB134" i="35"/>
  <c r="DB151" i="35"/>
  <c r="DB130" i="35"/>
  <c r="DB144" i="35"/>
  <c r="DB139" i="35"/>
  <c r="DB145" i="35"/>
  <c r="DB155" i="35"/>
  <c r="DB131" i="35"/>
  <c r="DB156" i="35"/>
  <c r="DB132" i="35"/>
  <c r="DO12" i="35"/>
  <c r="DN12" i="35" s="1"/>
  <c r="DB149" i="35"/>
  <c r="DB157" i="35"/>
  <c r="DB142" i="35"/>
  <c r="DB160" i="35"/>
  <c r="DB141" i="35"/>
  <c r="DB154" i="35"/>
  <c r="DB150" i="35"/>
  <c r="DB147" i="35"/>
  <c r="DB135" i="35"/>
  <c r="DB153" i="35"/>
  <c r="DB140" i="35"/>
  <c r="DB137" i="35"/>
  <c r="DB152" i="35"/>
  <c r="DB148" i="35"/>
  <c r="AV55" i="35"/>
  <c r="DO55" i="35" s="1"/>
  <c r="DN55" i="35" s="1"/>
  <c r="AV85" i="35"/>
  <c r="DO85" i="35" s="1"/>
  <c r="DN85" i="35" s="1"/>
  <c r="AV25" i="35"/>
  <c r="DP25" i="35" s="1"/>
  <c r="AV23" i="35"/>
  <c r="DP23" i="35" s="1"/>
  <c r="AV114" i="35"/>
  <c r="DP114" i="35" s="1"/>
  <c r="AV74" i="35"/>
  <c r="DP74" i="35" s="1"/>
  <c r="AV97" i="35"/>
  <c r="DP97" i="35" s="1"/>
  <c r="AV11" i="35"/>
  <c r="AV108" i="35"/>
  <c r="DP108" i="35" s="1"/>
  <c r="AV67" i="35"/>
  <c r="DP67" i="35" s="1"/>
  <c r="AV103" i="35"/>
  <c r="DP103" i="35" s="1"/>
  <c r="AV80" i="35"/>
  <c r="DO80" i="35" s="1"/>
  <c r="DN80" i="35" s="1"/>
  <c r="AV64" i="35"/>
  <c r="DP64" i="35" s="1"/>
  <c r="AV83" i="35"/>
  <c r="DO83" i="35" s="1"/>
  <c r="DN83" i="35" s="1"/>
  <c r="AV92" i="35"/>
  <c r="AV115" i="35"/>
  <c r="DO115" i="35" s="1"/>
  <c r="DN115" i="35" s="1"/>
  <c r="AV18" i="35"/>
  <c r="DP18" i="35" s="1"/>
  <c r="AS157" i="35"/>
  <c r="AV102" i="35"/>
  <c r="DP102" i="35" s="1"/>
  <c r="AV13" i="35"/>
  <c r="DP13" i="35" s="1"/>
  <c r="AV112" i="35"/>
  <c r="AV75" i="35"/>
  <c r="DP75" i="35" s="1"/>
  <c r="AV17" i="35"/>
  <c r="DP17" i="35" s="1"/>
  <c r="AV125" i="35"/>
  <c r="DP125" i="35" s="1"/>
  <c r="AV60" i="35"/>
  <c r="DO60" i="35" s="1"/>
  <c r="DN60" i="35" s="1"/>
  <c r="AV128" i="35"/>
  <c r="DO128" i="35" s="1"/>
  <c r="DN128" i="35" s="1"/>
  <c r="DP31" i="35"/>
  <c r="AV91" i="35"/>
  <c r="DO91" i="35" s="1"/>
  <c r="DN91" i="35" s="1"/>
  <c r="DO10" i="35"/>
  <c r="DN10" i="35" s="1"/>
  <c r="AV19" i="35"/>
  <c r="DP19" i="35" s="1"/>
  <c r="AV39" i="35"/>
  <c r="DP39" i="35" s="1"/>
  <c r="AV127" i="35"/>
  <c r="DP127" i="35" s="1"/>
  <c r="AV81" i="35"/>
  <c r="DP81" i="35" s="1"/>
  <c r="AV89" i="35"/>
  <c r="DP89" i="35" s="1"/>
  <c r="AV68" i="35"/>
  <c r="DP68" i="35" s="1"/>
  <c r="AV117" i="35"/>
  <c r="DP117" i="35" s="1"/>
  <c r="AV71" i="35"/>
  <c r="DP71" i="35" s="1"/>
  <c r="AV62" i="35"/>
  <c r="DO62" i="35" s="1"/>
  <c r="DN62" i="35" s="1"/>
  <c r="AV121" i="35"/>
  <c r="DO121" i="35" s="1"/>
  <c r="DN121" i="35" s="1"/>
  <c r="AV37" i="35"/>
  <c r="DP37" i="35" s="1"/>
  <c r="AV105" i="35"/>
  <c r="DO105" i="35" s="1"/>
  <c r="DN105" i="35" s="1"/>
  <c r="AV22" i="35"/>
  <c r="DO22" i="35" s="1"/>
  <c r="DN22" i="35" s="1"/>
  <c r="AV70" i="35"/>
  <c r="DP70" i="35" s="1"/>
  <c r="AU136" i="35"/>
  <c r="AW136" i="35" s="1"/>
  <c r="AV110" i="35"/>
  <c r="AV124" i="35"/>
  <c r="DO124" i="35" s="1"/>
  <c r="DN124" i="35" s="1"/>
  <c r="AV79" i="35"/>
  <c r="DP79" i="35" s="1"/>
  <c r="AV72" i="35"/>
  <c r="DO72" i="35" s="1"/>
  <c r="DN72" i="35" s="1"/>
  <c r="AS154" i="35"/>
  <c r="AV107" i="35"/>
  <c r="DP107" i="35" s="1"/>
  <c r="AV38" i="35"/>
  <c r="DP38" i="35" s="1"/>
  <c r="AV45" i="35"/>
  <c r="DP45" i="35" s="1"/>
  <c r="AV94" i="35"/>
  <c r="DP94" i="35" s="1"/>
  <c r="AV53" i="35"/>
  <c r="DO53" i="35" s="1"/>
  <c r="DN53" i="35" s="1"/>
  <c r="AV113" i="35"/>
  <c r="DO113" i="35" s="1"/>
  <c r="DN113" i="35" s="1"/>
  <c r="AS155" i="35"/>
  <c r="AU146" i="35"/>
  <c r="AW146" i="35" s="1"/>
  <c r="AV14" i="35"/>
  <c r="DO14" i="35" s="1"/>
  <c r="DN14" i="35" s="1"/>
  <c r="AV87" i="35"/>
  <c r="DO87" i="35" s="1"/>
  <c r="DN87" i="35" s="1"/>
  <c r="AV47" i="35"/>
  <c r="DO47" i="35" s="1"/>
  <c r="DN47" i="35" s="1"/>
  <c r="AS146" i="35"/>
  <c r="AV9" i="35"/>
  <c r="DP9" i="35" s="1"/>
  <c r="AU145" i="35"/>
  <c r="AW145" i="35" s="1"/>
  <c r="AV109" i="35"/>
  <c r="DO109" i="35" s="1"/>
  <c r="DN109" i="35" s="1"/>
  <c r="AV99" i="35"/>
  <c r="DO99" i="35" s="1"/>
  <c r="DN99" i="35" s="1"/>
  <c r="AV57" i="35"/>
  <c r="DP57" i="35" s="1"/>
  <c r="AV43" i="35"/>
  <c r="DP43" i="35" s="1"/>
  <c r="AS145" i="35"/>
  <c r="AV41" i="35"/>
  <c r="DO41" i="35" s="1"/>
  <c r="DN41" i="35" s="1"/>
  <c r="AV52" i="35"/>
  <c r="DP52" i="35" s="1"/>
  <c r="AV54" i="35"/>
  <c r="DO54" i="35" s="1"/>
  <c r="DN54" i="35" s="1"/>
  <c r="AV56" i="35"/>
  <c r="DO56" i="35" s="1"/>
  <c r="DN56" i="35" s="1"/>
  <c r="AV111" i="35"/>
  <c r="DO111" i="35" s="1"/>
  <c r="DN111" i="35" s="1"/>
  <c r="AV63" i="35"/>
  <c r="DP63" i="35" s="1"/>
  <c r="AV84" i="35"/>
  <c r="DP84" i="35" s="1"/>
  <c r="AV100" i="35"/>
  <c r="DO100" i="35" s="1"/>
  <c r="DN100" i="35" s="1"/>
  <c r="AV28" i="35"/>
  <c r="DO28" i="35" s="1"/>
  <c r="DN28" i="35" s="1"/>
  <c r="AV69" i="35"/>
  <c r="DP69" i="35" s="1"/>
  <c r="AV93" i="35"/>
  <c r="DP93" i="35" s="1"/>
  <c r="AU132" i="35"/>
  <c r="AW132" i="35" s="1"/>
  <c r="AV26" i="35"/>
  <c r="DO26" i="35" s="1"/>
  <c r="DN26" i="35" s="1"/>
  <c r="AS136" i="35"/>
  <c r="AV88" i="35"/>
  <c r="DO88" i="35" s="1"/>
  <c r="DN88" i="35" s="1"/>
  <c r="AV123" i="35"/>
  <c r="DO123" i="35" s="1"/>
  <c r="DN123" i="35" s="1"/>
  <c r="AV16" i="35"/>
  <c r="DP16" i="35" s="1"/>
  <c r="AV90" i="35"/>
  <c r="DP90" i="35" s="1"/>
  <c r="AV104" i="35"/>
  <c r="DO104" i="35" s="1"/>
  <c r="DN104" i="35" s="1"/>
  <c r="AS133" i="35"/>
  <c r="AV106" i="35"/>
  <c r="DP106" i="35" s="1"/>
  <c r="AV42" i="35"/>
  <c r="DO42" i="35" s="1"/>
  <c r="DN42" i="35" s="1"/>
  <c r="AU133" i="35"/>
  <c r="AW133" i="35" s="1"/>
  <c r="AV33" i="35"/>
  <c r="DO33" i="35" s="1"/>
  <c r="DN33" i="35" s="1"/>
  <c r="AV34" i="35"/>
  <c r="DP34" i="35" s="1"/>
  <c r="AV116" i="35"/>
  <c r="DO116" i="35" s="1"/>
  <c r="DN116" i="35" s="1"/>
  <c r="AV76" i="35"/>
  <c r="DP76" i="35" s="1"/>
  <c r="AS159" i="35"/>
  <c r="AU147" i="35"/>
  <c r="AW147" i="35" s="1"/>
  <c r="AV20" i="35"/>
  <c r="DP20" i="35" s="1"/>
  <c r="AU150" i="35"/>
  <c r="AW150" i="35" s="1"/>
  <c r="AV95" i="35"/>
  <c r="DO95" i="35" s="1"/>
  <c r="DN95" i="35" s="1"/>
  <c r="AU159" i="35"/>
  <c r="AW159" i="35" s="1"/>
  <c r="AU158" i="35"/>
  <c r="AW158" i="35" s="1"/>
  <c r="AV73" i="35"/>
  <c r="DO73" i="35" s="1"/>
  <c r="DN73" i="35" s="1"/>
  <c r="AV8" i="35"/>
  <c r="DP8" i="35" s="1"/>
  <c r="AU154" i="35"/>
  <c r="AW154" i="35" s="1"/>
  <c r="AV29" i="35"/>
  <c r="DP29" i="35" s="1"/>
  <c r="AV120" i="35"/>
  <c r="DP120" i="35" s="1"/>
  <c r="AV129" i="35"/>
  <c r="DP129" i="35" s="1"/>
  <c r="AV119" i="35"/>
  <c r="DO119" i="35" s="1"/>
  <c r="DN119" i="35" s="1"/>
  <c r="AS138" i="35"/>
  <c r="AV24" i="35"/>
  <c r="DP24" i="35" s="1"/>
  <c r="AS158" i="35"/>
  <c r="AV101" i="35"/>
  <c r="DO101" i="35" s="1"/>
  <c r="DN101" i="35" s="1"/>
  <c r="AV77" i="35"/>
  <c r="DP77" i="35" s="1"/>
  <c r="AV40" i="35"/>
  <c r="DP40" i="35" s="1"/>
  <c r="AS147" i="35"/>
  <c r="AS150" i="35"/>
  <c r="AU138" i="35"/>
  <c r="AW138" i="35" s="1"/>
  <c r="AU155" i="35"/>
  <c r="AV155" i="35" s="1"/>
  <c r="DO155" i="35" s="1"/>
  <c r="DN155" i="35" s="1"/>
  <c r="AV96" i="35"/>
  <c r="DP96" i="35" s="1"/>
  <c r="AV50" i="35"/>
  <c r="DP50" i="35" s="1"/>
  <c r="AV118" i="35"/>
  <c r="DP118" i="35" s="1"/>
  <c r="AS139" i="35"/>
  <c r="AU148" i="35"/>
  <c r="AW148" i="35" s="1"/>
  <c r="AV58" i="35"/>
  <c r="DO58" i="35" s="1"/>
  <c r="DN58" i="35" s="1"/>
  <c r="AS134" i="35"/>
  <c r="AU134" i="35"/>
  <c r="AW134" i="35" s="1"/>
  <c r="AS152" i="35"/>
  <c r="AS148" i="35"/>
  <c r="AU152" i="35"/>
  <c r="AW152" i="35" s="1"/>
  <c r="AV30" i="35"/>
  <c r="DP30" i="35" s="1"/>
  <c r="AV78" i="35"/>
  <c r="DP78" i="35" s="1"/>
  <c r="AU139" i="35"/>
  <c r="AW139" i="35" s="1"/>
  <c r="AS151" i="35"/>
  <c r="AV15" i="35"/>
  <c r="DP15" i="35" s="1"/>
  <c r="AV27" i="35"/>
  <c r="DP27" i="35" s="1"/>
  <c r="AU151" i="35"/>
  <c r="AW151" i="35" s="1"/>
  <c r="AV48" i="35"/>
  <c r="DP48" i="35" s="1"/>
  <c r="AS141" i="35"/>
  <c r="AV61" i="35"/>
  <c r="DO61" i="35" s="1"/>
  <c r="DN61" i="35" s="1"/>
  <c r="AS130" i="35"/>
  <c r="AU141" i="35"/>
  <c r="AW141" i="35" s="1"/>
  <c r="AS144" i="35"/>
  <c r="AU130" i="35"/>
  <c r="AV130" i="35" s="1"/>
  <c r="DP130" i="35" s="1"/>
  <c r="AU144" i="35"/>
  <c r="AW144" i="35" s="1"/>
  <c r="AU157" i="35"/>
  <c r="AW157" i="35" s="1"/>
  <c r="AV49" i="35"/>
  <c r="DP49" i="35" s="1"/>
  <c r="AU137" i="35"/>
  <c r="AW137" i="35" s="1"/>
  <c r="AS137" i="35"/>
  <c r="AV46" i="35"/>
  <c r="DP46" i="35" s="1"/>
  <c r="AV51" i="35"/>
  <c r="DO51" i="35" s="1"/>
  <c r="DN51" i="35" s="1"/>
  <c r="AS160" i="35"/>
  <c r="AS142" i="35"/>
  <c r="AV66" i="35"/>
  <c r="DP66" i="35" s="1"/>
  <c r="AU160" i="35"/>
  <c r="AW160" i="35" s="1"/>
  <c r="AU142" i="35"/>
  <c r="AW142" i="35" s="1"/>
  <c r="AV65" i="35"/>
  <c r="DP65" i="35" s="1"/>
  <c r="AS156" i="35"/>
  <c r="AV98" i="35"/>
  <c r="DP98" i="35" s="1"/>
  <c r="AS135" i="35"/>
  <c r="AU156" i="35"/>
  <c r="AW156" i="35" s="1"/>
  <c r="AV82" i="35"/>
  <c r="DO82" i="35" s="1"/>
  <c r="DN82" i="35" s="1"/>
  <c r="AU135" i="35"/>
  <c r="AW135" i="35" s="1"/>
  <c r="AV35" i="35"/>
  <c r="DO35" i="35" s="1"/>
  <c r="DN35" i="35" s="1"/>
  <c r="AV86" i="35"/>
  <c r="DP86" i="35" s="1"/>
  <c r="AS131" i="35"/>
  <c r="AV36" i="35"/>
  <c r="DP36" i="35" s="1"/>
  <c r="AU131" i="35"/>
  <c r="AW131" i="35" s="1"/>
  <c r="AS132" i="35"/>
  <c r="AV21" i="35"/>
  <c r="DP21" i="35" s="1"/>
  <c r="AU143" i="35"/>
  <c r="AV143" i="35" s="1"/>
  <c r="DP143" i="35" s="1"/>
  <c r="AS153" i="35"/>
  <c r="AU153" i="35"/>
  <c r="AW153" i="35" s="1"/>
  <c r="AS149" i="35"/>
  <c r="AU149" i="35"/>
  <c r="AW149" i="35" s="1"/>
  <c r="AS140" i="35"/>
  <c r="AU140" i="35"/>
  <c r="AW140" i="35" s="1"/>
  <c r="AS143" i="35"/>
  <c r="AQ7" i="35"/>
  <c r="AT161" i="35"/>
  <c r="AL162" i="35"/>
  <c r="AL192" i="35"/>
  <c r="AF21" i="37"/>
  <c r="B45" i="37"/>
  <c r="DO44" i="35"/>
  <c r="DN44" i="35" s="1"/>
  <c r="AJ220" i="35"/>
  <c r="AK220" i="35" s="1"/>
  <c r="AJ199" i="35"/>
  <c r="AK199" i="35" s="1"/>
  <c r="AJ217" i="35"/>
  <c r="AK217" i="35" s="1"/>
  <c r="AJ197" i="35"/>
  <c r="AK197" i="35" s="1"/>
  <c r="AJ203" i="35"/>
  <c r="AK203" i="35" s="1"/>
  <c r="AJ196" i="35"/>
  <c r="AK196" i="35" s="1"/>
  <c r="AJ207" i="35"/>
  <c r="AK207" i="35" s="1"/>
  <c r="AJ206" i="35"/>
  <c r="AK206" i="35" s="1"/>
  <c r="AJ213" i="35"/>
  <c r="AK213" i="35" s="1"/>
  <c r="AJ211" i="35"/>
  <c r="AK211" i="35" s="1"/>
  <c r="AJ210" i="35"/>
  <c r="AK210" i="35" s="1"/>
  <c r="AJ205" i="35"/>
  <c r="AK205" i="35" s="1"/>
  <c r="DP122" i="35"/>
  <c r="DO122" i="35"/>
  <c r="DN122" i="35" s="1"/>
  <c r="AF224" i="35"/>
  <c r="AG224" i="35" s="1"/>
  <c r="AJ212" i="35"/>
  <c r="AK212" i="35" s="1"/>
  <c r="AJ200" i="35"/>
  <c r="AK200" i="35" s="1"/>
  <c r="AJ221" i="35"/>
  <c r="AK221" i="35" s="1"/>
  <c r="AJ204" i="35"/>
  <c r="AK204" i="35" s="1"/>
  <c r="AJ216" i="35"/>
  <c r="AK216" i="35" s="1"/>
  <c r="AJ209" i="35"/>
  <c r="AK209" i="35" s="1"/>
  <c r="AJ218" i="35"/>
  <c r="AK218" i="35" s="1"/>
  <c r="AJ201" i="35"/>
  <c r="AK201" i="35" s="1"/>
  <c r="AJ194" i="35"/>
  <c r="AK194" i="35" s="1"/>
  <c r="AJ208" i="35"/>
  <c r="AK208" i="35" s="1"/>
  <c r="AJ222" i="35"/>
  <c r="AK222" i="35" s="1"/>
  <c r="AJ215" i="35"/>
  <c r="AK215" i="35" s="1"/>
  <c r="AH223" i="35"/>
  <c r="AI223" i="35" s="1"/>
  <c r="DP126" i="35"/>
  <c r="DO126" i="35"/>
  <c r="DN126" i="35" s="1"/>
  <c r="AJ214" i="35"/>
  <c r="AK214" i="35" s="1"/>
  <c r="AJ202" i="35"/>
  <c r="AK202" i="35" s="1"/>
  <c r="DP32" i="35"/>
  <c r="DO32" i="35"/>
  <c r="DN32" i="35" s="1"/>
  <c r="Y255" i="35"/>
  <c r="AD255" i="35" s="1"/>
  <c r="AE254" i="35"/>
  <c r="AJ193" i="35"/>
  <c r="AJ198" i="35"/>
  <c r="AK198" i="35" s="1"/>
  <c r="AJ195" i="35"/>
  <c r="AK195" i="35" s="1"/>
  <c r="AJ219" i="35"/>
  <c r="AK219" i="35" s="1"/>
  <c r="V183" i="22"/>
  <c r="X183" i="22" s="1"/>
  <c r="V14" i="22"/>
  <c r="X14" i="22" s="1"/>
  <c r="V96" i="22"/>
  <c r="X96" i="22" s="1"/>
  <c r="AC96" i="22" s="1"/>
  <c r="V120" i="22"/>
  <c r="X120" i="22" s="1"/>
  <c r="V142" i="22"/>
  <c r="X142" i="22" s="1"/>
  <c r="V130" i="22"/>
  <c r="X130" i="22" s="1"/>
  <c r="Z130" i="22" s="1"/>
  <c r="V88" i="22"/>
  <c r="X88" i="22" s="1"/>
  <c r="Z88" i="22" s="1"/>
  <c r="AB88" i="22" s="1"/>
  <c r="V22" i="22"/>
  <c r="X22" i="22" s="1"/>
  <c r="V159" i="22"/>
  <c r="V213" i="22"/>
  <c r="X213" i="22" s="1"/>
  <c r="Z213" i="22" s="1"/>
  <c r="V45" i="22"/>
  <c r="X45" i="22" s="1"/>
  <c r="Z45" i="22" s="1"/>
  <c r="V71" i="22"/>
  <c r="V72" i="22"/>
  <c r="X72" i="22" s="1"/>
  <c r="Z72" i="22" s="1"/>
  <c r="V150" i="22"/>
  <c r="X150" i="22" s="1"/>
  <c r="V181" i="22"/>
  <c r="V217" i="22"/>
  <c r="X217" i="22" s="1"/>
  <c r="Z217" i="22" s="1"/>
  <c r="V244" i="22"/>
  <c r="X244" i="22" s="1"/>
  <c r="V85" i="22"/>
  <c r="V128" i="22"/>
  <c r="X128" i="22" s="1"/>
  <c r="Z128" i="22" s="1"/>
  <c r="V16" i="22"/>
  <c r="X16" i="22" s="1"/>
  <c r="Z16" i="22" s="1"/>
  <c r="V133" i="22"/>
  <c r="X133" i="22" s="1"/>
  <c r="V162" i="22"/>
  <c r="X162" i="22" s="1"/>
  <c r="Z162" i="22" s="1"/>
  <c r="V189" i="22"/>
  <c r="X189" i="22" s="1"/>
  <c r="V212" i="22"/>
  <c r="X212" i="22" s="1"/>
  <c r="AC212" i="22" s="1"/>
  <c r="V237" i="22"/>
  <c r="X237" i="22" s="1"/>
  <c r="Z237" i="22" s="1"/>
  <c r="V268" i="22"/>
  <c r="X268" i="22" s="1"/>
  <c r="Z268" i="22" s="1"/>
  <c r="V284" i="22"/>
  <c r="X284" i="22" s="1"/>
  <c r="V199" i="22"/>
  <c r="X199" i="22" s="1"/>
  <c r="V236" i="22"/>
  <c r="X236" i="22" s="1"/>
  <c r="V235" i="22"/>
  <c r="X235" i="22" s="1"/>
  <c r="AC235" i="22" s="1"/>
  <c r="V68" i="22"/>
  <c r="V63" i="22"/>
  <c r="V116" i="22"/>
  <c r="X116" i="22" s="1"/>
  <c r="V100" i="22"/>
  <c r="X100" i="22" s="1"/>
  <c r="Z100" i="22" s="1"/>
  <c r="V12" i="22"/>
  <c r="V173" i="22"/>
  <c r="X173" i="22" s="1"/>
  <c r="Z173" i="22" s="1"/>
  <c r="V188" i="22"/>
  <c r="X188" i="22" s="1"/>
  <c r="V197" i="22"/>
  <c r="X197" i="22" s="1"/>
  <c r="AC197" i="22" s="1"/>
  <c r="V232" i="22"/>
  <c r="X232" i="22" s="1"/>
  <c r="AC232" i="22" s="1"/>
  <c r="V273" i="22"/>
  <c r="X273" i="22" s="1"/>
  <c r="V259" i="22"/>
  <c r="V267" i="22"/>
  <c r="X267" i="22" s="1"/>
  <c r="V127" i="22"/>
  <c r="X127" i="22" s="1"/>
  <c r="V31" i="22"/>
  <c r="X31" i="22" s="1"/>
  <c r="V36" i="22"/>
  <c r="X36" i="22" s="1"/>
  <c r="V66" i="22"/>
  <c r="X66" i="22" s="1"/>
  <c r="V200" i="22"/>
  <c r="X200" i="22" s="1"/>
  <c r="Z200" i="22" s="1"/>
  <c r="V276" i="22"/>
  <c r="X276" i="22" s="1"/>
  <c r="V20" i="22"/>
  <c r="X20" i="22" s="1"/>
  <c r="V108" i="22"/>
  <c r="X108" i="22" s="1"/>
  <c r="V39" i="22"/>
  <c r="X39" i="22" s="1"/>
  <c r="V44" i="22"/>
  <c r="X44" i="22" s="1"/>
  <c r="Z44" i="22" s="1"/>
  <c r="V194" i="22"/>
  <c r="X194" i="22" s="1"/>
  <c r="V33" i="22"/>
  <c r="X33" i="22" s="1"/>
  <c r="V46" i="22"/>
  <c r="X46" i="22" s="1"/>
  <c r="V93" i="22"/>
  <c r="X93" i="22" s="1"/>
  <c r="P288" i="22"/>
  <c r="P290" i="22" s="1"/>
  <c r="X206" i="22"/>
  <c r="X79" i="22"/>
  <c r="X73" i="22"/>
  <c r="Z73" i="22" s="1"/>
  <c r="X83" i="22"/>
  <c r="X160" i="22"/>
  <c r="Z160" i="22" s="1"/>
  <c r="X251" i="22"/>
  <c r="X190" i="22"/>
  <c r="X257" i="22"/>
  <c r="X50" i="22"/>
  <c r="AC50" i="22" s="1"/>
  <c r="X271" i="22"/>
  <c r="AC271" i="22" s="1"/>
  <c r="X163" i="22"/>
  <c r="X149" i="22"/>
  <c r="X40" i="22"/>
  <c r="X280" i="22"/>
  <c r="X123" i="22"/>
  <c r="X87" i="22"/>
  <c r="Z87" i="22" s="1"/>
  <c r="X81" i="22"/>
  <c r="X148" i="22"/>
  <c r="Z148" i="22" s="1"/>
  <c r="X248" i="22"/>
  <c r="X198" i="22"/>
  <c r="X176" i="22"/>
  <c r="Z176" i="22" s="1"/>
  <c r="X140" i="22"/>
  <c r="X242" i="22"/>
  <c r="X169" i="22"/>
  <c r="X113" i="22"/>
  <c r="X60" i="22"/>
  <c r="X249" i="22"/>
  <c r="X226" i="22"/>
  <c r="X238" i="22"/>
  <c r="X41" i="22"/>
  <c r="X135" i="22"/>
  <c r="X186" i="22"/>
  <c r="X35" i="22"/>
  <c r="X118" i="22"/>
  <c r="X278" i="22"/>
  <c r="X136" i="22"/>
  <c r="Z136" i="22" s="1"/>
  <c r="AB136" i="22" s="1"/>
  <c r="X86" i="22"/>
  <c r="AC86" i="22" s="1"/>
  <c r="X137" i="22"/>
  <c r="Z137" i="22" s="1"/>
  <c r="X195" i="22"/>
  <c r="X129" i="22"/>
  <c r="X75" i="22"/>
  <c r="X97" i="22"/>
  <c r="X43" i="22"/>
  <c r="X139" i="22"/>
  <c r="X223" i="22"/>
  <c r="X277" i="22"/>
  <c r="X30" i="22"/>
  <c r="X210" i="22"/>
  <c r="AC210" i="22" s="1"/>
  <c r="X178" i="22"/>
  <c r="X144" i="22"/>
  <c r="Z144" i="22" s="1"/>
  <c r="X138" i="22"/>
  <c r="X252" i="22"/>
  <c r="X263" i="22"/>
  <c r="X23" i="22"/>
  <c r="X254" i="22"/>
  <c r="X225" i="22"/>
  <c r="X159" i="22"/>
  <c r="AC159" i="22" s="1"/>
  <c r="AG159" i="22" s="1"/>
  <c r="X240" i="22"/>
  <c r="X52" i="22"/>
  <c r="AC52" i="22" s="1"/>
  <c r="X125" i="22"/>
  <c r="X262" i="22"/>
  <c r="X231" i="22"/>
  <c r="X230" i="22"/>
  <c r="X62" i="22"/>
  <c r="X258" i="22"/>
  <c r="X37" i="22"/>
  <c r="X157" i="22"/>
  <c r="Z157" i="22" s="1"/>
  <c r="X211" i="22"/>
  <c r="X82" i="22"/>
  <c r="Z82" i="22" s="1"/>
  <c r="X287" i="22"/>
  <c r="X154" i="22"/>
  <c r="X64" i="22"/>
  <c r="Z64" i="22" s="1"/>
  <c r="X126" i="22"/>
  <c r="X65" i="22"/>
  <c r="Z65" i="22" s="1"/>
  <c r="X15" i="22"/>
  <c r="X218" i="22"/>
  <c r="X164" i="22"/>
  <c r="Z164" i="22" s="1"/>
  <c r="X224" i="22"/>
  <c r="X95" i="22"/>
  <c r="X253" i="22"/>
  <c r="X55" i="22"/>
  <c r="AC55" i="22" s="1"/>
  <c r="AC34" i="22"/>
  <c r="X67" i="22"/>
  <c r="X221" i="22"/>
  <c r="X103" i="22"/>
  <c r="Z103" i="22" s="1"/>
  <c r="X147" i="22"/>
  <c r="X77" i="22"/>
  <c r="X106" i="22"/>
  <c r="X21" i="22"/>
  <c r="X286" i="22"/>
  <c r="X214" i="22"/>
  <c r="X141" i="22"/>
  <c r="X99" i="22"/>
  <c r="X215" i="22"/>
  <c r="X191" i="22"/>
  <c r="X104" i="22"/>
  <c r="AC104" i="22" s="1"/>
  <c r="X70" i="22"/>
  <c r="Z70" i="22" s="1"/>
  <c r="X134" i="22"/>
  <c r="Z134" i="22" s="1"/>
  <c r="X270" i="22"/>
  <c r="X156" i="22"/>
  <c r="X122" i="22"/>
  <c r="X78" i="22"/>
  <c r="X167" i="22"/>
  <c r="X51" i="22"/>
  <c r="Z51" i="22" s="1"/>
  <c r="X91" i="22"/>
  <c r="X29" i="22"/>
  <c r="Z29" i="22" s="1"/>
  <c r="X105" i="22"/>
  <c r="X74" i="22"/>
  <c r="X250" i="22"/>
  <c r="X92" i="22"/>
  <c r="X239" i="22"/>
  <c r="X76" i="22"/>
  <c r="X26" i="22"/>
  <c r="X69" i="22"/>
  <c r="Z69" i="22" s="1"/>
  <c r="X110" i="22"/>
  <c r="X170" i="22"/>
  <c r="X119" i="22"/>
  <c r="X18" i="22"/>
  <c r="Z18" i="22" s="1"/>
  <c r="X57" i="22"/>
  <c r="Z57" i="22" s="1"/>
  <c r="X245" i="22"/>
  <c r="X161" i="22"/>
  <c r="Z161" i="22" s="1"/>
  <c r="X192" i="22"/>
  <c r="Z192" i="22" s="1"/>
  <c r="X208" i="22"/>
  <c r="X205" i="22"/>
  <c r="X185" i="22"/>
  <c r="X227" i="22"/>
  <c r="X80" i="22"/>
  <c r="AC166" i="22"/>
  <c r="AC146" i="22"/>
  <c r="AC261" i="22"/>
  <c r="AD261" i="22" s="1"/>
  <c r="X54" i="22"/>
  <c r="Z261" i="22"/>
  <c r="AB261" i="22" s="1"/>
  <c r="AC124" i="22"/>
  <c r="X131" i="22"/>
  <c r="Z131" i="22" s="1"/>
  <c r="X220" i="22"/>
  <c r="Z220" i="22" s="1"/>
  <c r="X84" i="22"/>
  <c r="Z84" i="22" s="1"/>
  <c r="X90" i="22"/>
  <c r="X184" i="22"/>
  <c r="X49" i="22"/>
  <c r="Z49" i="22" s="1"/>
  <c r="X207" i="22"/>
  <c r="Z207" i="22" s="1"/>
  <c r="X61" i="22"/>
  <c r="Z61" i="22" s="1"/>
  <c r="X11" i="22"/>
  <c r="Z11" i="22" s="1"/>
  <c r="X59" i="22"/>
  <c r="AC59" i="22" s="1"/>
  <c r="X115" i="22"/>
  <c r="X216" i="22"/>
  <c r="AC216" i="22" s="1"/>
  <c r="X101" i="22"/>
  <c r="Z101" i="22" s="1"/>
  <c r="X283" i="22"/>
  <c r="Z283" i="22" s="1"/>
  <c r="X187" i="22"/>
  <c r="X13" i="22"/>
  <c r="AC13" i="22" s="1"/>
  <c r="X180" i="22"/>
  <c r="Z180" i="22" s="1"/>
  <c r="X203" i="22"/>
  <c r="Z203" i="22" s="1"/>
  <c r="X228" i="22"/>
  <c r="AC228" i="22" s="1"/>
  <c r="X256" i="22"/>
  <c r="Z256" i="22" s="1"/>
  <c r="X132" i="22"/>
  <c r="Z132" i="22" s="1"/>
  <c r="X219" i="22"/>
  <c r="Z219" i="22" s="1"/>
  <c r="X38" i="22"/>
  <c r="Z38" i="22" s="1"/>
  <c r="AB146" i="22"/>
  <c r="AB124" i="22"/>
  <c r="Z98" i="22"/>
  <c r="Z17" i="22"/>
  <c r="Z56" i="22"/>
  <c r="Z152" i="22"/>
  <c r="AB34" i="22"/>
  <c r="Z24" i="22"/>
  <c r="Z151" i="22"/>
  <c r="Z114" i="22"/>
  <c r="AB166" i="22"/>
  <c r="AC24" i="22"/>
  <c r="AC56" i="22"/>
  <c r="AE56" i="22" s="1"/>
  <c r="AC17" i="22"/>
  <c r="X196" i="22"/>
  <c r="X264" i="22"/>
  <c r="X233" i="22"/>
  <c r="X27" i="22"/>
  <c r="X272" i="22"/>
  <c r="X143" i="22"/>
  <c r="X281" i="22"/>
  <c r="AC152" i="22"/>
  <c r="X102" i="22"/>
  <c r="X155" i="22"/>
  <c r="X158" i="22"/>
  <c r="X145" i="22"/>
  <c r="X112" i="22"/>
  <c r="X241" i="22"/>
  <c r="X234" i="22"/>
  <c r="X177" i="22"/>
  <c r="X265" i="22"/>
  <c r="X53" i="22"/>
  <c r="X25" i="22"/>
  <c r="X202" i="22"/>
  <c r="X246" i="22"/>
  <c r="X171" i="22"/>
  <c r="X168" i="22"/>
  <c r="X111" i="22"/>
  <c r="X229" i="22"/>
  <c r="X247" i="22"/>
  <c r="X274" i="22"/>
  <c r="X260" i="22"/>
  <c r="X48" i="22"/>
  <c r="X174" i="22"/>
  <c r="X121" i="22"/>
  <c r="X175" i="22"/>
  <c r="X89" i="22"/>
  <c r="X109" i="22"/>
  <c r="X28" i="22"/>
  <c r="X282" i="22"/>
  <c r="X285" i="22"/>
  <c r="X117" i="22"/>
  <c r="X58" i="22"/>
  <c r="X94" i="22"/>
  <c r="X19" i="22"/>
  <c r="AC114" i="22"/>
  <c r="AC151" i="22"/>
  <c r="X279" i="22"/>
  <c r="X201" i="22"/>
  <c r="X209" i="22"/>
  <c r="X172" i="22"/>
  <c r="X275" i="22"/>
  <c r="X165" i="22"/>
  <c r="X269" i="22"/>
  <c r="X47" i="22"/>
  <c r="X193" i="22"/>
  <c r="AC98" i="22"/>
  <c r="X42" i="22"/>
  <c r="X179" i="22"/>
  <c r="X107" i="22"/>
  <c r="X243" i="22"/>
  <c r="X153" i="22"/>
  <c r="X204" i="22"/>
  <c r="X222" i="22"/>
  <c r="X182" i="22"/>
  <c r="X266" i="22"/>
  <c r="X255" i="22"/>
  <c r="AS291" i="22"/>
  <c r="AS290" i="22"/>
  <c r="G7" i="10"/>
  <c r="H7" i="20"/>
  <c r="G7" i="9"/>
  <c r="H8" i="8"/>
  <c r="G8" i="7"/>
  <c r="G7" i="6"/>
  <c r="G7" i="5"/>
  <c r="G7" i="38" s="1"/>
  <c r="G7" i="24"/>
  <c r="G7" i="23"/>
  <c r="G7" i="32"/>
  <c r="BA39" i="35" l="1"/>
  <c r="BD39" i="35" s="1"/>
  <c r="BF39" i="35" s="1"/>
  <c r="BH39" i="35" s="1"/>
  <c r="BJ39" i="35" s="1"/>
  <c r="BA108" i="35"/>
  <c r="BA27" i="35"/>
  <c r="BA127" i="35"/>
  <c r="BA86" i="35"/>
  <c r="BD86" i="35" s="1"/>
  <c r="BF86" i="35" s="1"/>
  <c r="BH86" i="35" s="1"/>
  <c r="BJ86" i="35" s="1"/>
  <c r="BA31" i="35"/>
  <c r="BD31" i="35" s="1"/>
  <c r="BF31" i="35" s="1"/>
  <c r="BH31" i="35" s="1"/>
  <c r="BJ31" i="35" s="1"/>
  <c r="BA75" i="35"/>
  <c r="BD75" i="35" s="1"/>
  <c r="BF75" i="35" s="1"/>
  <c r="BH75" i="35" s="1"/>
  <c r="BJ75" i="35" s="1"/>
  <c r="BA41" i="35"/>
  <c r="BD41" i="35" s="1"/>
  <c r="BF41" i="35" s="1"/>
  <c r="BH41" i="35" s="1"/>
  <c r="BJ41" i="35" s="1"/>
  <c r="BA60" i="35"/>
  <c r="BA116" i="35"/>
  <c r="BA99" i="35"/>
  <c r="BA113" i="35"/>
  <c r="BA59" i="35"/>
  <c r="BD59" i="35" s="1"/>
  <c r="BF59" i="35" s="1"/>
  <c r="BH59" i="35" s="1"/>
  <c r="BJ59" i="35" s="1"/>
  <c r="BA105" i="35"/>
  <c r="BD105" i="35" s="1"/>
  <c r="BF105" i="35" s="1"/>
  <c r="BH105" i="35" s="1"/>
  <c r="BJ105" i="35" s="1"/>
  <c r="BA12" i="35"/>
  <c r="BA97" i="35"/>
  <c r="BD97" i="35" s="1"/>
  <c r="BF97" i="35" s="1"/>
  <c r="BH97" i="35" s="1"/>
  <c r="BJ97" i="35" s="1"/>
  <c r="BA10" i="35"/>
  <c r="BA62" i="35"/>
  <c r="BD62" i="35" s="1"/>
  <c r="BF62" i="35" s="1"/>
  <c r="BH62" i="35" s="1"/>
  <c r="BJ62" i="35" s="1"/>
  <c r="BA118" i="35"/>
  <c r="BA58" i="35"/>
  <c r="AZ67" i="35"/>
  <c r="AZ21" i="35"/>
  <c r="AZ65" i="35"/>
  <c r="AZ92" i="35"/>
  <c r="AZ56" i="35"/>
  <c r="AZ37" i="35"/>
  <c r="AZ87" i="35"/>
  <c r="AZ101" i="35"/>
  <c r="AZ45" i="35"/>
  <c r="AZ14" i="35"/>
  <c r="AZ29" i="35"/>
  <c r="AZ120" i="35"/>
  <c r="AZ96" i="35"/>
  <c r="AZ49" i="35"/>
  <c r="AZ22" i="35"/>
  <c r="AZ30" i="35"/>
  <c r="AZ94" i="35"/>
  <c r="AZ15" i="35"/>
  <c r="AZ102" i="35"/>
  <c r="AZ88" i="35"/>
  <c r="AZ106" i="35"/>
  <c r="AZ42" i="35"/>
  <c r="AZ66" i="35"/>
  <c r="AZ20" i="35"/>
  <c r="AZ19" i="35"/>
  <c r="AZ50" i="35"/>
  <c r="AZ51" i="35"/>
  <c r="AZ47" i="35"/>
  <c r="AZ52" i="35"/>
  <c r="AZ35" i="35"/>
  <c r="AZ100" i="35"/>
  <c r="AZ71" i="35"/>
  <c r="AZ28" i="35"/>
  <c r="AZ68" i="35"/>
  <c r="AZ24" i="35"/>
  <c r="AZ83" i="35"/>
  <c r="AZ70" i="35"/>
  <c r="AZ124" i="35"/>
  <c r="AZ23" i="35"/>
  <c r="AZ43" i="35"/>
  <c r="AZ11" i="35"/>
  <c r="AZ69" i="35"/>
  <c r="AZ98" i="35"/>
  <c r="AZ89" i="35"/>
  <c r="AZ72" i="35"/>
  <c r="AZ74" i="35"/>
  <c r="AZ77" i="35"/>
  <c r="AZ26" i="35"/>
  <c r="AZ121" i="35"/>
  <c r="AZ76" i="35"/>
  <c r="AZ33" i="35"/>
  <c r="AZ104" i="35"/>
  <c r="AZ54" i="35"/>
  <c r="AZ55" i="35"/>
  <c r="AZ73" i="35"/>
  <c r="AZ93" i="35"/>
  <c r="AZ53" i="35"/>
  <c r="AZ125" i="35"/>
  <c r="AZ109" i="35"/>
  <c r="AZ18" i="35"/>
  <c r="AZ8" i="35"/>
  <c r="AZ91" i="35"/>
  <c r="AZ79" i="35"/>
  <c r="AZ38" i="35"/>
  <c r="AZ64" i="35"/>
  <c r="AZ128" i="35"/>
  <c r="AZ34" i="35"/>
  <c r="AZ78" i="35"/>
  <c r="AZ107" i="35"/>
  <c r="AZ103" i="35"/>
  <c r="AZ111" i="35"/>
  <c r="AZ112" i="35"/>
  <c r="AZ90" i="35"/>
  <c r="AZ114" i="35"/>
  <c r="AZ82" i="35"/>
  <c r="AZ110" i="35"/>
  <c r="AZ129" i="35"/>
  <c r="AZ80" i="35"/>
  <c r="AZ85" i="35"/>
  <c r="AZ36" i="35"/>
  <c r="AZ61" i="35"/>
  <c r="AZ81" i="35"/>
  <c r="AZ115" i="35"/>
  <c r="AZ63" i="35"/>
  <c r="AZ123" i="35"/>
  <c r="AZ95" i="35"/>
  <c r="AZ40" i="35"/>
  <c r="AZ13" i="35"/>
  <c r="AZ46" i="35"/>
  <c r="AZ25" i="35"/>
  <c r="AZ57" i="35"/>
  <c r="AZ48" i="35"/>
  <c r="AZ17" i="35"/>
  <c r="AZ9" i="35"/>
  <c r="AZ84" i="35"/>
  <c r="AZ16" i="35"/>
  <c r="AZ119" i="35"/>
  <c r="AZ117" i="35"/>
  <c r="AX151" i="35"/>
  <c r="AX147" i="35"/>
  <c r="AX122" i="35"/>
  <c r="AX145" i="35"/>
  <c r="AX141" i="35"/>
  <c r="AX153" i="35"/>
  <c r="AX159" i="35"/>
  <c r="AX137" i="35"/>
  <c r="AX148" i="35"/>
  <c r="AX136" i="35"/>
  <c r="AO162" i="35"/>
  <c r="AP162" i="35" s="1"/>
  <c r="AO192" i="35"/>
  <c r="AP192" i="35" s="1"/>
  <c r="AQ192" i="35" s="1"/>
  <c r="AX149" i="35"/>
  <c r="AX134" i="35"/>
  <c r="AZ134" i="35" s="1"/>
  <c r="AX138" i="35"/>
  <c r="AZ138" i="35" s="1"/>
  <c r="AX158" i="35"/>
  <c r="AX139" i="35"/>
  <c r="AX142" i="35"/>
  <c r="AZ142" i="35" s="1"/>
  <c r="AX135" i="35"/>
  <c r="AX160" i="35"/>
  <c r="AX150" i="35"/>
  <c r="AZ150" i="35" s="1"/>
  <c r="AX133" i="35"/>
  <c r="AX157" i="35"/>
  <c r="AX152" i="35"/>
  <c r="AX140" i="35"/>
  <c r="AX156" i="35"/>
  <c r="AZ156" i="35" s="1"/>
  <c r="AX144" i="35"/>
  <c r="AX154" i="35"/>
  <c r="AZ154" i="35" s="1"/>
  <c r="AX146" i="35"/>
  <c r="AX131" i="35"/>
  <c r="AX132" i="35"/>
  <c r="AZ132" i="35" s="1"/>
  <c r="AW130" i="35"/>
  <c r="AW143" i="35"/>
  <c r="AW155" i="35"/>
  <c r="AX126" i="35"/>
  <c r="AZ126" i="35" s="1"/>
  <c r="AX32" i="35"/>
  <c r="AZ32" i="35" s="1"/>
  <c r="AX44" i="35"/>
  <c r="DP113" i="35"/>
  <c r="DP104" i="35"/>
  <c r="DO25" i="35"/>
  <c r="DN25" i="35" s="1"/>
  <c r="DO103" i="35"/>
  <c r="DN103" i="35" s="1"/>
  <c r="DP128" i="35"/>
  <c r="DP72" i="35"/>
  <c r="DP109" i="35"/>
  <c r="DO37" i="35"/>
  <c r="DN37" i="35" s="1"/>
  <c r="DO16" i="35"/>
  <c r="DN16" i="35" s="1"/>
  <c r="DP83" i="35"/>
  <c r="DO81" i="35"/>
  <c r="DN81" i="35" s="1"/>
  <c r="DO76" i="35"/>
  <c r="DN76" i="35" s="1"/>
  <c r="DO68" i="35"/>
  <c r="DN68" i="35" s="1"/>
  <c r="DO67" i="35"/>
  <c r="DN67" i="35" s="1"/>
  <c r="DO108" i="35"/>
  <c r="DN108" i="35" s="1"/>
  <c r="DP85" i="35"/>
  <c r="AV132" i="35"/>
  <c r="DP132" i="35" s="1"/>
  <c r="DO79" i="35"/>
  <c r="DN79" i="35" s="1"/>
  <c r="DO63" i="35"/>
  <c r="DN63" i="35" s="1"/>
  <c r="DO102" i="35"/>
  <c r="DN102" i="35" s="1"/>
  <c r="DO23" i="35"/>
  <c r="DN23" i="35" s="1"/>
  <c r="DO24" i="35"/>
  <c r="DN24" i="35" s="1"/>
  <c r="DP26" i="35"/>
  <c r="AV134" i="35"/>
  <c r="DO134" i="35" s="1"/>
  <c r="DN134" i="35" s="1"/>
  <c r="DO106" i="35"/>
  <c r="DN106" i="35" s="1"/>
  <c r="DO29" i="35"/>
  <c r="DN29" i="35" s="1"/>
  <c r="DO9" i="35"/>
  <c r="DN9" i="35" s="1"/>
  <c r="DO43" i="35"/>
  <c r="DN43" i="35" s="1"/>
  <c r="DO74" i="35"/>
  <c r="DN74" i="35" s="1"/>
  <c r="DO45" i="35"/>
  <c r="DN45" i="35" s="1"/>
  <c r="DO17" i="35"/>
  <c r="DN17" i="35" s="1"/>
  <c r="DP62" i="35"/>
  <c r="AV157" i="35"/>
  <c r="DP157" i="35" s="1"/>
  <c r="AV139" i="35"/>
  <c r="DP139" i="35" s="1"/>
  <c r="DO114" i="35"/>
  <c r="DN114" i="35" s="1"/>
  <c r="DP33" i="35"/>
  <c r="DO64" i="35"/>
  <c r="DN64" i="35" s="1"/>
  <c r="DP47" i="35"/>
  <c r="DP115" i="35"/>
  <c r="AV159" i="35"/>
  <c r="DO159" i="35" s="1"/>
  <c r="DN159" i="35" s="1"/>
  <c r="DO107" i="35"/>
  <c r="DN107" i="35" s="1"/>
  <c r="DP99" i="35"/>
  <c r="DP55" i="35"/>
  <c r="AV160" i="35"/>
  <c r="DO160" i="35" s="1"/>
  <c r="DN160" i="35" s="1"/>
  <c r="DO110" i="35"/>
  <c r="DN110" i="35" s="1"/>
  <c r="DP110" i="35"/>
  <c r="DP92" i="35"/>
  <c r="DO92" i="35"/>
  <c r="DN92" i="35" s="1"/>
  <c r="AV144" i="35"/>
  <c r="DP144" i="35" s="1"/>
  <c r="DP11" i="35"/>
  <c r="DO11" i="35"/>
  <c r="DN11" i="35" s="1"/>
  <c r="DP112" i="35"/>
  <c r="DO112" i="35"/>
  <c r="DN112" i="35" s="1"/>
  <c r="DB161" i="35"/>
  <c r="DP124" i="35"/>
  <c r="DO38" i="35"/>
  <c r="DN38" i="35" s="1"/>
  <c r="DO117" i="35"/>
  <c r="DN117" i="35" s="1"/>
  <c r="DO18" i="35"/>
  <c r="DN18" i="35" s="1"/>
  <c r="DO75" i="35"/>
  <c r="DN75" i="35" s="1"/>
  <c r="DO36" i="35"/>
  <c r="DN36" i="35" s="1"/>
  <c r="DP80" i="35"/>
  <c r="DO97" i="35"/>
  <c r="DN97" i="35" s="1"/>
  <c r="DP91" i="35"/>
  <c r="DO125" i="35"/>
  <c r="DN125" i="35" s="1"/>
  <c r="DP28" i="35"/>
  <c r="DO66" i="35"/>
  <c r="DN66" i="35" s="1"/>
  <c r="DP95" i="35"/>
  <c r="DP100" i="35"/>
  <c r="DO13" i="35"/>
  <c r="DN13" i="35" s="1"/>
  <c r="DP123" i="35"/>
  <c r="DO71" i="35"/>
  <c r="DN71" i="35" s="1"/>
  <c r="DO52" i="35"/>
  <c r="DN52" i="35" s="1"/>
  <c r="DO70" i="35"/>
  <c r="DN70" i="35" s="1"/>
  <c r="DO30" i="35"/>
  <c r="DN30" i="35" s="1"/>
  <c r="DP60" i="35"/>
  <c r="AV145" i="35"/>
  <c r="DP145" i="35" s="1"/>
  <c r="DP56" i="35"/>
  <c r="DO39" i="35"/>
  <c r="DN39" i="35" s="1"/>
  <c r="DP88" i="35"/>
  <c r="DP35" i="35"/>
  <c r="DO84" i="35"/>
  <c r="DN84" i="35" s="1"/>
  <c r="DP87" i="35"/>
  <c r="DP42" i="35"/>
  <c r="AV158" i="35"/>
  <c r="DP158" i="35" s="1"/>
  <c r="AV133" i="35"/>
  <c r="DO133" i="35" s="1"/>
  <c r="DN133" i="35" s="1"/>
  <c r="AV148" i="35"/>
  <c r="DP148" i="35" s="1"/>
  <c r="AV140" i="35"/>
  <c r="DP140" i="35" s="1"/>
  <c r="DO127" i="35"/>
  <c r="DN127" i="35" s="1"/>
  <c r="DO19" i="35"/>
  <c r="DN19" i="35" s="1"/>
  <c r="DO129" i="35"/>
  <c r="DN129" i="35" s="1"/>
  <c r="DO78" i="35"/>
  <c r="DN78" i="35" s="1"/>
  <c r="DO77" i="35"/>
  <c r="DN77" i="35" s="1"/>
  <c r="DP54" i="35"/>
  <c r="AV136" i="35"/>
  <c r="DO136" i="35" s="1"/>
  <c r="DN136" i="35" s="1"/>
  <c r="DP105" i="35"/>
  <c r="AV147" i="35"/>
  <c r="DP147" i="35" s="1"/>
  <c r="AV153" i="35"/>
  <c r="DO153" i="35" s="1"/>
  <c r="DN153" i="35" s="1"/>
  <c r="DP14" i="35"/>
  <c r="DP53" i="35"/>
  <c r="DP22" i="35"/>
  <c r="DP111" i="35"/>
  <c r="DO120" i="35"/>
  <c r="DN120" i="35" s="1"/>
  <c r="DO94" i="35"/>
  <c r="DN94" i="35" s="1"/>
  <c r="DO34" i="35"/>
  <c r="DN34" i="35" s="1"/>
  <c r="DO89" i="35"/>
  <c r="DN89" i="35" s="1"/>
  <c r="DP73" i="35"/>
  <c r="DP121" i="35"/>
  <c r="DO118" i="35"/>
  <c r="DN118" i="35" s="1"/>
  <c r="DP41" i="35"/>
  <c r="DO65" i="35"/>
  <c r="DN65" i="35" s="1"/>
  <c r="DO98" i="35"/>
  <c r="DN98" i="35" s="1"/>
  <c r="DP51" i="35"/>
  <c r="DO50" i="35"/>
  <c r="DN50" i="35" s="1"/>
  <c r="DO93" i="35"/>
  <c r="DN93" i="35" s="1"/>
  <c r="DO40" i="35"/>
  <c r="DN40" i="35" s="1"/>
  <c r="AV146" i="35"/>
  <c r="DP146" i="35" s="1"/>
  <c r="DO15" i="35"/>
  <c r="DN15" i="35" s="1"/>
  <c r="DO69" i="35"/>
  <c r="DN69" i="35" s="1"/>
  <c r="DO57" i="35"/>
  <c r="DN57" i="35" s="1"/>
  <c r="AV131" i="35"/>
  <c r="DP131" i="35" s="1"/>
  <c r="DP61" i="35"/>
  <c r="DO27" i="35"/>
  <c r="DN27" i="35" s="1"/>
  <c r="DO20" i="35"/>
  <c r="DN20" i="35" s="1"/>
  <c r="DP101" i="35"/>
  <c r="DO8" i="35"/>
  <c r="DN8" i="35" s="1"/>
  <c r="AV152" i="35"/>
  <c r="DO152" i="35" s="1"/>
  <c r="DN152" i="35" s="1"/>
  <c r="AV138" i="35"/>
  <c r="DP138" i="35" s="1"/>
  <c r="AV150" i="35"/>
  <c r="DO150" i="35" s="1"/>
  <c r="DN150" i="35" s="1"/>
  <c r="DP116" i="35"/>
  <c r="DO90" i="35"/>
  <c r="DN90" i="35" s="1"/>
  <c r="DP119" i="35"/>
  <c r="AT7" i="35"/>
  <c r="DO96" i="35"/>
  <c r="DN96" i="35" s="1"/>
  <c r="AV154" i="35"/>
  <c r="DP154" i="35" s="1"/>
  <c r="AV142" i="35"/>
  <c r="DP142" i="35" s="1"/>
  <c r="DO49" i="35"/>
  <c r="DN49" i="35" s="1"/>
  <c r="AV151" i="35"/>
  <c r="DO151" i="35" s="1"/>
  <c r="DN151" i="35" s="1"/>
  <c r="AV149" i="35"/>
  <c r="DO149" i="35" s="1"/>
  <c r="DN149" i="35" s="1"/>
  <c r="DP58" i="35"/>
  <c r="AV141" i="35"/>
  <c r="DO141" i="35" s="1"/>
  <c r="DN141" i="35" s="1"/>
  <c r="DP82" i="35"/>
  <c r="DO48" i="35"/>
  <c r="DN48" i="35" s="1"/>
  <c r="AV137" i="35"/>
  <c r="DP137" i="35" s="1"/>
  <c r="DO46" i="35"/>
  <c r="DN46" i="35" s="1"/>
  <c r="AV135" i="35"/>
  <c r="DP135" i="35" s="1"/>
  <c r="DO86" i="35"/>
  <c r="DN86" i="35" s="1"/>
  <c r="AV156" i="35"/>
  <c r="DP156" i="35" s="1"/>
  <c r="AU161" i="35"/>
  <c r="AV161" i="35" s="1"/>
  <c r="DO21" i="35"/>
  <c r="DN21" i="35" s="1"/>
  <c r="AS161" i="35"/>
  <c r="AT175" i="35"/>
  <c r="AT185" i="35"/>
  <c r="AT177" i="35"/>
  <c r="AT171" i="35"/>
  <c r="AT182" i="35"/>
  <c r="AT169" i="35"/>
  <c r="AT191" i="35"/>
  <c r="AT166" i="35"/>
  <c r="AT188" i="35"/>
  <c r="AT178" i="35"/>
  <c r="AT179" i="35"/>
  <c r="AT186" i="35"/>
  <c r="AT190" i="35"/>
  <c r="AT180" i="35"/>
  <c r="AT167" i="35"/>
  <c r="AT189" i="35"/>
  <c r="AT183" i="35"/>
  <c r="AT173" i="35"/>
  <c r="AT172" i="35"/>
  <c r="AT164" i="35"/>
  <c r="AT163" i="35"/>
  <c r="AT174" i="35"/>
  <c r="AT165" i="35"/>
  <c r="AT168" i="35"/>
  <c r="AT184" i="35"/>
  <c r="AT176" i="35"/>
  <c r="AT170" i="35"/>
  <c r="AT187" i="35"/>
  <c r="AT181" i="35"/>
  <c r="AL214" i="35"/>
  <c r="AL213" i="35"/>
  <c r="AL205" i="35"/>
  <c r="AL221" i="35"/>
  <c r="AL197" i="35"/>
  <c r="AL195" i="35"/>
  <c r="AL200" i="35"/>
  <c r="AL211" i="35"/>
  <c r="AL217" i="35"/>
  <c r="AL219" i="35"/>
  <c r="AL208" i="35"/>
  <c r="AL199" i="35"/>
  <c r="AL198" i="35"/>
  <c r="AL194" i="35"/>
  <c r="AL215" i="35"/>
  <c r="AL209" i="35"/>
  <c r="AL207" i="35"/>
  <c r="AL220" i="35"/>
  <c r="AL202" i="35"/>
  <c r="AL206" i="35"/>
  <c r="AL201" i="35"/>
  <c r="AL216" i="35"/>
  <c r="AL204" i="35"/>
  <c r="AL196" i="35"/>
  <c r="AL218" i="35"/>
  <c r="AL210" i="35"/>
  <c r="AL203" i="35"/>
  <c r="AL212" i="35"/>
  <c r="AL222" i="35"/>
  <c r="B46" i="37"/>
  <c r="AG21" i="37"/>
  <c r="DP155" i="35"/>
  <c r="DO130" i="35"/>
  <c r="DN130" i="35" s="1"/>
  <c r="DO143" i="35"/>
  <c r="DN143" i="35" s="1"/>
  <c r="AJ223" i="35"/>
  <c r="AK223" i="35" s="1"/>
  <c r="AH232" i="35"/>
  <c r="AI232" i="35" s="1"/>
  <c r="AH253" i="35"/>
  <c r="AI253" i="35" s="1"/>
  <c r="AH247" i="35"/>
  <c r="AI247" i="35" s="1"/>
  <c r="AH237" i="35"/>
  <c r="AI237" i="35" s="1"/>
  <c r="AH236" i="35"/>
  <c r="AI236" i="35" s="1"/>
  <c r="AH251" i="35"/>
  <c r="AI251" i="35" s="1"/>
  <c r="AH240" i="35"/>
  <c r="AI240" i="35" s="1"/>
  <c r="AH248" i="35"/>
  <c r="AI248" i="35" s="1"/>
  <c r="AH235" i="35"/>
  <c r="AI235" i="35" s="1"/>
  <c r="AH252" i="35"/>
  <c r="AI252" i="35" s="1"/>
  <c r="AH241" i="35"/>
  <c r="AI241" i="35" s="1"/>
  <c r="AH233" i="35"/>
  <c r="AI233" i="35" s="1"/>
  <c r="AH244" i="35"/>
  <c r="AI244" i="35" s="1"/>
  <c r="AH227" i="35"/>
  <c r="AI227" i="35" s="1"/>
  <c r="AH246" i="35"/>
  <c r="AI246" i="35" s="1"/>
  <c r="AH230" i="35"/>
  <c r="AI230" i="35" s="1"/>
  <c r="AH245" i="35"/>
  <c r="AI245" i="35" s="1"/>
  <c r="AH238" i="35"/>
  <c r="AI238" i="35" s="1"/>
  <c r="AH249" i="35"/>
  <c r="AI249" i="35" s="1"/>
  <c r="AH243" i="35"/>
  <c r="AI243" i="35" s="1"/>
  <c r="AH224" i="35"/>
  <c r="AI224" i="35" s="1"/>
  <c r="AH250" i="35"/>
  <c r="AI250" i="35" s="1"/>
  <c r="AK193" i="35"/>
  <c r="AF254" i="35"/>
  <c r="AG254" i="35" s="1"/>
  <c r="Y285" i="35"/>
  <c r="AD285" i="35" s="1"/>
  <c r="Y283" i="35"/>
  <c r="Y268" i="35"/>
  <c r="Y279" i="35"/>
  <c r="Y266" i="35"/>
  <c r="Y264" i="35"/>
  <c r="Y282" i="35"/>
  <c r="Y277" i="35"/>
  <c r="Y275" i="35"/>
  <c r="Y273" i="35"/>
  <c r="Y271" i="35"/>
  <c r="Y262" i="35"/>
  <c r="Y260" i="35"/>
  <c r="Y281" i="35"/>
  <c r="Y284" i="35"/>
  <c r="Y280" i="35"/>
  <c r="Y278" i="35"/>
  <c r="Y276" i="35"/>
  <c r="Y274" i="35"/>
  <c r="Y272" i="35"/>
  <c r="Y270" i="35"/>
  <c r="Y263" i="35"/>
  <c r="Y261" i="35"/>
  <c r="Y259" i="35"/>
  <c r="Y269" i="35"/>
  <c r="Y257" i="35"/>
  <c r="Y265" i="35"/>
  <c r="Y258" i="35"/>
  <c r="Y256" i="35"/>
  <c r="Y267" i="35"/>
  <c r="AE255" i="35"/>
  <c r="AH231" i="35"/>
  <c r="AI231" i="35" s="1"/>
  <c r="AH228" i="35"/>
  <c r="AI228" i="35" s="1"/>
  <c r="AH226" i="35"/>
  <c r="AI226" i="35" s="1"/>
  <c r="AH229" i="35"/>
  <c r="AI229" i="35" s="1"/>
  <c r="AH225" i="35"/>
  <c r="AI225" i="35" s="1"/>
  <c r="AH239" i="35"/>
  <c r="AI239" i="35" s="1"/>
  <c r="AH242" i="35"/>
  <c r="AI242" i="35" s="1"/>
  <c r="AH234" i="35"/>
  <c r="AI234" i="35" s="1"/>
  <c r="X181" i="22"/>
  <c r="Z181" i="22" s="1"/>
  <c r="X63" i="22"/>
  <c r="AC63" i="22" s="1"/>
  <c r="X259" i="22"/>
  <c r="Z259" i="22" s="1"/>
  <c r="X12" i="22"/>
  <c r="Z12" i="22" s="1"/>
  <c r="X85" i="22"/>
  <c r="Z267" i="22"/>
  <c r="AB267" i="22" s="1"/>
  <c r="AC267" i="22"/>
  <c r="AF267" i="22" s="1"/>
  <c r="AS293" i="22"/>
  <c r="AC40" i="22"/>
  <c r="AF40" i="22" s="1"/>
  <c r="AC160" i="22"/>
  <c r="Z40" i="22"/>
  <c r="AB40" i="22" s="1"/>
  <c r="AC41" i="22"/>
  <c r="AC44" i="22"/>
  <c r="AC87" i="22"/>
  <c r="Z120" i="22"/>
  <c r="AB120" i="22" s="1"/>
  <c r="AC120" i="22"/>
  <c r="AC136" i="22"/>
  <c r="AE50" i="22"/>
  <c r="AG50" i="22"/>
  <c r="AF50" i="22"/>
  <c r="Z50" i="22"/>
  <c r="AB50" i="22" s="1"/>
  <c r="AD50" i="22"/>
  <c r="AC144" i="22"/>
  <c r="AG144" i="22" s="1"/>
  <c r="AD146" i="22"/>
  <c r="Z104" i="22"/>
  <c r="AB104" i="22" s="1"/>
  <c r="Z90" i="22"/>
  <c r="AB90" i="22" s="1"/>
  <c r="Z41" i="22"/>
  <c r="AB41" i="22" s="1"/>
  <c r="AC207" i="22"/>
  <c r="AF207" i="22" s="1"/>
  <c r="AC39" i="22"/>
  <c r="AD39" i="22" s="1"/>
  <c r="AG261" i="22"/>
  <c r="AE166" i="22"/>
  <c r="AC18" i="22"/>
  <c r="AG18" i="22" s="1"/>
  <c r="AF166" i="22"/>
  <c r="Z226" i="22"/>
  <c r="AG34" i="22"/>
  <c r="AF34" i="22"/>
  <c r="AE34" i="22"/>
  <c r="AD34" i="22"/>
  <c r="AC128" i="22"/>
  <c r="AC215" i="22"/>
  <c r="AC16" i="22"/>
  <c r="AC80" i="22"/>
  <c r="AC64" i="22"/>
  <c r="AC54" i="22"/>
  <c r="Z215" i="22"/>
  <c r="AD104" i="22"/>
  <c r="AG104" i="22"/>
  <c r="AF104" i="22"/>
  <c r="Z187" i="22"/>
  <c r="AB187" i="22" s="1"/>
  <c r="Z97" i="22"/>
  <c r="AC65" i="22"/>
  <c r="AE104" i="22"/>
  <c r="AC90" i="22"/>
  <c r="AC97" i="22"/>
  <c r="AC82" i="22"/>
  <c r="AC74" i="22"/>
  <c r="AG74" i="22" s="1"/>
  <c r="Z74" i="22"/>
  <c r="AB74" i="22" s="1"/>
  <c r="AC103" i="22"/>
  <c r="AC157" i="22"/>
  <c r="AC115" i="22"/>
  <c r="AC188" i="22"/>
  <c r="AC51" i="22"/>
  <c r="AC72" i="22"/>
  <c r="AF72" i="22" s="1"/>
  <c r="X71" i="22"/>
  <c r="AC61" i="22"/>
  <c r="AD166" i="22"/>
  <c r="AG124" i="22"/>
  <c r="AC150" i="22"/>
  <c r="AC69" i="22"/>
  <c r="AC180" i="22"/>
  <c r="AG180" i="22" s="1"/>
  <c r="Z66" i="22"/>
  <c r="AB66" i="22" s="1"/>
  <c r="Z52" i="22"/>
  <c r="AB52" i="22" s="1"/>
  <c r="Z184" i="22"/>
  <c r="AB184" i="22" s="1"/>
  <c r="AG166" i="22"/>
  <c r="AF124" i="22"/>
  <c r="AC184" i="22"/>
  <c r="Z36" i="22"/>
  <c r="X32" i="22"/>
  <c r="AC32" i="22" s="1"/>
  <c r="AC148" i="22"/>
  <c r="AC66" i="22"/>
  <c r="AD66" i="22" s="1"/>
  <c r="AC36" i="22"/>
  <c r="AC130" i="22"/>
  <c r="AD130" i="22" s="1"/>
  <c r="AC187" i="22"/>
  <c r="AD187" i="22" s="1"/>
  <c r="Z287" i="22"/>
  <c r="AB287" i="22" s="1"/>
  <c r="Z216" i="22"/>
  <c r="AB216" i="22" s="1"/>
  <c r="Z235" i="22"/>
  <c r="AB235" i="22" s="1"/>
  <c r="Z22" i="22"/>
  <c r="AB22" i="22" s="1"/>
  <c r="AC22" i="22"/>
  <c r="AC108" i="22"/>
  <c r="AF108" i="22" s="1"/>
  <c r="AC200" i="22"/>
  <c r="AC60" i="22"/>
  <c r="AD60" i="22" s="1"/>
  <c r="AC287" i="22"/>
  <c r="AC125" i="22"/>
  <c r="AF261" i="22"/>
  <c r="AC256" i="22"/>
  <c r="AF256" i="22" s="1"/>
  <c r="AC70" i="22"/>
  <c r="AD70" i="22" s="1"/>
  <c r="Z96" i="22"/>
  <c r="AB96" i="22" s="1"/>
  <c r="Z54" i="22"/>
  <c r="AB54" i="22" s="1"/>
  <c r="AD124" i="22"/>
  <c r="AC220" i="22"/>
  <c r="AD220" i="22" s="1"/>
  <c r="Z150" i="22"/>
  <c r="AB150" i="22" s="1"/>
  <c r="AE124" i="22"/>
  <c r="Z39" i="22"/>
  <c r="AC203" i="22"/>
  <c r="AE203" i="22" s="1"/>
  <c r="Z125" i="22"/>
  <c r="AB125" i="22" s="1"/>
  <c r="Z80" i="22"/>
  <c r="AB80" i="22" s="1"/>
  <c r="Z115" i="22"/>
  <c r="Z271" i="22"/>
  <c r="Z188" i="22"/>
  <c r="AB188" i="22" s="1"/>
  <c r="AC88" i="22"/>
  <c r="AF88" i="22" s="1"/>
  <c r="AC11" i="22"/>
  <c r="AC132" i="22"/>
  <c r="AC14" i="22"/>
  <c r="AF146" i="22"/>
  <c r="AC137" i="22"/>
  <c r="AC221" i="22"/>
  <c r="AC156" i="22"/>
  <c r="Z14" i="22"/>
  <c r="AB14" i="22" s="1"/>
  <c r="AG146" i="22"/>
  <c r="AC268" i="22"/>
  <c r="AD268" i="22" s="1"/>
  <c r="AE146" i="22"/>
  <c r="Z228" i="22"/>
  <c r="AC226" i="22"/>
  <c r="AD226" i="22" s="1"/>
  <c r="AC100" i="22"/>
  <c r="AD100" i="22" s="1"/>
  <c r="AC84" i="22"/>
  <c r="AC161" i="22"/>
  <c r="AD161" i="22" s="1"/>
  <c r="Z232" i="22"/>
  <c r="AB232" i="22" s="1"/>
  <c r="Z159" i="22"/>
  <c r="Z108" i="22"/>
  <c r="AB108" i="22" s="1"/>
  <c r="AC237" i="22"/>
  <c r="Z156" i="22"/>
  <c r="Z210" i="22"/>
  <c r="Z221" i="22"/>
  <c r="AB221" i="22" s="1"/>
  <c r="AC217" i="22"/>
  <c r="Z13" i="22"/>
  <c r="AB13" i="22" s="1"/>
  <c r="Z55" i="22"/>
  <c r="AB55" i="22" s="1"/>
  <c r="Z197" i="22"/>
  <c r="AC164" i="22"/>
  <c r="AE261" i="22"/>
  <c r="Z277" i="22"/>
  <c r="AB277" i="22" s="1"/>
  <c r="AC162" i="22"/>
  <c r="AC173" i="22"/>
  <c r="AC101" i="22"/>
  <c r="AE101" i="22" s="1"/>
  <c r="AC73" i="22"/>
  <c r="AC49" i="22"/>
  <c r="AC277" i="22"/>
  <c r="AD277" i="22" s="1"/>
  <c r="AC45" i="22"/>
  <c r="Z59" i="22"/>
  <c r="Z60" i="22"/>
  <c r="AB60" i="22" s="1"/>
  <c r="AC192" i="22"/>
  <c r="AC29" i="22"/>
  <c r="AC38" i="22"/>
  <c r="AF38" i="22" s="1"/>
  <c r="Z212" i="22"/>
  <c r="AB212" i="22" s="1"/>
  <c r="AC219" i="22"/>
  <c r="AC213" i="22"/>
  <c r="AG213" i="22" s="1"/>
  <c r="AC134" i="22"/>
  <c r="AE134" i="22" s="1"/>
  <c r="AC57" i="22"/>
  <c r="AC176" i="22"/>
  <c r="AC131" i="22"/>
  <c r="Z86" i="22"/>
  <c r="AB86" i="22" s="1"/>
  <c r="AC283" i="22"/>
  <c r="AG283" i="22" s="1"/>
  <c r="AD159" i="22"/>
  <c r="Z133" i="22"/>
  <c r="Z48" i="22"/>
  <c r="Z218" i="22"/>
  <c r="AD210" i="22"/>
  <c r="AB151" i="22"/>
  <c r="AB29" i="22"/>
  <c r="AB16" i="22"/>
  <c r="Z266" i="22"/>
  <c r="Z286" i="22"/>
  <c r="Z153" i="22"/>
  <c r="Z99" i="22"/>
  <c r="Z42" i="22"/>
  <c r="Z224" i="22"/>
  <c r="Z269" i="22"/>
  <c r="Z275" i="22"/>
  <c r="Z251" i="22"/>
  <c r="Z276" i="22"/>
  <c r="Z129" i="22"/>
  <c r="Z225" i="22"/>
  <c r="AB10" i="22"/>
  <c r="Z109" i="22"/>
  <c r="Z174" i="22"/>
  <c r="Z111" i="22"/>
  <c r="Z246" i="22"/>
  <c r="Z265" i="22"/>
  <c r="Z270" i="22"/>
  <c r="Z105" i="22"/>
  <c r="Z281" i="22"/>
  <c r="Z233" i="22"/>
  <c r="AE210" i="22"/>
  <c r="Z236" i="22"/>
  <c r="Z280" i="22"/>
  <c r="Z62" i="22"/>
  <c r="Z26" i="22"/>
  <c r="Z201" i="22"/>
  <c r="Z186" i="22"/>
  <c r="Z278" i="22"/>
  <c r="Z19" i="22"/>
  <c r="Z20" i="22"/>
  <c r="Z285" i="22"/>
  <c r="Z282" i="22"/>
  <c r="Z175" i="22"/>
  <c r="Z260" i="22"/>
  <c r="Z274" i="22"/>
  <c r="Z229" i="22"/>
  <c r="Z126" i="22"/>
  <c r="Z231" i="22"/>
  <c r="Z262" i="22"/>
  <c r="Z112" i="22"/>
  <c r="Z158" i="22"/>
  <c r="Z102" i="22"/>
  <c r="Z264" i="22"/>
  <c r="Z107" i="22"/>
  <c r="Z172" i="22"/>
  <c r="Z46" i="22"/>
  <c r="Z202" i="22"/>
  <c r="Z140" i="22"/>
  <c r="AB220" i="22"/>
  <c r="AB51" i="22"/>
  <c r="AB152" i="22"/>
  <c r="Z227" i="22"/>
  <c r="Z37" i="22"/>
  <c r="Z35" i="22"/>
  <c r="Z183" i="22"/>
  <c r="Z279" i="22"/>
  <c r="Z154" i="22"/>
  <c r="Z94" i="22"/>
  <c r="Z138" i="22"/>
  <c r="Z85" i="22"/>
  <c r="Z198" i="22"/>
  <c r="Z247" i="22"/>
  <c r="Z211" i="22"/>
  <c r="Z25" i="22"/>
  <c r="Z149" i="22"/>
  <c r="Z242" i="22"/>
  <c r="Z208" i="22"/>
  <c r="Z155" i="22"/>
  <c r="Z143" i="22"/>
  <c r="Z196" i="22"/>
  <c r="AF59" i="22"/>
  <c r="AF17" i="22"/>
  <c r="AE271" i="22"/>
  <c r="AD13" i="22"/>
  <c r="AB84" i="22"/>
  <c r="AB217" i="22"/>
  <c r="AB128" i="22"/>
  <c r="AB161" i="22"/>
  <c r="AB45" i="22"/>
  <c r="AB256" i="22"/>
  <c r="AB148" i="22"/>
  <c r="AB164" i="22"/>
  <c r="AB82" i="22"/>
  <c r="AB69" i="22"/>
  <c r="AB18" i="22"/>
  <c r="AB87" i="22"/>
  <c r="AB11" i="22"/>
  <c r="Z76" i="22"/>
  <c r="Z185" i="22"/>
  <c r="Z263" i="22"/>
  <c r="Z67" i="22"/>
  <c r="AB157" i="22"/>
  <c r="AB207" i="22"/>
  <c r="AB219" i="22"/>
  <c r="AB56" i="22"/>
  <c r="AB200" i="22"/>
  <c r="Z142" i="22"/>
  <c r="Z194" i="22"/>
  <c r="Z135" i="22"/>
  <c r="Z249" i="22"/>
  <c r="Z169" i="22"/>
  <c r="Z119" i="22"/>
  <c r="Z75" i="22"/>
  <c r="Z83" i="22"/>
  <c r="Z58" i="22"/>
  <c r="Z117" i="22"/>
  <c r="Z223" i="22"/>
  <c r="Z284" i="22"/>
  <c r="Z30" i="22"/>
  <c r="Z93" i="22"/>
  <c r="Z191" i="22"/>
  <c r="Z118" i="22"/>
  <c r="Z177" i="22"/>
  <c r="Z167" i="22"/>
  <c r="Z258" i="22"/>
  <c r="Z254" i="22"/>
  <c r="Z113" i="22"/>
  <c r="Z193" i="22"/>
  <c r="Z248" i="22"/>
  <c r="Z122" i="22"/>
  <c r="AF159" i="22"/>
  <c r="Z127" i="22"/>
  <c r="Z190" i="22"/>
  <c r="Z170" i="22"/>
  <c r="Z91" i="22"/>
  <c r="Z47" i="22"/>
  <c r="Z78" i="22"/>
  <c r="Z209" i="22"/>
  <c r="Z250" i="22"/>
  <c r="Z15" i="22"/>
  <c r="Z253" i="22"/>
  <c r="Z77" i="22"/>
  <c r="Z178" i="22"/>
  <c r="Z168" i="22"/>
  <c r="Z53" i="22"/>
  <c r="Z163" i="22"/>
  <c r="Z139" i="22"/>
  <c r="Z214" i="22"/>
  <c r="Z199" i="22"/>
  <c r="AF235" i="22"/>
  <c r="AB173" i="22"/>
  <c r="AB192" i="22"/>
  <c r="AB72" i="22"/>
  <c r="AB114" i="22"/>
  <c r="AB38" i="22"/>
  <c r="AB24" i="22"/>
  <c r="AB44" i="22"/>
  <c r="AB213" i="22"/>
  <c r="AB180" i="22"/>
  <c r="AB134" i="22"/>
  <c r="AB176" i="22"/>
  <c r="AB283" i="22"/>
  <c r="AB101" i="22"/>
  <c r="AB17" i="22"/>
  <c r="AB130" i="22"/>
  <c r="AB64" i="22"/>
  <c r="AB237" i="22"/>
  <c r="Z222" i="22"/>
  <c r="Z165" i="22"/>
  <c r="Z245" i="22"/>
  <c r="Z89" i="22"/>
  <c r="Z81" i="22"/>
  <c r="Z195" i="22"/>
  <c r="AB144" i="22"/>
  <c r="Z239" i="22"/>
  <c r="Z204" i="22"/>
  <c r="Z92" i="22"/>
  <c r="Z95" i="22"/>
  <c r="Z79" i="22"/>
  <c r="Z206" i="22"/>
  <c r="Z31" i="22"/>
  <c r="Z238" i="22"/>
  <c r="Z273" i="22"/>
  <c r="Z171" i="22"/>
  <c r="Z23" i="22"/>
  <c r="Z234" i="22"/>
  <c r="Z252" i="22"/>
  <c r="Z147" i="22"/>
  <c r="Z272" i="22"/>
  <c r="AF56" i="22"/>
  <c r="AB103" i="22"/>
  <c r="AB100" i="22"/>
  <c r="Z255" i="22"/>
  <c r="Z182" i="22"/>
  <c r="Z205" i="22"/>
  <c r="Z243" i="22"/>
  <c r="Z179" i="22"/>
  <c r="Z141" i="22"/>
  <c r="Z43" i="22"/>
  <c r="Z123" i="22"/>
  <c r="Z189" i="22"/>
  <c r="Z240" i="22"/>
  <c r="Z116" i="22"/>
  <c r="Z110" i="22"/>
  <c r="Z230" i="22"/>
  <c r="Z28" i="22"/>
  <c r="Z121" i="22"/>
  <c r="Z21" i="22"/>
  <c r="Z257" i="22"/>
  <c r="Z244" i="22"/>
  <c r="Z106" i="22"/>
  <c r="Z241" i="22"/>
  <c r="Z145" i="22"/>
  <c r="Z33" i="22"/>
  <c r="Z27" i="22"/>
  <c r="AD86" i="22"/>
  <c r="AF24" i="22"/>
  <c r="AB57" i="22"/>
  <c r="AB131" i="22"/>
  <c r="AB160" i="22"/>
  <c r="AB73" i="22"/>
  <c r="AB61" i="22"/>
  <c r="AB203" i="22"/>
  <c r="AB137" i="22"/>
  <c r="AB65" i="22"/>
  <c r="AB49" i="22"/>
  <c r="AB162" i="22"/>
  <c r="AB268" i="22"/>
  <c r="AB70" i="22"/>
  <c r="AB98" i="22"/>
  <c r="AB132" i="22"/>
  <c r="AD56" i="22"/>
  <c r="AG13" i="22"/>
  <c r="AF13" i="22"/>
  <c r="AG271" i="22"/>
  <c r="AE13" i="22"/>
  <c r="AD271" i="22"/>
  <c r="AE159" i="22"/>
  <c r="AF271" i="22"/>
  <c r="AC253" i="22"/>
  <c r="AC76" i="22"/>
  <c r="AD76" i="22" s="1"/>
  <c r="AC47" i="22"/>
  <c r="AF47" i="22" s="1"/>
  <c r="AC158" i="22"/>
  <c r="AE158" i="22" s="1"/>
  <c r="AE235" i="22"/>
  <c r="AC214" i="22"/>
  <c r="AE214" i="22" s="1"/>
  <c r="AE24" i="22"/>
  <c r="AC254" i="22"/>
  <c r="AG17" i="22"/>
  <c r="AG59" i="22"/>
  <c r="AC190" i="22"/>
  <c r="AE190" i="22" s="1"/>
  <c r="AC175" i="22"/>
  <c r="AD175" i="22" s="1"/>
  <c r="AE17" i="22"/>
  <c r="AE59" i="22"/>
  <c r="AC27" i="22"/>
  <c r="AD17" i="22"/>
  <c r="AD59" i="22"/>
  <c r="AG235" i="22"/>
  <c r="AC233" i="22"/>
  <c r="AF233" i="22" s="1"/>
  <c r="AD235" i="22"/>
  <c r="AC205" i="22"/>
  <c r="AD205" i="22" s="1"/>
  <c r="AC62" i="22"/>
  <c r="AC274" i="22"/>
  <c r="AG274" i="22" s="1"/>
  <c r="AD24" i="22"/>
  <c r="AC276" i="22"/>
  <c r="AC182" i="22"/>
  <c r="AG182" i="22" s="1"/>
  <c r="AG210" i="22"/>
  <c r="AG56" i="22"/>
  <c r="AC196" i="22"/>
  <c r="AG196" i="22" s="1"/>
  <c r="AF210" i="22"/>
  <c r="AC129" i="22"/>
  <c r="AC284" i="22"/>
  <c r="AF86" i="22"/>
  <c r="AG24" i="22"/>
  <c r="AC222" i="22"/>
  <c r="AC102" i="22"/>
  <c r="AG102" i="22" s="1"/>
  <c r="AC21" i="22"/>
  <c r="AC231" i="22"/>
  <c r="AC244" i="22"/>
  <c r="AD244" i="22" s="1"/>
  <c r="AC258" i="22"/>
  <c r="AC140" i="22"/>
  <c r="AC264" i="22"/>
  <c r="AG264" i="22" s="1"/>
  <c r="AC193" i="22"/>
  <c r="AC272" i="22"/>
  <c r="AC116" i="22"/>
  <c r="AD116" i="22" s="1"/>
  <c r="AC204" i="22"/>
  <c r="AC147" i="22"/>
  <c r="AC266" i="22"/>
  <c r="AE86" i="22"/>
  <c r="AC286" i="22"/>
  <c r="AC170" i="22"/>
  <c r="AF170" i="22" s="1"/>
  <c r="AC154" i="22"/>
  <c r="AC10" i="22"/>
  <c r="AE10" i="22" s="1"/>
  <c r="AC93" i="22"/>
  <c r="AC263" i="22"/>
  <c r="AF263" i="22" s="1"/>
  <c r="AC208" i="22"/>
  <c r="AG208" i="22" s="1"/>
  <c r="AC143" i="22"/>
  <c r="AC191" i="22"/>
  <c r="AE191" i="22" s="1"/>
  <c r="AC95" i="22"/>
  <c r="AC91" i="22"/>
  <c r="AC123" i="22"/>
  <c r="AC245" i="22"/>
  <c r="AC85" i="22"/>
  <c r="AC109" i="22"/>
  <c r="AE109" i="22" s="1"/>
  <c r="AC185" i="22"/>
  <c r="AC33" i="22"/>
  <c r="AC67" i="22"/>
  <c r="AC127" i="22"/>
  <c r="AD127" i="22" s="1"/>
  <c r="AC99" i="22"/>
  <c r="AD99" i="22" s="1"/>
  <c r="AC165" i="22"/>
  <c r="AC169" i="22"/>
  <c r="AC58" i="22"/>
  <c r="AG58" i="22" s="1"/>
  <c r="AG86" i="22"/>
  <c r="AC141" i="22"/>
  <c r="AC25" i="22"/>
  <c r="AC223" i="22"/>
  <c r="AC239" i="22"/>
  <c r="AC153" i="22"/>
  <c r="AC255" i="22"/>
  <c r="AC243" i="22"/>
  <c r="AC79" i="22"/>
  <c r="AC236" i="22"/>
  <c r="AC280" i="22"/>
  <c r="AC37" i="22"/>
  <c r="AC209" i="22"/>
  <c r="AC251" i="22"/>
  <c r="AC119" i="22"/>
  <c r="AC186" i="22"/>
  <c r="AC189" i="22"/>
  <c r="AC83" i="22"/>
  <c r="AC15" i="22"/>
  <c r="AC133" i="22"/>
  <c r="AC206" i="22"/>
  <c r="AC285" i="22"/>
  <c r="AC46" i="22"/>
  <c r="AC77" i="22"/>
  <c r="AC89" i="22"/>
  <c r="AC48" i="22"/>
  <c r="AC178" i="22"/>
  <c r="AC257" i="22"/>
  <c r="AC211" i="22"/>
  <c r="AC111" i="22"/>
  <c r="AC106" i="22"/>
  <c r="AC218" i="22"/>
  <c r="AC163" i="22"/>
  <c r="AC139" i="22"/>
  <c r="AG216" i="22"/>
  <c r="AE216" i="22"/>
  <c r="AD216" i="22"/>
  <c r="AF216" i="22"/>
  <c r="AE96" i="22"/>
  <c r="AF96" i="22"/>
  <c r="AD96" i="22"/>
  <c r="AG96" i="22"/>
  <c r="AD55" i="22"/>
  <c r="AE55" i="22"/>
  <c r="AF55" i="22"/>
  <c r="AG55" i="22"/>
  <c r="AD52" i="22"/>
  <c r="AE52" i="22"/>
  <c r="AF52" i="22"/>
  <c r="AG52" i="22"/>
  <c r="AE98" i="22"/>
  <c r="AF98" i="22"/>
  <c r="AD98" i="22"/>
  <c r="AG98" i="22"/>
  <c r="AC227" i="22"/>
  <c r="AC43" i="22"/>
  <c r="AC275" i="22"/>
  <c r="AC249" i="22"/>
  <c r="AC26" i="22"/>
  <c r="AC248" i="22"/>
  <c r="AC250" i="22"/>
  <c r="AC279" i="22"/>
  <c r="AF114" i="22"/>
  <c r="AE114" i="22"/>
  <c r="AD114" i="22"/>
  <c r="AG114" i="22"/>
  <c r="AC19" i="22"/>
  <c r="AC20" i="22"/>
  <c r="AC117" i="22"/>
  <c r="AC110" i="22"/>
  <c r="AC138" i="22"/>
  <c r="AC282" i="22"/>
  <c r="AC31" i="22"/>
  <c r="AC260" i="22"/>
  <c r="AC238" i="22"/>
  <c r="AC247" i="22"/>
  <c r="AC81" i="22"/>
  <c r="AC168" i="22"/>
  <c r="AC246" i="22"/>
  <c r="AC118" i="22"/>
  <c r="AC265" i="22"/>
  <c r="AC262" i="22"/>
  <c r="AC234" i="22"/>
  <c r="AC112" i="22"/>
  <c r="AC252" i="22"/>
  <c r="AC105" i="22"/>
  <c r="AE212" i="22"/>
  <c r="AF212" i="22"/>
  <c r="AD212" i="22"/>
  <c r="AG212" i="22"/>
  <c r="AC113" i="22"/>
  <c r="AC107" i="22"/>
  <c r="AC179" i="22"/>
  <c r="AC194" i="22"/>
  <c r="AC224" i="22"/>
  <c r="AC135" i="22"/>
  <c r="AC269" i="22"/>
  <c r="AC172" i="22"/>
  <c r="AC78" i="22"/>
  <c r="AC35" i="22"/>
  <c r="AC201" i="22"/>
  <c r="AC75" i="22"/>
  <c r="AC278" i="22"/>
  <c r="AC240" i="22"/>
  <c r="AC94" i="22"/>
  <c r="AC225" i="22"/>
  <c r="AC230" i="22"/>
  <c r="AC28" i="22"/>
  <c r="AC121" i="22"/>
  <c r="AC198" i="22"/>
  <c r="AC122" i="22"/>
  <c r="AC273" i="22"/>
  <c r="AC126" i="22"/>
  <c r="AC171" i="22"/>
  <c r="AC202" i="22"/>
  <c r="AC53" i="22"/>
  <c r="AC149" i="22"/>
  <c r="AC241" i="22"/>
  <c r="AC242" i="22"/>
  <c r="AC145" i="22"/>
  <c r="AC195" i="22"/>
  <c r="AC155" i="22"/>
  <c r="AC281" i="22"/>
  <c r="AC199" i="22"/>
  <c r="AC183" i="22"/>
  <c r="AD151" i="22"/>
  <c r="AE151" i="22"/>
  <c r="AG151" i="22"/>
  <c r="AF151" i="22"/>
  <c r="AD197" i="22"/>
  <c r="AF197" i="22"/>
  <c r="AE197" i="22"/>
  <c r="AG197" i="22"/>
  <c r="AC174" i="22"/>
  <c r="AC30" i="22"/>
  <c r="AE228" i="22"/>
  <c r="AF228" i="22"/>
  <c r="AD228" i="22"/>
  <c r="AG228" i="22"/>
  <c r="AC229" i="22"/>
  <c r="AC23" i="22"/>
  <c r="AC177" i="22"/>
  <c r="AC270" i="22"/>
  <c r="AC167" i="22"/>
  <c r="AF232" i="22"/>
  <c r="AG232" i="22"/>
  <c r="AD232" i="22"/>
  <c r="AE232" i="22"/>
  <c r="AC142" i="22"/>
  <c r="AC92" i="22"/>
  <c r="AC42" i="22"/>
  <c r="AG152" i="22"/>
  <c r="AD152" i="22"/>
  <c r="AE152" i="22"/>
  <c r="AF152" i="22"/>
  <c r="F17" i="34"/>
  <c r="B3" i="32"/>
  <c r="BL39" i="35" l="1"/>
  <c r="BN39" i="35" s="1"/>
  <c r="BP39" i="35" s="1"/>
  <c r="BL97" i="35"/>
  <c r="BN97" i="35" s="1"/>
  <c r="BP97" i="35" s="1"/>
  <c r="BL41" i="35"/>
  <c r="BN41" i="35" s="1"/>
  <c r="BP41" i="35" s="1"/>
  <c r="BL75" i="35"/>
  <c r="BN75" i="35" s="1"/>
  <c r="BP75" i="35" s="1"/>
  <c r="BL105" i="35"/>
  <c r="BN105" i="35" s="1"/>
  <c r="BP105" i="35" s="1"/>
  <c r="BL31" i="35"/>
  <c r="BN31" i="35" s="1"/>
  <c r="BP31" i="35" s="1"/>
  <c r="BL59" i="35"/>
  <c r="BN59" i="35" s="1"/>
  <c r="BP59" i="35" s="1"/>
  <c r="BL86" i="35"/>
  <c r="BN86" i="35" s="1"/>
  <c r="BP86" i="35" s="1"/>
  <c r="BL62" i="35"/>
  <c r="BN62" i="35" s="1"/>
  <c r="BP62" i="35" s="1"/>
  <c r="BD113" i="35"/>
  <c r="BD10" i="35"/>
  <c r="BD99" i="35"/>
  <c r="BD58" i="35"/>
  <c r="BD12" i="35"/>
  <c r="BD116" i="35"/>
  <c r="BD27" i="35"/>
  <c r="BD108" i="35"/>
  <c r="BD118" i="35"/>
  <c r="BD60" i="35"/>
  <c r="BD127" i="35"/>
  <c r="BA32" i="35"/>
  <c r="BD32" i="35" s="1"/>
  <c r="BF32" i="35" s="1"/>
  <c r="BH32" i="35" s="1"/>
  <c r="BJ32" i="35" s="1"/>
  <c r="BA154" i="35"/>
  <c r="BD154" i="35" s="1"/>
  <c r="BF154" i="35" s="1"/>
  <c r="BH154" i="35" s="1"/>
  <c r="BJ154" i="35" s="1"/>
  <c r="BA17" i="35"/>
  <c r="BA95" i="35"/>
  <c r="BA80" i="35"/>
  <c r="BA103" i="35"/>
  <c r="BA91" i="35"/>
  <c r="BA55" i="35"/>
  <c r="BA74" i="35"/>
  <c r="BD74" i="35" s="1"/>
  <c r="BF74" i="35" s="1"/>
  <c r="BH74" i="35" s="1"/>
  <c r="BJ74" i="35" s="1"/>
  <c r="BA124" i="35"/>
  <c r="BD124" i="35" s="1"/>
  <c r="BF124" i="35" s="1"/>
  <c r="BH124" i="35" s="1"/>
  <c r="BJ124" i="35" s="1"/>
  <c r="BA35" i="35"/>
  <c r="BD35" i="35" s="1"/>
  <c r="BF35" i="35" s="1"/>
  <c r="BH35" i="35" s="1"/>
  <c r="BJ35" i="35" s="1"/>
  <c r="BA42" i="35"/>
  <c r="BA49" i="35"/>
  <c r="BA37" i="35"/>
  <c r="BA126" i="35"/>
  <c r="BD126" i="35" s="1"/>
  <c r="BF126" i="35" s="1"/>
  <c r="BH126" i="35" s="1"/>
  <c r="BJ126" i="35" s="1"/>
  <c r="BA48" i="35"/>
  <c r="BD48" i="35" s="1"/>
  <c r="BF48" i="35" s="1"/>
  <c r="BH48" i="35" s="1"/>
  <c r="BJ48" i="35" s="1"/>
  <c r="BA123" i="35"/>
  <c r="BD123" i="35" s="1"/>
  <c r="BF123" i="35" s="1"/>
  <c r="BH123" i="35" s="1"/>
  <c r="BJ123" i="35" s="1"/>
  <c r="BA129" i="35"/>
  <c r="BD129" i="35" s="1"/>
  <c r="BF129" i="35" s="1"/>
  <c r="BH129" i="35" s="1"/>
  <c r="BJ129" i="35" s="1"/>
  <c r="BA107" i="35"/>
  <c r="BD107" i="35" s="1"/>
  <c r="BF107" i="35" s="1"/>
  <c r="BH107" i="35" s="1"/>
  <c r="BJ107" i="35" s="1"/>
  <c r="BA8" i="35"/>
  <c r="BD8" i="35" s="1"/>
  <c r="BF8" i="35" s="1"/>
  <c r="BH8" i="35" s="1"/>
  <c r="BJ8" i="35" s="1"/>
  <c r="BA54" i="35"/>
  <c r="BD54" i="35" s="1"/>
  <c r="BF54" i="35" s="1"/>
  <c r="BH54" i="35" s="1"/>
  <c r="BJ54" i="35" s="1"/>
  <c r="BA72" i="35"/>
  <c r="BD72" i="35" s="1"/>
  <c r="BF72" i="35" s="1"/>
  <c r="BH72" i="35" s="1"/>
  <c r="BJ72" i="35" s="1"/>
  <c r="BA70" i="35"/>
  <c r="BA52" i="35"/>
  <c r="BA106" i="35"/>
  <c r="BD106" i="35" s="1"/>
  <c r="BF106" i="35" s="1"/>
  <c r="BH106" i="35" s="1"/>
  <c r="BJ106" i="35" s="1"/>
  <c r="BA96" i="35"/>
  <c r="BD96" i="35" s="1"/>
  <c r="BF96" i="35" s="1"/>
  <c r="BH96" i="35" s="1"/>
  <c r="BJ96" i="35" s="1"/>
  <c r="BA56" i="35"/>
  <c r="BD56" i="35" s="1"/>
  <c r="BF56" i="35" s="1"/>
  <c r="BH56" i="35" s="1"/>
  <c r="BJ56" i="35" s="1"/>
  <c r="BA156" i="35"/>
  <c r="BD156" i="35" s="1"/>
  <c r="BF156" i="35" s="1"/>
  <c r="BH156" i="35" s="1"/>
  <c r="BJ156" i="35" s="1"/>
  <c r="BA142" i="35"/>
  <c r="BD142" i="35" s="1"/>
  <c r="BF142" i="35" s="1"/>
  <c r="BH142" i="35" s="1"/>
  <c r="BJ142" i="35" s="1"/>
  <c r="BA57" i="35"/>
  <c r="BA63" i="35"/>
  <c r="BD63" i="35" s="1"/>
  <c r="BF63" i="35" s="1"/>
  <c r="BH63" i="35" s="1"/>
  <c r="BJ63" i="35" s="1"/>
  <c r="BA110" i="35"/>
  <c r="BA78" i="35"/>
  <c r="BD78" i="35" s="1"/>
  <c r="BF78" i="35" s="1"/>
  <c r="BH78" i="35" s="1"/>
  <c r="BJ78" i="35" s="1"/>
  <c r="BA18" i="35"/>
  <c r="BD18" i="35" s="1"/>
  <c r="BF18" i="35" s="1"/>
  <c r="BH18" i="35" s="1"/>
  <c r="BJ18" i="35" s="1"/>
  <c r="BA104" i="35"/>
  <c r="BD104" i="35" s="1"/>
  <c r="BF104" i="35" s="1"/>
  <c r="BH104" i="35" s="1"/>
  <c r="BJ104" i="35" s="1"/>
  <c r="BA89" i="35"/>
  <c r="BD89" i="35" s="1"/>
  <c r="BF89" i="35" s="1"/>
  <c r="BH89" i="35" s="1"/>
  <c r="BJ89" i="35" s="1"/>
  <c r="BA83" i="35"/>
  <c r="BD83" i="35" s="1"/>
  <c r="BF83" i="35" s="1"/>
  <c r="BH83" i="35" s="1"/>
  <c r="BJ83" i="35" s="1"/>
  <c r="BA47" i="35"/>
  <c r="BD47" i="35" s="1"/>
  <c r="BF47" i="35" s="1"/>
  <c r="BH47" i="35" s="1"/>
  <c r="BJ47" i="35" s="1"/>
  <c r="BA88" i="35"/>
  <c r="BD88" i="35" s="1"/>
  <c r="BF88" i="35" s="1"/>
  <c r="BH88" i="35" s="1"/>
  <c r="BJ88" i="35" s="1"/>
  <c r="BA120" i="35"/>
  <c r="BA92" i="35"/>
  <c r="BD92" i="35" s="1"/>
  <c r="BF92" i="35" s="1"/>
  <c r="BH92" i="35" s="1"/>
  <c r="BJ92" i="35" s="1"/>
  <c r="BA117" i="35"/>
  <c r="BD117" i="35" s="1"/>
  <c r="BF117" i="35" s="1"/>
  <c r="BH117" i="35" s="1"/>
  <c r="BJ117" i="35" s="1"/>
  <c r="BA25" i="35"/>
  <c r="BD25" i="35" s="1"/>
  <c r="BF25" i="35" s="1"/>
  <c r="BH25" i="35" s="1"/>
  <c r="BJ25" i="35" s="1"/>
  <c r="BA115" i="35"/>
  <c r="BA82" i="35"/>
  <c r="BA34" i="35"/>
  <c r="BA109" i="35"/>
  <c r="BD109" i="35" s="1"/>
  <c r="BF109" i="35" s="1"/>
  <c r="BH109" i="35" s="1"/>
  <c r="BJ109" i="35" s="1"/>
  <c r="BA33" i="35"/>
  <c r="BD33" i="35" s="1"/>
  <c r="BF33" i="35" s="1"/>
  <c r="BH33" i="35" s="1"/>
  <c r="BJ33" i="35" s="1"/>
  <c r="BA98" i="35"/>
  <c r="BD98" i="35" s="1"/>
  <c r="BF98" i="35" s="1"/>
  <c r="BH98" i="35" s="1"/>
  <c r="BJ98" i="35" s="1"/>
  <c r="BA24" i="35"/>
  <c r="BA51" i="35"/>
  <c r="BA102" i="35"/>
  <c r="BA29" i="35"/>
  <c r="BA65" i="35"/>
  <c r="BA119" i="35"/>
  <c r="BA46" i="35"/>
  <c r="BA81" i="35"/>
  <c r="BD81" i="35" s="1"/>
  <c r="BF81" i="35" s="1"/>
  <c r="BH81" i="35" s="1"/>
  <c r="BJ81" i="35" s="1"/>
  <c r="BA114" i="35"/>
  <c r="BD114" i="35" s="1"/>
  <c r="BF114" i="35" s="1"/>
  <c r="BH114" i="35" s="1"/>
  <c r="BJ114" i="35" s="1"/>
  <c r="BA128" i="35"/>
  <c r="BA125" i="35"/>
  <c r="BA76" i="35"/>
  <c r="BA69" i="35"/>
  <c r="BA68" i="35"/>
  <c r="BA50" i="35"/>
  <c r="BA15" i="35"/>
  <c r="BD15" i="35" s="1"/>
  <c r="BF15" i="35" s="1"/>
  <c r="BH15" i="35" s="1"/>
  <c r="BJ15" i="35" s="1"/>
  <c r="BA14" i="35"/>
  <c r="BD14" i="35" s="1"/>
  <c r="BF14" i="35" s="1"/>
  <c r="BH14" i="35" s="1"/>
  <c r="BJ14" i="35" s="1"/>
  <c r="BA21" i="35"/>
  <c r="BA132" i="35"/>
  <c r="BD132" i="35" s="1"/>
  <c r="BF132" i="35" s="1"/>
  <c r="BH132" i="35" s="1"/>
  <c r="BJ132" i="35" s="1"/>
  <c r="BA138" i="35"/>
  <c r="BD138" i="35" s="1"/>
  <c r="BF138" i="35" s="1"/>
  <c r="BH138" i="35" s="1"/>
  <c r="BJ138" i="35" s="1"/>
  <c r="BA16" i="35"/>
  <c r="BA13" i="35"/>
  <c r="BA61" i="35"/>
  <c r="BA90" i="35"/>
  <c r="BD90" i="35" s="1"/>
  <c r="BF90" i="35" s="1"/>
  <c r="BH90" i="35" s="1"/>
  <c r="BJ90" i="35" s="1"/>
  <c r="BA64" i="35"/>
  <c r="BD64" i="35" s="1"/>
  <c r="BF64" i="35" s="1"/>
  <c r="BH64" i="35" s="1"/>
  <c r="BJ64" i="35" s="1"/>
  <c r="BA53" i="35"/>
  <c r="BD53" i="35" s="1"/>
  <c r="BF53" i="35" s="1"/>
  <c r="BH53" i="35" s="1"/>
  <c r="BJ53" i="35" s="1"/>
  <c r="BA121" i="35"/>
  <c r="BD121" i="35" s="1"/>
  <c r="BF121" i="35" s="1"/>
  <c r="BH121" i="35" s="1"/>
  <c r="BJ121" i="35" s="1"/>
  <c r="BA11" i="35"/>
  <c r="BD11" i="35" s="1"/>
  <c r="BF11" i="35" s="1"/>
  <c r="BH11" i="35" s="1"/>
  <c r="BJ11" i="35" s="1"/>
  <c r="BA28" i="35"/>
  <c r="BA19" i="35"/>
  <c r="BA94" i="35"/>
  <c r="BA45" i="35"/>
  <c r="BD45" i="35" s="1"/>
  <c r="BF45" i="35" s="1"/>
  <c r="BH45" i="35" s="1"/>
  <c r="BJ45" i="35" s="1"/>
  <c r="BA67" i="35"/>
  <c r="BD67" i="35" s="1"/>
  <c r="BF67" i="35" s="1"/>
  <c r="BH67" i="35" s="1"/>
  <c r="BJ67" i="35" s="1"/>
  <c r="BA134" i="35"/>
  <c r="BA84" i="35"/>
  <c r="BA40" i="35"/>
  <c r="BA36" i="35"/>
  <c r="BD36" i="35" s="1"/>
  <c r="BF36" i="35" s="1"/>
  <c r="BH36" i="35" s="1"/>
  <c r="BJ36" i="35" s="1"/>
  <c r="BA112" i="35"/>
  <c r="BA38" i="35"/>
  <c r="BA93" i="35"/>
  <c r="BA26" i="35"/>
  <c r="BA43" i="35"/>
  <c r="BA71" i="35"/>
  <c r="BD71" i="35" s="1"/>
  <c r="BF71" i="35" s="1"/>
  <c r="BH71" i="35" s="1"/>
  <c r="BJ71" i="35" s="1"/>
  <c r="BA20" i="35"/>
  <c r="BD20" i="35" s="1"/>
  <c r="BF20" i="35" s="1"/>
  <c r="BH20" i="35" s="1"/>
  <c r="BJ20" i="35" s="1"/>
  <c r="BA30" i="35"/>
  <c r="BD30" i="35" s="1"/>
  <c r="BF30" i="35" s="1"/>
  <c r="BH30" i="35" s="1"/>
  <c r="BJ30" i="35" s="1"/>
  <c r="BA101" i="35"/>
  <c r="BA150" i="35"/>
  <c r="BD150" i="35" s="1"/>
  <c r="BF150" i="35" s="1"/>
  <c r="BH150" i="35" s="1"/>
  <c r="BJ150" i="35" s="1"/>
  <c r="BA9" i="35"/>
  <c r="BD9" i="35" s="1"/>
  <c r="BF9" i="35" s="1"/>
  <c r="BH9" i="35" s="1"/>
  <c r="BJ9" i="35" s="1"/>
  <c r="AZ151" i="35"/>
  <c r="BA85" i="35"/>
  <c r="BD85" i="35" s="1"/>
  <c r="BF85" i="35" s="1"/>
  <c r="BH85" i="35" s="1"/>
  <c r="BJ85" i="35" s="1"/>
  <c r="BA111" i="35"/>
  <c r="BD111" i="35" s="1"/>
  <c r="BF111" i="35" s="1"/>
  <c r="BH111" i="35" s="1"/>
  <c r="BJ111" i="35" s="1"/>
  <c r="BA79" i="35"/>
  <c r="BD79" i="35" s="1"/>
  <c r="BF79" i="35" s="1"/>
  <c r="BH79" i="35" s="1"/>
  <c r="BJ79" i="35" s="1"/>
  <c r="BA73" i="35"/>
  <c r="BA77" i="35"/>
  <c r="BD77" i="35" s="1"/>
  <c r="BF77" i="35" s="1"/>
  <c r="BH77" i="35" s="1"/>
  <c r="BJ77" i="35" s="1"/>
  <c r="BA23" i="35"/>
  <c r="BA100" i="35"/>
  <c r="BA66" i="35"/>
  <c r="BA22" i="35"/>
  <c r="BD22" i="35" s="1"/>
  <c r="BF22" i="35" s="1"/>
  <c r="BH22" i="35" s="1"/>
  <c r="BJ22" i="35" s="1"/>
  <c r="BA87" i="35"/>
  <c r="BD87" i="35" s="1"/>
  <c r="BF87" i="35" s="1"/>
  <c r="BH87" i="35" s="1"/>
  <c r="BJ87" i="35" s="1"/>
  <c r="AZ136" i="35"/>
  <c r="AZ135" i="35"/>
  <c r="AZ148" i="35"/>
  <c r="AZ137" i="35"/>
  <c r="AZ158" i="35"/>
  <c r="AZ159" i="35"/>
  <c r="AZ145" i="35"/>
  <c r="AZ122" i="35"/>
  <c r="AZ144" i="35"/>
  <c r="AZ139" i="35"/>
  <c r="AZ141" i="35"/>
  <c r="AZ44" i="35"/>
  <c r="AZ152" i="35"/>
  <c r="AZ133" i="35"/>
  <c r="AZ153" i="35"/>
  <c r="AZ146" i="35"/>
  <c r="AZ149" i="35"/>
  <c r="AZ157" i="35"/>
  <c r="AZ147" i="35"/>
  <c r="AZ131" i="35"/>
  <c r="AZ160" i="35"/>
  <c r="AZ140" i="35"/>
  <c r="AX155" i="35"/>
  <c r="AO213" i="35"/>
  <c r="AP213" i="35" s="1"/>
  <c r="AQ213" i="35" s="1"/>
  <c r="AO218" i="35"/>
  <c r="AP218" i="35" s="1"/>
  <c r="AQ218" i="35" s="1"/>
  <c r="AO207" i="35"/>
  <c r="AP207" i="35" s="1"/>
  <c r="AQ207" i="35" s="1"/>
  <c r="AO217" i="35"/>
  <c r="AP217" i="35" s="1"/>
  <c r="AQ217" i="35" s="1"/>
  <c r="AO214" i="35"/>
  <c r="AP214" i="35" s="1"/>
  <c r="AQ214" i="35" s="1"/>
  <c r="AO210" i="35"/>
  <c r="AP210" i="35" s="1"/>
  <c r="AQ210" i="35" s="1"/>
  <c r="AO196" i="35"/>
  <c r="AP196" i="35" s="1"/>
  <c r="AQ196" i="35" s="1"/>
  <c r="AO209" i="35"/>
  <c r="AP209" i="35" s="1"/>
  <c r="AQ209" i="35" s="1"/>
  <c r="AO211" i="35"/>
  <c r="AP211" i="35" s="1"/>
  <c r="AQ211" i="35" s="1"/>
  <c r="AO219" i="35"/>
  <c r="AP219" i="35" s="1"/>
  <c r="AQ219" i="35" s="1"/>
  <c r="AO204" i="35"/>
  <c r="AP204" i="35" s="1"/>
  <c r="AQ204" i="35" s="1"/>
  <c r="AO215" i="35"/>
  <c r="AP215" i="35" s="1"/>
  <c r="AQ215" i="35" s="1"/>
  <c r="AO200" i="35"/>
  <c r="AP200" i="35" s="1"/>
  <c r="AQ200" i="35" s="1"/>
  <c r="AO216" i="35"/>
  <c r="AP216" i="35" s="1"/>
  <c r="AQ216" i="35" s="1"/>
  <c r="AO194" i="35"/>
  <c r="AP194" i="35" s="1"/>
  <c r="AQ194" i="35" s="1"/>
  <c r="AO195" i="35"/>
  <c r="AP195" i="35" s="1"/>
  <c r="AQ195" i="35" s="1"/>
  <c r="AO220" i="35"/>
  <c r="AP220" i="35" s="1"/>
  <c r="AQ220" i="35" s="1"/>
  <c r="AO222" i="35"/>
  <c r="AP222" i="35" s="1"/>
  <c r="AQ222" i="35" s="1"/>
  <c r="AO201" i="35"/>
  <c r="AP201" i="35" s="1"/>
  <c r="AQ201" i="35" s="1"/>
  <c r="AO198" i="35"/>
  <c r="AP198" i="35" s="1"/>
  <c r="AQ198" i="35" s="1"/>
  <c r="AO197" i="35"/>
  <c r="AP197" i="35" s="1"/>
  <c r="AQ197" i="35" s="1"/>
  <c r="AO212" i="35"/>
  <c r="AP212" i="35" s="1"/>
  <c r="AQ212" i="35" s="1"/>
  <c r="AO206" i="35"/>
  <c r="AP206" i="35" s="1"/>
  <c r="AQ206" i="35" s="1"/>
  <c r="AO199" i="35"/>
  <c r="AP199" i="35" s="1"/>
  <c r="AQ199" i="35" s="1"/>
  <c r="AO221" i="35"/>
  <c r="AP221" i="35" s="1"/>
  <c r="AQ221" i="35" s="1"/>
  <c r="AO203" i="35"/>
  <c r="AP203" i="35" s="1"/>
  <c r="AQ203" i="35" s="1"/>
  <c r="AO202" i="35"/>
  <c r="AP202" i="35" s="1"/>
  <c r="AQ202" i="35" s="1"/>
  <c r="AO208" i="35"/>
  <c r="AP208" i="35" s="1"/>
  <c r="AQ208" i="35" s="1"/>
  <c r="AO205" i="35"/>
  <c r="AP205" i="35" s="1"/>
  <c r="AQ205" i="35" s="1"/>
  <c r="AU172" i="35"/>
  <c r="AW172" i="35" s="1"/>
  <c r="AS179" i="35"/>
  <c r="AS177" i="35"/>
  <c r="AU184" i="35"/>
  <c r="AW184" i="35" s="1"/>
  <c r="AS165" i="35"/>
  <c r="AX143" i="35"/>
  <c r="AU190" i="35"/>
  <c r="AW190" i="35" s="1"/>
  <c r="AU182" i="35"/>
  <c r="AW182" i="35" s="1"/>
  <c r="AX130" i="35"/>
  <c r="AZ130" i="35" s="1"/>
  <c r="AU170" i="35"/>
  <c r="AW170" i="35" s="1"/>
  <c r="AW161" i="35"/>
  <c r="AD269" i="35"/>
  <c r="AE269" i="35" s="1"/>
  <c r="AF269" i="35" s="1"/>
  <c r="AG269" i="35" s="1"/>
  <c r="AD278" i="35"/>
  <c r="AE278" i="35" s="1"/>
  <c r="AF278" i="35" s="1"/>
  <c r="AG278" i="35" s="1"/>
  <c r="AD275" i="35"/>
  <c r="AE275" i="35" s="1"/>
  <c r="AF275" i="35" s="1"/>
  <c r="AG275" i="35" s="1"/>
  <c r="AD259" i="35"/>
  <c r="AE259" i="35" s="1"/>
  <c r="AF259" i="35" s="1"/>
  <c r="AG259" i="35" s="1"/>
  <c r="AD280" i="35"/>
  <c r="AE280" i="35" s="1"/>
  <c r="AF280" i="35" s="1"/>
  <c r="AG280" i="35" s="1"/>
  <c r="AD277" i="35"/>
  <c r="AE277" i="35" s="1"/>
  <c r="AF277" i="35" s="1"/>
  <c r="AG277" i="35" s="1"/>
  <c r="AD261" i="35"/>
  <c r="AE261" i="35" s="1"/>
  <c r="AF261" i="35" s="1"/>
  <c r="AG261" i="35" s="1"/>
  <c r="AD284" i="35"/>
  <c r="AE284" i="35" s="1"/>
  <c r="AF284" i="35" s="1"/>
  <c r="AG284" i="35" s="1"/>
  <c r="AD282" i="35"/>
  <c r="AE282" i="35" s="1"/>
  <c r="AF282" i="35" s="1"/>
  <c r="AG282" i="35" s="1"/>
  <c r="AD267" i="35"/>
  <c r="AE267" i="35" s="1"/>
  <c r="AF267" i="35" s="1"/>
  <c r="AG267" i="35" s="1"/>
  <c r="AD263" i="35"/>
  <c r="AE263" i="35" s="1"/>
  <c r="AF263" i="35" s="1"/>
  <c r="AG263" i="35" s="1"/>
  <c r="AD281" i="35"/>
  <c r="AE281" i="35" s="1"/>
  <c r="AF281" i="35" s="1"/>
  <c r="AG281" i="35" s="1"/>
  <c r="AD264" i="35"/>
  <c r="AE264" i="35" s="1"/>
  <c r="AF264" i="35" s="1"/>
  <c r="AG264" i="35" s="1"/>
  <c r="AD256" i="35"/>
  <c r="AE256" i="35" s="1"/>
  <c r="AF256" i="35" s="1"/>
  <c r="AG256" i="35" s="1"/>
  <c r="AD270" i="35"/>
  <c r="AE270" i="35" s="1"/>
  <c r="AF270" i="35" s="1"/>
  <c r="AG270" i="35" s="1"/>
  <c r="AD260" i="35"/>
  <c r="AE260" i="35" s="1"/>
  <c r="AF260" i="35" s="1"/>
  <c r="AG260" i="35" s="1"/>
  <c r="AD266" i="35"/>
  <c r="AE266" i="35" s="1"/>
  <c r="AF266" i="35" s="1"/>
  <c r="AG266" i="35" s="1"/>
  <c r="AD258" i="35"/>
  <c r="AE258" i="35" s="1"/>
  <c r="AF258" i="35" s="1"/>
  <c r="AG258" i="35" s="1"/>
  <c r="AD272" i="35"/>
  <c r="AE272" i="35" s="1"/>
  <c r="AF272" i="35" s="1"/>
  <c r="AG272" i="35" s="1"/>
  <c r="AD262" i="35"/>
  <c r="AE262" i="35" s="1"/>
  <c r="AF262" i="35" s="1"/>
  <c r="AG262" i="35" s="1"/>
  <c r="AD279" i="35"/>
  <c r="AE279" i="35" s="1"/>
  <c r="AF279" i="35" s="1"/>
  <c r="AG279" i="35" s="1"/>
  <c r="AD265" i="35"/>
  <c r="AE265" i="35" s="1"/>
  <c r="AF265" i="35" s="1"/>
  <c r="AG265" i="35" s="1"/>
  <c r="AD274" i="35"/>
  <c r="AE274" i="35" s="1"/>
  <c r="AF274" i="35" s="1"/>
  <c r="AG274" i="35" s="1"/>
  <c r="AD271" i="35"/>
  <c r="AE271" i="35" s="1"/>
  <c r="AF271" i="35" s="1"/>
  <c r="AG271" i="35" s="1"/>
  <c r="AD268" i="35"/>
  <c r="AE268" i="35" s="1"/>
  <c r="AF268" i="35" s="1"/>
  <c r="AG268" i="35" s="1"/>
  <c r="AD257" i="35"/>
  <c r="AE257" i="35" s="1"/>
  <c r="AF257" i="35" s="1"/>
  <c r="AG257" i="35" s="1"/>
  <c r="AD276" i="35"/>
  <c r="AE276" i="35" s="1"/>
  <c r="AF276" i="35" s="1"/>
  <c r="AG276" i="35" s="1"/>
  <c r="AD273" i="35"/>
  <c r="AE273" i="35" s="1"/>
  <c r="AF273" i="35" s="1"/>
  <c r="AG273" i="35" s="1"/>
  <c r="AD283" i="35"/>
  <c r="AE283" i="35" s="1"/>
  <c r="AF283" i="35" s="1"/>
  <c r="AG283" i="35" s="1"/>
  <c r="DP134" i="35"/>
  <c r="DO144" i="35"/>
  <c r="DN144" i="35" s="1"/>
  <c r="DP159" i="35"/>
  <c r="DO157" i="35"/>
  <c r="DN157" i="35" s="1"/>
  <c r="AU177" i="35"/>
  <c r="AW177" i="35" s="1"/>
  <c r="DO132" i="35"/>
  <c r="DN132" i="35" s="1"/>
  <c r="AU179" i="35"/>
  <c r="AV179" i="35" s="1"/>
  <c r="AS172" i="35"/>
  <c r="DO142" i="35"/>
  <c r="DN142" i="35" s="1"/>
  <c r="DP160" i="35"/>
  <c r="DO148" i="35"/>
  <c r="DN148" i="35" s="1"/>
  <c r="DP141" i="35"/>
  <c r="DO139" i="35"/>
  <c r="DN139" i="35" s="1"/>
  <c r="DO158" i="35"/>
  <c r="DN158" i="35" s="1"/>
  <c r="DB174" i="35"/>
  <c r="DB180" i="35"/>
  <c r="DB165" i="35"/>
  <c r="DB167" i="35"/>
  <c r="DB191" i="35"/>
  <c r="DB7" i="35"/>
  <c r="DB169" i="35"/>
  <c r="DB187" i="35"/>
  <c r="DB163" i="35"/>
  <c r="DB190" i="35"/>
  <c r="DB182" i="35"/>
  <c r="DB164" i="35"/>
  <c r="DB186" i="35"/>
  <c r="DB171" i="35"/>
  <c r="DB170" i="35"/>
  <c r="DB184" i="35"/>
  <c r="DB172" i="35"/>
  <c r="DB179" i="35"/>
  <c r="DB177" i="35"/>
  <c r="DB176" i="35"/>
  <c r="DB168" i="35"/>
  <c r="DB173" i="35"/>
  <c r="DB178" i="35"/>
  <c r="DB185" i="35"/>
  <c r="DB183" i="35"/>
  <c r="DB188" i="35"/>
  <c r="DB175" i="35"/>
  <c r="DB181" i="35"/>
  <c r="DB189" i="35"/>
  <c r="DB166" i="35"/>
  <c r="DP133" i="35"/>
  <c r="DO131" i="35"/>
  <c r="DN131" i="35" s="1"/>
  <c r="DO147" i="35"/>
  <c r="DN147" i="35" s="1"/>
  <c r="DO145" i="35"/>
  <c r="DN145" i="35" s="1"/>
  <c r="AU191" i="35"/>
  <c r="AW191" i="35" s="1"/>
  <c r="AS189" i="35"/>
  <c r="DP153" i="35"/>
  <c r="DO154" i="35"/>
  <c r="DN154" i="35" s="1"/>
  <c r="AU174" i="35"/>
  <c r="AW174" i="35" s="1"/>
  <c r="DP151" i="35"/>
  <c r="AU175" i="35"/>
  <c r="AV175" i="35" s="1"/>
  <c r="DP175" i="35" s="1"/>
  <c r="DP136" i="35"/>
  <c r="DO140" i="35"/>
  <c r="DN140" i="35" s="1"/>
  <c r="AU168" i="35"/>
  <c r="AW168" i="35" s="1"/>
  <c r="DP149" i="35"/>
  <c r="AS164" i="35"/>
  <c r="AS182" i="35"/>
  <c r="DO146" i="35"/>
  <c r="DN146" i="35" s="1"/>
  <c r="AS176" i="35"/>
  <c r="AU176" i="35"/>
  <c r="AW176" i="35" s="1"/>
  <c r="AS168" i="35"/>
  <c r="DO135" i="35"/>
  <c r="DN135" i="35" s="1"/>
  <c r="AS169" i="35"/>
  <c r="AS187" i="35"/>
  <c r="AU187" i="35"/>
  <c r="AW187" i="35" s="1"/>
  <c r="DO138" i="35"/>
  <c r="DN138" i="35" s="1"/>
  <c r="DO156" i="35"/>
  <c r="DN156" i="35" s="1"/>
  <c r="AS163" i="35"/>
  <c r="DO137" i="35"/>
  <c r="DN137" i="35" s="1"/>
  <c r="AU163" i="35"/>
  <c r="AW163" i="35" s="1"/>
  <c r="AS190" i="35"/>
  <c r="DP150" i="35"/>
  <c r="AU189" i="35"/>
  <c r="AW189" i="35" s="1"/>
  <c r="AS166" i="35"/>
  <c r="AU166" i="35"/>
  <c r="AW166" i="35" s="1"/>
  <c r="DP152" i="35"/>
  <c r="AU164" i="35"/>
  <c r="AW164" i="35" s="1"/>
  <c r="AS171" i="35"/>
  <c r="AS186" i="35"/>
  <c r="AU171" i="35"/>
  <c r="AW171" i="35" s="1"/>
  <c r="AU186" i="35"/>
  <c r="AW186" i="35" s="1"/>
  <c r="AS184" i="35"/>
  <c r="AS170" i="35"/>
  <c r="AU185" i="35"/>
  <c r="AW185" i="35" s="1"/>
  <c r="AS181" i="35"/>
  <c r="AS173" i="35"/>
  <c r="AS185" i="35"/>
  <c r="AU181" i="35"/>
  <c r="AW181" i="35" s="1"/>
  <c r="AU173" i="35"/>
  <c r="AV173" i="35" s="1"/>
  <c r="DO173" i="35" s="1"/>
  <c r="DN173" i="35" s="1"/>
  <c r="AS178" i="35"/>
  <c r="AU178" i="35"/>
  <c r="AW178" i="35" s="1"/>
  <c r="AU165" i="35"/>
  <c r="AW165" i="35" s="1"/>
  <c r="AS188" i="35"/>
  <c r="AU188" i="35"/>
  <c r="AW188" i="35" s="1"/>
  <c r="AS183" i="35"/>
  <c r="AS175" i="35"/>
  <c r="AU183" i="35"/>
  <c r="AW183" i="35" s="1"/>
  <c r="AU169" i="35"/>
  <c r="AW169" i="35" s="1"/>
  <c r="AU180" i="35"/>
  <c r="AW180" i="35" s="1"/>
  <c r="AS180" i="35"/>
  <c r="AS174" i="35"/>
  <c r="AU167" i="35"/>
  <c r="AW167" i="35" s="1"/>
  <c r="AS191" i="35"/>
  <c r="AS167" i="35"/>
  <c r="AT192" i="35"/>
  <c r="AQ162" i="35"/>
  <c r="AU7" i="35"/>
  <c r="AW7" i="35" s="1"/>
  <c r="AS7" i="35"/>
  <c r="AL193" i="35"/>
  <c r="AL223" i="35"/>
  <c r="B47" i="37"/>
  <c r="AH21" i="37"/>
  <c r="AJ243" i="35"/>
  <c r="AK243" i="35" s="1"/>
  <c r="AJ236" i="35"/>
  <c r="AK236" i="35" s="1"/>
  <c r="AJ232" i="35"/>
  <c r="AK232" i="35" s="1"/>
  <c r="AJ228" i="35"/>
  <c r="AK228" i="35" s="1"/>
  <c r="AJ240" i="35"/>
  <c r="AK240" i="35" s="1"/>
  <c r="AJ245" i="35"/>
  <c r="AK245" i="35" s="1"/>
  <c r="AJ252" i="35"/>
  <c r="AK252" i="35" s="1"/>
  <c r="AH254" i="35"/>
  <c r="AI254" i="35" s="1"/>
  <c r="AJ235" i="35"/>
  <c r="AK235" i="35" s="1"/>
  <c r="AJ253" i="35"/>
  <c r="AK253" i="35" s="1"/>
  <c r="AJ239" i="35"/>
  <c r="AK239" i="35" s="1"/>
  <c r="AJ227" i="35"/>
  <c r="AK227" i="35" s="1"/>
  <c r="AJ237" i="35"/>
  <c r="AK237" i="35" s="1"/>
  <c r="AJ242" i="35"/>
  <c r="AK242" i="35" s="1"/>
  <c r="AJ250" i="35"/>
  <c r="AK250" i="35" s="1"/>
  <c r="AJ247" i="35"/>
  <c r="AK247" i="35" s="1"/>
  <c r="AL247" i="35" s="1"/>
  <c r="AJ229" i="35"/>
  <c r="AK229" i="35" s="1"/>
  <c r="AJ251" i="35"/>
  <c r="AK251" i="35" s="1"/>
  <c r="AJ226" i="35"/>
  <c r="AK226" i="35" s="1"/>
  <c r="AJ233" i="35"/>
  <c r="AK233" i="35" s="1"/>
  <c r="AL233" i="35" s="1"/>
  <c r="AJ249" i="35"/>
  <c r="AK249" i="35" s="1"/>
  <c r="AL249" i="35" s="1"/>
  <c r="AJ234" i="35"/>
  <c r="AK234" i="35" s="1"/>
  <c r="AJ225" i="35"/>
  <c r="AK225" i="35" s="1"/>
  <c r="AJ231" i="35"/>
  <c r="AK231" i="35" s="1"/>
  <c r="AL231" i="35" s="1"/>
  <c r="Y286" i="35"/>
  <c r="AD286" i="35" s="1"/>
  <c r="AE285" i="35"/>
  <c r="AJ244" i="35"/>
  <c r="AK244" i="35" s="1"/>
  <c r="DP161" i="35"/>
  <c r="DO161" i="35"/>
  <c r="DN161" i="35" s="1"/>
  <c r="AF255" i="35"/>
  <c r="AG255" i="35" s="1"/>
  <c r="AJ238" i="35"/>
  <c r="AK238" i="35" s="1"/>
  <c r="AJ230" i="35"/>
  <c r="AK230" i="35" s="1"/>
  <c r="AJ241" i="35"/>
  <c r="AK241" i="35" s="1"/>
  <c r="AJ248" i="35"/>
  <c r="AK248" i="35" s="1"/>
  <c r="AJ224" i="35"/>
  <c r="AK224" i="35" s="1"/>
  <c r="AJ246" i="35"/>
  <c r="AK246" i="35" s="1"/>
  <c r="AG40" i="22"/>
  <c r="AD267" i="22"/>
  <c r="Z63" i="22"/>
  <c r="AB63" i="22" s="1"/>
  <c r="AC259" i="22"/>
  <c r="AC181" i="22"/>
  <c r="AC12" i="22"/>
  <c r="AF12" i="22" s="1"/>
  <c r="AD11" i="22"/>
  <c r="X68" i="22"/>
  <c r="AC68" i="22" s="1"/>
  <c r="AE267" i="22"/>
  <c r="AG267" i="22"/>
  <c r="AD40" i="22"/>
  <c r="AE40" i="22"/>
  <c r="AD160" i="22"/>
  <c r="AF160" i="22"/>
  <c r="AG160" i="22"/>
  <c r="AD82" i="22"/>
  <c r="AE160" i="22"/>
  <c r="AE41" i="22"/>
  <c r="AD41" i="22"/>
  <c r="AF144" i="22"/>
  <c r="AE29" i="22"/>
  <c r="AD188" i="22"/>
  <c r="AE44" i="22"/>
  <c r="AG207" i="22"/>
  <c r="AD44" i="22"/>
  <c r="AG41" i="22"/>
  <c r="AF41" i="22"/>
  <c r="AB271" i="22"/>
  <c r="AG44" i="22"/>
  <c r="AF44" i="22"/>
  <c r="AE51" i="22"/>
  <c r="AD215" i="22"/>
  <c r="AG87" i="22"/>
  <c r="AD144" i="22"/>
  <c r="AE144" i="22"/>
  <c r="AE207" i="22"/>
  <c r="AD207" i="22"/>
  <c r="AD87" i="22"/>
  <c r="AE87" i="22"/>
  <c r="AE69" i="22"/>
  <c r="AF120" i="22"/>
  <c r="AB215" i="22"/>
  <c r="AG120" i="22"/>
  <c r="AE120" i="22"/>
  <c r="AF87" i="22"/>
  <c r="AD69" i="22"/>
  <c r="AD120" i="22"/>
  <c r="AD49" i="22"/>
  <c r="AD18" i="22"/>
  <c r="AF54" i="22"/>
  <c r="AF74" i="22"/>
  <c r="AG82" i="22"/>
  <c r="AF49" i="22"/>
  <c r="AE136" i="22"/>
  <c r="AF82" i="22"/>
  <c r="AD156" i="22"/>
  <c r="AE82" i="22"/>
  <c r="AE192" i="22"/>
  <c r="AD61" i="22"/>
  <c r="AG49" i="22"/>
  <c r="AF80" i="22"/>
  <c r="AG136" i="22"/>
  <c r="AD80" i="22"/>
  <c r="AF136" i="22"/>
  <c r="AF18" i="22"/>
  <c r="AD136" i="22"/>
  <c r="AF137" i="22"/>
  <c r="AE39" i="22"/>
  <c r="AG39" i="22"/>
  <c r="AE36" i="22"/>
  <c r="AG29" i="22"/>
  <c r="AE137" i="22"/>
  <c r="AF157" i="22"/>
  <c r="AF192" i="22"/>
  <c r="AF36" i="22"/>
  <c r="AF69" i="22"/>
  <c r="AG137" i="22"/>
  <c r="AE49" i="22"/>
  <c r="AG65" i="22"/>
  <c r="AD192" i="22"/>
  <c r="AE217" i="22"/>
  <c r="AD115" i="22"/>
  <c r="AF65" i="22"/>
  <c r="AG192" i="22"/>
  <c r="AF39" i="22"/>
  <c r="AE65" i="22"/>
  <c r="AG128" i="22"/>
  <c r="AF128" i="22"/>
  <c r="AE97" i="22"/>
  <c r="AG125" i="22"/>
  <c r="AG217" i="22"/>
  <c r="AD287" i="22"/>
  <c r="AB226" i="22"/>
  <c r="AG157" i="22"/>
  <c r="AE157" i="22"/>
  <c r="AG97" i="22"/>
  <c r="AD157" i="22"/>
  <c r="AD97" i="22"/>
  <c r="AF148" i="22"/>
  <c r="AF97" i="22"/>
  <c r="AE148" i="22"/>
  <c r="AF29" i="22"/>
  <c r="AG162" i="22"/>
  <c r="AD217" i="22"/>
  <c r="AG287" i="22"/>
  <c r="AE256" i="22"/>
  <c r="AD103" i="22"/>
  <c r="AG256" i="22"/>
  <c r="AF187" i="22"/>
  <c r="AE220" i="22"/>
  <c r="AF103" i="22"/>
  <c r="AE103" i="22"/>
  <c r="AE187" i="22"/>
  <c r="AE162" i="22"/>
  <c r="AD90" i="22"/>
  <c r="AF90" i="22"/>
  <c r="AE90" i="22"/>
  <c r="AE16" i="22"/>
  <c r="AG90" i="22"/>
  <c r="AF16" i="22"/>
  <c r="AG16" i="22"/>
  <c r="AD16" i="22"/>
  <c r="AG100" i="22"/>
  <c r="AG64" i="22"/>
  <c r="AF64" i="22"/>
  <c r="AE64" i="22"/>
  <c r="AF60" i="22"/>
  <c r="AB59" i="22"/>
  <c r="AE60" i="22"/>
  <c r="AD64" i="22"/>
  <c r="AE132" i="22"/>
  <c r="AE100" i="22"/>
  <c r="AG132" i="22"/>
  <c r="AD132" i="22"/>
  <c r="AG60" i="22"/>
  <c r="AF132" i="22"/>
  <c r="AD256" i="22"/>
  <c r="AD65" i="22"/>
  <c r="AD29" i="22"/>
  <c r="AD36" i="22"/>
  <c r="AG115" i="22"/>
  <c r="AE22" i="22"/>
  <c r="AG51" i="22"/>
  <c r="AE18" i="22"/>
  <c r="AG184" i="22"/>
  <c r="AE215" i="22"/>
  <c r="AE128" i="22"/>
  <c r="AF51" i="22"/>
  <c r="AG220" i="22"/>
  <c r="AG187" i="22"/>
  <c r="AG80" i="22"/>
  <c r="AF215" i="22"/>
  <c r="AG215" i="22"/>
  <c r="AG69" i="22"/>
  <c r="AD128" i="22"/>
  <c r="AD51" i="22"/>
  <c r="AF220" i="22"/>
  <c r="AE80" i="22"/>
  <c r="AG72" i="22"/>
  <c r="AE184" i="22"/>
  <c r="AG54" i="22"/>
  <c r="AE72" i="22"/>
  <c r="AB97" i="22"/>
  <c r="AB36" i="22"/>
  <c r="AE54" i="22"/>
  <c r="AE14" i="22"/>
  <c r="AD14" i="22"/>
  <c r="AF237" i="22"/>
  <c r="AB39" i="22"/>
  <c r="AD54" i="22"/>
  <c r="AB115" i="22"/>
  <c r="AD72" i="22"/>
  <c r="AD88" i="22"/>
  <c r="AG203" i="22"/>
  <c r="AD57" i="22"/>
  <c r="AF22" i="22"/>
  <c r="AF188" i="22"/>
  <c r="AF125" i="22"/>
  <c r="AE188" i="22"/>
  <c r="AF162" i="22"/>
  <c r="AF11" i="22"/>
  <c r="AD125" i="22"/>
  <c r="AD184" i="22"/>
  <c r="AD162" i="22"/>
  <c r="AF226" i="22"/>
  <c r="AE150" i="22"/>
  <c r="AB159" i="22"/>
  <c r="AB210" i="22"/>
  <c r="AE74" i="22"/>
  <c r="AE226" i="22"/>
  <c r="AG226" i="22"/>
  <c r="AG14" i="22"/>
  <c r="AE287" i="22"/>
  <c r="AG150" i="22"/>
  <c r="AD74" i="22"/>
  <c r="AF184" i="22"/>
  <c r="AF14" i="22"/>
  <c r="AF217" i="22"/>
  <c r="AF287" i="22"/>
  <c r="AD150" i="22"/>
  <c r="AG188" i="22"/>
  <c r="AF150" i="22"/>
  <c r="AE125" i="22"/>
  <c r="AD22" i="22"/>
  <c r="AE131" i="22"/>
  <c r="AE237" i="22"/>
  <c r="AD101" i="22"/>
  <c r="AF203" i="22"/>
  <c r="Z71" i="22"/>
  <c r="AG165" i="22"/>
  <c r="AE66" i="22"/>
  <c r="AF200" i="22"/>
  <c r="AD200" i="22"/>
  <c r="AD165" i="22"/>
  <c r="AD131" i="22"/>
  <c r="AE108" i="22"/>
  <c r="AE115" i="22"/>
  <c r="AE156" i="22"/>
  <c r="AB156" i="22"/>
  <c r="AE200" i="22"/>
  <c r="AE176" i="22"/>
  <c r="AG61" i="22"/>
  <c r="AD203" i="22"/>
  <c r="AG161" i="22"/>
  <c r="AG156" i="22"/>
  <c r="AG130" i="22"/>
  <c r="AG131" i="22"/>
  <c r="AF131" i="22"/>
  <c r="AG200" i="22"/>
  <c r="AG164" i="22"/>
  <c r="AF61" i="22"/>
  <c r="AG22" i="22"/>
  <c r="AG103" i="22"/>
  <c r="AE61" i="22"/>
  <c r="AF156" i="22"/>
  <c r="AF130" i="22"/>
  <c r="AF161" i="22"/>
  <c r="AE130" i="22"/>
  <c r="AF115" i="22"/>
  <c r="AC71" i="22"/>
  <c r="AD237" i="22"/>
  <c r="AD148" i="22"/>
  <c r="AF180" i="22"/>
  <c r="AG268" i="22"/>
  <c r="AF32" i="22"/>
  <c r="AE32" i="22"/>
  <c r="AG32" i="22"/>
  <c r="AD32" i="22"/>
  <c r="AE164" i="22"/>
  <c r="AF244" i="22"/>
  <c r="AG36" i="22"/>
  <c r="AD137" i="22"/>
  <c r="AG237" i="22"/>
  <c r="AG148" i="22"/>
  <c r="AG11" i="22"/>
  <c r="AD108" i="22"/>
  <c r="AE180" i="22"/>
  <c r="AF268" i="22"/>
  <c r="AB228" i="22"/>
  <c r="AD180" i="22"/>
  <c r="Z32" i="22"/>
  <c r="AE11" i="22"/>
  <c r="AG134" i="22"/>
  <c r="AD134" i="22"/>
  <c r="AG108" i="22"/>
  <c r="AF70" i="22"/>
  <c r="AD164" i="22"/>
  <c r="AE268" i="22"/>
  <c r="AF164" i="22"/>
  <c r="AG70" i="22"/>
  <c r="AE70" i="22"/>
  <c r="AG66" i="22"/>
  <c r="AF66" i="22"/>
  <c r="AE88" i="22"/>
  <c r="AG88" i="22"/>
  <c r="AF10" i="22"/>
  <c r="AE221" i="22"/>
  <c r="AD73" i="22"/>
  <c r="AG221" i="22"/>
  <c r="AF221" i="22"/>
  <c r="AD221" i="22"/>
  <c r="AG73" i="22"/>
  <c r="AE73" i="22"/>
  <c r="AF73" i="22"/>
  <c r="AE175" i="22"/>
  <c r="AD219" i="22"/>
  <c r="AF196" i="22"/>
  <c r="AG84" i="22"/>
  <c r="AG47" i="22"/>
  <c r="AG175" i="22"/>
  <c r="AD84" i="22"/>
  <c r="AE161" i="22"/>
  <c r="AF84" i="22"/>
  <c r="AF100" i="22"/>
  <c r="AE84" i="22"/>
  <c r="AD173" i="22"/>
  <c r="AG38" i="22"/>
  <c r="AB197" i="22"/>
  <c r="AF101" i="22"/>
  <c r="AE277" i="22"/>
  <c r="AE38" i="22"/>
  <c r="AE173" i="22"/>
  <c r="AG101" i="22"/>
  <c r="AG173" i="22"/>
  <c r="AF173" i="22"/>
  <c r="AD38" i="22"/>
  <c r="AG277" i="22"/>
  <c r="AF277" i="22"/>
  <c r="AE57" i="22"/>
  <c r="AE213" i="22"/>
  <c r="AD213" i="22"/>
  <c r="AG45" i="22"/>
  <c r="AF45" i="22"/>
  <c r="AE45" i="22"/>
  <c r="AD45" i="22"/>
  <c r="AF213" i="22"/>
  <c r="AG57" i="22"/>
  <c r="AF57" i="22"/>
  <c r="AG109" i="22"/>
  <c r="AF176" i="22"/>
  <c r="AF219" i="22"/>
  <c r="AE170" i="22"/>
  <c r="AG170" i="22"/>
  <c r="AG10" i="22"/>
  <c r="AE165" i="22"/>
  <c r="AG176" i="22"/>
  <c r="AE219" i="22"/>
  <c r="AF134" i="22"/>
  <c r="AF165" i="22"/>
  <c r="AF76" i="22"/>
  <c r="AD176" i="22"/>
  <c r="AG219" i="22"/>
  <c r="AE283" i="22"/>
  <c r="AD283" i="22"/>
  <c r="AF283" i="22"/>
  <c r="AE264" i="22"/>
  <c r="AD141" i="22"/>
  <c r="AF127" i="22"/>
  <c r="AD123" i="22"/>
  <c r="AF208" i="22"/>
  <c r="AF266" i="22"/>
  <c r="AG140" i="22"/>
  <c r="AE21" i="22"/>
  <c r="AD129" i="22"/>
  <c r="AF182" i="22"/>
  <c r="AB27" i="22"/>
  <c r="AB106" i="22"/>
  <c r="AB121" i="22"/>
  <c r="AB116" i="22"/>
  <c r="AB43" i="22"/>
  <c r="AB205" i="22"/>
  <c r="AB234" i="22"/>
  <c r="AB238" i="22"/>
  <c r="AB163" i="22"/>
  <c r="AB117" i="22"/>
  <c r="AB119" i="22"/>
  <c r="AB194" i="22"/>
  <c r="AB67" i="22"/>
  <c r="AB208" i="22"/>
  <c r="AB181" i="22"/>
  <c r="AB85" i="22"/>
  <c r="AB154" i="22"/>
  <c r="AB37" i="22"/>
  <c r="AB140" i="22"/>
  <c r="AB107" i="22"/>
  <c r="AB158" i="22"/>
  <c r="AB126" i="22"/>
  <c r="AB175" i="22"/>
  <c r="AB19" i="22"/>
  <c r="AB26" i="22"/>
  <c r="AE91" i="22"/>
  <c r="AE263" i="22"/>
  <c r="AD147" i="22"/>
  <c r="AE258" i="22"/>
  <c r="AE102" i="22"/>
  <c r="AF254" i="22"/>
  <c r="AB12" i="22"/>
  <c r="AB204" i="22"/>
  <c r="AB245" i="22"/>
  <c r="AB77" i="22"/>
  <c r="AB209" i="22"/>
  <c r="AB170" i="22"/>
  <c r="AB113" i="22"/>
  <c r="AB177" i="22"/>
  <c r="AB30" i="22"/>
  <c r="AB270" i="22"/>
  <c r="AB174" i="22"/>
  <c r="AB129" i="22"/>
  <c r="AB269" i="22"/>
  <c r="AB153" i="22"/>
  <c r="AD67" i="22"/>
  <c r="AE95" i="22"/>
  <c r="AE93" i="22"/>
  <c r="AE204" i="22"/>
  <c r="AE62" i="22"/>
  <c r="AG158" i="22"/>
  <c r="AB33" i="22"/>
  <c r="AB244" i="22"/>
  <c r="AB28" i="22"/>
  <c r="AB240" i="22"/>
  <c r="AB141" i="22"/>
  <c r="AB182" i="22"/>
  <c r="AB272" i="22"/>
  <c r="AB23" i="22"/>
  <c r="AB199" i="22"/>
  <c r="AB53" i="22"/>
  <c r="AB58" i="22"/>
  <c r="AB169" i="22"/>
  <c r="AB142" i="22"/>
  <c r="AB263" i="22"/>
  <c r="AB196" i="22"/>
  <c r="AB242" i="22"/>
  <c r="AB211" i="22"/>
  <c r="AB138" i="22"/>
  <c r="AB279" i="22"/>
  <c r="AB227" i="22"/>
  <c r="AB202" i="22"/>
  <c r="AB112" i="22"/>
  <c r="AB229" i="22"/>
  <c r="AB282" i="22"/>
  <c r="AB278" i="22"/>
  <c r="AB62" i="22"/>
  <c r="AF58" i="22"/>
  <c r="AE33" i="22"/>
  <c r="AD10" i="22"/>
  <c r="AE116" i="22"/>
  <c r="AG222" i="22"/>
  <c r="AD196" i="22"/>
  <c r="AF276" i="22"/>
  <c r="AE27" i="22"/>
  <c r="AD47" i="22"/>
  <c r="AD253" i="22"/>
  <c r="AB31" i="22"/>
  <c r="AB79" i="22"/>
  <c r="AB239" i="22"/>
  <c r="AB195" i="22"/>
  <c r="AB165" i="22"/>
  <c r="AB253" i="22"/>
  <c r="AB78" i="22"/>
  <c r="AB190" i="22"/>
  <c r="AB122" i="22"/>
  <c r="AB254" i="22"/>
  <c r="AB118" i="22"/>
  <c r="AB233" i="22"/>
  <c r="AB265" i="22"/>
  <c r="AB109" i="22"/>
  <c r="AB276" i="22"/>
  <c r="AB224" i="22"/>
  <c r="AB286" i="22"/>
  <c r="AB218" i="22"/>
  <c r="AF169" i="22"/>
  <c r="AF185" i="22"/>
  <c r="AD154" i="22"/>
  <c r="AF272" i="22"/>
  <c r="AF205" i="22"/>
  <c r="AF175" i="22"/>
  <c r="AB145" i="22"/>
  <c r="AB257" i="22"/>
  <c r="AB230" i="22"/>
  <c r="AB189" i="22"/>
  <c r="AB179" i="22"/>
  <c r="AB255" i="22"/>
  <c r="AB147" i="22"/>
  <c r="AB171" i="22"/>
  <c r="AB214" i="22"/>
  <c r="AB168" i="22"/>
  <c r="AB284" i="22"/>
  <c r="AB83" i="22"/>
  <c r="AB249" i="22"/>
  <c r="AB185" i="22"/>
  <c r="AB143" i="22"/>
  <c r="AB149" i="22"/>
  <c r="AB247" i="22"/>
  <c r="AB259" i="22"/>
  <c r="AB183" i="22"/>
  <c r="AB46" i="22"/>
  <c r="AB264" i="22"/>
  <c r="AB262" i="22"/>
  <c r="AB274" i="22"/>
  <c r="AB285" i="22"/>
  <c r="AB186" i="22"/>
  <c r="AB280" i="22"/>
  <c r="AD109" i="22"/>
  <c r="AD170" i="22"/>
  <c r="AG244" i="22"/>
  <c r="AB206" i="22"/>
  <c r="AB95" i="22"/>
  <c r="AB81" i="22"/>
  <c r="AB222" i="22"/>
  <c r="AB15" i="22"/>
  <c r="AB47" i="22"/>
  <c r="AB127" i="22"/>
  <c r="AB248" i="22"/>
  <c r="AB258" i="22"/>
  <c r="AB191" i="22"/>
  <c r="AB281" i="22"/>
  <c r="AB246" i="22"/>
  <c r="AL7" i="22"/>
  <c r="AB251" i="22"/>
  <c r="AB42" i="22"/>
  <c r="AB266" i="22"/>
  <c r="AB48" i="22"/>
  <c r="AD223" i="22"/>
  <c r="AE99" i="22"/>
  <c r="AF85" i="22"/>
  <c r="AD191" i="22"/>
  <c r="AF286" i="22"/>
  <c r="AD193" i="22"/>
  <c r="AF274" i="22"/>
  <c r="AG233" i="22"/>
  <c r="AD190" i="22"/>
  <c r="AF214" i="22"/>
  <c r="AB241" i="22"/>
  <c r="AB21" i="22"/>
  <c r="AB110" i="22"/>
  <c r="AB123" i="22"/>
  <c r="AB243" i="22"/>
  <c r="AB252" i="22"/>
  <c r="AB273" i="22"/>
  <c r="AB139" i="22"/>
  <c r="AB178" i="22"/>
  <c r="AB223" i="22"/>
  <c r="AB75" i="22"/>
  <c r="AB135" i="22"/>
  <c r="AB76" i="22"/>
  <c r="AB155" i="22"/>
  <c r="AB25" i="22"/>
  <c r="AB198" i="22"/>
  <c r="AB94" i="22"/>
  <c r="AB35" i="22"/>
  <c r="AB172" i="22"/>
  <c r="AB102" i="22"/>
  <c r="AB231" i="22"/>
  <c r="AB260" i="22"/>
  <c r="AB20" i="22"/>
  <c r="AB201" i="22"/>
  <c r="AB236" i="22"/>
  <c r="AG25" i="22"/>
  <c r="AE245" i="22"/>
  <c r="AD143" i="22"/>
  <c r="AD264" i="22"/>
  <c r="AF231" i="22"/>
  <c r="AF284" i="22"/>
  <c r="AE76" i="22"/>
  <c r="AB92" i="22"/>
  <c r="AB89" i="22"/>
  <c r="AB250" i="22"/>
  <c r="AB91" i="22"/>
  <c r="AB193" i="22"/>
  <c r="AB167" i="22"/>
  <c r="AB93" i="22"/>
  <c r="AB105" i="22"/>
  <c r="AB111" i="22"/>
  <c r="AB225" i="22"/>
  <c r="AB275" i="22"/>
  <c r="AB99" i="22"/>
  <c r="AB133" i="22"/>
  <c r="AE196" i="22"/>
  <c r="AG76" i="22"/>
  <c r="AF129" i="22"/>
  <c r="AG123" i="22"/>
  <c r="AD58" i="22"/>
  <c r="AD222" i="22"/>
  <c r="AD266" i="22"/>
  <c r="AE254" i="22"/>
  <c r="AG253" i="22"/>
  <c r="AE58" i="22"/>
  <c r="AF264" i="22"/>
  <c r="AD208" i="22"/>
  <c r="AE222" i="22"/>
  <c r="AG33" i="22"/>
  <c r="AF253" i="22"/>
  <c r="AE123" i="22"/>
  <c r="AF158" i="22"/>
  <c r="AE129" i="22"/>
  <c r="AG276" i="22"/>
  <c r="AF123" i="22"/>
  <c r="AE193" i="22"/>
  <c r="AF222" i="22"/>
  <c r="AD158" i="22"/>
  <c r="AD21" i="22"/>
  <c r="AD27" i="22"/>
  <c r="AE253" i="22"/>
  <c r="AF21" i="22"/>
  <c r="AE208" i="22"/>
  <c r="AG129" i="22"/>
  <c r="AE276" i="22"/>
  <c r="AE127" i="22"/>
  <c r="AE233" i="22"/>
  <c r="AD214" i="22"/>
  <c r="AF140" i="22"/>
  <c r="AG116" i="22"/>
  <c r="AD62" i="22"/>
  <c r="AG190" i="22"/>
  <c r="AF116" i="22"/>
  <c r="AF33" i="22"/>
  <c r="AE182" i="22"/>
  <c r="AG214" i="22"/>
  <c r="AF190" i="22"/>
  <c r="AF109" i="22"/>
  <c r="AD276" i="22"/>
  <c r="AE47" i="22"/>
  <c r="AE244" i="22"/>
  <c r="AD233" i="22"/>
  <c r="AD33" i="22"/>
  <c r="AF27" i="22"/>
  <c r="AG27" i="22"/>
  <c r="AG205" i="22"/>
  <c r="AF62" i="22"/>
  <c r="AD102" i="22"/>
  <c r="AG231" i="22"/>
  <c r="AF204" i="22"/>
  <c r="AG254" i="22"/>
  <c r="AE284" i="22"/>
  <c r="AD258" i="22"/>
  <c r="AF102" i="22"/>
  <c r="AD231" i="22"/>
  <c r="AD95" i="22"/>
  <c r="AG204" i="22"/>
  <c r="AD254" i="22"/>
  <c r="AD284" i="22"/>
  <c r="AG284" i="22"/>
  <c r="AG245" i="22"/>
  <c r="AE231" i="22"/>
  <c r="AG95" i="22"/>
  <c r="AD204" i="22"/>
  <c r="AF147" i="22"/>
  <c r="AF95" i="22"/>
  <c r="AG62" i="22"/>
  <c r="AD272" i="22"/>
  <c r="AG185" i="22"/>
  <c r="AG85" i="22"/>
  <c r="AE274" i="22"/>
  <c r="AD182" i="22"/>
  <c r="AD274" i="22"/>
  <c r="AE272" i="22"/>
  <c r="AD185" i="22"/>
  <c r="AG154" i="22"/>
  <c r="AG223" i="22"/>
  <c r="AE286" i="22"/>
  <c r="AE140" i="22"/>
  <c r="AG169" i="22"/>
  <c r="AG266" i="22"/>
  <c r="AD140" i="22"/>
  <c r="AE85" i="22"/>
  <c r="AD169" i="22"/>
  <c r="AE205" i="22"/>
  <c r="AG127" i="22"/>
  <c r="AE266" i="22"/>
  <c r="AG21" i="22"/>
  <c r="AE185" i="22"/>
  <c r="AE169" i="22"/>
  <c r="AF223" i="22"/>
  <c r="AF258" i="22"/>
  <c r="AE223" i="22"/>
  <c r="AG272" i="22"/>
  <c r="AF191" i="22"/>
  <c r="AE154" i="22"/>
  <c r="AG193" i="22"/>
  <c r="AG147" i="22"/>
  <c r="AG286" i="22"/>
  <c r="AG99" i="22"/>
  <c r="AE147" i="22"/>
  <c r="AD85" i="22"/>
  <c r="AD286" i="22"/>
  <c r="AF99" i="22"/>
  <c r="AG258" i="22"/>
  <c r="AG191" i="22"/>
  <c r="AF154" i="22"/>
  <c r="AF193" i="22"/>
  <c r="AG91" i="22"/>
  <c r="AG93" i="22"/>
  <c r="AE143" i="22"/>
  <c r="AE141" i="22"/>
  <c r="AD245" i="22"/>
  <c r="AG263" i="22"/>
  <c r="AD91" i="22"/>
  <c r="AF67" i="22"/>
  <c r="AD93" i="22"/>
  <c r="AG143" i="22"/>
  <c r="AG141" i="22"/>
  <c r="AD263" i="22"/>
  <c r="AF91" i="22"/>
  <c r="AE67" i="22"/>
  <c r="AF93" i="22"/>
  <c r="AF143" i="22"/>
  <c r="AF141" i="22"/>
  <c r="AF25" i="22"/>
  <c r="AE25" i="22"/>
  <c r="AF245" i="22"/>
  <c r="AD25" i="22"/>
  <c r="AG67" i="22"/>
  <c r="AF230" i="22"/>
  <c r="AD230" i="22"/>
  <c r="AG230" i="22"/>
  <c r="AE230" i="22"/>
  <c r="AF138" i="22"/>
  <c r="AE138" i="22"/>
  <c r="AG138" i="22"/>
  <c r="AD138" i="22"/>
  <c r="AD259" i="22"/>
  <c r="AF262" i="22"/>
  <c r="AD262" i="22"/>
  <c r="AG262" i="22"/>
  <c r="AE262" i="22"/>
  <c r="AD227" i="22"/>
  <c r="AE227" i="22"/>
  <c r="AG227" i="22"/>
  <c r="AF227" i="22"/>
  <c r="AE106" i="22"/>
  <c r="AF106" i="22"/>
  <c r="AD106" i="22"/>
  <c r="AG106" i="22"/>
  <c r="AD178" i="22"/>
  <c r="AF178" i="22"/>
  <c r="AE178" i="22"/>
  <c r="AG178" i="22"/>
  <c r="AD133" i="22"/>
  <c r="AF133" i="22"/>
  <c r="AG133" i="22"/>
  <c r="AE133" i="22"/>
  <c r="AD186" i="22"/>
  <c r="AF186" i="22"/>
  <c r="AE186" i="22"/>
  <c r="AG186" i="22"/>
  <c r="AE78" i="22"/>
  <c r="AF78" i="22"/>
  <c r="AD78" i="22"/>
  <c r="AG78" i="22"/>
  <c r="AD43" i="22"/>
  <c r="AE43" i="22"/>
  <c r="AF43" i="22"/>
  <c r="AG43" i="22"/>
  <c r="AF239" i="22"/>
  <c r="AE239" i="22"/>
  <c r="AD239" i="22"/>
  <c r="AG239" i="22"/>
  <c r="AF241" i="22"/>
  <c r="AE241" i="22"/>
  <c r="AD241" i="22"/>
  <c r="AG241" i="22"/>
  <c r="AD167" i="22"/>
  <c r="AE167" i="22"/>
  <c r="AG167" i="22"/>
  <c r="AF167" i="22"/>
  <c r="AF265" i="22"/>
  <c r="AE265" i="22"/>
  <c r="AD265" i="22"/>
  <c r="AG265" i="22"/>
  <c r="AD111" i="22"/>
  <c r="AF111" i="22"/>
  <c r="AG111" i="22"/>
  <c r="AE111" i="22"/>
  <c r="AF255" i="22"/>
  <c r="AE255" i="22"/>
  <c r="AG255" i="22"/>
  <c r="AD255" i="22"/>
  <c r="AF270" i="22"/>
  <c r="AD270" i="22"/>
  <c r="AG270" i="22"/>
  <c r="AE270" i="22"/>
  <c r="AD53" i="22"/>
  <c r="AE53" i="22"/>
  <c r="AF53" i="22"/>
  <c r="AG53" i="22"/>
  <c r="AF240" i="22"/>
  <c r="AG240" i="22"/>
  <c r="AD240" i="22"/>
  <c r="AE240" i="22"/>
  <c r="AD135" i="22"/>
  <c r="AF135" i="22"/>
  <c r="AE135" i="22"/>
  <c r="AG135" i="22"/>
  <c r="AF118" i="22"/>
  <c r="AE118" i="22"/>
  <c r="AD118" i="22"/>
  <c r="AG118" i="22"/>
  <c r="AF247" i="22"/>
  <c r="AE247" i="22"/>
  <c r="AD247" i="22"/>
  <c r="AG247" i="22"/>
  <c r="AD20" i="22"/>
  <c r="AE20" i="22"/>
  <c r="AF20" i="22"/>
  <c r="AG20" i="22"/>
  <c r="AF250" i="22"/>
  <c r="AD250" i="22"/>
  <c r="AG250" i="22"/>
  <c r="AE250" i="22"/>
  <c r="AD211" i="22"/>
  <c r="AE211" i="22"/>
  <c r="AG211" i="22"/>
  <c r="AF211" i="22"/>
  <c r="AE89" i="22"/>
  <c r="AF89" i="22"/>
  <c r="AD89" i="22"/>
  <c r="AG89" i="22"/>
  <c r="AE83" i="22"/>
  <c r="AF83" i="22"/>
  <c r="AD83" i="22"/>
  <c r="AG83" i="22"/>
  <c r="AF251" i="22"/>
  <c r="AE251" i="22"/>
  <c r="AD251" i="22"/>
  <c r="AG251" i="22"/>
  <c r="AF234" i="22"/>
  <c r="AD234" i="22"/>
  <c r="AE234" i="22"/>
  <c r="AG234" i="22"/>
  <c r="AE75" i="22"/>
  <c r="AF75" i="22"/>
  <c r="AG75" i="22"/>
  <c r="AD75" i="22"/>
  <c r="AE94" i="22"/>
  <c r="AF94" i="22"/>
  <c r="AD94" i="22"/>
  <c r="AG94" i="22"/>
  <c r="AF269" i="22"/>
  <c r="AD269" i="22"/>
  <c r="AE269" i="22"/>
  <c r="AG269" i="22"/>
  <c r="AD117" i="22"/>
  <c r="AF117" i="22"/>
  <c r="AE117" i="22"/>
  <c r="AG117" i="22"/>
  <c r="AD279" i="22"/>
  <c r="AF279" i="22"/>
  <c r="AE279" i="22"/>
  <c r="AG279" i="22"/>
  <c r="AD48" i="22"/>
  <c r="AE48" i="22"/>
  <c r="AF48" i="22"/>
  <c r="AG48" i="22"/>
  <c r="AD177" i="22"/>
  <c r="AF177" i="22"/>
  <c r="AE177" i="22"/>
  <c r="AG177" i="22"/>
  <c r="AD202" i="22"/>
  <c r="AF202" i="22"/>
  <c r="AE202" i="22"/>
  <c r="AG202" i="22"/>
  <c r="AF278" i="22"/>
  <c r="AG278" i="22"/>
  <c r="AD278" i="22"/>
  <c r="AE278" i="22"/>
  <c r="AG224" i="22"/>
  <c r="AD224" i="22"/>
  <c r="AF224" i="22"/>
  <c r="AE224" i="22"/>
  <c r="AD113" i="22"/>
  <c r="AF113" i="22"/>
  <c r="AG113" i="22"/>
  <c r="AE113" i="22"/>
  <c r="AF246" i="22"/>
  <c r="AD246" i="22"/>
  <c r="AG246" i="22"/>
  <c r="AE246" i="22"/>
  <c r="AF238" i="22"/>
  <c r="AD238" i="22"/>
  <c r="AG238" i="22"/>
  <c r="AE238" i="22"/>
  <c r="AD63" i="22"/>
  <c r="AE63" i="22"/>
  <c r="AF63" i="22"/>
  <c r="AG63" i="22"/>
  <c r="AF248" i="22"/>
  <c r="AG248" i="22"/>
  <c r="AD248" i="22"/>
  <c r="AE248" i="22"/>
  <c r="AE77" i="22"/>
  <c r="AF77" i="22"/>
  <c r="AD77" i="22"/>
  <c r="AG77" i="22"/>
  <c r="AD209" i="22"/>
  <c r="AF209" i="22"/>
  <c r="AG209" i="22"/>
  <c r="AE209" i="22"/>
  <c r="AF242" i="22"/>
  <c r="AD242" i="22"/>
  <c r="AG242" i="22"/>
  <c r="AE242" i="22"/>
  <c r="AD189" i="22"/>
  <c r="AF189" i="22"/>
  <c r="AG189" i="22"/>
  <c r="AE189" i="22"/>
  <c r="AD174" i="22"/>
  <c r="AF174" i="22"/>
  <c r="AE174" i="22"/>
  <c r="AG174" i="22"/>
  <c r="AD225" i="22"/>
  <c r="AF225" i="22"/>
  <c r="AE225" i="22"/>
  <c r="AG225" i="22"/>
  <c r="AD149" i="22"/>
  <c r="AF149" i="22"/>
  <c r="AE149" i="22"/>
  <c r="AG149" i="22"/>
  <c r="AD23" i="22"/>
  <c r="AE23" i="22"/>
  <c r="AF23" i="22"/>
  <c r="AG23" i="22"/>
  <c r="AD155" i="22"/>
  <c r="AE155" i="22"/>
  <c r="AG155" i="22"/>
  <c r="AF155" i="22"/>
  <c r="AD171" i="22"/>
  <c r="AE171" i="22"/>
  <c r="AG171" i="22"/>
  <c r="AF171" i="22"/>
  <c r="AF198" i="22"/>
  <c r="AD198" i="22"/>
  <c r="AE198" i="22"/>
  <c r="AG198" i="22"/>
  <c r="AD194" i="22"/>
  <c r="AE194" i="22"/>
  <c r="AG194" i="22"/>
  <c r="AF194" i="22"/>
  <c r="AE105" i="22"/>
  <c r="AF105" i="22"/>
  <c r="AD105" i="22"/>
  <c r="AG105" i="22"/>
  <c r="AG168" i="22"/>
  <c r="AE168" i="22"/>
  <c r="AD168" i="22"/>
  <c r="AF168" i="22"/>
  <c r="AF260" i="22"/>
  <c r="AD260" i="22"/>
  <c r="AG260" i="22"/>
  <c r="AE260" i="22"/>
  <c r="AD19" i="22"/>
  <c r="AE19" i="22"/>
  <c r="AF19" i="22"/>
  <c r="AG19" i="22"/>
  <c r="AD26" i="22"/>
  <c r="AE26" i="22"/>
  <c r="AF26" i="22"/>
  <c r="AG26" i="22"/>
  <c r="AD46" i="22"/>
  <c r="AE46" i="22"/>
  <c r="AF46" i="22"/>
  <c r="AG46" i="22"/>
  <c r="AD37" i="22"/>
  <c r="AE37" i="22"/>
  <c r="AF37" i="22"/>
  <c r="AG37" i="22"/>
  <c r="AF243" i="22"/>
  <c r="AE243" i="22"/>
  <c r="AD243" i="22"/>
  <c r="AG243" i="22"/>
  <c r="AE92" i="22"/>
  <c r="AF92" i="22"/>
  <c r="AD92" i="22"/>
  <c r="AG92" i="22"/>
  <c r="AD30" i="22"/>
  <c r="AE30" i="22"/>
  <c r="AF30" i="22"/>
  <c r="AG30" i="22"/>
  <c r="AD281" i="22"/>
  <c r="AF281" i="22"/>
  <c r="AG281" i="22"/>
  <c r="AE281" i="22"/>
  <c r="AE79" i="22"/>
  <c r="AF79" i="22"/>
  <c r="AG79" i="22"/>
  <c r="AD79" i="22"/>
  <c r="AE142" i="22"/>
  <c r="AF142" i="22"/>
  <c r="AG142" i="22"/>
  <c r="AD142" i="22"/>
  <c r="AE172" i="22"/>
  <c r="AD172" i="22"/>
  <c r="AG172" i="22"/>
  <c r="AF172" i="22"/>
  <c r="AD15" i="22"/>
  <c r="AE15" i="22"/>
  <c r="AF15" i="22"/>
  <c r="AG15" i="22"/>
  <c r="AD183" i="22"/>
  <c r="AE183" i="22"/>
  <c r="AG183" i="22"/>
  <c r="AF183" i="22"/>
  <c r="AD195" i="22"/>
  <c r="AE195" i="22"/>
  <c r="AF195" i="22"/>
  <c r="AG195" i="22"/>
  <c r="AF126" i="22"/>
  <c r="AE126" i="22"/>
  <c r="AG126" i="22"/>
  <c r="AD126" i="22"/>
  <c r="AD121" i="22"/>
  <c r="AF121" i="22"/>
  <c r="AG121" i="22"/>
  <c r="AE121" i="22"/>
  <c r="AD201" i="22"/>
  <c r="AE201" i="22"/>
  <c r="AF201" i="22"/>
  <c r="AG201" i="22"/>
  <c r="AD179" i="22"/>
  <c r="AE179" i="22"/>
  <c r="AF179" i="22"/>
  <c r="AG179" i="22"/>
  <c r="AF252" i="22"/>
  <c r="AD252" i="22"/>
  <c r="AG252" i="22"/>
  <c r="AE252" i="22"/>
  <c r="AE81" i="22"/>
  <c r="AF81" i="22"/>
  <c r="AD81" i="22"/>
  <c r="AG81" i="22"/>
  <c r="AD31" i="22"/>
  <c r="AE31" i="22"/>
  <c r="AF31" i="22"/>
  <c r="AG31" i="22"/>
  <c r="AF249" i="22"/>
  <c r="AE249" i="22"/>
  <c r="AD249" i="22"/>
  <c r="AG249" i="22"/>
  <c r="AD139" i="22"/>
  <c r="AF139" i="22"/>
  <c r="AE139" i="22"/>
  <c r="AG139" i="22"/>
  <c r="AD285" i="22"/>
  <c r="AF285" i="22"/>
  <c r="AE285" i="22"/>
  <c r="AG285" i="22"/>
  <c r="AF280" i="22"/>
  <c r="AD280" i="22"/>
  <c r="AE280" i="22"/>
  <c r="AG280" i="22"/>
  <c r="AF122" i="22"/>
  <c r="AE122" i="22"/>
  <c r="AD122" i="22"/>
  <c r="AG122" i="22"/>
  <c r="AF257" i="22"/>
  <c r="AE257" i="22"/>
  <c r="AD257" i="22"/>
  <c r="AG257" i="22"/>
  <c r="AF110" i="22"/>
  <c r="AE110" i="22"/>
  <c r="AG110" i="22"/>
  <c r="AD110" i="22"/>
  <c r="AD119" i="22"/>
  <c r="AF119" i="22"/>
  <c r="AE119" i="22"/>
  <c r="AG119" i="22"/>
  <c r="AD42" i="22"/>
  <c r="AE42" i="22"/>
  <c r="AF42" i="22"/>
  <c r="AG42" i="22"/>
  <c r="AD229" i="22"/>
  <c r="AF229" i="22"/>
  <c r="AE229" i="22"/>
  <c r="AG229" i="22"/>
  <c r="AD199" i="22"/>
  <c r="AG199" i="22"/>
  <c r="AF199" i="22"/>
  <c r="AE199" i="22"/>
  <c r="AD145" i="22"/>
  <c r="AE145" i="22"/>
  <c r="AF145" i="22"/>
  <c r="AG145" i="22"/>
  <c r="AD273" i="22"/>
  <c r="AF273" i="22"/>
  <c r="AE273" i="22"/>
  <c r="AG273" i="22"/>
  <c r="AD28" i="22"/>
  <c r="AE28" i="22"/>
  <c r="AF28" i="22"/>
  <c r="AG28" i="22"/>
  <c r="AD35" i="22"/>
  <c r="AE35" i="22"/>
  <c r="AF35" i="22"/>
  <c r="AG35" i="22"/>
  <c r="AE107" i="22"/>
  <c r="AF107" i="22"/>
  <c r="AD107" i="22"/>
  <c r="AG107" i="22"/>
  <c r="AF112" i="22"/>
  <c r="AD112" i="22"/>
  <c r="AG112" i="22"/>
  <c r="AE112" i="22"/>
  <c r="AF282" i="22"/>
  <c r="AD282" i="22"/>
  <c r="AE282" i="22"/>
  <c r="AG282" i="22"/>
  <c r="AD275" i="22"/>
  <c r="AF275" i="22"/>
  <c r="AG275" i="22"/>
  <c r="AE275" i="22"/>
  <c r="AD163" i="22"/>
  <c r="AE163" i="22"/>
  <c r="AF163" i="22"/>
  <c r="AG163" i="22"/>
  <c r="AF206" i="22"/>
  <c r="AE206" i="22"/>
  <c r="AD206" i="22"/>
  <c r="AG206" i="22"/>
  <c r="AF236" i="22"/>
  <c r="AD236" i="22"/>
  <c r="AG236" i="22"/>
  <c r="AE236" i="22"/>
  <c r="AD153" i="22"/>
  <c r="AF153" i="22"/>
  <c r="AG153" i="22"/>
  <c r="AE153" i="22"/>
  <c r="AD218" i="22"/>
  <c r="AF218" i="22"/>
  <c r="AE218" i="22"/>
  <c r="AG218" i="22"/>
  <c r="F16" i="32"/>
  <c r="F17" i="6"/>
  <c r="F17" i="10"/>
  <c r="F17" i="9"/>
  <c r="F18" i="8"/>
  <c r="F18" i="7"/>
  <c r="F16" i="23"/>
  <c r="F16" i="20"/>
  <c r="F16" i="24"/>
  <c r="BR59" i="35" l="1"/>
  <c r="BR31" i="35"/>
  <c r="BR105" i="35"/>
  <c r="BR75" i="35"/>
  <c r="BR62" i="35"/>
  <c r="BR41" i="35"/>
  <c r="BR97" i="35"/>
  <c r="BT97" i="35" s="1"/>
  <c r="BW97" i="35" s="1"/>
  <c r="BY97" i="35" s="1"/>
  <c r="BZ97" i="35" s="1"/>
  <c r="BR86" i="35"/>
  <c r="BR39" i="35"/>
  <c r="BL33" i="35"/>
  <c r="BN33" i="35" s="1"/>
  <c r="BP33" i="35" s="1"/>
  <c r="BL9" i="35"/>
  <c r="BN9" i="35" s="1"/>
  <c r="BP9" i="35" s="1"/>
  <c r="BL45" i="35"/>
  <c r="BN45" i="35" s="1"/>
  <c r="BP45" i="35" s="1"/>
  <c r="BL90" i="35"/>
  <c r="BN90" i="35" s="1"/>
  <c r="BP90" i="35" s="1"/>
  <c r="BL15" i="35"/>
  <c r="BN15" i="35" s="1"/>
  <c r="BP15" i="35" s="1"/>
  <c r="BL81" i="35"/>
  <c r="BN81" i="35" s="1"/>
  <c r="BP81" i="35" s="1"/>
  <c r="BL98" i="35"/>
  <c r="BN98" i="35" s="1"/>
  <c r="BP98" i="35" s="1"/>
  <c r="BL92" i="35"/>
  <c r="BN92" i="35" s="1"/>
  <c r="BP92" i="35" s="1"/>
  <c r="BL78" i="35"/>
  <c r="BN78" i="35" s="1"/>
  <c r="BP78" i="35" s="1"/>
  <c r="BL106" i="35"/>
  <c r="BN106" i="35" s="1"/>
  <c r="BP106" i="35" s="1"/>
  <c r="BL123" i="35"/>
  <c r="BN123" i="35" s="1"/>
  <c r="BP123" i="35" s="1"/>
  <c r="BL74" i="35"/>
  <c r="BN74" i="35" s="1"/>
  <c r="BP74" i="35" s="1"/>
  <c r="BL32" i="35"/>
  <c r="BN32" i="35" s="1"/>
  <c r="BP32" i="35" s="1"/>
  <c r="BL77" i="35"/>
  <c r="BN77" i="35" s="1"/>
  <c r="BP77" i="35" s="1"/>
  <c r="BL109" i="35"/>
  <c r="BN109" i="35" s="1"/>
  <c r="BP109" i="35" s="1"/>
  <c r="BL88" i="35"/>
  <c r="BN88" i="35" s="1"/>
  <c r="BP88" i="35" s="1"/>
  <c r="BL63" i="35"/>
  <c r="BN63" i="35" s="1"/>
  <c r="BP63" i="35" s="1"/>
  <c r="BL126" i="35"/>
  <c r="BN126" i="35" s="1"/>
  <c r="BP126" i="35" s="1"/>
  <c r="BL30" i="35"/>
  <c r="BN30" i="35" s="1"/>
  <c r="BP30" i="35" s="1"/>
  <c r="BL36" i="35"/>
  <c r="BN36" i="35" s="1"/>
  <c r="BP36" i="35" s="1"/>
  <c r="BL47" i="35"/>
  <c r="BN47" i="35" s="1"/>
  <c r="BP47" i="35" s="1"/>
  <c r="BL72" i="35"/>
  <c r="BN72" i="35" s="1"/>
  <c r="BP72" i="35" s="1"/>
  <c r="BL150" i="35"/>
  <c r="BN150" i="35" s="1"/>
  <c r="BP150" i="35" s="1"/>
  <c r="BL79" i="35"/>
  <c r="BN79" i="35" s="1"/>
  <c r="BP79" i="35" s="1"/>
  <c r="BL20" i="35"/>
  <c r="BN20" i="35" s="1"/>
  <c r="BP20" i="35" s="1"/>
  <c r="BL11" i="35"/>
  <c r="BN11" i="35" s="1"/>
  <c r="BP11" i="35" s="1"/>
  <c r="BL138" i="35"/>
  <c r="BN138" i="35" s="1"/>
  <c r="BP138" i="35" s="1"/>
  <c r="BL83" i="35"/>
  <c r="BN83" i="35" s="1"/>
  <c r="BP83" i="35" s="1"/>
  <c r="BL142" i="35"/>
  <c r="BN142" i="35" s="1"/>
  <c r="BP142" i="35" s="1"/>
  <c r="BL54" i="35"/>
  <c r="BN54" i="35" s="1"/>
  <c r="BP54" i="35" s="1"/>
  <c r="BL87" i="35"/>
  <c r="BN87" i="35" s="1"/>
  <c r="BP87" i="35" s="1"/>
  <c r="BL111" i="35"/>
  <c r="BN111" i="35" s="1"/>
  <c r="BP111" i="35" s="1"/>
  <c r="BL71" i="35"/>
  <c r="BN71" i="35" s="1"/>
  <c r="BP71" i="35" s="1"/>
  <c r="BL121" i="35"/>
  <c r="BN121" i="35" s="1"/>
  <c r="BP121" i="35" s="1"/>
  <c r="BL132" i="35"/>
  <c r="BN132" i="35" s="1"/>
  <c r="BP132" i="35" s="1"/>
  <c r="BL89" i="35"/>
  <c r="BN89" i="35" s="1"/>
  <c r="BP89" i="35" s="1"/>
  <c r="BL156" i="35"/>
  <c r="BN156" i="35" s="1"/>
  <c r="BP156" i="35" s="1"/>
  <c r="BL8" i="35"/>
  <c r="BN8" i="35" s="1"/>
  <c r="BP8" i="35" s="1"/>
  <c r="BL22" i="35"/>
  <c r="BN22" i="35" s="1"/>
  <c r="BP22" i="35" s="1"/>
  <c r="BL85" i="35"/>
  <c r="BN85" i="35" s="1"/>
  <c r="BP85" i="35" s="1"/>
  <c r="BL53" i="35"/>
  <c r="BN53" i="35" s="1"/>
  <c r="BP53" i="35" s="1"/>
  <c r="BL25" i="35"/>
  <c r="BN25" i="35" s="1"/>
  <c r="BP25" i="35" s="1"/>
  <c r="BL104" i="35"/>
  <c r="BN104" i="35" s="1"/>
  <c r="BP104" i="35" s="1"/>
  <c r="BL56" i="35"/>
  <c r="BN56" i="35" s="1"/>
  <c r="BP56" i="35" s="1"/>
  <c r="BL107" i="35"/>
  <c r="BN107" i="35" s="1"/>
  <c r="BP107" i="35" s="1"/>
  <c r="BL35" i="35"/>
  <c r="BN35" i="35" s="1"/>
  <c r="BP35" i="35" s="1"/>
  <c r="BL48" i="35"/>
  <c r="BN48" i="35" s="1"/>
  <c r="BP48" i="35" s="1"/>
  <c r="BL67" i="35"/>
  <c r="BN67" i="35" s="1"/>
  <c r="BP67" i="35" s="1"/>
  <c r="BL64" i="35"/>
  <c r="BN64" i="35" s="1"/>
  <c r="BP64" i="35" s="1"/>
  <c r="BL14" i="35"/>
  <c r="BN14" i="35" s="1"/>
  <c r="BP14" i="35" s="1"/>
  <c r="BL114" i="35"/>
  <c r="BN114" i="35" s="1"/>
  <c r="BP114" i="35" s="1"/>
  <c r="BL117" i="35"/>
  <c r="BN117" i="35" s="1"/>
  <c r="BP117" i="35" s="1"/>
  <c r="BL18" i="35"/>
  <c r="BN18" i="35" s="1"/>
  <c r="BP18" i="35" s="1"/>
  <c r="BL96" i="35"/>
  <c r="BN96" i="35" s="1"/>
  <c r="BP96" i="35" s="1"/>
  <c r="BL129" i="35"/>
  <c r="BN129" i="35" s="1"/>
  <c r="BP129" i="35" s="1"/>
  <c r="BL124" i="35"/>
  <c r="BN124" i="35" s="1"/>
  <c r="BP124" i="35" s="1"/>
  <c r="BL154" i="35"/>
  <c r="BN154" i="35" s="1"/>
  <c r="BP154" i="35" s="1"/>
  <c r="BF99" i="35"/>
  <c r="BF27" i="35"/>
  <c r="BF10" i="35"/>
  <c r="BF108" i="35"/>
  <c r="BF127" i="35"/>
  <c r="BF60" i="35"/>
  <c r="BF116" i="35"/>
  <c r="BF113" i="35"/>
  <c r="BF118" i="35"/>
  <c r="BF12" i="35"/>
  <c r="BF58" i="35"/>
  <c r="BD13" i="35"/>
  <c r="BD70" i="35"/>
  <c r="BD23" i="35"/>
  <c r="BD50" i="35"/>
  <c r="BD16" i="35"/>
  <c r="BD68" i="35"/>
  <c r="BD65" i="35"/>
  <c r="BD34" i="35"/>
  <c r="BD55" i="35"/>
  <c r="BD43" i="35"/>
  <c r="BD134" i="35"/>
  <c r="BD69" i="35"/>
  <c r="BD29" i="35"/>
  <c r="BD82" i="35"/>
  <c r="BD91" i="35"/>
  <c r="BD26" i="35"/>
  <c r="BD94" i="35"/>
  <c r="BD61" i="35"/>
  <c r="BD76" i="35"/>
  <c r="BD102" i="35"/>
  <c r="BD115" i="35"/>
  <c r="BD66" i="35"/>
  <c r="BD37" i="35"/>
  <c r="BD103" i="35"/>
  <c r="BD93" i="35"/>
  <c r="BD100" i="35"/>
  <c r="BF100" i="35" s="1"/>
  <c r="BH100" i="35" s="1"/>
  <c r="BJ100" i="35" s="1"/>
  <c r="BD19" i="35"/>
  <c r="BD46" i="35"/>
  <c r="BD125" i="35"/>
  <c r="BD51" i="35"/>
  <c r="BD57" i="35"/>
  <c r="BD73" i="35"/>
  <c r="BF73" i="35" s="1"/>
  <c r="BH73" i="35" s="1"/>
  <c r="BJ73" i="35" s="1"/>
  <c r="BD49" i="35"/>
  <c r="BD80" i="35"/>
  <c r="BD38" i="35"/>
  <c r="BD28" i="35"/>
  <c r="BD119" i="35"/>
  <c r="BD21" i="35"/>
  <c r="BD128" i="35"/>
  <c r="BD24" i="35"/>
  <c r="BD120" i="35"/>
  <c r="BD110" i="35"/>
  <c r="BD40" i="35"/>
  <c r="BD52" i="35"/>
  <c r="BD17" i="35"/>
  <c r="BD42" i="35"/>
  <c r="BD95" i="35"/>
  <c r="BD101" i="35"/>
  <c r="BF101" i="35" s="1"/>
  <c r="BH101" i="35" s="1"/>
  <c r="BJ101" i="35" s="1"/>
  <c r="BD112" i="35"/>
  <c r="BD84" i="35"/>
  <c r="BA44" i="35"/>
  <c r="BA147" i="35"/>
  <c r="BD147" i="35" s="1"/>
  <c r="BF147" i="35" s="1"/>
  <c r="BH147" i="35" s="1"/>
  <c r="BJ147" i="35" s="1"/>
  <c r="BA141" i="35"/>
  <c r="BD141" i="35" s="1"/>
  <c r="BF141" i="35" s="1"/>
  <c r="BH141" i="35" s="1"/>
  <c r="BJ141" i="35" s="1"/>
  <c r="BA148" i="35"/>
  <c r="BD148" i="35" s="1"/>
  <c r="BF148" i="35" s="1"/>
  <c r="BH148" i="35" s="1"/>
  <c r="BJ148" i="35" s="1"/>
  <c r="BA130" i="35"/>
  <c r="BD130" i="35" s="1"/>
  <c r="BF130" i="35" s="1"/>
  <c r="BH130" i="35" s="1"/>
  <c r="BJ130" i="35" s="1"/>
  <c r="BA157" i="35"/>
  <c r="BD157" i="35" s="1"/>
  <c r="BF157" i="35" s="1"/>
  <c r="BH157" i="35" s="1"/>
  <c r="BJ157" i="35" s="1"/>
  <c r="BA139" i="35"/>
  <c r="BD139" i="35" s="1"/>
  <c r="BF139" i="35" s="1"/>
  <c r="BH139" i="35" s="1"/>
  <c r="BJ139" i="35" s="1"/>
  <c r="BA135" i="35"/>
  <c r="BD135" i="35" s="1"/>
  <c r="BF135" i="35" s="1"/>
  <c r="BH135" i="35" s="1"/>
  <c r="BJ135" i="35" s="1"/>
  <c r="BA131" i="35"/>
  <c r="BA137" i="35"/>
  <c r="BA149" i="35"/>
  <c r="BD149" i="35" s="1"/>
  <c r="BF149" i="35" s="1"/>
  <c r="BH149" i="35" s="1"/>
  <c r="BJ149" i="35" s="1"/>
  <c r="BA144" i="35"/>
  <c r="BD144" i="35" s="1"/>
  <c r="BF144" i="35" s="1"/>
  <c r="BH144" i="35" s="1"/>
  <c r="BJ144" i="35" s="1"/>
  <c r="BA136" i="35"/>
  <c r="BD136" i="35" s="1"/>
  <c r="BF136" i="35" s="1"/>
  <c r="BH136" i="35" s="1"/>
  <c r="BJ136" i="35" s="1"/>
  <c r="BA151" i="35"/>
  <c r="BA146" i="35"/>
  <c r="BA122" i="35"/>
  <c r="BA140" i="35"/>
  <c r="BD140" i="35" s="1"/>
  <c r="BF140" i="35" s="1"/>
  <c r="BH140" i="35" s="1"/>
  <c r="BJ140" i="35" s="1"/>
  <c r="BA153" i="35"/>
  <c r="BD153" i="35" s="1"/>
  <c r="BF153" i="35" s="1"/>
  <c r="BH153" i="35" s="1"/>
  <c r="BJ153" i="35" s="1"/>
  <c r="BA145" i="35"/>
  <c r="BD145" i="35" s="1"/>
  <c r="BF145" i="35" s="1"/>
  <c r="BH145" i="35" s="1"/>
  <c r="BJ145" i="35" s="1"/>
  <c r="BA160" i="35"/>
  <c r="BD160" i="35" s="1"/>
  <c r="BF160" i="35" s="1"/>
  <c r="BH160" i="35" s="1"/>
  <c r="BJ160" i="35" s="1"/>
  <c r="BA133" i="35"/>
  <c r="BD133" i="35" s="1"/>
  <c r="BF133" i="35" s="1"/>
  <c r="BH133" i="35" s="1"/>
  <c r="BJ133" i="35" s="1"/>
  <c r="BA159" i="35"/>
  <c r="AZ155" i="35"/>
  <c r="BA152" i="35"/>
  <c r="BA158" i="35"/>
  <c r="AZ143" i="35"/>
  <c r="AX180" i="35"/>
  <c r="AX169" i="35"/>
  <c r="AX177" i="35"/>
  <c r="AX183" i="35"/>
  <c r="AX189" i="35"/>
  <c r="AX171" i="35"/>
  <c r="AX167" i="35"/>
  <c r="AX188" i="35"/>
  <c r="AX163" i="35"/>
  <c r="AX168" i="35"/>
  <c r="AX161" i="35"/>
  <c r="AX164" i="35"/>
  <c r="AX185" i="35"/>
  <c r="AO223" i="35"/>
  <c r="AP223" i="35" s="1"/>
  <c r="AQ223" i="35" s="1"/>
  <c r="AO193" i="35"/>
  <c r="AP193" i="35" s="1"/>
  <c r="AV182" i="35"/>
  <c r="DP182" i="35" s="1"/>
  <c r="AV190" i="35"/>
  <c r="DO190" i="35" s="1"/>
  <c r="DN190" i="35" s="1"/>
  <c r="AV184" i="35"/>
  <c r="DO184" i="35" s="1"/>
  <c r="DN184" i="35" s="1"/>
  <c r="AV172" i="35"/>
  <c r="DO172" i="35" s="1"/>
  <c r="DN172" i="35" s="1"/>
  <c r="AV170" i="35"/>
  <c r="DP170" i="35" s="1"/>
  <c r="AX191" i="35"/>
  <c r="AX190" i="35"/>
  <c r="AZ190" i="35" s="1"/>
  <c r="AX165" i="35"/>
  <c r="AX176" i="35"/>
  <c r="AZ176" i="35" s="1"/>
  <c r="AX178" i="35"/>
  <c r="AX166" i="35"/>
  <c r="AX184" i="35"/>
  <c r="AX186" i="35"/>
  <c r="AX187" i="35"/>
  <c r="AX174" i="35"/>
  <c r="AX170" i="35"/>
  <c r="AX7" i="35"/>
  <c r="AX181" i="35"/>
  <c r="AW173" i="35"/>
  <c r="AW175" i="35"/>
  <c r="AW179" i="35"/>
  <c r="AX182" i="35"/>
  <c r="AX172" i="35"/>
  <c r="AH281" i="35"/>
  <c r="AI281" i="35" s="1"/>
  <c r="AV177" i="35"/>
  <c r="DO177" i="35" s="1"/>
  <c r="DN177" i="35" s="1"/>
  <c r="AV181" i="35"/>
  <c r="DP181" i="35" s="1"/>
  <c r="AV191" i="35"/>
  <c r="DP191" i="35" s="1"/>
  <c r="DB192" i="35"/>
  <c r="AV174" i="35"/>
  <c r="DP174" i="35" s="1"/>
  <c r="AS192" i="35"/>
  <c r="AU192" i="35"/>
  <c r="AW192" i="35" s="1"/>
  <c r="AV163" i="35"/>
  <c r="DP163" i="35" s="1"/>
  <c r="AV185" i="35"/>
  <c r="DP185" i="35" s="1"/>
  <c r="AV168" i="35"/>
  <c r="DP168" i="35" s="1"/>
  <c r="AV166" i="35"/>
  <c r="DP166" i="35" s="1"/>
  <c r="AV176" i="35"/>
  <c r="DP176" i="35" s="1"/>
  <c r="AV189" i="35"/>
  <c r="DP189" i="35" s="1"/>
  <c r="AV188" i="35"/>
  <c r="DP188" i="35" s="1"/>
  <c r="AV187" i="35"/>
  <c r="DO187" i="35" s="1"/>
  <c r="DN187" i="35" s="1"/>
  <c r="AV180" i="35"/>
  <c r="DO180" i="35" s="1"/>
  <c r="DN180" i="35" s="1"/>
  <c r="AV165" i="35"/>
  <c r="DO165" i="35" s="1"/>
  <c r="DN165" i="35" s="1"/>
  <c r="AV171" i="35"/>
  <c r="DP171" i="35" s="1"/>
  <c r="AV169" i="35"/>
  <c r="DP169" i="35" s="1"/>
  <c r="AV164" i="35"/>
  <c r="DO164" i="35" s="1"/>
  <c r="DN164" i="35" s="1"/>
  <c r="AV167" i="35"/>
  <c r="DP167" i="35" s="1"/>
  <c r="AV178" i="35"/>
  <c r="DP178" i="35" s="1"/>
  <c r="AV183" i="35"/>
  <c r="DP183" i="35" s="1"/>
  <c r="AV186" i="35"/>
  <c r="DP186" i="35" s="1"/>
  <c r="AT215" i="35"/>
  <c r="AT214" i="35"/>
  <c r="AT213" i="35"/>
  <c r="AT195" i="35"/>
  <c r="AT217" i="35"/>
  <c r="AT219" i="35"/>
  <c r="AT194" i="35"/>
  <c r="AT207" i="35"/>
  <c r="AT220" i="35"/>
  <c r="AT216" i="35"/>
  <c r="AT210" i="35"/>
  <c r="AT205" i="35"/>
  <c r="AT206" i="35"/>
  <c r="AT197" i="35"/>
  <c r="AT196" i="35"/>
  <c r="AT208" i="35"/>
  <c r="AT212" i="35"/>
  <c r="AT198" i="35"/>
  <c r="AT218" i="35"/>
  <c r="AT202" i="35"/>
  <c r="AT221" i="35"/>
  <c r="AT201" i="35"/>
  <c r="AT204" i="35"/>
  <c r="AT211" i="35"/>
  <c r="AV7" i="35"/>
  <c r="AT203" i="35"/>
  <c r="AT199" i="35"/>
  <c r="AT222" i="35"/>
  <c r="AT162" i="35"/>
  <c r="AT209" i="35"/>
  <c r="AT200" i="35"/>
  <c r="AL253" i="35"/>
  <c r="AL245" i="35"/>
  <c r="AL229" i="35"/>
  <c r="AL224" i="35"/>
  <c r="AL237" i="35"/>
  <c r="AL228" i="35"/>
  <c r="AL234" i="35"/>
  <c r="AL230" i="35"/>
  <c r="AO233" i="35"/>
  <c r="AL250" i="35"/>
  <c r="AL252" i="35"/>
  <c r="AL236" i="35"/>
  <c r="AL239" i="35"/>
  <c r="AL238" i="35"/>
  <c r="AL243" i="35"/>
  <c r="AL244" i="35"/>
  <c r="AL251" i="35"/>
  <c r="AL242" i="35"/>
  <c r="AL235" i="35"/>
  <c r="AL232" i="35"/>
  <c r="AL240" i="35"/>
  <c r="AO249" i="35"/>
  <c r="AL248" i="35"/>
  <c r="AL246" i="35"/>
  <c r="AL241" i="35"/>
  <c r="AO231" i="35"/>
  <c r="AL225" i="35"/>
  <c r="AL226" i="35"/>
  <c r="AL227" i="35"/>
  <c r="B48" i="37"/>
  <c r="AI21" i="37"/>
  <c r="DP173" i="35"/>
  <c r="DO175" i="35"/>
  <c r="DN175" i="35" s="1"/>
  <c r="AH261" i="35"/>
  <c r="AI261" i="35" s="1"/>
  <c r="AH280" i="35"/>
  <c r="AI280" i="35" s="1"/>
  <c r="AH263" i="35"/>
  <c r="AI263" i="35" s="1"/>
  <c r="AH274" i="35"/>
  <c r="AI274" i="35" s="1"/>
  <c r="AH270" i="35"/>
  <c r="AI270" i="35" s="1"/>
  <c r="AH284" i="35"/>
  <c r="AI284" i="35" s="1"/>
  <c r="AH283" i="35"/>
  <c r="AI283" i="35" s="1"/>
  <c r="AH278" i="35"/>
  <c r="AI278" i="35" s="1"/>
  <c r="AH273" i="35"/>
  <c r="AI273" i="35" s="1"/>
  <c r="AH272" i="35"/>
  <c r="AI272" i="35" s="1"/>
  <c r="AH276" i="35"/>
  <c r="AI276" i="35" s="1"/>
  <c r="AH282" i="35"/>
  <c r="AI282" i="35" s="1"/>
  <c r="AH262" i="35"/>
  <c r="AI262" i="35" s="1"/>
  <c r="AH257" i="35"/>
  <c r="AI257" i="35" s="1"/>
  <c r="AJ254" i="35"/>
  <c r="AK254" i="35" s="1"/>
  <c r="AH255" i="35"/>
  <c r="AI255" i="35" s="1"/>
  <c r="DP179" i="35"/>
  <c r="DO179" i="35"/>
  <c r="DN179" i="35" s="1"/>
  <c r="AF285" i="35"/>
  <c r="AG285" i="35" s="1"/>
  <c r="AH268" i="35"/>
  <c r="AI268" i="35" s="1"/>
  <c r="AH260" i="35"/>
  <c r="AI260" i="35" s="1"/>
  <c r="Y314" i="35"/>
  <c r="Y309" i="35"/>
  <c r="Y307" i="35"/>
  <c r="Y310" i="35"/>
  <c r="Y315" i="35"/>
  <c r="Y313" i="35"/>
  <c r="Y311" i="35"/>
  <c r="Y316" i="35"/>
  <c r="AD316" i="35" s="1"/>
  <c r="Y312" i="35"/>
  <c r="Y299" i="35"/>
  <c r="Y297" i="35"/>
  <c r="Y295" i="35"/>
  <c r="Y306" i="35"/>
  <c r="Y304" i="35"/>
  <c r="Y302" i="35"/>
  <c r="Y293" i="35"/>
  <c r="Y291" i="35"/>
  <c r="Y289" i="35"/>
  <c r="Y287" i="35"/>
  <c r="Y300" i="35"/>
  <c r="Y298" i="35"/>
  <c r="Y296" i="35"/>
  <c r="Y308" i="35"/>
  <c r="Y305" i="35"/>
  <c r="Y303" i="35"/>
  <c r="Y301" i="35"/>
  <c r="Y294" i="35"/>
  <c r="Y292" i="35"/>
  <c r="Y290" i="35"/>
  <c r="Y288" i="35"/>
  <c r="AE286" i="35"/>
  <c r="AH277" i="35"/>
  <c r="AI277" i="35" s="1"/>
  <c r="AH267" i="35"/>
  <c r="AI267" i="35" s="1"/>
  <c r="AH275" i="35"/>
  <c r="AI275" i="35" s="1"/>
  <c r="AH271" i="35"/>
  <c r="AI271" i="35" s="1"/>
  <c r="AH269" i="35"/>
  <c r="AI269" i="35" s="1"/>
  <c r="AH259" i="35"/>
  <c r="AI259" i="35" s="1"/>
  <c r="AH258" i="35"/>
  <c r="AI258" i="35" s="1"/>
  <c r="AH266" i="35"/>
  <c r="AI266" i="35" s="1"/>
  <c r="AH264" i="35"/>
  <c r="AI264" i="35" s="1"/>
  <c r="AH256" i="35"/>
  <c r="AI256" i="35" s="1"/>
  <c r="AH279" i="35"/>
  <c r="AI279" i="35" s="1"/>
  <c r="AH265" i="35"/>
  <c r="AI265" i="35" s="1"/>
  <c r="AF259" i="22"/>
  <c r="AD12" i="22"/>
  <c r="AE12" i="22"/>
  <c r="AG12" i="22"/>
  <c r="AG259" i="22"/>
  <c r="AE259" i="22"/>
  <c r="AE181" i="22"/>
  <c r="AG181" i="22"/>
  <c r="AF181" i="22"/>
  <c r="AD181" i="22"/>
  <c r="AG68" i="22"/>
  <c r="AF68" i="22"/>
  <c r="AE68" i="22"/>
  <c r="AD68" i="22"/>
  <c r="Z68" i="22"/>
  <c r="AB71" i="22"/>
  <c r="AE71" i="22"/>
  <c r="AG71" i="22"/>
  <c r="AF71" i="22"/>
  <c r="AD71" i="22"/>
  <c r="AB32" i="22"/>
  <c r="AN11" i="22"/>
  <c r="AO11" i="22" s="1"/>
  <c r="AN10" i="22"/>
  <c r="AO10" i="22" s="1"/>
  <c r="AN9" i="22"/>
  <c r="G72" i="32"/>
  <c r="D72" i="32"/>
  <c r="B72" i="32"/>
  <c r="G70" i="32"/>
  <c r="D70" i="32"/>
  <c r="B70" i="32"/>
  <c r="M57" i="32"/>
  <c r="K57" i="32"/>
  <c r="G68" i="32"/>
  <c r="D68" i="32"/>
  <c r="B68" i="32"/>
  <c r="M56" i="32"/>
  <c r="K56" i="32"/>
  <c r="M55" i="32"/>
  <c r="K55" i="32"/>
  <c r="G66" i="32"/>
  <c r="D66" i="32"/>
  <c r="B66" i="32"/>
  <c r="M54" i="32"/>
  <c r="K54" i="32"/>
  <c r="M53" i="32"/>
  <c r="K53" i="32"/>
  <c r="G64" i="32"/>
  <c r="D64" i="32"/>
  <c r="B64" i="32"/>
  <c r="M52" i="32"/>
  <c r="K52" i="32"/>
  <c r="M51" i="32"/>
  <c r="K51" i="32"/>
  <c r="G62" i="32"/>
  <c r="D62" i="32"/>
  <c r="B62" i="32"/>
  <c r="D41" i="32"/>
  <c r="D40" i="32"/>
  <c r="D39" i="32"/>
  <c r="D38" i="32"/>
  <c r="E12" i="32"/>
  <c r="N12" i="32" s="1"/>
  <c r="N9" i="32"/>
  <c r="C1" i="32"/>
  <c r="M17" i="32" s="1"/>
  <c r="BT39" i="35" l="1"/>
  <c r="BT86" i="35"/>
  <c r="CA97" i="35"/>
  <c r="CH97" i="35" s="1"/>
  <c r="J97" i="19" s="1"/>
  <c r="BT62" i="35"/>
  <c r="BT75" i="35"/>
  <c r="BT105" i="35"/>
  <c r="BT41" i="35"/>
  <c r="BT31" i="35"/>
  <c r="BW31" i="35" s="1"/>
  <c r="BY31" i="35" s="1"/>
  <c r="BZ31" i="35" s="1"/>
  <c r="BT59" i="35"/>
  <c r="BW59" i="35" s="1"/>
  <c r="BY59" i="35" s="1"/>
  <c r="BZ59" i="35" s="1"/>
  <c r="BR48" i="35"/>
  <c r="BR121" i="35"/>
  <c r="BR107" i="35"/>
  <c r="BR56" i="35"/>
  <c r="BR129" i="35"/>
  <c r="BR104" i="35"/>
  <c r="BR87" i="35"/>
  <c r="BR30" i="35"/>
  <c r="BT30" i="35" s="1"/>
  <c r="BW30" i="35" s="1"/>
  <c r="BY30" i="35" s="1"/>
  <c r="BZ30" i="35" s="1"/>
  <c r="BR96" i="35"/>
  <c r="BR25" i="35"/>
  <c r="BR54" i="35"/>
  <c r="BR126" i="35"/>
  <c r="BR81" i="35"/>
  <c r="BR18" i="35"/>
  <c r="BR53" i="35"/>
  <c r="BR142" i="35"/>
  <c r="BR63" i="35"/>
  <c r="BR15" i="35"/>
  <c r="BR89" i="35"/>
  <c r="BR132" i="35"/>
  <c r="BR123" i="35"/>
  <c r="BR35" i="35"/>
  <c r="BR106" i="35"/>
  <c r="BR47" i="35"/>
  <c r="BT47" i="35" s="1"/>
  <c r="BW47" i="35" s="1"/>
  <c r="BY47" i="35" s="1"/>
  <c r="BZ47" i="35" s="1"/>
  <c r="BR111" i="35"/>
  <c r="BR92" i="35"/>
  <c r="BR98" i="35"/>
  <c r="BR117" i="35"/>
  <c r="BR83" i="35"/>
  <c r="BR88" i="35"/>
  <c r="BR14" i="35"/>
  <c r="BR8" i="35"/>
  <c r="BR11" i="35"/>
  <c r="BR77" i="35"/>
  <c r="BR9" i="35"/>
  <c r="BR67" i="35"/>
  <c r="BR79" i="35"/>
  <c r="BR74" i="35"/>
  <c r="BR150" i="35"/>
  <c r="BR72" i="35"/>
  <c r="BR154" i="35"/>
  <c r="BR71" i="35"/>
  <c r="BR78" i="35"/>
  <c r="BR124" i="35"/>
  <c r="BR36" i="35"/>
  <c r="BR85" i="35"/>
  <c r="BR90" i="35"/>
  <c r="BR114" i="35"/>
  <c r="BR22" i="35"/>
  <c r="BR138" i="35"/>
  <c r="BR109" i="35"/>
  <c r="BR45" i="35"/>
  <c r="BR64" i="35"/>
  <c r="BR156" i="35"/>
  <c r="BT156" i="35" s="1"/>
  <c r="BW156" i="35" s="1"/>
  <c r="BY156" i="35" s="1"/>
  <c r="BZ156" i="35" s="1"/>
  <c r="BR20" i="35"/>
  <c r="BR32" i="35"/>
  <c r="BR33" i="35"/>
  <c r="BL148" i="35"/>
  <c r="BN148" i="35" s="1"/>
  <c r="BP148" i="35" s="1"/>
  <c r="BL141" i="35"/>
  <c r="BN141" i="35" s="1"/>
  <c r="BP141" i="35" s="1"/>
  <c r="BL153" i="35"/>
  <c r="BN153" i="35" s="1"/>
  <c r="BP153" i="35" s="1"/>
  <c r="BL147" i="35"/>
  <c r="BN147" i="35" s="1"/>
  <c r="BP147" i="35" s="1"/>
  <c r="BL145" i="35"/>
  <c r="BN145" i="35" s="1"/>
  <c r="BP145" i="35" s="1"/>
  <c r="BL135" i="35"/>
  <c r="BN135" i="35" s="1"/>
  <c r="BP135" i="35" s="1"/>
  <c r="BL73" i="35"/>
  <c r="BN73" i="35" s="1"/>
  <c r="BP73" i="35" s="1"/>
  <c r="BL160" i="35"/>
  <c r="BN160" i="35" s="1"/>
  <c r="BP160" i="35" s="1"/>
  <c r="BL139" i="35"/>
  <c r="BN139" i="35" s="1"/>
  <c r="BP139" i="35" s="1"/>
  <c r="BL144" i="35"/>
  <c r="BN144" i="35" s="1"/>
  <c r="BP144" i="35" s="1"/>
  <c r="BL149" i="35"/>
  <c r="BN149" i="35" s="1"/>
  <c r="BP149" i="35" s="1"/>
  <c r="BL157" i="35"/>
  <c r="BN157" i="35" s="1"/>
  <c r="BP157" i="35" s="1"/>
  <c r="BL101" i="35"/>
  <c r="BN101" i="35" s="1"/>
  <c r="BP101" i="35" s="1"/>
  <c r="BL100" i="35"/>
  <c r="BN100" i="35" s="1"/>
  <c r="BP100" i="35" s="1"/>
  <c r="BL140" i="35"/>
  <c r="BN140" i="35" s="1"/>
  <c r="BP140" i="35" s="1"/>
  <c r="BL133" i="35"/>
  <c r="BN133" i="35" s="1"/>
  <c r="BP133" i="35" s="1"/>
  <c r="BL136" i="35"/>
  <c r="BN136" i="35" s="1"/>
  <c r="BP136" i="35" s="1"/>
  <c r="BL130" i="35"/>
  <c r="BN130" i="35" s="1"/>
  <c r="BP130" i="35" s="1"/>
  <c r="BH113" i="35"/>
  <c r="BH60" i="35"/>
  <c r="BH127" i="35"/>
  <c r="BH108" i="35"/>
  <c r="BH58" i="35"/>
  <c r="BH10" i="35"/>
  <c r="BH116" i="35"/>
  <c r="BH12" i="35"/>
  <c r="BH27" i="35"/>
  <c r="BH118" i="35"/>
  <c r="BH99" i="35"/>
  <c r="BF112" i="35"/>
  <c r="BF120" i="35"/>
  <c r="BF80" i="35"/>
  <c r="BF103" i="35"/>
  <c r="BF26" i="35"/>
  <c r="BF68" i="35"/>
  <c r="BF24" i="35"/>
  <c r="BF37" i="35"/>
  <c r="BF128" i="35"/>
  <c r="BF66" i="35"/>
  <c r="BF42" i="35"/>
  <c r="BF21" i="35"/>
  <c r="BF57" i="35"/>
  <c r="BF115" i="35"/>
  <c r="BF29" i="35"/>
  <c r="BF134" i="35"/>
  <c r="BF50" i="35"/>
  <c r="BF91" i="35"/>
  <c r="BF17" i="35"/>
  <c r="BF119" i="35"/>
  <c r="BF51" i="35"/>
  <c r="BF102" i="35"/>
  <c r="BF69" i="35"/>
  <c r="BF43" i="35"/>
  <c r="BF23" i="35"/>
  <c r="BF49" i="35"/>
  <c r="BF82" i="35"/>
  <c r="BF70" i="35"/>
  <c r="BF52" i="35"/>
  <c r="BF28" i="35"/>
  <c r="BF125" i="35"/>
  <c r="BF76" i="35"/>
  <c r="BF55" i="35"/>
  <c r="BF95" i="35"/>
  <c r="BF16" i="35"/>
  <c r="BF40" i="35"/>
  <c r="BF46" i="35"/>
  <c r="BF61" i="35"/>
  <c r="BF34" i="35"/>
  <c r="BF84" i="35"/>
  <c r="BF110" i="35"/>
  <c r="BF38" i="35"/>
  <c r="BF19" i="35"/>
  <c r="BF93" i="35"/>
  <c r="BF94" i="35"/>
  <c r="BF65" i="35"/>
  <c r="BF13" i="35"/>
  <c r="BD137" i="35"/>
  <c r="BD44" i="35"/>
  <c r="BD131" i="35"/>
  <c r="BD122" i="35"/>
  <c r="BD151" i="35"/>
  <c r="BD146" i="35"/>
  <c r="BD152" i="35"/>
  <c r="BD159" i="35"/>
  <c r="BD158" i="35"/>
  <c r="BA155" i="35"/>
  <c r="BD155" i="35" s="1"/>
  <c r="BF155" i="35" s="1"/>
  <c r="BH155" i="35" s="1"/>
  <c r="BJ155" i="35" s="1"/>
  <c r="BA176" i="35"/>
  <c r="BA143" i="35"/>
  <c r="BA190" i="35"/>
  <c r="AZ177" i="35"/>
  <c r="AZ186" i="35"/>
  <c r="AZ172" i="35"/>
  <c r="AZ181" i="35"/>
  <c r="AZ185" i="35"/>
  <c r="AZ161" i="35"/>
  <c r="AZ183" i="35"/>
  <c r="AZ182" i="35"/>
  <c r="AZ165" i="35"/>
  <c r="AZ168" i="35"/>
  <c r="AZ166" i="35"/>
  <c r="AZ184" i="35"/>
  <c r="AZ163" i="35"/>
  <c r="AZ174" i="35"/>
  <c r="AZ178" i="35"/>
  <c r="AZ170" i="35"/>
  <c r="AZ188" i="35"/>
  <c r="AZ187" i="35"/>
  <c r="AZ180" i="35"/>
  <c r="AZ191" i="35"/>
  <c r="AZ167" i="35"/>
  <c r="AZ189" i="35"/>
  <c r="AZ7" i="35"/>
  <c r="AZ164" i="35"/>
  <c r="AZ171" i="35"/>
  <c r="AZ169" i="35"/>
  <c r="AX173" i="35"/>
  <c r="DP184" i="35"/>
  <c r="DO182" i="35"/>
  <c r="DN182" i="35" s="1"/>
  <c r="DP172" i="35"/>
  <c r="AO238" i="35"/>
  <c r="AP238" i="35" s="1"/>
  <c r="AQ238" i="35" s="1"/>
  <c r="AO228" i="35"/>
  <c r="AP228" i="35" s="1"/>
  <c r="AQ228" i="35" s="1"/>
  <c r="AO227" i="35"/>
  <c r="AP227" i="35" s="1"/>
  <c r="AQ227" i="35" s="1"/>
  <c r="AO240" i="35"/>
  <c r="AP240" i="35" s="1"/>
  <c r="AQ240" i="35" s="1"/>
  <c r="AO239" i="35"/>
  <c r="AP239" i="35" s="1"/>
  <c r="AQ239" i="35" s="1"/>
  <c r="AO247" i="35"/>
  <c r="AP247" i="35" s="1"/>
  <c r="AQ247" i="35" s="1"/>
  <c r="AO226" i="35"/>
  <c r="AP226" i="35" s="1"/>
  <c r="AQ226" i="35" s="1"/>
  <c r="AO232" i="35"/>
  <c r="AP232" i="35" s="1"/>
  <c r="AQ232" i="35" s="1"/>
  <c r="AO236" i="35"/>
  <c r="AP236" i="35" s="1"/>
  <c r="AQ236" i="35" s="1"/>
  <c r="AO237" i="35"/>
  <c r="AP237" i="35" s="1"/>
  <c r="AQ237" i="35" s="1"/>
  <c r="AO225" i="35"/>
  <c r="AP225" i="35" s="1"/>
  <c r="AQ225" i="35" s="1"/>
  <c r="AO235" i="35"/>
  <c r="AP235" i="35" s="1"/>
  <c r="AQ235" i="35" s="1"/>
  <c r="AO252" i="35"/>
  <c r="AP252" i="35" s="1"/>
  <c r="AQ252" i="35" s="1"/>
  <c r="AO224" i="35"/>
  <c r="AP224" i="35" s="1"/>
  <c r="AQ224" i="35" s="1"/>
  <c r="AO242" i="35"/>
  <c r="AP242" i="35" s="1"/>
  <c r="AQ242" i="35" s="1"/>
  <c r="AO250" i="35"/>
  <c r="AP250" i="35" s="1"/>
  <c r="AQ250" i="35" s="1"/>
  <c r="AO229" i="35"/>
  <c r="AP229" i="35" s="1"/>
  <c r="AQ229" i="35" s="1"/>
  <c r="AO241" i="35"/>
  <c r="AP241" i="35" s="1"/>
  <c r="AQ241" i="35" s="1"/>
  <c r="AO251" i="35"/>
  <c r="AP251" i="35" s="1"/>
  <c r="AQ251" i="35" s="1"/>
  <c r="AO245" i="35"/>
  <c r="AP245" i="35" s="1"/>
  <c r="AQ245" i="35" s="1"/>
  <c r="AO246" i="35"/>
  <c r="AP246" i="35" s="1"/>
  <c r="AQ246" i="35" s="1"/>
  <c r="AO244" i="35"/>
  <c r="AP244" i="35" s="1"/>
  <c r="AQ244" i="35" s="1"/>
  <c r="AO230" i="35"/>
  <c r="AP230" i="35" s="1"/>
  <c r="AQ230" i="35" s="1"/>
  <c r="AO253" i="35"/>
  <c r="AP253" i="35" s="1"/>
  <c r="AQ253" i="35" s="1"/>
  <c r="AO248" i="35"/>
  <c r="AP248" i="35" s="1"/>
  <c r="AQ248" i="35" s="1"/>
  <c r="AO243" i="35"/>
  <c r="AP243" i="35" s="1"/>
  <c r="AQ243" i="35" s="1"/>
  <c r="AO234" i="35"/>
  <c r="AP234" i="35" s="1"/>
  <c r="AQ234" i="35" s="1"/>
  <c r="DP190" i="35"/>
  <c r="DO170" i="35"/>
  <c r="DN170" i="35" s="1"/>
  <c r="AX192" i="35"/>
  <c r="AZ192" i="35" s="1"/>
  <c r="AS203" i="35"/>
  <c r="AS198" i="35"/>
  <c r="AU220" i="35"/>
  <c r="AW220" i="35" s="1"/>
  <c r="AU215" i="35"/>
  <c r="AW215" i="35" s="1"/>
  <c r="AU211" i="35"/>
  <c r="AW211" i="35" s="1"/>
  <c r="AX179" i="35"/>
  <c r="AX175" i="35"/>
  <c r="AZ175" i="35" s="1"/>
  <c r="AS219" i="35"/>
  <c r="AS202" i="35"/>
  <c r="AS199" i="35"/>
  <c r="AD296" i="35"/>
  <c r="AE296" i="35" s="1"/>
  <c r="AF296" i="35" s="1"/>
  <c r="AG296" i="35" s="1"/>
  <c r="AD313" i="35"/>
  <c r="AE313" i="35" s="1"/>
  <c r="AF313" i="35" s="1"/>
  <c r="AG313" i="35" s="1"/>
  <c r="AD292" i="35"/>
  <c r="AE292" i="35" s="1"/>
  <c r="AF292" i="35" s="1"/>
  <c r="AG292" i="35" s="1"/>
  <c r="AD300" i="35"/>
  <c r="AE300" i="35" s="1"/>
  <c r="AF300" i="35" s="1"/>
  <c r="AG300" i="35" s="1"/>
  <c r="AD295" i="35"/>
  <c r="AE295" i="35" s="1"/>
  <c r="AF295" i="35" s="1"/>
  <c r="AG295" i="35" s="1"/>
  <c r="AD310" i="35"/>
  <c r="AE310" i="35" s="1"/>
  <c r="AF310" i="35" s="1"/>
  <c r="AG310" i="35" s="1"/>
  <c r="AD304" i="35"/>
  <c r="AE304" i="35" s="1"/>
  <c r="AF304" i="35" s="1"/>
  <c r="AG304" i="35" s="1"/>
  <c r="AD294" i="35"/>
  <c r="AE294" i="35" s="1"/>
  <c r="AF294" i="35" s="1"/>
  <c r="AG294" i="35" s="1"/>
  <c r="AD287" i="35"/>
  <c r="AE287" i="35" s="1"/>
  <c r="AF287" i="35" s="1"/>
  <c r="AG287" i="35" s="1"/>
  <c r="AD297" i="35"/>
  <c r="AE297" i="35" s="1"/>
  <c r="AF297" i="35" s="1"/>
  <c r="AG297" i="35" s="1"/>
  <c r="AD307" i="35"/>
  <c r="AE307" i="35" s="1"/>
  <c r="AF307" i="35" s="1"/>
  <c r="AG307" i="35" s="1"/>
  <c r="AD289" i="35"/>
  <c r="AE289" i="35" s="1"/>
  <c r="AF289" i="35" s="1"/>
  <c r="AG289" i="35" s="1"/>
  <c r="AD303" i="35"/>
  <c r="AE303" i="35" s="1"/>
  <c r="AF303" i="35" s="1"/>
  <c r="AG303" i="35" s="1"/>
  <c r="AD291" i="35"/>
  <c r="AE291" i="35" s="1"/>
  <c r="AF291" i="35" s="1"/>
  <c r="AG291" i="35" s="1"/>
  <c r="AD312" i="35"/>
  <c r="AE312" i="35" s="1"/>
  <c r="AF312" i="35" s="1"/>
  <c r="AG312" i="35" s="1"/>
  <c r="AD314" i="35"/>
  <c r="AE314" i="35" s="1"/>
  <c r="AF314" i="35" s="1"/>
  <c r="AG314" i="35" s="1"/>
  <c r="AD299" i="35"/>
  <c r="AE299" i="35" s="1"/>
  <c r="AF299" i="35" s="1"/>
  <c r="AG299" i="35" s="1"/>
  <c r="AD305" i="35"/>
  <c r="AE305" i="35" s="1"/>
  <c r="AF305" i="35" s="1"/>
  <c r="AG305" i="35" s="1"/>
  <c r="AD293" i="35"/>
  <c r="AE293" i="35" s="1"/>
  <c r="AF293" i="35" s="1"/>
  <c r="AG293" i="35" s="1"/>
  <c r="AD301" i="35"/>
  <c r="AE301" i="35" s="1"/>
  <c r="AF301" i="35" s="1"/>
  <c r="AG301" i="35" s="1"/>
  <c r="AD309" i="35"/>
  <c r="AE309" i="35" s="1"/>
  <c r="AF309" i="35" s="1"/>
  <c r="AG309" i="35" s="1"/>
  <c r="AD308" i="35"/>
  <c r="AE308" i="35" s="1"/>
  <c r="AF308" i="35" s="1"/>
  <c r="AG308" i="35" s="1"/>
  <c r="AD302" i="35"/>
  <c r="AE302" i="35" s="1"/>
  <c r="AF302" i="35" s="1"/>
  <c r="AG302" i="35" s="1"/>
  <c r="AD311" i="35"/>
  <c r="AE311" i="35" s="1"/>
  <c r="AF311" i="35" s="1"/>
  <c r="AG311" i="35" s="1"/>
  <c r="AD288" i="35"/>
  <c r="AE288" i="35" s="1"/>
  <c r="AF288" i="35" s="1"/>
  <c r="AG288" i="35" s="1"/>
  <c r="AD290" i="35"/>
  <c r="AE290" i="35" s="1"/>
  <c r="AF290" i="35" s="1"/>
  <c r="AG290" i="35" s="1"/>
  <c r="AD298" i="35"/>
  <c r="AE298" i="35" s="1"/>
  <c r="AF298" i="35" s="1"/>
  <c r="AG298" i="35" s="1"/>
  <c r="AD306" i="35"/>
  <c r="AE306" i="35" s="1"/>
  <c r="AF306" i="35" s="1"/>
  <c r="AG306" i="35" s="1"/>
  <c r="AD315" i="35"/>
  <c r="AE315" i="35" s="1"/>
  <c r="AF315" i="35" s="1"/>
  <c r="AG315" i="35" s="1"/>
  <c r="DP177" i="35"/>
  <c r="AV192" i="35"/>
  <c r="DP192" i="35" s="1"/>
  <c r="AS215" i="35"/>
  <c r="AU198" i="35"/>
  <c r="AW198" i="35" s="1"/>
  <c r="DO168" i="35"/>
  <c r="DN168" i="35" s="1"/>
  <c r="DO163" i="35"/>
  <c r="DN163" i="35" s="1"/>
  <c r="DO189" i="35"/>
  <c r="DN189" i="35" s="1"/>
  <c r="DO181" i="35"/>
  <c r="DN181" i="35" s="1"/>
  <c r="DO167" i="35"/>
  <c r="DN167" i="35" s="1"/>
  <c r="DO191" i="35"/>
  <c r="DN191" i="35" s="1"/>
  <c r="AS220" i="35"/>
  <c r="DO188" i="35"/>
  <c r="DN188" i="35" s="1"/>
  <c r="DO169" i="35"/>
  <c r="DN169" i="35" s="1"/>
  <c r="DO176" i="35"/>
  <c r="DN176" i="35" s="1"/>
  <c r="DO174" i="35"/>
  <c r="DN174" i="35" s="1"/>
  <c r="DO185" i="35"/>
  <c r="DN185" i="35" s="1"/>
  <c r="DP187" i="35"/>
  <c r="DO171" i="35"/>
  <c r="DN171" i="35" s="1"/>
  <c r="AU202" i="35"/>
  <c r="AW202" i="35" s="1"/>
  <c r="DO166" i="35"/>
  <c r="DN166" i="35" s="1"/>
  <c r="DB222" i="35"/>
  <c r="DB199" i="35"/>
  <c r="DB218" i="35"/>
  <c r="DB204" i="35"/>
  <c r="DB207" i="35"/>
  <c r="DB198" i="35"/>
  <c r="DB194" i="35"/>
  <c r="DB205" i="35"/>
  <c r="DB202" i="35"/>
  <c r="DB210" i="35"/>
  <c r="DB213" i="35"/>
  <c r="DB203" i="35"/>
  <c r="DB212" i="35"/>
  <c r="DB196" i="35"/>
  <c r="DB219" i="35"/>
  <c r="DB208" i="35"/>
  <c r="DB197" i="35"/>
  <c r="DB217" i="35"/>
  <c r="DB200" i="35"/>
  <c r="DB206" i="35"/>
  <c r="DB195" i="35"/>
  <c r="DB209" i="35"/>
  <c r="DB201" i="35"/>
  <c r="DB216" i="35"/>
  <c r="DB214" i="35"/>
  <c r="DB211" i="35"/>
  <c r="DB221" i="35"/>
  <c r="DB220" i="35"/>
  <c r="DB215" i="35"/>
  <c r="DP180" i="35"/>
  <c r="DO178" i="35"/>
  <c r="DN178" i="35" s="1"/>
  <c r="DP165" i="35"/>
  <c r="AU203" i="35"/>
  <c r="AW203" i="35" s="1"/>
  <c r="AU219" i="35"/>
  <c r="AW219" i="35" s="1"/>
  <c r="DP164" i="35"/>
  <c r="DO183" i="35"/>
  <c r="DN183" i="35" s="1"/>
  <c r="AU210" i="35"/>
  <c r="AW210" i="35" s="1"/>
  <c r="AU213" i="35"/>
  <c r="AW213" i="35" s="1"/>
  <c r="AS216" i="35"/>
  <c r="AU216" i="35"/>
  <c r="AW216" i="35" s="1"/>
  <c r="AS214" i="35"/>
  <c r="AU214" i="35"/>
  <c r="AW214" i="35" s="1"/>
  <c r="AS221" i="35"/>
  <c r="AU199" i="35"/>
  <c r="AW199" i="35" s="1"/>
  <c r="AS211" i="35"/>
  <c r="AU221" i="35"/>
  <c r="AW221" i="35" s="1"/>
  <c r="AS197" i="35"/>
  <c r="AU208" i="35"/>
  <c r="AV208" i="35" s="1"/>
  <c r="DP208" i="35" s="1"/>
  <c r="AU197" i="35"/>
  <c r="AW197" i="35" s="1"/>
  <c r="AU217" i="35"/>
  <c r="AW217" i="35" s="1"/>
  <c r="AS208" i="35"/>
  <c r="AS217" i="35"/>
  <c r="DO186" i="35"/>
  <c r="DN186" i="35" s="1"/>
  <c r="AS210" i="35"/>
  <c r="AS213" i="35"/>
  <c r="AS218" i="35"/>
  <c r="AU222" i="35"/>
  <c r="AW222" i="35" s="1"/>
  <c r="AS205" i="35"/>
  <c r="AU218" i="35"/>
  <c r="AV218" i="35" s="1"/>
  <c r="DP218" i="35" s="1"/>
  <c r="AS222" i="35"/>
  <c r="AU205" i="35"/>
  <c r="AW205" i="35" s="1"/>
  <c r="AU201" i="35"/>
  <c r="AW201" i="35" s="1"/>
  <c r="AS201" i="35"/>
  <c r="AS206" i="35"/>
  <c r="AS195" i="35"/>
  <c r="AU195" i="35"/>
  <c r="AW195" i="35" s="1"/>
  <c r="AU206" i="35"/>
  <c r="AW206" i="35" s="1"/>
  <c r="AS196" i="35"/>
  <c r="AS194" i="35"/>
  <c r="AU194" i="35"/>
  <c r="AW194" i="35" s="1"/>
  <c r="AU212" i="35"/>
  <c r="AW212" i="35" s="1"/>
  <c r="AU209" i="35"/>
  <c r="AW209" i="35" s="1"/>
  <c r="AS212" i="35"/>
  <c r="AS209" i="35"/>
  <c r="AU196" i="35"/>
  <c r="AW196" i="35" s="1"/>
  <c r="AS207" i="35"/>
  <c r="AS200" i="35"/>
  <c r="AP233" i="35"/>
  <c r="AQ233" i="35" s="1"/>
  <c r="AU207" i="35"/>
  <c r="AV207" i="35" s="1"/>
  <c r="DO207" i="35" s="1"/>
  <c r="DN207" i="35" s="1"/>
  <c r="AU200" i="35"/>
  <c r="AV200" i="35" s="1"/>
  <c r="AT223" i="35"/>
  <c r="AS204" i="35"/>
  <c r="AQ193" i="35"/>
  <c r="AU204" i="35"/>
  <c r="AV204" i="35" s="1"/>
  <c r="AP249" i="35"/>
  <c r="AQ249" i="35" s="1"/>
  <c r="AP231" i="35"/>
  <c r="AQ231" i="35" s="1"/>
  <c r="DP7" i="35"/>
  <c r="DO7" i="35"/>
  <c r="DN7" i="35" s="1"/>
  <c r="DB162" i="35"/>
  <c r="AU162" i="35"/>
  <c r="AW162" i="35" s="1"/>
  <c r="AS162" i="35"/>
  <c r="AL254" i="35"/>
  <c r="B49" i="37"/>
  <c r="AJ21" i="37"/>
  <c r="AJ283" i="35"/>
  <c r="AK283" i="35" s="1"/>
  <c r="AJ281" i="35"/>
  <c r="AK281" i="35" s="1"/>
  <c r="AL281" i="35" s="1"/>
  <c r="AJ282" i="35"/>
  <c r="AK282" i="35" s="1"/>
  <c r="AJ280" i="35"/>
  <c r="AK280" i="35" s="1"/>
  <c r="AJ258" i="35"/>
  <c r="AK258" i="35" s="1"/>
  <c r="AJ278" i="35"/>
  <c r="AK278" i="35" s="1"/>
  <c r="AJ276" i="35"/>
  <c r="AK276" i="35" s="1"/>
  <c r="AJ266" i="35"/>
  <c r="AK266" i="35" s="1"/>
  <c r="AL266" i="35" s="1"/>
  <c r="AJ272" i="35"/>
  <c r="AK272" i="35" s="1"/>
  <c r="AJ261" i="35"/>
  <c r="AK261" i="35" s="1"/>
  <c r="AJ269" i="35"/>
  <c r="AK269" i="35" s="1"/>
  <c r="AJ275" i="35"/>
  <c r="AK275" i="35" s="1"/>
  <c r="AJ256" i="35"/>
  <c r="AK256" i="35" s="1"/>
  <c r="AJ271" i="35"/>
  <c r="AK271" i="35" s="1"/>
  <c r="AJ273" i="35"/>
  <c r="AK273" i="35" s="1"/>
  <c r="AJ279" i="35"/>
  <c r="AK279" i="35" s="1"/>
  <c r="AJ257" i="35"/>
  <c r="AK257" i="35" s="1"/>
  <c r="Y317" i="35"/>
  <c r="AD317" i="35" s="1"/>
  <c r="AE316" i="35"/>
  <c r="AJ264" i="35"/>
  <c r="AK264" i="35" s="1"/>
  <c r="AJ267" i="35"/>
  <c r="AK267" i="35" s="1"/>
  <c r="AF286" i="35"/>
  <c r="AG286" i="35" s="1"/>
  <c r="AH285" i="35"/>
  <c r="AI285" i="35" s="1"/>
  <c r="AJ284" i="35"/>
  <c r="AK284" i="35" s="1"/>
  <c r="AJ259" i="35"/>
  <c r="AK259" i="35" s="1"/>
  <c r="AJ268" i="35"/>
  <c r="AK268" i="35" s="1"/>
  <c r="AJ262" i="35"/>
  <c r="AK262" i="35" s="1"/>
  <c r="AJ277" i="35"/>
  <c r="AK277" i="35" s="1"/>
  <c r="AJ274" i="35"/>
  <c r="AK274" i="35" s="1"/>
  <c r="AJ265" i="35"/>
  <c r="AK265" i="35" s="1"/>
  <c r="AJ260" i="35"/>
  <c r="AK260" i="35" s="1"/>
  <c r="AJ270" i="35"/>
  <c r="AK270" i="35" s="1"/>
  <c r="AL270" i="35" s="1"/>
  <c r="AJ263" i="35"/>
  <c r="AK263" i="35" s="1"/>
  <c r="AJ255" i="35"/>
  <c r="AK255" i="35" s="1"/>
  <c r="AB68" i="22"/>
  <c r="AN12" i="22"/>
  <c r="AO9" i="22"/>
  <c r="L1" i="32"/>
  <c r="V17" i="32"/>
  <c r="D21" i="25"/>
  <c r="D23" i="25"/>
  <c r="BW41" i="35" l="1"/>
  <c r="BW75" i="35"/>
  <c r="BW105" i="35"/>
  <c r="BW62" i="35"/>
  <c r="BW86" i="35"/>
  <c r="BW39" i="35"/>
  <c r="BT129" i="35"/>
  <c r="BW129" i="35" s="1"/>
  <c r="BY129" i="35" s="1"/>
  <c r="BZ129" i="35" s="1"/>
  <c r="BT109" i="35"/>
  <c r="BW109" i="35" s="1"/>
  <c r="BY109" i="35" s="1"/>
  <c r="BZ109" i="35" s="1"/>
  <c r="BT54" i="35"/>
  <c r="BW54" i="35" s="1"/>
  <c r="BY54" i="35" s="1"/>
  <c r="BZ54" i="35" s="1"/>
  <c r="BT126" i="35"/>
  <c r="BW126" i="35" s="1"/>
  <c r="BY126" i="35" s="1"/>
  <c r="BZ126" i="35" s="1"/>
  <c r="CF97" i="35"/>
  <c r="CG97" i="35" s="1"/>
  <c r="CI97" i="35" s="1"/>
  <c r="BT121" i="35"/>
  <c r="BW121" i="35" s="1"/>
  <c r="BY121" i="35" s="1"/>
  <c r="BZ121" i="35" s="1"/>
  <c r="BT9" i="35"/>
  <c r="BT20" i="35"/>
  <c r="BT78" i="35"/>
  <c r="BW78" i="35" s="1"/>
  <c r="BY78" i="35" s="1"/>
  <c r="BZ78" i="35" s="1"/>
  <c r="BT8" i="35"/>
  <c r="BT123" i="35"/>
  <c r="BT25" i="35"/>
  <c r="BT32" i="35"/>
  <c r="BT71" i="35"/>
  <c r="BT14" i="35"/>
  <c r="BW14" i="35" s="1"/>
  <c r="BY14" i="35" s="1"/>
  <c r="BZ14" i="35" s="1"/>
  <c r="BT132" i="35"/>
  <c r="BT96" i="35"/>
  <c r="BT106" i="35"/>
  <c r="BT64" i="35"/>
  <c r="BT154" i="35"/>
  <c r="BT89" i="35"/>
  <c r="BW89" i="35" s="1"/>
  <c r="BY89" i="35" s="1"/>
  <c r="BZ89" i="35" s="1"/>
  <c r="CA30" i="35"/>
  <c r="CA47" i="35"/>
  <c r="DC47" i="35" s="1"/>
  <c r="BT36" i="35"/>
  <c r="BT45" i="35"/>
  <c r="BT72" i="35"/>
  <c r="BT88" i="35"/>
  <c r="BT15" i="35"/>
  <c r="BT87" i="35"/>
  <c r="CF59" i="35"/>
  <c r="CG59" i="35" s="1"/>
  <c r="CA59" i="35"/>
  <c r="BT85" i="35"/>
  <c r="BT35" i="35"/>
  <c r="BT150" i="35"/>
  <c r="BT83" i="35"/>
  <c r="BT63" i="35"/>
  <c r="BT104" i="35"/>
  <c r="BT48" i="35"/>
  <c r="BW48" i="35" s="1"/>
  <c r="BY48" i="35" s="1"/>
  <c r="BZ48" i="35" s="1"/>
  <c r="BT77" i="35"/>
  <c r="BT138" i="35"/>
  <c r="BT74" i="35"/>
  <c r="BT117" i="35"/>
  <c r="BT142" i="35"/>
  <c r="CF31" i="35"/>
  <c r="CG31" i="35" s="1"/>
  <c r="CA31" i="35"/>
  <c r="BT90" i="35"/>
  <c r="BT81" i="35"/>
  <c r="BT124" i="35"/>
  <c r="BW124" i="35" s="1"/>
  <c r="BY124" i="35" s="1"/>
  <c r="BZ124" i="35" s="1"/>
  <c r="BT22" i="35"/>
  <c r="BT79" i="35"/>
  <c r="BT98" i="35"/>
  <c r="BT53" i="35"/>
  <c r="BT56" i="35"/>
  <c r="BT111" i="35"/>
  <c r="BT33" i="35"/>
  <c r="BT11" i="35"/>
  <c r="DC97" i="35"/>
  <c r="BT114" i="35"/>
  <c r="BT67" i="35"/>
  <c r="BT92" i="35"/>
  <c r="BT18" i="35"/>
  <c r="BW18" i="35" s="1"/>
  <c r="BY18" i="35" s="1"/>
  <c r="BZ18" i="35" s="1"/>
  <c r="BT107" i="35"/>
  <c r="BR144" i="35"/>
  <c r="BT144" i="35" s="1"/>
  <c r="BW144" i="35" s="1"/>
  <c r="BY144" i="35" s="1"/>
  <c r="BZ144" i="35" s="1"/>
  <c r="BR139" i="35"/>
  <c r="BR160" i="35"/>
  <c r="BR73" i="35"/>
  <c r="BR130" i="35"/>
  <c r="BR145" i="35"/>
  <c r="BR133" i="35"/>
  <c r="BR147" i="35"/>
  <c r="BR140" i="35"/>
  <c r="BR153" i="35"/>
  <c r="BT153" i="35" s="1"/>
  <c r="BW153" i="35" s="1"/>
  <c r="BY153" i="35" s="1"/>
  <c r="BZ153" i="35" s="1"/>
  <c r="BR100" i="35"/>
  <c r="BR141" i="35"/>
  <c r="BR149" i="35"/>
  <c r="BR135" i="35"/>
  <c r="BR136" i="35"/>
  <c r="BR101" i="35"/>
  <c r="BR148" i="35"/>
  <c r="BR157" i="35"/>
  <c r="BL155" i="35"/>
  <c r="BN155" i="35" s="1"/>
  <c r="BP155" i="35" s="1"/>
  <c r="BJ116" i="35"/>
  <c r="BL116" i="35" s="1"/>
  <c r="BN116" i="35" s="1"/>
  <c r="BP116" i="35" s="1"/>
  <c r="BJ10" i="35"/>
  <c r="BL10" i="35" s="1"/>
  <c r="BN10" i="35" s="1"/>
  <c r="BP10" i="35" s="1"/>
  <c r="BJ12" i="35"/>
  <c r="BL12" i="35" s="1"/>
  <c r="BN12" i="35" s="1"/>
  <c r="BP12" i="35" s="1"/>
  <c r="BJ58" i="35"/>
  <c r="BL58" i="35" s="1"/>
  <c r="BN58" i="35" s="1"/>
  <c r="BP58" i="35" s="1"/>
  <c r="BJ108" i="35"/>
  <c r="BL108" i="35" s="1"/>
  <c r="BN108" i="35" s="1"/>
  <c r="BP108" i="35" s="1"/>
  <c r="BJ99" i="35"/>
  <c r="BL99" i="35" s="1"/>
  <c r="BN99" i="35" s="1"/>
  <c r="BP99" i="35" s="1"/>
  <c r="BJ127" i="35"/>
  <c r="BL127" i="35" s="1"/>
  <c r="BN127" i="35" s="1"/>
  <c r="BP127" i="35" s="1"/>
  <c r="BJ118" i="35"/>
  <c r="BL118" i="35" s="1"/>
  <c r="BN118" i="35" s="1"/>
  <c r="BP118" i="35" s="1"/>
  <c r="BJ60" i="35"/>
  <c r="BL60" i="35" s="1"/>
  <c r="BN60" i="35" s="1"/>
  <c r="BP60" i="35" s="1"/>
  <c r="BJ27" i="35"/>
  <c r="BL27" i="35" s="1"/>
  <c r="BN27" i="35" s="1"/>
  <c r="BP27" i="35" s="1"/>
  <c r="BJ113" i="35"/>
  <c r="BL113" i="35" s="1"/>
  <c r="BN113" i="35" s="1"/>
  <c r="BP113" i="35" s="1"/>
  <c r="BH84" i="35"/>
  <c r="BH55" i="35"/>
  <c r="BH91" i="35"/>
  <c r="BH42" i="35"/>
  <c r="BH80" i="35"/>
  <c r="BH95" i="35"/>
  <c r="BH26" i="35"/>
  <c r="BH103" i="35"/>
  <c r="BH13" i="35"/>
  <c r="BH34" i="35"/>
  <c r="BH76" i="35"/>
  <c r="BH23" i="35"/>
  <c r="BH66" i="35"/>
  <c r="BH120" i="35"/>
  <c r="BH38" i="35"/>
  <c r="BH21" i="35"/>
  <c r="BH65" i="35"/>
  <c r="BH61" i="35"/>
  <c r="BH125" i="35"/>
  <c r="BH43" i="35"/>
  <c r="BH50" i="35"/>
  <c r="BH128" i="35"/>
  <c r="BH112" i="35"/>
  <c r="BH82" i="35"/>
  <c r="BH57" i="35"/>
  <c r="BH110" i="35"/>
  <c r="BH94" i="35"/>
  <c r="BH46" i="35"/>
  <c r="BH28" i="35"/>
  <c r="BH69" i="35"/>
  <c r="BH134" i="35"/>
  <c r="BH37" i="35"/>
  <c r="BJ37" i="35" s="1"/>
  <c r="BL37" i="35" s="1"/>
  <c r="BN37" i="35" s="1"/>
  <c r="BP37" i="35" s="1"/>
  <c r="BH93" i="35"/>
  <c r="BH40" i="35"/>
  <c r="BH52" i="35"/>
  <c r="BJ52" i="35" s="1"/>
  <c r="BH102" i="35"/>
  <c r="BH29" i="35"/>
  <c r="BH24" i="35"/>
  <c r="BH119" i="35"/>
  <c r="BH49" i="35"/>
  <c r="BH17" i="35"/>
  <c r="BH19" i="35"/>
  <c r="BH16" i="35"/>
  <c r="BH70" i="35"/>
  <c r="BH51" i="35"/>
  <c r="BH115" i="35"/>
  <c r="BH68" i="35"/>
  <c r="BF44" i="35"/>
  <c r="BF152" i="35"/>
  <c r="BF151" i="35"/>
  <c r="BF131" i="35"/>
  <c r="BF146" i="35"/>
  <c r="BF122" i="35"/>
  <c r="BF158" i="35"/>
  <c r="BF137" i="35"/>
  <c r="BF159" i="35"/>
  <c r="BD176" i="35"/>
  <c r="BD143" i="35"/>
  <c r="BD190" i="35"/>
  <c r="BA178" i="35"/>
  <c r="BD178" i="35" s="1"/>
  <c r="BF178" i="35" s="1"/>
  <c r="BH178" i="35" s="1"/>
  <c r="BJ178" i="35" s="1"/>
  <c r="BA189" i="35"/>
  <c r="BA174" i="35"/>
  <c r="BA183" i="35"/>
  <c r="BA167" i="35"/>
  <c r="BD167" i="35" s="1"/>
  <c r="BF167" i="35" s="1"/>
  <c r="BH167" i="35" s="1"/>
  <c r="BJ167" i="35" s="1"/>
  <c r="BA163" i="35"/>
  <c r="BD163" i="35" s="1"/>
  <c r="BF163" i="35" s="1"/>
  <c r="BH163" i="35" s="1"/>
  <c r="BJ163" i="35" s="1"/>
  <c r="BA161" i="35"/>
  <c r="BD161" i="35" s="1"/>
  <c r="BF161" i="35" s="1"/>
  <c r="BH161" i="35" s="1"/>
  <c r="BJ161" i="35" s="1"/>
  <c r="BA182" i="35"/>
  <c r="BA191" i="35"/>
  <c r="BA184" i="35"/>
  <c r="BA185" i="35"/>
  <c r="BA175" i="35"/>
  <c r="BD175" i="35" s="1"/>
  <c r="BF175" i="35" s="1"/>
  <c r="BH175" i="35" s="1"/>
  <c r="BJ175" i="35" s="1"/>
  <c r="BA180" i="35"/>
  <c r="BD180" i="35" s="1"/>
  <c r="BF180" i="35" s="1"/>
  <c r="BH180" i="35" s="1"/>
  <c r="BJ180" i="35" s="1"/>
  <c r="BA166" i="35"/>
  <c r="BA177" i="35"/>
  <c r="BA169" i="35"/>
  <c r="BD169" i="35" s="1"/>
  <c r="BF169" i="35" s="1"/>
  <c r="BH169" i="35" s="1"/>
  <c r="BJ169" i="35" s="1"/>
  <c r="BA187" i="35"/>
  <c r="BD187" i="35" s="1"/>
  <c r="BF187" i="35" s="1"/>
  <c r="BH187" i="35" s="1"/>
  <c r="BJ187" i="35" s="1"/>
  <c r="BA181" i="35"/>
  <c r="BD181" i="35" s="1"/>
  <c r="BF181" i="35" s="1"/>
  <c r="BH181" i="35" s="1"/>
  <c r="BJ181" i="35" s="1"/>
  <c r="BA171" i="35"/>
  <c r="BA188" i="35"/>
  <c r="BD188" i="35" s="1"/>
  <c r="BF188" i="35" s="1"/>
  <c r="BH188" i="35" s="1"/>
  <c r="BJ188" i="35" s="1"/>
  <c r="BA168" i="35"/>
  <c r="BD168" i="35" s="1"/>
  <c r="BF168" i="35" s="1"/>
  <c r="BH168" i="35" s="1"/>
  <c r="BJ168" i="35" s="1"/>
  <c r="BA172" i="35"/>
  <c r="BD172" i="35" s="1"/>
  <c r="BF172" i="35" s="1"/>
  <c r="BH172" i="35" s="1"/>
  <c r="BJ172" i="35" s="1"/>
  <c r="BA7" i="35"/>
  <c r="BD7" i="35" s="1"/>
  <c r="BF7" i="35" s="1"/>
  <c r="BH7" i="35" s="1"/>
  <c r="BA192" i="35"/>
  <c r="BA164" i="35"/>
  <c r="BD164" i="35" s="1"/>
  <c r="BF164" i="35" s="1"/>
  <c r="BH164" i="35" s="1"/>
  <c r="BJ164" i="35" s="1"/>
  <c r="BA170" i="35"/>
  <c r="BD170" i="35" s="1"/>
  <c r="BF170" i="35" s="1"/>
  <c r="BH170" i="35" s="1"/>
  <c r="BJ170" i="35" s="1"/>
  <c r="BA165" i="35"/>
  <c r="BA186" i="35"/>
  <c r="AZ179" i="35"/>
  <c r="AZ173" i="35"/>
  <c r="AX203" i="35"/>
  <c r="AX217" i="35"/>
  <c r="AX209" i="35"/>
  <c r="AX201" i="35"/>
  <c r="AX213" i="35"/>
  <c r="AX197" i="35"/>
  <c r="AX210" i="35"/>
  <c r="AX199" i="35"/>
  <c r="AO254" i="35"/>
  <c r="AP254" i="35" s="1"/>
  <c r="AQ254" i="35" s="1"/>
  <c r="AV220" i="35"/>
  <c r="DP220" i="35" s="1"/>
  <c r="AV211" i="35"/>
  <c r="DO211" i="35" s="1"/>
  <c r="DN211" i="35" s="1"/>
  <c r="AV215" i="35"/>
  <c r="DO215" i="35" s="1"/>
  <c r="DN215" i="35" s="1"/>
  <c r="AX222" i="35"/>
  <c r="AX211" i="35"/>
  <c r="AX195" i="35"/>
  <c r="AZ195" i="35" s="1"/>
  <c r="AX216" i="35"/>
  <c r="AX212" i="35"/>
  <c r="AX202" i="35"/>
  <c r="AZ202" i="35" s="1"/>
  <c r="AX194" i="35"/>
  <c r="AZ194" i="35" s="1"/>
  <c r="AX221" i="35"/>
  <c r="AX162" i="35"/>
  <c r="AZ162" i="35" s="1"/>
  <c r="AX205" i="35"/>
  <c r="AZ205" i="35" s="1"/>
  <c r="AX196" i="35"/>
  <c r="AX206" i="35"/>
  <c r="AX214" i="35"/>
  <c r="AX219" i="35"/>
  <c r="AZ219" i="35" s="1"/>
  <c r="AX198" i="35"/>
  <c r="AW200" i="35"/>
  <c r="AW204" i="35"/>
  <c r="AX215" i="35"/>
  <c r="AZ215" i="35" s="1"/>
  <c r="AX220" i="35"/>
  <c r="AW218" i="35"/>
  <c r="AW207" i="35"/>
  <c r="AW208" i="35"/>
  <c r="AV198" i="35"/>
  <c r="DP198" i="35" s="1"/>
  <c r="DO192" i="35"/>
  <c r="DN192" i="35" s="1"/>
  <c r="AV202" i="35"/>
  <c r="DP202" i="35" s="1"/>
  <c r="AV205" i="35"/>
  <c r="DP205" i="35" s="1"/>
  <c r="AV219" i="35"/>
  <c r="DP219" i="35" s="1"/>
  <c r="AV199" i="35"/>
  <c r="DP199" i="35" s="1"/>
  <c r="DB223" i="35"/>
  <c r="AV201" i="35"/>
  <c r="DP201" i="35" s="1"/>
  <c r="AV213" i="35"/>
  <c r="DO213" i="35" s="1"/>
  <c r="DN213" i="35" s="1"/>
  <c r="AV214" i="35"/>
  <c r="DP214" i="35" s="1"/>
  <c r="AV203" i="35"/>
  <c r="DO203" i="35" s="1"/>
  <c r="DN203" i="35" s="1"/>
  <c r="AV217" i="35"/>
  <c r="DP217" i="35" s="1"/>
  <c r="AV222" i="35"/>
  <c r="DO222" i="35" s="1"/>
  <c r="DN222" i="35" s="1"/>
  <c r="AV221" i="35"/>
  <c r="DP221" i="35" s="1"/>
  <c r="AV209" i="35"/>
  <c r="DP209" i="35" s="1"/>
  <c r="AV196" i="35"/>
  <c r="DP196" i="35" s="1"/>
  <c r="AV197" i="35"/>
  <c r="DO197" i="35" s="1"/>
  <c r="DN197" i="35" s="1"/>
  <c r="AV216" i="35"/>
  <c r="DP216" i="35" s="1"/>
  <c r="AV210" i="35"/>
  <c r="DP210" i="35" s="1"/>
  <c r="AV194" i="35"/>
  <c r="DO194" i="35" s="1"/>
  <c r="DN194" i="35" s="1"/>
  <c r="AV195" i="35"/>
  <c r="DO195" i="35" s="1"/>
  <c r="DN195" i="35" s="1"/>
  <c r="AV212" i="35"/>
  <c r="DO212" i="35" s="1"/>
  <c r="DN212" i="35" s="1"/>
  <c r="AV206" i="35"/>
  <c r="DP206" i="35" s="1"/>
  <c r="AS223" i="35"/>
  <c r="AU223" i="35"/>
  <c r="AW223" i="35" s="1"/>
  <c r="AT225" i="35"/>
  <c r="AT231" i="35"/>
  <c r="AT253" i="35"/>
  <c r="AT230" i="35"/>
  <c r="AT237" i="35"/>
  <c r="AT244" i="35"/>
  <c r="AT245" i="35"/>
  <c r="AT236" i="35"/>
  <c r="AT228" i="35"/>
  <c r="AT246" i="35"/>
  <c r="AT233" i="35"/>
  <c r="AT224" i="35"/>
  <c r="AT234" i="35"/>
  <c r="AT251" i="35"/>
  <c r="AT252" i="35"/>
  <c r="AT247" i="35"/>
  <c r="AT241" i="35"/>
  <c r="AT229" i="35"/>
  <c r="AT239" i="35"/>
  <c r="AT240" i="35"/>
  <c r="AT248" i="35"/>
  <c r="AT226" i="35"/>
  <c r="AT193" i="35"/>
  <c r="AT235" i="35"/>
  <c r="AT238" i="35"/>
  <c r="AT249" i="35"/>
  <c r="AT250" i="35"/>
  <c r="AT242" i="35"/>
  <c r="AV162" i="35"/>
  <c r="AT232" i="35"/>
  <c r="AT227" i="35"/>
  <c r="AT243" i="35"/>
  <c r="AL263" i="35"/>
  <c r="AL261" i="35"/>
  <c r="AL277" i="35"/>
  <c r="AL279" i="35"/>
  <c r="AL284" i="35"/>
  <c r="AL255" i="35"/>
  <c r="AL271" i="35"/>
  <c r="AL269" i="35"/>
  <c r="AL274" i="35"/>
  <c r="AL283" i="35"/>
  <c r="AO270" i="35"/>
  <c r="AL265" i="35"/>
  <c r="AL258" i="35"/>
  <c r="AL280" i="35"/>
  <c r="AL264" i="35"/>
  <c r="AL282" i="35"/>
  <c r="AL268" i="35"/>
  <c r="AL267" i="35"/>
  <c r="AL273" i="35"/>
  <c r="AL256" i="35"/>
  <c r="AL272" i="35"/>
  <c r="AO281" i="35"/>
  <c r="AL259" i="35"/>
  <c r="AL260" i="35"/>
  <c r="AO266" i="35"/>
  <c r="AL262" i="35"/>
  <c r="AL257" i="35"/>
  <c r="AL275" i="35"/>
  <c r="AL276" i="35"/>
  <c r="AL278" i="35"/>
  <c r="B50" i="37"/>
  <c r="AK21" i="37"/>
  <c r="DO208" i="35"/>
  <c r="DN208" i="35" s="1"/>
  <c r="DP207" i="35"/>
  <c r="DO218" i="35"/>
  <c r="DN218" i="35" s="1"/>
  <c r="AJ285" i="35"/>
  <c r="AK285" i="35" s="1"/>
  <c r="AH309" i="35"/>
  <c r="AI309" i="35" s="1"/>
  <c r="AH287" i="35"/>
  <c r="AI287" i="35" s="1"/>
  <c r="AH302" i="35"/>
  <c r="AI302" i="35" s="1"/>
  <c r="AH288" i="35"/>
  <c r="AI288" i="35" s="1"/>
  <c r="AH292" i="35"/>
  <c r="AI292" i="35" s="1"/>
  <c r="AH301" i="35"/>
  <c r="AI301" i="35" s="1"/>
  <c r="AH315" i="35"/>
  <c r="AI315" i="35" s="1"/>
  <c r="AH293" i="35"/>
  <c r="AI293" i="35" s="1"/>
  <c r="AH299" i="35"/>
  <c r="AI299" i="35" s="1"/>
  <c r="AH300" i="35"/>
  <c r="AI300" i="35" s="1"/>
  <c r="AH307" i="35"/>
  <c r="AI307" i="35" s="1"/>
  <c r="AH289" i="35"/>
  <c r="AI289" i="35" s="1"/>
  <c r="AH310" i="35"/>
  <c r="AI310" i="35" s="1"/>
  <c r="AH298" i="35"/>
  <c r="AI298" i="35" s="1"/>
  <c r="AH314" i="35"/>
  <c r="AI314" i="35" s="1"/>
  <c r="AH296" i="35"/>
  <c r="AI296" i="35" s="1"/>
  <c r="AH308" i="35"/>
  <c r="AI308" i="35" s="1"/>
  <c r="AH306" i="35"/>
  <c r="AI306" i="35" s="1"/>
  <c r="AH305" i="35"/>
  <c r="AI305" i="35" s="1"/>
  <c r="AH290" i="35"/>
  <c r="AI290" i="35" s="1"/>
  <c r="AH311" i="35"/>
  <c r="AI311" i="35" s="1"/>
  <c r="AH312" i="35"/>
  <c r="AI312" i="35" s="1"/>
  <c r="DP204" i="35"/>
  <c r="DO204" i="35"/>
  <c r="DN204" i="35" s="1"/>
  <c r="AH295" i="35"/>
  <c r="AI295" i="35" s="1"/>
  <c r="AH304" i="35"/>
  <c r="AI304" i="35" s="1"/>
  <c r="DP200" i="35"/>
  <c r="DO200" i="35"/>
  <c r="DN200" i="35" s="1"/>
  <c r="AH291" i="35"/>
  <c r="AI291" i="35" s="1"/>
  <c r="AF316" i="35"/>
  <c r="AG316" i="35" s="1"/>
  <c r="AH294" i="35"/>
  <c r="AI294" i="35" s="1"/>
  <c r="AH286" i="35"/>
  <c r="AI286" i="35" s="1"/>
  <c r="Y346" i="35"/>
  <c r="Y343" i="35"/>
  <c r="Y345" i="35"/>
  <c r="Y347" i="35"/>
  <c r="AD347" i="35" s="1"/>
  <c r="Y344" i="35"/>
  <c r="Y334" i="35"/>
  <c r="Y339" i="35"/>
  <c r="Y336" i="35"/>
  <c r="Y333" i="35"/>
  <c r="Y335" i="35"/>
  <c r="Y342" i="35"/>
  <c r="Y341" i="35"/>
  <c r="Y340" i="35"/>
  <c r="Y337" i="35"/>
  <c r="Y325" i="35"/>
  <c r="Y327" i="35"/>
  <c r="Y322" i="35"/>
  <c r="Y319" i="35"/>
  <c r="Y332" i="35"/>
  <c r="Y329" i="35"/>
  <c r="Y324" i="35"/>
  <c r="Y326" i="35"/>
  <c r="Y321" i="35"/>
  <c r="Y338" i="35"/>
  <c r="Y331" i="35"/>
  <c r="Y328" i="35"/>
  <c r="Y323" i="35"/>
  <c r="Y320" i="35"/>
  <c r="Y318" i="35"/>
  <c r="Y330" i="35"/>
  <c r="AE317" i="35"/>
  <c r="AH303" i="35"/>
  <c r="AI303" i="35" s="1"/>
  <c r="AH297" i="35"/>
  <c r="AI297" i="35" s="1"/>
  <c r="AH313" i="35"/>
  <c r="AI313" i="35" s="1"/>
  <c r="X21" i="32"/>
  <c r="X20" i="32"/>
  <c r="Z21" i="32"/>
  <c r="V18" i="32" s="1"/>
  <c r="BY86" i="35" l="1"/>
  <c r="BZ86" i="35" s="1"/>
  <c r="CA86" i="35" s="1"/>
  <c r="BY39" i="35"/>
  <c r="BZ39" i="35" s="1"/>
  <c r="CA39" i="35" s="1"/>
  <c r="BY62" i="35"/>
  <c r="BZ62" i="35" s="1"/>
  <c r="CA62" i="35" s="1"/>
  <c r="BY105" i="35"/>
  <c r="BZ105" i="35" s="1"/>
  <c r="CA105" i="35" s="1"/>
  <c r="BY75" i="35"/>
  <c r="BZ75" i="35" s="1"/>
  <c r="CF75" i="35" s="1"/>
  <c r="CG75" i="35" s="1"/>
  <c r="BY41" i="35"/>
  <c r="BZ41" i="35" s="1"/>
  <c r="CA41" i="35" s="1"/>
  <c r="CH41" i="35" s="1"/>
  <c r="J41" i="19" s="1"/>
  <c r="BW64" i="35"/>
  <c r="CF39" i="35"/>
  <c r="CG39" i="35" s="1"/>
  <c r="BW107" i="35"/>
  <c r="BW15" i="35"/>
  <c r="BW88" i="35"/>
  <c r="BW20" i="35"/>
  <c r="BW96" i="35"/>
  <c r="BW67" i="35"/>
  <c r="BW104" i="35"/>
  <c r="BW45" i="35"/>
  <c r="BW132" i="35"/>
  <c r="BW9" i="35"/>
  <c r="BW22" i="35"/>
  <c r="BW92" i="35"/>
  <c r="BW72" i="35"/>
  <c r="BW114" i="35"/>
  <c r="BW63" i="35"/>
  <c r="BW90" i="35"/>
  <c r="BW83" i="35"/>
  <c r="BW36" i="35"/>
  <c r="BW71" i="35"/>
  <c r="BW74" i="35"/>
  <c r="BW33" i="35"/>
  <c r="BW35" i="35"/>
  <c r="BW32" i="35"/>
  <c r="BW53" i="35"/>
  <c r="BW123" i="35"/>
  <c r="BW98" i="35"/>
  <c r="BW87" i="35"/>
  <c r="BW8" i="35"/>
  <c r="BW79" i="35"/>
  <c r="BW106" i="35"/>
  <c r="CF86" i="35"/>
  <c r="CG86" i="35" s="1"/>
  <c r="CJ86" i="35" s="1"/>
  <c r="BW111" i="35"/>
  <c r="BW142" i="35"/>
  <c r="BW85" i="35"/>
  <c r="BW154" i="35"/>
  <c r="BW138" i="35"/>
  <c r="BW77" i="35"/>
  <c r="BW81" i="35"/>
  <c r="BW11" i="35"/>
  <c r="BW150" i="35"/>
  <c r="BW56" i="35"/>
  <c r="BW117" i="35"/>
  <c r="BW25" i="35"/>
  <c r="CF126" i="35"/>
  <c r="CG126" i="35" s="1"/>
  <c r="CF54" i="35"/>
  <c r="CG54" i="35" s="1"/>
  <c r="CA109" i="35"/>
  <c r="CA129" i="35"/>
  <c r="BT135" i="35"/>
  <c r="BW135" i="35" s="1"/>
  <c r="BY135" i="35" s="1"/>
  <c r="BZ135" i="35" s="1"/>
  <c r="CA126" i="35"/>
  <c r="CH126" i="35" s="1"/>
  <c r="J126" i="19" s="1"/>
  <c r="BT141" i="35"/>
  <c r="BW141" i="35" s="1"/>
  <c r="BY141" i="35" s="1"/>
  <c r="BZ141" i="35" s="1"/>
  <c r="CF47" i="35"/>
  <c r="CG47" i="35" s="1"/>
  <c r="CI47" i="35" s="1"/>
  <c r="CF30" i="35"/>
  <c r="CG30" i="35" s="1"/>
  <c r="DR30" i="35" s="1"/>
  <c r="DV30" i="35" s="1"/>
  <c r="CH30" i="35"/>
  <c r="J30" i="19" s="1"/>
  <c r="DC30" i="35"/>
  <c r="DR97" i="35"/>
  <c r="H97" i="19"/>
  <c r="CJ97" i="35"/>
  <c r="CK97" i="35" s="1"/>
  <c r="CH47" i="35"/>
  <c r="J47" i="19" s="1"/>
  <c r="CA144" i="35"/>
  <c r="DC144" i="35" s="1"/>
  <c r="BT101" i="35"/>
  <c r="CF124" i="35"/>
  <c r="CG124" i="35" s="1"/>
  <c r="CA124" i="35"/>
  <c r="CA156" i="35"/>
  <c r="CF156" i="35"/>
  <c r="CG156" i="35" s="1"/>
  <c r="CA78" i="35"/>
  <c r="CF78" i="35"/>
  <c r="CG78" i="35" s="1"/>
  <c r="CH59" i="35"/>
  <c r="J59" i="19" s="1"/>
  <c r="DC59" i="35"/>
  <c r="CI59" i="35"/>
  <c r="H59" i="19"/>
  <c r="CJ59" i="35"/>
  <c r="DR59" i="35"/>
  <c r="BT136" i="35"/>
  <c r="CA153" i="35"/>
  <c r="DC153" i="35" s="1"/>
  <c r="BT145" i="35"/>
  <c r="CF18" i="35"/>
  <c r="CG18" i="35" s="1"/>
  <c r="CA18" i="35"/>
  <c r="BT148" i="35"/>
  <c r="BT140" i="35"/>
  <c r="BT157" i="35"/>
  <c r="BT149" i="35"/>
  <c r="BT147" i="35"/>
  <c r="BW147" i="35" s="1"/>
  <c r="BY147" i="35" s="1"/>
  <c r="BZ147" i="35" s="1"/>
  <c r="BT139" i="35"/>
  <c r="BT133" i="35"/>
  <c r="BW133" i="35" s="1"/>
  <c r="BY133" i="35" s="1"/>
  <c r="BZ133" i="35" s="1"/>
  <c r="BT73" i="35"/>
  <c r="DC31" i="35"/>
  <c r="CH31" i="35"/>
  <c r="BT130" i="35"/>
  <c r="BT100" i="35"/>
  <c r="BW100" i="35" s="1"/>
  <c r="BY100" i="35" s="1"/>
  <c r="BZ100" i="35" s="1"/>
  <c r="BT160" i="35"/>
  <c r="DR31" i="35"/>
  <c r="CI31" i="35"/>
  <c r="CJ31" i="35"/>
  <c r="H31" i="19"/>
  <c r="CF89" i="35"/>
  <c r="CG89" i="35" s="1"/>
  <c r="CA89" i="35"/>
  <c r="CA14" i="35"/>
  <c r="CF14" i="35"/>
  <c r="CG14" i="35" s="1"/>
  <c r="CF48" i="35"/>
  <c r="CG48" i="35" s="1"/>
  <c r="CA48" i="35"/>
  <c r="CA121" i="35"/>
  <c r="CF121" i="35"/>
  <c r="CG121" i="35" s="1"/>
  <c r="CA54" i="35"/>
  <c r="BR60" i="35"/>
  <c r="BR37" i="35"/>
  <c r="BR99" i="35"/>
  <c r="BR108" i="35"/>
  <c r="BR12" i="35"/>
  <c r="BR116" i="35"/>
  <c r="BR155" i="35"/>
  <c r="BR118" i="35"/>
  <c r="BR127" i="35"/>
  <c r="BR58" i="35"/>
  <c r="BR10" i="35"/>
  <c r="BR113" i="35"/>
  <c r="BR27" i="35"/>
  <c r="BL181" i="35"/>
  <c r="BN181" i="35" s="1"/>
  <c r="BP181" i="35" s="1"/>
  <c r="BL187" i="35"/>
  <c r="BN187" i="35" s="1"/>
  <c r="BP187" i="35" s="1"/>
  <c r="BL161" i="35"/>
  <c r="BN161" i="35" s="1"/>
  <c r="BP161" i="35" s="1"/>
  <c r="BL52" i="35"/>
  <c r="BN52" i="35" s="1"/>
  <c r="BP52" i="35" s="1"/>
  <c r="BL170" i="35"/>
  <c r="BN170" i="35" s="1"/>
  <c r="BP170" i="35" s="1"/>
  <c r="BL172" i="35"/>
  <c r="BN172" i="35" s="1"/>
  <c r="BP172" i="35" s="1"/>
  <c r="BL167" i="35"/>
  <c r="BN167" i="35" s="1"/>
  <c r="BP167" i="35" s="1"/>
  <c r="BL164" i="35"/>
  <c r="BN164" i="35" s="1"/>
  <c r="BP164" i="35" s="1"/>
  <c r="BL168" i="35"/>
  <c r="BN168" i="35" s="1"/>
  <c r="BP168" i="35" s="1"/>
  <c r="BL163" i="35"/>
  <c r="BN163" i="35" s="1"/>
  <c r="BP163" i="35" s="1"/>
  <c r="BL188" i="35"/>
  <c r="BN188" i="35" s="1"/>
  <c r="BP188" i="35" s="1"/>
  <c r="BL180" i="35"/>
  <c r="BN180" i="35" s="1"/>
  <c r="BP180" i="35" s="1"/>
  <c r="BL178" i="35"/>
  <c r="BN178" i="35" s="1"/>
  <c r="BP178" i="35" s="1"/>
  <c r="BL169" i="35"/>
  <c r="BN169" i="35" s="1"/>
  <c r="BP169" i="35" s="1"/>
  <c r="BL175" i="35"/>
  <c r="BN175" i="35" s="1"/>
  <c r="BP175" i="35" s="1"/>
  <c r="BJ102" i="35"/>
  <c r="BL102" i="35" s="1"/>
  <c r="BN102" i="35" s="1"/>
  <c r="BP102" i="35" s="1"/>
  <c r="BJ128" i="35"/>
  <c r="BL128" i="35" s="1"/>
  <c r="BN128" i="35" s="1"/>
  <c r="BP128" i="35" s="1"/>
  <c r="BJ49" i="35"/>
  <c r="BL49" i="35" s="1"/>
  <c r="BN49" i="35" s="1"/>
  <c r="BP49" i="35" s="1"/>
  <c r="BJ28" i="35"/>
  <c r="BL28" i="35" s="1"/>
  <c r="BN28" i="35" s="1"/>
  <c r="BP28" i="35" s="1"/>
  <c r="BJ50" i="35"/>
  <c r="BL50" i="35" s="1"/>
  <c r="BN50" i="35" s="1"/>
  <c r="BP50" i="35" s="1"/>
  <c r="BJ66" i="35"/>
  <c r="BL66" i="35" s="1"/>
  <c r="BN66" i="35" s="1"/>
  <c r="BP66" i="35" s="1"/>
  <c r="BJ17" i="35"/>
  <c r="BL17" i="35" s="1"/>
  <c r="BN17" i="35" s="1"/>
  <c r="BP17" i="35" s="1"/>
  <c r="BJ69" i="35"/>
  <c r="BL69" i="35" s="1"/>
  <c r="BN69" i="35" s="1"/>
  <c r="BP69" i="35" s="1"/>
  <c r="BJ120" i="35"/>
  <c r="BL120" i="35" s="1"/>
  <c r="BN120" i="35" s="1"/>
  <c r="BP120" i="35" s="1"/>
  <c r="BJ68" i="35"/>
  <c r="BL68" i="35" s="1"/>
  <c r="BN68" i="35" s="1"/>
  <c r="BP68" i="35" s="1"/>
  <c r="BJ119" i="35"/>
  <c r="BL119" i="35" s="1"/>
  <c r="BN119" i="35" s="1"/>
  <c r="BP119" i="35" s="1"/>
  <c r="BJ40" i="35"/>
  <c r="BJ46" i="35"/>
  <c r="BL46" i="35" s="1"/>
  <c r="BN46" i="35" s="1"/>
  <c r="BP46" i="35" s="1"/>
  <c r="BJ43" i="35"/>
  <c r="BL43" i="35" s="1"/>
  <c r="BN43" i="35" s="1"/>
  <c r="BP43" i="35" s="1"/>
  <c r="BJ23" i="35"/>
  <c r="BJ80" i="35"/>
  <c r="BL80" i="35" s="1"/>
  <c r="BN80" i="35" s="1"/>
  <c r="BP80" i="35" s="1"/>
  <c r="BJ115" i="35"/>
  <c r="BL115" i="35" s="1"/>
  <c r="BN115" i="35" s="1"/>
  <c r="BP115" i="35" s="1"/>
  <c r="BJ93" i="35"/>
  <c r="BL93" i="35" s="1"/>
  <c r="BN93" i="35" s="1"/>
  <c r="BP93" i="35" s="1"/>
  <c r="BJ94" i="35"/>
  <c r="BL94" i="35" s="1"/>
  <c r="BN94" i="35" s="1"/>
  <c r="BP94" i="35" s="1"/>
  <c r="BJ125" i="35"/>
  <c r="BJ76" i="35"/>
  <c r="BL76" i="35" s="1"/>
  <c r="BN76" i="35" s="1"/>
  <c r="BP76" i="35" s="1"/>
  <c r="BJ42" i="35"/>
  <c r="BL42" i="35" s="1"/>
  <c r="BN42" i="35" s="1"/>
  <c r="BP42" i="35" s="1"/>
  <c r="BJ7" i="35"/>
  <c r="BL7" i="35" s="1"/>
  <c r="BN7" i="35" s="1"/>
  <c r="BP7" i="35" s="1"/>
  <c r="BR7" i="35" s="1"/>
  <c r="BJ51" i="35"/>
  <c r="BJ110" i="35"/>
  <c r="BL110" i="35" s="1"/>
  <c r="BN110" i="35" s="1"/>
  <c r="BP110" i="35" s="1"/>
  <c r="BJ61" i="35"/>
  <c r="BL61" i="35" s="1"/>
  <c r="BN61" i="35" s="1"/>
  <c r="BP61" i="35" s="1"/>
  <c r="BJ34" i="35"/>
  <c r="BL34" i="35" s="1"/>
  <c r="BN34" i="35" s="1"/>
  <c r="BP34" i="35" s="1"/>
  <c r="BJ91" i="35"/>
  <c r="BL91" i="35" s="1"/>
  <c r="BN91" i="35" s="1"/>
  <c r="BP91" i="35" s="1"/>
  <c r="BJ70" i="35"/>
  <c r="BL70" i="35" s="1"/>
  <c r="BN70" i="35" s="1"/>
  <c r="BP70" i="35" s="1"/>
  <c r="BJ57" i="35"/>
  <c r="BL57" i="35" s="1"/>
  <c r="BN57" i="35" s="1"/>
  <c r="BP57" i="35" s="1"/>
  <c r="BJ65" i="35"/>
  <c r="BJ13" i="35"/>
  <c r="BJ55" i="35"/>
  <c r="BL55" i="35" s="1"/>
  <c r="BN55" i="35" s="1"/>
  <c r="BP55" i="35" s="1"/>
  <c r="BJ95" i="35"/>
  <c r="BL95" i="35" s="1"/>
  <c r="BN95" i="35" s="1"/>
  <c r="BP95" i="35" s="1"/>
  <c r="BJ16" i="35"/>
  <c r="BL16" i="35" s="1"/>
  <c r="BN16" i="35" s="1"/>
  <c r="BP16" i="35" s="1"/>
  <c r="BJ24" i="35"/>
  <c r="BJ82" i="35"/>
  <c r="BL82" i="35" s="1"/>
  <c r="BN82" i="35" s="1"/>
  <c r="BP82" i="35" s="1"/>
  <c r="BJ21" i="35"/>
  <c r="BL21" i="35" s="1"/>
  <c r="BN21" i="35" s="1"/>
  <c r="BP21" i="35" s="1"/>
  <c r="BJ103" i="35"/>
  <c r="BJ84" i="35"/>
  <c r="BJ19" i="35"/>
  <c r="BL19" i="35" s="1"/>
  <c r="BN19" i="35" s="1"/>
  <c r="BP19" i="35" s="1"/>
  <c r="BJ29" i="35"/>
  <c r="BL29" i="35" s="1"/>
  <c r="BN29" i="35" s="1"/>
  <c r="BP29" i="35" s="1"/>
  <c r="BJ134" i="35"/>
  <c r="BL134" i="35" s="1"/>
  <c r="BN134" i="35" s="1"/>
  <c r="BP134" i="35" s="1"/>
  <c r="BJ112" i="35"/>
  <c r="BJ38" i="35"/>
  <c r="BL38" i="35" s="1"/>
  <c r="BN38" i="35" s="1"/>
  <c r="BP38" i="35" s="1"/>
  <c r="BJ26" i="35"/>
  <c r="BL26" i="35" s="1"/>
  <c r="BN26" i="35" s="1"/>
  <c r="BP26" i="35" s="1"/>
  <c r="BH131" i="35"/>
  <c r="BH159" i="35"/>
  <c r="BH151" i="35"/>
  <c r="BH44" i="35"/>
  <c r="BH122" i="35"/>
  <c r="BH152" i="35"/>
  <c r="BH137" i="35"/>
  <c r="BH146" i="35"/>
  <c r="BH158" i="35"/>
  <c r="BF190" i="35"/>
  <c r="BF143" i="35"/>
  <c r="BF176" i="35"/>
  <c r="BD183" i="35"/>
  <c r="BD174" i="35"/>
  <c r="BD189" i="35"/>
  <c r="BD186" i="35"/>
  <c r="BD185" i="35"/>
  <c r="BD192" i="35"/>
  <c r="BD184" i="35"/>
  <c r="BD166" i="35"/>
  <c r="BD177" i="35"/>
  <c r="BD191" i="35"/>
  <c r="BD182" i="35"/>
  <c r="BF182" i="35" s="1"/>
  <c r="BH182" i="35" s="1"/>
  <c r="BJ182" i="35" s="1"/>
  <c r="BD165" i="35"/>
  <c r="BD171" i="35"/>
  <c r="BA194" i="35"/>
  <c r="BA219" i="35"/>
  <c r="BD219" i="35" s="1"/>
  <c r="BF219" i="35" s="1"/>
  <c r="BH219" i="35" s="1"/>
  <c r="BJ219" i="35" s="1"/>
  <c r="BA202" i="35"/>
  <c r="BD202" i="35" s="1"/>
  <c r="BF202" i="35" s="1"/>
  <c r="BH202" i="35" s="1"/>
  <c r="BJ202" i="35" s="1"/>
  <c r="BA195" i="35"/>
  <c r="BD195" i="35" s="1"/>
  <c r="BF195" i="35" s="1"/>
  <c r="BH195" i="35" s="1"/>
  <c r="BJ195" i="35" s="1"/>
  <c r="BA215" i="35"/>
  <c r="BA205" i="35"/>
  <c r="BD205" i="35" s="1"/>
  <c r="BF205" i="35" s="1"/>
  <c r="BH205" i="35" s="1"/>
  <c r="BJ205" i="35" s="1"/>
  <c r="BA162" i="35"/>
  <c r="BD162" i="35" s="1"/>
  <c r="BF162" i="35" s="1"/>
  <c r="BH162" i="35" s="1"/>
  <c r="BJ162" i="35" s="1"/>
  <c r="BA173" i="35"/>
  <c r="BA179" i="35"/>
  <c r="BD179" i="35" s="1"/>
  <c r="BF179" i="35" s="1"/>
  <c r="BH179" i="35" s="1"/>
  <c r="BJ179" i="35" s="1"/>
  <c r="AZ203" i="35"/>
  <c r="AZ197" i="35"/>
  <c r="AZ220" i="35"/>
  <c r="AZ222" i="35"/>
  <c r="AZ201" i="35"/>
  <c r="AZ210" i="35"/>
  <c r="AZ206" i="35"/>
  <c r="AZ216" i="35"/>
  <c r="AZ196" i="35"/>
  <c r="AZ211" i="35"/>
  <c r="AZ209" i="35"/>
  <c r="AZ214" i="35"/>
  <c r="AZ221" i="35"/>
  <c r="AZ198" i="35"/>
  <c r="AZ213" i="35"/>
  <c r="AZ217" i="35"/>
  <c r="AZ199" i="35"/>
  <c r="AZ212" i="35"/>
  <c r="AX208" i="35"/>
  <c r="AX200" i="35"/>
  <c r="AO257" i="35"/>
  <c r="AP257" i="35" s="1"/>
  <c r="AQ257" i="35" s="1"/>
  <c r="AO273" i="35"/>
  <c r="AP273" i="35" s="1"/>
  <c r="AQ273" i="35" s="1"/>
  <c r="AO277" i="35"/>
  <c r="AP277" i="35" s="1"/>
  <c r="AQ277" i="35" s="1"/>
  <c r="AO262" i="35"/>
  <c r="AP262" i="35" s="1"/>
  <c r="AQ262" i="35" s="1"/>
  <c r="AO267" i="35"/>
  <c r="AP267" i="35" s="1"/>
  <c r="AQ267" i="35" s="1"/>
  <c r="AO283" i="35"/>
  <c r="AP283" i="35" s="1"/>
  <c r="AQ283" i="35" s="1"/>
  <c r="AO261" i="35"/>
  <c r="AP261" i="35" s="1"/>
  <c r="AQ261" i="35" s="1"/>
  <c r="AO268" i="35"/>
  <c r="AP268" i="35" s="1"/>
  <c r="AQ268" i="35" s="1"/>
  <c r="AO274" i="35"/>
  <c r="AP274" i="35" s="1"/>
  <c r="AQ274" i="35" s="1"/>
  <c r="AO263" i="35"/>
  <c r="AP263" i="35" s="1"/>
  <c r="AQ263" i="35" s="1"/>
  <c r="AO260" i="35"/>
  <c r="AP260" i="35" s="1"/>
  <c r="AQ260" i="35" s="1"/>
  <c r="AO282" i="35"/>
  <c r="AP282" i="35" s="1"/>
  <c r="AQ282" i="35" s="1"/>
  <c r="AO269" i="35"/>
  <c r="AP269" i="35" s="1"/>
  <c r="AQ269" i="35" s="1"/>
  <c r="AO259" i="35"/>
  <c r="AP259" i="35" s="1"/>
  <c r="AQ259" i="35" s="1"/>
  <c r="AO264" i="35"/>
  <c r="AP264" i="35" s="1"/>
  <c r="AQ264" i="35" s="1"/>
  <c r="AO271" i="35"/>
  <c r="AP271" i="35" s="1"/>
  <c r="AQ271" i="35" s="1"/>
  <c r="AO278" i="35"/>
  <c r="AP278" i="35" s="1"/>
  <c r="AQ278" i="35" s="1"/>
  <c r="AO280" i="35"/>
  <c r="AP280" i="35" s="1"/>
  <c r="AQ280" i="35" s="1"/>
  <c r="AO255" i="35"/>
  <c r="AP255" i="35" s="1"/>
  <c r="AQ255" i="35" s="1"/>
  <c r="AO276" i="35"/>
  <c r="AP276" i="35" s="1"/>
  <c r="AQ276" i="35" s="1"/>
  <c r="AO272" i="35"/>
  <c r="AP272" i="35" s="1"/>
  <c r="AQ272" i="35" s="1"/>
  <c r="AO258" i="35"/>
  <c r="AP258" i="35" s="1"/>
  <c r="AQ258" i="35" s="1"/>
  <c r="AO284" i="35"/>
  <c r="AP284" i="35" s="1"/>
  <c r="AQ284" i="35" s="1"/>
  <c r="AO275" i="35"/>
  <c r="AP275" i="35" s="1"/>
  <c r="AQ275" i="35" s="1"/>
  <c r="AO256" i="35"/>
  <c r="AP256" i="35" s="1"/>
  <c r="AQ256" i="35" s="1"/>
  <c r="AO265" i="35"/>
  <c r="AP265" i="35" s="1"/>
  <c r="AQ265" i="35" s="1"/>
  <c r="AO279" i="35"/>
  <c r="AP279" i="35" s="1"/>
  <c r="AQ279" i="35" s="1"/>
  <c r="DP215" i="35"/>
  <c r="DO220" i="35"/>
  <c r="DN220" i="35" s="1"/>
  <c r="DP211" i="35"/>
  <c r="AX223" i="35"/>
  <c r="AX207" i="35"/>
  <c r="AZ207" i="35" s="1"/>
  <c r="AX218" i="35"/>
  <c r="AZ218" i="35" s="1"/>
  <c r="AS224" i="35"/>
  <c r="AU230" i="35"/>
  <c r="AW230" i="35" s="1"/>
  <c r="AU231" i="35"/>
  <c r="AW231" i="35" s="1"/>
  <c r="AX204" i="35"/>
  <c r="AD330" i="35"/>
  <c r="AE330" i="35" s="1"/>
  <c r="AF330" i="35" s="1"/>
  <c r="AG330" i="35" s="1"/>
  <c r="AD337" i="35"/>
  <c r="AE337" i="35" s="1"/>
  <c r="AF337" i="35" s="1"/>
  <c r="AG337" i="35" s="1"/>
  <c r="AD334" i="35"/>
  <c r="AE334" i="35" s="1"/>
  <c r="AF334" i="35" s="1"/>
  <c r="AG334" i="35" s="1"/>
  <c r="AD340" i="35"/>
  <c r="AE340" i="35" s="1"/>
  <c r="AF340" i="35" s="1"/>
  <c r="AG340" i="35" s="1"/>
  <c r="AD344" i="35"/>
  <c r="AE344" i="35" s="1"/>
  <c r="AF344" i="35" s="1"/>
  <c r="AG344" i="35" s="1"/>
  <c r="AD320" i="35"/>
  <c r="AE320" i="35" s="1"/>
  <c r="AF320" i="35" s="1"/>
  <c r="AG320" i="35" s="1"/>
  <c r="AD329" i="35"/>
  <c r="AE329" i="35" s="1"/>
  <c r="AF329" i="35" s="1"/>
  <c r="AG329" i="35" s="1"/>
  <c r="AD341" i="35"/>
  <c r="AE341" i="35" s="1"/>
  <c r="AF341" i="35" s="1"/>
  <c r="AG341" i="35" s="1"/>
  <c r="AD324" i="35"/>
  <c r="AE324" i="35" s="1"/>
  <c r="AF324" i="35" s="1"/>
  <c r="AG324" i="35" s="1"/>
  <c r="AD323" i="35"/>
  <c r="AE323" i="35" s="1"/>
  <c r="AF323" i="35" s="1"/>
  <c r="AG323" i="35" s="1"/>
  <c r="AD332" i="35"/>
  <c r="AE332" i="35" s="1"/>
  <c r="AF332" i="35" s="1"/>
  <c r="AG332" i="35" s="1"/>
  <c r="AD342" i="35"/>
  <c r="AE342" i="35" s="1"/>
  <c r="AF342" i="35" s="1"/>
  <c r="AG342" i="35" s="1"/>
  <c r="AD345" i="35"/>
  <c r="AE345" i="35" s="1"/>
  <c r="AF345" i="35" s="1"/>
  <c r="AG345" i="35" s="1"/>
  <c r="AD328" i="35"/>
  <c r="AE328" i="35" s="1"/>
  <c r="AF328" i="35" s="1"/>
  <c r="AG328" i="35" s="1"/>
  <c r="AD319" i="35"/>
  <c r="AE319" i="35" s="1"/>
  <c r="AF319" i="35" s="1"/>
  <c r="AG319" i="35" s="1"/>
  <c r="AD335" i="35"/>
  <c r="AE335" i="35" s="1"/>
  <c r="AF335" i="35" s="1"/>
  <c r="AG335" i="35" s="1"/>
  <c r="AD343" i="35"/>
  <c r="AE343" i="35" s="1"/>
  <c r="AF343" i="35" s="1"/>
  <c r="AG343" i="35" s="1"/>
  <c r="AD326" i="35"/>
  <c r="AE326" i="35" s="1"/>
  <c r="AF326" i="35" s="1"/>
  <c r="AG326" i="35" s="1"/>
  <c r="AD331" i="35"/>
  <c r="AE331" i="35" s="1"/>
  <c r="AF331" i="35" s="1"/>
  <c r="AG331" i="35" s="1"/>
  <c r="AD322" i="35"/>
  <c r="AE322" i="35" s="1"/>
  <c r="AF322" i="35" s="1"/>
  <c r="AG322" i="35" s="1"/>
  <c r="AD333" i="35"/>
  <c r="AE333" i="35" s="1"/>
  <c r="AF333" i="35" s="1"/>
  <c r="AG333" i="35" s="1"/>
  <c r="AD346" i="35"/>
  <c r="AE346" i="35" s="1"/>
  <c r="AF346" i="35" s="1"/>
  <c r="AG346" i="35" s="1"/>
  <c r="AD338" i="35"/>
  <c r="AE338" i="35" s="1"/>
  <c r="AF338" i="35" s="1"/>
  <c r="AG338" i="35" s="1"/>
  <c r="AD327" i="35"/>
  <c r="AE327" i="35" s="1"/>
  <c r="AF327" i="35" s="1"/>
  <c r="AG327" i="35" s="1"/>
  <c r="AD336" i="35"/>
  <c r="AE336" i="35" s="1"/>
  <c r="AF336" i="35" s="1"/>
  <c r="AG336" i="35" s="1"/>
  <c r="AD318" i="35"/>
  <c r="AE318" i="35" s="1"/>
  <c r="AF318" i="35" s="1"/>
  <c r="AG318" i="35" s="1"/>
  <c r="AD321" i="35"/>
  <c r="AE321" i="35" s="1"/>
  <c r="AF321" i="35" s="1"/>
  <c r="AG321" i="35" s="1"/>
  <c r="AD325" i="35"/>
  <c r="AE325" i="35" s="1"/>
  <c r="AF325" i="35" s="1"/>
  <c r="AG325" i="35" s="1"/>
  <c r="AD339" i="35"/>
  <c r="AE339" i="35" s="1"/>
  <c r="AF339" i="35" s="1"/>
  <c r="AG339" i="35" s="1"/>
  <c r="DO198" i="35"/>
  <c r="DN198" i="35" s="1"/>
  <c r="DO205" i="35"/>
  <c r="DN205" i="35" s="1"/>
  <c r="DO202" i="35"/>
  <c r="DN202" i="35" s="1"/>
  <c r="DO219" i="35"/>
  <c r="DN219" i="35" s="1"/>
  <c r="DO201" i="35"/>
  <c r="DN201" i="35" s="1"/>
  <c r="DP213" i="35"/>
  <c r="DO199" i="35"/>
  <c r="DN199" i="35" s="1"/>
  <c r="DO214" i="35"/>
  <c r="DN214" i="35" s="1"/>
  <c r="DP203" i="35"/>
  <c r="DB230" i="35"/>
  <c r="DB224" i="35"/>
  <c r="DB242" i="35"/>
  <c r="DB240" i="35"/>
  <c r="AU240" i="35"/>
  <c r="AW240" i="35" s="1"/>
  <c r="DB249" i="35"/>
  <c r="DB238" i="35"/>
  <c r="DB229" i="35"/>
  <c r="DB233" i="35"/>
  <c r="DB243" i="35"/>
  <c r="DB241" i="35"/>
  <c r="DB228" i="35"/>
  <c r="DB225" i="35"/>
  <c r="DB235" i="35"/>
  <c r="DB253" i="35"/>
  <c r="DB231" i="35"/>
  <c r="DB226" i="35"/>
  <c r="DB247" i="35"/>
  <c r="DB236" i="35"/>
  <c r="DB246" i="35"/>
  <c r="AS233" i="35"/>
  <c r="AU246" i="35"/>
  <c r="AW246" i="35" s="1"/>
  <c r="AS243" i="35"/>
  <c r="DB227" i="35"/>
  <c r="DB250" i="35"/>
  <c r="DB252" i="35"/>
  <c r="DB245" i="35"/>
  <c r="DB239" i="35"/>
  <c r="DO210" i="35"/>
  <c r="DN210" i="35" s="1"/>
  <c r="DB232" i="35"/>
  <c r="DB193" i="35"/>
  <c r="DB251" i="35"/>
  <c r="DB244" i="35"/>
  <c r="DB248" i="35"/>
  <c r="DB234" i="35"/>
  <c r="DB237" i="35"/>
  <c r="AS252" i="35"/>
  <c r="AS245" i="35"/>
  <c r="DP222" i="35"/>
  <c r="DO217" i="35"/>
  <c r="DN217" i="35" s="1"/>
  <c r="DO221" i="35"/>
  <c r="DN221" i="35" s="1"/>
  <c r="AU244" i="35"/>
  <c r="AW244" i="35" s="1"/>
  <c r="AU251" i="35"/>
  <c r="AW251" i="35" s="1"/>
  <c r="AS242" i="35"/>
  <c r="AS237" i="35"/>
  <c r="AS230" i="35"/>
  <c r="AS251" i="35"/>
  <c r="AS231" i="35"/>
  <c r="AS249" i="35"/>
  <c r="AU242" i="35"/>
  <c r="AV242" i="35" s="1"/>
  <c r="AS244" i="35"/>
  <c r="AU224" i="35"/>
  <c r="AW224" i="35" s="1"/>
  <c r="AS193" i="35"/>
  <c r="DO196" i="35"/>
  <c r="DN196" i="35" s="1"/>
  <c r="AS246" i="35"/>
  <c r="AS229" i="35"/>
  <c r="AU193" i="35"/>
  <c r="AV193" i="35" s="1"/>
  <c r="DO193" i="35" s="1"/>
  <c r="DN193" i="35" s="1"/>
  <c r="AU229" i="35"/>
  <c r="AW229" i="35" s="1"/>
  <c r="DO216" i="35"/>
  <c r="DN216" i="35" s="1"/>
  <c r="DP195" i="35"/>
  <c r="AU227" i="35"/>
  <c r="AW227" i="35" s="1"/>
  <c r="DO209" i="35"/>
  <c r="DN209" i="35" s="1"/>
  <c r="AS240" i="35"/>
  <c r="AS227" i="35"/>
  <c r="AU252" i="35"/>
  <c r="AW252" i="35" s="1"/>
  <c r="AU249" i="35"/>
  <c r="AW249" i="35" s="1"/>
  <c r="AU243" i="35"/>
  <c r="AW243" i="35" s="1"/>
  <c r="AU245" i="35"/>
  <c r="AW245" i="35" s="1"/>
  <c r="AU237" i="35"/>
  <c r="AW237" i="35" s="1"/>
  <c r="AV223" i="35"/>
  <c r="DO223" i="35" s="1"/>
  <c r="DN223" i="35" s="1"/>
  <c r="DO206" i="35"/>
  <c r="DN206" i="35" s="1"/>
  <c r="DP194" i="35"/>
  <c r="AS234" i="35"/>
  <c r="AS248" i="35"/>
  <c r="AU234" i="35"/>
  <c r="AV234" i="35" s="1"/>
  <c r="AU248" i="35"/>
  <c r="AW248" i="35" s="1"/>
  <c r="DP197" i="35"/>
  <c r="DP212" i="35"/>
  <c r="AS235" i="35"/>
  <c r="AU235" i="35"/>
  <c r="AW235" i="35" s="1"/>
  <c r="AU232" i="35"/>
  <c r="AW232" i="35" s="1"/>
  <c r="AS232" i="35"/>
  <c r="AS225" i="35"/>
  <c r="AU225" i="35"/>
  <c r="AV225" i="35" s="1"/>
  <c r="AU241" i="35"/>
  <c r="AW241" i="35" s="1"/>
  <c r="AS241" i="35"/>
  <c r="AS236" i="35"/>
  <c r="AU236" i="35"/>
  <c r="AW236" i="35" s="1"/>
  <c r="AS253" i="35"/>
  <c r="AU253" i="35"/>
  <c r="AW253" i="35" s="1"/>
  <c r="AU247" i="35"/>
  <c r="AW247" i="35" s="1"/>
  <c r="AS247" i="35"/>
  <c r="AU228" i="35"/>
  <c r="AV228" i="35" s="1"/>
  <c r="DO228" i="35" s="1"/>
  <c r="DN228" i="35" s="1"/>
  <c r="AU250" i="35"/>
  <c r="AV250" i="35" s="1"/>
  <c r="AS228" i="35"/>
  <c r="AS250" i="35"/>
  <c r="AT254" i="35"/>
  <c r="AU238" i="35"/>
  <c r="AV238" i="35" s="1"/>
  <c r="DO238" i="35" s="1"/>
  <c r="DN238" i="35" s="1"/>
  <c r="AS238" i="35"/>
  <c r="AP270" i="35"/>
  <c r="AQ270" i="35" s="1"/>
  <c r="AU233" i="35"/>
  <c r="AV233" i="35" s="1"/>
  <c r="DO233" i="35" s="1"/>
  <c r="DN233" i="35" s="1"/>
  <c r="DP162" i="35"/>
  <c r="DO162" i="35"/>
  <c r="DN162" i="35" s="1"/>
  <c r="AU239" i="35"/>
  <c r="AV239" i="35" s="1"/>
  <c r="AP266" i="35"/>
  <c r="AQ266" i="35" s="1"/>
  <c r="AS239" i="35"/>
  <c r="AU226" i="35"/>
  <c r="AW226" i="35" s="1"/>
  <c r="AS226" i="35"/>
  <c r="AP281" i="35"/>
  <c r="AQ281" i="35" s="1"/>
  <c r="AL285" i="35"/>
  <c r="B51" i="37"/>
  <c r="AL21" i="37"/>
  <c r="AJ306" i="35"/>
  <c r="AK306" i="35" s="1"/>
  <c r="AJ296" i="35"/>
  <c r="AK296" i="35" s="1"/>
  <c r="AJ315" i="35"/>
  <c r="AK315" i="35" s="1"/>
  <c r="AJ289" i="35"/>
  <c r="AK289" i="35" s="1"/>
  <c r="AJ298" i="35"/>
  <c r="AK298" i="35" s="1"/>
  <c r="AJ287" i="35"/>
  <c r="AK287" i="35" s="1"/>
  <c r="AJ312" i="35"/>
  <c r="AK312" i="35" s="1"/>
  <c r="AJ314" i="35"/>
  <c r="AK314" i="35" s="1"/>
  <c r="AJ307" i="35"/>
  <c r="AK307" i="35" s="1"/>
  <c r="AJ295" i="35"/>
  <c r="AK295" i="35" s="1"/>
  <c r="AJ308" i="35"/>
  <c r="AK308" i="35" s="1"/>
  <c r="AJ300" i="35"/>
  <c r="AK300" i="35" s="1"/>
  <c r="AJ293" i="35"/>
  <c r="AK293" i="35" s="1"/>
  <c r="AJ313" i="35"/>
  <c r="AK313" i="35" s="1"/>
  <c r="AJ299" i="35"/>
  <c r="AK299" i="35" s="1"/>
  <c r="AJ297" i="35"/>
  <c r="AK297" i="35" s="1"/>
  <c r="AJ286" i="35"/>
  <c r="AK286" i="35" s="1"/>
  <c r="AH316" i="35"/>
  <c r="AI316" i="35" s="1"/>
  <c r="AJ304" i="35"/>
  <c r="AK304" i="35" s="1"/>
  <c r="AJ294" i="35"/>
  <c r="AK294" i="35" s="1"/>
  <c r="AJ288" i="35"/>
  <c r="AK288" i="35" s="1"/>
  <c r="AJ311" i="35"/>
  <c r="AK311" i="35" s="1"/>
  <c r="AJ292" i="35"/>
  <c r="AK292" i="35" s="1"/>
  <c r="AJ291" i="35"/>
  <c r="AK291" i="35" s="1"/>
  <c r="AJ290" i="35"/>
  <c r="AK290" i="35" s="1"/>
  <c r="AJ309" i="35"/>
  <c r="AK309" i="35" s="1"/>
  <c r="AF317" i="35"/>
  <c r="AG317" i="35" s="1"/>
  <c r="AJ310" i="35"/>
  <c r="AK310" i="35" s="1"/>
  <c r="AJ301" i="35"/>
  <c r="AK301" i="35" s="1"/>
  <c r="AJ302" i="35"/>
  <c r="AK302" i="35" s="1"/>
  <c r="Y348" i="35"/>
  <c r="AD348" i="35" s="1"/>
  <c r="AE347" i="35"/>
  <c r="AJ303" i="35"/>
  <c r="AK303" i="35" s="1"/>
  <c r="AJ305" i="35"/>
  <c r="AK305" i="35" s="1"/>
  <c r="V19" i="32"/>
  <c r="V20" i="32" s="1"/>
  <c r="V21" i="32" s="1"/>
  <c r="V22" i="32" s="1"/>
  <c r="V23" i="32" s="1"/>
  <c r="V24" i="32" s="1"/>
  <c r="V25" i="32" s="1"/>
  <c r="V26" i="32" s="1"/>
  <c r="V27" i="32" s="1"/>
  <c r="V28" i="32" s="1"/>
  <c r="V29" i="32" s="1"/>
  <c r="V30" i="32" s="1"/>
  <c r="V31" i="32" s="1"/>
  <c r="V32" i="32" s="1"/>
  <c r="V33" i="32" s="1"/>
  <c r="V34" i="32" s="1"/>
  <c r="V35" i="32" s="1"/>
  <c r="V36" i="32" s="1"/>
  <c r="V37" i="32" s="1"/>
  <c r="V38" i="32" s="1"/>
  <c r="V39" i="32" s="1"/>
  <c r="V40" i="32" s="1"/>
  <c r="V41" i="32" s="1"/>
  <c r="V42" i="32" s="1"/>
  <c r="V43" i="32" s="1"/>
  <c r="V44" i="32" s="1"/>
  <c r="V45" i="32" s="1"/>
  <c r="V46" i="32" s="1"/>
  <c r="V47" i="32" s="1"/>
  <c r="V48" i="32" s="1"/>
  <c r="V49" i="32" s="1"/>
  <c r="V50" i="32" s="1"/>
  <c r="V51" i="32" s="1"/>
  <c r="V52" i="32" s="1"/>
  <c r="V53" i="32" s="1"/>
  <c r="V54" i="32" s="1"/>
  <c r="V55" i="32" s="1"/>
  <c r="V56" i="32" s="1"/>
  <c r="V57" i="32" s="1"/>
  <c r="V58" i="32" s="1"/>
  <c r="V59" i="32" s="1"/>
  <c r="V60" i="32" s="1"/>
  <c r="V61" i="32" s="1"/>
  <c r="V62" i="32" s="1"/>
  <c r="V63" i="32" s="1"/>
  <c r="V64" i="32" s="1"/>
  <c r="V65" i="32" s="1"/>
  <c r="V66" i="32" s="1"/>
  <c r="V67" i="32" s="1"/>
  <c r="V68" i="32" s="1"/>
  <c r="V69" i="32" s="1"/>
  <c r="V70" i="32" s="1"/>
  <c r="V71" i="32" s="1"/>
  <c r="V72" i="32" s="1"/>
  <c r="V73" i="32" s="1"/>
  <c r="E30" i="32"/>
  <c r="E31" i="32"/>
  <c r="E29" i="32"/>
  <c r="F30" i="32"/>
  <c r="F31" i="32"/>
  <c r="F29" i="32"/>
  <c r="B30" i="32"/>
  <c r="B31" i="32"/>
  <c r="B29" i="32"/>
  <c r="CA75" i="35" l="1"/>
  <c r="DC86" i="35"/>
  <c r="CH86" i="35"/>
  <c r="J86" i="19" s="1"/>
  <c r="CJ75" i="35"/>
  <c r="DR75" i="35"/>
  <c r="DV75" i="35" s="1"/>
  <c r="CI75" i="35"/>
  <c r="I75" i="19" s="1"/>
  <c r="H75" i="19"/>
  <c r="DC62" i="35"/>
  <c r="CH62" i="35"/>
  <c r="J62" i="19" s="1"/>
  <c r="DC39" i="35"/>
  <c r="CH39" i="35"/>
  <c r="J39" i="19" s="1"/>
  <c r="BY72" i="35"/>
  <c r="BZ72" i="35" s="1"/>
  <c r="CA72" i="35" s="1"/>
  <c r="BY111" i="35"/>
  <c r="BZ111" i="35" s="1"/>
  <c r="CF111" i="35" s="1"/>
  <c r="CG111" i="35" s="1"/>
  <c r="BY25" i="35"/>
  <c r="BZ25" i="35" s="1"/>
  <c r="CA25" i="35" s="1"/>
  <c r="DC25" i="35" s="1"/>
  <c r="BY33" i="35"/>
  <c r="BZ33" i="35" s="1"/>
  <c r="CA33" i="35" s="1"/>
  <c r="BY22" i="35"/>
  <c r="BZ22" i="35" s="1"/>
  <c r="CF22" i="35" s="1"/>
  <c r="CG22" i="35" s="1"/>
  <c r="BY74" i="35"/>
  <c r="BZ74" i="35" s="1"/>
  <c r="CA74" i="35" s="1"/>
  <c r="DC74" i="35" s="1"/>
  <c r="CF62" i="35"/>
  <c r="CG62" i="35" s="1"/>
  <c r="CI62" i="35" s="1"/>
  <c r="BY64" i="35"/>
  <c r="BZ64" i="35" s="1"/>
  <c r="CA64" i="35" s="1"/>
  <c r="CF105" i="35"/>
  <c r="CG105" i="35" s="1"/>
  <c r="BY142" i="35"/>
  <c r="BZ142" i="35" s="1"/>
  <c r="CA142" i="35" s="1"/>
  <c r="DC142" i="35" s="1"/>
  <c r="BY92" i="35"/>
  <c r="BZ92" i="35" s="1"/>
  <c r="CA92" i="35" s="1"/>
  <c r="DC41" i="35"/>
  <c r="BY150" i="35"/>
  <c r="BZ150" i="35" s="1"/>
  <c r="CF150" i="35" s="1"/>
  <c r="CG150" i="35" s="1"/>
  <c r="CI150" i="35" s="1"/>
  <c r="BY79" i="35"/>
  <c r="BZ79" i="35" s="1"/>
  <c r="CA79" i="35" s="1"/>
  <c r="BY71" i="35"/>
  <c r="BZ71" i="35" s="1"/>
  <c r="CA71" i="35" s="1"/>
  <c r="DC71" i="35" s="1"/>
  <c r="BY132" i="35"/>
  <c r="BZ132" i="35" s="1"/>
  <c r="CA132" i="35" s="1"/>
  <c r="BY63" i="35"/>
  <c r="BZ63" i="35" s="1"/>
  <c r="CA63" i="35" s="1"/>
  <c r="DC63" i="35" s="1"/>
  <c r="BY107" i="35"/>
  <c r="BZ107" i="35" s="1"/>
  <c r="CF107" i="35" s="1"/>
  <c r="CG107" i="35" s="1"/>
  <c r="CJ107" i="35" s="1"/>
  <c r="BY11" i="35"/>
  <c r="BZ11" i="35" s="1"/>
  <c r="CA11" i="35" s="1"/>
  <c r="BY8" i="35"/>
  <c r="BZ8" i="35" s="1"/>
  <c r="CF8" i="35" s="1"/>
  <c r="CG8" i="35" s="1"/>
  <c r="DR8" i="35" s="1"/>
  <c r="DT8" i="35" s="1"/>
  <c r="BY36" i="35"/>
  <c r="BZ36" i="35" s="1"/>
  <c r="CA36" i="35" s="1"/>
  <c r="DC36" i="35" s="1"/>
  <c r="BY45" i="35"/>
  <c r="BZ45" i="35" s="1"/>
  <c r="CA45" i="35" s="1"/>
  <c r="BY53" i="35"/>
  <c r="BZ53" i="35" s="1"/>
  <c r="CF53" i="35" s="1"/>
  <c r="CG53" i="35" s="1"/>
  <c r="BY85" i="35"/>
  <c r="BZ85" i="35" s="1"/>
  <c r="CF85" i="35" s="1"/>
  <c r="CG85" i="35" s="1"/>
  <c r="CJ85" i="35" s="1"/>
  <c r="BY114" i="35"/>
  <c r="BZ114" i="35" s="1"/>
  <c r="CF114" i="35" s="1"/>
  <c r="CG114" i="35" s="1"/>
  <c r="BY106" i="35"/>
  <c r="BZ106" i="35" s="1"/>
  <c r="CA106" i="35" s="1"/>
  <c r="BY81" i="35"/>
  <c r="BZ81" i="35" s="1"/>
  <c r="CA81" i="35" s="1"/>
  <c r="CH81" i="35" s="1"/>
  <c r="J81" i="19" s="1"/>
  <c r="BY83" i="35"/>
  <c r="BZ83" i="35" s="1"/>
  <c r="CF83" i="35" s="1"/>
  <c r="CG83" i="35" s="1"/>
  <c r="BY104" i="35"/>
  <c r="BZ104" i="35" s="1"/>
  <c r="CA104" i="35" s="1"/>
  <c r="BY154" i="35"/>
  <c r="BZ154" i="35" s="1"/>
  <c r="CF154" i="35" s="1"/>
  <c r="CG154" i="35" s="1"/>
  <c r="CF41" i="35"/>
  <c r="CG41" i="35" s="1"/>
  <c r="BY35" i="35"/>
  <c r="BZ35" i="35" s="1"/>
  <c r="CA35" i="35" s="1"/>
  <c r="BY9" i="35"/>
  <c r="BZ9" i="35" s="1"/>
  <c r="CF9" i="35" s="1"/>
  <c r="CG9" i="35" s="1"/>
  <c r="CJ9" i="35" s="1"/>
  <c r="BY77" i="35"/>
  <c r="BZ77" i="35" s="1"/>
  <c r="CA77" i="35" s="1"/>
  <c r="BY98" i="35"/>
  <c r="BZ98" i="35" s="1"/>
  <c r="CF98" i="35" s="1"/>
  <c r="CG98" i="35" s="1"/>
  <c r="H98" i="19" s="1"/>
  <c r="BY90" i="35"/>
  <c r="BZ90" i="35" s="1"/>
  <c r="CA90" i="35" s="1"/>
  <c r="DC90" i="35" s="1"/>
  <c r="BY67" i="35"/>
  <c r="BZ67" i="35" s="1"/>
  <c r="CF67" i="35" s="1"/>
  <c r="CG67" i="35" s="1"/>
  <c r="BY20" i="35"/>
  <c r="BZ20" i="35" s="1"/>
  <c r="CA20" i="35" s="1"/>
  <c r="BY88" i="35"/>
  <c r="BZ88" i="35" s="1"/>
  <c r="CA88" i="35" s="1"/>
  <c r="BY32" i="35"/>
  <c r="BZ32" i="35" s="1"/>
  <c r="CA32" i="35" s="1"/>
  <c r="BY56" i="35"/>
  <c r="BZ56" i="35" s="1"/>
  <c r="CA56" i="35" s="1"/>
  <c r="CH56" i="35" s="1"/>
  <c r="J56" i="19" s="1"/>
  <c r="BY138" i="35"/>
  <c r="BZ138" i="35" s="1"/>
  <c r="CF138" i="35" s="1"/>
  <c r="CG138" i="35" s="1"/>
  <c r="BY123" i="35"/>
  <c r="BZ123" i="35" s="1"/>
  <c r="CF123" i="35" s="1"/>
  <c r="CG123" i="35" s="1"/>
  <c r="BY96" i="35"/>
  <c r="BZ96" i="35" s="1"/>
  <c r="CF96" i="35" s="1"/>
  <c r="CG96" i="35" s="1"/>
  <c r="BY15" i="35"/>
  <c r="BY87" i="35"/>
  <c r="BZ87" i="35" s="1"/>
  <c r="CF87" i="35" s="1"/>
  <c r="CG87" i="35" s="1"/>
  <c r="BY117" i="35"/>
  <c r="BZ117" i="35" s="1"/>
  <c r="CA117" i="35" s="1"/>
  <c r="H86" i="19"/>
  <c r="CI86" i="35"/>
  <c r="I86" i="19" s="1"/>
  <c r="DR86" i="35"/>
  <c r="DV86" i="35" s="1"/>
  <c r="CA53" i="35"/>
  <c r="BW139" i="35"/>
  <c r="BW140" i="35"/>
  <c r="BW101" i="35"/>
  <c r="CH75" i="35"/>
  <c r="J75" i="19" s="1"/>
  <c r="DC75" i="35"/>
  <c r="BW148" i="35"/>
  <c r="BW136" i="35"/>
  <c r="BW130" i="35"/>
  <c r="CF33" i="35"/>
  <c r="CG33" i="35" s="1"/>
  <c r="H33" i="19" s="1"/>
  <c r="DR39" i="35"/>
  <c r="CJ39" i="35"/>
  <c r="CI39" i="35"/>
  <c r="H39" i="19"/>
  <c r="BW145" i="35"/>
  <c r="BW149" i="35"/>
  <c r="CF56" i="35"/>
  <c r="CG56" i="35" s="1"/>
  <c r="DR56" i="35" s="1"/>
  <c r="DV56" i="35" s="1"/>
  <c r="BW157" i="35"/>
  <c r="BW160" i="35"/>
  <c r="BW73" i="35"/>
  <c r="DC105" i="35"/>
  <c r="CH105" i="35"/>
  <c r="J105" i="19" s="1"/>
  <c r="DC129" i="35"/>
  <c r="CH129" i="35"/>
  <c r="J129" i="19" s="1"/>
  <c r="CI54" i="35"/>
  <c r="DR54" i="35"/>
  <c r="DV54" i="35" s="1"/>
  <c r="CI126" i="35"/>
  <c r="H126" i="19"/>
  <c r="DR126" i="35"/>
  <c r="DV126" i="35" s="1"/>
  <c r="EW126" i="35"/>
  <c r="CF129" i="35"/>
  <c r="CG129" i="35" s="1"/>
  <c r="CI129" i="35" s="1"/>
  <c r="CJ126" i="35"/>
  <c r="CJ54" i="35"/>
  <c r="CF141" i="35"/>
  <c r="CG141" i="35" s="1"/>
  <c r="H54" i="19"/>
  <c r="CF109" i="35"/>
  <c r="CG109" i="35" s="1"/>
  <c r="H47" i="19"/>
  <c r="DC126" i="35"/>
  <c r="CF135" i="35"/>
  <c r="CG135" i="35" s="1"/>
  <c r="CJ135" i="35" s="1"/>
  <c r="CA135" i="35"/>
  <c r="DC135" i="35" s="1"/>
  <c r="DR47" i="35"/>
  <c r="DV47" i="35" s="1"/>
  <c r="CJ47" i="35"/>
  <c r="I47" i="19" s="1"/>
  <c r="CI85" i="35"/>
  <c r="I85" i="19" s="1"/>
  <c r="CI30" i="35"/>
  <c r="DT30" i="35"/>
  <c r="CF144" i="35"/>
  <c r="CG144" i="35" s="1"/>
  <c r="H144" i="19" s="1"/>
  <c r="H30" i="19"/>
  <c r="CJ30" i="35"/>
  <c r="CK86" i="35"/>
  <c r="CK59" i="35"/>
  <c r="CS59" i="35" s="1"/>
  <c r="GH97" i="35"/>
  <c r="GV97" i="35" s="1"/>
  <c r="HD97" i="35" s="1"/>
  <c r="CX97" i="35"/>
  <c r="W97" i="19" s="1"/>
  <c r="CY97" i="35"/>
  <c r="X97" i="19" s="1"/>
  <c r="CM97" i="35"/>
  <c r="CO97" i="35" s="1"/>
  <c r="GL97" i="35" s="1"/>
  <c r="GZ97" i="35" s="1"/>
  <c r="HB97" i="35" s="1"/>
  <c r="FN97" i="35"/>
  <c r="FV97" i="35" s="1"/>
  <c r="FX97" i="35" s="1"/>
  <c r="DA97" i="35"/>
  <c r="Z97" i="19" s="1"/>
  <c r="CS97" i="35"/>
  <c r="CU97" i="35" s="1"/>
  <c r="GR97" i="35" s="1"/>
  <c r="CZ97" i="35"/>
  <c r="Y97" i="19" s="1"/>
  <c r="K97" i="19"/>
  <c r="I97" i="19"/>
  <c r="DV97" i="35"/>
  <c r="DT97" i="35"/>
  <c r="CH144" i="35"/>
  <c r="J144" i="19" s="1"/>
  <c r="I59" i="19"/>
  <c r="CH121" i="35"/>
  <c r="DC121" i="35"/>
  <c r="BT58" i="35"/>
  <c r="BT37" i="35"/>
  <c r="DC89" i="35"/>
  <c r="CH89" i="35"/>
  <c r="CA147" i="35"/>
  <c r="CF147" i="35"/>
  <c r="CG147" i="35" s="1"/>
  <c r="CJ156" i="35"/>
  <c r="CI156" i="35"/>
  <c r="DR156" i="35"/>
  <c r="H156" i="19"/>
  <c r="DR89" i="35"/>
  <c r="CI89" i="35"/>
  <c r="H89" i="19"/>
  <c r="CJ89" i="35"/>
  <c r="CA133" i="35"/>
  <c r="CF133" i="35"/>
  <c r="CG133" i="35" s="1"/>
  <c r="CH156" i="35"/>
  <c r="DC156" i="35"/>
  <c r="DC14" i="35"/>
  <c r="CH14" i="35"/>
  <c r="DR124" i="35"/>
  <c r="H124" i="19"/>
  <c r="CJ124" i="35"/>
  <c r="CI124" i="35"/>
  <c r="BT7" i="35"/>
  <c r="BW7" i="35" s="1"/>
  <c r="BT127" i="35"/>
  <c r="DC48" i="35"/>
  <c r="CH48" i="35"/>
  <c r="I31" i="19"/>
  <c r="DC18" i="35"/>
  <c r="CH18" i="35"/>
  <c r="DT59" i="35"/>
  <c r="DV59" i="35"/>
  <c r="DC78" i="35"/>
  <c r="CH78" i="35"/>
  <c r="CH153" i="35"/>
  <c r="J153" i="19" s="1"/>
  <c r="CF153" i="35"/>
  <c r="CG153" i="35" s="1"/>
  <c r="CJ48" i="35"/>
  <c r="DR48" i="35"/>
  <c r="H48" i="19"/>
  <c r="CI48" i="35"/>
  <c r="DV31" i="35"/>
  <c r="DT31" i="35"/>
  <c r="H18" i="19"/>
  <c r="CJ18" i="35"/>
  <c r="CI18" i="35"/>
  <c r="DR18" i="35"/>
  <c r="BT116" i="35"/>
  <c r="BT118" i="35"/>
  <c r="BT12" i="35"/>
  <c r="BT108" i="35"/>
  <c r="BW108" i="35" s="1"/>
  <c r="BY108" i="35" s="1"/>
  <c r="BZ108" i="35" s="1"/>
  <c r="J31" i="19"/>
  <c r="CK31" i="35"/>
  <c r="CH124" i="35"/>
  <c r="J124" i="19" s="1"/>
  <c r="DC124" i="35"/>
  <c r="BT113" i="35"/>
  <c r="BT155" i="35"/>
  <c r="BT99" i="35"/>
  <c r="BT60" i="35"/>
  <c r="BW60" i="35" s="1"/>
  <c r="BY60" i="35" s="1"/>
  <c r="BZ60" i="35" s="1"/>
  <c r="BT27" i="35"/>
  <c r="BT10" i="35"/>
  <c r="CI121" i="35"/>
  <c r="DR121" i="35"/>
  <c r="CJ121" i="35"/>
  <c r="H121" i="19"/>
  <c r="H14" i="19"/>
  <c r="DR14" i="35"/>
  <c r="CJ14" i="35"/>
  <c r="CI14" i="35"/>
  <c r="CF100" i="35"/>
  <c r="CG100" i="35" s="1"/>
  <c r="CA100" i="35"/>
  <c r="DR78" i="35"/>
  <c r="H78" i="19"/>
  <c r="CJ78" i="35"/>
  <c r="CI78" i="35"/>
  <c r="DC54" i="35"/>
  <c r="CH54" i="35"/>
  <c r="J54" i="19" s="1"/>
  <c r="DC109" i="35"/>
  <c r="CH109" i="35"/>
  <c r="J109" i="19" s="1"/>
  <c r="BR169" i="35"/>
  <c r="BR16" i="35"/>
  <c r="BR26" i="35"/>
  <c r="BR76" i="35"/>
  <c r="BR66" i="35"/>
  <c r="BR70" i="35"/>
  <c r="BT70" i="35" s="1"/>
  <c r="BW70" i="35" s="1"/>
  <c r="BY70" i="35" s="1"/>
  <c r="BZ70" i="35" s="1"/>
  <c r="BR91" i="35"/>
  <c r="BR80" i="35"/>
  <c r="BR28" i="35"/>
  <c r="BR52" i="35"/>
  <c r="BR119" i="35"/>
  <c r="BR178" i="35"/>
  <c r="BR161" i="35"/>
  <c r="BR95" i="35"/>
  <c r="BR38" i="35"/>
  <c r="BR120" i="35"/>
  <c r="BR163" i="35"/>
  <c r="BR134" i="35"/>
  <c r="BR29" i="35"/>
  <c r="BR168" i="35"/>
  <c r="BR115" i="35"/>
  <c r="BR164" i="35"/>
  <c r="BR34" i="35"/>
  <c r="BT34" i="35" s="1"/>
  <c r="BW34" i="35" s="1"/>
  <c r="BY34" i="35" s="1"/>
  <c r="BZ34" i="35" s="1"/>
  <c r="BR49" i="35"/>
  <c r="BR167" i="35"/>
  <c r="BT167" i="35" s="1"/>
  <c r="BW167" i="35" s="1"/>
  <c r="BY167" i="35" s="1"/>
  <c r="BZ167" i="35" s="1"/>
  <c r="BR42" i="35"/>
  <c r="BR187" i="35"/>
  <c r="BR188" i="35"/>
  <c r="BR69" i="35"/>
  <c r="BR94" i="35"/>
  <c r="BR57" i="35"/>
  <c r="BT57" i="35" s="1"/>
  <c r="BW57" i="35" s="1"/>
  <c r="BY57" i="35" s="1"/>
  <c r="BZ57" i="35" s="1"/>
  <c r="BR19" i="35"/>
  <c r="BR21" i="35"/>
  <c r="BR61" i="35"/>
  <c r="BR43" i="35"/>
  <c r="BR128" i="35"/>
  <c r="BR172" i="35"/>
  <c r="BR68" i="35"/>
  <c r="BR180" i="35"/>
  <c r="BR55" i="35"/>
  <c r="BR181" i="35"/>
  <c r="BR17" i="35"/>
  <c r="BT17" i="35" s="1"/>
  <c r="BW17" i="35" s="1"/>
  <c r="BY17" i="35" s="1"/>
  <c r="BZ17" i="35" s="1"/>
  <c r="BR93" i="35"/>
  <c r="BR50" i="35"/>
  <c r="BR82" i="35"/>
  <c r="BR110" i="35"/>
  <c r="BR46" i="35"/>
  <c r="BR102" i="35"/>
  <c r="BR175" i="35"/>
  <c r="BT175" i="35" s="1"/>
  <c r="BW175" i="35" s="1"/>
  <c r="BY175" i="35" s="1"/>
  <c r="BZ175" i="35" s="1"/>
  <c r="BR170" i="35"/>
  <c r="BL195" i="35"/>
  <c r="BN195" i="35" s="1"/>
  <c r="BP195" i="35" s="1"/>
  <c r="BL179" i="35"/>
  <c r="BN179" i="35" s="1"/>
  <c r="BP179" i="35" s="1"/>
  <c r="BL205" i="35"/>
  <c r="BN205" i="35" s="1"/>
  <c r="BP205" i="35" s="1"/>
  <c r="BL84" i="35"/>
  <c r="BN84" i="35" s="1"/>
  <c r="BP84" i="35" s="1"/>
  <c r="BL202" i="35"/>
  <c r="BN202" i="35" s="1"/>
  <c r="BP202" i="35" s="1"/>
  <c r="BL103" i="35"/>
  <c r="BN103" i="35" s="1"/>
  <c r="BP103" i="35" s="1"/>
  <c r="BL65" i="35"/>
  <c r="BN65" i="35" s="1"/>
  <c r="BP65" i="35" s="1"/>
  <c r="BL23" i="35"/>
  <c r="BN23" i="35" s="1"/>
  <c r="BP23" i="35" s="1"/>
  <c r="BL219" i="35"/>
  <c r="BN219" i="35" s="1"/>
  <c r="BP219" i="35" s="1"/>
  <c r="BL13" i="35"/>
  <c r="BN13" i="35" s="1"/>
  <c r="BP13" i="35" s="1"/>
  <c r="BL51" i="35"/>
  <c r="BN51" i="35" s="1"/>
  <c r="BP51" i="35" s="1"/>
  <c r="BL162" i="35"/>
  <c r="BN162" i="35" s="1"/>
  <c r="BP162" i="35" s="1"/>
  <c r="BL182" i="35"/>
  <c r="BN182" i="35" s="1"/>
  <c r="BP182" i="35" s="1"/>
  <c r="BL112" i="35"/>
  <c r="BN112" i="35" s="1"/>
  <c r="BP112" i="35" s="1"/>
  <c r="BL24" i="35"/>
  <c r="BN24" i="35" s="1"/>
  <c r="BP24" i="35" s="1"/>
  <c r="BL125" i="35"/>
  <c r="BN125" i="35" s="1"/>
  <c r="BP125" i="35" s="1"/>
  <c r="BL40" i="35"/>
  <c r="BN40" i="35" s="1"/>
  <c r="BP40" i="35" s="1"/>
  <c r="BJ137" i="35"/>
  <c r="BL137" i="35" s="1"/>
  <c r="BN137" i="35" s="1"/>
  <c r="BP137" i="35" s="1"/>
  <c r="BJ158" i="35"/>
  <c r="BL158" i="35" s="1"/>
  <c r="BN158" i="35" s="1"/>
  <c r="BP158" i="35" s="1"/>
  <c r="BJ44" i="35"/>
  <c r="BJ151" i="35"/>
  <c r="BL151" i="35" s="1"/>
  <c r="BN151" i="35" s="1"/>
  <c r="BP151" i="35" s="1"/>
  <c r="BJ146" i="35"/>
  <c r="BL146" i="35" s="1"/>
  <c r="BN146" i="35" s="1"/>
  <c r="BP146" i="35" s="1"/>
  <c r="BJ152" i="35"/>
  <c r="BL152" i="35" s="1"/>
  <c r="BN152" i="35" s="1"/>
  <c r="BP152" i="35" s="1"/>
  <c r="BJ131" i="35"/>
  <c r="BL131" i="35" s="1"/>
  <c r="BN131" i="35" s="1"/>
  <c r="BP131" i="35" s="1"/>
  <c r="BJ122" i="35"/>
  <c r="BL122" i="35" s="1"/>
  <c r="BN122" i="35" s="1"/>
  <c r="BP122" i="35" s="1"/>
  <c r="BJ159" i="35"/>
  <c r="BL159" i="35" s="1"/>
  <c r="BN159" i="35" s="1"/>
  <c r="BP159" i="35" s="1"/>
  <c r="BH143" i="35"/>
  <c r="BH190" i="35"/>
  <c r="BH176" i="35"/>
  <c r="BF166" i="35"/>
  <c r="BF171" i="35"/>
  <c r="BF165" i="35"/>
  <c r="BF174" i="35"/>
  <c r="BF184" i="35"/>
  <c r="BF185" i="35"/>
  <c r="BF191" i="35"/>
  <c r="BF192" i="35"/>
  <c r="BF186" i="35"/>
  <c r="BF183" i="35"/>
  <c r="BF177" i="35"/>
  <c r="BF189" i="35"/>
  <c r="BD215" i="35"/>
  <c r="BD173" i="35"/>
  <c r="BD194" i="35"/>
  <c r="BA199" i="35"/>
  <c r="BA198" i="35"/>
  <c r="BA206" i="35"/>
  <c r="BD206" i="35" s="1"/>
  <c r="BF206" i="35" s="1"/>
  <c r="BH206" i="35" s="1"/>
  <c r="BJ206" i="35" s="1"/>
  <c r="BA220" i="35"/>
  <c r="BA218" i="35"/>
  <c r="BA221" i="35"/>
  <c r="BA197" i="35"/>
  <c r="BD197" i="35" s="1"/>
  <c r="BF197" i="35" s="1"/>
  <c r="BH197" i="35" s="1"/>
  <c r="BJ197" i="35" s="1"/>
  <c r="BA207" i="35"/>
  <c r="BD207" i="35" s="1"/>
  <c r="BF207" i="35" s="1"/>
  <c r="BH207" i="35" s="1"/>
  <c r="BJ207" i="35" s="1"/>
  <c r="BA214" i="35"/>
  <c r="BA210" i="35"/>
  <c r="BD210" i="35" s="1"/>
  <c r="BF210" i="35" s="1"/>
  <c r="BH210" i="35" s="1"/>
  <c r="BJ210" i="35" s="1"/>
  <c r="BA209" i="35"/>
  <c r="BA201" i="35"/>
  <c r="BA217" i="35"/>
  <c r="BD217" i="35" s="1"/>
  <c r="BF217" i="35" s="1"/>
  <c r="BH217" i="35" s="1"/>
  <c r="BJ217" i="35" s="1"/>
  <c r="BA222" i="35"/>
  <c r="BA203" i="35"/>
  <c r="BA213" i="35"/>
  <c r="BA211" i="35"/>
  <c r="BD211" i="35" s="1"/>
  <c r="BF211" i="35" s="1"/>
  <c r="BH211" i="35" s="1"/>
  <c r="BJ211" i="35" s="1"/>
  <c r="BA196" i="35"/>
  <c r="BD196" i="35" s="1"/>
  <c r="BF196" i="35" s="1"/>
  <c r="BH196" i="35" s="1"/>
  <c r="BJ196" i="35" s="1"/>
  <c r="BA212" i="35"/>
  <c r="BD212" i="35" s="1"/>
  <c r="BF212" i="35" s="1"/>
  <c r="BH212" i="35" s="1"/>
  <c r="BJ212" i="35" s="1"/>
  <c r="BA216" i="35"/>
  <c r="AZ204" i="35"/>
  <c r="AZ223" i="35"/>
  <c r="AZ200" i="35"/>
  <c r="AZ208" i="35"/>
  <c r="AX248" i="35"/>
  <c r="AX224" i="35"/>
  <c r="AX249" i="35"/>
  <c r="AX229" i="35"/>
  <c r="AX247" i="35"/>
  <c r="AX240" i="35"/>
  <c r="AX231" i="35"/>
  <c r="AX226" i="35"/>
  <c r="AX251" i="35"/>
  <c r="AX241" i="35"/>
  <c r="AV230" i="35"/>
  <c r="DO230" i="35" s="1"/>
  <c r="DN230" i="35" s="1"/>
  <c r="AO285" i="35"/>
  <c r="AP285" i="35" s="1"/>
  <c r="AQ285" i="35" s="1"/>
  <c r="AV231" i="35"/>
  <c r="DO231" i="35" s="1"/>
  <c r="DN231" i="35" s="1"/>
  <c r="AX246" i="35"/>
  <c r="AX237" i="35"/>
  <c r="AX227" i="35"/>
  <c r="AX245" i="35"/>
  <c r="AX243" i="35"/>
  <c r="AX253" i="35"/>
  <c r="AX244" i="35"/>
  <c r="AX232" i="35"/>
  <c r="AX252" i="35"/>
  <c r="AZ252" i="35" s="1"/>
  <c r="AX236" i="35"/>
  <c r="AZ236" i="35" s="1"/>
  <c r="AX235" i="35"/>
  <c r="AW225" i="35"/>
  <c r="AW193" i="35"/>
  <c r="AW228" i="35"/>
  <c r="AW233" i="35"/>
  <c r="AW242" i="35"/>
  <c r="AW238" i="35"/>
  <c r="AW239" i="35"/>
  <c r="AW250" i="35"/>
  <c r="AW234" i="35"/>
  <c r="AX230" i="35"/>
  <c r="AV246" i="35"/>
  <c r="DO246" i="35" s="1"/>
  <c r="DN246" i="35" s="1"/>
  <c r="AV240" i="35"/>
  <c r="DO240" i="35" s="1"/>
  <c r="DN240" i="35" s="1"/>
  <c r="DP223" i="35"/>
  <c r="AV251" i="35"/>
  <c r="DP251" i="35" s="1"/>
  <c r="DB254" i="35"/>
  <c r="AV224" i="35"/>
  <c r="DP224" i="35" s="1"/>
  <c r="DP193" i="35"/>
  <c r="AV248" i="35"/>
  <c r="DP248" i="35" s="1"/>
  <c r="AV244" i="35"/>
  <c r="DO244" i="35" s="1"/>
  <c r="DN244" i="35" s="1"/>
  <c r="AV236" i="35"/>
  <c r="DP236" i="35" s="1"/>
  <c r="AV229" i="35"/>
  <c r="DO229" i="35" s="1"/>
  <c r="DN229" i="35" s="1"/>
  <c r="AV235" i="35"/>
  <c r="DP235" i="35" s="1"/>
  <c r="AV227" i="35"/>
  <c r="DP227" i="35" s="1"/>
  <c r="AV226" i="35"/>
  <c r="DO226" i="35" s="1"/>
  <c r="DN226" i="35" s="1"/>
  <c r="AV237" i="35"/>
  <c r="DP237" i="35" s="1"/>
  <c r="AV245" i="35"/>
  <c r="DO245" i="35" s="1"/>
  <c r="DN245" i="35" s="1"/>
  <c r="AV249" i="35"/>
  <c r="DP249" i="35" s="1"/>
  <c r="AV252" i="35"/>
  <c r="DP252" i="35" s="1"/>
  <c r="AV243" i="35"/>
  <c r="DP243" i="35" s="1"/>
  <c r="AV232" i="35"/>
  <c r="DO232" i="35" s="1"/>
  <c r="DN232" i="35" s="1"/>
  <c r="AV253" i="35"/>
  <c r="DP253" i="35" s="1"/>
  <c r="AV241" i="35"/>
  <c r="DP241" i="35" s="1"/>
  <c r="AS254" i="35"/>
  <c r="AU254" i="35"/>
  <c r="AW254" i="35" s="1"/>
  <c r="AV247" i="35"/>
  <c r="DP247" i="35" s="1"/>
  <c r="AT256" i="35"/>
  <c r="AT262" i="35"/>
  <c r="AT276" i="35"/>
  <c r="AT277" i="35"/>
  <c r="AT269" i="35"/>
  <c r="AT255" i="35"/>
  <c r="AT274" i="35"/>
  <c r="AT268" i="35"/>
  <c r="AT257" i="35"/>
  <c r="AT261" i="35"/>
  <c r="AT260" i="35"/>
  <c r="AT283" i="35"/>
  <c r="AT258" i="35"/>
  <c r="AT266" i="35"/>
  <c r="AT275" i="35"/>
  <c r="AT270" i="35"/>
  <c r="AT273" i="35"/>
  <c r="AT284" i="35"/>
  <c r="AT280" i="35"/>
  <c r="AT259" i="35"/>
  <c r="AT282" i="35"/>
  <c r="AT263" i="35"/>
  <c r="AT279" i="35"/>
  <c r="AT272" i="35"/>
  <c r="AT278" i="35"/>
  <c r="AT264" i="35"/>
  <c r="AT281" i="35"/>
  <c r="AT267" i="35"/>
  <c r="AT265" i="35"/>
  <c r="AT271" i="35"/>
  <c r="AL308" i="35"/>
  <c r="AL303" i="35"/>
  <c r="AL292" i="35"/>
  <c r="AL295" i="35"/>
  <c r="AL301" i="35"/>
  <c r="AL309" i="35"/>
  <c r="AL287" i="35"/>
  <c r="AL311" i="35"/>
  <c r="AL293" i="35"/>
  <c r="AL300" i="35"/>
  <c r="AL290" i="35"/>
  <c r="AL289" i="35"/>
  <c r="AL305" i="35"/>
  <c r="AL298" i="35"/>
  <c r="AL286" i="35"/>
  <c r="AL299" i="35"/>
  <c r="AL302" i="35"/>
  <c r="AL294" i="35"/>
  <c r="AL297" i="35"/>
  <c r="AL315" i="35"/>
  <c r="AL313" i="35"/>
  <c r="AL307" i="35"/>
  <c r="AL296" i="35"/>
  <c r="AL310" i="35"/>
  <c r="AL304" i="35"/>
  <c r="AL314" i="35"/>
  <c r="AL306" i="35"/>
  <c r="AL288" i="35"/>
  <c r="AL291" i="35"/>
  <c r="AL312" i="35"/>
  <c r="AM21" i="37"/>
  <c r="B52" i="37"/>
  <c r="DP233" i="35"/>
  <c r="DP238" i="35"/>
  <c r="DP228" i="35"/>
  <c r="AH318" i="35"/>
  <c r="AI318" i="35" s="1"/>
  <c r="AH317" i="35"/>
  <c r="AI317" i="35" s="1"/>
  <c r="AH323" i="35"/>
  <c r="AI323" i="35" s="1"/>
  <c r="AH338" i="35"/>
  <c r="AI338" i="35" s="1"/>
  <c r="AH327" i="35"/>
  <c r="AI327" i="35" s="1"/>
  <c r="AH335" i="35"/>
  <c r="AI335" i="35" s="1"/>
  <c r="AH334" i="35"/>
  <c r="AI334" i="35" s="1"/>
  <c r="AH332" i="35"/>
  <c r="AI332" i="35" s="1"/>
  <c r="AH329" i="35"/>
  <c r="AI329" i="35" s="1"/>
  <c r="AH344" i="35"/>
  <c r="AI344" i="35" s="1"/>
  <c r="AH331" i="35"/>
  <c r="AI331" i="35" s="1"/>
  <c r="AH326" i="35"/>
  <c r="AI326" i="35" s="1"/>
  <c r="DP242" i="35"/>
  <c r="DO242" i="35"/>
  <c r="DN242" i="35" s="1"/>
  <c r="AH343" i="35"/>
  <c r="AI343" i="35" s="1"/>
  <c r="DO239" i="35"/>
  <c r="DN239" i="35" s="1"/>
  <c r="DP239" i="35"/>
  <c r="AH345" i="35"/>
  <c r="AI345" i="35" s="1"/>
  <c r="DP225" i="35"/>
  <c r="DO225" i="35"/>
  <c r="DN225" i="35" s="1"/>
  <c r="AH340" i="35"/>
  <c r="AI340" i="35" s="1"/>
  <c r="DO250" i="35"/>
  <c r="DN250" i="35" s="1"/>
  <c r="DP250" i="35"/>
  <c r="AH322" i="35"/>
  <c r="AI322" i="35" s="1"/>
  <c r="AH328" i="35"/>
  <c r="AI328" i="35" s="1"/>
  <c r="AH341" i="35"/>
  <c r="AI341" i="35" s="1"/>
  <c r="AH337" i="35"/>
  <c r="AI337" i="35" s="1"/>
  <c r="AH319" i="35"/>
  <c r="AI319" i="35" s="1"/>
  <c r="AH333" i="35"/>
  <c r="AI333" i="35" s="1"/>
  <c r="AH320" i="35"/>
  <c r="AI320" i="35" s="1"/>
  <c r="AH330" i="35"/>
  <c r="AI330" i="35" s="1"/>
  <c r="AH346" i="35"/>
  <c r="AI346" i="35" s="1"/>
  <c r="AH325" i="35"/>
  <c r="AI325" i="35" s="1"/>
  <c r="AF347" i="35"/>
  <c r="AG347" i="35" s="1"/>
  <c r="AH321" i="35"/>
  <c r="AI321" i="35" s="1"/>
  <c r="Y377" i="35"/>
  <c r="Y373" i="35"/>
  <c r="Y372" i="35"/>
  <c r="Y366" i="35"/>
  <c r="Y364" i="35"/>
  <c r="Y368" i="35"/>
  <c r="Y362" i="35"/>
  <c r="Y378" i="35"/>
  <c r="AD378" i="35" s="1"/>
  <c r="Y375" i="35"/>
  <c r="Y365" i="35"/>
  <c r="Y363" i="35"/>
  <c r="Y374" i="35"/>
  <c r="Y370" i="35"/>
  <c r="Y376" i="35"/>
  <c r="Y357" i="35"/>
  <c r="Y360" i="35"/>
  <c r="Y355" i="35"/>
  <c r="Y371" i="35"/>
  <c r="Y369" i="35"/>
  <c r="Y358" i="35"/>
  <c r="Y352" i="35"/>
  <c r="Y350" i="35"/>
  <c r="Y367" i="35"/>
  <c r="Y359" i="35"/>
  <c r="Y361" i="35"/>
  <c r="Y353" i="35"/>
  <c r="Y351" i="35"/>
  <c r="Y349" i="35"/>
  <c r="Y354" i="35"/>
  <c r="Y356" i="35"/>
  <c r="AE348" i="35"/>
  <c r="AH339" i="35"/>
  <c r="AI339" i="35" s="1"/>
  <c r="AH324" i="35"/>
  <c r="AI324" i="35" s="1"/>
  <c r="DP234" i="35"/>
  <c r="DO234" i="35"/>
  <c r="DN234" i="35" s="1"/>
  <c r="AH336" i="35"/>
  <c r="AI336" i="35" s="1"/>
  <c r="AH342" i="35"/>
  <c r="AI342" i="35" s="1"/>
  <c r="AJ316" i="35"/>
  <c r="AK316" i="35" s="1"/>
  <c r="W16" i="32"/>
  <c r="W17" i="32" s="1"/>
  <c r="Z20" i="32" s="1"/>
  <c r="M74" i="32" s="1"/>
  <c r="F32" i="32"/>
  <c r="P100" i="31"/>
  <c r="I100" i="31"/>
  <c r="A100" i="31"/>
  <c r="P99" i="31"/>
  <c r="I99" i="31"/>
  <c r="A99" i="31"/>
  <c r="P98" i="31"/>
  <c r="I98" i="31"/>
  <c r="A98" i="31"/>
  <c r="P97" i="31"/>
  <c r="I97" i="31"/>
  <c r="A97" i="31"/>
  <c r="D23" i="31"/>
  <c r="D21" i="31"/>
  <c r="E16" i="31"/>
  <c r="M12" i="31"/>
  <c r="I11" i="31"/>
  <c r="A10" i="31"/>
  <c r="H8" i="31"/>
  <c r="A118" i="31" s="1"/>
  <c r="A4" i="31"/>
  <c r="D3" i="31"/>
  <c r="H113" i="31" s="1"/>
  <c r="P100" i="30"/>
  <c r="I100" i="30"/>
  <c r="A100" i="30"/>
  <c r="P99" i="30"/>
  <c r="I99" i="30"/>
  <c r="A99" i="30"/>
  <c r="P98" i="30"/>
  <c r="I98" i="30"/>
  <c r="A98" i="30"/>
  <c r="P97" i="30"/>
  <c r="I97" i="30"/>
  <c r="A97" i="30"/>
  <c r="D23" i="30"/>
  <c r="D21" i="30"/>
  <c r="E16" i="30"/>
  <c r="M12" i="30"/>
  <c r="I11" i="30"/>
  <c r="A10" i="30"/>
  <c r="H8" i="30"/>
  <c r="A117" i="30" s="1"/>
  <c r="A4" i="30"/>
  <c r="D3" i="30"/>
  <c r="H112" i="30" s="1"/>
  <c r="P100" i="29"/>
  <c r="I100" i="29"/>
  <c r="A100" i="29"/>
  <c r="P99" i="29"/>
  <c r="I99" i="29"/>
  <c r="A99" i="29"/>
  <c r="P98" i="29"/>
  <c r="I98" i="29"/>
  <c r="A98" i="29"/>
  <c r="P97" i="29"/>
  <c r="I97" i="29"/>
  <c r="A97" i="29"/>
  <c r="D23" i="29"/>
  <c r="D21" i="29"/>
  <c r="E16" i="29"/>
  <c r="M12" i="29"/>
  <c r="I11" i="29"/>
  <c r="A10" i="29"/>
  <c r="H8" i="29"/>
  <c r="A117" i="29" s="1"/>
  <c r="A4" i="29"/>
  <c r="D3" i="29"/>
  <c r="H112" i="29" s="1"/>
  <c r="P100" i="28"/>
  <c r="I100" i="28"/>
  <c r="A100" i="28"/>
  <c r="P99" i="28"/>
  <c r="I99" i="28"/>
  <c r="A99" i="28"/>
  <c r="P98" i="28"/>
  <c r="I98" i="28"/>
  <c r="A98" i="28"/>
  <c r="P97" i="28"/>
  <c r="I97" i="28"/>
  <c r="A97" i="28"/>
  <c r="D23" i="28"/>
  <c r="D21" i="28"/>
  <c r="E16" i="28"/>
  <c r="M12" i="28"/>
  <c r="I11" i="28"/>
  <c r="A10" i="28"/>
  <c r="H8" i="28"/>
  <c r="A117" i="28" s="1"/>
  <c r="A4" i="28"/>
  <c r="D3" i="28"/>
  <c r="H112" i="28" s="1"/>
  <c r="P100" i="27"/>
  <c r="I100" i="27"/>
  <c r="A100" i="27"/>
  <c r="P99" i="27"/>
  <c r="I99" i="27"/>
  <c r="A99" i="27"/>
  <c r="P98" i="27"/>
  <c r="I98" i="27"/>
  <c r="A98" i="27"/>
  <c r="P97" i="27"/>
  <c r="I97" i="27"/>
  <c r="A97" i="27"/>
  <c r="D23" i="27"/>
  <c r="D21" i="27"/>
  <c r="E16" i="27"/>
  <c r="M12" i="27"/>
  <c r="I11" i="27"/>
  <c r="A10" i="27"/>
  <c r="H8" i="27"/>
  <c r="A117" i="27" s="1"/>
  <c r="A4" i="27"/>
  <c r="D3" i="27"/>
  <c r="H112" i="27" s="1"/>
  <c r="P100" i="26"/>
  <c r="I100" i="26"/>
  <c r="A100" i="26"/>
  <c r="P99" i="26"/>
  <c r="I99" i="26"/>
  <c r="A99" i="26"/>
  <c r="P98" i="26"/>
  <c r="I98" i="26"/>
  <c r="A98" i="26"/>
  <c r="P97" i="26"/>
  <c r="I97" i="26"/>
  <c r="A97" i="26"/>
  <c r="D23" i="26"/>
  <c r="D21" i="26"/>
  <c r="E16" i="26"/>
  <c r="M12" i="26"/>
  <c r="I11" i="26"/>
  <c r="A10" i="26"/>
  <c r="H8" i="26"/>
  <c r="A118" i="26" s="1"/>
  <c r="A4" i="26"/>
  <c r="D3" i="26"/>
  <c r="H113" i="26" s="1"/>
  <c r="P100" i="25"/>
  <c r="I100" i="25"/>
  <c r="A100" i="25"/>
  <c r="P99" i="25"/>
  <c r="I99" i="25"/>
  <c r="A99" i="25"/>
  <c r="P98" i="25"/>
  <c r="I98" i="25"/>
  <c r="A98" i="25"/>
  <c r="P97" i="25"/>
  <c r="I97" i="25"/>
  <c r="A97" i="25"/>
  <c r="E16" i="25"/>
  <c r="M12" i="25"/>
  <c r="I11" i="25"/>
  <c r="A10" i="25"/>
  <c r="H8" i="25"/>
  <c r="A117" i="25" s="1"/>
  <c r="A4" i="25"/>
  <c r="D3" i="25"/>
  <c r="H112" i="25" s="1"/>
  <c r="D21" i="13"/>
  <c r="M12" i="13"/>
  <c r="A10" i="13"/>
  <c r="H8" i="13"/>
  <c r="O82" i="24"/>
  <c r="K82" i="24"/>
  <c r="F81" i="24"/>
  <c r="B81" i="24"/>
  <c r="G69" i="24"/>
  <c r="D69" i="24"/>
  <c r="B69" i="24"/>
  <c r="G67" i="24"/>
  <c r="D67" i="24"/>
  <c r="B67" i="24"/>
  <c r="G65" i="24"/>
  <c r="D65" i="24"/>
  <c r="B65" i="24"/>
  <c r="G63" i="24"/>
  <c r="D63" i="24"/>
  <c r="B63" i="24"/>
  <c r="G61" i="24"/>
  <c r="D61" i="24"/>
  <c r="B61" i="24"/>
  <c r="G59" i="24"/>
  <c r="D59" i="24"/>
  <c r="B59" i="24"/>
  <c r="D39" i="24"/>
  <c r="D38" i="24"/>
  <c r="D37" i="24"/>
  <c r="D36" i="24"/>
  <c r="N12" i="24"/>
  <c r="E9" i="24"/>
  <c r="N9" i="24" s="1"/>
  <c r="E7" i="24"/>
  <c r="N7" i="24" s="1"/>
  <c r="E6" i="24"/>
  <c r="N6" i="24" s="1"/>
  <c r="C2" i="24"/>
  <c r="M17" i="24" s="1"/>
  <c r="W17" i="24" s="1"/>
  <c r="D1" i="24"/>
  <c r="P98" i="13"/>
  <c r="P99" i="13"/>
  <c r="P100" i="13"/>
  <c r="I98" i="13"/>
  <c r="I99" i="13"/>
  <c r="I100" i="13"/>
  <c r="P97" i="13"/>
  <c r="I97" i="13"/>
  <c r="A98" i="13"/>
  <c r="A99" i="13"/>
  <c r="A100" i="13"/>
  <c r="A97" i="13"/>
  <c r="CA138" i="35" l="1"/>
  <c r="DT75" i="35"/>
  <c r="CF77" i="35"/>
  <c r="CG77" i="35" s="1"/>
  <c r="CJ77" i="35" s="1"/>
  <c r="CF142" i="35"/>
  <c r="CG142" i="35" s="1"/>
  <c r="DR142" i="35" s="1"/>
  <c r="DV142" i="35" s="1"/>
  <c r="CF45" i="35"/>
  <c r="CG45" i="35" s="1"/>
  <c r="CJ45" i="35" s="1"/>
  <c r="BY7" i="35"/>
  <c r="BZ7" i="35" s="1"/>
  <c r="CF81" i="35"/>
  <c r="CG81" i="35" s="1"/>
  <c r="CJ81" i="35" s="1"/>
  <c r="CF92" i="35"/>
  <c r="CG92" i="35" s="1"/>
  <c r="H92" i="19" s="1"/>
  <c r="CA83" i="35"/>
  <c r="DC83" i="35" s="1"/>
  <c r="DR85" i="35"/>
  <c r="DT85" i="35" s="1"/>
  <c r="DR62" i="35"/>
  <c r="DV62" i="35" s="1"/>
  <c r="CF36" i="35"/>
  <c r="CG36" i="35" s="1"/>
  <c r="DR36" i="35" s="1"/>
  <c r="DT36" i="35" s="1"/>
  <c r="CF64" i="35"/>
  <c r="CG64" i="35" s="1"/>
  <c r="CJ64" i="35" s="1"/>
  <c r="H85" i="19"/>
  <c r="CA154" i="35"/>
  <c r="DC154" i="35" s="1"/>
  <c r="CF32" i="35"/>
  <c r="CG32" i="35" s="1"/>
  <c r="CI32" i="35" s="1"/>
  <c r="CH92" i="35"/>
  <c r="J92" i="19" s="1"/>
  <c r="DC92" i="35"/>
  <c r="CI138" i="35"/>
  <c r="CJ138" i="35"/>
  <c r="DR138" i="35"/>
  <c r="DV138" i="35" s="1"/>
  <c r="CH33" i="35"/>
  <c r="J33" i="19" s="1"/>
  <c r="DC33" i="35"/>
  <c r="CF132" i="35"/>
  <c r="CG132" i="35" s="1"/>
  <c r="H132" i="19" s="1"/>
  <c r="CJ62" i="35"/>
  <c r="CK62" i="35" s="1"/>
  <c r="DC81" i="35"/>
  <c r="CH90" i="35"/>
  <c r="J90" i="19" s="1"/>
  <c r="CF71" i="35"/>
  <c r="CG71" i="35" s="1"/>
  <c r="DR71" i="35" s="1"/>
  <c r="DR98" i="35"/>
  <c r="DT98" i="35" s="1"/>
  <c r="CA98" i="35"/>
  <c r="DC98" i="35" s="1"/>
  <c r="CI98" i="35"/>
  <c r="CA22" i="35"/>
  <c r="CA111" i="35"/>
  <c r="DC111" i="35" s="1"/>
  <c r="CF90" i="35"/>
  <c r="CG90" i="35" s="1"/>
  <c r="DR90" i="35" s="1"/>
  <c r="DT90" i="35" s="1"/>
  <c r="CJ98" i="35"/>
  <c r="CA114" i="35"/>
  <c r="DC114" i="35" s="1"/>
  <c r="CH142" i="35"/>
  <c r="J142" i="19" s="1"/>
  <c r="CF117" i="35"/>
  <c r="CG117" i="35" s="1"/>
  <c r="CJ117" i="35" s="1"/>
  <c r="CF25" i="35"/>
  <c r="CG25" i="35" s="1"/>
  <c r="DC77" i="35"/>
  <c r="CH77" i="35"/>
  <c r="J77" i="19" s="1"/>
  <c r="DR53" i="35"/>
  <c r="DV53" i="35" s="1"/>
  <c r="H53" i="19"/>
  <c r="CJ53" i="35"/>
  <c r="CI53" i="35"/>
  <c r="DC32" i="35"/>
  <c r="CH32" i="35"/>
  <c r="J32" i="19" s="1"/>
  <c r="H154" i="19"/>
  <c r="CJ154" i="35"/>
  <c r="CI154" i="35"/>
  <c r="DR154" i="35"/>
  <c r="DV154" i="35" s="1"/>
  <c r="DC88" i="35"/>
  <c r="CH88" i="35"/>
  <c r="J88" i="19" s="1"/>
  <c r="DC104" i="35"/>
  <c r="CH104" i="35"/>
  <c r="J104" i="19" s="1"/>
  <c r="DC11" i="35"/>
  <c r="CH11" i="35"/>
  <c r="J11" i="19" s="1"/>
  <c r="CI111" i="35"/>
  <c r="H111" i="19"/>
  <c r="CJ111" i="35"/>
  <c r="DR111" i="35"/>
  <c r="DV111" i="35" s="1"/>
  <c r="DC20" i="35"/>
  <c r="CH20" i="35"/>
  <c r="J20" i="19" s="1"/>
  <c r="H83" i="19"/>
  <c r="CI83" i="35"/>
  <c r="CJ83" i="35"/>
  <c r="DR83" i="35"/>
  <c r="DV83" i="35" s="1"/>
  <c r="DC72" i="35"/>
  <c r="CH72" i="35"/>
  <c r="J72" i="19" s="1"/>
  <c r="CJ67" i="35"/>
  <c r="DR67" i="35"/>
  <c r="DT67" i="35" s="1"/>
  <c r="H67" i="19"/>
  <c r="CI67" i="35"/>
  <c r="EW114" i="35"/>
  <c r="CI114" i="35"/>
  <c r="DR114" i="35"/>
  <c r="DV114" i="35" s="1"/>
  <c r="CJ114" i="35"/>
  <c r="H114" i="19"/>
  <c r="H123" i="19"/>
  <c r="CI123" i="35"/>
  <c r="CJ22" i="35"/>
  <c r="CI22" i="35"/>
  <c r="DR22" i="35"/>
  <c r="DV22" i="35" s="1"/>
  <c r="H22" i="19"/>
  <c r="DC132" i="35"/>
  <c r="CH132" i="35"/>
  <c r="J132" i="19" s="1"/>
  <c r="DC45" i="35"/>
  <c r="CH45" i="35"/>
  <c r="J45" i="19" s="1"/>
  <c r="DC35" i="35"/>
  <c r="CH35" i="35"/>
  <c r="J35" i="19" s="1"/>
  <c r="CF88" i="35"/>
  <c r="CG88" i="35" s="1"/>
  <c r="BY149" i="35"/>
  <c r="BZ149" i="35" s="1"/>
  <c r="CF149" i="35" s="1"/>
  <c r="CG149" i="35" s="1"/>
  <c r="H149" i="19" s="1"/>
  <c r="H62" i="19"/>
  <c r="CF106" i="35"/>
  <c r="CG106" i="35" s="1"/>
  <c r="CA8" i="35"/>
  <c r="CF79" i="35"/>
  <c r="CG79" i="35" s="1"/>
  <c r="CH74" i="35"/>
  <c r="J74" i="19" s="1"/>
  <c r="BY145" i="35"/>
  <c r="BZ145" i="35" s="1"/>
  <c r="CF145" i="35" s="1"/>
  <c r="CG145" i="35" s="1"/>
  <c r="CI145" i="35" s="1"/>
  <c r="CF72" i="35"/>
  <c r="CG72" i="35" s="1"/>
  <c r="DR72" i="35" s="1"/>
  <c r="DR41" i="35"/>
  <c r="H41" i="19"/>
  <c r="CJ41" i="35"/>
  <c r="CI41" i="35"/>
  <c r="CA150" i="35"/>
  <c r="CA123" i="35"/>
  <c r="H56" i="19"/>
  <c r="H138" i="19"/>
  <c r="BY160" i="35"/>
  <c r="BZ160" i="35" s="1"/>
  <c r="CA160" i="35" s="1"/>
  <c r="DC160" i="35" s="1"/>
  <c r="I39" i="19"/>
  <c r="BY130" i="35"/>
  <c r="BZ130" i="35" s="1"/>
  <c r="CA130" i="35" s="1"/>
  <c r="CF104" i="35"/>
  <c r="CG104" i="35" s="1"/>
  <c r="CI104" i="35" s="1"/>
  <c r="CA85" i="35"/>
  <c r="CA107" i="35"/>
  <c r="DR150" i="35"/>
  <c r="DT150" i="35" s="1"/>
  <c r="BY73" i="35"/>
  <c r="BZ73" i="35" s="1"/>
  <c r="CF73" i="35" s="1"/>
  <c r="CG73" i="35" s="1"/>
  <c r="H73" i="19" s="1"/>
  <c r="CA67" i="35"/>
  <c r="CH67" i="35" s="1"/>
  <c r="J67" i="19" s="1"/>
  <c r="CF35" i="35"/>
  <c r="CG35" i="35" s="1"/>
  <c r="H35" i="19" s="1"/>
  <c r="DT86" i="35"/>
  <c r="CH71" i="35"/>
  <c r="J71" i="19" s="1"/>
  <c r="BY101" i="35"/>
  <c r="BZ101" i="35" s="1"/>
  <c r="CA101" i="35" s="1"/>
  <c r="CH36" i="35"/>
  <c r="J36" i="19" s="1"/>
  <c r="DC56" i="35"/>
  <c r="BY157" i="35"/>
  <c r="BZ157" i="35" s="1"/>
  <c r="CF157" i="35" s="1"/>
  <c r="CG157" i="35" s="1"/>
  <c r="CI157" i="35" s="1"/>
  <c r="BY140" i="35"/>
  <c r="BZ140" i="35" s="1"/>
  <c r="CA140" i="35" s="1"/>
  <c r="CF63" i="35"/>
  <c r="CG63" i="35" s="1"/>
  <c r="CA9" i="35"/>
  <c r="CF20" i="35"/>
  <c r="CG20" i="35" s="1"/>
  <c r="CJ20" i="35" s="1"/>
  <c r="CA96" i="35"/>
  <c r="CF11" i="35"/>
  <c r="CG11" i="35" s="1"/>
  <c r="EW11" i="35" s="1"/>
  <c r="H150" i="19"/>
  <c r="BY136" i="35"/>
  <c r="BZ136" i="35" s="1"/>
  <c r="CA136" i="35" s="1"/>
  <c r="BY139" i="35"/>
  <c r="BZ139" i="35" s="1"/>
  <c r="CA139" i="35" s="1"/>
  <c r="DC139" i="35" s="1"/>
  <c r="CA87" i="35"/>
  <c r="CH87" i="35" s="1"/>
  <c r="J87" i="19" s="1"/>
  <c r="DT56" i="35"/>
  <c r="CJ150" i="35"/>
  <c r="I150" i="19" s="1"/>
  <c r="CI105" i="35"/>
  <c r="DR105" i="35"/>
  <c r="CJ105" i="35"/>
  <c r="H105" i="19"/>
  <c r="DR64" i="35"/>
  <c r="DV64" i="35" s="1"/>
  <c r="CF74" i="35"/>
  <c r="CG74" i="35" s="1"/>
  <c r="CI64" i="35"/>
  <c r="I64" i="19" s="1"/>
  <c r="CH63" i="35"/>
  <c r="J63" i="19" s="1"/>
  <c r="BY148" i="35"/>
  <c r="BZ148" i="35" s="1"/>
  <c r="CF148" i="35" s="1"/>
  <c r="CG148" i="35" s="1"/>
  <c r="H148" i="19" s="1"/>
  <c r="CH117" i="35"/>
  <c r="J117" i="19" s="1"/>
  <c r="DC117" i="35"/>
  <c r="DR87" i="35"/>
  <c r="CI87" i="35"/>
  <c r="CJ87" i="35"/>
  <c r="H87" i="19"/>
  <c r="BZ15" i="35"/>
  <c r="CJ8" i="35"/>
  <c r="DR117" i="35"/>
  <c r="DT117" i="35" s="1"/>
  <c r="DV8" i="35"/>
  <c r="DR123" i="35"/>
  <c r="DT123" i="35" s="1"/>
  <c r="DR104" i="35"/>
  <c r="DT104" i="35" s="1"/>
  <c r="CJ123" i="35"/>
  <c r="CI142" i="35"/>
  <c r="DT142" i="35"/>
  <c r="I126" i="19"/>
  <c r="H142" i="19"/>
  <c r="H8" i="19"/>
  <c r="CH25" i="35"/>
  <c r="J25" i="19" s="1"/>
  <c r="CI8" i="35"/>
  <c r="CJ142" i="35"/>
  <c r="EW142" i="35"/>
  <c r="DR33" i="35"/>
  <c r="DT33" i="35" s="1"/>
  <c r="CK39" i="35"/>
  <c r="CY39" i="35" s="1"/>
  <c r="X39" i="19" s="1"/>
  <c r="CI117" i="35"/>
  <c r="I117" i="19" s="1"/>
  <c r="CI9" i="35"/>
  <c r="I9" i="19" s="1"/>
  <c r="H9" i="19"/>
  <c r="DR9" i="35"/>
  <c r="DT9" i="35" s="1"/>
  <c r="DT54" i="35"/>
  <c r="I54" i="19"/>
  <c r="DC138" i="35"/>
  <c r="CH138" i="35"/>
  <c r="J138" i="19" s="1"/>
  <c r="BW37" i="35"/>
  <c r="BW155" i="35"/>
  <c r="DR107" i="35"/>
  <c r="DT107" i="35" s="1"/>
  <c r="CK75" i="35"/>
  <c r="CZ75" i="35" s="1"/>
  <c r="Y75" i="19" s="1"/>
  <c r="BW58" i="35"/>
  <c r="CH53" i="35"/>
  <c r="J53" i="19" s="1"/>
  <c r="DC53" i="35"/>
  <c r="DC79" i="35"/>
  <c r="CH79" i="35"/>
  <c r="J79" i="19" s="1"/>
  <c r="BW113" i="35"/>
  <c r="DR96" i="35"/>
  <c r="CI96" i="35"/>
  <c r="CJ96" i="35"/>
  <c r="H96" i="19"/>
  <c r="BW116" i="35"/>
  <c r="DC64" i="35"/>
  <c r="CH64" i="35"/>
  <c r="J64" i="19" s="1"/>
  <c r="BW27" i="35"/>
  <c r="CH154" i="35"/>
  <c r="J154" i="19" s="1"/>
  <c r="BW99" i="35"/>
  <c r="BW12" i="35"/>
  <c r="BW118" i="35"/>
  <c r="CI33" i="35"/>
  <c r="H107" i="19"/>
  <c r="CJ56" i="35"/>
  <c r="CI56" i="35"/>
  <c r="DC106" i="35"/>
  <c r="CH106" i="35"/>
  <c r="J106" i="19" s="1"/>
  <c r="BW10" i="35"/>
  <c r="BW127" i="35"/>
  <c r="DT39" i="35"/>
  <c r="DV39" i="35"/>
  <c r="CJ33" i="35"/>
  <c r="CI107" i="35"/>
  <c r="I107" i="19" s="1"/>
  <c r="DT126" i="35"/>
  <c r="CK126" i="35"/>
  <c r="CY126" i="35" s="1"/>
  <c r="X126" i="19" s="1"/>
  <c r="DR129" i="35"/>
  <c r="DV129" i="35" s="1"/>
  <c r="H129" i="19"/>
  <c r="CJ129" i="35"/>
  <c r="I129" i="19" s="1"/>
  <c r="H141" i="19"/>
  <c r="CI141" i="35"/>
  <c r="EW141" i="35"/>
  <c r="CJ141" i="35"/>
  <c r="DR141" i="35"/>
  <c r="DT141" i="35" s="1"/>
  <c r="CJ109" i="35"/>
  <c r="H109" i="19"/>
  <c r="DR109" i="35"/>
  <c r="CI109" i="35"/>
  <c r="CA141" i="35"/>
  <c r="CH141" i="35" s="1"/>
  <c r="CK47" i="35"/>
  <c r="CX47" i="35" s="1"/>
  <c r="W47" i="19" s="1"/>
  <c r="CH135" i="35"/>
  <c r="J135" i="19" s="1"/>
  <c r="CI135" i="35"/>
  <c r="I135" i="19" s="1"/>
  <c r="DR135" i="35"/>
  <c r="DT135" i="35" s="1"/>
  <c r="DT47" i="35"/>
  <c r="H135" i="19"/>
  <c r="BT110" i="35"/>
  <c r="BW110" i="35" s="1"/>
  <c r="BY110" i="35" s="1"/>
  <c r="BZ110" i="35" s="1"/>
  <c r="BT66" i="35"/>
  <c r="BW66" i="35" s="1"/>
  <c r="BY66" i="35" s="1"/>
  <c r="BZ66" i="35" s="1"/>
  <c r="BT163" i="35"/>
  <c r="BW163" i="35" s="1"/>
  <c r="BY163" i="35" s="1"/>
  <c r="BZ163" i="35" s="1"/>
  <c r="BT172" i="35"/>
  <c r="BW172" i="35" s="1"/>
  <c r="BY172" i="35" s="1"/>
  <c r="BZ172" i="35" s="1"/>
  <c r="BT161" i="35"/>
  <c r="BW161" i="35" s="1"/>
  <c r="BY161" i="35" s="1"/>
  <c r="BZ161" i="35" s="1"/>
  <c r="I30" i="19"/>
  <c r="CJ144" i="35"/>
  <c r="R97" i="19"/>
  <c r="EW144" i="35"/>
  <c r="DR144" i="35"/>
  <c r="DV144" i="35" s="1"/>
  <c r="CQ97" i="35"/>
  <c r="Q97" i="19" s="1"/>
  <c r="AC97" i="19" s="1"/>
  <c r="CW97" i="35"/>
  <c r="V97" i="19" s="1"/>
  <c r="CV97" i="35"/>
  <c r="U97" i="19" s="1"/>
  <c r="GP97" i="35"/>
  <c r="CT97" i="35"/>
  <c r="S97" i="19" s="1"/>
  <c r="T97" i="19"/>
  <c r="CK30" i="35"/>
  <c r="CM30" i="35" s="1"/>
  <c r="CI144" i="35"/>
  <c r="I156" i="19"/>
  <c r="GJ97" i="35"/>
  <c r="GX97" i="35" s="1"/>
  <c r="M97" i="19"/>
  <c r="O97" i="19"/>
  <c r="CY59" i="35"/>
  <c r="X59" i="19" s="1"/>
  <c r="CX59" i="35"/>
  <c r="W59" i="19" s="1"/>
  <c r="CZ59" i="35"/>
  <c r="Y59" i="19" s="1"/>
  <c r="K86" i="19"/>
  <c r="CY86" i="35"/>
  <c r="X86" i="19" s="1"/>
  <c r="GH86" i="35"/>
  <c r="GV86" i="35" s="1"/>
  <c r="HD86" i="35" s="1"/>
  <c r="CZ86" i="35"/>
  <c r="Y86" i="19" s="1"/>
  <c r="FN86" i="35"/>
  <c r="CM86" i="35"/>
  <c r="DA86" i="35"/>
  <c r="Z86" i="19" s="1"/>
  <c r="CX86" i="35"/>
  <c r="W86" i="19" s="1"/>
  <c r="CS86" i="35"/>
  <c r="K59" i="19"/>
  <c r="DA59" i="35"/>
  <c r="Z59" i="19" s="1"/>
  <c r="FW97" i="35"/>
  <c r="FZ97" i="35" s="1"/>
  <c r="GB97" i="35" s="1"/>
  <c r="FN59" i="35"/>
  <c r="CM59" i="35"/>
  <c r="FP97" i="35"/>
  <c r="FR97" i="35" s="1"/>
  <c r="FT97" i="35" s="1"/>
  <c r="I124" i="19"/>
  <c r="GH59" i="35"/>
  <c r="GV59" i="35" s="1"/>
  <c r="HD59" i="35" s="1"/>
  <c r="CV59" i="35"/>
  <c r="GP59" i="35"/>
  <c r="CT59" i="35"/>
  <c r="R59" i="19"/>
  <c r="CW59" i="35"/>
  <c r="CU59" i="35"/>
  <c r="HE97" i="35"/>
  <c r="HH97" i="35"/>
  <c r="HG97" i="35"/>
  <c r="HF97" i="35"/>
  <c r="I48" i="19"/>
  <c r="CA7" i="35"/>
  <c r="DC7" i="35" s="1"/>
  <c r="I18" i="19"/>
  <c r="CK124" i="35"/>
  <c r="DA124" i="35" s="1"/>
  <c r="Z124" i="19" s="1"/>
  <c r="I14" i="19"/>
  <c r="J89" i="19"/>
  <c r="CK89" i="35"/>
  <c r="BT93" i="35"/>
  <c r="BT43" i="35"/>
  <c r="BW43" i="35" s="1"/>
  <c r="BY43" i="35" s="1"/>
  <c r="BZ43" i="35" s="1"/>
  <c r="BT42" i="35"/>
  <c r="BT29" i="35"/>
  <c r="BW29" i="35" s="1"/>
  <c r="BY29" i="35" s="1"/>
  <c r="BZ29" i="35" s="1"/>
  <c r="BT52" i="35"/>
  <c r="BT76" i="35"/>
  <c r="BW76" i="35" s="1"/>
  <c r="BY76" i="35" s="1"/>
  <c r="BZ76" i="35" s="1"/>
  <c r="DV14" i="35"/>
  <c r="DT14" i="35"/>
  <c r="CZ31" i="35"/>
  <c r="Y31" i="19" s="1"/>
  <c r="CY31" i="35"/>
  <c r="X31" i="19" s="1"/>
  <c r="GH31" i="35"/>
  <c r="GV31" i="35" s="1"/>
  <c r="HD31" i="35" s="1"/>
  <c r="FN31" i="35"/>
  <c r="CS31" i="35"/>
  <c r="DA31" i="35"/>
  <c r="Z31" i="19" s="1"/>
  <c r="CX31" i="35"/>
  <c r="W31" i="19" s="1"/>
  <c r="CM31" i="35"/>
  <c r="K31" i="19"/>
  <c r="DV124" i="35"/>
  <c r="DT124" i="35"/>
  <c r="DV89" i="35"/>
  <c r="DT89" i="35"/>
  <c r="CJ100" i="35"/>
  <c r="H100" i="19"/>
  <c r="DR100" i="35"/>
  <c r="EW100" i="35"/>
  <c r="CI100" i="35"/>
  <c r="BT170" i="35"/>
  <c r="BT61" i="35"/>
  <c r="BT134" i="35"/>
  <c r="BT26" i="35"/>
  <c r="J78" i="19"/>
  <c r="CK78" i="35"/>
  <c r="CS75" i="35"/>
  <c r="BT115" i="35"/>
  <c r="DC133" i="35"/>
  <c r="CH133" i="35"/>
  <c r="DC147" i="35"/>
  <c r="CH147" i="35"/>
  <c r="J147" i="19" s="1"/>
  <c r="BT188" i="35"/>
  <c r="I89" i="19"/>
  <c r="BT21" i="35"/>
  <c r="CA167" i="35"/>
  <c r="BT16" i="35"/>
  <c r="CA60" i="35"/>
  <c r="CF60" i="35"/>
  <c r="CG60" i="35" s="1"/>
  <c r="CJ60" i="35" s="1"/>
  <c r="BT94" i="35"/>
  <c r="BT50" i="35"/>
  <c r="BT128" i="35"/>
  <c r="BT168" i="35"/>
  <c r="BT181" i="35"/>
  <c r="BW181" i="35" s="1"/>
  <c r="BY181" i="35" s="1"/>
  <c r="BZ181" i="35" s="1"/>
  <c r="BT28" i="35"/>
  <c r="BT169" i="35"/>
  <c r="J14" i="19"/>
  <c r="CK14" i="35"/>
  <c r="J48" i="19"/>
  <c r="CK48" i="35"/>
  <c r="BT102" i="35"/>
  <c r="BT55" i="35"/>
  <c r="BT49" i="35"/>
  <c r="BT80" i="35"/>
  <c r="I78" i="19"/>
  <c r="DV121" i="35"/>
  <c r="DT121" i="35"/>
  <c r="DT48" i="35"/>
  <c r="DV48" i="35"/>
  <c r="BT46" i="35"/>
  <c r="BT180" i="35"/>
  <c r="BT19" i="35"/>
  <c r="CF34" i="35"/>
  <c r="CG34" i="35" s="1"/>
  <c r="CI34" i="35" s="1"/>
  <c r="BT120" i="35"/>
  <c r="BT91" i="35"/>
  <c r="I121" i="19"/>
  <c r="DV67" i="35"/>
  <c r="J18" i="19"/>
  <c r="CK18" i="35"/>
  <c r="DV156" i="35"/>
  <c r="DT156" i="35"/>
  <c r="DC100" i="35"/>
  <c r="CH100" i="35"/>
  <c r="J100" i="19" s="1"/>
  <c r="DV18" i="35"/>
  <c r="DT18" i="35"/>
  <c r="BT69" i="35"/>
  <c r="BT187" i="35"/>
  <c r="BT119" i="35"/>
  <c r="BT68" i="35"/>
  <c r="CA57" i="35"/>
  <c r="BT164" i="35"/>
  <c r="BT38" i="35"/>
  <c r="CF70" i="35"/>
  <c r="CG70" i="35" s="1"/>
  <c r="CJ70" i="35" s="1"/>
  <c r="CA108" i="35"/>
  <c r="CF108" i="35"/>
  <c r="CG108" i="35" s="1"/>
  <c r="DR108" i="35" s="1"/>
  <c r="DT108" i="35" s="1"/>
  <c r="DR153" i="35"/>
  <c r="CJ153" i="35"/>
  <c r="H153" i="19"/>
  <c r="CI153" i="35"/>
  <c r="J156" i="19"/>
  <c r="CK156" i="35"/>
  <c r="CJ147" i="35"/>
  <c r="H147" i="19"/>
  <c r="DR147" i="35"/>
  <c r="EW147" i="35"/>
  <c r="CI147" i="35"/>
  <c r="BT178" i="35"/>
  <c r="BT82" i="35"/>
  <c r="BT95" i="35"/>
  <c r="DT78" i="35"/>
  <c r="DV78" i="35"/>
  <c r="H133" i="19"/>
  <c r="CI133" i="35"/>
  <c r="CJ133" i="35"/>
  <c r="DR133" i="35"/>
  <c r="J121" i="19"/>
  <c r="CK121" i="35"/>
  <c r="CF17" i="35"/>
  <c r="CG17" i="35" s="1"/>
  <c r="CI17" i="35" s="1"/>
  <c r="CK54" i="35"/>
  <c r="CM54" i="35" s="1"/>
  <c r="CO54" i="35" s="1"/>
  <c r="CQ54" i="35" s="1"/>
  <c r="BR122" i="35"/>
  <c r="BR40" i="35"/>
  <c r="BR125" i="35"/>
  <c r="BR84" i="35"/>
  <c r="BR205" i="35"/>
  <c r="BR146" i="35"/>
  <c r="BR23" i="35"/>
  <c r="BR151" i="35"/>
  <c r="BR103" i="35"/>
  <c r="BR182" i="35"/>
  <c r="BR51" i="35"/>
  <c r="BR131" i="35"/>
  <c r="BR152" i="35"/>
  <c r="BR65" i="35"/>
  <c r="BR158" i="35"/>
  <c r="BR202" i="35"/>
  <c r="BR112" i="35"/>
  <c r="BR162" i="35"/>
  <c r="BR179" i="35"/>
  <c r="BR13" i="35"/>
  <c r="BR219" i="35"/>
  <c r="BR24" i="35"/>
  <c r="BR137" i="35"/>
  <c r="BR159" i="35"/>
  <c r="BR195" i="35"/>
  <c r="BL210" i="35"/>
  <c r="BN210" i="35" s="1"/>
  <c r="BP210" i="35" s="1"/>
  <c r="BL197" i="35"/>
  <c r="BN197" i="35" s="1"/>
  <c r="BP197" i="35" s="1"/>
  <c r="BL207" i="35"/>
  <c r="BN207" i="35" s="1"/>
  <c r="BP207" i="35" s="1"/>
  <c r="BL44" i="35"/>
  <c r="BN44" i="35" s="1"/>
  <c r="BP44" i="35" s="1"/>
  <c r="BL196" i="35"/>
  <c r="BN196" i="35" s="1"/>
  <c r="BP196" i="35" s="1"/>
  <c r="BL212" i="35"/>
  <c r="BN212" i="35" s="1"/>
  <c r="BP212" i="35" s="1"/>
  <c r="BL206" i="35"/>
  <c r="BN206" i="35" s="1"/>
  <c r="BP206" i="35" s="1"/>
  <c r="BL217" i="35"/>
  <c r="BN217" i="35" s="1"/>
  <c r="BP217" i="35" s="1"/>
  <c r="BL211" i="35"/>
  <c r="BN211" i="35" s="1"/>
  <c r="BP211" i="35" s="1"/>
  <c r="BJ190" i="35"/>
  <c r="BL190" i="35" s="1"/>
  <c r="BN190" i="35" s="1"/>
  <c r="BP190" i="35" s="1"/>
  <c r="BJ176" i="35"/>
  <c r="BL176" i="35" s="1"/>
  <c r="BN176" i="35" s="1"/>
  <c r="BP176" i="35" s="1"/>
  <c r="BJ143" i="35"/>
  <c r="BL143" i="35" s="1"/>
  <c r="BN143" i="35" s="1"/>
  <c r="BP143" i="35" s="1"/>
  <c r="BH192" i="35"/>
  <c r="BH191" i="35"/>
  <c r="BH166" i="35"/>
  <c r="BH171" i="35"/>
  <c r="BH189" i="35"/>
  <c r="BH174" i="35"/>
  <c r="BH177" i="35"/>
  <c r="BH185" i="35"/>
  <c r="BH165" i="35"/>
  <c r="BJ165" i="35" s="1"/>
  <c r="BH183" i="35"/>
  <c r="BH184" i="35"/>
  <c r="BH186" i="35"/>
  <c r="BF215" i="35"/>
  <c r="BF194" i="35"/>
  <c r="BF173" i="35"/>
  <c r="BH173" i="35" s="1"/>
  <c r="BJ173" i="35" s="1"/>
  <c r="BD221" i="35"/>
  <c r="BD220" i="35"/>
  <c r="BD216" i="35"/>
  <c r="BD213" i="35"/>
  <c r="BD203" i="35"/>
  <c r="BD201" i="35"/>
  <c r="BD198" i="35"/>
  <c r="BD218" i="35"/>
  <c r="BD222" i="35"/>
  <c r="BD214" i="35"/>
  <c r="BD199" i="35"/>
  <c r="BD209" i="35"/>
  <c r="BA200" i="35"/>
  <c r="BA204" i="35"/>
  <c r="BA236" i="35"/>
  <c r="BA252" i="35"/>
  <c r="BA208" i="35"/>
  <c r="BD208" i="35" s="1"/>
  <c r="BF208" i="35" s="1"/>
  <c r="BH208" i="35" s="1"/>
  <c r="BJ208" i="35" s="1"/>
  <c r="BA223" i="35"/>
  <c r="AZ229" i="35"/>
  <c r="AZ247" i="35"/>
  <c r="AZ249" i="35"/>
  <c r="AZ251" i="35"/>
  <c r="AZ230" i="35"/>
  <c r="AZ243" i="35"/>
  <c r="AZ253" i="35"/>
  <c r="AZ226" i="35"/>
  <c r="AZ240" i="35"/>
  <c r="AZ232" i="35"/>
  <c r="AZ227" i="35"/>
  <c r="AZ231" i="35"/>
  <c r="AZ224" i="35"/>
  <c r="AZ237" i="35"/>
  <c r="AZ235" i="35"/>
  <c r="AZ246" i="35"/>
  <c r="AZ245" i="35"/>
  <c r="AZ241" i="35"/>
  <c r="AZ244" i="35"/>
  <c r="AZ248" i="35"/>
  <c r="AX233" i="35"/>
  <c r="AX193" i="35"/>
  <c r="AZ193" i="35" s="1"/>
  <c r="AX225" i="35"/>
  <c r="AX239" i="35"/>
  <c r="DP230" i="35"/>
  <c r="AO314" i="35"/>
  <c r="AP314" i="35" s="1"/>
  <c r="AQ314" i="35" s="1"/>
  <c r="AO294" i="35"/>
  <c r="AP294" i="35" s="1"/>
  <c r="AQ294" i="35" s="1"/>
  <c r="AO300" i="35"/>
  <c r="AP300" i="35" s="1"/>
  <c r="AQ300" i="35" s="1"/>
  <c r="AO303" i="35"/>
  <c r="AP303" i="35" s="1"/>
  <c r="AQ303" i="35" s="1"/>
  <c r="AO304" i="35"/>
  <c r="AP304" i="35" s="1"/>
  <c r="AQ304" i="35" s="1"/>
  <c r="AO302" i="35"/>
  <c r="AP302" i="35" s="1"/>
  <c r="AQ302" i="35" s="1"/>
  <c r="AO293" i="35"/>
  <c r="AP293" i="35" s="1"/>
  <c r="AQ293" i="35" s="1"/>
  <c r="AO308" i="35"/>
  <c r="AP308" i="35" s="1"/>
  <c r="AQ308" i="35" s="1"/>
  <c r="AO310" i="35"/>
  <c r="AP310" i="35" s="1"/>
  <c r="AQ310" i="35" s="1"/>
  <c r="AO299" i="35"/>
  <c r="AP299" i="35" s="1"/>
  <c r="AQ299" i="35" s="1"/>
  <c r="AO311" i="35"/>
  <c r="AP311" i="35" s="1"/>
  <c r="AQ311" i="35" s="1"/>
  <c r="AO296" i="35"/>
  <c r="AP296" i="35" s="1"/>
  <c r="AQ296" i="35" s="1"/>
  <c r="AO286" i="35"/>
  <c r="AP286" i="35" s="1"/>
  <c r="AQ286" i="35" s="1"/>
  <c r="AO287" i="35"/>
  <c r="AP287" i="35" s="1"/>
  <c r="AQ287" i="35" s="1"/>
  <c r="AO312" i="35"/>
  <c r="AP312" i="35" s="1"/>
  <c r="AQ312" i="35" s="1"/>
  <c r="AO307" i="35"/>
  <c r="AP307" i="35" s="1"/>
  <c r="AQ307" i="35" s="1"/>
  <c r="AO298" i="35"/>
  <c r="AP298" i="35" s="1"/>
  <c r="AQ298" i="35" s="1"/>
  <c r="AO309" i="35"/>
  <c r="AP309" i="35" s="1"/>
  <c r="AQ309" i="35" s="1"/>
  <c r="AO291" i="35"/>
  <c r="AP291" i="35" s="1"/>
  <c r="AQ291" i="35" s="1"/>
  <c r="AO313" i="35"/>
  <c r="AP313" i="35" s="1"/>
  <c r="AQ313" i="35" s="1"/>
  <c r="AO305" i="35"/>
  <c r="AP305" i="35" s="1"/>
  <c r="AQ305" i="35" s="1"/>
  <c r="AO301" i="35"/>
  <c r="AP301" i="35" s="1"/>
  <c r="AQ301" i="35" s="1"/>
  <c r="AO288" i="35"/>
  <c r="AP288" i="35" s="1"/>
  <c r="AQ288" i="35" s="1"/>
  <c r="AO315" i="35"/>
  <c r="AP315" i="35" s="1"/>
  <c r="AQ315" i="35" s="1"/>
  <c r="AO289" i="35"/>
  <c r="AP289" i="35" s="1"/>
  <c r="AQ289" i="35" s="1"/>
  <c r="AO295" i="35"/>
  <c r="AP295" i="35" s="1"/>
  <c r="AQ295" i="35" s="1"/>
  <c r="AO306" i="35"/>
  <c r="AP306" i="35" s="1"/>
  <c r="AQ306" i="35" s="1"/>
  <c r="AO297" i="35"/>
  <c r="AP297" i="35" s="1"/>
  <c r="AQ297" i="35" s="1"/>
  <c r="AO290" i="35"/>
  <c r="AP290" i="35" s="1"/>
  <c r="AQ290" i="35" s="1"/>
  <c r="AO292" i="35"/>
  <c r="AP292" i="35" s="1"/>
  <c r="AQ292" i="35" s="1"/>
  <c r="DP231" i="35"/>
  <c r="AX254" i="35"/>
  <c r="AX234" i="35"/>
  <c r="AZ234" i="35" s="1"/>
  <c r="AX250" i="35"/>
  <c r="AX238" i="35"/>
  <c r="AZ238" i="35" s="1"/>
  <c r="AX242" i="35"/>
  <c r="AX228" i="35"/>
  <c r="DP246" i="35"/>
  <c r="AD359" i="35"/>
  <c r="AE359" i="35" s="1"/>
  <c r="AF359" i="35" s="1"/>
  <c r="AG359" i="35" s="1"/>
  <c r="AD360" i="35"/>
  <c r="AE360" i="35" s="1"/>
  <c r="AF360" i="35" s="1"/>
  <c r="AG360" i="35" s="1"/>
  <c r="AD367" i="35"/>
  <c r="AE367" i="35" s="1"/>
  <c r="AF367" i="35" s="1"/>
  <c r="AG367" i="35" s="1"/>
  <c r="AD357" i="35"/>
  <c r="AE357" i="35" s="1"/>
  <c r="AF357" i="35" s="1"/>
  <c r="AG357" i="35" s="1"/>
  <c r="AD362" i="35"/>
  <c r="AE362" i="35" s="1"/>
  <c r="AF362" i="35" s="1"/>
  <c r="AG362" i="35" s="1"/>
  <c r="AD356" i="35"/>
  <c r="AE356" i="35" s="1"/>
  <c r="AF356" i="35" s="1"/>
  <c r="AG356" i="35" s="1"/>
  <c r="AD350" i="35"/>
  <c r="AE350" i="35" s="1"/>
  <c r="AF350" i="35" s="1"/>
  <c r="AG350" i="35" s="1"/>
  <c r="AD376" i="35"/>
  <c r="AE376" i="35" s="1"/>
  <c r="AF376" i="35" s="1"/>
  <c r="AG376" i="35" s="1"/>
  <c r="AD368" i="35"/>
  <c r="AE368" i="35" s="1"/>
  <c r="AF368" i="35" s="1"/>
  <c r="AG368" i="35" s="1"/>
  <c r="AD354" i="35"/>
  <c r="AE354" i="35" s="1"/>
  <c r="AF354" i="35" s="1"/>
  <c r="AG354" i="35" s="1"/>
  <c r="AD352" i="35"/>
  <c r="AE352" i="35" s="1"/>
  <c r="AF352" i="35" s="1"/>
  <c r="AG352" i="35" s="1"/>
  <c r="AD370" i="35"/>
  <c r="AE370" i="35" s="1"/>
  <c r="AF370" i="35" s="1"/>
  <c r="AG370" i="35" s="1"/>
  <c r="AD364" i="35"/>
  <c r="AE364" i="35" s="1"/>
  <c r="AF364" i="35" s="1"/>
  <c r="AG364" i="35" s="1"/>
  <c r="AD349" i="35"/>
  <c r="AE349" i="35" s="1"/>
  <c r="AF349" i="35" s="1"/>
  <c r="AG349" i="35" s="1"/>
  <c r="AD358" i="35"/>
  <c r="AE358" i="35" s="1"/>
  <c r="AF358" i="35" s="1"/>
  <c r="AG358" i="35" s="1"/>
  <c r="AD374" i="35"/>
  <c r="AE374" i="35" s="1"/>
  <c r="AF374" i="35" s="1"/>
  <c r="AG374" i="35" s="1"/>
  <c r="AD366" i="35"/>
  <c r="AE366" i="35" s="1"/>
  <c r="AF366" i="35" s="1"/>
  <c r="AG366" i="35" s="1"/>
  <c r="AD351" i="35"/>
  <c r="AE351" i="35" s="1"/>
  <c r="AF351" i="35" s="1"/>
  <c r="AG351" i="35" s="1"/>
  <c r="AD369" i="35"/>
  <c r="AE369" i="35" s="1"/>
  <c r="AF369" i="35" s="1"/>
  <c r="AG369" i="35" s="1"/>
  <c r="AD363" i="35"/>
  <c r="AE363" i="35" s="1"/>
  <c r="AF363" i="35" s="1"/>
  <c r="AG363" i="35" s="1"/>
  <c r="AD372" i="35"/>
  <c r="AE372" i="35" s="1"/>
  <c r="AF372" i="35" s="1"/>
  <c r="AG372" i="35" s="1"/>
  <c r="AD353" i="35"/>
  <c r="AE353" i="35" s="1"/>
  <c r="AF353" i="35" s="1"/>
  <c r="AG353" i="35" s="1"/>
  <c r="AD371" i="35"/>
  <c r="AE371" i="35" s="1"/>
  <c r="AF371" i="35" s="1"/>
  <c r="AG371" i="35" s="1"/>
  <c r="AD365" i="35"/>
  <c r="AE365" i="35" s="1"/>
  <c r="AF365" i="35" s="1"/>
  <c r="AG365" i="35" s="1"/>
  <c r="AD373" i="35"/>
  <c r="AE373" i="35" s="1"/>
  <c r="AF373" i="35" s="1"/>
  <c r="AG373" i="35" s="1"/>
  <c r="AD361" i="35"/>
  <c r="AE361" i="35" s="1"/>
  <c r="AF361" i="35" s="1"/>
  <c r="AG361" i="35" s="1"/>
  <c r="AD355" i="35"/>
  <c r="AE355" i="35" s="1"/>
  <c r="AF355" i="35" s="1"/>
  <c r="AG355" i="35" s="1"/>
  <c r="AD375" i="35"/>
  <c r="AE375" i="35" s="1"/>
  <c r="AF375" i="35" s="1"/>
  <c r="AG375" i="35" s="1"/>
  <c r="AD377" i="35"/>
  <c r="AE377" i="35" s="1"/>
  <c r="AF377" i="35" s="1"/>
  <c r="AG377" i="35" s="1"/>
  <c r="AS281" i="35"/>
  <c r="DP240" i="35"/>
  <c r="DO249" i="35"/>
  <c r="DN249" i="35" s="1"/>
  <c r="DO251" i="35"/>
  <c r="DN251" i="35" s="1"/>
  <c r="DP229" i="35"/>
  <c r="DP244" i="35"/>
  <c r="DO237" i="35"/>
  <c r="DN237" i="35" s="1"/>
  <c r="DO227" i="35"/>
  <c r="DN227" i="35" s="1"/>
  <c r="DB255" i="35"/>
  <c r="DB281" i="35"/>
  <c r="DB275" i="35"/>
  <c r="DB258" i="35"/>
  <c r="DB269" i="35"/>
  <c r="DB272" i="35"/>
  <c r="DB263" i="35"/>
  <c r="DB283" i="35"/>
  <c r="DB277" i="35"/>
  <c r="DB273" i="35"/>
  <c r="DB282" i="35"/>
  <c r="DB260" i="35"/>
  <c r="DB276" i="35"/>
  <c r="DB270" i="35"/>
  <c r="DB264" i="35"/>
  <c r="DB259" i="35"/>
  <c r="DB266" i="35"/>
  <c r="DB261" i="35"/>
  <c r="DB262" i="35"/>
  <c r="DB274" i="35"/>
  <c r="DO224" i="35"/>
  <c r="DN224" i="35" s="1"/>
  <c r="DB265" i="35"/>
  <c r="DB278" i="35"/>
  <c r="DB279" i="35"/>
  <c r="DB280" i="35"/>
  <c r="DB257" i="35"/>
  <c r="DB256" i="35"/>
  <c r="DB271" i="35"/>
  <c r="DB267" i="35"/>
  <c r="DB284" i="35"/>
  <c r="DB268" i="35"/>
  <c r="AS284" i="35"/>
  <c r="DO248" i="35"/>
  <c r="DN248" i="35" s="1"/>
  <c r="DO236" i="35"/>
  <c r="DN236" i="35" s="1"/>
  <c r="AS266" i="35"/>
  <c r="AU262" i="35"/>
  <c r="AW262" i="35" s="1"/>
  <c r="DO235" i="35"/>
  <c r="DN235" i="35" s="1"/>
  <c r="AS282" i="35"/>
  <c r="AS263" i="35"/>
  <c r="DP226" i="35"/>
  <c r="AU255" i="35"/>
  <c r="AW255" i="35" s="1"/>
  <c r="AS264" i="35"/>
  <c r="DP245" i="35"/>
  <c r="AS268" i="35"/>
  <c r="AU270" i="35"/>
  <c r="AV270" i="35" s="1"/>
  <c r="DP270" i="35" s="1"/>
  <c r="AV254" i="35"/>
  <c r="DO254" i="35" s="1"/>
  <c r="DN254" i="35" s="1"/>
  <c r="AU268" i="35"/>
  <c r="AW268" i="35" s="1"/>
  <c r="AS270" i="35"/>
  <c r="DO241" i="35"/>
  <c r="DN241" i="35" s="1"/>
  <c r="DP232" i="35"/>
  <c r="DO243" i="35"/>
  <c r="DN243" i="35" s="1"/>
  <c r="DO252" i="35"/>
  <c r="DN252" i="35" s="1"/>
  <c r="AU263" i="35"/>
  <c r="AV263" i="35" s="1"/>
  <c r="AS255" i="35"/>
  <c r="AS256" i="35"/>
  <c r="AU281" i="35"/>
  <c r="AV281" i="35" s="1"/>
  <c r="DO281" i="35" s="1"/>
  <c r="DN281" i="35" s="1"/>
  <c r="DO253" i="35"/>
  <c r="DN253" i="35" s="1"/>
  <c r="DO247" i="35"/>
  <c r="DN247" i="35" s="1"/>
  <c r="AU261" i="35"/>
  <c r="AW261" i="35" s="1"/>
  <c r="AS261" i="35"/>
  <c r="AU266" i="35"/>
  <c r="AW266" i="35" s="1"/>
  <c r="AU267" i="35"/>
  <c r="AW267" i="35" s="1"/>
  <c r="AS262" i="35"/>
  <c r="AU284" i="35"/>
  <c r="AW284" i="35" s="1"/>
  <c r="AS267" i="35"/>
  <c r="AS280" i="35"/>
  <c r="AU280" i="35"/>
  <c r="AW280" i="35" s="1"/>
  <c r="AU276" i="35"/>
  <c r="AW276" i="35" s="1"/>
  <c r="AS271" i="35"/>
  <c r="AU260" i="35"/>
  <c r="AW260" i="35" s="1"/>
  <c r="AS276" i="35"/>
  <c r="AU271" i="35"/>
  <c r="AW271" i="35" s="1"/>
  <c r="AS260" i="35"/>
  <c r="AS269" i="35"/>
  <c r="AU264" i="35"/>
  <c r="AW264" i="35" s="1"/>
  <c r="AU269" i="35"/>
  <c r="AW269" i="35" s="1"/>
  <c r="AU258" i="35"/>
  <c r="AW258" i="35" s="1"/>
  <c r="AS258" i="35"/>
  <c r="AU282" i="35"/>
  <c r="AW282" i="35" s="1"/>
  <c r="AS277" i="35"/>
  <c r="AU277" i="35"/>
  <c r="AW277" i="35" s="1"/>
  <c r="AS265" i="35"/>
  <c r="AS279" i="35"/>
  <c r="AU259" i="35"/>
  <c r="AW259" i="35" s="1"/>
  <c r="AU278" i="35"/>
  <c r="AW278" i="35" s="1"/>
  <c r="AU265" i="35"/>
  <c r="AW265" i="35" s="1"/>
  <c r="AU279" i="35"/>
  <c r="AW279" i="35" s="1"/>
  <c r="AS259" i="35"/>
  <c r="AS278" i="35"/>
  <c r="AU283" i="35"/>
  <c r="AV283" i="35" s="1"/>
  <c r="AS283" i="35"/>
  <c r="AU256" i="35"/>
  <c r="AW256" i="35" s="1"/>
  <c r="AS273" i="35"/>
  <c r="AU273" i="35"/>
  <c r="AW273" i="35" s="1"/>
  <c r="AS257" i="35"/>
  <c r="AU257" i="35"/>
  <c r="AW257" i="35" s="1"/>
  <c r="AS275" i="35"/>
  <c r="AU275" i="35"/>
  <c r="AW275" i="35" s="1"/>
  <c r="AU272" i="35"/>
  <c r="AV272" i="35" s="1"/>
  <c r="AS272" i="35"/>
  <c r="AU274" i="35"/>
  <c r="AW274" i="35" s="1"/>
  <c r="AS274" i="35"/>
  <c r="AT285" i="35"/>
  <c r="AL316" i="35"/>
  <c r="B53" i="37"/>
  <c r="AN21" i="37"/>
  <c r="AJ342" i="35"/>
  <c r="AK342" i="35" s="1"/>
  <c r="AJ323" i="35"/>
  <c r="AK323" i="35" s="1"/>
  <c r="AJ317" i="35"/>
  <c r="AK317" i="35" s="1"/>
  <c r="AJ320" i="35"/>
  <c r="AK320" i="35" s="1"/>
  <c r="AJ331" i="35"/>
  <c r="AK331" i="35" s="1"/>
  <c r="AJ334" i="35"/>
  <c r="AK334" i="35" s="1"/>
  <c r="AJ327" i="35"/>
  <c r="AK327" i="35" s="1"/>
  <c r="AJ324" i="35"/>
  <c r="AK324" i="35" s="1"/>
  <c r="AJ339" i="35"/>
  <c r="AK339" i="35" s="1"/>
  <c r="AJ325" i="35"/>
  <c r="AK325" i="35" s="1"/>
  <c r="AJ322" i="35"/>
  <c r="AK322" i="35" s="1"/>
  <c r="AJ321" i="35"/>
  <c r="AK321" i="35" s="1"/>
  <c r="AJ329" i="35"/>
  <c r="AK329" i="35" s="1"/>
  <c r="AJ335" i="35"/>
  <c r="AK335" i="35" s="1"/>
  <c r="AH347" i="35"/>
  <c r="AI347" i="35" s="1"/>
  <c r="AJ333" i="35"/>
  <c r="AK333" i="35" s="1"/>
  <c r="AJ340" i="35"/>
  <c r="AK340" i="35" s="1"/>
  <c r="Y379" i="35"/>
  <c r="AJ345" i="35"/>
  <c r="AK345" i="35" s="1"/>
  <c r="AF348" i="35"/>
  <c r="AG348" i="35" s="1"/>
  <c r="AJ346" i="35"/>
  <c r="AK346" i="35" s="1"/>
  <c r="AJ344" i="35"/>
  <c r="AK344" i="35" s="1"/>
  <c r="AJ336" i="35"/>
  <c r="AK336" i="35" s="1"/>
  <c r="AJ337" i="35"/>
  <c r="AK337" i="35" s="1"/>
  <c r="AJ341" i="35"/>
  <c r="AK341" i="35" s="1"/>
  <c r="AJ326" i="35"/>
  <c r="AK326" i="35" s="1"/>
  <c r="AJ318" i="35"/>
  <c r="AK318" i="35" s="1"/>
  <c r="AJ330" i="35"/>
  <c r="AK330" i="35" s="1"/>
  <c r="AJ319" i="35"/>
  <c r="AK319" i="35" s="1"/>
  <c r="AJ328" i="35"/>
  <c r="AK328" i="35" s="1"/>
  <c r="AJ343" i="35"/>
  <c r="AK343" i="35" s="1"/>
  <c r="AJ338" i="35"/>
  <c r="AK338" i="35" s="1"/>
  <c r="AJ332" i="35"/>
  <c r="AK332" i="35" s="1"/>
  <c r="L2" i="24"/>
  <c r="Y20" i="24"/>
  <c r="AA20" i="24"/>
  <c r="W18" i="24" s="1"/>
  <c r="W19" i="24" s="1"/>
  <c r="W20" i="24" s="1"/>
  <c r="W21" i="24" s="1"/>
  <c r="W22" i="24" s="1"/>
  <c r="W23" i="24" s="1"/>
  <c r="W24" i="24" s="1"/>
  <c r="W25" i="24" s="1"/>
  <c r="W26" i="24" s="1"/>
  <c r="W27" i="24" s="1"/>
  <c r="W28" i="24" s="1"/>
  <c r="W29" i="24" s="1"/>
  <c r="W30" i="24" s="1"/>
  <c r="W31" i="24" s="1"/>
  <c r="W32" i="24" s="1"/>
  <c r="W33" i="24" s="1"/>
  <c r="W34" i="24" s="1"/>
  <c r="W35" i="24" s="1"/>
  <c r="W36" i="24" s="1"/>
  <c r="W37" i="24" s="1"/>
  <c r="W38" i="24" s="1"/>
  <c r="W39" i="24" s="1"/>
  <c r="W40" i="24" s="1"/>
  <c r="W41" i="24" s="1"/>
  <c r="W42" i="24" s="1"/>
  <c r="W43" i="24" s="1"/>
  <c r="W44" i="24" s="1"/>
  <c r="W45" i="24" s="1"/>
  <c r="W46" i="24" s="1"/>
  <c r="W47" i="24" s="1"/>
  <c r="W48" i="24" s="1"/>
  <c r="W49" i="24" s="1"/>
  <c r="W50" i="24" s="1"/>
  <c r="W51" i="24" s="1"/>
  <c r="W52" i="24" s="1"/>
  <c r="W53" i="24" s="1"/>
  <c r="W54" i="24" s="1"/>
  <c r="W55" i="24" s="1"/>
  <c r="W56" i="24" s="1"/>
  <c r="W57" i="24" s="1"/>
  <c r="W58" i="24" s="1"/>
  <c r="W59" i="24" s="1"/>
  <c r="W60" i="24" s="1"/>
  <c r="W61" i="24" s="1"/>
  <c r="W62" i="24" s="1"/>
  <c r="W63" i="24" s="1"/>
  <c r="W64" i="24" s="1"/>
  <c r="W65" i="24" s="1"/>
  <c r="W66" i="24" s="1"/>
  <c r="W67" i="24" s="1"/>
  <c r="W68" i="24" s="1"/>
  <c r="W69" i="24" s="1"/>
  <c r="W70" i="24" s="1"/>
  <c r="W71" i="24" s="1"/>
  <c r="W72" i="24" s="1"/>
  <c r="I98" i="19" l="1"/>
  <c r="H104" i="19"/>
  <c r="CI132" i="35"/>
  <c r="DR132" i="35"/>
  <c r="DV132" i="35" s="1"/>
  <c r="CI92" i="35"/>
  <c r="DR92" i="35"/>
  <c r="DT92" i="35" s="1"/>
  <c r="GH75" i="35"/>
  <c r="GV75" i="35" s="1"/>
  <c r="HD75" i="35" s="1"/>
  <c r="I22" i="19"/>
  <c r="I154" i="19"/>
  <c r="H77" i="19"/>
  <c r="CI81" i="35"/>
  <c r="I81" i="19" s="1"/>
  <c r="CH83" i="35"/>
  <c r="J83" i="19" s="1"/>
  <c r="DR81" i="35"/>
  <c r="DT81" i="35" s="1"/>
  <c r="CI77" i="35"/>
  <c r="I77" i="19" s="1"/>
  <c r="DR77" i="35"/>
  <c r="DV77" i="35" s="1"/>
  <c r="H81" i="19"/>
  <c r="I138" i="19"/>
  <c r="CH111" i="35"/>
  <c r="J111" i="19" s="1"/>
  <c r="DT53" i="35"/>
  <c r="DV85" i="35"/>
  <c r="CK105" i="35"/>
  <c r="GH105" i="35" s="1"/>
  <c r="GV105" i="35" s="1"/>
  <c r="HD105" i="35" s="1"/>
  <c r="HG105" i="35" s="1"/>
  <c r="I111" i="19"/>
  <c r="CI148" i="35"/>
  <c r="DR148" i="35"/>
  <c r="DT62" i="35"/>
  <c r="CJ148" i="35"/>
  <c r="DV36" i="35"/>
  <c r="H72" i="19"/>
  <c r="DV150" i="35"/>
  <c r="DT22" i="35"/>
  <c r="FN75" i="35"/>
  <c r="I87" i="19"/>
  <c r="CM75" i="35"/>
  <c r="CO75" i="35" s="1"/>
  <c r="H45" i="19"/>
  <c r="EW132" i="35"/>
  <c r="CJ92" i="35"/>
  <c r="I92" i="19" s="1"/>
  <c r="DR145" i="35"/>
  <c r="DT145" i="35" s="1"/>
  <c r="DT114" i="35"/>
  <c r="DC87" i="35"/>
  <c r="CJ36" i="35"/>
  <c r="CJ132" i="35"/>
  <c r="CK132" i="35" s="1"/>
  <c r="GH132" i="35" s="1"/>
  <c r="GV132" i="35" s="1"/>
  <c r="HD132" i="35" s="1"/>
  <c r="HH132" i="35" s="1"/>
  <c r="CH114" i="35"/>
  <c r="J114" i="19" s="1"/>
  <c r="DR149" i="35"/>
  <c r="DT149" i="35" s="1"/>
  <c r="CJ104" i="35"/>
  <c r="I104" i="19" s="1"/>
  <c r="CJ145" i="35"/>
  <c r="I145" i="19" s="1"/>
  <c r="DR45" i="35"/>
  <c r="CI45" i="35"/>
  <c r="I45" i="19" s="1"/>
  <c r="CJ90" i="35"/>
  <c r="I8" i="19"/>
  <c r="I53" i="19"/>
  <c r="DV104" i="35"/>
  <c r="DV123" i="35"/>
  <c r="CI20" i="35"/>
  <c r="CK20" i="35" s="1"/>
  <c r="CS20" i="35" s="1"/>
  <c r="H117" i="19"/>
  <c r="DV107" i="35"/>
  <c r="H20" i="19"/>
  <c r="DT83" i="35"/>
  <c r="I123" i="19"/>
  <c r="CI36" i="35"/>
  <c r="EW32" i="35"/>
  <c r="CA145" i="35"/>
  <c r="DC145" i="35" s="1"/>
  <c r="CI149" i="35"/>
  <c r="H32" i="19"/>
  <c r="H145" i="19"/>
  <c r="CJ32" i="35"/>
  <c r="CK32" i="35" s="1"/>
  <c r="FN32" i="35" s="1"/>
  <c r="CJ149" i="35"/>
  <c r="DV9" i="35"/>
  <c r="DV98" i="35"/>
  <c r="EW145" i="35"/>
  <c r="DR32" i="35"/>
  <c r="DT32" i="35" s="1"/>
  <c r="DC67" i="35"/>
  <c r="DR11" i="35"/>
  <c r="DT11" i="35" s="1"/>
  <c r="CH98" i="35"/>
  <c r="I114" i="19"/>
  <c r="DT138" i="35"/>
  <c r="CH160" i="35"/>
  <c r="J160" i="19" s="1"/>
  <c r="CF101" i="35"/>
  <c r="CG101" i="35" s="1"/>
  <c r="H101" i="19" s="1"/>
  <c r="H64" i="19"/>
  <c r="CK142" i="35"/>
  <c r="CS142" i="35" s="1"/>
  <c r="CF140" i="35"/>
  <c r="CG140" i="35" s="1"/>
  <c r="DR140" i="35" s="1"/>
  <c r="H36" i="19"/>
  <c r="K62" i="19"/>
  <c r="GH62" i="35"/>
  <c r="GV62" i="35" s="1"/>
  <c r="HD62" i="35" s="1"/>
  <c r="HH62" i="35" s="1"/>
  <c r="CS62" i="35"/>
  <c r="CT62" i="35" s="1"/>
  <c r="S62" i="19" s="1"/>
  <c r="CX62" i="35"/>
  <c r="W62" i="19" s="1"/>
  <c r="CZ62" i="35"/>
  <c r="Y62" i="19" s="1"/>
  <c r="I105" i="19"/>
  <c r="H25" i="19"/>
  <c r="DR25" i="35"/>
  <c r="CJ25" i="35"/>
  <c r="CI25" i="35"/>
  <c r="CJ71" i="35"/>
  <c r="I67" i="19"/>
  <c r="CI71" i="35"/>
  <c r="H71" i="19"/>
  <c r="CI35" i="35"/>
  <c r="H90" i="19"/>
  <c r="CI90" i="35"/>
  <c r="DR35" i="35"/>
  <c r="DV35" i="35" s="1"/>
  <c r="CA149" i="35"/>
  <c r="I62" i="19"/>
  <c r="DR20" i="35"/>
  <c r="DV20" i="35" s="1"/>
  <c r="CH22" i="35"/>
  <c r="J22" i="19" s="1"/>
  <c r="DC22" i="35"/>
  <c r="CJ35" i="35"/>
  <c r="CH101" i="35"/>
  <c r="J101" i="19" s="1"/>
  <c r="DC101" i="35"/>
  <c r="DC130" i="35"/>
  <c r="CH130" i="35"/>
  <c r="J130" i="19" s="1"/>
  <c r="DC140" i="35"/>
  <c r="CH140" i="35"/>
  <c r="J140" i="19" s="1"/>
  <c r="DV90" i="35"/>
  <c r="CK56" i="35"/>
  <c r="CM56" i="35" s="1"/>
  <c r="M56" i="19" s="1"/>
  <c r="CI72" i="35"/>
  <c r="CF130" i="35"/>
  <c r="CG130" i="35" s="1"/>
  <c r="DV105" i="35"/>
  <c r="DT105" i="35"/>
  <c r="DC96" i="35"/>
  <c r="CH96" i="35"/>
  <c r="J96" i="19" s="1"/>
  <c r="I41" i="19"/>
  <c r="CK41" i="35"/>
  <c r="BY12" i="35"/>
  <c r="BZ12" i="35" s="1"/>
  <c r="CA12" i="35" s="1"/>
  <c r="BY99" i="35"/>
  <c r="BZ99" i="35" s="1"/>
  <c r="CA99" i="35" s="1"/>
  <c r="CH99" i="35" s="1"/>
  <c r="J99" i="19" s="1"/>
  <c r="CF139" i="35"/>
  <c r="CG139" i="35" s="1"/>
  <c r="CA73" i="35"/>
  <c r="BY113" i="35"/>
  <c r="BZ113" i="35" s="1"/>
  <c r="CA113" i="35" s="1"/>
  <c r="CH113" i="35" s="1"/>
  <c r="J113" i="19" s="1"/>
  <c r="CM62" i="35"/>
  <c r="GJ62" i="35" s="1"/>
  <c r="GX62" i="35" s="1"/>
  <c r="CF136" i="35"/>
  <c r="CG136" i="35" s="1"/>
  <c r="DC8" i="35"/>
  <c r="CH8" i="35"/>
  <c r="J8" i="19" s="1"/>
  <c r="CZ39" i="35"/>
  <c r="Y39" i="19" s="1"/>
  <c r="H106" i="19"/>
  <c r="CI106" i="35"/>
  <c r="DR106" i="35"/>
  <c r="CJ106" i="35"/>
  <c r="DC150" i="35"/>
  <c r="CH150" i="35"/>
  <c r="CY105" i="35"/>
  <c r="X105" i="19" s="1"/>
  <c r="BY58" i="35"/>
  <c r="BZ58" i="35" s="1"/>
  <c r="CF58" i="35" s="1"/>
  <c r="CG58" i="35" s="1"/>
  <c r="CJ58" i="35" s="1"/>
  <c r="DT154" i="35"/>
  <c r="DA62" i="35"/>
  <c r="Z62" i="19" s="1"/>
  <c r="CJ72" i="35"/>
  <c r="CH9" i="35"/>
  <c r="J9" i="19" s="1"/>
  <c r="DC9" i="35"/>
  <c r="DR88" i="35"/>
  <c r="CJ88" i="35"/>
  <c r="H88" i="19"/>
  <c r="CI88" i="35"/>
  <c r="CI74" i="35"/>
  <c r="H74" i="19"/>
  <c r="DR74" i="35"/>
  <c r="CJ74" i="35"/>
  <c r="CA157" i="35"/>
  <c r="CI79" i="35"/>
  <c r="CJ79" i="35"/>
  <c r="H79" i="19"/>
  <c r="DR79" i="35"/>
  <c r="GH39" i="35"/>
  <c r="GV39" i="35" s="1"/>
  <c r="HD39" i="35" s="1"/>
  <c r="HE39" i="35" s="1"/>
  <c r="DT64" i="35"/>
  <c r="BY27" i="35"/>
  <c r="BZ27" i="35" s="1"/>
  <c r="CF27" i="35" s="1"/>
  <c r="CG27" i="35" s="1"/>
  <c r="CH107" i="35"/>
  <c r="J107" i="19" s="1"/>
  <c r="DC107" i="35"/>
  <c r="CY62" i="35"/>
  <c r="X62" i="19" s="1"/>
  <c r="DT111" i="35"/>
  <c r="CI11" i="35"/>
  <c r="CJ11" i="35"/>
  <c r="DC85" i="35"/>
  <c r="CH85" i="35"/>
  <c r="HE105" i="35"/>
  <c r="I33" i="19"/>
  <c r="H11" i="19"/>
  <c r="CA148" i="35"/>
  <c r="DR63" i="35"/>
  <c r="CI63" i="35"/>
  <c r="H63" i="19"/>
  <c r="CJ63" i="35"/>
  <c r="DV41" i="35"/>
  <c r="DT41" i="35"/>
  <c r="I83" i="19"/>
  <c r="BY127" i="35"/>
  <c r="BZ127" i="35" s="1"/>
  <c r="CF127" i="35" s="1"/>
  <c r="CG127" i="35" s="1"/>
  <c r="BY10" i="35"/>
  <c r="BZ10" i="35" s="1"/>
  <c r="CA10" i="35" s="1"/>
  <c r="FN39" i="35"/>
  <c r="FV39" i="35" s="1"/>
  <c r="FW39" i="35" s="1"/>
  <c r="FZ39" i="35" s="1"/>
  <c r="GB39" i="35" s="1"/>
  <c r="DA39" i="35"/>
  <c r="Z39" i="19" s="1"/>
  <c r="DC123" i="35"/>
  <c r="CH123" i="35"/>
  <c r="J123" i="19" s="1"/>
  <c r="DT77" i="35"/>
  <c r="BY116" i="35"/>
  <c r="BZ116" i="35" s="1"/>
  <c r="CF116" i="35" s="1"/>
  <c r="CG116" i="35" s="1"/>
  <c r="CJ116" i="35" s="1"/>
  <c r="FN62" i="35"/>
  <c r="FP62" i="35" s="1"/>
  <c r="FR62" i="35" s="1"/>
  <c r="FT62" i="35" s="1"/>
  <c r="BY118" i="35"/>
  <c r="BZ118" i="35" s="1"/>
  <c r="CA118" i="35" s="1"/>
  <c r="BY155" i="35"/>
  <c r="BZ155" i="35" s="1"/>
  <c r="CA155" i="35" s="1"/>
  <c r="CH155" i="35" s="1"/>
  <c r="BY37" i="35"/>
  <c r="BZ37" i="35" s="1"/>
  <c r="CA37" i="35" s="1"/>
  <c r="DC37" i="35" s="1"/>
  <c r="CF160" i="35"/>
  <c r="CG160" i="35" s="1"/>
  <c r="CF15" i="35"/>
  <c r="CG15" i="35" s="1"/>
  <c r="CA15" i="35"/>
  <c r="DV117" i="35"/>
  <c r="DT87" i="35"/>
  <c r="DV87" i="35"/>
  <c r="CK33" i="35"/>
  <c r="CZ33" i="35" s="1"/>
  <c r="Y33" i="19" s="1"/>
  <c r="I142" i="19"/>
  <c r="DV33" i="35"/>
  <c r="K39" i="19"/>
  <c r="CK114" i="35"/>
  <c r="DA114" i="35" s="1"/>
  <c r="Z114" i="19" s="1"/>
  <c r="DA105" i="35"/>
  <c r="Z105" i="19" s="1"/>
  <c r="CK45" i="35"/>
  <c r="K45" i="19" s="1"/>
  <c r="CM39" i="35"/>
  <c r="M39" i="19" s="1"/>
  <c r="CK81" i="35"/>
  <c r="FN81" i="35" s="1"/>
  <c r="FP81" i="35" s="1"/>
  <c r="FR81" i="35" s="1"/>
  <c r="FT81" i="35" s="1"/>
  <c r="CK111" i="35"/>
  <c r="DA111" i="35" s="1"/>
  <c r="Z111" i="19" s="1"/>
  <c r="EW157" i="35"/>
  <c r="DT132" i="35"/>
  <c r="CK87" i="35"/>
  <c r="CM87" i="35" s="1"/>
  <c r="GJ87" i="35" s="1"/>
  <c r="GX87" i="35" s="1"/>
  <c r="CX39" i="35"/>
  <c r="W39" i="19" s="1"/>
  <c r="CI73" i="35"/>
  <c r="DR73" i="35"/>
  <c r="CJ73" i="35"/>
  <c r="DV141" i="35"/>
  <c r="H157" i="19"/>
  <c r="CK53" i="35"/>
  <c r="K53" i="19" s="1"/>
  <c r="CK138" i="35"/>
  <c r="CM138" i="35" s="1"/>
  <c r="CJ157" i="35"/>
  <c r="I157" i="19" s="1"/>
  <c r="DR157" i="35"/>
  <c r="DV157" i="35" s="1"/>
  <c r="CH139" i="35"/>
  <c r="J139" i="19" s="1"/>
  <c r="CK67" i="35"/>
  <c r="GH67" i="35" s="1"/>
  <c r="GV67" i="35" s="1"/>
  <c r="HD67" i="35" s="1"/>
  <c r="CK117" i="35"/>
  <c r="CX117" i="35" s="1"/>
  <c r="W117" i="19" s="1"/>
  <c r="CS39" i="35"/>
  <c r="CY75" i="35"/>
  <c r="X75" i="19" s="1"/>
  <c r="K75" i="19"/>
  <c r="I20" i="19"/>
  <c r="CX75" i="35"/>
  <c r="W75" i="19" s="1"/>
  <c r="DA75" i="35"/>
  <c r="Z75" i="19" s="1"/>
  <c r="CK109" i="35"/>
  <c r="K109" i="19" s="1"/>
  <c r="DA126" i="35"/>
  <c r="Z126" i="19" s="1"/>
  <c r="K126" i="19"/>
  <c r="BW91" i="35"/>
  <c r="BW169" i="35"/>
  <c r="CH136" i="35"/>
  <c r="J136" i="19" s="1"/>
  <c r="DC136" i="35"/>
  <c r="BW19" i="35"/>
  <c r="BW49" i="35"/>
  <c r="BW28" i="35"/>
  <c r="BW115" i="35"/>
  <c r="BW93" i="35"/>
  <c r="DT72" i="35"/>
  <c r="DV72" i="35"/>
  <c r="BW170" i="35"/>
  <c r="BW38" i="35"/>
  <c r="BW120" i="35"/>
  <c r="BW42" i="35"/>
  <c r="BW119" i="35"/>
  <c r="BW46" i="35"/>
  <c r="BW102" i="35"/>
  <c r="CS126" i="35"/>
  <c r="CT126" i="35" s="1"/>
  <c r="GQ126" i="35" s="1"/>
  <c r="GH126" i="35"/>
  <c r="GV126" i="35" s="1"/>
  <c r="HD126" i="35" s="1"/>
  <c r="HG126" i="35" s="1"/>
  <c r="CK154" i="35"/>
  <c r="DA154" i="35" s="1"/>
  <c r="Z154" i="19" s="1"/>
  <c r="BW69" i="35"/>
  <c r="BW94" i="35"/>
  <c r="BW80" i="35"/>
  <c r="BW95" i="35"/>
  <c r="BW68" i="35"/>
  <c r="BW180" i="35"/>
  <c r="BW55" i="35"/>
  <c r="BW82" i="35"/>
  <c r="BW187" i="35"/>
  <c r="BW16" i="35"/>
  <c r="CZ126" i="35"/>
  <c r="Y126" i="19" s="1"/>
  <c r="CM126" i="35"/>
  <c r="CO126" i="35" s="1"/>
  <c r="O126" i="19" s="1"/>
  <c r="I56" i="19"/>
  <c r="I96" i="19"/>
  <c r="BW52" i="35"/>
  <c r="DT71" i="35"/>
  <c r="DV71" i="35"/>
  <c r="BW164" i="35"/>
  <c r="BW168" i="35"/>
  <c r="BW26" i="35"/>
  <c r="BW178" i="35"/>
  <c r="BW128" i="35"/>
  <c r="BW21" i="35"/>
  <c r="BW134" i="35"/>
  <c r="BW188" i="35"/>
  <c r="DT96" i="35"/>
  <c r="DV96" i="35"/>
  <c r="BW50" i="35"/>
  <c r="BW61" i="35"/>
  <c r="FN126" i="35"/>
  <c r="FV126" i="35" s="1"/>
  <c r="FX126" i="35" s="1"/>
  <c r="CK64" i="35"/>
  <c r="DC141" i="35"/>
  <c r="DT129" i="35"/>
  <c r="I109" i="19"/>
  <c r="CX126" i="35"/>
  <c r="W126" i="19" s="1"/>
  <c r="CK129" i="35"/>
  <c r="CZ129" i="35" s="1"/>
  <c r="Y129" i="19" s="1"/>
  <c r="I141" i="19"/>
  <c r="DV109" i="35"/>
  <c r="DT109" i="35"/>
  <c r="CA66" i="35"/>
  <c r="CF110" i="35"/>
  <c r="CG110" i="35" s="1"/>
  <c r="CF161" i="35"/>
  <c r="CG161" i="35" s="1"/>
  <c r="CA172" i="35"/>
  <c r="DC172" i="35" s="1"/>
  <c r="DA47" i="35"/>
  <c r="Z47" i="19" s="1"/>
  <c r="CY47" i="35"/>
  <c r="X47" i="19" s="1"/>
  <c r="CS47" i="35"/>
  <c r="GP47" i="35" s="1"/>
  <c r="CM47" i="35"/>
  <c r="GJ47" i="35" s="1"/>
  <c r="GX47" i="35" s="1"/>
  <c r="GH47" i="35"/>
  <c r="GV47" i="35" s="1"/>
  <c r="HD47" i="35" s="1"/>
  <c r="HF47" i="35" s="1"/>
  <c r="CZ47" i="35"/>
  <c r="Y47" i="19" s="1"/>
  <c r="FN47" i="35"/>
  <c r="FP47" i="35" s="1"/>
  <c r="FR47" i="35" s="1"/>
  <c r="FT47" i="35" s="1"/>
  <c r="K47" i="19"/>
  <c r="CK135" i="35"/>
  <c r="CM135" i="35" s="1"/>
  <c r="GJ135" i="35" s="1"/>
  <c r="GX135" i="35" s="1"/>
  <c r="DV135" i="35"/>
  <c r="CA163" i="35"/>
  <c r="DC163" i="35" s="1"/>
  <c r="CF163" i="35"/>
  <c r="CG163" i="35" s="1"/>
  <c r="CJ163" i="35" s="1"/>
  <c r="BT84" i="35"/>
  <c r="BW84" i="35" s="1"/>
  <c r="BY84" i="35" s="1"/>
  <c r="BZ84" i="35" s="1"/>
  <c r="BT205" i="35"/>
  <c r="BW205" i="35" s="1"/>
  <c r="BY205" i="35" s="1"/>
  <c r="BZ205" i="35" s="1"/>
  <c r="GN97" i="35"/>
  <c r="HJ97" i="35" s="1"/>
  <c r="BT162" i="35"/>
  <c r="BW162" i="35" s="1"/>
  <c r="BY162" i="35" s="1"/>
  <c r="BZ162" i="35" s="1"/>
  <c r="CK144" i="35"/>
  <c r="GH144" i="35" s="1"/>
  <c r="GV144" i="35" s="1"/>
  <c r="HD144" i="35" s="1"/>
  <c r="CZ30" i="35"/>
  <c r="Y30" i="19" s="1"/>
  <c r="CX30" i="35"/>
  <c r="W30" i="19" s="1"/>
  <c r="DT144" i="35"/>
  <c r="GT97" i="35"/>
  <c r="I144" i="19"/>
  <c r="CO30" i="35"/>
  <c r="M30" i="19"/>
  <c r="GJ30" i="35"/>
  <c r="GX30" i="35" s="1"/>
  <c r="CA34" i="35"/>
  <c r="DC34" i="35" s="1"/>
  <c r="CY30" i="35"/>
  <c r="X30" i="19" s="1"/>
  <c r="GH30" i="35"/>
  <c r="GV30" i="35" s="1"/>
  <c r="HD30" i="35" s="1"/>
  <c r="HE30" i="35" s="1"/>
  <c r="FN30" i="35"/>
  <c r="FV30" i="35" s="1"/>
  <c r="FX30" i="35" s="1"/>
  <c r="DV149" i="35"/>
  <c r="GS97" i="35"/>
  <c r="CF167" i="35"/>
  <c r="CG167" i="35" s="1"/>
  <c r="H167" i="19" s="1"/>
  <c r="GQ97" i="35"/>
  <c r="CS30" i="35"/>
  <c r="K30" i="19"/>
  <c r="DA30" i="35"/>
  <c r="Z30" i="19" s="1"/>
  <c r="EW108" i="35"/>
  <c r="DV108" i="35"/>
  <c r="CF7" i="35"/>
  <c r="CG7" i="35" s="1"/>
  <c r="CI108" i="35"/>
  <c r="CF57" i="35"/>
  <c r="CG57" i="35" s="1"/>
  <c r="CI57" i="35" s="1"/>
  <c r="H60" i="19"/>
  <c r="FP59" i="35"/>
  <c r="FR59" i="35" s="1"/>
  <c r="FT59" i="35" s="1"/>
  <c r="FV59" i="35"/>
  <c r="HF86" i="35"/>
  <c r="HH86" i="35"/>
  <c r="HG86" i="35"/>
  <c r="HE86" i="35"/>
  <c r="CW86" i="35"/>
  <c r="GP86" i="35"/>
  <c r="CU86" i="35"/>
  <c r="CV86" i="35"/>
  <c r="R86" i="19"/>
  <c r="CT86" i="35"/>
  <c r="CO59" i="35"/>
  <c r="M59" i="19"/>
  <c r="GJ59" i="35"/>
  <c r="GX59" i="35" s="1"/>
  <c r="DR60" i="35"/>
  <c r="DV60" i="35" s="1"/>
  <c r="M86" i="19"/>
  <c r="CO86" i="35"/>
  <c r="GJ86" i="35"/>
  <c r="GX86" i="35" s="1"/>
  <c r="HG59" i="35"/>
  <c r="HH59" i="35"/>
  <c r="HF59" i="35"/>
  <c r="HE59" i="35"/>
  <c r="FP86" i="35"/>
  <c r="FR86" i="35" s="1"/>
  <c r="FT86" i="35" s="1"/>
  <c r="FV86" i="35"/>
  <c r="GQ59" i="35"/>
  <c r="S59" i="19"/>
  <c r="U59" i="19"/>
  <c r="GS59" i="35"/>
  <c r="T59" i="19"/>
  <c r="GR59" i="35"/>
  <c r="V59" i="19"/>
  <c r="GT59" i="35"/>
  <c r="CH57" i="35"/>
  <c r="J57" i="19" s="1"/>
  <c r="DC57" i="35"/>
  <c r="DC167" i="35"/>
  <c r="CH167" i="35"/>
  <c r="J167" i="19" s="1"/>
  <c r="CZ124" i="35"/>
  <c r="Y124" i="19" s="1"/>
  <c r="I149" i="19"/>
  <c r="CS124" i="35"/>
  <c r="CX124" i="35"/>
  <c r="W124" i="19" s="1"/>
  <c r="I153" i="19"/>
  <c r="GH124" i="35"/>
  <c r="GV124" i="35" s="1"/>
  <c r="HD124" i="35" s="1"/>
  <c r="CY124" i="35"/>
  <c r="X124" i="19" s="1"/>
  <c r="K124" i="19"/>
  <c r="I133" i="19"/>
  <c r="I100" i="19"/>
  <c r="CK147" i="35"/>
  <c r="CS147" i="35" s="1"/>
  <c r="CM124" i="35"/>
  <c r="CO124" i="35" s="1"/>
  <c r="CQ124" i="35" s="1"/>
  <c r="Q124" i="19" s="1"/>
  <c r="AC124" i="19" s="1"/>
  <c r="CI60" i="35"/>
  <c r="I60" i="19" s="1"/>
  <c r="FN124" i="35"/>
  <c r="FV124" i="35" s="1"/>
  <c r="FX124" i="35" s="1"/>
  <c r="CA29" i="35"/>
  <c r="CF29" i="35"/>
  <c r="CG29" i="35" s="1"/>
  <c r="CI29" i="35" s="1"/>
  <c r="BT103" i="35"/>
  <c r="BW103" i="35" s="1"/>
  <c r="BY103" i="35" s="1"/>
  <c r="BZ103" i="35" s="1"/>
  <c r="BT65" i="35"/>
  <c r="CF175" i="35"/>
  <c r="CG175" i="35" s="1"/>
  <c r="CA175" i="35"/>
  <c r="J133" i="19"/>
  <c r="CK133" i="35"/>
  <c r="GP31" i="35"/>
  <c r="CW31" i="35"/>
  <c r="R31" i="19"/>
  <c r="CT31" i="35"/>
  <c r="CU31" i="35"/>
  <c r="CV31" i="35"/>
  <c r="BT152" i="35"/>
  <c r="BT131" i="35"/>
  <c r="BW131" i="35" s="1"/>
  <c r="BY131" i="35" s="1"/>
  <c r="BZ131" i="35" s="1"/>
  <c r="BT146" i="35"/>
  <c r="BT125" i="35"/>
  <c r="CA181" i="35"/>
  <c r="CF181" i="35"/>
  <c r="CG181" i="35" s="1"/>
  <c r="HG31" i="35"/>
  <c r="HH31" i="35"/>
  <c r="HF31" i="35"/>
  <c r="HE31" i="35"/>
  <c r="CF43" i="35"/>
  <c r="CG43" i="35" s="1"/>
  <c r="CJ43" i="35" s="1"/>
  <c r="CA43" i="35"/>
  <c r="DV100" i="35"/>
  <c r="DT100" i="35"/>
  <c r="FV31" i="35"/>
  <c r="FP31" i="35"/>
  <c r="FR31" i="35" s="1"/>
  <c r="FT31" i="35" s="1"/>
  <c r="GL54" i="35"/>
  <c r="GZ54" i="35" s="1"/>
  <c r="HB54" i="35" s="1"/>
  <c r="H108" i="19"/>
  <c r="BT51" i="35"/>
  <c r="BW51" i="35" s="1"/>
  <c r="BY51" i="35" s="1"/>
  <c r="BZ51" i="35" s="1"/>
  <c r="CK153" i="35"/>
  <c r="CM18" i="35"/>
  <c r="CS18" i="35"/>
  <c r="K18" i="19"/>
  <c r="GH18" i="35"/>
  <c r="GV18" i="35" s="1"/>
  <c r="HD18" i="35" s="1"/>
  <c r="CZ18" i="35"/>
  <c r="Y18" i="19" s="1"/>
  <c r="DA18" i="35"/>
  <c r="Z18" i="19" s="1"/>
  <c r="CX18" i="35"/>
  <c r="W18" i="19" s="1"/>
  <c r="CY18" i="35"/>
  <c r="X18" i="19" s="1"/>
  <c r="FN18" i="35"/>
  <c r="CX48" i="35"/>
  <c r="W48" i="19" s="1"/>
  <c r="K48" i="19"/>
  <c r="DA48" i="35"/>
  <c r="Z48" i="19" s="1"/>
  <c r="CY48" i="35"/>
  <c r="X48" i="19" s="1"/>
  <c r="FN48" i="35"/>
  <c r="CZ48" i="35"/>
  <c r="Y48" i="19" s="1"/>
  <c r="CM48" i="35"/>
  <c r="CS48" i="35"/>
  <c r="GH48" i="35"/>
  <c r="GV48" i="35" s="1"/>
  <c r="HD48" i="35" s="1"/>
  <c r="BT137" i="35"/>
  <c r="BT23" i="35"/>
  <c r="BW23" i="35" s="1"/>
  <c r="BY23" i="35" s="1"/>
  <c r="BZ23" i="35" s="1"/>
  <c r="CM78" i="35"/>
  <c r="CS78" i="35"/>
  <c r="K78" i="19"/>
  <c r="FN78" i="35"/>
  <c r="CY78" i="35"/>
  <c r="X78" i="19" s="1"/>
  <c r="CX78" i="35"/>
  <c r="W78" i="19" s="1"/>
  <c r="CZ78" i="35"/>
  <c r="Y78" i="19" s="1"/>
  <c r="DA78" i="35"/>
  <c r="Z78" i="19" s="1"/>
  <c r="GH78" i="35"/>
  <c r="GV78" i="35" s="1"/>
  <c r="HD78" i="35" s="1"/>
  <c r="CJ108" i="35"/>
  <c r="BT24" i="35"/>
  <c r="BW24" i="35" s="1"/>
  <c r="BY24" i="35" s="1"/>
  <c r="BZ24" i="35" s="1"/>
  <c r="BT179" i="35"/>
  <c r="BW179" i="35" s="1"/>
  <c r="BY179" i="35" s="1"/>
  <c r="BZ179" i="35" s="1"/>
  <c r="BT182" i="35"/>
  <c r="BW182" i="35" s="1"/>
  <c r="BY182" i="35" s="1"/>
  <c r="BZ182" i="35" s="1"/>
  <c r="BT40" i="35"/>
  <c r="BW40" i="35" s="1"/>
  <c r="BY40" i="35" s="1"/>
  <c r="BZ40" i="35" s="1"/>
  <c r="K121" i="19"/>
  <c r="CX121" i="35"/>
  <c r="W121" i="19" s="1"/>
  <c r="CY121" i="35"/>
  <c r="X121" i="19" s="1"/>
  <c r="CZ121" i="35"/>
  <c r="Y121" i="19" s="1"/>
  <c r="CM121" i="35"/>
  <c r="GH121" i="35"/>
  <c r="GV121" i="35" s="1"/>
  <c r="HD121" i="35" s="1"/>
  <c r="FN121" i="35"/>
  <c r="CS121" i="35"/>
  <c r="DA121" i="35"/>
  <c r="Z121" i="19" s="1"/>
  <c r="DV153" i="35"/>
  <c r="DT153" i="35"/>
  <c r="DT148" i="35"/>
  <c r="DV148" i="35"/>
  <c r="DC60" i="35"/>
  <c r="CH60" i="35"/>
  <c r="J60" i="19" s="1"/>
  <c r="R75" i="19"/>
  <c r="GP75" i="35"/>
  <c r="CU75" i="35"/>
  <c r="CW75" i="35"/>
  <c r="CT75" i="35"/>
  <c r="CV75" i="35"/>
  <c r="CZ14" i="35"/>
  <c r="Y14" i="19" s="1"/>
  <c r="GH14" i="35"/>
  <c r="GV14" i="35" s="1"/>
  <c r="HD14" i="35" s="1"/>
  <c r="DA14" i="35"/>
  <c r="Z14" i="19" s="1"/>
  <c r="CY14" i="35"/>
  <c r="X14" i="19" s="1"/>
  <c r="CX14" i="35"/>
  <c r="W14" i="19" s="1"/>
  <c r="K14" i="19"/>
  <c r="CM14" i="35"/>
  <c r="CS14" i="35"/>
  <c r="FN14" i="35"/>
  <c r="FV75" i="35"/>
  <c r="FP75" i="35"/>
  <c r="FR75" i="35" s="1"/>
  <c r="FT75" i="35" s="1"/>
  <c r="O54" i="19"/>
  <c r="DV133" i="35"/>
  <c r="DT133" i="35"/>
  <c r="I147" i="19"/>
  <c r="DC108" i="35"/>
  <c r="CH108" i="35"/>
  <c r="J108" i="19" s="1"/>
  <c r="HG75" i="35"/>
  <c r="HE75" i="35"/>
  <c r="HF75" i="35"/>
  <c r="HH75" i="35"/>
  <c r="CA76" i="35"/>
  <c r="CF76" i="35"/>
  <c r="CG76" i="35" s="1"/>
  <c r="DR76" i="35" s="1"/>
  <c r="DV76" i="35" s="1"/>
  <c r="BT195" i="35"/>
  <c r="CM156" i="35"/>
  <c r="CX156" i="35"/>
  <c r="W156" i="19" s="1"/>
  <c r="DA156" i="35"/>
  <c r="Z156" i="19" s="1"/>
  <c r="CZ156" i="35"/>
  <c r="Y156" i="19" s="1"/>
  <c r="K156" i="19"/>
  <c r="CS156" i="35"/>
  <c r="CY156" i="35"/>
  <c r="X156" i="19" s="1"/>
  <c r="GH156" i="35"/>
  <c r="GV156" i="35" s="1"/>
  <c r="HD156" i="35" s="1"/>
  <c r="FN156" i="35"/>
  <c r="BT151" i="35"/>
  <c r="BT219" i="35"/>
  <c r="BT112" i="35"/>
  <c r="CK100" i="35"/>
  <c r="K142" i="19"/>
  <c r="CM142" i="35"/>
  <c r="GJ75" i="35"/>
  <c r="GX75" i="35" s="1"/>
  <c r="BT13" i="35"/>
  <c r="BW13" i="35" s="1"/>
  <c r="BY13" i="35" s="1"/>
  <c r="BZ13" i="35" s="1"/>
  <c r="BT202" i="35"/>
  <c r="BT122" i="35"/>
  <c r="DV147" i="35"/>
  <c r="DT147" i="35"/>
  <c r="BT159" i="35"/>
  <c r="CA70" i="35"/>
  <c r="BT158" i="35"/>
  <c r="CO31" i="35"/>
  <c r="M31" i="19"/>
  <c r="GJ31" i="35"/>
  <c r="GX31" i="35" s="1"/>
  <c r="K89" i="19"/>
  <c r="GH89" i="35"/>
  <c r="GV89" i="35" s="1"/>
  <c r="HD89" i="35" s="1"/>
  <c r="CZ89" i="35"/>
  <c r="Y89" i="19" s="1"/>
  <c r="CX89" i="35"/>
  <c r="W89" i="19" s="1"/>
  <c r="CY89" i="35"/>
  <c r="X89" i="19" s="1"/>
  <c r="DA89" i="35"/>
  <c r="Z89" i="19" s="1"/>
  <c r="FN89" i="35"/>
  <c r="CS89" i="35"/>
  <c r="CM89" i="35"/>
  <c r="M54" i="19"/>
  <c r="GJ54" i="35"/>
  <c r="GX54" i="35" s="1"/>
  <c r="CF66" i="35"/>
  <c r="CG66" i="35" s="1"/>
  <c r="H66" i="19" s="1"/>
  <c r="GH109" i="35"/>
  <c r="GV109" i="35" s="1"/>
  <c r="HD109" i="35" s="1"/>
  <c r="HG109" i="35" s="1"/>
  <c r="CA17" i="35"/>
  <c r="CZ54" i="35"/>
  <c r="Y54" i="19" s="1"/>
  <c r="CS54" i="35"/>
  <c r="K54" i="19"/>
  <c r="FN54" i="35"/>
  <c r="DA54" i="35"/>
  <c r="Z54" i="19" s="1"/>
  <c r="GH54" i="35"/>
  <c r="GV54" i="35" s="1"/>
  <c r="HD54" i="35" s="1"/>
  <c r="HG54" i="35" s="1"/>
  <c r="CA110" i="35"/>
  <c r="CY54" i="35"/>
  <c r="X54" i="19" s="1"/>
  <c r="CF172" i="35"/>
  <c r="CG172" i="35" s="1"/>
  <c r="CX54" i="35"/>
  <c r="W54" i="19" s="1"/>
  <c r="J141" i="19"/>
  <c r="CK141" i="35"/>
  <c r="BR44" i="35"/>
  <c r="BT44" i="35" s="1"/>
  <c r="BW44" i="35" s="1"/>
  <c r="BY44" i="35" s="1"/>
  <c r="BR176" i="35"/>
  <c r="BR210" i="35"/>
  <c r="BR211" i="35"/>
  <c r="BR217" i="35"/>
  <c r="BR206" i="35"/>
  <c r="BR190" i="35"/>
  <c r="BR197" i="35"/>
  <c r="BR212" i="35"/>
  <c r="BR143" i="35"/>
  <c r="BT143" i="35" s="1"/>
  <c r="BW143" i="35" s="1"/>
  <c r="BY143" i="35" s="1"/>
  <c r="BZ143" i="35" s="1"/>
  <c r="BR207" i="35"/>
  <c r="BR196" i="35"/>
  <c r="CJ17" i="35"/>
  <c r="I17" i="19" s="1"/>
  <c r="H34" i="19"/>
  <c r="DR34" i="35"/>
  <c r="DT34" i="35" s="1"/>
  <c r="CJ34" i="35"/>
  <c r="I34" i="19" s="1"/>
  <c r="H17" i="19"/>
  <c r="DR17" i="35"/>
  <c r="DV17" i="35" s="1"/>
  <c r="H70" i="19"/>
  <c r="DR70" i="35"/>
  <c r="DV70" i="35" s="1"/>
  <c r="CI70" i="35"/>
  <c r="I70" i="19" s="1"/>
  <c r="BL165" i="35"/>
  <c r="BN165" i="35" s="1"/>
  <c r="BP165" i="35" s="1"/>
  <c r="BL173" i="35"/>
  <c r="BN173" i="35" s="1"/>
  <c r="BP173" i="35" s="1"/>
  <c r="BL208" i="35"/>
  <c r="BN208" i="35" s="1"/>
  <c r="BP208" i="35" s="1"/>
  <c r="CH7" i="35"/>
  <c r="J7" i="19" s="1"/>
  <c r="BJ184" i="35"/>
  <c r="BJ183" i="35"/>
  <c r="BL183" i="35" s="1"/>
  <c r="BN183" i="35" s="1"/>
  <c r="BP183" i="35" s="1"/>
  <c r="BJ185" i="35"/>
  <c r="BL185" i="35" s="1"/>
  <c r="BN185" i="35" s="1"/>
  <c r="BP185" i="35" s="1"/>
  <c r="BJ177" i="35"/>
  <c r="BJ174" i="35"/>
  <c r="BL174" i="35" s="1"/>
  <c r="BN174" i="35" s="1"/>
  <c r="BP174" i="35" s="1"/>
  <c r="BJ192" i="35"/>
  <c r="BL192" i="35" s="1"/>
  <c r="BN192" i="35" s="1"/>
  <c r="BP192" i="35" s="1"/>
  <c r="BJ189" i="35"/>
  <c r="BL189" i="35" s="1"/>
  <c r="BN189" i="35" s="1"/>
  <c r="BP189" i="35" s="1"/>
  <c r="BJ186" i="35"/>
  <c r="BL186" i="35" s="1"/>
  <c r="BN186" i="35" s="1"/>
  <c r="BP186" i="35" s="1"/>
  <c r="BJ171" i="35"/>
  <c r="BL171" i="35" s="1"/>
  <c r="BN171" i="35" s="1"/>
  <c r="BP171" i="35" s="1"/>
  <c r="BJ166" i="35"/>
  <c r="BL166" i="35" s="1"/>
  <c r="BN166" i="35" s="1"/>
  <c r="BP166" i="35" s="1"/>
  <c r="BJ191" i="35"/>
  <c r="BL191" i="35" s="1"/>
  <c r="BN191" i="35" s="1"/>
  <c r="BP191" i="35" s="1"/>
  <c r="BH215" i="35"/>
  <c r="BH194" i="35"/>
  <c r="BF198" i="35"/>
  <c r="BF203" i="35"/>
  <c r="BF220" i="35"/>
  <c r="BF209" i="35"/>
  <c r="BF221" i="35"/>
  <c r="BF201" i="35"/>
  <c r="BF199" i="35"/>
  <c r="BF214" i="35"/>
  <c r="BF213" i="35"/>
  <c r="BF222" i="35"/>
  <c r="BF216" i="35"/>
  <c r="BF218" i="35"/>
  <c r="GN54" i="35"/>
  <c r="Q54" i="19"/>
  <c r="AC54" i="19" s="1"/>
  <c r="BD223" i="35"/>
  <c r="BD204" i="35"/>
  <c r="BD252" i="35"/>
  <c r="BD236" i="35"/>
  <c r="BD200" i="35"/>
  <c r="BA238" i="35"/>
  <c r="BA234" i="35"/>
  <c r="BD234" i="35" s="1"/>
  <c r="BF234" i="35" s="1"/>
  <c r="BH234" i="35" s="1"/>
  <c r="BJ234" i="35" s="1"/>
  <c r="BA249" i="35"/>
  <c r="BA241" i="35"/>
  <c r="BA227" i="35"/>
  <c r="BA243" i="35"/>
  <c r="BA247" i="35"/>
  <c r="BA193" i="35"/>
  <c r="BD193" i="35" s="1"/>
  <c r="BF193" i="35" s="1"/>
  <c r="BH193" i="35" s="1"/>
  <c r="BJ193" i="35" s="1"/>
  <c r="BA253" i="35"/>
  <c r="BD253" i="35" s="1"/>
  <c r="BF253" i="35" s="1"/>
  <c r="BH253" i="35" s="1"/>
  <c r="BJ253" i="35" s="1"/>
  <c r="BA245" i="35"/>
  <c r="BA230" i="35"/>
  <c r="BA246" i="35"/>
  <c r="BA232" i="35"/>
  <c r="BA229" i="35"/>
  <c r="BD229" i="35" s="1"/>
  <c r="BF229" i="35" s="1"/>
  <c r="BH229" i="35" s="1"/>
  <c r="BJ229" i="35" s="1"/>
  <c r="BA244" i="35"/>
  <c r="BA235" i="35"/>
  <c r="BA240" i="35"/>
  <c r="BA237" i="35"/>
  <c r="BD237" i="35" s="1"/>
  <c r="BF237" i="35" s="1"/>
  <c r="BH237" i="35" s="1"/>
  <c r="BJ237" i="35" s="1"/>
  <c r="BA226" i="35"/>
  <c r="BD226" i="35" s="1"/>
  <c r="BF226" i="35" s="1"/>
  <c r="BH226" i="35" s="1"/>
  <c r="BJ226" i="35" s="1"/>
  <c r="BA251" i="35"/>
  <c r="BD251" i="35" s="1"/>
  <c r="BF251" i="35" s="1"/>
  <c r="BH251" i="35" s="1"/>
  <c r="BJ251" i="35" s="1"/>
  <c r="BA231" i="35"/>
  <c r="BA248" i="35"/>
  <c r="BD248" i="35" s="1"/>
  <c r="BF248" i="35" s="1"/>
  <c r="BH248" i="35" s="1"/>
  <c r="BJ248" i="35" s="1"/>
  <c r="BA224" i="35"/>
  <c r="BD224" i="35" s="1"/>
  <c r="BF224" i="35" s="1"/>
  <c r="BH224" i="35" s="1"/>
  <c r="BJ224" i="35" s="1"/>
  <c r="AZ254" i="35"/>
  <c r="AZ225" i="35"/>
  <c r="AZ228" i="35"/>
  <c r="AZ242" i="35"/>
  <c r="AZ239" i="35"/>
  <c r="AZ233" i="35"/>
  <c r="AZ250" i="35"/>
  <c r="AX268" i="35"/>
  <c r="AX273" i="35"/>
  <c r="AX256" i="35"/>
  <c r="AX259" i="35"/>
  <c r="AX276" i="35"/>
  <c r="AX257" i="35"/>
  <c r="AZ257" i="35" s="1"/>
  <c r="AX271" i="35"/>
  <c r="AX264" i="35"/>
  <c r="AX280" i="35"/>
  <c r="AX284" i="35"/>
  <c r="AX265" i="35"/>
  <c r="AX275" i="35"/>
  <c r="AO316" i="35"/>
  <c r="AP316" i="35" s="1"/>
  <c r="AQ316" i="35" s="1"/>
  <c r="AX274" i="35"/>
  <c r="AX278" i="35"/>
  <c r="AX258" i="35"/>
  <c r="AZ258" i="35" s="1"/>
  <c r="AX269" i="35"/>
  <c r="AZ269" i="35" s="1"/>
  <c r="AX260" i="35"/>
  <c r="AX267" i="35"/>
  <c r="AX266" i="35"/>
  <c r="AX262" i="35"/>
  <c r="AZ262" i="35" s="1"/>
  <c r="AX277" i="35"/>
  <c r="AZ277" i="35" s="1"/>
  <c r="AX261" i="35"/>
  <c r="AZ261" i="35" s="1"/>
  <c r="AX279" i="35"/>
  <c r="AX282" i="35"/>
  <c r="AX255" i="35"/>
  <c r="AW263" i="35"/>
  <c r="AW270" i="35"/>
  <c r="AW272" i="35"/>
  <c r="AW281" i="35"/>
  <c r="AW283" i="35"/>
  <c r="AV262" i="35"/>
  <c r="DP262" i="35" s="1"/>
  <c r="AV258" i="35"/>
  <c r="DO258" i="35" s="1"/>
  <c r="DN258" i="35" s="1"/>
  <c r="AV255" i="35"/>
  <c r="DP255" i="35" s="1"/>
  <c r="AV268" i="35"/>
  <c r="DP268" i="35" s="1"/>
  <c r="AV260" i="35"/>
  <c r="DP260" i="35" s="1"/>
  <c r="DB285" i="35"/>
  <c r="AV277" i="35"/>
  <c r="DO277" i="35" s="1"/>
  <c r="DN277" i="35" s="1"/>
  <c r="DP254" i="35"/>
  <c r="AV271" i="35"/>
  <c r="DO271" i="35" s="1"/>
  <c r="DN271" i="35" s="1"/>
  <c r="AV266" i="35"/>
  <c r="DP266" i="35" s="1"/>
  <c r="AV275" i="35"/>
  <c r="DP275" i="35" s="1"/>
  <c r="AV282" i="35"/>
  <c r="DO282" i="35" s="1"/>
  <c r="DN282" i="35" s="1"/>
  <c r="AV261" i="35"/>
  <c r="DP261" i="35" s="1"/>
  <c r="AV267" i="35"/>
  <c r="DP267" i="35" s="1"/>
  <c r="AV284" i="35"/>
  <c r="DP284" i="35" s="1"/>
  <c r="AV278" i="35"/>
  <c r="DP278" i="35" s="1"/>
  <c r="AV280" i="35"/>
  <c r="DO280" i="35" s="1"/>
  <c r="DN280" i="35" s="1"/>
  <c r="AV269" i="35"/>
  <c r="DO269" i="35" s="1"/>
  <c r="DN269" i="35" s="1"/>
  <c r="AV264" i="35"/>
  <c r="DP264" i="35" s="1"/>
  <c r="AV276" i="35"/>
  <c r="DP276" i="35" s="1"/>
  <c r="AV257" i="35"/>
  <c r="DP257" i="35" s="1"/>
  <c r="AS285" i="35"/>
  <c r="AU285" i="35"/>
  <c r="AW285" i="35" s="1"/>
  <c r="AV256" i="35"/>
  <c r="DP256" i="35" s="1"/>
  <c r="AV259" i="35"/>
  <c r="DP259" i="35" s="1"/>
  <c r="AV274" i="35"/>
  <c r="DP274" i="35" s="1"/>
  <c r="AV273" i="35"/>
  <c r="DP273" i="35" s="1"/>
  <c r="AV265" i="35"/>
  <c r="DP265" i="35" s="1"/>
  <c r="AV279" i="35"/>
  <c r="DO279" i="35" s="1"/>
  <c r="DN279" i="35" s="1"/>
  <c r="AT308" i="35"/>
  <c r="AT286" i="35"/>
  <c r="AT293" i="35"/>
  <c r="AT309" i="35"/>
  <c r="AT302" i="35"/>
  <c r="AT303" i="35"/>
  <c r="AT301" i="35"/>
  <c r="AT307" i="35"/>
  <c r="AT310" i="35"/>
  <c r="AT292" i="35"/>
  <c r="AT315" i="35"/>
  <c r="AT291" i="35"/>
  <c r="AT305" i="35"/>
  <c r="AT311" i="35"/>
  <c r="AT306" i="35"/>
  <c r="AT312" i="35"/>
  <c r="AT294" i="35"/>
  <c r="AT288" i="35"/>
  <c r="AT313" i="35"/>
  <c r="AT296" i="35"/>
  <c r="AT299" i="35"/>
  <c r="AT314" i="35"/>
  <c r="AT287" i="35"/>
  <c r="AT290" i="35"/>
  <c r="AT295" i="35"/>
  <c r="AT300" i="35"/>
  <c r="AT298" i="35"/>
  <c r="AT304" i="35"/>
  <c r="AT297" i="35"/>
  <c r="AT289" i="35"/>
  <c r="AL324" i="35"/>
  <c r="AL325" i="35"/>
  <c r="AL343" i="35"/>
  <c r="AL327" i="35"/>
  <c r="AL333" i="35"/>
  <c r="AL335" i="35"/>
  <c r="AL317" i="35"/>
  <c r="AL319" i="35"/>
  <c r="AL332" i="35"/>
  <c r="AL341" i="35"/>
  <c r="AL340" i="35"/>
  <c r="AL337" i="35"/>
  <c r="AL322" i="35"/>
  <c r="AL330" i="35"/>
  <c r="AL318" i="35"/>
  <c r="AL336" i="35"/>
  <c r="AL346" i="35"/>
  <c r="AL342" i="35"/>
  <c r="AL338" i="35"/>
  <c r="AL331" i="35"/>
  <c r="AL344" i="35"/>
  <c r="AL320" i="35"/>
  <c r="AL339" i="35"/>
  <c r="AL328" i="35"/>
  <c r="AL329" i="35"/>
  <c r="AL326" i="35"/>
  <c r="AL345" i="35"/>
  <c r="AL321" i="35"/>
  <c r="AL334" i="35"/>
  <c r="AL323" i="35"/>
  <c r="AO21" i="37"/>
  <c r="B54" i="37"/>
  <c r="DO270" i="35"/>
  <c r="DN270" i="35" s="1"/>
  <c r="DP281" i="35"/>
  <c r="AH360" i="35"/>
  <c r="AI360" i="35" s="1"/>
  <c r="AH366" i="35"/>
  <c r="AI366" i="35" s="1"/>
  <c r="AH367" i="35"/>
  <c r="AI367" i="35" s="1"/>
  <c r="AH348" i="35"/>
  <c r="AI348" i="35" s="1"/>
  <c r="AH374" i="35"/>
  <c r="AI374" i="35" s="1"/>
  <c r="AJ347" i="35"/>
  <c r="AK347" i="35" s="1"/>
  <c r="AL347" i="35" s="1"/>
  <c r="AH363" i="35"/>
  <c r="AI363" i="35" s="1"/>
  <c r="AH358" i="35"/>
  <c r="AI358" i="35" s="1"/>
  <c r="AH356" i="35"/>
  <c r="AI356" i="35" s="1"/>
  <c r="AH349" i="35"/>
  <c r="AI349" i="35" s="1"/>
  <c r="AH370" i="35"/>
  <c r="AI370" i="35" s="1"/>
  <c r="AH352" i="35"/>
  <c r="AI352" i="35" s="1"/>
  <c r="AH362" i="35"/>
  <c r="AI362" i="35" s="1"/>
  <c r="AH351" i="35"/>
  <c r="AI351" i="35" s="1"/>
  <c r="AH368" i="35"/>
  <c r="AI368" i="35" s="1"/>
  <c r="AE378" i="35"/>
  <c r="AD379" i="35"/>
  <c r="AH375" i="35"/>
  <c r="AI375" i="35" s="1"/>
  <c r="AH359" i="35"/>
  <c r="AI359" i="35" s="1"/>
  <c r="AH357" i="35"/>
  <c r="AI357" i="35" s="1"/>
  <c r="AH355" i="35"/>
  <c r="AI355" i="35" s="1"/>
  <c r="AH373" i="35"/>
  <c r="AI373" i="35" s="1"/>
  <c r="AH369" i="35"/>
  <c r="AI369" i="35" s="1"/>
  <c r="AH353" i="35"/>
  <c r="AI353" i="35" s="1"/>
  <c r="DO272" i="35"/>
  <c r="DN272" i="35" s="1"/>
  <c r="DP272" i="35"/>
  <c r="AH376" i="35"/>
  <c r="AI376" i="35" s="1"/>
  <c r="DO283" i="35"/>
  <c r="DN283" i="35" s="1"/>
  <c r="DP283" i="35"/>
  <c r="AH361" i="35"/>
  <c r="AI361" i="35" s="1"/>
  <c r="AH365" i="35"/>
  <c r="AI365" i="35" s="1"/>
  <c r="AH371" i="35"/>
  <c r="AI371" i="35" s="1"/>
  <c r="AH350" i="35"/>
  <c r="AI350" i="35" s="1"/>
  <c r="DO263" i="35"/>
  <c r="DN263" i="35" s="1"/>
  <c r="DP263" i="35"/>
  <c r="AH354" i="35"/>
  <c r="AI354" i="35" s="1"/>
  <c r="AH377" i="35"/>
  <c r="AI377" i="35" s="1"/>
  <c r="AH372" i="35"/>
  <c r="AI372" i="35" s="1"/>
  <c r="AH364" i="35"/>
  <c r="AI364" i="35" s="1"/>
  <c r="T40" i="27"/>
  <c r="O40" i="27" s="1"/>
  <c r="E24" i="5"/>
  <c r="D22" i="25"/>
  <c r="I17" i="4"/>
  <c r="D39" i="7"/>
  <c r="D38" i="6"/>
  <c r="D38" i="5"/>
  <c r="DV92" i="35" l="1"/>
  <c r="CK77" i="35"/>
  <c r="GH77" i="35" s="1"/>
  <c r="GV77" i="35" s="1"/>
  <c r="HD77" i="35" s="1"/>
  <c r="HH77" i="35" s="1"/>
  <c r="DV145" i="35"/>
  <c r="DR101" i="35"/>
  <c r="DV101" i="35" s="1"/>
  <c r="CI101" i="35"/>
  <c r="I148" i="19"/>
  <c r="HF105" i="35"/>
  <c r="CM105" i="35"/>
  <c r="CO105" i="35" s="1"/>
  <c r="CQ105" i="35" s="1"/>
  <c r="GN105" i="35" s="1"/>
  <c r="K105" i="19"/>
  <c r="CX105" i="35"/>
  <c r="W105" i="19" s="1"/>
  <c r="FV81" i="35"/>
  <c r="DC155" i="35"/>
  <c r="CS105" i="35"/>
  <c r="CV105" i="35" s="1"/>
  <c r="U105" i="19" s="1"/>
  <c r="CZ105" i="35"/>
  <c r="Y105" i="19" s="1"/>
  <c r="HH105" i="35"/>
  <c r="CK83" i="35"/>
  <c r="FN83" i="35" s="1"/>
  <c r="FP83" i="35" s="1"/>
  <c r="FR83" i="35" s="1"/>
  <c r="FT83" i="35" s="1"/>
  <c r="FN105" i="35"/>
  <c r="FP105" i="35" s="1"/>
  <c r="FR105" i="35" s="1"/>
  <c r="FT105" i="35" s="1"/>
  <c r="DV81" i="35"/>
  <c r="M75" i="19"/>
  <c r="I32" i="19"/>
  <c r="I132" i="19"/>
  <c r="DV11" i="35"/>
  <c r="I90" i="19"/>
  <c r="CS83" i="35"/>
  <c r="GP83" i="35" s="1"/>
  <c r="CK106" i="35"/>
  <c r="GH106" i="35" s="1"/>
  <c r="GV106" i="35" s="1"/>
  <c r="HD106" i="35" s="1"/>
  <c r="HF106" i="35" s="1"/>
  <c r="H140" i="19"/>
  <c r="CK36" i="35"/>
  <c r="I35" i="19"/>
  <c r="GP62" i="35"/>
  <c r="CU62" i="35"/>
  <c r="GR62" i="35" s="1"/>
  <c r="CY114" i="35"/>
  <c r="X114" i="19" s="1"/>
  <c r="CV62" i="35"/>
  <c r="U62" i="19" s="1"/>
  <c r="CW62" i="35"/>
  <c r="HF39" i="35"/>
  <c r="CK92" i="35"/>
  <c r="DA92" i="35" s="1"/>
  <c r="Z92" i="19" s="1"/>
  <c r="HE62" i="35"/>
  <c r="FN77" i="35"/>
  <c r="FP77" i="35" s="1"/>
  <c r="FR77" i="35" s="1"/>
  <c r="FT77" i="35" s="1"/>
  <c r="CF155" i="35"/>
  <c r="CG155" i="35" s="1"/>
  <c r="EW155" i="35" s="1"/>
  <c r="CF37" i="35"/>
  <c r="CG37" i="35" s="1"/>
  <c r="CJ37" i="35" s="1"/>
  <c r="CK71" i="35"/>
  <c r="CM71" i="35" s="1"/>
  <c r="M71" i="19" s="1"/>
  <c r="HG39" i="35"/>
  <c r="CK104" i="35"/>
  <c r="CZ104" i="35" s="1"/>
  <c r="Y104" i="19" s="1"/>
  <c r="CK35" i="35"/>
  <c r="CY35" i="35" s="1"/>
  <c r="X35" i="19" s="1"/>
  <c r="DT45" i="35"/>
  <c r="DV45" i="35"/>
  <c r="I11" i="19"/>
  <c r="CX36" i="35"/>
  <c r="W36" i="19" s="1"/>
  <c r="GH36" i="35"/>
  <c r="GV36" i="35" s="1"/>
  <c r="HD36" i="35" s="1"/>
  <c r="FN36" i="35"/>
  <c r="DA36" i="35"/>
  <c r="Z36" i="19" s="1"/>
  <c r="CZ36" i="35"/>
  <c r="Y36" i="19" s="1"/>
  <c r="K36" i="19"/>
  <c r="CY36" i="35"/>
  <c r="X36" i="19" s="1"/>
  <c r="CS36" i="35"/>
  <c r="CU36" i="35" s="1"/>
  <c r="CM36" i="35"/>
  <c r="CO36" i="35" s="1"/>
  <c r="CX142" i="35"/>
  <c r="W142" i="19" s="1"/>
  <c r="DT20" i="35"/>
  <c r="J98" i="19"/>
  <c r="CK98" i="35"/>
  <c r="DA142" i="35"/>
  <c r="Z142" i="19" s="1"/>
  <c r="GH114" i="35"/>
  <c r="GV114" i="35" s="1"/>
  <c r="HD114" i="35" s="1"/>
  <c r="HG114" i="35" s="1"/>
  <c r="FN142" i="35"/>
  <c r="FV142" i="35" s="1"/>
  <c r="K56" i="19"/>
  <c r="CF113" i="35"/>
  <c r="CG113" i="35" s="1"/>
  <c r="H113" i="19" s="1"/>
  <c r="CJ101" i="35"/>
  <c r="EW140" i="35"/>
  <c r="CK72" i="35"/>
  <c r="CM72" i="35" s="1"/>
  <c r="DT140" i="35"/>
  <c r="DV140" i="35"/>
  <c r="DV32" i="35"/>
  <c r="CJ140" i="35"/>
  <c r="I79" i="19"/>
  <c r="CY142" i="35"/>
  <c r="X142" i="19" s="1"/>
  <c r="CM117" i="35"/>
  <c r="M117" i="19" s="1"/>
  <c r="CK22" i="35"/>
  <c r="CM22" i="35" s="1"/>
  <c r="CZ142" i="35"/>
  <c r="Y142" i="19" s="1"/>
  <c r="GH142" i="35"/>
  <c r="GV142" i="35" s="1"/>
  <c r="HD142" i="35" s="1"/>
  <c r="HH142" i="35" s="1"/>
  <c r="R62" i="19"/>
  <c r="HG62" i="35"/>
  <c r="I71" i="19"/>
  <c r="HF62" i="35"/>
  <c r="FP39" i="35"/>
  <c r="FR39" i="35" s="1"/>
  <c r="FT39" i="35" s="1"/>
  <c r="CI140" i="35"/>
  <c r="CK9" i="35"/>
  <c r="FN9" i="35" s="1"/>
  <c r="CH145" i="35"/>
  <c r="J145" i="19" s="1"/>
  <c r="I36" i="19"/>
  <c r="CM81" i="35"/>
  <c r="GJ81" i="35" s="1"/>
  <c r="GX81" i="35" s="1"/>
  <c r="CO56" i="35"/>
  <c r="GL56" i="35" s="1"/>
  <c r="GZ56" i="35" s="1"/>
  <c r="HB56" i="35" s="1"/>
  <c r="GQ62" i="35"/>
  <c r="EW101" i="35"/>
  <c r="CK74" i="35"/>
  <c r="CY74" i="35" s="1"/>
  <c r="X74" i="19" s="1"/>
  <c r="K33" i="19"/>
  <c r="DA33" i="35"/>
  <c r="Z33" i="19" s="1"/>
  <c r="DC149" i="35"/>
  <c r="CH149" i="35"/>
  <c r="CI58" i="35"/>
  <c r="I58" i="19" s="1"/>
  <c r="DT101" i="35"/>
  <c r="DA20" i="35"/>
  <c r="Z20" i="19" s="1"/>
  <c r="I25" i="19"/>
  <c r="DV25" i="35"/>
  <c r="DT25" i="35"/>
  <c r="CA58" i="35"/>
  <c r="CK90" i="35"/>
  <c r="CS33" i="35"/>
  <c r="GP33" i="35" s="1"/>
  <c r="CH37" i="35"/>
  <c r="J37" i="19" s="1"/>
  <c r="DC113" i="35"/>
  <c r="CX33" i="35"/>
  <c r="W33" i="19" s="1"/>
  <c r="FV83" i="35"/>
  <c r="FW83" i="35" s="1"/>
  <c r="FZ83" i="35" s="1"/>
  <c r="GB83" i="35" s="1"/>
  <c r="CZ20" i="35"/>
  <c r="Y20" i="19" s="1"/>
  <c r="M62" i="19"/>
  <c r="CA27" i="35"/>
  <c r="DC27" i="35" s="1"/>
  <c r="CK25" i="35"/>
  <c r="GH33" i="35"/>
  <c r="GV33" i="35" s="1"/>
  <c r="HD33" i="35" s="1"/>
  <c r="HE33" i="35" s="1"/>
  <c r="CY33" i="35"/>
  <c r="X33" i="19" s="1"/>
  <c r="H58" i="19"/>
  <c r="CM83" i="35"/>
  <c r="CO83" i="35" s="1"/>
  <c r="CQ83" i="35" s="1"/>
  <c r="Q83" i="19" s="1"/>
  <c r="AC83" i="19" s="1"/>
  <c r="CO62" i="35"/>
  <c r="O62" i="19" s="1"/>
  <c r="DT35" i="35"/>
  <c r="CM33" i="35"/>
  <c r="M33" i="19" s="1"/>
  <c r="DR58" i="35"/>
  <c r="DT58" i="35" s="1"/>
  <c r="FX39" i="35"/>
  <c r="CI127" i="35"/>
  <c r="H127" i="19"/>
  <c r="DR127" i="35"/>
  <c r="DT127" i="35" s="1"/>
  <c r="CJ127" i="35"/>
  <c r="H27" i="19"/>
  <c r="CI27" i="35"/>
  <c r="DR27" i="35"/>
  <c r="DV27" i="35" s="1"/>
  <c r="CJ27" i="35"/>
  <c r="DC12" i="35"/>
  <c r="CH12" i="35"/>
  <c r="J12" i="19" s="1"/>
  <c r="GJ105" i="35"/>
  <c r="GX105" i="35" s="1"/>
  <c r="BY128" i="35"/>
  <c r="BZ128" i="35" s="1"/>
  <c r="CA128" i="35" s="1"/>
  <c r="CH128" i="35" s="1"/>
  <c r="J128" i="19" s="1"/>
  <c r="BY69" i="35"/>
  <c r="BZ69" i="35" s="1"/>
  <c r="CF69" i="35" s="1"/>
  <c r="CG69" i="35" s="1"/>
  <c r="CJ69" i="35" s="1"/>
  <c r="BY38" i="35"/>
  <c r="BZ38" i="35" s="1"/>
  <c r="CF38" i="35" s="1"/>
  <c r="CG38" i="35" s="1"/>
  <c r="DR38" i="35" s="1"/>
  <c r="DT38" i="35" s="1"/>
  <c r="BY19" i="35"/>
  <c r="BZ19" i="35" s="1"/>
  <c r="CA19" i="35" s="1"/>
  <c r="CA127" i="35"/>
  <c r="CF118" i="35"/>
  <c r="CG118" i="35" s="1"/>
  <c r="CF10" i="35"/>
  <c r="CG10" i="35" s="1"/>
  <c r="I74" i="19"/>
  <c r="I106" i="19"/>
  <c r="CF99" i="35"/>
  <c r="CG99" i="35" s="1"/>
  <c r="BY80" i="35"/>
  <c r="BZ80" i="35" s="1"/>
  <c r="CF80" i="35" s="1"/>
  <c r="CG80" i="35" s="1"/>
  <c r="DC148" i="35"/>
  <c r="CH148" i="35"/>
  <c r="BY21" i="35"/>
  <c r="BZ21" i="35" s="1"/>
  <c r="CF21" i="35" s="1"/>
  <c r="CG21" i="35" s="1"/>
  <c r="H21" i="19" s="1"/>
  <c r="BY94" i="35"/>
  <c r="BZ94" i="35" s="1"/>
  <c r="CF94" i="35" s="1"/>
  <c r="CG94" i="35" s="1"/>
  <c r="DC157" i="35"/>
  <c r="CH157" i="35"/>
  <c r="J157" i="19" s="1"/>
  <c r="CX56" i="35"/>
  <c r="W56" i="19" s="1"/>
  <c r="I72" i="19"/>
  <c r="CM53" i="35"/>
  <c r="CO53" i="35" s="1"/>
  <c r="FN114" i="35"/>
  <c r="FV114" i="35" s="1"/>
  <c r="CZ56" i="35"/>
  <c r="Y56" i="19" s="1"/>
  <c r="DC99" i="35"/>
  <c r="BY26" i="35"/>
  <c r="BZ26" i="35" s="1"/>
  <c r="CA26" i="35" s="1"/>
  <c r="BY187" i="35"/>
  <c r="BZ187" i="35" s="1"/>
  <c r="CF187" i="35" s="1"/>
  <c r="CG187" i="35" s="1"/>
  <c r="HH39" i="35"/>
  <c r="CF12" i="35"/>
  <c r="CG12" i="35" s="1"/>
  <c r="DR12" i="35" s="1"/>
  <c r="DT12" i="35" s="1"/>
  <c r="CA116" i="35"/>
  <c r="CK88" i="35"/>
  <c r="I88" i="19"/>
  <c r="BY120" i="35"/>
  <c r="BZ120" i="35" s="1"/>
  <c r="CF120" i="35" s="1"/>
  <c r="CG120" i="35" s="1"/>
  <c r="CJ120" i="35" s="1"/>
  <c r="DV106" i="35"/>
  <c r="DT106" i="35"/>
  <c r="CX20" i="35"/>
  <c r="W20" i="19" s="1"/>
  <c r="DA45" i="35"/>
  <c r="Z45" i="19" s="1"/>
  <c r="BY102" i="35"/>
  <c r="BZ102" i="35" s="1"/>
  <c r="CF102" i="35" s="1"/>
  <c r="CG102" i="35" s="1"/>
  <c r="CI160" i="35"/>
  <c r="EW160" i="35"/>
  <c r="CJ160" i="35"/>
  <c r="DR160" i="35"/>
  <c r="H160" i="19"/>
  <c r="DA56" i="35"/>
  <c r="Z56" i="19" s="1"/>
  <c r="K41" i="19"/>
  <c r="GH41" i="35"/>
  <c r="GV41" i="35" s="1"/>
  <c r="HD41" i="35" s="1"/>
  <c r="CX41" i="35"/>
  <c r="W41" i="19" s="1"/>
  <c r="CY41" i="35"/>
  <c r="X41" i="19" s="1"/>
  <c r="CS41" i="35"/>
  <c r="CZ41" i="35"/>
  <c r="Y41" i="19" s="1"/>
  <c r="DA41" i="35"/>
  <c r="Z41" i="19" s="1"/>
  <c r="FN41" i="35"/>
  <c r="CM41" i="35"/>
  <c r="BY82" i="35"/>
  <c r="BZ82" i="35" s="1"/>
  <c r="CF82" i="35" s="1"/>
  <c r="CG82" i="35" s="1"/>
  <c r="BY164" i="35"/>
  <c r="BZ164" i="35" s="1"/>
  <c r="CF164" i="35" s="1"/>
  <c r="CG164" i="35" s="1"/>
  <c r="BY169" i="35"/>
  <c r="BZ169" i="35" s="1"/>
  <c r="CF169" i="35" s="1"/>
  <c r="CG169" i="35" s="1"/>
  <c r="FN33" i="35"/>
  <c r="FP33" i="35" s="1"/>
  <c r="FR33" i="35" s="1"/>
  <c r="FT33" i="35" s="1"/>
  <c r="CM20" i="35"/>
  <c r="M20" i="19" s="1"/>
  <c r="BY180" i="35"/>
  <c r="BZ180" i="35" s="1"/>
  <c r="CF180" i="35" s="1"/>
  <c r="CG180" i="35" s="1"/>
  <c r="CK107" i="35"/>
  <c r="CX107" i="35" s="1"/>
  <c r="W107" i="19" s="1"/>
  <c r="CK96" i="35"/>
  <c r="DT79" i="35"/>
  <c r="DV79" i="35"/>
  <c r="DV88" i="35"/>
  <c r="DT88" i="35"/>
  <c r="J150" i="19"/>
  <c r="CK150" i="35"/>
  <c r="BY134" i="35"/>
  <c r="BZ134" i="35" s="1"/>
  <c r="CA134" i="35" s="1"/>
  <c r="BY42" i="35"/>
  <c r="BZ42" i="35" s="1"/>
  <c r="CF42" i="35" s="1"/>
  <c r="CG42" i="35" s="1"/>
  <c r="CJ42" i="35" s="1"/>
  <c r="BY28" i="35"/>
  <c r="BZ28" i="35" s="1"/>
  <c r="CF28" i="35" s="1"/>
  <c r="CG28" i="35" s="1"/>
  <c r="H139" i="19"/>
  <c r="CJ139" i="35"/>
  <c r="CI139" i="35"/>
  <c r="DR139" i="35"/>
  <c r="CS45" i="35"/>
  <c r="CW45" i="35" s="1"/>
  <c r="GT45" i="35" s="1"/>
  <c r="K20" i="19"/>
  <c r="BY49" i="35"/>
  <c r="BZ49" i="35" s="1"/>
  <c r="CF49" i="35" s="1"/>
  <c r="CG49" i="35" s="1"/>
  <c r="CI49" i="35" s="1"/>
  <c r="FN56" i="35"/>
  <c r="FP56" i="35" s="1"/>
  <c r="FR56" i="35" s="1"/>
  <c r="FT56" i="35" s="1"/>
  <c r="BY170" i="35"/>
  <c r="BZ170" i="35" s="1"/>
  <c r="CF170" i="35" s="1"/>
  <c r="CG170" i="35" s="1"/>
  <c r="CJ170" i="35" s="1"/>
  <c r="DR136" i="35"/>
  <c r="H136" i="19"/>
  <c r="CI136" i="35"/>
  <c r="CJ136" i="35"/>
  <c r="CM111" i="35"/>
  <c r="CO111" i="35" s="1"/>
  <c r="BY55" i="35"/>
  <c r="BZ55" i="35" s="1"/>
  <c r="CF55" i="35" s="1"/>
  <c r="CG55" i="35" s="1"/>
  <c r="CJ55" i="35" s="1"/>
  <c r="GH56" i="35"/>
  <c r="GV56" i="35" s="1"/>
  <c r="HD56" i="35" s="1"/>
  <c r="HG56" i="35" s="1"/>
  <c r="FV62" i="35"/>
  <c r="FX62" i="35" s="1"/>
  <c r="BY68" i="35"/>
  <c r="BZ68" i="35" s="1"/>
  <c r="CA68" i="35" s="1"/>
  <c r="DC68" i="35" s="1"/>
  <c r="BY119" i="35"/>
  <c r="BZ119" i="35" s="1"/>
  <c r="CA119" i="35" s="1"/>
  <c r="DC119" i="35" s="1"/>
  <c r="BY93" i="35"/>
  <c r="BZ93" i="35" s="1"/>
  <c r="CA93" i="35" s="1"/>
  <c r="BY91" i="35"/>
  <c r="BZ91" i="35" s="1"/>
  <c r="CF91" i="35" s="1"/>
  <c r="CG91" i="35" s="1"/>
  <c r="H91" i="19" s="1"/>
  <c r="CK79" i="35"/>
  <c r="K79" i="19" s="1"/>
  <c r="FV105" i="35"/>
  <c r="CK123" i="35"/>
  <c r="I63" i="19"/>
  <c r="CK63" i="35"/>
  <c r="FN45" i="35"/>
  <c r="FV45" i="35" s="1"/>
  <c r="FW45" i="35" s="1"/>
  <c r="FZ45" i="35" s="1"/>
  <c r="GB45" i="35" s="1"/>
  <c r="BY178" i="35"/>
  <c r="BZ178" i="35" s="1"/>
  <c r="CF178" i="35" s="1"/>
  <c r="CG178" i="35" s="1"/>
  <c r="DT74" i="35"/>
  <c r="DV74" i="35"/>
  <c r="BY16" i="35"/>
  <c r="BZ16" i="35" s="1"/>
  <c r="CA16" i="35" s="1"/>
  <c r="CY45" i="35"/>
  <c r="X45" i="19" s="1"/>
  <c r="CS56" i="35"/>
  <c r="GP56" i="35" s="1"/>
  <c r="BY61" i="35"/>
  <c r="BZ61" i="35" s="1"/>
  <c r="CF61" i="35" s="1"/>
  <c r="CG61" i="35" s="1"/>
  <c r="DR61" i="35" s="1"/>
  <c r="DV61" i="35" s="1"/>
  <c r="BY168" i="35"/>
  <c r="BZ168" i="35" s="1"/>
  <c r="CF168" i="35" s="1"/>
  <c r="CG168" i="35" s="1"/>
  <c r="H168" i="19" s="1"/>
  <c r="CY56" i="35"/>
  <c r="X56" i="19" s="1"/>
  <c r="BY50" i="35"/>
  <c r="BZ50" i="35" s="1"/>
  <c r="CA50" i="35" s="1"/>
  <c r="J85" i="19"/>
  <c r="CK85" i="35"/>
  <c r="GJ56" i="35"/>
  <c r="GX56" i="35" s="1"/>
  <c r="BY188" i="35"/>
  <c r="BZ188" i="35" s="1"/>
  <c r="CF188" i="35" s="1"/>
  <c r="CG188" i="35" s="1"/>
  <c r="BY52" i="35"/>
  <c r="BZ52" i="35" s="1"/>
  <c r="CF52" i="35" s="1"/>
  <c r="CG52" i="35" s="1"/>
  <c r="BY95" i="35"/>
  <c r="BZ95" i="35" s="1"/>
  <c r="CF95" i="35" s="1"/>
  <c r="CG95" i="35" s="1"/>
  <c r="CJ95" i="35" s="1"/>
  <c r="BY115" i="35"/>
  <c r="BZ115" i="35" s="1"/>
  <c r="CA115" i="35" s="1"/>
  <c r="DT63" i="35"/>
  <c r="DV63" i="35"/>
  <c r="CK11" i="35"/>
  <c r="CK8" i="35"/>
  <c r="CH73" i="35"/>
  <c r="J73" i="19" s="1"/>
  <c r="DC73" i="35"/>
  <c r="DR130" i="35"/>
  <c r="H130" i="19"/>
  <c r="CJ130" i="35"/>
  <c r="CI130" i="35"/>
  <c r="EW130" i="35"/>
  <c r="BZ44" i="35"/>
  <c r="CF44" i="35" s="1"/>
  <c r="CG44" i="35" s="1"/>
  <c r="BY46" i="35"/>
  <c r="BZ46" i="35" s="1"/>
  <c r="CF46" i="35" s="1"/>
  <c r="CG46" i="35" s="1"/>
  <c r="CH15" i="35"/>
  <c r="J15" i="19" s="1"/>
  <c r="DC15" i="35"/>
  <c r="H15" i="19"/>
  <c r="CI15" i="35"/>
  <c r="CJ15" i="35"/>
  <c r="DR15" i="35"/>
  <c r="CX114" i="35"/>
  <c r="W114" i="19" s="1"/>
  <c r="HE132" i="35"/>
  <c r="CZ67" i="35"/>
  <c r="Y67" i="19" s="1"/>
  <c r="K32" i="19"/>
  <c r="CS117" i="35"/>
  <c r="R117" i="19" s="1"/>
  <c r="K132" i="19"/>
  <c r="CY77" i="35"/>
  <c r="X77" i="19" s="1"/>
  <c r="CY132" i="35"/>
  <c r="X132" i="19" s="1"/>
  <c r="GJ39" i="35"/>
  <c r="GX39" i="35" s="1"/>
  <c r="DA77" i="35"/>
  <c r="Z77" i="19" s="1"/>
  <c r="CX109" i="35"/>
  <c r="W109" i="19" s="1"/>
  <c r="CS32" i="35"/>
  <c r="CT32" i="35" s="1"/>
  <c r="FN117" i="35"/>
  <c r="FP117" i="35" s="1"/>
  <c r="FR117" i="35" s="1"/>
  <c r="FN106" i="35"/>
  <c r="FP106" i="35" s="1"/>
  <c r="FR106" i="35" s="1"/>
  <c r="FT106" i="35" s="1"/>
  <c r="CZ132" i="35"/>
  <c r="Y132" i="19" s="1"/>
  <c r="HF132" i="35"/>
  <c r="CX132" i="35"/>
  <c r="W132" i="19" s="1"/>
  <c r="CZ53" i="35"/>
  <c r="Y53" i="19" s="1"/>
  <c r="CM109" i="35"/>
  <c r="CO109" i="35" s="1"/>
  <c r="CZ109" i="35"/>
  <c r="Y109" i="19" s="1"/>
  <c r="CZ32" i="35"/>
  <c r="Y32" i="19" s="1"/>
  <c r="DA117" i="35"/>
  <c r="Z117" i="19" s="1"/>
  <c r="FN132" i="35"/>
  <c r="FP132" i="35" s="1"/>
  <c r="FR132" i="35" s="1"/>
  <c r="FT132" i="35" s="1"/>
  <c r="HG77" i="35"/>
  <c r="CM132" i="35"/>
  <c r="CO132" i="35" s="1"/>
  <c r="GL132" i="35" s="1"/>
  <c r="GZ132" i="35" s="1"/>
  <c r="HB132" i="35" s="1"/>
  <c r="DA132" i="35"/>
  <c r="Z132" i="19" s="1"/>
  <c r="CY32" i="35"/>
  <c r="X32" i="19" s="1"/>
  <c r="K106" i="19"/>
  <c r="HF77" i="35"/>
  <c r="HG132" i="35"/>
  <c r="CS109" i="35"/>
  <c r="CW109" i="35" s="1"/>
  <c r="GT109" i="35" s="1"/>
  <c r="CY53" i="35"/>
  <c r="X53" i="19" s="1"/>
  <c r="K114" i="19"/>
  <c r="DA32" i="35"/>
  <c r="Z32" i="19" s="1"/>
  <c r="GH117" i="35"/>
  <c r="GV117" i="35" s="1"/>
  <c r="HD117" i="35" s="1"/>
  <c r="HH117" i="35" s="1"/>
  <c r="CX77" i="35"/>
  <c r="W77" i="19" s="1"/>
  <c r="CS53" i="35"/>
  <c r="CV53" i="35" s="1"/>
  <c r="CS114" i="35"/>
  <c r="CT114" i="35" s="1"/>
  <c r="CX32" i="35"/>
  <c r="W32" i="19" s="1"/>
  <c r="CY117" i="35"/>
  <c r="X117" i="19" s="1"/>
  <c r="CZ77" i="35"/>
  <c r="Y77" i="19" s="1"/>
  <c r="CX53" i="35"/>
  <c r="W53" i="19" s="1"/>
  <c r="CM114" i="35"/>
  <c r="CM32" i="35"/>
  <c r="CO32" i="35" s="1"/>
  <c r="K117" i="19"/>
  <c r="K77" i="19"/>
  <c r="HE77" i="35"/>
  <c r="CS77" i="35"/>
  <c r="R77" i="19" s="1"/>
  <c r="DA53" i="35"/>
  <c r="Z53" i="19" s="1"/>
  <c r="FN53" i="35"/>
  <c r="FP53" i="35" s="1"/>
  <c r="FR53" i="35" s="1"/>
  <c r="FT53" i="35" s="1"/>
  <c r="GH32" i="35"/>
  <c r="GV32" i="35" s="1"/>
  <c r="HD32" i="35" s="1"/>
  <c r="HE32" i="35" s="1"/>
  <c r="CM77" i="35"/>
  <c r="GJ77" i="35" s="1"/>
  <c r="GX77" i="35" s="1"/>
  <c r="GH53" i="35"/>
  <c r="GV53" i="35" s="1"/>
  <c r="HD53" i="35" s="1"/>
  <c r="CZ114" i="35"/>
  <c r="Y114" i="19" s="1"/>
  <c r="CS132" i="35"/>
  <c r="CT132" i="35" s="1"/>
  <c r="S132" i="19" s="1"/>
  <c r="K72" i="19"/>
  <c r="CZ117" i="35"/>
  <c r="Y117" i="19" s="1"/>
  <c r="CY109" i="35"/>
  <c r="X109" i="19" s="1"/>
  <c r="CO39" i="35"/>
  <c r="CS67" i="35"/>
  <c r="CO87" i="35"/>
  <c r="O87" i="19" s="1"/>
  <c r="M87" i="19"/>
  <c r="DV12" i="35"/>
  <c r="CX45" i="35"/>
  <c r="W45" i="19" s="1"/>
  <c r="K81" i="19"/>
  <c r="K83" i="19"/>
  <c r="FN20" i="35"/>
  <c r="H12" i="19"/>
  <c r="CX67" i="35"/>
  <c r="W67" i="19" s="1"/>
  <c r="CI12" i="35"/>
  <c r="CS104" i="35"/>
  <c r="CV104" i="35" s="1"/>
  <c r="CY67" i="35"/>
  <c r="X67" i="19" s="1"/>
  <c r="GH45" i="35"/>
  <c r="GV45" i="35" s="1"/>
  <c r="HD45" i="35" s="1"/>
  <c r="HG45" i="35" s="1"/>
  <c r="CY20" i="35"/>
  <c r="X20" i="19" s="1"/>
  <c r="CM67" i="35"/>
  <c r="M67" i="19" s="1"/>
  <c r="DA67" i="35"/>
  <c r="Z67" i="19" s="1"/>
  <c r="FN67" i="35"/>
  <c r="FP67" i="35" s="1"/>
  <c r="FR67" i="35" s="1"/>
  <c r="FT67" i="35" s="1"/>
  <c r="CY81" i="35"/>
  <c r="X81" i="19" s="1"/>
  <c r="CM45" i="35"/>
  <c r="GJ45" i="35" s="1"/>
  <c r="GX45" i="35" s="1"/>
  <c r="K67" i="19"/>
  <c r="CZ111" i="35"/>
  <c r="Y111" i="19" s="1"/>
  <c r="CS81" i="35"/>
  <c r="CU81" i="35" s="1"/>
  <c r="T81" i="19" s="1"/>
  <c r="K111" i="19"/>
  <c r="CZ45" i="35"/>
  <c r="Y45" i="19" s="1"/>
  <c r="DA81" i="35"/>
  <c r="Z81" i="19" s="1"/>
  <c r="GH83" i="35"/>
  <c r="GV83" i="35" s="1"/>
  <c r="HD83" i="35" s="1"/>
  <c r="HH83" i="35" s="1"/>
  <c r="GP20" i="35"/>
  <c r="CU20" i="35"/>
  <c r="T20" i="19" s="1"/>
  <c r="CW20" i="35"/>
  <c r="V20" i="19" s="1"/>
  <c r="R20" i="19"/>
  <c r="CT20" i="35"/>
  <c r="S20" i="19" s="1"/>
  <c r="CV20" i="35"/>
  <c r="U20" i="19" s="1"/>
  <c r="H116" i="19"/>
  <c r="FN111" i="35"/>
  <c r="FP111" i="35" s="1"/>
  <c r="FR111" i="35" s="1"/>
  <c r="FT111" i="35" s="1"/>
  <c r="CS87" i="35"/>
  <c r="R87" i="19" s="1"/>
  <c r="GH111" i="35"/>
  <c r="GV111" i="35" s="1"/>
  <c r="HD111" i="35" s="1"/>
  <c r="HF111" i="35" s="1"/>
  <c r="H163" i="19"/>
  <c r="CX111" i="35"/>
  <c r="W111" i="19" s="1"/>
  <c r="GH81" i="35"/>
  <c r="GV81" i="35" s="1"/>
  <c r="HD81" i="35" s="1"/>
  <c r="HE81" i="35" s="1"/>
  <c r="FN87" i="35"/>
  <c r="FP87" i="35" s="1"/>
  <c r="FR87" i="35" s="1"/>
  <c r="FT87" i="35" s="1"/>
  <c r="I73" i="19"/>
  <c r="GH25" i="35"/>
  <c r="GV25" i="35" s="1"/>
  <c r="HD25" i="35" s="1"/>
  <c r="DA25" i="35"/>
  <c r="Z25" i="19" s="1"/>
  <c r="CX25" i="35"/>
  <c r="W25" i="19" s="1"/>
  <c r="K25" i="19"/>
  <c r="FN25" i="35"/>
  <c r="CZ25" i="35"/>
  <c r="Y25" i="19" s="1"/>
  <c r="CM25" i="35"/>
  <c r="CY25" i="35"/>
  <c r="X25" i="19" s="1"/>
  <c r="CS25" i="35"/>
  <c r="CS111" i="35"/>
  <c r="CW111" i="35" s="1"/>
  <c r="K87" i="19"/>
  <c r="CI116" i="35"/>
  <c r="I116" i="19" s="1"/>
  <c r="CY111" i="35"/>
  <c r="X111" i="19" s="1"/>
  <c r="GH138" i="35"/>
  <c r="GV138" i="35" s="1"/>
  <c r="HD138" i="35" s="1"/>
  <c r="HG138" i="35" s="1"/>
  <c r="CZ138" i="35"/>
  <c r="Y138" i="19" s="1"/>
  <c r="GH87" i="35"/>
  <c r="GV87" i="35" s="1"/>
  <c r="HD87" i="35" s="1"/>
  <c r="HE87" i="35" s="1"/>
  <c r="DA87" i="35"/>
  <c r="Z87" i="19" s="1"/>
  <c r="CY87" i="35"/>
  <c r="X87" i="19" s="1"/>
  <c r="FN154" i="35"/>
  <c r="FP154" i="35" s="1"/>
  <c r="FR154" i="35" s="1"/>
  <c r="FT154" i="35" s="1"/>
  <c r="GH20" i="35"/>
  <c r="GV20" i="35" s="1"/>
  <c r="HD20" i="35" s="1"/>
  <c r="DR116" i="35"/>
  <c r="DT116" i="35" s="1"/>
  <c r="CZ87" i="35"/>
  <c r="Y87" i="19" s="1"/>
  <c r="DT157" i="35"/>
  <c r="CX81" i="35"/>
  <c r="W81" i="19" s="1"/>
  <c r="DA138" i="35"/>
  <c r="Z138" i="19" s="1"/>
  <c r="CZ81" i="35"/>
  <c r="Y81" i="19" s="1"/>
  <c r="CX87" i="35"/>
  <c r="W87" i="19" s="1"/>
  <c r="CJ12" i="35"/>
  <c r="CS138" i="35"/>
  <c r="CW138" i="35" s="1"/>
  <c r="CT39" i="35"/>
  <c r="GP39" i="35"/>
  <c r="CU39" i="35"/>
  <c r="CV39" i="35"/>
  <c r="R39" i="19"/>
  <c r="CW39" i="35"/>
  <c r="CX138" i="35"/>
  <c r="W138" i="19" s="1"/>
  <c r="CA102" i="35"/>
  <c r="CH102" i="35" s="1"/>
  <c r="J102" i="19" s="1"/>
  <c r="FN138" i="35"/>
  <c r="FP138" i="35" s="1"/>
  <c r="FR138" i="35" s="1"/>
  <c r="FT138" i="35" s="1"/>
  <c r="K138" i="19"/>
  <c r="DT73" i="35"/>
  <c r="DV73" i="35"/>
  <c r="CH27" i="35"/>
  <c r="J27" i="19" s="1"/>
  <c r="CY138" i="35"/>
  <c r="X138" i="19" s="1"/>
  <c r="CY106" i="35"/>
  <c r="X106" i="19" s="1"/>
  <c r="HF126" i="35"/>
  <c r="M77" i="19"/>
  <c r="T62" i="19"/>
  <c r="FN109" i="35"/>
  <c r="FV109" i="35" s="1"/>
  <c r="FX109" i="35" s="1"/>
  <c r="DA109" i="35"/>
  <c r="Z109" i="19" s="1"/>
  <c r="DA106" i="35"/>
  <c r="Z106" i="19" s="1"/>
  <c r="HE126" i="35"/>
  <c r="HH126" i="35"/>
  <c r="R126" i="19"/>
  <c r="CM129" i="35"/>
  <c r="GJ129" i="35" s="1"/>
  <c r="GX129" i="35" s="1"/>
  <c r="DA129" i="35"/>
  <c r="Z129" i="19" s="1"/>
  <c r="FW126" i="35"/>
  <c r="FZ126" i="35" s="1"/>
  <c r="GB126" i="35" s="1"/>
  <c r="GP126" i="35"/>
  <c r="CH172" i="35"/>
  <c r="J172" i="19" s="1"/>
  <c r="S126" i="19"/>
  <c r="GJ126" i="35"/>
  <c r="GX126" i="35" s="1"/>
  <c r="CW126" i="35"/>
  <c r="V126" i="19" s="1"/>
  <c r="GH129" i="35"/>
  <c r="GV129" i="35" s="1"/>
  <c r="HD129" i="35" s="1"/>
  <c r="HH129" i="35" s="1"/>
  <c r="CS129" i="35"/>
  <c r="CV129" i="35" s="1"/>
  <c r="U129" i="19" s="1"/>
  <c r="CQ126" i="35"/>
  <c r="Q126" i="19" s="1"/>
  <c r="AC126" i="19" s="1"/>
  <c r="CU126" i="35"/>
  <c r="T126" i="19" s="1"/>
  <c r="FN129" i="35"/>
  <c r="FV129" i="35" s="1"/>
  <c r="FW129" i="35" s="1"/>
  <c r="FZ129" i="35" s="1"/>
  <c r="GB129" i="35" s="1"/>
  <c r="CV126" i="35"/>
  <c r="U126" i="19" s="1"/>
  <c r="CY129" i="35"/>
  <c r="X129" i="19" s="1"/>
  <c r="GL126" i="35"/>
  <c r="GZ126" i="35" s="1"/>
  <c r="HB126" i="35" s="1"/>
  <c r="K129" i="19"/>
  <c r="BW137" i="35"/>
  <c r="BY137" i="35" s="1"/>
  <c r="BZ137" i="35" s="1"/>
  <c r="CF137" i="35" s="1"/>
  <c r="CG137" i="35" s="1"/>
  <c r="CA82" i="35"/>
  <c r="BW158" i="35"/>
  <c r="BW125" i="35"/>
  <c r="M126" i="19"/>
  <c r="CS71" i="35"/>
  <c r="CA28" i="35"/>
  <c r="BW122" i="35"/>
  <c r="BW112" i="35"/>
  <c r="BW146" i="35"/>
  <c r="FP126" i="35"/>
  <c r="FR126" i="35" s="1"/>
  <c r="FT126" i="35" s="1"/>
  <c r="GH71" i="35"/>
  <c r="GV71" i="35" s="1"/>
  <c r="HD71" i="35" s="1"/>
  <c r="HG71" i="35" s="1"/>
  <c r="CS64" i="35"/>
  <c r="FN64" i="35"/>
  <c r="GH64" i="35"/>
  <c r="GV64" i="35" s="1"/>
  <c r="HD64" i="35" s="1"/>
  <c r="DA64" i="35"/>
  <c r="Z64" i="19" s="1"/>
  <c r="CY64" i="35"/>
  <c r="X64" i="19" s="1"/>
  <c r="CM64" i="35"/>
  <c r="CZ64" i="35"/>
  <c r="Y64" i="19" s="1"/>
  <c r="K64" i="19"/>
  <c r="CX64" i="35"/>
  <c r="W64" i="19" s="1"/>
  <c r="CH118" i="35"/>
  <c r="DC118" i="35"/>
  <c r="BW159" i="35"/>
  <c r="BW202" i="35"/>
  <c r="BW195" i="35"/>
  <c r="CY71" i="35"/>
  <c r="X71" i="19" s="1"/>
  <c r="CS154" i="35"/>
  <c r="K154" i="19"/>
  <c r="CY154" i="35"/>
  <c r="X154" i="19" s="1"/>
  <c r="BW65" i="35"/>
  <c r="CM154" i="35"/>
  <c r="K71" i="19"/>
  <c r="CH10" i="35"/>
  <c r="J10" i="19" s="1"/>
  <c r="DC10" i="35"/>
  <c r="BW219" i="35"/>
  <c r="CZ135" i="35"/>
  <c r="Y135" i="19" s="1"/>
  <c r="BW151" i="35"/>
  <c r="BW152" i="35"/>
  <c r="CZ154" i="35"/>
  <c r="Y154" i="19" s="1"/>
  <c r="GH154" i="35"/>
  <c r="GV154" i="35" s="1"/>
  <c r="HD154" i="35" s="1"/>
  <c r="HH154" i="35" s="1"/>
  <c r="M135" i="19"/>
  <c r="CX154" i="35"/>
  <c r="W154" i="19" s="1"/>
  <c r="CX129" i="35"/>
  <c r="W129" i="19" s="1"/>
  <c r="CH66" i="35"/>
  <c r="J66" i="19" s="1"/>
  <c r="DC66" i="35"/>
  <c r="CI110" i="35"/>
  <c r="DR110" i="35"/>
  <c r="DV110" i="35" s="1"/>
  <c r="CJ110" i="35"/>
  <c r="EW110" i="35"/>
  <c r="H110" i="19"/>
  <c r="CA162" i="35"/>
  <c r="FV47" i="35"/>
  <c r="FW47" i="35" s="1"/>
  <c r="FZ47" i="35" s="1"/>
  <c r="GB47" i="35" s="1"/>
  <c r="FN135" i="35"/>
  <c r="FP135" i="35" s="1"/>
  <c r="FR135" i="35" s="1"/>
  <c r="CO135" i="35"/>
  <c r="GL135" i="35" s="1"/>
  <c r="GZ135" i="35" s="1"/>
  <c r="HB135" i="35" s="1"/>
  <c r="DA135" i="35"/>
  <c r="Z135" i="19" s="1"/>
  <c r="CS135" i="35"/>
  <c r="CT135" i="35" s="1"/>
  <c r="GQ135" i="35" s="1"/>
  <c r="CY135" i="35"/>
  <c r="X135" i="19" s="1"/>
  <c r="V62" i="19"/>
  <c r="GT62" i="35"/>
  <c r="CA161" i="35"/>
  <c r="H57" i="19"/>
  <c r="GH135" i="35"/>
  <c r="GV135" i="35" s="1"/>
  <c r="HD135" i="35" s="1"/>
  <c r="HG135" i="35" s="1"/>
  <c r="CA84" i="35"/>
  <c r="HE47" i="35"/>
  <c r="HH47" i="35"/>
  <c r="HG47" i="35"/>
  <c r="CU47" i="35"/>
  <c r="T47" i="19" s="1"/>
  <c r="CV47" i="35"/>
  <c r="U47" i="19" s="1"/>
  <c r="CQ56" i="35"/>
  <c r="Q56" i="19" s="1"/>
  <c r="AC56" i="19" s="1"/>
  <c r="K135" i="19"/>
  <c r="CX135" i="35"/>
  <c r="W135" i="19" s="1"/>
  <c r="CO47" i="35"/>
  <c r="R47" i="19"/>
  <c r="DR163" i="35"/>
  <c r="DV163" i="35" s="1"/>
  <c r="CJ167" i="35"/>
  <c r="CT47" i="35"/>
  <c r="GQ47" i="35" s="1"/>
  <c r="M47" i="19"/>
  <c r="O56" i="19"/>
  <c r="CW47" i="35"/>
  <c r="V47" i="19" s="1"/>
  <c r="CI163" i="35"/>
  <c r="I163" i="19" s="1"/>
  <c r="CH163" i="35"/>
  <c r="J163" i="19" s="1"/>
  <c r="CI167" i="35"/>
  <c r="DR167" i="35"/>
  <c r="DT167" i="35" s="1"/>
  <c r="HF30" i="35"/>
  <c r="CA205" i="35"/>
  <c r="DC205" i="35" s="1"/>
  <c r="CF205" i="35"/>
  <c r="CG205" i="35" s="1"/>
  <c r="CJ205" i="35" s="1"/>
  <c r="FP30" i="35"/>
  <c r="FR30" i="35" s="1"/>
  <c r="FT30" i="35" s="1"/>
  <c r="FW30" i="35"/>
  <c r="FZ30" i="35" s="1"/>
  <c r="GB30" i="35" s="1"/>
  <c r="DR57" i="35"/>
  <c r="DT57" i="35" s="1"/>
  <c r="CJ57" i="35"/>
  <c r="I57" i="19" s="1"/>
  <c r="CH34" i="35"/>
  <c r="J34" i="19" s="1"/>
  <c r="DT76" i="35"/>
  <c r="HG30" i="35"/>
  <c r="EW163" i="35"/>
  <c r="GJ117" i="35"/>
  <c r="GX117" i="35" s="1"/>
  <c r="HH30" i="35"/>
  <c r="HH144" i="35"/>
  <c r="HG144" i="35"/>
  <c r="HF144" i="35"/>
  <c r="HE144" i="35"/>
  <c r="CS144" i="35"/>
  <c r="DA144" i="35"/>
  <c r="Z144" i="19" s="1"/>
  <c r="K144" i="19"/>
  <c r="CZ144" i="35"/>
  <c r="Y144" i="19" s="1"/>
  <c r="CX144" i="35"/>
  <c r="W144" i="19" s="1"/>
  <c r="FN144" i="35"/>
  <c r="CM144" i="35"/>
  <c r="CY144" i="35"/>
  <c r="X144" i="19" s="1"/>
  <c r="GL30" i="35"/>
  <c r="GZ30" i="35" s="1"/>
  <c r="HB30" i="35" s="1"/>
  <c r="O30" i="19"/>
  <c r="CQ30" i="35"/>
  <c r="FP32" i="35"/>
  <c r="FR32" i="35" s="1"/>
  <c r="FT32" i="35" s="1"/>
  <c r="FV32" i="35"/>
  <c r="CV32" i="35"/>
  <c r="K147" i="19"/>
  <c r="CZ147" i="35"/>
  <c r="Y147" i="19" s="1"/>
  <c r="R30" i="19"/>
  <c r="CV30" i="35"/>
  <c r="CU30" i="35"/>
  <c r="CT30" i="35"/>
  <c r="CT3" i="35" s="1"/>
  <c r="GP30" i="35"/>
  <c r="CW30" i="35"/>
  <c r="HG81" i="35"/>
  <c r="I108" i="19"/>
  <c r="DV58" i="35"/>
  <c r="DR43" i="35"/>
  <c r="DT43" i="35" s="1"/>
  <c r="CO114" i="35"/>
  <c r="GJ114" i="35"/>
  <c r="GX114" i="35" s="1"/>
  <c r="M114" i="19"/>
  <c r="DT60" i="35"/>
  <c r="CI76" i="35"/>
  <c r="GH147" i="35"/>
  <c r="GV147" i="35" s="1"/>
  <c r="HD147" i="35" s="1"/>
  <c r="HF147" i="35" s="1"/>
  <c r="H43" i="19"/>
  <c r="CJ76" i="35"/>
  <c r="CI43" i="35"/>
  <c r="I43" i="19" s="1"/>
  <c r="M124" i="19"/>
  <c r="GN124" i="35"/>
  <c r="CX147" i="35"/>
  <c r="W147" i="19" s="1"/>
  <c r="GL86" i="35"/>
  <c r="GZ86" i="35" s="1"/>
  <c r="HB86" i="35" s="1"/>
  <c r="CQ86" i="35"/>
  <c r="O86" i="19"/>
  <c r="FW124" i="35"/>
  <c r="FZ124" i="35" s="1"/>
  <c r="GB124" i="35" s="1"/>
  <c r="U86" i="19"/>
  <c r="GS86" i="35"/>
  <c r="M81" i="19"/>
  <c r="T86" i="19"/>
  <c r="GR86" i="35"/>
  <c r="CO81" i="35"/>
  <c r="GL81" i="35" s="1"/>
  <c r="GZ81" i="35" s="1"/>
  <c r="HB81" i="35" s="1"/>
  <c r="FP124" i="35"/>
  <c r="FR124" i="35" s="1"/>
  <c r="FT124" i="35" s="1"/>
  <c r="FX86" i="35"/>
  <c r="FW86" i="35"/>
  <c r="FZ86" i="35" s="1"/>
  <c r="GB86" i="35" s="1"/>
  <c r="GQ86" i="35"/>
  <c r="S86" i="19"/>
  <c r="HJ54" i="35"/>
  <c r="GT86" i="35"/>
  <c r="V86" i="19"/>
  <c r="GL59" i="35"/>
  <c r="GZ59" i="35" s="1"/>
  <c r="HB59" i="35" s="1"/>
  <c r="O59" i="19"/>
  <c r="CQ59" i="35"/>
  <c r="FW59" i="35"/>
  <c r="FZ59" i="35" s="1"/>
  <c r="GB59" i="35" s="1"/>
  <c r="FX59" i="35"/>
  <c r="J155" i="19"/>
  <c r="FN147" i="35"/>
  <c r="FP147" i="35" s="1"/>
  <c r="FR147" i="35" s="1"/>
  <c r="CM147" i="35"/>
  <c r="CO147" i="35" s="1"/>
  <c r="GJ138" i="35"/>
  <c r="GX138" i="35" s="1"/>
  <c r="CO138" i="35"/>
  <c r="M138" i="19"/>
  <c r="CF13" i="35"/>
  <c r="CG13" i="35" s="1"/>
  <c r="CJ13" i="35" s="1"/>
  <c r="HH124" i="35"/>
  <c r="HE124" i="35"/>
  <c r="HF124" i="35"/>
  <c r="HG124" i="35"/>
  <c r="GJ124" i="35"/>
  <c r="GX124" i="35" s="1"/>
  <c r="CU124" i="35"/>
  <c r="R124" i="19"/>
  <c r="CV124" i="35"/>
  <c r="GP124" i="35"/>
  <c r="CT124" i="35"/>
  <c r="CW124" i="35"/>
  <c r="CT147" i="35"/>
  <c r="R147" i="19"/>
  <c r="HG53" i="35"/>
  <c r="HE53" i="35"/>
  <c r="HF53" i="35"/>
  <c r="HH53" i="35"/>
  <c r="GJ53" i="35"/>
  <c r="GX53" i="35" s="1"/>
  <c r="M53" i="19"/>
  <c r="GL124" i="35"/>
  <c r="GZ124" i="35" s="1"/>
  <c r="HB124" i="35" s="1"/>
  <c r="FP36" i="35"/>
  <c r="FR36" i="35" s="1"/>
  <c r="FT36" i="35" s="1"/>
  <c r="FV36" i="35"/>
  <c r="O124" i="19"/>
  <c r="HG36" i="35"/>
  <c r="HH36" i="35"/>
  <c r="HE36" i="35"/>
  <c r="HF36" i="35"/>
  <c r="CK60" i="35"/>
  <c r="DA147" i="35"/>
  <c r="Z147" i="19" s="1"/>
  <c r="CY147" i="35"/>
  <c r="X147" i="19" s="1"/>
  <c r="CW53" i="35"/>
  <c r="H29" i="19"/>
  <c r="H76" i="19"/>
  <c r="BT190" i="35"/>
  <c r="HF54" i="35"/>
  <c r="HE54" i="35"/>
  <c r="S75" i="19"/>
  <c r="GQ75" i="35"/>
  <c r="CT121" i="35"/>
  <c r="R121" i="19"/>
  <c r="CW121" i="35"/>
  <c r="CU121" i="35"/>
  <c r="GP121" i="35"/>
  <c r="CV121" i="35"/>
  <c r="M78" i="19"/>
  <c r="GJ78" i="35"/>
  <c r="GX78" i="35" s="1"/>
  <c r="CO78" i="35"/>
  <c r="CO18" i="35"/>
  <c r="M18" i="19"/>
  <c r="GJ18" i="35"/>
  <c r="GX18" i="35" s="1"/>
  <c r="DC175" i="35"/>
  <c r="CH175" i="35"/>
  <c r="FV156" i="35"/>
  <c r="FP156" i="35"/>
  <c r="FR156" i="35" s="1"/>
  <c r="FT156" i="35" s="1"/>
  <c r="BT196" i="35"/>
  <c r="GH133" i="35"/>
  <c r="GV133" i="35" s="1"/>
  <c r="HD133" i="35" s="1"/>
  <c r="CS133" i="35"/>
  <c r="K133" i="19"/>
  <c r="CY133" i="35"/>
  <c r="X133" i="19" s="1"/>
  <c r="CX133" i="35"/>
  <c r="W133" i="19" s="1"/>
  <c r="CZ133" i="35"/>
  <c r="Y133" i="19" s="1"/>
  <c r="FN133" i="35"/>
  <c r="DA133" i="35"/>
  <c r="Z133" i="19" s="1"/>
  <c r="CM133" i="35"/>
  <c r="BT197" i="35"/>
  <c r="BW197" i="35" s="1"/>
  <c r="BY197" i="35" s="1"/>
  <c r="BZ197" i="35" s="1"/>
  <c r="GS75" i="35"/>
  <c r="U75" i="19"/>
  <c r="CA40" i="35"/>
  <c r="CF40" i="35"/>
  <c r="CG40" i="35" s="1"/>
  <c r="CV78" i="35"/>
  <c r="CT78" i="35"/>
  <c r="R78" i="19"/>
  <c r="GP78" i="35"/>
  <c r="CU78" i="35"/>
  <c r="CW78" i="35"/>
  <c r="GP18" i="35"/>
  <c r="CT18" i="35"/>
  <c r="CW18" i="35"/>
  <c r="CU18" i="35"/>
  <c r="R18" i="19"/>
  <c r="CV18" i="35"/>
  <c r="CV147" i="35"/>
  <c r="GS147" i="35" s="1"/>
  <c r="GP147" i="35"/>
  <c r="GL31" i="35"/>
  <c r="GZ31" i="35" s="1"/>
  <c r="HB31" i="35" s="1"/>
  <c r="CQ31" i="35"/>
  <c r="O31" i="19"/>
  <c r="FX81" i="35"/>
  <c r="FW81" i="35"/>
  <c r="FZ81" i="35" s="1"/>
  <c r="GB81" i="35" s="1"/>
  <c r="V75" i="19"/>
  <c r="GT75" i="35"/>
  <c r="FV121" i="35"/>
  <c r="FP121" i="35"/>
  <c r="FR121" i="35" s="1"/>
  <c r="CY153" i="35"/>
  <c r="X153" i="19" s="1"/>
  <c r="CZ153" i="35"/>
  <c r="Y153" i="19" s="1"/>
  <c r="GH153" i="35"/>
  <c r="GV153" i="35" s="1"/>
  <c r="HD153" i="35" s="1"/>
  <c r="CS153" i="35"/>
  <c r="DA153" i="35"/>
  <c r="Z153" i="19" s="1"/>
  <c r="CM153" i="35"/>
  <c r="CX153" i="35"/>
  <c r="W153" i="19" s="1"/>
  <c r="K153" i="19"/>
  <c r="FN153" i="35"/>
  <c r="CA131" i="35"/>
  <c r="CF131" i="35"/>
  <c r="CG131" i="35" s="1"/>
  <c r="EW131" i="35" s="1"/>
  <c r="CJ175" i="35"/>
  <c r="H175" i="19"/>
  <c r="EW175" i="35"/>
  <c r="CI175" i="35"/>
  <c r="DR175" i="35"/>
  <c r="GT31" i="35"/>
  <c r="V31" i="19"/>
  <c r="FP78" i="35"/>
  <c r="FR78" i="35" s="1"/>
  <c r="FT78" i="35" s="1"/>
  <c r="FV78" i="35"/>
  <c r="CT142" i="35"/>
  <c r="CW142" i="35"/>
  <c r="R142" i="19"/>
  <c r="GP142" i="35"/>
  <c r="CU142" i="35"/>
  <c r="CV142" i="35"/>
  <c r="GP156" i="35"/>
  <c r="R156" i="19"/>
  <c r="CU156" i="35"/>
  <c r="CV156" i="35"/>
  <c r="CW156" i="35"/>
  <c r="CT156" i="35"/>
  <c r="FP48" i="35"/>
  <c r="FR48" i="35" s="1"/>
  <c r="FT48" i="35" s="1"/>
  <c r="FV48" i="35"/>
  <c r="CH43" i="35"/>
  <c r="J43" i="19" s="1"/>
  <c r="DC43" i="35"/>
  <c r="BT211" i="35"/>
  <c r="CO89" i="35"/>
  <c r="GJ89" i="35"/>
  <c r="GX89" i="35" s="1"/>
  <c r="M89" i="19"/>
  <c r="CO142" i="35"/>
  <c r="M142" i="19"/>
  <c r="GJ142" i="35"/>
  <c r="GX142" i="35" s="1"/>
  <c r="FW75" i="35"/>
  <c r="FZ75" i="35" s="1"/>
  <c r="GB75" i="35" s="1"/>
  <c r="FX75" i="35"/>
  <c r="T75" i="19"/>
  <c r="GR75" i="35"/>
  <c r="HG121" i="35"/>
  <c r="HF121" i="35"/>
  <c r="HH121" i="35"/>
  <c r="HE121" i="35"/>
  <c r="CA182" i="35"/>
  <c r="CF182" i="35"/>
  <c r="CG182" i="35" s="1"/>
  <c r="CA23" i="35"/>
  <c r="CF23" i="35"/>
  <c r="CG23" i="35" s="1"/>
  <c r="BT217" i="35"/>
  <c r="CH76" i="35"/>
  <c r="J76" i="19" s="1"/>
  <c r="DC76" i="35"/>
  <c r="FW31" i="35"/>
  <c r="FZ31" i="35" s="1"/>
  <c r="GB31" i="35" s="1"/>
  <c r="FX31" i="35"/>
  <c r="HF89" i="35"/>
  <c r="HG89" i="35"/>
  <c r="HE89" i="35"/>
  <c r="HH89" i="35"/>
  <c r="BT206" i="35"/>
  <c r="CU89" i="35"/>
  <c r="CV89" i="35"/>
  <c r="GP89" i="35"/>
  <c r="R89" i="19"/>
  <c r="CT89" i="35"/>
  <c r="CW89" i="35"/>
  <c r="HE67" i="35"/>
  <c r="HF67" i="35"/>
  <c r="HG67" i="35"/>
  <c r="HH67" i="35"/>
  <c r="FP14" i="35"/>
  <c r="FR14" i="35" s="1"/>
  <c r="FT14" i="35" s="1"/>
  <c r="FV14" i="35"/>
  <c r="GJ121" i="35"/>
  <c r="GX121" i="35" s="1"/>
  <c r="CO121" i="35"/>
  <c r="M121" i="19"/>
  <c r="DC70" i="35"/>
  <c r="CH70" i="35"/>
  <c r="J70" i="19" s="1"/>
  <c r="HF14" i="35"/>
  <c r="HE14" i="35"/>
  <c r="HG14" i="35"/>
  <c r="HH14" i="35"/>
  <c r="CH29" i="35"/>
  <c r="J29" i="19" s="1"/>
  <c r="DC29" i="35"/>
  <c r="CJ29" i="35"/>
  <c r="I29" i="19" s="1"/>
  <c r="CU147" i="35"/>
  <c r="T147" i="19" s="1"/>
  <c r="CW147" i="35"/>
  <c r="V147" i="19" s="1"/>
  <c r="BT207" i="35"/>
  <c r="BW207" i="35" s="1"/>
  <c r="BY207" i="35" s="1"/>
  <c r="BZ207" i="35" s="1"/>
  <c r="BT210" i="35"/>
  <c r="FP89" i="35"/>
  <c r="FR89" i="35" s="1"/>
  <c r="FT89" i="35" s="1"/>
  <c r="FV89" i="35"/>
  <c r="CO156" i="35"/>
  <c r="GJ156" i="35"/>
  <c r="GX156" i="35" s="1"/>
  <c r="M156" i="19"/>
  <c r="GP14" i="35"/>
  <c r="R14" i="19"/>
  <c r="CV14" i="35"/>
  <c r="CU14" i="35"/>
  <c r="CW14" i="35"/>
  <c r="CT14" i="35"/>
  <c r="CA179" i="35"/>
  <c r="CF179" i="35"/>
  <c r="CG179" i="35" s="1"/>
  <c r="HH78" i="35"/>
  <c r="HF78" i="35"/>
  <c r="HG78" i="35"/>
  <c r="HE78" i="35"/>
  <c r="FP18" i="35"/>
  <c r="FR18" i="35" s="1"/>
  <c r="FT18" i="35" s="1"/>
  <c r="FV18" i="35"/>
  <c r="U31" i="19"/>
  <c r="GS31" i="35"/>
  <c r="DA100" i="35"/>
  <c r="Z100" i="19" s="1"/>
  <c r="CZ100" i="35"/>
  <c r="Y100" i="19" s="1"/>
  <c r="GH100" i="35"/>
  <c r="GV100" i="35" s="1"/>
  <c r="HD100" i="35" s="1"/>
  <c r="CM100" i="35"/>
  <c r="K100" i="19"/>
  <c r="FN100" i="35"/>
  <c r="CY100" i="35"/>
  <c r="X100" i="19" s="1"/>
  <c r="CS100" i="35"/>
  <c r="CX100" i="35"/>
  <c r="W100" i="19" s="1"/>
  <c r="HE156" i="35"/>
  <c r="HG156" i="35"/>
  <c r="HF156" i="35"/>
  <c r="HH156" i="35"/>
  <c r="HH18" i="35"/>
  <c r="HE18" i="35"/>
  <c r="HG18" i="35"/>
  <c r="HF18" i="35"/>
  <c r="BT176" i="35"/>
  <c r="GL75" i="35"/>
  <c r="GZ75" i="35" s="1"/>
  <c r="HB75" i="35" s="1"/>
  <c r="O75" i="19"/>
  <c r="CQ75" i="35"/>
  <c r="GJ14" i="35"/>
  <c r="GX14" i="35" s="1"/>
  <c r="M14" i="19"/>
  <c r="CO14" i="35"/>
  <c r="CA51" i="35"/>
  <c r="CF51" i="35"/>
  <c r="CG51" i="35" s="1"/>
  <c r="DR181" i="35"/>
  <c r="CJ181" i="35"/>
  <c r="CI181" i="35"/>
  <c r="H181" i="19"/>
  <c r="T31" i="19"/>
  <c r="GR31" i="35"/>
  <c r="CO48" i="35"/>
  <c r="GJ48" i="35"/>
  <c r="GX48" i="35" s="1"/>
  <c r="M48" i="19"/>
  <c r="CK108" i="35"/>
  <c r="CZ108" i="35" s="1"/>
  <c r="Y108" i="19" s="1"/>
  <c r="CV67" i="35"/>
  <c r="GP67" i="35"/>
  <c r="CW67" i="35"/>
  <c r="CT67" i="35"/>
  <c r="CU67" i="35"/>
  <c r="R67" i="19"/>
  <c r="CF24" i="35"/>
  <c r="CG24" i="35" s="1"/>
  <c r="CA24" i="35"/>
  <c r="DC181" i="35"/>
  <c r="CH181" i="35"/>
  <c r="S31" i="19"/>
  <c r="GQ31" i="35"/>
  <c r="CA103" i="35"/>
  <c r="CF103" i="35"/>
  <c r="CG103" i="35" s="1"/>
  <c r="CT48" i="35"/>
  <c r="CU48" i="35"/>
  <c r="R48" i="19"/>
  <c r="CW48" i="35"/>
  <c r="GP48" i="35"/>
  <c r="CV48" i="35"/>
  <c r="DR29" i="35"/>
  <c r="DV29" i="35" s="1"/>
  <c r="BT212" i="35"/>
  <c r="R33" i="19"/>
  <c r="HG48" i="35"/>
  <c r="HF48" i="35"/>
  <c r="HE48" i="35"/>
  <c r="HH48" i="35"/>
  <c r="HE109" i="35"/>
  <c r="CI66" i="35"/>
  <c r="HF109" i="35"/>
  <c r="HH54" i="35"/>
  <c r="CJ66" i="35"/>
  <c r="DR66" i="35"/>
  <c r="DV66" i="35" s="1"/>
  <c r="HH109" i="35"/>
  <c r="CJ172" i="35"/>
  <c r="H172" i="19"/>
  <c r="CI172" i="35"/>
  <c r="DR172" i="35"/>
  <c r="EW172" i="35"/>
  <c r="DR161" i="35"/>
  <c r="CI161" i="35"/>
  <c r="CJ161" i="35"/>
  <c r="H161" i="19"/>
  <c r="EW161" i="35"/>
  <c r="FP54" i="35"/>
  <c r="FR54" i="35" s="1"/>
  <c r="FT54" i="35" s="1"/>
  <c r="FV54" i="35"/>
  <c r="GH141" i="35"/>
  <c r="GV141" i="35" s="1"/>
  <c r="HD141" i="35" s="1"/>
  <c r="CS141" i="35"/>
  <c r="FN141" i="35"/>
  <c r="CZ141" i="35"/>
  <c r="Y141" i="19" s="1"/>
  <c r="CM141" i="35"/>
  <c r="DA141" i="35"/>
  <c r="Z141" i="19" s="1"/>
  <c r="CY141" i="35"/>
  <c r="X141" i="19" s="1"/>
  <c r="CX141" i="35"/>
  <c r="W141" i="19" s="1"/>
  <c r="K141" i="19"/>
  <c r="CW54" i="35"/>
  <c r="R54" i="19"/>
  <c r="CU54" i="35"/>
  <c r="CV54" i="35"/>
  <c r="CT54" i="35"/>
  <c r="GP54" i="35"/>
  <c r="DC110" i="35"/>
  <c r="CH110" i="35"/>
  <c r="J110" i="19" s="1"/>
  <c r="CH17" i="35"/>
  <c r="J17" i="19" s="1"/>
  <c r="DC17" i="35"/>
  <c r="BR191" i="35"/>
  <c r="BR185" i="35"/>
  <c r="BR183" i="35"/>
  <c r="BR166" i="35"/>
  <c r="BT166" i="35" s="1"/>
  <c r="BW166" i="35" s="1"/>
  <c r="BY166" i="35" s="1"/>
  <c r="BZ166" i="35" s="1"/>
  <c r="BR186" i="35"/>
  <c r="BR189" i="35"/>
  <c r="BR165" i="35"/>
  <c r="BR192" i="35"/>
  <c r="BR174" i="35"/>
  <c r="BR173" i="35"/>
  <c r="BR171" i="35"/>
  <c r="BR208" i="35"/>
  <c r="DV34" i="35"/>
  <c r="DT70" i="35"/>
  <c r="DT17" i="35"/>
  <c r="BL248" i="35"/>
  <c r="BN248" i="35" s="1"/>
  <c r="BP248" i="35" s="1"/>
  <c r="BL193" i="35"/>
  <c r="BN193" i="35" s="1"/>
  <c r="BP193" i="35" s="1"/>
  <c r="BL251" i="35"/>
  <c r="BN251" i="35" s="1"/>
  <c r="BP251" i="35" s="1"/>
  <c r="BL234" i="35"/>
  <c r="BN234" i="35" s="1"/>
  <c r="BP234" i="35" s="1"/>
  <c r="BL184" i="35"/>
  <c r="BN184" i="35" s="1"/>
  <c r="BP184" i="35" s="1"/>
  <c r="BL226" i="35"/>
  <c r="BN226" i="35" s="1"/>
  <c r="BP226" i="35" s="1"/>
  <c r="BL229" i="35"/>
  <c r="BN229" i="35" s="1"/>
  <c r="BP229" i="35" s="1"/>
  <c r="BL224" i="35"/>
  <c r="BN224" i="35" s="1"/>
  <c r="BP224" i="35" s="1"/>
  <c r="BL237" i="35"/>
  <c r="BN237" i="35" s="1"/>
  <c r="BP237" i="35" s="1"/>
  <c r="BL253" i="35"/>
  <c r="BN253" i="35" s="1"/>
  <c r="BP253" i="35" s="1"/>
  <c r="BL177" i="35"/>
  <c r="BN177" i="35" s="1"/>
  <c r="BP177" i="35" s="1"/>
  <c r="CJ7" i="35"/>
  <c r="DR7" i="35"/>
  <c r="H7" i="19"/>
  <c r="CI7" i="35"/>
  <c r="BJ215" i="35"/>
  <c r="BL215" i="35" s="1"/>
  <c r="BN215" i="35" s="1"/>
  <c r="BP215" i="35" s="1"/>
  <c r="BJ194" i="35"/>
  <c r="BL194" i="35" s="1"/>
  <c r="BN194" i="35" s="1"/>
  <c r="BP194" i="35" s="1"/>
  <c r="BH222" i="35"/>
  <c r="BH221" i="35"/>
  <c r="BJ221" i="35" s="1"/>
  <c r="BH213" i="35"/>
  <c r="BH209" i="35"/>
  <c r="BJ209" i="35" s="1"/>
  <c r="BH203" i="35"/>
  <c r="BH216" i="35"/>
  <c r="BH214" i="35"/>
  <c r="BH198" i="35"/>
  <c r="BH199" i="35"/>
  <c r="BH218" i="35"/>
  <c r="BH220" i="35"/>
  <c r="BH201" i="35"/>
  <c r="BF223" i="35"/>
  <c r="BF252" i="35"/>
  <c r="BF200" i="35"/>
  <c r="BF236" i="35"/>
  <c r="BF204" i="35"/>
  <c r="BD247" i="35"/>
  <c r="BD243" i="35"/>
  <c r="BD249" i="35"/>
  <c r="BD240" i="35"/>
  <c r="BD230" i="35"/>
  <c r="BD235" i="35"/>
  <c r="BD246" i="35"/>
  <c r="BD227" i="35"/>
  <c r="BD231" i="35"/>
  <c r="BD232" i="35"/>
  <c r="BD241" i="35"/>
  <c r="BD244" i="35"/>
  <c r="BD245" i="35"/>
  <c r="BD238" i="35"/>
  <c r="BA250" i="35"/>
  <c r="BA242" i="35"/>
  <c r="BA269" i="35"/>
  <c r="BD269" i="35" s="1"/>
  <c r="BF269" i="35" s="1"/>
  <c r="BH269" i="35" s="1"/>
  <c r="BJ269" i="35" s="1"/>
  <c r="BA233" i="35"/>
  <c r="BD233" i="35" s="1"/>
  <c r="BF233" i="35" s="1"/>
  <c r="BH233" i="35" s="1"/>
  <c r="BJ233" i="35" s="1"/>
  <c r="BA258" i="35"/>
  <c r="BA261" i="35"/>
  <c r="BD261" i="35" s="1"/>
  <c r="BF261" i="35" s="1"/>
  <c r="BH261" i="35" s="1"/>
  <c r="BJ261" i="35" s="1"/>
  <c r="BA257" i="35"/>
  <c r="BA277" i="35"/>
  <c r="BD277" i="35" s="1"/>
  <c r="BF277" i="35" s="1"/>
  <c r="BH277" i="35" s="1"/>
  <c r="BJ277" i="35" s="1"/>
  <c r="BA228" i="35"/>
  <c r="BD228" i="35" s="1"/>
  <c r="BF228" i="35" s="1"/>
  <c r="BH228" i="35" s="1"/>
  <c r="BJ228" i="35" s="1"/>
  <c r="BA254" i="35"/>
  <c r="BD254" i="35" s="1"/>
  <c r="BF254" i="35" s="1"/>
  <c r="BH254" i="35" s="1"/>
  <c r="BJ254" i="35" s="1"/>
  <c r="BA262" i="35"/>
  <c r="BA239" i="35"/>
  <c r="BA225" i="35"/>
  <c r="BD225" i="35" s="1"/>
  <c r="BF225" i="35" s="1"/>
  <c r="BH225" i="35" s="1"/>
  <c r="BJ225" i="35" s="1"/>
  <c r="AZ267" i="35"/>
  <c r="AZ268" i="35"/>
  <c r="AZ276" i="35"/>
  <c r="AZ260" i="35"/>
  <c r="AZ280" i="35"/>
  <c r="AZ266" i="35"/>
  <c r="AZ265" i="35"/>
  <c r="AZ264" i="35"/>
  <c r="AZ259" i="35"/>
  <c r="AZ273" i="35"/>
  <c r="AZ255" i="35"/>
  <c r="AZ279" i="35"/>
  <c r="AZ256" i="35"/>
  <c r="AZ278" i="35"/>
  <c r="AZ282" i="35"/>
  <c r="AZ271" i="35"/>
  <c r="AZ274" i="35"/>
  <c r="AZ284" i="35"/>
  <c r="AZ275" i="35"/>
  <c r="AX283" i="35"/>
  <c r="AX281" i="35"/>
  <c r="AX272" i="35"/>
  <c r="AX263" i="35"/>
  <c r="AO317" i="35"/>
  <c r="AP317" i="35" s="1"/>
  <c r="AQ317" i="35" s="1"/>
  <c r="AO323" i="35"/>
  <c r="AP323" i="35" s="1"/>
  <c r="AQ323" i="35" s="1"/>
  <c r="AO320" i="35"/>
  <c r="AP320" i="35" s="1"/>
  <c r="AQ320" i="35" s="1"/>
  <c r="AO330" i="35"/>
  <c r="AP330" i="35" s="1"/>
  <c r="AQ330" i="35" s="1"/>
  <c r="AO335" i="35"/>
  <c r="AP335" i="35" s="1"/>
  <c r="AQ335" i="35" s="1"/>
  <c r="AO334" i="35"/>
  <c r="AP334" i="35" s="1"/>
  <c r="AQ334" i="35" s="1"/>
  <c r="AO344" i="35"/>
  <c r="AP344" i="35" s="1"/>
  <c r="AQ344" i="35" s="1"/>
  <c r="AO322" i="35"/>
  <c r="AP322" i="35" s="1"/>
  <c r="AQ322" i="35" s="1"/>
  <c r="AO333" i="35"/>
  <c r="AP333" i="35" s="1"/>
  <c r="AQ333" i="35" s="1"/>
  <c r="AO318" i="35"/>
  <c r="AP318" i="35" s="1"/>
  <c r="AQ318" i="35" s="1"/>
  <c r="AO321" i="35"/>
  <c r="AP321" i="35" s="1"/>
  <c r="AQ321" i="35" s="1"/>
  <c r="AO331" i="35"/>
  <c r="AP331" i="35" s="1"/>
  <c r="AQ331" i="35" s="1"/>
  <c r="AO337" i="35"/>
  <c r="AP337" i="35" s="1"/>
  <c r="AQ337" i="35" s="1"/>
  <c r="AO327" i="35"/>
  <c r="AP327" i="35" s="1"/>
  <c r="AQ327" i="35" s="1"/>
  <c r="AO345" i="35"/>
  <c r="AP345" i="35" s="1"/>
  <c r="AQ345" i="35" s="1"/>
  <c r="AO338" i="35"/>
  <c r="AP338" i="35" s="1"/>
  <c r="AQ338" i="35" s="1"/>
  <c r="AO340" i="35"/>
  <c r="AP340" i="35" s="1"/>
  <c r="AQ340" i="35" s="1"/>
  <c r="AO343" i="35"/>
  <c r="AP343" i="35" s="1"/>
  <c r="AQ343" i="35" s="1"/>
  <c r="AO326" i="35"/>
  <c r="AP326" i="35" s="1"/>
  <c r="AQ326" i="35" s="1"/>
  <c r="AO342" i="35"/>
  <c r="AP342" i="35" s="1"/>
  <c r="AQ342" i="35" s="1"/>
  <c r="AO341" i="35"/>
  <c r="AP341" i="35" s="1"/>
  <c r="AQ341" i="35" s="1"/>
  <c r="AO325" i="35"/>
  <c r="AP325" i="35" s="1"/>
  <c r="AQ325" i="35" s="1"/>
  <c r="AO339" i="35"/>
  <c r="AP339" i="35" s="1"/>
  <c r="AQ339" i="35" s="1"/>
  <c r="AO329" i="35"/>
  <c r="AP329" i="35" s="1"/>
  <c r="AQ329" i="35" s="1"/>
  <c r="AO346" i="35"/>
  <c r="AP346" i="35" s="1"/>
  <c r="AQ346" i="35" s="1"/>
  <c r="AO332" i="35"/>
  <c r="AP332" i="35" s="1"/>
  <c r="AQ332" i="35" s="1"/>
  <c r="AO324" i="35"/>
  <c r="AP324" i="35" s="1"/>
  <c r="AQ324" i="35" s="1"/>
  <c r="AO328" i="35"/>
  <c r="AP328" i="35" s="1"/>
  <c r="AQ328" i="35" s="1"/>
  <c r="AO336" i="35"/>
  <c r="AP336" i="35" s="1"/>
  <c r="AQ336" i="35" s="1"/>
  <c r="AO319" i="35"/>
  <c r="AP319" i="35" s="1"/>
  <c r="AQ319" i="35" s="1"/>
  <c r="AX285" i="35"/>
  <c r="AS289" i="35"/>
  <c r="AU306" i="35"/>
  <c r="AW306" i="35" s="1"/>
  <c r="AS303" i="35"/>
  <c r="AX270" i="35"/>
  <c r="AZ270" i="35" s="1"/>
  <c r="DO262" i="35"/>
  <c r="DN262" i="35" s="1"/>
  <c r="DO268" i="35"/>
  <c r="DN268" i="35" s="1"/>
  <c r="DO267" i="35"/>
  <c r="DN267" i="35" s="1"/>
  <c r="DO259" i="35"/>
  <c r="DN259" i="35" s="1"/>
  <c r="DP258" i="35"/>
  <c r="DP271" i="35"/>
  <c r="DO260" i="35"/>
  <c r="DN260" i="35" s="1"/>
  <c r="DO255" i="35"/>
  <c r="DN255" i="35" s="1"/>
  <c r="DO256" i="35"/>
  <c r="DN256" i="35" s="1"/>
  <c r="AS306" i="35"/>
  <c r="AU303" i="35"/>
  <c r="AW303" i="35" s="1"/>
  <c r="DO274" i="35"/>
  <c r="DN274" i="35" s="1"/>
  <c r="DB295" i="35"/>
  <c r="DB290" i="35"/>
  <c r="DB314" i="35"/>
  <c r="DB294" i="35"/>
  <c r="DB291" i="35"/>
  <c r="DB309" i="35"/>
  <c r="DB300" i="35"/>
  <c r="DB305" i="35"/>
  <c r="DB296" i="35"/>
  <c r="DB299" i="35"/>
  <c r="DB313" i="35"/>
  <c r="DB292" i="35"/>
  <c r="DB286" i="35"/>
  <c r="DB311" i="35"/>
  <c r="DB293" i="35"/>
  <c r="DB308" i="35"/>
  <c r="DB302" i="35"/>
  <c r="DB315" i="35"/>
  <c r="DB304" i="35"/>
  <c r="DB288" i="35"/>
  <c r="DB310" i="35"/>
  <c r="DP277" i="35"/>
  <c r="DB289" i="35"/>
  <c r="DB298" i="35"/>
  <c r="DB307" i="35"/>
  <c r="DB287" i="35"/>
  <c r="DB297" i="35"/>
  <c r="DB312" i="35"/>
  <c r="DB301" i="35"/>
  <c r="DB306" i="35"/>
  <c r="DB303" i="35"/>
  <c r="DO266" i="35"/>
  <c r="DN266" i="35" s="1"/>
  <c r="AU300" i="35"/>
  <c r="AW300" i="35" s="1"/>
  <c r="DO278" i="35"/>
  <c r="DN278" i="35" s="1"/>
  <c r="DO261" i="35"/>
  <c r="DN261" i="35" s="1"/>
  <c r="DO273" i="35"/>
  <c r="DN273" i="35" s="1"/>
  <c r="AS302" i="35"/>
  <c r="AU289" i="35"/>
  <c r="AW289" i="35" s="1"/>
  <c r="AU298" i="35"/>
  <c r="AV298" i="35" s="1"/>
  <c r="DO298" i="35" s="1"/>
  <c r="DN298" i="35" s="1"/>
  <c r="DO275" i="35"/>
  <c r="DN275" i="35" s="1"/>
  <c r="AS298" i="35"/>
  <c r="AS295" i="35"/>
  <c r="AU295" i="35"/>
  <c r="AW295" i="35" s="1"/>
  <c r="AS300" i="35"/>
  <c r="AU302" i="35"/>
  <c r="AW302" i="35" s="1"/>
  <c r="AS311" i="35"/>
  <c r="AU305" i="35"/>
  <c r="AW305" i="35" s="1"/>
  <c r="AU311" i="35"/>
  <c r="AW311" i="35" s="1"/>
  <c r="AS305" i="35"/>
  <c r="DO264" i="35"/>
  <c r="DN264" i="35" s="1"/>
  <c r="DO265" i="35"/>
  <c r="DN265" i="35" s="1"/>
  <c r="DP282" i="35"/>
  <c r="DO257" i="35"/>
  <c r="DN257" i="35" s="1"/>
  <c r="DO284" i="35"/>
  <c r="DN284" i="35" s="1"/>
  <c r="DP279" i="35"/>
  <c r="AU301" i="35"/>
  <c r="AV301" i="35" s="1"/>
  <c r="DP301" i="35" s="1"/>
  <c r="DO276" i="35"/>
  <c r="DN276" i="35" s="1"/>
  <c r="DP280" i="35"/>
  <c r="AS301" i="35"/>
  <c r="AS312" i="35"/>
  <c r="AU312" i="35"/>
  <c r="AW312" i="35" s="1"/>
  <c r="AV285" i="35"/>
  <c r="DP285" i="35" s="1"/>
  <c r="AS291" i="35"/>
  <c r="AU290" i="35"/>
  <c r="AW290" i="35" s="1"/>
  <c r="AU291" i="35"/>
  <c r="AW291" i="35" s="1"/>
  <c r="AS290" i="35"/>
  <c r="AS294" i="35"/>
  <c r="AU294" i="35"/>
  <c r="AW294" i="35" s="1"/>
  <c r="AU309" i="35"/>
  <c r="AW309" i="35" s="1"/>
  <c r="AS314" i="35"/>
  <c r="AS309" i="35"/>
  <c r="AU314" i="35"/>
  <c r="AW314" i="35" s="1"/>
  <c r="AU287" i="35"/>
  <c r="AW287" i="35" s="1"/>
  <c r="AS287" i="35"/>
  <c r="AS315" i="35"/>
  <c r="DP269" i="35"/>
  <c r="AS304" i="35"/>
  <c r="AS313" i="35"/>
  <c r="AU286" i="35"/>
  <c r="AV286" i="35" s="1"/>
  <c r="AU313" i="35"/>
  <c r="AW313" i="35" s="1"/>
  <c r="AS286" i="35"/>
  <c r="AU292" i="35"/>
  <c r="AW292" i="35" s="1"/>
  <c r="AU304" i="35"/>
  <c r="AW304" i="35" s="1"/>
  <c r="AS292" i="35"/>
  <c r="AS297" i="35"/>
  <c r="AU297" i="35"/>
  <c r="AV297" i="35" s="1"/>
  <c r="DP297" i="35" s="1"/>
  <c r="AU315" i="35"/>
  <c r="AV315" i="35" s="1"/>
  <c r="AS293" i="35"/>
  <c r="AU293" i="35"/>
  <c r="AW293" i="35" s="1"/>
  <c r="AU296" i="35"/>
  <c r="AW296" i="35" s="1"/>
  <c r="AS299" i="35"/>
  <c r="AS296" i="35"/>
  <c r="AU299" i="35"/>
  <c r="AW299" i="35" s="1"/>
  <c r="AU307" i="35"/>
  <c r="AW307" i="35" s="1"/>
  <c r="AS307" i="35"/>
  <c r="AU310" i="35"/>
  <c r="AV310" i="35" s="1"/>
  <c r="AU288" i="35"/>
  <c r="AW288" i="35" s="1"/>
  <c r="AS308" i="35"/>
  <c r="AS310" i="35"/>
  <c r="AS288" i="35"/>
  <c r="AU308" i="35"/>
  <c r="AW308" i="35" s="1"/>
  <c r="AT316" i="35"/>
  <c r="AO347" i="35"/>
  <c r="E8" i="5"/>
  <c r="E8" i="39" s="1"/>
  <c r="N8" i="39" s="1"/>
  <c r="X8" i="39" s="1"/>
  <c r="B55" i="37"/>
  <c r="AP21" i="37"/>
  <c r="AJ358" i="35"/>
  <c r="AK358" i="35" s="1"/>
  <c r="AJ361" i="35"/>
  <c r="AK361" i="35" s="1"/>
  <c r="AL361" i="35" s="1"/>
  <c r="AJ360" i="35"/>
  <c r="AK360" i="35" s="1"/>
  <c r="AL360" i="35" s="1"/>
  <c r="AJ373" i="35"/>
  <c r="AK373" i="35" s="1"/>
  <c r="AJ375" i="35"/>
  <c r="AK375" i="35" s="1"/>
  <c r="AJ370" i="35"/>
  <c r="AK370" i="35" s="1"/>
  <c r="AJ356" i="35"/>
  <c r="AK356" i="35" s="1"/>
  <c r="AJ354" i="35"/>
  <c r="AK354" i="35" s="1"/>
  <c r="AJ364" i="35"/>
  <c r="AK364" i="35" s="1"/>
  <c r="AJ377" i="35"/>
  <c r="AK377" i="35" s="1"/>
  <c r="AJ355" i="35"/>
  <c r="AK355" i="35" s="1"/>
  <c r="AJ359" i="35"/>
  <c r="AK359" i="35" s="1"/>
  <c r="AJ363" i="35"/>
  <c r="AK363" i="35" s="1"/>
  <c r="AJ353" i="35"/>
  <c r="AK353" i="35" s="1"/>
  <c r="AJ357" i="35"/>
  <c r="AK357" i="35" s="1"/>
  <c r="AJ368" i="35"/>
  <c r="AK368" i="35" s="1"/>
  <c r="AJ369" i="35"/>
  <c r="AK369" i="35" s="1"/>
  <c r="AJ349" i="35"/>
  <c r="AK349" i="35" s="1"/>
  <c r="AJ374" i="35"/>
  <c r="AK374" i="35" s="1"/>
  <c r="AJ371" i="35"/>
  <c r="AK371" i="35" s="1"/>
  <c r="AJ351" i="35"/>
  <c r="AK351" i="35" s="1"/>
  <c r="AJ352" i="35"/>
  <c r="AK352" i="35" s="1"/>
  <c r="AJ350" i="35"/>
  <c r="AK350" i="35" s="1"/>
  <c r="AJ366" i="35"/>
  <c r="AK366" i="35" s="1"/>
  <c r="AJ365" i="35"/>
  <c r="AK365" i="35" s="1"/>
  <c r="AJ367" i="35"/>
  <c r="AK367" i="35" s="1"/>
  <c r="AJ372" i="35"/>
  <c r="AK372" i="35" s="1"/>
  <c r="AF378" i="35"/>
  <c r="AF379" i="35" s="1"/>
  <c r="AE379" i="35"/>
  <c r="AJ362" i="35"/>
  <c r="AK362" i="35" s="1"/>
  <c r="AJ348" i="35"/>
  <c r="AK348" i="35" s="1"/>
  <c r="AJ376" i="35"/>
  <c r="AK376" i="35" s="1"/>
  <c r="T40" i="13"/>
  <c r="O40" i="13" s="1"/>
  <c r="T40" i="26"/>
  <c r="O40" i="26" s="1"/>
  <c r="T40" i="30"/>
  <c r="O40" i="30" s="1"/>
  <c r="T40" i="28"/>
  <c r="O40" i="28" s="1"/>
  <c r="T40" i="25"/>
  <c r="O40" i="25" s="1"/>
  <c r="T40" i="29"/>
  <c r="O40" i="29" s="1"/>
  <c r="F25" i="24"/>
  <c r="N17" i="24" s="1"/>
  <c r="T40" i="31"/>
  <c r="O40" i="31" s="1"/>
  <c r="E24" i="24"/>
  <c r="E24" i="32"/>
  <c r="E33" i="32" s="1"/>
  <c r="D22" i="31"/>
  <c r="D22" i="29"/>
  <c r="D22" i="27"/>
  <c r="D22" i="30"/>
  <c r="D22" i="28"/>
  <c r="D22" i="26"/>
  <c r="D22" i="13"/>
  <c r="P42" i="4"/>
  <c r="T42" i="4"/>
  <c r="HH114" i="35" l="1"/>
  <c r="HE45" i="35"/>
  <c r="HE114" i="35"/>
  <c r="CU83" i="35"/>
  <c r="T83" i="19" s="1"/>
  <c r="FV132" i="35"/>
  <c r="FW132" i="35" s="1"/>
  <c r="FZ132" i="35" s="1"/>
  <c r="GB132" i="35" s="1"/>
  <c r="FV77" i="35"/>
  <c r="FX77" i="35" s="1"/>
  <c r="DV127" i="35"/>
  <c r="CZ83" i="35"/>
  <c r="Y83" i="19" s="1"/>
  <c r="CT56" i="35"/>
  <c r="S56" i="19" s="1"/>
  <c r="M105" i="19"/>
  <c r="FV33" i="35"/>
  <c r="HH45" i="35"/>
  <c r="HF114" i="35"/>
  <c r="CI120" i="35"/>
  <c r="I120" i="19" s="1"/>
  <c r="R105" i="19"/>
  <c r="I101" i="19"/>
  <c r="GL105" i="35"/>
  <c r="GZ105" i="35" s="1"/>
  <c r="HB105" i="35" s="1"/>
  <c r="HJ105" i="35" s="1"/>
  <c r="HF33" i="35"/>
  <c r="GP36" i="35"/>
  <c r="O132" i="19"/>
  <c r="Q105" i="19"/>
  <c r="AC105" i="19" s="1"/>
  <c r="CA188" i="35"/>
  <c r="HG33" i="35"/>
  <c r="HF45" i="35"/>
  <c r="R56" i="19"/>
  <c r="DA83" i="35"/>
  <c r="Z83" i="19" s="1"/>
  <c r="CY83" i="35"/>
  <c r="X83" i="19" s="1"/>
  <c r="CU105" i="35"/>
  <c r="GR105" i="35" s="1"/>
  <c r="CX83" i="35"/>
  <c r="W83" i="19" s="1"/>
  <c r="O105" i="19"/>
  <c r="CA168" i="35"/>
  <c r="CH168" i="35" s="1"/>
  <c r="J168" i="19" s="1"/>
  <c r="CT105" i="35"/>
  <c r="S105" i="19" s="1"/>
  <c r="GS105" i="35"/>
  <c r="FN92" i="35"/>
  <c r="DA72" i="35"/>
  <c r="Z72" i="19" s="1"/>
  <c r="GP105" i="35"/>
  <c r="CS92" i="35"/>
  <c r="GP92" i="35" s="1"/>
  <c r="CA80" i="35"/>
  <c r="CW105" i="35"/>
  <c r="GT105" i="35" s="1"/>
  <c r="FN72" i="35"/>
  <c r="FP72" i="35" s="1"/>
  <c r="FR72" i="35" s="1"/>
  <c r="FT72" i="35" s="1"/>
  <c r="CZ72" i="35"/>
  <c r="Y72" i="19" s="1"/>
  <c r="CZ35" i="35"/>
  <c r="Y35" i="19" s="1"/>
  <c r="GH35" i="35"/>
  <c r="GV35" i="35" s="1"/>
  <c r="HD35" i="35" s="1"/>
  <c r="HG35" i="35" s="1"/>
  <c r="CM35" i="35"/>
  <c r="CO35" i="35" s="1"/>
  <c r="O35" i="19" s="1"/>
  <c r="CA52" i="35"/>
  <c r="K92" i="19"/>
  <c r="CM92" i="35"/>
  <c r="GH72" i="35"/>
  <c r="GV72" i="35" s="1"/>
  <c r="HD72" i="35" s="1"/>
  <c r="HF72" i="35" s="1"/>
  <c r="FX45" i="35"/>
  <c r="CK136" i="35"/>
  <c r="CS136" i="35" s="1"/>
  <c r="GP136" i="35" s="1"/>
  <c r="CS74" i="35"/>
  <c r="R74" i="19" s="1"/>
  <c r="GH74" i="35"/>
  <c r="GV74" i="35" s="1"/>
  <c r="HD74" i="35" s="1"/>
  <c r="HH74" i="35" s="1"/>
  <c r="CY72" i="35"/>
  <c r="X72" i="19" s="1"/>
  <c r="K74" i="19"/>
  <c r="HE142" i="35"/>
  <c r="FV138" i="35"/>
  <c r="HE83" i="35"/>
  <c r="HH106" i="35"/>
  <c r="CM106" i="35"/>
  <c r="CO106" i="35" s="1"/>
  <c r="CQ106" i="35" s="1"/>
  <c r="GN106" i="35" s="1"/>
  <c r="H37" i="19"/>
  <c r="CZ106" i="35"/>
  <c r="Y106" i="19" s="1"/>
  <c r="CJ155" i="35"/>
  <c r="HE106" i="35"/>
  <c r="R83" i="19"/>
  <c r="CT83" i="35"/>
  <c r="GS62" i="35"/>
  <c r="CS106" i="35"/>
  <c r="GP106" i="35" s="1"/>
  <c r="CI37" i="35"/>
  <c r="I37" i="19" s="1"/>
  <c r="H155" i="19"/>
  <c r="DR37" i="35"/>
  <c r="DV37" i="35" s="1"/>
  <c r="DR155" i="35"/>
  <c r="DV155" i="35" s="1"/>
  <c r="HG106" i="35"/>
  <c r="CA164" i="35"/>
  <c r="DC164" i="35" s="1"/>
  <c r="CM9" i="35"/>
  <c r="DA35" i="35"/>
  <c r="Z35" i="19" s="1"/>
  <c r="CW83" i="35"/>
  <c r="V83" i="19" s="1"/>
  <c r="FV106" i="35"/>
  <c r="CK157" i="35"/>
  <c r="DA157" i="35" s="1"/>
  <c r="Z157" i="19" s="1"/>
  <c r="CX79" i="35"/>
  <c r="W79" i="19" s="1"/>
  <c r="CX9" i="35"/>
  <c r="W9" i="19" s="1"/>
  <c r="CI155" i="35"/>
  <c r="CK155" i="35" s="1"/>
  <c r="CS155" i="35" s="1"/>
  <c r="CV83" i="35"/>
  <c r="U83" i="19" s="1"/>
  <c r="CX106" i="35"/>
  <c r="W106" i="19" s="1"/>
  <c r="CU117" i="35"/>
  <c r="GR117" i="35" s="1"/>
  <c r="CT117" i="35"/>
  <c r="GQ117" i="35" s="1"/>
  <c r="GH107" i="35"/>
  <c r="GV107" i="35" s="1"/>
  <c r="HD107" i="35" s="1"/>
  <c r="HE107" i="35" s="1"/>
  <c r="K104" i="19"/>
  <c r="FN104" i="35"/>
  <c r="DA107" i="35"/>
  <c r="Z107" i="19" s="1"/>
  <c r="GH104" i="35"/>
  <c r="GV104" i="35" s="1"/>
  <c r="HD104" i="35" s="1"/>
  <c r="FV117" i="35"/>
  <c r="FW117" i="35" s="1"/>
  <c r="FZ117" i="35" s="1"/>
  <c r="GB117" i="35" s="1"/>
  <c r="DA104" i="35"/>
  <c r="Z104" i="19" s="1"/>
  <c r="I140" i="19"/>
  <c r="HF117" i="35"/>
  <c r="CS107" i="35"/>
  <c r="CW107" i="35" s="1"/>
  <c r="V107" i="19" s="1"/>
  <c r="FN107" i="35"/>
  <c r="FV107" i="35" s="1"/>
  <c r="HE117" i="35"/>
  <c r="CZ79" i="35"/>
  <c r="Y79" i="19" s="1"/>
  <c r="CS35" i="35"/>
  <c r="CT35" i="35" s="1"/>
  <c r="K35" i="19"/>
  <c r="M111" i="19"/>
  <c r="DR69" i="35"/>
  <c r="DV69" i="35" s="1"/>
  <c r="HG117" i="35"/>
  <c r="CY104" i="35"/>
  <c r="X104" i="19" s="1"/>
  <c r="CX104" i="35"/>
  <c r="W104" i="19" s="1"/>
  <c r="CI113" i="35"/>
  <c r="GJ111" i="35"/>
  <c r="GX111" i="35" s="1"/>
  <c r="M45" i="19"/>
  <c r="CM104" i="35"/>
  <c r="M104" i="19" s="1"/>
  <c r="GQ132" i="35"/>
  <c r="CX71" i="35"/>
  <c r="W71" i="19" s="1"/>
  <c r="CI95" i="35"/>
  <c r="I95" i="19" s="1"/>
  <c r="GP32" i="35"/>
  <c r="FN71" i="35"/>
  <c r="FP71" i="35" s="1"/>
  <c r="FR71" i="35" s="1"/>
  <c r="FT71" i="35" s="1"/>
  <c r="CZ71" i="35"/>
  <c r="Y71" i="19" s="1"/>
  <c r="R138" i="19"/>
  <c r="R32" i="19"/>
  <c r="GJ71" i="35"/>
  <c r="GX71" i="35" s="1"/>
  <c r="CX74" i="35"/>
  <c r="W74" i="19" s="1"/>
  <c r="CU138" i="35"/>
  <c r="T138" i="19" s="1"/>
  <c r="CU32" i="35"/>
  <c r="GR32" i="35" s="1"/>
  <c r="CO71" i="35"/>
  <c r="O71" i="19" s="1"/>
  <c r="CF50" i="35"/>
  <c r="CG50" i="35" s="1"/>
  <c r="DR50" i="35" s="1"/>
  <c r="DV50" i="35" s="1"/>
  <c r="CZ74" i="35"/>
  <c r="Y74" i="19" s="1"/>
  <c r="CW32" i="35"/>
  <c r="CA180" i="35"/>
  <c r="DC180" i="35" s="1"/>
  <c r="CM74" i="35"/>
  <c r="M74" i="19" s="1"/>
  <c r="CV45" i="35"/>
  <c r="U45" i="19" s="1"/>
  <c r="DR95" i="35"/>
  <c r="DV95" i="35" s="1"/>
  <c r="CK130" i="35"/>
  <c r="GH130" i="35" s="1"/>
  <c r="GV130" i="35" s="1"/>
  <c r="HD130" i="35" s="1"/>
  <c r="HF130" i="35" s="1"/>
  <c r="FN74" i="35"/>
  <c r="FN35" i="35"/>
  <c r="CX35" i="35"/>
  <c r="W35" i="19" s="1"/>
  <c r="GH92" i="35"/>
  <c r="GV92" i="35" s="1"/>
  <c r="HD92" i="35" s="1"/>
  <c r="CY92" i="35"/>
  <c r="X92" i="19" s="1"/>
  <c r="CZ92" i="35"/>
  <c r="Y92" i="19" s="1"/>
  <c r="CX92" i="35"/>
  <c r="W92" i="19" s="1"/>
  <c r="CU45" i="35"/>
  <c r="DA71" i="35"/>
  <c r="Z71" i="19" s="1"/>
  <c r="CO77" i="35"/>
  <c r="GL77" i="35" s="1"/>
  <c r="GZ77" i="35" s="1"/>
  <c r="HB77" i="35" s="1"/>
  <c r="DA74" i="35"/>
  <c r="Z74" i="19" s="1"/>
  <c r="H102" i="19"/>
  <c r="CI102" i="35"/>
  <c r="I127" i="19"/>
  <c r="I139" i="19"/>
  <c r="M72" i="19"/>
  <c r="GJ72" i="35"/>
  <c r="GX72" i="35" s="1"/>
  <c r="CO72" i="35"/>
  <c r="M22" i="19"/>
  <c r="CO22" i="35"/>
  <c r="GJ22" i="35"/>
  <c r="GX22" i="35" s="1"/>
  <c r="FP9" i="35"/>
  <c r="FR9" i="35" s="1"/>
  <c r="FT9" i="35" s="1"/>
  <c r="FV9" i="35"/>
  <c r="FW9" i="35" s="1"/>
  <c r="FZ9" i="35" s="1"/>
  <c r="GB9" i="35" s="1"/>
  <c r="GH9" i="35"/>
  <c r="GV9" i="35" s="1"/>
  <c r="HD9" i="35" s="1"/>
  <c r="HH9" i="35" s="1"/>
  <c r="CT33" i="35"/>
  <c r="GQ33" i="35" s="1"/>
  <c r="CS79" i="35"/>
  <c r="CV79" i="35" s="1"/>
  <c r="U79" i="19" s="1"/>
  <c r="CJ113" i="35"/>
  <c r="CY9" i="35"/>
  <c r="X9" i="19" s="1"/>
  <c r="CK145" i="35"/>
  <c r="FN145" i="35" s="1"/>
  <c r="FP145" i="35" s="1"/>
  <c r="FR145" i="35" s="1"/>
  <c r="GL87" i="35"/>
  <c r="GZ87" i="35" s="1"/>
  <c r="HB87" i="35" s="1"/>
  <c r="CA137" i="35"/>
  <c r="CH137" i="35" s="1"/>
  <c r="J137" i="19" s="1"/>
  <c r="CQ77" i="35"/>
  <c r="Q77" i="19" s="1"/>
  <c r="AC77" i="19" s="1"/>
  <c r="GP117" i="35"/>
  <c r="CQ62" i="35"/>
  <c r="GN62" i="35" s="1"/>
  <c r="CV132" i="35"/>
  <c r="GS132" i="35" s="1"/>
  <c r="CA178" i="35"/>
  <c r="DC178" i="35" s="1"/>
  <c r="CS72" i="35"/>
  <c r="CT72" i="35" s="1"/>
  <c r="GQ72" i="35" s="1"/>
  <c r="CZ22" i="35"/>
  <c r="Y22" i="19" s="1"/>
  <c r="DC128" i="35"/>
  <c r="GN83" i="35"/>
  <c r="R36" i="19"/>
  <c r="GJ36" i="35"/>
  <c r="GX36" i="35" s="1"/>
  <c r="M83" i="19"/>
  <c r="CT45" i="35"/>
  <c r="GQ45" i="35" s="1"/>
  <c r="CW33" i="35"/>
  <c r="GT33" i="35" s="1"/>
  <c r="CW36" i="35"/>
  <c r="GT36" i="35" s="1"/>
  <c r="R45" i="19"/>
  <c r="FX83" i="35"/>
  <c r="CX72" i="35"/>
  <c r="W72" i="19" s="1"/>
  <c r="CV33" i="35"/>
  <c r="HH33" i="35"/>
  <c r="HF142" i="35"/>
  <c r="V45" i="19"/>
  <c r="CT36" i="35"/>
  <c r="H95" i="19"/>
  <c r="CH119" i="35"/>
  <c r="J119" i="19" s="1"/>
  <c r="GL62" i="35"/>
  <c r="GZ62" i="35" s="1"/>
  <c r="HB62" i="35" s="1"/>
  <c r="H55" i="19"/>
  <c r="FW62" i="35"/>
  <c r="FZ62" i="35" s="1"/>
  <c r="GB62" i="35" s="1"/>
  <c r="CA169" i="35"/>
  <c r="CH169" i="35" s="1"/>
  <c r="J169" i="19" s="1"/>
  <c r="CK140" i="35"/>
  <c r="EW113" i="35"/>
  <c r="CS22" i="35"/>
  <c r="DA22" i="35"/>
  <c r="Z22" i="19" s="1"/>
  <c r="K22" i="19"/>
  <c r="FN22" i="35"/>
  <c r="CX22" i="35"/>
  <c r="W22" i="19" s="1"/>
  <c r="GH22" i="35"/>
  <c r="GV22" i="35" s="1"/>
  <c r="HD22" i="35" s="1"/>
  <c r="CY22" i="35"/>
  <c r="X22" i="19" s="1"/>
  <c r="GJ83" i="35"/>
  <c r="GX83" i="35" s="1"/>
  <c r="CK101" i="35"/>
  <c r="DA101" i="35" s="1"/>
  <c r="Z101" i="19" s="1"/>
  <c r="DR113" i="35"/>
  <c r="DT113" i="35" s="1"/>
  <c r="CZ9" i="35"/>
  <c r="Y9" i="19" s="1"/>
  <c r="K9" i="19"/>
  <c r="DA9" i="35"/>
  <c r="Z9" i="19" s="1"/>
  <c r="CS9" i="35"/>
  <c r="CV36" i="35"/>
  <c r="GS36" i="35" s="1"/>
  <c r="M36" i="19"/>
  <c r="HG87" i="35"/>
  <c r="DA79" i="35"/>
  <c r="Z79" i="19" s="1"/>
  <c r="GP45" i="35"/>
  <c r="GS126" i="35"/>
  <c r="CY79" i="35"/>
  <c r="X79" i="19" s="1"/>
  <c r="HF32" i="35"/>
  <c r="CU33" i="35"/>
  <c r="GR33" i="35" s="1"/>
  <c r="HG142" i="35"/>
  <c r="FP142" i="35"/>
  <c r="FR142" i="35" s="1"/>
  <c r="FT142" i="35" s="1"/>
  <c r="R53" i="19"/>
  <c r="FP107" i="35"/>
  <c r="FR107" i="35" s="1"/>
  <c r="FT107" i="35" s="1"/>
  <c r="CV114" i="35"/>
  <c r="U114" i="19" s="1"/>
  <c r="CO117" i="35"/>
  <c r="GL117" i="35" s="1"/>
  <c r="GZ117" i="35" s="1"/>
  <c r="HB117" i="35" s="1"/>
  <c r="CU56" i="35"/>
  <c r="T56" i="19" s="1"/>
  <c r="GJ132" i="35"/>
  <c r="GX132" i="35" s="1"/>
  <c r="GL83" i="35"/>
  <c r="GZ83" i="35" s="1"/>
  <c r="HB83" i="35" s="1"/>
  <c r="CU53" i="35"/>
  <c r="T53" i="19" s="1"/>
  <c r="CU114" i="35"/>
  <c r="DR55" i="35"/>
  <c r="DV55" i="35" s="1"/>
  <c r="R132" i="19"/>
  <c r="O83" i="19"/>
  <c r="CK139" i="35"/>
  <c r="CS139" i="35" s="1"/>
  <c r="CW139" i="35" s="1"/>
  <c r="V139" i="19" s="1"/>
  <c r="I27" i="19"/>
  <c r="CX98" i="35"/>
  <c r="W98" i="19" s="1"/>
  <c r="DA98" i="35"/>
  <c r="Z98" i="19" s="1"/>
  <c r="FN98" i="35"/>
  <c r="CY98" i="35"/>
  <c r="X98" i="19" s="1"/>
  <c r="CS98" i="35"/>
  <c r="GH98" i="35"/>
  <c r="GV98" i="35" s="1"/>
  <c r="HD98" i="35" s="1"/>
  <c r="CM98" i="35"/>
  <c r="CZ98" i="35"/>
  <c r="Y98" i="19" s="1"/>
  <c r="K98" i="19"/>
  <c r="H69" i="19"/>
  <c r="CI69" i="35"/>
  <c r="I69" i="19" s="1"/>
  <c r="CI82" i="35"/>
  <c r="DR82" i="35"/>
  <c r="DV82" i="35" s="1"/>
  <c r="CA170" i="35"/>
  <c r="CW92" i="35"/>
  <c r="CA94" i="35"/>
  <c r="CH94" i="35" s="1"/>
  <c r="CJ102" i="35"/>
  <c r="R92" i="19"/>
  <c r="CJ91" i="35"/>
  <c r="FV53" i="35"/>
  <c r="FW53" i="35" s="1"/>
  <c r="FZ53" i="35" s="1"/>
  <c r="GB53" i="35" s="1"/>
  <c r="CX130" i="35"/>
  <c r="W130" i="19" s="1"/>
  <c r="CH58" i="35"/>
  <c r="DC58" i="35"/>
  <c r="CT92" i="35"/>
  <c r="S92" i="19" s="1"/>
  <c r="DA130" i="35"/>
  <c r="Z130" i="19" s="1"/>
  <c r="CA69" i="35"/>
  <c r="CV92" i="35"/>
  <c r="GS92" i="35" s="1"/>
  <c r="CU92" i="35"/>
  <c r="T92" i="19" s="1"/>
  <c r="CF93" i="35"/>
  <c r="CG93" i="35" s="1"/>
  <c r="CJ93" i="35" s="1"/>
  <c r="DR102" i="35"/>
  <c r="DT102" i="35" s="1"/>
  <c r="DR91" i="35"/>
  <c r="DV91" i="35" s="1"/>
  <c r="GJ33" i="35"/>
  <c r="GX33" i="35" s="1"/>
  <c r="CI91" i="35"/>
  <c r="I91" i="19" s="1"/>
  <c r="CY145" i="35"/>
  <c r="X145" i="19" s="1"/>
  <c r="CA187" i="35"/>
  <c r="DC187" i="35" s="1"/>
  <c r="CO33" i="35"/>
  <c r="GL33" i="35" s="1"/>
  <c r="GZ33" i="35" s="1"/>
  <c r="HB33" i="35" s="1"/>
  <c r="GJ20" i="35"/>
  <c r="GX20" i="35" s="1"/>
  <c r="DT27" i="35"/>
  <c r="I130" i="19"/>
  <c r="CO20" i="35"/>
  <c r="O20" i="19" s="1"/>
  <c r="CF19" i="35"/>
  <c r="CG19" i="35" s="1"/>
  <c r="CI19" i="35" s="1"/>
  <c r="CF26" i="35"/>
  <c r="CG26" i="35" s="1"/>
  <c r="DR26" i="35" s="1"/>
  <c r="DT26" i="35" s="1"/>
  <c r="J149" i="19"/>
  <c r="CK149" i="35"/>
  <c r="M109" i="19"/>
  <c r="CS130" i="35"/>
  <c r="CV130" i="35" s="1"/>
  <c r="GS130" i="35" s="1"/>
  <c r="CU72" i="35"/>
  <c r="T72" i="19" s="1"/>
  <c r="K90" i="19"/>
  <c r="CZ90" i="35"/>
  <c r="Y90" i="19" s="1"/>
  <c r="DA90" i="35"/>
  <c r="Z90" i="19" s="1"/>
  <c r="CM90" i="35"/>
  <c r="CX90" i="35"/>
  <c r="W90" i="19" s="1"/>
  <c r="FN90" i="35"/>
  <c r="CY90" i="35"/>
  <c r="X90" i="19" s="1"/>
  <c r="GH90" i="35"/>
  <c r="GV90" i="35" s="1"/>
  <c r="HD90" i="35" s="1"/>
  <c r="CS90" i="35"/>
  <c r="DC134" i="35"/>
  <c r="CH134" i="35"/>
  <c r="J134" i="19" s="1"/>
  <c r="CI187" i="35"/>
  <c r="CJ187" i="35"/>
  <c r="H187" i="19"/>
  <c r="DR187" i="35"/>
  <c r="DV187" i="35" s="1"/>
  <c r="DC93" i="35"/>
  <c r="CH93" i="35"/>
  <c r="J93" i="19" s="1"/>
  <c r="DC26" i="35"/>
  <c r="CH26" i="35"/>
  <c r="J26" i="19" s="1"/>
  <c r="CJ94" i="35"/>
  <c r="DR94" i="35"/>
  <c r="CI94" i="35"/>
  <c r="H94" i="19"/>
  <c r="DC19" i="35"/>
  <c r="CH19" i="35"/>
  <c r="J19" i="19" s="1"/>
  <c r="CH16" i="35"/>
  <c r="J16" i="19" s="1"/>
  <c r="DC16" i="35"/>
  <c r="CI169" i="35"/>
  <c r="CJ169" i="35"/>
  <c r="DR169" i="35"/>
  <c r="DV169" i="35" s="1"/>
  <c r="H169" i="19"/>
  <c r="CJ180" i="35"/>
  <c r="CI180" i="35"/>
  <c r="H180" i="19"/>
  <c r="DR180" i="35"/>
  <c r="DV180" i="35" s="1"/>
  <c r="CI137" i="35"/>
  <c r="CJ137" i="35"/>
  <c r="DR137" i="35"/>
  <c r="DT137" i="35" s="1"/>
  <c r="CI164" i="35"/>
  <c r="CJ164" i="35"/>
  <c r="DR164" i="35"/>
  <c r="H164" i="19"/>
  <c r="CI178" i="35"/>
  <c r="CJ178" i="35"/>
  <c r="DR178" i="35"/>
  <c r="H178" i="19"/>
  <c r="CJ80" i="35"/>
  <c r="DR80" i="35"/>
  <c r="DT80" i="35" s="1"/>
  <c r="H80" i="19"/>
  <c r="CI80" i="35"/>
  <c r="CH50" i="35"/>
  <c r="J50" i="19" s="1"/>
  <c r="DC50" i="35"/>
  <c r="H188" i="19"/>
  <c r="CJ188" i="35"/>
  <c r="DR188" i="35"/>
  <c r="DV188" i="35" s="1"/>
  <c r="EW188" i="35"/>
  <c r="CI188" i="35"/>
  <c r="DR28" i="35"/>
  <c r="H28" i="19"/>
  <c r="CJ28" i="35"/>
  <c r="CI28" i="35"/>
  <c r="DR52" i="35"/>
  <c r="DV52" i="35" s="1"/>
  <c r="CJ52" i="35"/>
  <c r="CI52" i="35"/>
  <c r="H52" i="19"/>
  <c r="CW114" i="35"/>
  <c r="GT114" i="35" s="1"/>
  <c r="DA63" i="35"/>
  <c r="Z63" i="19" s="1"/>
  <c r="CY63" i="35"/>
  <c r="X63" i="19" s="1"/>
  <c r="CS63" i="35"/>
  <c r="FN63" i="35"/>
  <c r="CZ63" i="35"/>
  <c r="Y63" i="19" s="1"/>
  <c r="K63" i="19"/>
  <c r="CM63" i="35"/>
  <c r="CX63" i="35"/>
  <c r="W63" i="19" s="1"/>
  <c r="GH63" i="35"/>
  <c r="GV63" i="35" s="1"/>
  <c r="HD63" i="35" s="1"/>
  <c r="CA42" i="35"/>
  <c r="H82" i="19"/>
  <c r="GJ41" i="35"/>
  <c r="GX41" i="35" s="1"/>
  <c r="M41" i="19"/>
  <c r="CO41" i="35"/>
  <c r="J148" i="19"/>
  <c r="CK148" i="35"/>
  <c r="GP138" i="35"/>
  <c r="CZ123" i="35"/>
  <c r="Y123" i="19" s="1"/>
  <c r="CM123" i="35"/>
  <c r="FN123" i="35"/>
  <c r="K123" i="19"/>
  <c r="GH123" i="35"/>
  <c r="GV123" i="35" s="1"/>
  <c r="HD123" i="35" s="1"/>
  <c r="DA123" i="35"/>
  <c r="Z123" i="19" s="1"/>
  <c r="CS123" i="35"/>
  <c r="CY123" i="35"/>
  <c r="X123" i="19" s="1"/>
  <c r="CX123" i="35"/>
  <c r="W123" i="19" s="1"/>
  <c r="H61" i="19"/>
  <c r="CA38" i="35"/>
  <c r="CW74" i="35"/>
  <c r="V74" i="19" s="1"/>
  <c r="HF74" i="35"/>
  <c r="DT61" i="35"/>
  <c r="CV138" i="35"/>
  <c r="U138" i="19" s="1"/>
  <c r="DA140" i="35"/>
  <c r="Z140" i="19" s="1"/>
  <c r="FP114" i="35"/>
  <c r="FR114" i="35" s="1"/>
  <c r="FT114" i="35" s="1"/>
  <c r="DR120" i="35"/>
  <c r="DV120" i="35" s="1"/>
  <c r="HG130" i="35"/>
  <c r="CO45" i="35"/>
  <c r="HG83" i="35"/>
  <c r="HF56" i="35"/>
  <c r="GR20" i="35"/>
  <c r="BY152" i="35"/>
  <c r="BZ152" i="35" s="1"/>
  <c r="CA152" i="35" s="1"/>
  <c r="BY65" i="35"/>
  <c r="BZ65" i="35" s="1"/>
  <c r="CA65" i="35" s="1"/>
  <c r="BY202" i="35"/>
  <c r="BZ202" i="35" s="1"/>
  <c r="CA202" i="35" s="1"/>
  <c r="CA46" i="35"/>
  <c r="CH46" i="35" s="1"/>
  <c r="BY158" i="35"/>
  <c r="BZ158" i="35" s="1"/>
  <c r="CF158" i="35" s="1"/>
  <c r="CG158" i="35" s="1"/>
  <c r="CI168" i="35"/>
  <c r="CF134" i="35"/>
  <c r="CG134" i="35" s="1"/>
  <c r="DR134" i="35" s="1"/>
  <c r="CF115" i="35"/>
  <c r="CG115" i="35" s="1"/>
  <c r="GH79" i="35"/>
  <c r="GV79" i="35" s="1"/>
  <c r="HD79" i="35" s="1"/>
  <c r="FN79" i="35"/>
  <c r="CA55" i="35"/>
  <c r="CT77" i="35"/>
  <c r="GQ77" i="35" s="1"/>
  <c r="CY11" i="35"/>
  <c r="X11" i="19" s="1"/>
  <c r="CZ11" i="35"/>
  <c r="Y11" i="19" s="1"/>
  <c r="CX11" i="35"/>
  <c r="W11" i="19" s="1"/>
  <c r="K11" i="19"/>
  <c r="FN11" i="35"/>
  <c r="CM11" i="35"/>
  <c r="CS11" i="35"/>
  <c r="DA11" i="35"/>
  <c r="Z11" i="19" s="1"/>
  <c r="GH11" i="35"/>
  <c r="GV11" i="35" s="1"/>
  <c r="HD11" i="35" s="1"/>
  <c r="CF68" i="35"/>
  <c r="CG68" i="35" s="1"/>
  <c r="CA21" i="35"/>
  <c r="CY88" i="35"/>
  <c r="X88" i="19" s="1"/>
  <c r="CX88" i="35"/>
  <c r="W88" i="19" s="1"/>
  <c r="CM88" i="35"/>
  <c r="CS88" i="35"/>
  <c r="K88" i="19"/>
  <c r="CZ88" i="35"/>
  <c r="Y88" i="19" s="1"/>
  <c r="DA88" i="35"/>
  <c r="Z88" i="19" s="1"/>
  <c r="FN88" i="35"/>
  <c r="GH88" i="35"/>
  <c r="GV88" i="35" s="1"/>
  <c r="HD88" i="35" s="1"/>
  <c r="GP114" i="35"/>
  <c r="CW56" i="35"/>
  <c r="V56" i="19" s="1"/>
  <c r="FV72" i="35"/>
  <c r="FX72" i="35" s="1"/>
  <c r="BY195" i="35"/>
  <c r="BZ195" i="35" s="1"/>
  <c r="CA195" i="35" s="1"/>
  <c r="CK73" i="35"/>
  <c r="K73" i="19" s="1"/>
  <c r="CU74" i="35"/>
  <c r="T74" i="19" s="1"/>
  <c r="CT138" i="35"/>
  <c r="GQ138" i="35" s="1"/>
  <c r="CY140" i="35"/>
  <c r="X140" i="19" s="1"/>
  <c r="HF87" i="35"/>
  <c r="CM130" i="35"/>
  <c r="CO130" i="35" s="1"/>
  <c r="GL130" i="35" s="1"/>
  <c r="GZ130" i="35" s="1"/>
  <c r="HB130" i="35" s="1"/>
  <c r="HE130" i="35"/>
  <c r="HE9" i="35"/>
  <c r="GT20" i="35"/>
  <c r="CU132" i="35"/>
  <c r="T132" i="19" s="1"/>
  <c r="GQ105" i="35"/>
  <c r="BY151" i="35"/>
  <c r="BZ151" i="35" s="1"/>
  <c r="CF151" i="35" s="1"/>
  <c r="CG151" i="35" s="1"/>
  <c r="BY159" i="35"/>
  <c r="BZ159" i="35" s="1"/>
  <c r="CA159" i="35" s="1"/>
  <c r="CJ168" i="35"/>
  <c r="CS85" i="35"/>
  <c r="GH85" i="35"/>
  <c r="GV85" i="35" s="1"/>
  <c r="HD85" i="35" s="1"/>
  <c r="CY85" i="35"/>
  <c r="X85" i="19" s="1"/>
  <c r="CX85" i="35"/>
  <c r="W85" i="19" s="1"/>
  <c r="K85" i="19"/>
  <c r="DA85" i="35"/>
  <c r="Z85" i="19" s="1"/>
  <c r="CM85" i="35"/>
  <c r="CZ85" i="35"/>
  <c r="Y85" i="19" s="1"/>
  <c r="FN85" i="35"/>
  <c r="DV139" i="35"/>
  <c r="DT139" i="35"/>
  <c r="CV41" i="35"/>
  <c r="CW41" i="35"/>
  <c r="GP41" i="35"/>
  <c r="CT41" i="35"/>
  <c r="R41" i="19"/>
  <c r="CU41" i="35"/>
  <c r="DR99" i="35"/>
  <c r="CJ99" i="35"/>
  <c r="CI99" i="35"/>
  <c r="H99" i="19"/>
  <c r="CZ8" i="35"/>
  <c r="Y8" i="19" s="1"/>
  <c r="FN8" i="35"/>
  <c r="GH8" i="35"/>
  <c r="GV8" i="35" s="1"/>
  <c r="HD8" i="35" s="1"/>
  <c r="CM8" i="35"/>
  <c r="CX8" i="35"/>
  <c r="W8" i="19" s="1"/>
  <c r="CY8" i="35"/>
  <c r="X8" i="19" s="1"/>
  <c r="DA8" i="35"/>
  <c r="Z8" i="19" s="1"/>
  <c r="CS8" i="35"/>
  <c r="K8" i="19"/>
  <c r="DR21" i="35"/>
  <c r="DT21" i="35" s="1"/>
  <c r="BY146" i="35"/>
  <c r="BZ146" i="35" s="1"/>
  <c r="CA146" i="35" s="1"/>
  <c r="CH146" i="35" s="1"/>
  <c r="J146" i="19" s="1"/>
  <c r="CA120" i="35"/>
  <c r="CJ61" i="35"/>
  <c r="CA61" i="35"/>
  <c r="BY122" i="35"/>
  <c r="BZ122" i="35" s="1"/>
  <c r="CA122" i="35" s="1"/>
  <c r="CA49" i="35"/>
  <c r="FV41" i="35"/>
  <c r="FP41" i="35"/>
  <c r="FR41" i="35" s="1"/>
  <c r="FT41" i="35" s="1"/>
  <c r="CI21" i="35"/>
  <c r="HH130" i="35"/>
  <c r="HF9" i="35"/>
  <c r="M32" i="19"/>
  <c r="HH56" i="35"/>
  <c r="K130" i="19"/>
  <c r="CI55" i="35"/>
  <c r="I55" i="19" s="1"/>
  <c r="DR168" i="35"/>
  <c r="DV168" i="35" s="1"/>
  <c r="CW117" i="35"/>
  <c r="V117" i="19" s="1"/>
  <c r="CF16" i="35"/>
  <c r="CG16" i="35" s="1"/>
  <c r="CJ16" i="35" s="1"/>
  <c r="CA95" i="35"/>
  <c r="CA91" i="35"/>
  <c r="R114" i="19"/>
  <c r="CH68" i="35"/>
  <c r="J68" i="19" s="1"/>
  <c r="BY112" i="35"/>
  <c r="BZ112" i="35" s="1"/>
  <c r="CF112" i="35" s="1"/>
  <c r="CG112" i="35" s="1"/>
  <c r="EW112" i="35" s="1"/>
  <c r="CJ82" i="35"/>
  <c r="I82" i="19" s="1"/>
  <c r="DC116" i="35"/>
  <c r="CH116" i="35"/>
  <c r="J116" i="19" s="1"/>
  <c r="CT53" i="35"/>
  <c r="S53" i="19" s="1"/>
  <c r="H120" i="19"/>
  <c r="HG9" i="35"/>
  <c r="GJ32" i="35"/>
  <c r="GX32" i="35" s="1"/>
  <c r="FV56" i="35"/>
  <c r="FX56" i="35" s="1"/>
  <c r="CQ132" i="35"/>
  <c r="Q132" i="19" s="1"/>
  <c r="AC132" i="19" s="1"/>
  <c r="BY219" i="35"/>
  <c r="BZ219" i="35" s="1"/>
  <c r="CF219" i="35" s="1"/>
  <c r="CG219" i="35" s="1"/>
  <c r="EW55" i="35"/>
  <c r="GP77" i="35"/>
  <c r="CK12" i="35"/>
  <c r="K12" i="19" s="1"/>
  <c r="CK15" i="35"/>
  <c r="CY15" i="35" s="1"/>
  <c r="X15" i="19" s="1"/>
  <c r="I136" i="19"/>
  <c r="CF128" i="35"/>
  <c r="CG128" i="35" s="1"/>
  <c r="CJ21" i="35"/>
  <c r="FP45" i="35"/>
  <c r="FR45" i="35" s="1"/>
  <c r="FT45" i="35" s="1"/>
  <c r="DT37" i="35"/>
  <c r="CZ130" i="35"/>
  <c r="Y130" i="19" s="1"/>
  <c r="CV117" i="35"/>
  <c r="GS117" i="35" s="1"/>
  <c r="GP53" i="35"/>
  <c r="CI61" i="35"/>
  <c r="HH107" i="35"/>
  <c r="HH87" i="35"/>
  <c r="CY130" i="35"/>
  <c r="X130" i="19" s="1"/>
  <c r="CW81" i="35"/>
  <c r="GT81" i="35" s="1"/>
  <c r="GP132" i="35"/>
  <c r="M132" i="19"/>
  <c r="DV130" i="35"/>
  <c r="DT130" i="35"/>
  <c r="HG41" i="35"/>
  <c r="HE41" i="35"/>
  <c r="HF41" i="35"/>
  <c r="HH41" i="35"/>
  <c r="H10" i="19"/>
  <c r="CJ10" i="35"/>
  <c r="CI10" i="35"/>
  <c r="DR10" i="35"/>
  <c r="DT160" i="35"/>
  <c r="DV160" i="35"/>
  <c r="HE56" i="35"/>
  <c r="FX105" i="35"/>
  <c r="FW105" i="35"/>
  <c r="FZ105" i="35" s="1"/>
  <c r="GB105" i="35" s="1"/>
  <c r="DA150" i="35"/>
  <c r="Z150" i="19" s="1"/>
  <c r="FN150" i="35"/>
  <c r="CZ150" i="35"/>
  <c r="Y150" i="19" s="1"/>
  <c r="K150" i="19"/>
  <c r="CY150" i="35"/>
  <c r="X150" i="19" s="1"/>
  <c r="CS150" i="35"/>
  <c r="CM150" i="35"/>
  <c r="CX150" i="35"/>
  <c r="W150" i="19" s="1"/>
  <c r="GH150" i="35"/>
  <c r="GV150" i="35" s="1"/>
  <c r="HD150" i="35" s="1"/>
  <c r="I160" i="19"/>
  <c r="CK160" i="35"/>
  <c r="CO104" i="35"/>
  <c r="CQ104" i="35" s="1"/>
  <c r="HG107" i="35"/>
  <c r="HF107" i="35"/>
  <c r="FN130" i="35"/>
  <c r="FV130" i="35" s="1"/>
  <c r="FX130" i="35" s="1"/>
  <c r="HF81" i="35"/>
  <c r="HF83" i="35"/>
  <c r="CW132" i="35"/>
  <c r="V132" i="19" s="1"/>
  <c r="CV56" i="35"/>
  <c r="U56" i="19" s="1"/>
  <c r="CU77" i="35"/>
  <c r="T77" i="19" s="1"/>
  <c r="CM79" i="35"/>
  <c r="CO79" i="35" s="1"/>
  <c r="O79" i="19" s="1"/>
  <c r="DV136" i="35"/>
  <c r="DT136" i="35"/>
  <c r="CX96" i="35"/>
  <c r="W96" i="19" s="1"/>
  <c r="CY96" i="35"/>
  <c r="X96" i="19" s="1"/>
  <c r="FN96" i="35"/>
  <c r="K96" i="19"/>
  <c r="DA96" i="35"/>
  <c r="Z96" i="19" s="1"/>
  <c r="GH96" i="35"/>
  <c r="GV96" i="35" s="1"/>
  <c r="HD96" i="35" s="1"/>
  <c r="CS96" i="35"/>
  <c r="CZ96" i="35"/>
  <c r="Y96" i="19" s="1"/>
  <c r="CM96" i="35"/>
  <c r="H118" i="19"/>
  <c r="DR118" i="35"/>
  <c r="CJ118" i="35"/>
  <c r="CI118" i="35"/>
  <c r="CF119" i="35"/>
  <c r="CG119" i="35" s="1"/>
  <c r="CY107" i="35"/>
  <c r="X107" i="19" s="1"/>
  <c r="K107" i="19"/>
  <c r="CM107" i="35"/>
  <c r="CZ107" i="35"/>
  <c r="Y107" i="19" s="1"/>
  <c r="DC127" i="35"/>
  <c r="CH127" i="35"/>
  <c r="H46" i="19"/>
  <c r="CI46" i="35"/>
  <c r="CJ46" i="35"/>
  <c r="DR46" i="35"/>
  <c r="DV46" i="35" s="1"/>
  <c r="I15" i="19"/>
  <c r="BY125" i="35"/>
  <c r="FV87" i="35"/>
  <c r="FW87" i="35" s="1"/>
  <c r="FZ87" i="35" s="1"/>
  <c r="GB87" i="35" s="1"/>
  <c r="R109" i="19"/>
  <c r="GR126" i="35"/>
  <c r="CQ87" i="35"/>
  <c r="Q87" i="19" s="1"/>
  <c r="AC87" i="19" s="1"/>
  <c r="CO129" i="35"/>
  <c r="O129" i="19" s="1"/>
  <c r="DV15" i="35"/>
  <c r="DT15" i="35"/>
  <c r="HE72" i="35"/>
  <c r="GR81" i="35"/>
  <c r="CT109" i="35"/>
  <c r="GQ109" i="35" s="1"/>
  <c r="GJ109" i="35"/>
  <c r="GX109" i="35" s="1"/>
  <c r="GJ67" i="35"/>
  <c r="GX67" i="35" s="1"/>
  <c r="GP109" i="35"/>
  <c r="V109" i="19"/>
  <c r="CV81" i="35"/>
  <c r="GS81" i="35" s="1"/>
  <c r="CO67" i="35"/>
  <c r="GL67" i="35" s="1"/>
  <c r="GZ67" i="35" s="1"/>
  <c r="HB67" i="35" s="1"/>
  <c r="HH72" i="35"/>
  <c r="GS20" i="35"/>
  <c r="CT81" i="35"/>
  <c r="GH136" i="35"/>
  <c r="GV136" i="35" s="1"/>
  <c r="HD136" i="35" s="1"/>
  <c r="HH136" i="35" s="1"/>
  <c r="S72" i="19"/>
  <c r="CU109" i="35"/>
  <c r="GR109" i="35" s="1"/>
  <c r="HH32" i="35"/>
  <c r="R136" i="19"/>
  <c r="CW77" i="35"/>
  <c r="V77" i="19" s="1"/>
  <c r="HG32" i="35"/>
  <c r="HG72" i="35"/>
  <c r="CV109" i="35"/>
  <c r="CV77" i="35"/>
  <c r="U77" i="19" s="1"/>
  <c r="I12" i="19"/>
  <c r="GL39" i="35"/>
  <c r="GZ39" i="35" s="1"/>
  <c r="HB39" i="35" s="1"/>
  <c r="CQ39" i="35"/>
  <c r="O39" i="19"/>
  <c r="CT104" i="35"/>
  <c r="GQ104" i="35" s="1"/>
  <c r="CW104" i="35"/>
  <c r="FP20" i="35"/>
  <c r="FR20" i="35" s="1"/>
  <c r="FT20" i="35" s="1"/>
  <c r="FV20" i="35"/>
  <c r="CJ38" i="35"/>
  <c r="CU104" i="35"/>
  <c r="T104" i="19" s="1"/>
  <c r="CU136" i="35"/>
  <c r="T136" i="19" s="1"/>
  <c r="DC102" i="35"/>
  <c r="GP104" i="35"/>
  <c r="DT50" i="35"/>
  <c r="H50" i="19"/>
  <c r="R104" i="19"/>
  <c r="GP81" i="35"/>
  <c r="R81" i="19"/>
  <c r="FN136" i="35"/>
  <c r="CI50" i="35"/>
  <c r="R111" i="19"/>
  <c r="FV67" i="35"/>
  <c r="FW67" i="35" s="1"/>
  <c r="FZ67" i="35" s="1"/>
  <c r="GB67" i="35" s="1"/>
  <c r="HH81" i="35"/>
  <c r="O77" i="19"/>
  <c r="CT111" i="35"/>
  <c r="GJ104" i="35"/>
  <c r="GX104" i="35" s="1"/>
  <c r="M129" i="19"/>
  <c r="CZ157" i="35"/>
  <c r="Y157" i="19" s="1"/>
  <c r="CW87" i="35"/>
  <c r="GT87" i="35" s="1"/>
  <c r="FV154" i="35"/>
  <c r="FX154" i="35" s="1"/>
  <c r="DA136" i="35"/>
  <c r="Z136" i="19" s="1"/>
  <c r="HE111" i="35"/>
  <c r="HH111" i="35"/>
  <c r="CF159" i="35"/>
  <c r="CG159" i="35" s="1"/>
  <c r="CJ159" i="35" s="1"/>
  <c r="H170" i="19"/>
  <c r="CV87" i="35"/>
  <c r="U87" i="19" s="1"/>
  <c r="CO25" i="35"/>
  <c r="GJ25" i="35"/>
  <c r="GX25" i="35" s="1"/>
  <c r="M25" i="19"/>
  <c r="HF138" i="35"/>
  <c r="CT87" i="35"/>
  <c r="S87" i="19" s="1"/>
  <c r="CI42" i="35"/>
  <c r="I42" i="19" s="1"/>
  <c r="GQ20" i="35"/>
  <c r="FP25" i="35"/>
  <c r="FR25" i="35" s="1"/>
  <c r="FT25" i="35" s="1"/>
  <c r="FV25" i="35"/>
  <c r="GT77" i="35"/>
  <c r="GP111" i="35"/>
  <c r="CU111" i="35"/>
  <c r="GR111" i="35" s="1"/>
  <c r="HH138" i="35"/>
  <c r="DR170" i="35"/>
  <c r="DT170" i="35" s="1"/>
  <c r="HE138" i="35"/>
  <c r="CT107" i="35"/>
  <c r="S107" i="19" s="1"/>
  <c r="CI38" i="35"/>
  <c r="GP87" i="35"/>
  <c r="CV106" i="35"/>
  <c r="U106" i="19" s="1"/>
  <c r="CH178" i="35"/>
  <c r="J178" i="19" s="1"/>
  <c r="HH25" i="35"/>
  <c r="HE25" i="35"/>
  <c r="HF25" i="35"/>
  <c r="HG25" i="35"/>
  <c r="CV111" i="35"/>
  <c r="HH20" i="35"/>
  <c r="HG20" i="35"/>
  <c r="HF20" i="35"/>
  <c r="HE20" i="35"/>
  <c r="GP25" i="35"/>
  <c r="CT25" i="35"/>
  <c r="CW25" i="35"/>
  <c r="CV25" i="35"/>
  <c r="R25" i="19"/>
  <c r="CU25" i="35"/>
  <c r="FV111" i="35"/>
  <c r="FW111" i="35" s="1"/>
  <c r="FZ111" i="35" s="1"/>
  <c r="GB111" i="35" s="1"/>
  <c r="DV116" i="35"/>
  <c r="H38" i="19"/>
  <c r="HH71" i="35"/>
  <c r="HG111" i="35"/>
  <c r="GT107" i="35"/>
  <c r="DR42" i="35"/>
  <c r="CU87" i="35"/>
  <c r="T87" i="19" s="1"/>
  <c r="K157" i="19"/>
  <c r="H42" i="19"/>
  <c r="DV38" i="35"/>
  <c r="CJ50" i="35"/>
  <c r="GR77" i="35"/>
  <c r="HF71" i="35"/>
  <c r="GR39" i="35"/>
  <c r="T39" i="19"/>
  <c r="CK27" i="35"/>
  <c r="FN27" i="35" s="1"/>
  <c r="FV27" i="35" s="1"/>
  <c r="FW27" i="35" s="1"/>
  <c r="FZ27" i="35" s="1"/>
  <c r="GB27" i="35" s="1"/>
  <c r="CZ136" i="35"/>
  <c r="Y136" i="19" s="1"/>
  <c r="CT136" i="35"/>
  <c r="S136" i="19" s="1"/>
  <c r="CX136" i="35"/>
  <c r="W136" i="19" s="1"/>
  <c r="FX129" i="35"/>
  <c r="CF65" i="35"/>
  <c r="CG65" i="35" s="1"/>
  <c r="DR65" i="35" s="1"/>
  <c r="DT65" i="35" s="1"/>
  <c r="GT39" i="35"/>
  <c r="V39" i="19"/>
  <c r="GS39" i="35"/>
  <c r="U39" i="19"/>
  <c r="DV102" i="35"/>
  <c r="CS157" i="35"/>
  <c r="GP157" i="35" s="1"/>
  <c r="CH180" i="35"/>
  <c r="J180" i="19" s="1"/>
  <c r="CW136" i="35"/>
  <c r="V136" i="19" s="1"/>
  <c r="FN157" i="35"/>
  <c r="FP157" i="35" s="1"/>
  <c r="FR157" i="35" s="1"/>
  <c r="CY157" i="35"/>
  <c r="X157" i="19" s="1"/>
  <c r="CM136" i="35"/>
  <c r="M136" i="19" s="1"/>
  <c r="CY136" i="35"/>
  <c r="X136" i="19" s="1"/>
  <c r="CM157" i="35"/>
  <c r="M157" i="19" s="1"/>
  <c r="FP109" i="35"/>
  <c r="FR109" i="35" s="1"/>
  <c r="FT109" i="35" s="1"/>
  <c r="K136" i="19"/>
  <c r="GH157" i="35"/>
  <c r="GV157" i="35" s="1"/>
  <c r="HD157" i="35" s="1"/>
  <c r="HG157" i="35" s="1"/>
  <c r="H137" i="19"/>
  <c r="CX157" i="35"/>
  <c r="W157" i="19" s="1"/>
  <c r="H49" i="19"/>
  <c r="CV136" i="35"/>
  <c r="U136" i="19" s="1"/>
  <c r="GN132" i="35"/>
  <c r="HJ132" i="35" s="1"/>
  <c r="S39" i="19"/>
  <c r="GQ39" i="35"/>
  <c r="FW109" i="35"/>
  <c r="FZ109" i="35" s="1"/>
  <c r="GB109" i="35" s="1"/>
  <c r="CJ49" i="35"/>
  <c r="I49" i="19" s="1"/>
  <c r="DR49" i="35"/>
  <c r="DV49" i="35" s="1"/>
  <c r="S117" i="19"/>
  <c r="HE71" i="35"/>
  <c r="O106" i="19"/>
  <c r="CU106" i="35"/>
  <c r="T106" i="19" s="1"/>
  <c r="FW77" i="35"/>
  <c r="FZ77" i="35" s="1"/>
  <c r="GB77" i="35" s="1"/>
  <c r="M106" i="19"/>
  <c r="HG129" i="35"/>
  <c r="R129" i="19"/>
  <c r="HF129" i="35"/>
  <c r="GP129" i="35"/>
  <c r="GS129" i="35"/>
  <c r="CW129" i="35"/>
  <c r="GT129" i="35" s="1"/>
  <c r="HE129" i="35"/>
  <c r="CT129" i="35"/>
  <c r="S129" i="19" s="1"/>
  <c r="CU129" i="35"/>
  <c r="T129" i="19" s="1"/>
  <c r="GT126" i="35"/>
  <c r="GN126" i="35"/>
  <c r="HJ126" i="35" s="1"/>
  <c r="FP129" i="35"/>
  <c r="FR129" i="35" s="1"/>
  <c r="BW211" i="35"/>
  <c r="BW210" i="35"/>
  <c r="DC169" i="35"/>
  <c r="BW217" i="35"/>
  <c r="BW196" i="35"/>
  <c r="HE154" i="35"/>
  <c r="HF154" i="35"/>
  <c r="GJ154" i="35"/>
  <c r="GX154" i="35" s="1"/>
  <c r="CO154" i="35"/>
  <c r="M154" i="19"/>
  <c r="J118" i="19"/>
  <c r="DC52" i="35"/>
  <c r="CH52" i="35"/>
  <c r="DC82" i="35"/>
  <c r="CH82" i="35"/>
  <c r="J82" i="19" s="1"/>
  <c r="GN56" i="35"/>
  <c r="HJ56" i="35" s="1"/>
  <c r="DT168" i="35"/>
  <c r="HH64" i="35"/>
  <c r="HE64" i="35"/>
  <c r="HF64" i="35"/>
  <c r="HG64" i="35"/>
  <c r="HG154" i="35"/>
  <c r="CW135" i="35"/>
  <c r="V135" i="19" s="1"/>
  <c r="BW176" i="35"/>
  <c r="CI170" i="35"/>
  <c r="I170" i="19" s="1"/>
  <c r="CH80" i="35"/>
  <c r="J80" i="19" s="1"/>
  <c r="DC80" i="35"/>
  <c r="FP64" i="35"/>
  <c r="FR64" i="35" s="1"/>
  <c r="FT64" i="35" s="1"/>
  <c r="FV64" i="35"/>
  <c r="CQ71" i="35"/>
  <c r="GL71" i="35"/>
  <c r="GZ71" i="35" s="1"/>
  <c r="HB71" i="35" s="1"/>
  <c r="GP154" i="35"/>
  <c r="CU154" i="35"/>
  <c r="CV154" i="35"/>
  <c r="R154" i="19"/>
  <c r="CT154" i="35"/>
  <c r="CW154" i="35"/>
  <c r="BW190" i="35"/>
  <c r="DT52" i="35"/>
  <c r="CT64" i="35"/>
  <c r="CW64" i="35"/>
  <c r="R64" i="19"/>
  <c r="CU64" i="35"/>
  <c r="CV64" i="35"/>
  <c r="GP64" i="35"/>
  <c r="CH28" i="35"/>
  <c r="J28" i="19" s="1"/>
  <c r="DC28" i="35"/>
  <c r="BW212" i="35"/>
  <c r="R71" i="19"/>
  <c r="CV71" i="35"/>
  <c r="GP71" i="35"/>
  <c r="CW71" i="35"/>
  <c r="CU71" i="35"/>
  <c r="CT71" i="35"/>
  <c r="BW206" i="35"/>
  <c r="BY206" i="35" s="1"/>
  <c r="BZ206" i="35" s="1"/>
  <c r="CA206" i="35" s="1"/>
  <c r="DC206" i="35" s="1"/>
  <c r="CO64" i="35"/>
  <c r="M64" i="19"/>
  <c r="GJ64" i="35"/>
  <c r="GX64" i="35" s="1"/>
  <c r="CH115" i="35"/>
  <c r="DC115" i="35"/>
  <c r="DT110" i="35"/>
  <c r="R135" i="19"/>
  <c r="CH188" i="35"/>
  <c r="J188" i="19" s="1"/>
  <c r="DC188" i="35"/>
  <c r="GQ56" i="35"/>
  <c r="CU135" i="35"/>
  <c r="GR135" i="35" s="1"/>
  <c r="CV135" i="35"/>
  <c r="U135" i="19" s="1"/>
  <c r="DT163" i="35"/>
  <c r="FV135" i="35"/>
  <c r="FW135" i="35" s="1"/>
  <c r="FZ135" i="35" s="1"/>
  <c r="GB135" i="35" s="1"/>
  <c r="S135" i="19"/>
  <c r="GP135" i="35"/>
  <c r="CQ135" i="35"/>
  <c r="GN135" i="35" s="1"/>
  <c r="HJ135" i="35" s="1"/>
  <c r="FX47" i="35"/>
  <c r="I110" i="19"/>
  <c r="GR47" i="35"/>
  <c r="H131" i="19"/>
  <c r="DC84" i="35"/>
  <c r="CH84" i="35"/>
  <c r="J84" i="19" s="1"/>
  <c r="CH162" i="35"/>
  <c r="J162" i="19" s="1"/>
  <c r="DC162" i="35"/>
  <c r="O135" i="19"/>
  <c r="CF84" i="35"/>
  <c r="CG84" i="35" s="1"/>
  <c r="H84" i="19" s="1"/>
  <c r="CF162" i="35"/>
  <c r="CG162" i="35" s="1"/>
  <c r="H162" i="19" s="1"/>
  <c r="HE135" i="35"/>
  <c r="HF135" i="35"/>
  <c r="HH135" i="35"/>
  <c r="DC161" i="35"/>
  <c r="CH161" i="35"/>
  <c r="J161" i="19" s="1"/>
  <c r="HG136" i="35"/>
  <c r="H205" i="19"/>
  <c r="CI205" i="35"/>
  <c r="I205" i="19" s="1"/>
  <c r="GS47" i="35"/>
  <c r="CK167" i="35"/>
  <c r="CZ167" i="35" s="1"/>
  <c r="Y167" i="19" s="1"/>
  <c r="I167" i="19"/>
  <c r="O47" i="19"/>
  <c r="CQ47" i="35"/>
  <c r="GL47" i="35"/>
  <c r="GZ47" i="35" s="1"/>
  <c r="HB47" i="35" s="1"/>
  <c r="DR131" i="35"/>
  <c r="DT131" i="35" s="1"/>
  <c r="EW205" i="35"/>
  <c r="HG147" i="35"/>
  <c r="GT47" i="35"/>
  <c r="CK163" i="35"/>
  <c r="CX163" i="35" s="1"/>
  <c r="W163" i="19" s="1"/>
  <c r="DR205" i="35"/>
  <c r="DV205" i="35" s="1"/>
  <c r="GR83" i="35"/>
  <c r="CK57" i="35"/>
  <c r="CS57" i="35" s="1"/>
  <c r="GP57" i="35" s="1"/>
  <c r="S47" i="19"/>
  <c r="FW106" i="35"/>
  <c r="FZ106" i="35" s="1"/>
  <c r="GB106" i="35" s="1"/>
  <c r="FX106" i="35"/>
  <c r="DV167" i="35"/>
  <c r="DV57" i="35"/>
  <c r="CI131" i="35"/>
  <c r="HJ124" i="35"/>
  <c r="CJ131" i="35"/>
  <c r="CH205" i="35"/>
  <c r="J205" i="19" s="1"/>
  <c r="GJ147" i="35"/>
  <c r="GX147" i="35" s="1"/>
  <c r="HH147" i="35"/>
  <c r="HE147" i="35"/>
  <c r="CK70" i="35"/>
  <c r="CY70" i="35" s="1"/>
  <c r="X70" i="19" s="1"/>
  <c r="CK34" i="35"/>
  <c r="GH34" i="35" s="1"/>
  <c r="GV34" i="35" s="1"/>
  <c r="HD34" i="35" s="1"/>
  <c r="HE34" i="35" s="1"/>
  <c r="M147" i="19"/>
  <c r="FP144" i="35"/>
  <c r="FR144" i="35" s="1"/>
  <c r="FT144" i="35" s="1"/>
  <c r="FV144" i="35"/>
  <c r="CV144" i="35"/>
  <c r="CW144" i="35"/>
  <c r="CT144" i="35"/>
  <c r="GP144" i="35"/>
  <c r="CU144" i="35"/>
  <c r="R144" i="19"/>
  <c r="I76" i="19"/>
  <c r="GJ144" i="35"/>
  <c r="GX144" i="35" s="1"/>
  <c r="M144" i="19"/>
  <c r="CO144" i="35"/>
  <c r="DT69" i="35"/>
  <c r="GS83" i="35"/>
  <c r="DV43" i="35"/>
  <c r="Q30" i="19"/>
  <c r="AC30" i="19" s="1"/>
  <c r="GN30" i="35"/>
  <c r="HJ30" i="35" s="1"/>
  <c r="S83" i="19"/>
  <c r="GQ83" i="35"/>
  <c r="U32" i="19"/>
  <c r="GS32" i="35"/>
  <c r="CQ32" i="35"/>
  <c r="O32" i="19"/>
  <c r="GL32" i="35"/>
  <c r="GZ32" i="35" s="1"/>
  <c r="HB32" i="35" s="1"/>
  <c r="GQ32" i="35"/>
  <c r="S32" i="19"/>
  <c r="T32" i="19"/>
  <c r="GT32" i="35"/>
  <c r="V32" i="19"/>
  <c r="FW32" i="35"/>
  <c r="FZ32" i="35" s="1"/>
  <c r="GB32" i="35" s="1"/>
  <c r="FX32" i="35"/>
  <c r="GT30" i="35"/>
  <c r="V30" i="19"/>
  <c r="CQ81" i="35"/>
  <c r="Q81" i="19" s="1"/>
  <c r="AC81" i="19" s="1"/>
  <c r="S30" i="19"/>
  <c r="GQ30" i="35"/>
  <c r="O81" i="19"/>
  <c r="T30" i="19"/>
  <c r="GR30" i="35"/>
  <c r="DT29" i="35"/>
  <c r="U30" i="19"/>
  <c r="GS30" i="35"/>
  <c r="CX108" i="35"/>
  <c r="W108" i="19" s="1"/>
  <c r="T114" i="19"/>
  <c r="GR114" i="35"/>
  <c r="FW114" i="35"/>
  <c r="FZ114" i="35" s="1"/>
  <c r="GB114" i="35" s="1"/>
  <c r="FX114" i="35"/>
  <c r="GL114" i="35"/>
  <c r="GZ114" i="35" s="1"/>
  <c r="HB114" i="35" s="1"/>
  <c r="O114" i="19"/>
  <c r="CQ114" i="35"/>
  <c r="S114" i="19"/>
  <c r="GQ114" i="35"/>
  <c r="DR44" i="35"/>
  <c r="DV44" i="35" s="1"/>
  <c r="EW44" i="35"/>
  <c r="FV147" i="35"/>
  <c r="FX147" i="35" s="1"/>
  <c r="CA44" i="35"/>
  <c r="DC44" i="35" s="1"/>
  <c r="GL22" i="35"/>
  <c r="GZ22" i="35" s="1"/>
  <c r="HB22" i="35" s="1"/>
  <c r="CQ22" i="35"/>
  <c r="O22" i="19"/>
  <c r="Q59" i="19"/>
  <c r="AC59" i="19" s="1"/>
  <c r="GN59" i="35"/>
  <c r="HJ59" i="35" s="1"/>
  <c r="GT147" i="35"/>
  <c r="Q86" i="19"/>
  <c r="AC86" i="19" s="1"/>
  <c r="GN86" i="35"/>
  <c r="HJ86" i="35" s="1"/>
  <c r="DR13" i="35"/>
  <c r="DT13" i="35" s="1"/>
  <c r="CJ44" i="35"/>
  <c r="CA13" i="35"/>
  <c r="CQ147" i="35"/>
  <c r="GL147" i="35"/>
  <c r="GZ147" i="35" s="1"/>
  <c r="HB147" i="35" s="1"/>
  <c r="O147" i="19"/>
  <c r="H13" i="19"/>
  <c r="CI13" i="35"/>
  <c r="I13" i="19" s="1"/>
  <c r="U104" i="19"/>
  <c r="GS104" i="35"/>
  <c r="CQ138" i="35"/>
  <c r="GL138" i="35"/>
  <c r="GZ138" i="35" s="1"/>
  <c r="HB138" i="35" s="1"/>
  <c r="O138" i="19"/>
  <c r="V138" i="19"/>
  <c r="GT138" i="35"/>
  <c r="FX138" i="35"/>
  <c r="FW138" i="35"/>
  <c r="FZ138" i="35" s="1"/>
  <c r="GB138" i="35" s="1"/>
  <c r="S124" i="19"/>
  <c r="GQ124" i="35"/>
  <c r="FN108" i="35"/>
  <c r="FV108" i="35" s="1"/>
  <c r="FW108" i="35" s="1"/>
  <c r="FZ108" i="35" s="1"/>
  <c r="GB108" i="35" s="1"/>
  <c r="U124" i="19"/>
  <c r="GS124" i="35"/>
  <c r="CY108" i="35"/>
  <c r="X108" i="19" s="1"/>
  <c r="T124" i="19"/>
  <c r="GR124" i="35"/>
  <c r="CM108" i="35"/>
  <c r="CO108" i="35" s="1"/>
  <c r="CQ108" i="35" s="1"/>
  <c r="K108" i="19"/>
  <c r="CK76" i="35"/>
  <c r="GH76" i="35" s="1"/>
  <c r="GV76" i="35" s="1"/>
  <c r="HD76" i="35" s="1"/>
  <c r="HF76" i="35" s="1"/>
  <c r="CS108" i="35"/>
  <c r="GP108" i="35" s="1"/>
  <c r="GH108" i="35"/>
  <c r="GV108" i="35" s="1"/>
  <c r="HD108" i="35" s="1"/>
  <c r="HG108" i="35" s="1"/>
  <c r="V124" i="19"/>
  <c r="GT124" i="35"/>
  <c r="DA108" i="35"/>
  <c r="Z108" i="19" s="1"/>
  <c r="T45" i="19"/>
  <c r="GR45" i="35"/>
  <c r="FW107" i="35"/>
  <c r="FZ107" i="35" s="1"/>
  <c r="GB107" i="35" s="1"/>
  <c r="FX107" i="35"/>
  <c r="GL53" i="35"/>
  <c r="GZ53" i="35" s="1"/>
  <c r="HB53" i="35" s="1"/>
  <c r="CQ53" i="35"/>
  <c r="O53" i="19"/>
  <c r="CZ60" i="35"/>
  <c r="Y60" i="19" s="1"/>
  <c r="CS60" i="35"/>
  <c r="K60" i="19"/>
  <c r="CM60" i="35"/>
  <c r="GH60" i="35"/>
  <c r="GV60" i="35" s="1"/>
  <c r="HD60" i="35" s="1"/>
  <c r="CY60" i="35"/>
  <c r="X60" i="19" s="1"/>
  <c r="CX60" i="35"/>
  <c r="W60" i="19" s="1"/>
  <c r="DA60" i="35"/>
  <c r="Z60" i="19" s="1"/>
  <c r="FN60" i="35"/>
  <c r="O109" i="19"/>
  <c r="CQ109" i="35"/>
  <c r="GL109" i="35"/>
  <c r="GZ109" i="35" s="1"/>
  <c r="HB109" i="35" s="1"/>
  <c r="H44" i="19"/>
  <c r="CQ36" i="35"/>
  <c r="GL36" i="35"/>
  <c r="GZ36" i="35" s="1"/>
  <c r="HB36" i="35" s="1"/>
  <c r="O36" i="19"/>
  <c r="GR36" i="35"/>
  <c r="T36" i="19"/>
  <c r="FW36" i="35"/>
  <c r="FZ36" i="35" s="1"/>
  <c r="GB36" i="35" s="1"/>
  <c r="FX36" i="35"/>
  <c r="CI44" i="35"/>
  <c r="DT66" i="35"/>
  <c r="CK43" i="35"/>
  <c r="CZ43" i="35" s="1"/>
  <c r="Y43" i="19" s="1"/>
  <c r="U53" i="19"/>
  <c r="GS53" i="35"/>
  <c r="GQ36" i="35"/>
  <c r="S36" i="19"/>
  <c r="GR74" i="35"/>
  <c r="GT53" i="35"/>
  <c r="V53" i="19"/>
  <c r="S147" i="19"/>
  <c r="GQ147" i="35"/>
  <c r="I181" i="19"/>
  <c r="I175" i="19"/>
  <c r="S121" i="19"/>
  <c r="GQ121" i="35"/>
  <c r="BT189" i="35"/>
  <c r="BT191" i="35"/>
  <c r="BW191" i="35" s="1"/>
  <c r="BY191" i="35" s="1"/>
  <c r="BZ191" i="35" s="1"/>
  <c r="H103" i="19"/>
  <c r="DR103" i="35"/>
  <c r="CJ103" i="35"/>
  <c r="CI103" i="35"/>
  <c r="S67" i="19"/>
  <c r="GQ67" i="35"/>
  <c r="GJ153" i="35"/>
  <c r="GX153" i="35" s="1"/>
  <c r="CO153" i="35"/>
  <c r="M153" i="19"/>
  <c r="V78" i="19"/>
  <c r="GT78" i="35"/>
  <c r="CO133" i="35"/>
  <c r="M133" i="19"/>
  <c r="GJ133" i="35"/>
  <c r="GX133" i="35" s="1"/>
  <c r="GL78" i="35"/>
  <c r="GZ78" i="35" s="1"/>
  <c r="HB78" i="35" s="1"/>
  <c r="CQ78" i="35"/>
  <c r="O78" i="19"/>
  <c r="GR48" i="35"/>
  <c r="T48" i="19"/>
  <c r="T67" i="19"/>
  <c r="GR67" i="35"/>
  <c r="BT208" i="35"/>
  <c r="DC103" i="35"/>
  <c r="CH103" i="35"/>
  <c r="V67" i="19"/>
  <c r="GT67" i="35"/>
  <c r="V111" i="19"/>
  <c r="GT111" i="35"/>
  <c r="FX89" i="35"/>
  <c r="FW89" i="35"/>
  <c r="FZ89" i="35" s="1"/>
  <c r="GB89" i="35" s="1"/>
  <c r="GS142" i="35"/>
  <c r="U142" i="19"/>
  <c r="T78" i="19"/>
  <c r="GR78" i="35"/>
  <c r="U147" i="19"/>
  <c r="BT186" i="35"/>
  <c r="GL14" i="35"/>
  <c r="GZ14" i="35" s="1"/>
  <c r="HB14" i="35" s="1"/>
  <c r="CQ14" i="35"/>
  <c r="O14" i="19"/>
  <c r="CT100" i="35"/>
  <c r="R100" i="19"/>
  <c r="CV100" i="35"/>
  <c r="CU100" i="35"/>
  <c r="GP100" i="35"/>
  <c r="CW100" i="35"/>
  <c r="CQ111" i="35"/>
  <c r="O111" i="19"/>
  <c r="GL111" i="35"/>
  <c r="GZ111" i="35" s="1"/>
  <c r="HB111" i="35" s="1"/>
  <c r="S14" i="19"/>
  <c r="GQ14" i="35"/>
  <c r="CI23" i="35"/>
  <c r="CJ23" i="35"/>
  <c r="H23" i="19"/>
  <c r="DR23" i="35"/>
  <c r="O89" i="19"/>
  <c r="CQ89" i="35"/>
  <c r="GL89" i="35"/>
  <c r="GZ89" i="35" s="1"/>
  <c r="HB89" i="35" s="1"/>
  <c r="GR142" i="35"/>
  <c r="T142" i="19"/>
  <c r="DT175" i="35"/>
  <c r="DV175" i="35"/>
  <c r="R153" i="19"/>
  <c r="GP153" i="35"/>
  <c r="CV153" i="35"/>
  <c r="CT153" i="35"/>
  <c r="CU153" i="35"/>
  <c r="CW153" i="35"/>
  <c r="FP133" i="35"/>
  <c r="FR133" i="35" s="1"/>
  <c r="FV133" i="35"/>
  <c r="U89" i="19"/>
  <c r="GS89" i="35"/>
  <c r="CQ142" i="35"/>
  <c r="O142" i="19"/>
  <c r="GL142" i="35"/>
  <c r="GZ142" i="35" s="1"/>
  <c r="HB142" i="35" s="1"/>
  <c r="BT183" i="35"/>
  <c r="GT92" i="35"/>
  <c r="V92" i="19"/>
  <c r="GS156" i="35"/>
  <c r="U156" i="19"/>
  <c r="FV153" i="35"/>
  <c r="FP153" i="35"/>
  <c r="FR153" i="35" s="1"/>
  <c r="V18" i="19"/>
  <c r="GT18" i="35"/>
  <c r="FX78" i="35"/>
  <c r="FW78" i="35"/>
  <c r="FZ78" i="35" s="1"/>
  <c r="GB78" i="35" s="1"/>
  <c r="GL48" i="35"/>
  <c r="GZ48" i="35" s="1"/>
  <c r="HB48" i="35" s="1"/>
  <c r="CQ48" i="35"/>
  <c r="O48" i="19"/>
  <c r="FW33" i="35"/>
  <c r="FZ33" i="35" s="1"/>
  <c r="GB33" i="35" s="1"/>
  <c r="FX33" i="35"/>
  <c r="FX142" i="35"/>
  <c r="FW142" i="35"/>
  <c r="FZ142" i="35" s="1"/>
  <c r="GB142" i="35" s="1"/>
  <c r="CA197" i="35"/>
  <c r="CF197" i="35"/>
  <c r="CG197" i="35" s="1"/>
  <c r="GL18" i="35"/>
  <c r="GZ18" i="35" s="1"/>
  <c r="HB18" i="35" s="1"/>
  <c r="O18" i="19"/>
  <c r="CQ18" i="35"/>
  <c r="BT171" i="35"/>
  <c r="U33" i="19"/>
  <c r="GS33" i="35"/>
  <c r="U67" i="19"/>
  <c r="GS67" i="35"/>
  <c r="FX18" i="35"/>
  <c r="FW18" i="35"/>
  <c r="FZ18" i="35" s="1"/>
  <c r="GB18" i="35" s="1"/>
  <c r="V14" i="19"/>
  <c r="GT14" i="35"/>
  <c r="DC23" i="35"/>
  <c r="CH23" i="35"/>
  <c r="HG153" i="35"/>
  <c r="HF153" i="35"/>
  <c r="HH153" i="35"/>
  <c r="HE153" i="35"/>
  <c r="Q31" i="19"/>
  <c r="AC31" i="19" s="1"/>
  <c r="GN31" i="35"/>
  <c r="HJ31" i="35" s="1"/>
  <c r="GS121" i="35"/>
  <c r="U121" i="19"/>
  <c r="V48" i="19"/>
  <c r="GT48" i="35"/>
  <c r="CI179" i="35"/>
  <c r="H179" i="19"/>
  <c r="CJ179" i="35"/>
  <c r="DR179" i="35"/>
  <c r="GR147" i="35"/>
  <c r="BT173" i="35"/>
  <c r="CA166" i="35"/>
  <c r="I66" i="19"/>
  <c r="T33" i="19"/>
  <c r="J181" i="19"/>
  <c r="CK181" i="35"/>
  <c r="FP100" i="35"/>
  <c r="FR100" i="35" s="1"/>
  <c r="FT100" i="35" s="1"/>
  <c r="FV100" i="35"/>
  <c r="GR14" i="35"/>
  <c r="T14" i="19"/>
  <c r="GL121" i="35"/>
  <c r="GZ121" i="35" s="1"/>
  <c r="HB121" i="35" s="1"/>
  <c r="CQ121" i="35"/>
  <c r="O121" i="19"/>
  <c r="GT89" i="35"/>
  <c r="V89" i="19"/>
  <c r="DR182" i="35"/>
  <c r="H182" i="19"/>
  <c r="EW182" i="35"/>
  <c r="CJ182" i="35"/>
  <c r="CI182" i="35"/>
  <c r="S78" i="19"/>
  <c r="GQ78" i="35"/>
  <c r="BT174" i="35"/>
  <c r="DT181" i="35"/>
  <c r="DV181" i="35"/>
  <c r="Q75" i="19"/>
  <c r="AC75" i="19" s="1"/>
  <c r="GN75" i="35"/>
  <c r="HJ75" i="35" s="1"/>
  <c r="U14" i="19"/>
  <c r="GS14" i="35"/>
  <c r="GQ89" i="35"/>
  <c r="S89" i="19"/>
  <c r="DC182" i="35"/>
  <c r="CH182" i="35"/>
  <c r="FW48" i="35"/>
  <c r="FZ48" i="35" s="1"/>
  <c r="GB48" i="35" s="1"/>
  <c r="FX48" i="35"/>
  <c r="GT142" i="35"/>
  <c r="V142" i="19"/>
  <c r="GS78" i="35"/>
  <c r="U78" i="19"/>
  <c r="T121" i="19"/>
  <c r="GR121" i="35"/>
  <c r="DC24" i="35"/>
  <c r="CH24" i="35"/>
  <c r="J24" i="19" s="1"/>
  <c r="GT156" i="35"/>
  <c r="V156" i="19"/>
  <c r="T18" i="19"/>
  <c r="GR18" i="35"/>
  <c r="DR24" i="35"/>
  <c r="H24" i="19"/>
  <c r="CJ24" i="35"/>
  <c r="CI24" i="35"/>
  <c r="T89" i="19"/>
  <c r="GR89" i="35"/>
  <c r="BT165" i="35"/>
  <c r="DC179" i="35"/>
  <c r="CH179" i="35"/>
  <c r="J179" i="19" s="1"/>
  <c r="GL156" i="35"/>
  <c r="GZ156" i="35" s="1"/>
  <c r="HB156" i="35" s="1"/>
  <c r="CQ156" i="35"/>
  <c r="O156" i="19"/>
  <c r="FW14" i="35"/>
  <c r="FZ14" i="35" s="1"/>
  <c r="GB14" i="35" s="1"/>
  <c r="FX14" i="35"/>
  <c r="T156" i="19"/>
  <c r="GR156" i="35"/>
  <c r="S18" i="19"/>
  <c r="GQ18" i="35"/>
  <c r="BT185" i="35"/>
  <c r="BW185" i="35" s="1"/>
  <c r="BY185" i="35" s="1"/>
  <c r="BZ185" i="35" s="1"/>
  <c r="GQ48" i="35"/>
  <c r="S48" i="19"/>
  <c r="GS48" i="35"/>
  <c r="U48" i="19"/>
  <c r="CJ51" i="35"/>
  <c r="DR51" i="35"/>
  <c r="CI51" i="35"/>
  <c r="H51" i="19"/>
  <c r="CF143" i="35"/>
  <c r="CG143" i="35" s="1"/>
  <c r="DR143" i="35" s="1"/>
  <c r="DT143" i="35" s="1"/>
  <c r="CA143" i="35"/>
  <c r="GJ100" i="35"/>
  <c r="GX100" i="35" s="1"/>
  <c r="CO100" i="35"/>
  <c r="M100" i="19"/>
  <c r="CA207" i="35"/>
  <c r="CF207" i="35"/>
  <c r="CG207" i="35" s="1"/>
  <c r="S142" i="19"/>
  <c r="GQ142" i="35"/>
  <c r="U18" i="19"/>
  <c r="GS18" i="35"/>
  <c r="CJ40" i="35"/>
  <c r="CI40" i="35"/>
  <c r="DR40" i="35"/>
  <c r="H40" i="19"/>
  <c r="FW156" i="35"/>
  <c r="FZ156" i="35" s="1"/>
  <c r="GB156" i="35" s="1"/>
  <c r="FX156" i="35"/>
  <c r="GT121" i="35"/>
  <c r="V121" i="19"/>
  <c r="DC131" i="35"/>
  <c r="CH131" i="35"/>
  <c r="J131" i="19" s="1"/>
  <c r="HH133" i="35"/>
  <c r="HE133" i="35"/>
  <c r="HF133" i="35"/>
  <c r="HG133" i="35"/>
  <c r="CK29" i="35"/>
  <c r="K29" i="19" s="1"/>
  <c r="BT192" i="35"/>
  <c r="BW192" i="35" s="1"/>
  <c r="BY192" i="35" s="1"/>
  <c r="BZ192" i="35" s="1"/>
  <c r="DT169" i="35"/>
  <c r="CH51" i="35"/>
  <c r="DC51" i="35"/>
  <c r="HE100" i="35"/>
  <c r="HH100" i="35"/>
  <c r="HG100" i="35"/>
  <c r="HF100" i="35"/>
  <c r="S156" i="19"/>
  <c r="GQ156" i="35"/>
  <c r="FW121" i="35"/>
  <c r="FZ121" i="35" s="1"/>
  <c r="GB121" i="35" s="1"/>
  <c r="FX121" i="35"/>
  <c r="CH40" i="35"/>
  <c r="DC40" i="35"/>
  <c r="CT133" i="35"/>
  <c r="CU133" i="35"/>
  <c r="GP133" i="35"/>
  <c r="CW133" i="35"/>
  <c r="CV133" i="35"/>
  <c r="R133" i="19"/>
  <c r="J175" i="19"/>
  <c r="CK175" i="35"/>
  <c r="CK66" i="35"/>
  <c r="K66" i="19" s="1"/>
  <c r="I161" i="19"/>
  <c r="GT54" i="35"/>
  <c r="V54" i="19"/>
  <c r="CK17" i="35"/>
  <c r="K17" i="19" s="1"/>
  <c r="DT161" i="35"/>
  <c r="DV161" i="35"/>
  <c r="M141" i="19"/>
  <c r="CO141" i="35"/>
  <c r="GJ141" i="35"/>
  <c r="GX141" i="35" s="1"/>
  <c r="DV172" i="35"/>
  <c r="DT172" i="35"/>
  <c r="FP141" i="35"/>
  <c r="FR141" i="35" s="1"/>
  <c r="FV141" i="35"/>
  <c r="I172" i="19"/>
  <c r="CK172" i="35"/>
  <c r="S54" i="19"/>
  <c r="GQ54" i="35"/>
  <c r="CV141" i="35"/>
  <c r="GP141" i="35"/>
  <c r="R141" i="19"/>
  <c r="CW141" i="35"/>
  <c r="CT141" i="35"/>
  <c r="CU141" i="35"/>
  <c r="U54" i="19"/>
  <c r="GS54" i="35"/>
  <c r="HG141" i="35"/>
  <c r="HF141" i="35"/>
  <c r="HH141" i="35"/>
  <c r="HE141" i="35"/>
  <c r="T54" i="19"/>
  <c r="GR54" i="35"/>
  <c r="FW54" i="35"/>
  <c r="FZ54" i="35" s="1"/>
  <c r="GB54" i="35" s="1"/>
  <c r="FX54" i="35"/>
  <c r="CK110" i="35"/>
  <c r="CS110" i="35" s="1"/>
  <c r="CW110" i="35" s="1"/>
  <c r="BR237" i="35"/>
  <c r="BR194" i="35"/>
  <c r="BR177" i="35"/>
  <c r="BR234" i="35"/>
  <c r="BR253" i="35"/>
  <c r="BR224" i="35"/>
  <c r="BR248" i="35"/>
  <c r="BR184" i="35"/>
  <c r="BR215" i="35"/>
  <c r="BR251" i="35"/>
  <c r="BR193" i="35"/>
  <c r="BR229" i="35"/>
  <c r="BR226" i="35"/>
  <c r="DV137" i="35"/>
  <c r="BL221" i="35"/>
  <c r="BN221" i="35" s="1"/>
  <c r="BP221" i="35" s="1"/>
  <c r="BL225" i="35"/>
  <c r="BN225" i="35" s="1"/>
  <c r="BP225" i="35" s="1"/>
  <c r="BL261" i="35"/>
  <c r="BN261" i="35" s="1"/>
  <c r="BP261" i="35" s="1"/>
  <c r="BL233" i="35"/>
  <c r="BN233" i="35" s="1"/>
  <c r="BP233" i="35" s="1"/>
  <c r="BL277" i="35"/>
  <c r="BN277" i="35" s="1"/>
  <c r="BP277" i="35" s="1"/>
  <c r="BL269" i="35"/>
  <c r="BN269" i="35" s="1"/>
  <c r="BP269" i="35" s="1"/>
  <c r="BL209" i="35"/>
  <c r="BN209" i="35" s="1"/>
  <c r="BP209" i="35" s="1"/>
  <c r="BL254" i="35"/>
  <c r="BN254" i="35" s="1"/>
  <c r="BP254" i="35" s="1"/>
  <c r="BL228" i="35"/>
  <c r="BN228" i="35" s="1"/>
  <c r="BP228" i="35" s="1"/>
  <c r="CK7" i="35"/>
  <c r="I7" i="19"/>
  <c r="DV7" i="35"/>
  <c r="DT7" i="35"/>
  <c r="BJ216" i="35"/>
  <c r="BL216" i="35" s="1"/>
  <c r="BN216" i="35" s="1"/>
  <c r="BP216" i="35" s="1"/>
  <c r="BJ203" i="35"/>
  <c r="BL203" i="35" s="1"/>
  <c r="BN203" i="35" s="1"/>
  <c r="BP203" i="35" s="1"/>
  <c r="BJ199" i="35"/>
  <c r="BL199" i="35" s="1"/>
  <c r="BN199" i="35" s="1"/>
  <c r="BP199" i="35" s="1"/>
  <c r="BJ198" i="35"/>
  <c r="BL198" i="35" s="1"/>
  <c r="BN198" i="35" s="1"/>
  <c r="BP198" i="35" s="1"/>
  <c r="BJ213" i="35"/>
  <c r="BL213" i="35" s="1"/>
  <c r="BN213" i="35" s="1"/>
  <c r="BP213" i="35" s="1"/>
  <c r="BJ214" i="35"/>
  <c r="BL214" i="35" s="1"/>
  <c r="BN214" i="35" s="1"/>
  <c r="BP214" i="35" s="1"/>
  <c r="BJ201" i="35"/>
  <c r="BL201" i="35" s="1"/>
  <c r="BN201" i="35" s="1"/>
  <c r="BP201" i="35" s="1"/>
  <c r="BJ220" i="35"/>
  <c r="BL220" i="35" s="1"/>
  <c r="BN220" i="35" s="1"/>
  <c r="BP220" i="35" s="1"/>
  <c r="BJ218" i="35"/>
  <c r="BL218" i="35" s="1"/>
  <c r="BN218" i="35" s="1"/>
  <c r="BP218" i="35" s="1"/>
  <c r="BJ222" i="35"/>
  <c r="BL222" i="35" s="1"/>
  <c r="BN222" i="35" s="1"/>
  <c r="BP222" i="35" s="1"/>
  <c r="BH223" i="35"/>
  <c r="BH236" i="35"/>
  <c r="BH204" i="35"/>
  <c r="BH200" i="35"/>
  <c r="BJ200" i="35" s="1"/>
  <c r="BH252" i="35"/>
  <c r="BF246" i="35"/>
  <c r="BF235" i="35"/>
  <c r="BF247" i="35"/>
  <c r="BF238" i="35"/>
  <c r="BF244" i="35"/>
  <c r="BF230" i="35"/>
  <c r="BF245" i="35"/>
  <c r="BF241" i="35"/>
  <c r="BF240" i="35"/>
  <c r="BF232" i="35"/>
  <c r="BF231" i="35"/>
  <c r="BF249" i="35"/>
  <c r="BF227" i="35"/>
  <c r="BH227" i="35" s="1"/>
  <c r="BJ227" i="35" s="1"/>
  <c r="BF243" i="35"/>
  <c r="BD242" i="35"/>
  <c r="BD257" i="35"/>
  <c r="BD239" i="35"/>
  <c r="BD250" i="35"/>
  <c r="BD262" i="35"/>
  <c r="BD258" i="35"/>
  <c r="BF258" i="35" s="1"/>
  <c r="BH258" i="35" s="1"/>
  <c r="BJ258" i="35" s="1"/>
  <c r="BA270" i="35"/>
  <c r="BA271" i="35"/>
  <c r="BD271" i="35" s="1"/>
  <c r="BF271" i="35" s="1"/>
  <c r="BH271" i="35" s="1"/>
  <c r="BJ271" i="35" s="1"/>
  <c r="BA259" i="35"/>
  <c r="BA268" i="35"/>
  <c r="BD268" i="35" s="1"/>
  <c r="BF268" i="35" s="1"/>
  <c r="BH268" i="35" s="1"/>
  <c r="BJ268" i="35" s="1"/>
  <c r="BA264" i="35"/>
  <c r="BD264" i="35" s="1"/>
  <c r="BF264" i="35" s="1"/>
  <c r="BH264" i="35" s="1"/>
  <c r="BJ264" i="35" s="1"/>
  <c r="BA267" i="35"/>
  <c r="BD267" i="35" s="1"/>
  <c r="BF267" i="35" s="1"/>
  <c r="BH267" i="35" s="1"/>
  <c r="BJ267" i="35" s="1"/>
  <c r="BA282" i="35"/>
  <c r="BD282" i="35" s="1"/>
  <c r="BF282" i="35" s="1"/>
  <c r="BH282" i="35" s="1"/>
  <c r="BJ282" i="35" s="1"/>
  <c r="BA278" i="35"/>
  <c r="BD278" i="35" s="1"/>
  <c r="BF278" i="35" s="1"/>
  <c r="BH278" i="35" s="1"/>
  <c r="BJ278" i="35" s="1"/>
  <c r="BA265" i="35"/>
  <c r="BA256" i="35"/>
  <c r="BD256" i="35" s="1"/>
  <c r="BF256" i="35" s="1"/>
  <c r="BH256" i="35" s="1"/>
  <c r="BJ256" i="35" s="1"/>
  <c r="BA266" i="35"/>
  <c r="BD266" i="35" s="1"/>
  <c r="BF266" i="35" s="1"/>
  <c r="BH266" i="35" s="1"/>
  <c r="BJ266" i="35" s="1"/>
  <c r="BA275" i="35"/>
  <c r="BA279" i="35"/>
  <c r="BA280" i="35"/>
  <c r="BA284" i="35"/>
  <c r="BA255" i="35"/>
  <c r="BD255" i="35" s="1"/>
  <c r="BF255" i="35" s="1"/>
  <c r="BH255" i="35" s="1"/>
  <c r="BJ255" i="35" s="1"/>
  <c r="BA260" i="35"/>
  <c r="BD260" i="35" s="1"/>
  <c r="BF260" i="35" s="1"/>
  <c r="BH260" i="35" s="1"/>
  <c r="BJ260" i="35" s="1"/>
  <c r="BA274" i="35"/>
  <c r="BD274" i="35" s="1"/>
  <c r="BF274" i="35" s="1"/>
  <c r="BH274" i="35" s="1"/>
  <c r="BJ274" i="35" s="1"/>
  <c r="BA273" i="35"/>
  <c r="BD273" i="35" s="1"/>
  <c r="BF273" i="35" s="1"/>
  <c r="BH273" i="35" s="1"/>
  <c r="BJ273" i="35" s="1"/>
  <c r="BA276" i="35"/>
  <c r="AZ272" i="35"/>
  <c r="AZ283" i="35"/>
  <c r="AZ285" i="35"/>
  <c r="AZ263" i="35"/>
  <c r="AZ281" i="35"/>
  <c r="AX314" i="35"/>
  <c r="AX307" i="35"/>
  <c r="AX289" i="35"/>
  <c r="AX313" i="35"/>
  <c r="AX290" i="35"/>
  <c r="AX311" i="35"/>
  <c r="AX305" i="35"/>
  <c r="AX299" i="35"/>
  <c r="AZ299" i="35" s="1"/>
  <c r="AX312" i="35"/>
  <c r="AX306" i="35"/>
  <c r="AX304" i="35"/>
  <c r="AX295" i="35"/>
  <c r="AX308" i="35"/>
  <c r="AX296" i="35"/>
  <c r="AX292" i="35"/>
  <c r="AX288" i="35"/>
  <c r="AX287" i="35"/>
  <c r="AX300" i="35"/>
  <c r="AV306" i="35"/>
  <c r="DP306" i="35" s="1"/>
  <c r="AX309" i="35"/>
  <c r="AX302" i="35"/>
  <c r="AX303" i="35"/>
  <c r="AX294" i="35"/>
  <c r="AX293" i="35"/>
  <c r="AX291" i="35"/>
  <c r="AW297" i="35"/>
  <c r="AW301" i="35"/>
  <c r="AW286" i="35"/>
  <c r="AW310" i="35"/>
  <c r="AW298" i="35"/>
  <c r="AW315" i="35"/>
  <c r="AV303" i="35"/>
  <c r="DO303" i="35" s="1"/>
  <c r="DN303" i="35" s="1"/>
  <c r="AV289" i="35"/>
  <c r="DP289" i="35" s="1"/>
  <c r="AV305" i="35"/>
  <c r="DP305" i="35" s="1"/>
  <c r="AV309" i="35"/>
  <c r="DO309" i="35" s="1"/>
  <c r="DN309" i="35" s="1"/>
  <c r="AV300" i="35"/>
  <c r="DO300" i="35" s="1"/>
  <c r="DN300" i="35" s="1"/>
  <c r="AV302" i="35"/>
  <c r="DP302" i="35" s="1"/>
  <c r="DB316" i="35"/>
  <c r="AV295" i="35"/>
  <c r="DP295" i="35" s="1"/>
  <c r="AV311" i="35"/>
  <c r="DO311" i="35" s="1"/>
  <c r="DN311" i="35" s="1"/>
  <c r="AV288" i="35"/>
  <c r="DO288" i="35" s="1"/>
  <c r="DN288" i="35" s="1"/>
  <c r="AV290" i="35"/>
  <c r="DP290" i="35" s="1"/>
  <c r="AV314" i="35"/>
  <c r="DP314" i="35" s="1"/>
  <c r="AV287" i="35"/>
  <c r="DP287" i="35" s="1"/>
  <c r="AV312" i="35"/>
  <c r="DP312" i="35" s="1"/>
  <c r="AV291" i="35"/>
  <c r="DP291" i="35" s="1"/>
  <c r="DO285" i="35"/>
  <c r="DN285" i="35" s="1"/>
  <c r="AV294" i="35"/>
  <c r="DO294" i="35" s="1"/>
  <c r="DN294" i="35" s="1"/>
  <c r="AV304" i="35"/>
  <c r="DP304" i="35" s="1"/>
  <c r="AV296" i="35"/>
  <c r="DP296" i="35" s="1"/>
  <c r="AV313" i="35"/>
  <c r="DP313" i="35" s="1"/>
  <c r="AV292" i="35"/>
  <c r="DP292" i="35" s="1"/>
  <c r="AV308" i="35"/>
  <c r="DO308" i="35" s="1"/>
  <c r="DN308" i="35" s="1"/>
  <c r="AV307" i="35"/>
  <c r="DP307" i="35" s="1"/>
  <c r="AV293" i="35"/>
  <c r="DP293" i="35" s="1"/>
  <c r="AV299" i="35"/>
  <c r="DO299" i="35" s="1"/>
  <c r="DN299" i="35" s="1"/>
  <c r="AS316" i="35"/>
  <c r="AU316" i="35"/>
  <c r="AW316" i="35" s="1"/>
  <c r="AT322" i="35"/>
  <c r="AT326" i="35"/>
  <c r="AT344" i="35"/>
  <c r="AT342" i="35"/>
  <c r="AT337" i="35"/>
  <c r="AT334" i="35"/>
  <c r="AT330" i="35"/>
  <c r="AT324" i="35"/>
  <c r="AT332" i="35"/>
  <c r="AT317" i="35"/>
  <c r="AT336" i="35"/>
  <c r="AT346" i="35"/>
  <c r="AT323" i="35"/>
  <c r="AT329" i="35"/>
  <c r="AT333" i="35"/>
  <c r="AT339" i="35"/>
  <c r="AT325" i="35"/>
  <c r="AT345" i="35"/>
  <c r="AP347" i="35"/>
  <c r="AQ347" i="35" s="1"/>
  <c r="AT341" i="35"/>
  <c r="AT343" i="35"/>
  <c r="AT331" i="35"/>
  <c r="AT335" i="35"/>
  <c r="AT319" i="35"/>
  <c r="AT321" i="35"/>
  <c r="AT340" i="35"/>
  <c r="AT327" i="35"/>
  <c r="AT318" i="35"/>
  <c r="AT338" i="35"/>
  <c r="AT320" i="35"/>
  <c r="AT328" i="35"/>
  <c r="E25" i="10"/>
  <c r="E24" i="39"/>
  <c r="E35" i="39" s="1"/>
  <c r="E8" i="38"/>
  <c r="N8" i="38" s="1"/>
  <c r="E11" i="5"/>
  <c r="E11" i="39" s="1"/>
  <c r="N11" i="39" s="1"/>
  <c r="X11" i="39" s="1"/>
  <c r="N8" i="5"/>
  <c r="E8" i="32"/>
  <c r="N8" i="32" s="1"/>
  <c r="E8" i="24"/>
  <c r="E29" i="24" s="1"/>
  <c r="E10" i="5"/>
  <c r="E10" i="39" s="1"/>
  <c r="N10" i="39" s="1"/>
  <c r="X10" i="39" s="1"/>
  <c r="E13" i="5"/>
  <c r="E13" i="39" s="1"/>
  <c r="N13" i="39" s="1"/>
  <c r="X13" i="39" s="1"/>
  <c r="AL372" i="35"/>
  <c r="AL349" i="35"/>
  <c r="AL356" i="35"/>
  <c r="AL351" i="35"/>
  <c r="AL359" i="35"/>
  <c r="AL367" i="35"/>
  <c r="AL375" i="35"/>
  <c r="AL374" i="35"/>
  <c r="AL365" i="35"/>
  <c r="AL357" i="35"/>
  <c r="AL373" i="35"/>
  <c r="AL348" i="35"/>
  <c r="AL364" i="35"/>
  <c r="AO364" i="35" s="1"/>
  <c r="AL354" i="35"/>
  <c r="AO360" i="35"/>
  <c r="AL368" i="35"/>
  <c r="AL370" i="35"/>
  <c r="AO361" i="35"/>
  <c r="AL352" i="35"/>
  <c r="AL369" i="35"/>
  <c r="AL358" i="35"/>
  <c r="AL363" i="35"/>
  <c r="AL350" i="35"/>
  <c r="AL355" i="35"/>
  <c r="AL362" i="35"/>
  <c r="AL376" i="35"/>
  <c r="AL353" i="35"/>
  <c r="AL377" i="35"/>
  <c r="AL366" i="35"/>
  <c r="AL371" i="35"/>
  <c r="E28" i="5"/>
  <c r="E8" i="34"/>
  <c r="O8" i="34" s="1"/>
  <c r="B56" i="37"/>
  <c r="AQ21" i="37"/>
  <c r="DP298" i="35"/>
  <c r="DO301" i="35"/>
  <c r="DN301" i="35" s="1"/>
  <c r="DO297" i="35"/>
  <c r="DN297" i="35" s="1"/>
  <c r="DO286" i="35"/>
  <c r="DN286" i="35" s="1"/>
  <c r="DP286" i="35"/>
  <c r="AG378" i="35"/>
  <c r="DP315" i="35"/>
  <c r="DO315" i="35"/>
  <c r="DN315" i="35" s="1"/>
  <c r="DO310" i="35"/>
  <c r="DN310" i="35" s="1"/>
  <c r="DP310" i="35"/>
  <c r="E31" i="24"/>
  <c r="C1" i="23"/>
  <c r="U92" i="19" l="1"/>
  <c r="S45" i="19"/>
  <c r="R107" i="19"/>
  <c r="I61" i="19"/>
  <c r="CS145" i="35"/>
  <c r="CV74" i="35"/>
  <c r="GS74" i="35" s="1"/>
  <c r="CK37" i="35"/>
  <c r="DA37" i="35" s="1"/>
  <c r="Z37" i="19" s="1"/>
  <c r="CW72" i="35"/>
  <c r="V72" i="19" s="1"/>
  <c r="CV72" i="35"/>
  <c r="HE35" i="35"/>
  <c r="HF35" i="35"/>
  <c r="T105" i="19"/>
  <c r="K145" i="19"/>
  <c r="H112" i="19"/>
  <c r="GJ106" i="35"/>
  <c r="GX106" i="35" s="1"/>
  <c r="CT106" i="35"/>
  <c r="S106" i="19" s="1"/>
  <c r="CV107" i="35"/>
  <c r="U107" i="19" s="1"/>
  <c r="FV145" i="35"/>
  <c r="FW145" i="35" s="1"/>
  <c r="FZ145" i="35" s="1"/>
  <c r="GB145" i="35" s="1"/>
  <c r="I99" i="19"/>
  <c r="HG74" i="35"/>
  <c r="CM145" i="35"/>
  <c r="CO145" i="35" s="1"/>
  <c r="CQ145" i="35" s="1"/>
  <c r="Q145" i="19" s="1"/>
  <c r="AC145" i="19" s="1"/>
  <c r="CQ35" i="35"/>
  <c r="GJ35" i="35"/>
  <c r="GX35" i="35" s="1"/>
  <c r="GT74" i="35"/>
  <c r="CI112" i="35"/>
  <c r="FW56" i="35"/>
  <c r="FZ56" i="35" s="1"/>
  <c r="GB56" i="35" s="1"/>
  <c r="CQ20" i="35"/>
  <c r="Q20" i="19" s="1"/>
  <c r="AC20" i="19" s="1"/>
  <c r="H19" i="19"/>
  <c r="Q106" i="19"/>
  <c r="AC106" i="19" s="1"/>
  <c r="CM73" i="35"/>
  <c r="GP107" i="35"/>
  <c r="DC168" i="35"/>
  <c r="GP74" i="35"/>
  <c r="HE74" i="35"/>
  <c r="DA145" i="35"/>
  <c r="Z145" i="19" s="1"/>
  <c r="CJ112" i="35"/>
  <c r="GT83" i="35"/>
  <c r="FX117" i="35"/>
  <c r="FX132" i="35"/>
  <c r="R106" i="19"/>
  <c r="GL106" i="35"/>
  <c r="GZ106" i="35" s="1"/>
  <c r="HB106" i="35" s="1"/>
  <c r="HJ106" i="35" s="1"/>
  <c r="CS73" i="35"/>
  <c r="V105" i="19"/>
  <c r="GP72" i="35"/>
  <c r="DT155" i="35"/>
  <c r="CT74" i="35"/>
  <c r="GQ74" i="35" s="1"/>
  <c r="CZ145" i="35"/>
  <c r="Y145" i="19" s="1"/>
  <c r="R72" i="19"/>
  <c r="I113" i="19"/>
  <c r="DR112" i="35"/>
  <c r="DV112" i="35" s="1"/>
  <c r="GR56" i="35"/>
  <c r="GL20" i="35"/>
  <c r="GZ20" i="35" s="1"/>
  <c r="HB20" i="35" s="1"/>
  <c r="CJ19" i="35"/>
  <c r="I19" i="19" s="1"/>
  <c r="DR19" i="35"/>
  <c r="DV19" i="35" s="1"/>
  <c r="T117" i="19"/>
  <c r="CZ73" i="35"/>
  <c r="Y73" i="19" s="1"/>
  <c r="CU107" i="35"/>
  <c r="T107" i="19" s="1"/>
  <c r="CW106" i="35"/>
  <c r="GT106" i="35" s="1"/>
  <c r="GH145" i="35"/>
  <c r="GV145" i="35" s="1"/>
  <c r="HD145" i="35" s="1"/>
  <c r="HH35" i="35"/>
  <c r="M35" i="19"/>
  <c r="GL35" i="35"/>
  <c r="GZ35" i="35" s="1"/>
  <c r="HB35" i="35" s="1"/>
  <c r="FV92" i="35"/>
  <c r="FP92" i="35"/>
  <c r="FR92" i="35" s="1"/>
  <c r="FT92" i="35" s="1"/>
  <c r="GJ92" i="35"/>
  <c r="GX92" i="35" s="1"/>
  <c r="CO92" i="35"/>
  <c r="M92" i="19"/>
  <c r="GQ92" i="35"/>
  <c r="DC94" i="35"/>
  <c r="DR16" i="35"/>
  <c r="DV16" i="35" s="1"/>
  <c r="DV26" i="35"/>
  <c r="CI134" i="35"/>
  <c r="CU145" i="35"/>
  <c r="GR145" i="35" s="1"/>
  <c r="I155" i="19"/>
  <c r="CT145" i="35"/>
  <c r="GQ145" i="35" s="1"/>
  <c r="CV145" i="35"/>
  <c r="GS145" i="35" s="1"/>
  <c r="H134" i="19"/>
  <c r="H26" i="19"/>
  <c r="GJ9" i="35"/>
  <c r="GX9" i="35" s="1"/>
  <c r="CO9" i="35"/>
  <c r="M9" i="19"/>
  <c r="GP145" i="35"/>
  <c r="CH164" i="35"/>
  <c r="J164" i="19" s="1"/>
  <c r="CK102" i="35"/>
  <c r="GH102" i="35" s="1"/>
  <c r="GV102" i="35" s="1"/>
  <c r="HD102" i="35" s="1"/>
  <c r="HH102" i="35" s="1"/>
  <c r="I188" i="19"/>
  <c r="CX101" i="35"/>
  <c r="W101" i="19" s="1"/>
  <c r="GP35" i="35"/>
  <c r="HF104" i="35"/>
  <c r="HG104" i="35"/>
  <c r="HE104" i="35"/>
  <c r="HH104" i="35"/>
  <c r="GJ130" i="35"/>
  <c r="GX130" i="35" s="1"/>
  <c r="CZ101" i="35"/>
  <c r="Y101" i="19" s="1"/>
  <c r="CU35" i="35"/>
  <c r="FV104" i="35"/>
  <c r="FP104" i="35"/>
  <c r="FR104" i="35" s="1"/>
  <c r="FT104" i="35" s="1"/>
  <c r="O130" i="19"/>
  <c r="DT187" i="35"/>
  <c r="R79" i="19"/>
  <c r="CW35" i="35"/>
  <c r="GT35" i="35" s="1"/>
  <c r="CV35" i="35"/>
  <c r="R35" i="19"/>
  <c r="GQ35" i="35"/>
  <c r="S35" i="19"/>
  <c r="GS45" i="35"/>
  <c r="GR107" i="35"/>
  <c r="GL79" i="35"/>
  <c r="GZ79" i="35" s="1"/>
  <c r="HB79" i="35" s="1"/>
  <c r="I28" i="19"/>
  <c r="I137" i="19"/>
  <c r="I169" i="19"/>
  <c r="GS138" i="35"/>
  <c r="DT82" i="35"/>
  <c r="CU79" i="35"/>
  <c r="T79" i="19" s="1"/>
  <c r="HG92" i="35"/>
  <c r="HH92" i="35"/>
  <c r="HE92" i="35"/>
  <c r="HF92" i="35"/>
  <c r="GJ74" i="35"/>
  <c r="GX74" i="35" s="1"/>
  <c r="CO74" i="35"/>
  <c r="CK113" i="35"/>
  <c r="GS79" i="35"/>
  <c r="GL129" i="35"/>
  <c r="GZ129" i="35" s="1"/>
  <c r="HB129" i="35" s="1"/>
  <c r="FN101" i="35"/>
  <c r="FP101" i="35" s="1"/>
  <c r="FR101" i="35" s="1"/>
  <c r="FT101" i="35" s="1"/>
  <c r="I102" i="19"/>
  <c r="FP35" i="35"/>
  <c r="FR35" i="35" s="1"/>
  <c r="FT35" i="35" s="1"/>
  <c r="FV35" i="35"/>
  <c r="GR138" i="35"/>
  <c r="CQ129" i="35"/>
  <c r="U117" i="19"/>
  <c r="FV71" i="35"/>
  <c r="FW71" i="35" s="1"/>
  <c r="FZ71" i="35" s="1"/>
  <c r="GB71" i="35" s="1"/>
  <c r="H16" i="19"/>
  <c r="CY101" i="35"/>
  <c r="X101" i="19" s="1"/>
  <c r="CZ139" i="35"/>
  <c r="Y139" i="19" s="1"/>
  <c r="FP74" i="35"/>
  <c r="FR74" i="35" s="1"/>
  <c r="FT74" i="35" s="1"/>
  <c r="FV74" i="35"/>
  <c r="S138" i="19"/>
  <c r="DT95" i="35"/>
  <c r="CS12" i="35"/>
  <c r="CT12" i="35" s="1"/>
  <c r="S12" i="19" s="1"/>
  <c r="CF122" i="35"/>
  <c r="CG122" i="35" s="1"/>
  <c r="EW122" i="35" s="1"/>
  <c r="K139" i="19"/>
  <c r="DV113" i="35"/>
  <c r="GP79" i="35"/>
  <c r="DT91" i="35"/>
  <c r="CW79" i="35"/>
  <c r="V79" i="19" s="1"/>
  <c r="CT79" i="35"/>
  <c r="S79" i="19" s="1"/>
  <c r="HJ62" i="35"/>
  <c r="CK168" i="35"/>
  <c r="CX168" i="35" s="1"/>
  <c r="W168" i="19" s="1"/>
  <c r="I80" i="19"/>
  <c r="HJ83" i="35"/>
  <c r="CI93" i="35"/>
  <c r="I93" i="19" s="1"/>
  <c r="S33" i="19"/>
  <c r="DA155" i="35"/>
  <c r="Z155" i="19" s="1"/>
  <c r="CQ117" i="35"/>
  <c r="GN117" i="35" s="1"/>
  <c r="HJ117" i="35" s="1"/>
  <c r="CF195" i="35"/>
  <c r="CG195" i="35" s="1"/>
  <c r="CI195" i="35" s="1"/>
  <c r="CK10" i="35"/>
  <c r="CY10" i="35" s="1"/>
  <c r="X10" i="19" s="1"/>
  <c r="I21" i="19"/>
  <c r="CZ155" i="35"/>
  <c r="Y155" i="19" s="1"/>
  <c r="CX155" i="35"/>
  <c r="W155" i="19" s="1"/>
  <c r="CJ65" i="35"/>
  <c r="CX139" i="35"/>
  <c r="W139" i="19" s="1"/>
  <c r="GP98" i="35"/>
  <c r="R98" i="19"/>
  <c r="CU98" i="35"/>
  <c r="CW98" i="35"/>
  <c r="CV98" i="35"/>
  <c r="CT98" i="35"/>
  <c r="FX53" i="35"/>
  <c r="CM155" i="35"/>
  <c r="GJ155" i="35" s="1"/>
  <c r="GX155" i="35" s="1"/>
  <c r="O117" i="19"/>
  <c r="FX145" i="35"/>
  <c r="GJ145" i="35"/>
  <c r="GX145" i="35" s="1"/>
  <c r="H93" i="19"/>
  <c r="FW72" i="35"/>
  <c r="FZ72" i="35" s="1"/>
  <c r="GB72" i="35" s="1"/>
  <c r="CQ33" i="35"/>
  <c r="U36" i="19"/>
  <c r="CY155" i="35"/>
  <c r="X155" i="19" s="1"/>
  <c r="M130" i="19"/>
  <c r="V81" i="19"/>
  <c r="Q62" i="19"/>
  <c r="AC62" i="19" s="1"/>
  <c r="DT55" i="35"/>
  <c r="HF136" i="35"/>
  <c r="CJ26" i="35"/>
  <c r="CH187" i="35"/>
  <c r="J187" i="19" s="1"/>
  <c r="CI26" i="35"/>
  <c r="FP98" i="35"/>
  <c r="FR98" i="35" s="1"/>
  <c r="FT98" i="35" s="1"/>
  <c r="FV98" i="35"/>
  <c r="GH140" i="35"/>
  <c r="GV140" i="35" s="1"/>
  <c r="HD140" i="35" s="1"/>
  <c r="FN140" i="35"/>
  <c r="K140" i="19"/>
  <c r="CM140" i="35"/>
  <c r="CS140" i="35"/>
  <c r="CX140" i="35"/>
  <c r="W140" i="19" s="1"/>
  <c r="CZ140" i="35"/>
  <c r="Y140" i="19" s="1"/>
  <c r="HH22" i="35"/>
  <c r="HF22" i="35"/>
  <c r="HG22" i="35"/>
  <c r="HE22" i="35"/>
  <c r="T111" i="19"/>
  <c r="S109" i="19"/>
  <c r="O33" i="19"/>
  <c r="V36" i="19"/>
  <c r="K155" i="19"/>
  <c r="CS113" i="35"/>
  <c r="R113" i="19" s="1"/>
  <c r="GH113" i="35"/>
  <c r="GV113" i="35" s="1"/>
  <c r="HD113" i="35" s="1"/>
  <c r="HH113" i="35" s="1"/>
  <c r="DC137" i="35"/>
  <c r="I52" i="19"/>
  <c r="O72" i="19"/>
  <c r="GL72" i="35"/>
  <c r="GZ72" i="35" s="1"/>
  <c r="HB72" i="35" s="1"/>
  <c r="CQ72" i="35"/>
  <c r="CM139" i="35"/>
  <c r="CY139" i="35"/>
  <c r="X139" i="19" s="1"/>
  <c r="FV22" i="35"/>
  <c r="FP22" i="35"/>
  <c r="FR22" i="35" s="1"/>
  <c r="FT22" i="35" s="1"/>
  <c r="FN155" i="35"/>
  <c r="FP155" i="35" s="1"/>
  <c r="FR155" i="35" s="1"/>
  <c r="GS114" i="35"/>
  <c r="DA15" i="35"/>
  <c r="Z15" i="19" s="1"/>
  <c r="GJ98" i="35"/>
  <c r="GX98" i="35" s="1"/>
  <c r="CO98" i="35"/>
  <c r="M98" i="19"/>
  <c r="V33" i="19"/>
  <c r="GH155" i="35"/>
  <c r="GV155" i="35" s="1"/>
  <c r="HD155" i="35" s="1"/>
  <c r="HF155" i="35" s="1"/>
  <c r="DV80" i="35"/>
  <c r="FX9" i="35"/>
  <c r="GN77" i="35"/>
  <c r="HJ77" i="35" s="1"/>
  <c r="GN145" i="35"/>
  <c r="O145" i="19"/>
  <c r="FN139" i="35"/>
  <c r="FP139" i="35" s="1"/>
  <c r="FR139" i="35" s="1"/>
  <c r="HG98" i="35"/>
  <c r="HF98" i="35"/>
  <c r="HH98" i="35"/>
  <c r="HE98" i="35"/>
  <c r="GP9" i="35"/>
  <c r="CU9" i="35"/>
  <c r="CW9" i="35"/>
  <c r="CT9" i="35"/>
  <c r="CV9" i="35"/>
  <c r="R9" i="19"/>
  <c r="CF206" i="35"/>
  <c r="CG206" i="35" s="1"/>
  <c r="EW206" i="35" s="1"/>
  <c r="CQ130" i="35"/>
  <c r="GN130" i="35" s="1"/>
  <c r="HJ130" i="35" s="1"/>
  <c r="U132" i="19"/>
  <c r="HE136" i="35"/>
  <c r="GL145" i="35"/>
  <c r="GZ145" i="35" s="1"/>
  <c r="HB145" i="35" s="1"/>
  <c r="CK118" i="35"/>
  <c r="CY118" i="35" s="1"/>
  <c r="X118" i="19" s="1"/>
  <c r="CV22" i="35"/>
  <c r="GP22" i="35"/>
  <c r="CU22" i="35"/>
  <c r="R22" i="19"/>
  <c r="CW22" i="35"/>
  <c r="CT22" i="35"/>
  <c r="CZ113" i="35"/>
  <c r="Y113" i="19" s="1"/>
  <c r="CK93" i="35"/>
  <c r="CX93" i="35" s="1"/>
  <c r="W93" i="19" s="1"/>
  <c r="DA139" i="35"/>
  <c r="Z139" i="19" s="1"/>
  <c r="GR53" i="35"/>
  <c r="DR159" i="35"/>
  <c r="DV159" i="35" s="1"/>
  <c r="H159" i="19"/>
  <c r="DA113" i="35"/>
  <c r="Z113" i="19" s="1"/>
  <c r="GQ87" i="35"/>
  <c r="GH12" i="35"/>
  <c r="GV12" i="35" s="1"/>
  <c r="HD12" i="35" s="1"/>
  <c r="HH12" i="35" s="1"/>
  <c r="GT132" i="35"/>
  <c r="GS56" i="35"/>
  <c r="CF152" i="35"/>
  <c r="CG152" i="35" s="1"/>
  <c r="CJ134" i="35"/>
  <c r="DR93" i="35"/>
  <c r="DT93" i="35" s="1"/>
  <c r="DT180" i="35"/>
  <c r="CX145" i="35"/>
  <c r="W145" i="19" s="1"/>
  <c r="CM101" i="35"/>
  <c r="GH101" i="35"/>
  <c r="GV101" i="35" s="1"/>
  <c r="HD101" i="35" s="1"/>
  <c r="CS101" i="35"/>
  <c r="K101" i="19"/>
  <c r="CK137" i="35"/>
  <c r="CS137" i="35" s="1"/>
  <c r="CU137" i="35" s="1"/>
  <c r="GR137" i="35" s="1"/>
  <c r="GH139" i="35"/>
  <c r="GV139" i="35" s="1"/>
  <c r="HD139" i="35" s="1"/>
  <c r="CI159" i="35"/>
  <c r="I159" i="19" s="1"/>
  <c r="U81" i="19"/>
  <c r="M145" i="19"/>
  <c r="CK50" i="35"/>
  <c r="CM50" i="35" s="1"/>
  <c r="GR72" i="35"/>
  <c r="CH122" i="35"/>
  <c r="J122" i="19" s="1"/>
  <c r="DC122" i="35"/>
  <c r="R130" i="19"/>
  <c r="CW130" i="35"/>
  <c r="I118" i="19"/>
  <c r="GP130" i="35"/>
  <c r="U130" i="19"/>
  <c r="GP90" i="35"/>
  <c r="CV90" i="35"/>
  <c r="CT90" i="35"/>
  <c r="CU90" i="35"/>
  <c r="R90" i="19"/>
  <c r="CW90" i="35"/>
  <c r="CU130" i="35"/>
  <c r="GR130" i="35" s="1"/>
  <c r="I46" i="19"/>
  <c r="I178" i="19"/>
  <c r="HE90" i="35"/>
  <c r="HF90" i="35"/>
  <c r="HG90" i="35"/>
  <c r="HH90" i="35"/>
  <c r="K149" i="19"/>
  <c r="CS149" i="35"/>
  <c r="CZ149" i="35"/>
  <c r="Y149" i="19" s="1"/>
  <c r="CY149" i="35"/>
  <c r="X149" i="19" s="1"/>
  <c r="CM149" i="35"/>
  <c r="GH149" i="35"/>
  <c r="GV149" i="35" s="1"/>
  <c r="HD149" i="35" s="1"/>
  <c r="FN149" i="35"/>
  <c r="DA149" i="35"/>
  <c r="Z149" i="19" s="1"/>
  <c r="CX149" i="35"/>
  <c r="W149" i="19" s="1"/>
  <c r="DC69" i="35"/>
  <c r="CH69" i="35"/>
  <c r="FW154" i="35"/>
  <c r="FZ154" i="35" s="1"/>
  <c r="GB154" i="35" s="1"/>
  <c r="GR92" i="35"/>
  <c r="FV90" i="35"/>
  <c r="FP90" i="35"/>
  <c r="FR90" i="35" s="1"/>
  <c r="FT90" i="35" s="1"/>
  <c r="FX111" i="35"/>
  <c r="GR79" i="35"/>
  <c r="CA112" i="35"/>
  <c r="CT130" i="35"/>
  <c r="GQ130" i="35" s="1"/>
  <c r="M90" i="19"/>
  <c r="CO90" i="35"/>
  <c r="GJ90" i="35"/>
  <c r="GX90" i="35" s="1"/>
  <c r="CH170" i="35"/>
  <c r="J170" i="19" s="1"/>
  <c r="DC170" i="35"/>
  <c r="I164" i="19"/>
  <c r="J58" i="19"/>
  <c r="CK58" i="35"/>
  <c r="DV178" i="35"/>
  <c r="DT178" i="35"/>
  <c r="GT104" i="35"/>
  <c r="V104" i="19"/>
  <c r="CI158" i="35"/>
  <c r="DR158" i="35"/>
  <c r="DT158" i="35" s="1"/>
  <c r="H158" i="19"/>
  <c r="J46" i="19"/>
  <c r="CK46" i="35"/>
  <c r="CY46" i="35" s="1"/>
  <c r="X46" i="19" s="1"/>
  <c r="CH159" i="35"/>
  <c r="J159" i="19" s="1"/>
  <c r="DC159" i="35"/>
  <c r="DC202" i="35"/>
  <c r="CH202" i="35"/>
  <c r="J202" i="19" s="1"/>
  <c r="DV94" i="35"/>
  <c r="DT94" i="35"/>
  <c r="FP136" i="35"/>
  <c r="FR136" i="35" s="1"/>
  <c r="FT136" i="35" s="1"/>
  <c r="FV136" i="35"/>
  <c r="FW136" i="35" s="1"/>
  <c r="FZ136" i="35" s="1"/>
  <c r="GB136" i="35" s="1"/>
  <c r="DC120" i="35"/>
  <c r="CH120" i="35"/>
  <c r="CJ151" i="35"/>
  <c r="DR151" i="35"/>
  <c r="DV151" i="35" s="1"/>
  <c r="CI151" i="35"/>
  <c r="DC65" i="35"/>
  <c r="CH65" i="35"/>
  <c r="J65" i="19" s="1"/>
  <c r="S111" i="19"/>
  <c r="GQ111" i="35"/>
  <c r="DC195" i="35"/>
  <c r="CH195" i="35"/>
  <c r="J195" i="19" s="1"/>
  <c r="DC152" i="35"/>
  <c r="CH152" i="35"/>
  <c r="J152" i="19" s="1"/>
  <c r="FV11" i="35"/>
  <c r="FP11" i="35"/>
  <c r="FR11" i="35" s="1"/>
  <c r="FT11" i="35" s="1"/>
  <c r="CJ119" i="35"/>
  <c r="CI119" i="35"/>
  <c r="H119" i="19"/>
  <c r="DR119" i="35"/>
  <c r="O45" i="19"/>
  <c r="GL45" i="35"/>
  <c r="GZ45" i="35" s="1"/>
  <c r="HB45" i="35" s="1"/>
  <c r="CQ45" i="35"/>
  <c r="Q45" i="19" s="1"/>
  <c r="AC45" i="19" s="1"/>
  <c r="S81" i="19"/>
  <c r="GQ81" i="35"/>
  <c r="CK180" i="35"/>
  <c r="FN180" i="35" s="1"/>
  <c r="FV180" i="35" s="1"/>
  <c r="FW180" i="35" s="1"/>
  <c r="FZ180" i="35" s="1"/>
  <c r="GB180" i="35" s="1"/>
  <c r="I180" i="19"/>
  <c r="CJ158" i="35"/>
  <c r="I158" i="19" s="1"/>
  <c r="CA158" i="35"/>
  <c r="GS111" i="35"/>
  <c r="U111" i="19"/>
  <c r="GS109" i="35"/>
  <c r="U109" i="19"/>
  <c r="BY211" i="35"/>
  <c r="BZ211" i="35" s="1"/>
  <c r="CF211" i="35" s="1"/>
  <c r="CG211" i="35" s="1"/>
  <c r="CF146" i="35"/>
  <c r="CG146" i="35" s="1"/>
  <c r="CO88" i="35"/>
  <c r="GJ88" i="35"/>
  <c r="GX88" i="35" s="1"/>
  <c r="M88" i="19"/>
  <c r="CH95" i="35"/>
  <c r="DC95" i="35"/>
  <c r="M85" i="19"/>
  <c r="CO85" i="35"/>
  <c r="GJ85" i="35"/>
  <c r="GX85" i="35" s="1"/>
  <c r="DA12" i="35"/>
  <c r="Z12" i="19" s="1"/>
  <c r="CS15" i="35"/>
  <c r="CV15" i="35" s="1"/>
  <c r="CO96" i="35"/>
  <c r="M96" i="19"/>
  <c r="GJ96" i="35"/>
  <c r="GX96" i="35" s="1"/>
  <c r="GR41" i="35"/>
  <c r="T41" i="19"/>
  <c r="HE63" i="35"/>
  <c r="HF63" i="35"/>
  <c r="HH63" i="35"/>
  <c r="HG63" i="35"/>
  <c r="S74" i="19"/>
  <c r="FX87" i="35"/>
  <c r="FP130" i="35"/>
  <c r="FR130" i="35" s="1"/>
  <c r="FT130" i="35" s="1"/>
  <c r="FW130" i="35"/>
  <c r="FZ130" i="35" s="1"/>
  <c r="GB130" i="35" s="1"/>
  <c r="CY12" i="35"/>
  <c r="X12" i="19" s="1"/>
  <c r="CI16" i="35"/>
  <c r="I16" i="19" s="1"/>
  <c r="GJ79" i="35"/>
  <c r="GX79" i="35" s="1"/>
  <c r="GH15" i="35"/>
  <c r="GV15" i="35" s="1"/>
  <c r="HD15" i="35" s="1"/>
  <c r="HH15" i="35" s="1"/>
  <c r="J127" i="19"/>
  <c r="CK127" i="35"/>
  <c r="CY160" i="35"/>
  <c r="X160" i="19" s="1"/>
  <c r="GH160" i="35"/>
  <c r="GV160" i="35" s="1"/>
  <c r="HD160" i="35" s="1"/>
  <c r="CZ160" i="35"/>
  <c r="Y160" i="19" s="1"/>
  <c r="FN160" i="35"/>
  <c r="DA160" i="35"/>
  <c r="Z160" i="19" s="1"/>
  <c r="K160" i="19"/>
  <c r="CX160" i="35"/>
  <c r="W160" i="19" s="1"/>
  <c r="CS160" i="35"/>
  <c r="CM160" i="35"/>
  <c r="CA219" i="35"/>
  <c r="FX41" i="35"/>
  <c r="FW41" i="35"/>
  <c r="FZ41" i="35" s="1"/>
  <c r="GB41" i="35" s="1"/>
  <c r="CH21" i="35"/>
  <c r="DC21" i="35"/>
  <c r="CH55" i="35"/>
  <c r="DC55" i="35"/>
  <c r="CO123" i="35"/>
  <c r="M123" i="19"/>
  <c r="GJ123" i="35"/>
  <c r="GX123" i="35" s="1"/>
  <c r="GL104" i="35"/>
  <c r="GZ104" i="35" s="1"/>
  <c r="HB104" i="35" s="1"/>
  <c r="V114" i="19"/>
  <c r="GT79" i="35"/>
  <c r="FP27" i="35"/>
  <c r="FR27" i="35" s="1"/>
  <c r="FT27" i="35" s="1"/>
  <c r="CT139" i="35"/>
  <c r="S139" i="19" s="1"/>
  <c r="GT56" i="35"/>
  <c r="DC46" i="35"/>
  <c r="CF202" i="35"/>
  <c r="CG202" i="35" s="1"/>
  <c r="CJ202" i="35" s="1"/>
  <c r="DA73" i="35"/>
  <c r="Z73" i="19" s="1"/>
  <c r="GT117" i="35"/>
  <c r="CM15" i="35"/>
  <c r="CO15" i="35" s="1"/>
  <c r="R96" i="19"/>
  <c r="GP96" i="35"/>
  <c r="CU96" i="35"/>
  <c r="CW96" i="35"/>
  <c r="CV96" i="35"/>
  <c r="CT96" i="35"/>
  <c r="DC49" i="35"/>
  <c r="CH49" i="35"/>
  <c r="J49" i="19" s="1"/>
  <c r="S41" i="19"/>
  <c r="GQ41" i="35"/>
  <c r="CJ68" i="35"/>
  <c r="CI68" i="35"/>
  <c r="DR68" i="35"/>
  <c r="H68" i="19"/>
  <c r="FP79" i="35"/>
  <c r="FR79" i="35" s="1"/>
  <c r="FT79" i="35" s="1"/>
  <c r="FV79" i="35"/>
  <c r="CO63" i="35"/>
  <c r="GJ63" i="35"/>
  <c r="GX63" i="35" s="1"/>
  <c r="M63" i="19"/>
  <c r="R139" i="19"/>
  <c r="BY212" i="35"/>
  <c r="BZ212" i="35" s="1"/>
  <c r="CF212" i="35" s="1"/>
  <c r="CG212" i="35" s="1"/>
  <c r="DR212" i="35" s="1"/>
  <c r="DV212" i="35" s="1"/>
  <c r="DT118" i="35"/>
  <c r="DV118" i="35"/>
  <c r="FP150" i="35"/>
  <c r="FR150" i="35" s="1"/>
  <c r="FT150" i="35" s="1"/>
  <c r="FV150" i="35"/>
  <c r="HE123" i="35"/>
  <c r="HH123" i="35"/>
  <c r="HF123" i="35"/>
  <c r="HG123" i="35"/>
  <c r="DV164" i="35"/>
  <c r="DT164" i="35"/>
  <c r="U74" i="19"/>
  <c r="O104" i="19"/>
  <c r="CT157" i="35"/>
  <c r="S157" i="19" s="1"/>
  <c r="BY196" i="35"/>
  <c r="BZ196" i="35" s="1"/>
  <c r="CA196" i="35" s="1"/>
  <c r="FN73" i="35"/>
  <c r="FV73" i="35" s="1"/>
  <c r="CK116" i="35"/>
  <c r="CY116" i="35" s="1"/>
  <c r="X116" i="19" s="1"/>
  <c r="CX15" i="35"/>
  <c r="W15" i="19" s="1"/>
  <c r="HG96" i="35"/>
  <c r="HE96" i="35"/>
  <c r="HF96" i="35"/>
  <c r="HH96" i="35"/>
  <c r="HF150" i="35"/>
  <c r="HE150" i="35"/>
  <c r="HH150" i="35"/>
  <c r="HG150" i="35"/>
  <c r="HG85" i="35"/>
  <c r="HF85" i="35"/>
  <c r="HH85" i="35"/>
  <c r="HE85" i="35"/>
  <c r="HF88" i="35"/>
  <c r="HH88" i="35"/>
  <c r="HE88" i="35"/>
  <c r="HG88" i="35"/>
  <c r="HE11" i="35"/>
  <c r="HF11" i="35"/>
  <c r="HH11" i="35"/>
  <c r="HG11" i="35"/>
  <c r="HH79" i="35"/>
  <c r="HG79" i="35"/>
  <c r="HE79" i="35"/>
  <c r="HF79" i="35"/>
  <c r="I187" i="19"/>
  <c r="BY210" i="35"/>
  <c r="BZ210" i="35" s="1"/>
  <c r="CA210" i="35" s="1"/>
  <c r="DC210" i="35" s="1"/>
  <c r="DC91" i="35"/>
  <c r="CH91" i="35"/>
  <c r="CA151" i="35"/>
  <c r="CZ15" i="35"/>
  <c r="Y15" i="19" s="1"/>
  <c r="DV99" i="35"/>
  <c r="DT99" i="35"/>
  <c r="GQ53" i="35"/>
  <c r="GR136" i="35"/>
  <c r="CZ12" i="35"/>
  <c r="Y12" i="19" s="1"/>
  <c r="BY176" i="35"/>
  <c r="BZ176" i="35" s="1"/>
  <c r="CA176" i="35" s="1"/>
  <c r="BY217" i="35"/>
  <c r="BZ217" i="35" s="1"/>
  <c r="CF217" i="35" s="1"/>
  <c r="CG217" i="35" s="1"/>
  <c r="CY73" i="35"/>
  <c r="X73" i="19" s="1"/>
  <c r="K15" i="19"/>
  <c r="CO107" i="35"/>
  <c r="GJ107" i="35"/>
  <c r="GX107" i="35" s="1"/>
  <c r="M107" i="19"/>
  <c r="CO8" i="35"/>
  <c r="GJ8" i="35"/>
  <c r="GX8" i="35" s="1"/>
  <c r="M8" i="19"/>
  <c r="V41" i="19"/>
  <c r="GT41" i="35"/>
  <c r="GP85" i="35"/>
  <c r="CV85" i="35"/>
  <c r="CT85" i="35"/>
  <c r="R85" i="19"/>
  <c r="CW85" i="35"/>
  <c r="CU85" i="35"/>
  <c r="FP88" i="35"/>
  <c r="FR88" i="35" s="1"/>
  <c r="FT88" i="35" s="1"/>
  <c r="FV88" i="35"/>
  <c r="CI115" i="35"/>
  <c r="H115" i="19"/>
  <c r="CJ115" i="35"/>
  <c r="DR115" i="35"/>
  <c r="CH38" i="35"/>
  <c r="J38" i="19" s="1"/>
  <c r="DC38" i="35"/>
  <c r="GH148" i="35"/>
  <c r="GV148" i="35" s="1"/>
  <c r="HD148" i="35" s="1"/>
  <c r="CZ148" i="35"/>
  <c r="Y148" i="19" s="1"/>
  <c r="DA148" i="35"/>
  <c r="Z148" i="19" s="1"/>
  <c r="CY148" i="35"/>
  <c r="X148" i="19" s="1"/>
  <c r="CS148" i="35"/>
  <c r="CM148" i="35"/>
  <c r="CX148" i="35"/>
  <c r="W148" i="19" s="1"/>
  <c r="FN148" i="35"/>
  <c r="K148" i="19"/>
  <c r="FV85" i="35"/>
  <c r="FP85" i="35"/>
  <c r="FR85" i="35" s="1"/>
  <c r="FT85" i="35" s="1"/>
  <c r="CV88" i="35"/>
  <c r="CW88" i="35"/>
  <c r="R88" i="19"/>
  <c r="CU88" i="35"/>
  <c r="GP88" i="35"/>
  <c r="CT88" i="35"/>
  <c r="CM12" i="35"/>
  <c r="GJ12" i="35" s="1"/>
  <c r="GX12" i="35" s="1"/>
  <c r="CZ37" i="35"/>
  <c r="Y37" i="19" s="1"/>
  <c r="CH42" i="35"/>
  <c r="DC42" i="35"/>
  <c r="DT188" i="35"/>
  <c r="DV21" i="35"/>
  <c r="FN12" i="35"/>
  <c r="FP12" i="35" s="1"/>
  <c r="FR12" i="35" s="1"/>
  <c r="FT12" i="35" s="1"/>
  <c r="CX73" i="35"/>
  <c r="W73" i="19" s="1"/>
  <c r="FN15" i="35"/>
  <c r="FV15" i="35" s="1"/>
  <c r="GJ150" i="35"/>
  <c r="GX150" i="35" s="1"/>
  <c r="M150" i="19"/>
  <c r="CO150" i="35"/>
  <c r="DT10" i="35"/>
  <c r="DV10" i="35"/>
  <c r="DC61" i="35"/>
  <c r="CH61" i="35"/>
  <c r="HE8" i="35"/>
  <c r="HH8" i="35"/>
  <c r="HF8" i="35"/>
  <c r="HG8" i="35"/>
  <c r="U41" i="19"/>
  <c r="GS41" i="35"/>
  <c r="CU11" i="35"/>
  <c r="R11" i="19"/>
  <c r="CT11" i="35"/>
  <c r="CV11" i="35"/>
  <c r="GP11" i="35"/>
  <c r="CW11" i="35"/>
  <c r="DT134" i="35"/>
  <c r="DV134" i="35"/>
  <c r="FP63" i="35"/>
  <c r="FR63" i="35" s="1"/>
  <c r="FT63" i="35" s="1"/>
  <c r="FV63" i="35"/>
  <c r="GP123" i="35"/>
  <c r="CU123" i="35"/>
  <c r="CT123" i="35"/>
  <c r="CV123" i="35"/>
  <c r="R123" i="19"/>
  <c r="CW123" i="35"/>
  <c r="BY190" i="35"/>
  <c r="BZ190" i="35" s="1"/>
  <c r="CA190" i="35" s="1"/>
  <c r="GH73" i="35"/>
  <c r="GV73" i="35" s="1"/>
  <c r="HD73" i="35" s="1"/>
  <c r="HE73" i="35" s="1"/>
  <c r="CK99" i="35"/>
  <c r="CT8" i="35"/>
  <c r="R8" i="19"/>
  <c r="GP8" i="35"/>
  <c r="CU8" i="35"/>
  <c r="CW8" i="35"/>
  <c r="CV8" i="35"/>
  <c r="FP123" i="35"/>
  <c r="FR123" i="35" s="1"/>
  <c r="FV123" i="35"/>
  <c r="S104" i="19"/>
  <c r="DT46" i="35"/>
  <c r="CK28" i="35"/>
  <c r="GH28" i="35" s="1"/>
  <c r="GV28" i="35" s="1"/>
  <c r="HD28" i="35" s="1"/>
  <c r="HE28" i="35" s="1"/>
  <c r="DT120" i="35"/>
  <c r="CU139" i="35"/>
  <c r="T139" i="19" s="1"/>
  <c r="CX12" i="35"/>
  <c r="W12" i="19" s="1"/>
  <c r="CV139" i="35"/>
  <c r="GS139" i="35" s="1"/>
  <c r="GR132" i="35"/>
  <c r="S77" i="19"/>
  <c r="M79" i="19"/>
  <c r="CQ79" i="35"/>
  <c r="FP96" i="35"/>
  <c r="FR96" i="35" s="1"/>
  <c r="FT96" i="35" s="1"/>
  <c r="FV96" i="35"/>
  <c r="CU150" i="35"/>
  <c r="R150" i="19"/>
  <c r="GP150" i="35"/>
  <c r="CW150" i="35"/>
  <c r="CT150" i="35"/>
  <c r="CV150" i="35"/>
  <c r="I10" i="19"/>
  <c r="H128" i="19"/>
  <c r="CJ128" i="35"/>
  <c r="DR128" i="35"/>
  <c r="CI128" i="35"/>
  <c r="FP8" i="35"/>
  <c r="FR8" i="35" s="1"/>
  <c r="FT8" i="35" s="1"/>
  <c r="FV8" i="35"/>
  <c r="GJ11" i="35"/>
  <c r="GX11" i="35" s="1"/>
  <c r="CO11" i="35"/>
  <c r="M11" i="19"/>
  <c r="I168" i="19"/>
  <c r="O41" i="19"/>
  <c r="CQ41" i="35"/>
  <c r="GL41" i="35"/>
  <c r="GZ41" i="35" s="1"/>
  <c r="HB41" i="35" s="1"/>
  <c r="CU63" i="35"/>
  <c r="CW63" i="35"/>
  <c r="R63" i="19"/>
  <c r="GP63" i="35"/>
  <c r="CV63" i="35"/>
  <c r="CT63" i="35"/>
  <c r="DV28" i="35"/>
  <c r="DT28" i="35"/>
  <c r="I94" i="19"/>
  <c r="GN87" i="35"/>
  <c r="HJ87" i="35" s="1"/>
  <c r="BZ125" i="35"/>
  <c r="M15" i="19"/>
  <c r="GJ15" i="35"/>
  <c r="GX15" i="35" s="1"/>
  <c r="DR122" i="35"/>
  <c r="DT122" i="35" s="1"/>
  <c r="DT19" i="35"/>
  <c r="DA168" i="35"/>
  <c r="Z168" i="19" s="1"/>
  <c r="I38" i="19"/>
  <c r="GP139" i="35"/>
  <c r="O67" i="19"/>
  <c r="GR104" i="35"/>
  <c r="CQ67" i="35"/>
  <c r="GN67" i="35" s="1"/>
  <c r="HJ67" i="35" s="1"/>
  <c r="T109" i="19"/>
  <c r="GT139" i="35"/>
  <c r="GS77" i="35"/>
  <c r="Q39" i="19"/>
  <c r="AC39" i="19" s="1"/>
  <c r="GN39" i="35"/>
  <c r="HJ39" i="35" s="1"/>
  <c r="DT16" i="35"/>
  <c r="K27" i="19"/>
  <c r="CZ27" i="35"/>
  <c r="Y27" i="19" s="1"/>
  <c r="GH27" i="35"/>
  <c r="GV27" i="35" s="1"/>
  <c r="HD27" i="35" s="1"/>
  <c r="HE27" i="35" s="1"/>
  <c r="FX27" i="35"/>
  <c r="CM168" i="35"/>
  <c r="CO168" i="35" s="1"/>
  <c r="O168" i="19" s="1"/>
  <c r="CZ168" i="35"/>
  <c r="Y168" i="19" s="1"/>
  <c r="CO157" i="35"/>
  <c r="CQ157" i="35" s="1"/>
  <c r="GN157" i="35" s="1"/>
  <c r="CX27" i="35"/>
  <c r="W27" i="19" s="1"/>
  <c r="CK164" i="35"/>
  <c r="CY164" i="35" s="1"/>
  <c r="X164" i="19" s="1"/>
  <c r="GJ136" i="35"/>
  <c r="GX136" i="35" s="1"/>
  <c r="FV101" i="35"/>
  <c r="FX101" i="35" s="1"/>
  <c r="CY27" i="35"/>
  <c r="X27" i="19" s="1"/>
  <c r="GH168" i="35"/>
  <c r="GV168" i="35" s="1"/>
  <c r="HD168" i="35" s="1"/>
  <c r="HG168" i="35" s="1"/>
  <c r="GR87" i="35"/>
  <c r="GS106" i="35"/>
  <c r="GQ107" i="35"/>
  <c r="FX67" i="35"/>
  <c r="EW159" i="35"/>
  <c r="CK82" i="35"/>
  <c r="K82" i="19" s="1"/>
  <c r="V87" i="19"/>
  <c r="CK178" i="35"/>
  <c r="CX178" i="35" s="1"/>
  <c r="W178" i="19" s="1"/>
  <c r="GS87" i="35"/>
  <c r="CI122" i="35"/>
  <c r="FX20" i="35"/>
  <c r="FW20" i="35"/>
  <c r="FZ20" i="35" s="1"/>
  <c r="GB20" i="35" s="1"/>
  <c r="K168" i="19"/>
  <c r="CY168" i="35"/>
  <c r="X168" i="19" s="1"/>
  <c r="GH116" i="35"/>
  <c r="GV116" i="35" s="1"/>
  <c r="HD116" i="35" s="1"/>
  <c r="HH116" i="35" s="1"/>
  <c r="H151" i="19"/>
  <c r="CI65" i="35"/>
  <c r="T25" i="19"/>
  <c r="GR25" i="35"/>
  <c r="GL25" i="35"/>
  <c r="GZ25" i="35" s="1"/>
  <c r="HB25" i="35" s="1"/>
  <c r="CQ25" i="35"/>
  <c r="O25" i="19"/>
  <c r="HE157" i="35"/>
  <c r="CO136" i="35"/>
  <c r="CQ136" i="35" s="1"/>
  <c r="CS168" i="35"/>
  <c r="GP168" i="35" s="1"/>
  <c r="DV42" i="35"/>
  <c r="DT42" i="35"/>
  <c r="GS107" i="35"/>
  <c r="GT25" i="35"/>
  <c r="V25" i="19"/>
  <c r="CS27" i="35"/>
  <c r="CU27" i="35" s="1"/>
  <c r="T27" i="19" s="1"/>
  <c r="H122" i="19"/>
  <c r="CJ122" i="35"/>
  <c r="R157" i="19"/>
  <c r="DV170" i="35"/>
  <c r="CV157" i="35"/>
  <c r="U157" i="19" s="1"/>
  <c r="FX25" i="35"/>
  <c r="FW25" i="35"/>
  <c r="FZ25" i="35" s="1"/>
  <c r="GB25" i="35" s="1"/>
  <c r="I50" i="19"/>
  <c r="U25" i="19"/>
  <c r="GS25" i="35"/>
  <c r="S25" i="19"/>
  <c r="GQ25" i="35"/>
  <c r="HF157" i="35"/>
  <c r="GQ136" i="35"/>
  <c r="CM27" i="35"/>
  <c r="CO27" i="35" s="1"/>
  <c r="O27" i="19" s="1"/>
  <c r="FN168" i="35"/>
  <c r="FV168" i="35" s="1"/>
  <c r="FX168" i="35" s="1"/>
  <c r="CK170" i="35"/>
  <c r="CZ170" i="35" s="1"/>
  <c r="Y170" i="19" s="1"/>
  <c r="V106" i="19"/>
  <c r="HH157" i="35"/>
  <c r="DA27" i="35"/>
  <c r="Z27" i="19" s="1"/>
  <c r="CK187" i="35"/>
  <c r="CX187" i="35" s="1"/>
  <c r="W187" i="19" s="1"/>
  <c r="K10" i="19"/>
  <c r="H65" i="19"/>
  <c r="DV131" i="35"/>
  <c r="CX10" i="35"/>
  <c r="W10" i="19" s="1"/>
  <c r="DV65" i="35"/>
  <c r="GT136" i="35"/>
  <c r="CM102" i="35"/>
  <c r="CO102" i="35" s="1"/>
  <c r="CQ102" i="35" s="1"/>
  <c r="GN102" i="35" s="1"/>
  <c r="DT49" i="35"/>
  <c r="CW73" i="35"/>
  <c r="GP73" i="35"/>
  <c r="CT73" i="35"/>
  <c r="R73" i="19"/>
  <c r="CU73" i="35"/>
  <c r="CV73" i="35"/>
  <c r="CY102" i="35"/>
  <c r="X102" i="19" s="1"/>
  <c r="CS102" i="35"/>
  <c r="CU102" i="35" s="1"/>
  <c r="T102" i="19" s="1"/>
  <c r="DC146" i="35"/>
  <c r="CU157" i="35"/>
  <c r="T157" i="19" s="1"/>
  <c r="GS136" i="35"/>
  <c r="FP73" i="35"/>
  <c r="FR73" i="35" s="1"/>
  <c r="FT73" i="35" s="1"/>
  <c r="CZ10" i="35"/>
  <c r="Y10" i="19" s="1"/>
  <c r="GR106" i="35"/>
  <c r="FN102" i="35"/>
  <c r="FV102" i="35" s="1"/>
  <c r="FW102" i="35" s="1"/>
  <c r="FZ102" i="35" s="1"/>
  <c r="GB102" i="35" s="1"/>
  <c r="GJ157" i="35"/>
  <c r="GX157" i="35" s="1"/>
  <c r="CW157" i="35"/>
  <c r="V157" i="19" s="1"/>
  <c r="CO73" i="35"/>
  <c r="M73" i="19"/>
  <c r="GJ73" i="35"/>
  <c r="GX73" i="35" s="1"/>
  <c r="FV157" i="35"/>
  <c r="FW157" i="35" s="1"/>
  <c r="FZ157" i="35" s="1"/>
  <c r="GB157" i="35" s="1"/>
  <c r="GR129" i="35"/>
  <c r="GS135" i="35"/>
  <c r="V129" i="19"/>
  <c r="CK19" i="35"/>
  <c r="DA19" i="35" s="1"/>
  <c r="Z19" i="19" s="1"/>
  <c r="FX135" i="35"/>
  <c r="GQ129" i="35"/>
  <c r="GT135" i="35"/>
  <c r="CY57" i="35"/>
  <c r="X57" i="19" s="1"/>
  <c r="S154" i="19"/>
  <c r="GQ154" i="35"/>
  <c r="GQ71" i="35"/>
  <c r="S71" i="19"/>
  <c r="GR64" i="35"/>
  <c r="T64" i="19"/>
  <c r="BW165" i="35"/>
  <c r="S64" i="19"/>
  <c r="GQ64" i="35"/>
  <c r="FN10" i="35"/>
  <c r="FP10" i="35" s="1"/>
  <c r="FR10" i="35" s="1"/>
  <c r="FT10" i="35" s="1"/>
  <c r="CS10" i="35"/>
  <c r="CU10" i="35" s="1"/>
  <c r="GR10" i="35" s="1"/>
  <c r="U71" i="19"/>
  <c r="GS71" i="35"/>
  <c r="GL154" i="35"/>
  <c r="GZ154" i="35" s="1"/>
  <c r="HB154" i="35" s="1"/>
  <c r="O154" i="19"/>
  <c r="CQ154" i="35"/>
  <c r="CS118" i="35"/>
  <c r="K118" i="19"/>
  <c r="T71" i="19"/>
  <c r="GR71" i="35"/>
  <c r="GS154" i="35"/>
  <c r="U154" i="19"/>
  <c r="J94" i="19"/>
  <c r="CK94" i="35"/>
  <c r="BW171" i="35"/>
  <c r="CM10" i="35"/>
  <c r="CO10" i="35" s="1"/>
  <c r="O10" i="19" s="1"/>
  <c r="CK169" i="35"/>
  <c r="CY169" i="35" s="1"/>
  <c r="X169" i="19" s="1"/>
  <c r="GN71" i="35"/>
  <c r="HJ71" i="35" s="1"/>
  <c r="Q71" i="19"/>
  <c r="AC71" i="19" s="1"/>
  <c r="U64" i="19"/>
  <c r="GS64" i="35"/>
  <c r="BW189" i="35"/>
  <c r="CH206" i="35"/>
  <c r="J206" i="19" s="1"/>
  <c r="CK188" i="35"/>
  <c r="CZ188" i="35" s="1"/>
  <c r="Y188" i="19" s="1"/>
  <c r="J115" i="19"/>
  <c r="GT64" i="35"/>
  <c r="V64" i="19"/>
  <c r="T154" i="19"/>
  <c r="GR154" i="35"/>
  <c r="T135" i="19"/>
  <c r="CQ64" i="35"/>
  <c r="GL64" i="35"/>
  <c r="GZ64" i="35" s="1"/>
  <c r="HB64" i="35" s="1"/>
  <c r="O64" i="19"/>
  <c r="H219" i="19"/>
  <c r="CI219" i="35"/>
  <c r="CJ219" i="35"/>
  <c r="EW219" i="35"/>
  <c r="DR219" i="35"/>
  <c r="BW173" i="35"/>
  <c r="V71" i="19"/>
  <c r="GT71" i="35"/>
  <c r="CK80" i="35"/>
  <c r="BW186" i="35"/>
  <c r="BW208" i="35"/>
  <c r="BW174" i="35"/>
  <c r="BW183" i="35"/>
  <c r="CM167" i="35"/>
  <c r="CO167" i="35" s="1"/>
  <c r="GL167" i="35" s="1"/>
  <c r="GZ167" i="35" s="1"/>
  <c r="HB167" i="35" s="1"/>
  <c r="GT154" i="35"/>
  <c r="V154" i="19"/>
  <c r="FX64" i="35"/>
  <c r="FW64" i="35"/>
  <c r="FZ64" i="35" s="1"/>
  <c r="GB64" i="35" s="1"/>
  <c r="J52" i="19"/>
  <c r="CK52" i="35"/>
  <c r="DR84" i="35"/>
  <c r="DT84" i="35" s="1"/>
  <c r="CK161" i="35"/>
  <c r="FN161" i="35" s="1"/>
  <c r="FP161" i="35" s="1"/>
  <c r="FR161" i="35" s="1"/>
  <c r="GN20" i="35"/>
  <c r="HJ20" i="35" s="1"/>
  <c r="DA57" i="35"/>
  <c r="Z57" i="19" s="1"/>
  <c r="GN45" i="35"/>
  <c r="CM57" i="35"/>
  <c r="M57" i="19" s="1"/>
  <c r="CV57" i="35"/>
  <c r="GS57" i="35" s="1"/>
  <c r="K57" i="19"/>
  <c r="CI84" i="35"/>
  <c r="GH57" i="35"/>
  <c r="GV57" i="35" s="1"/>
  <c r="HD57" i="35" s="1"/>
  <c r="HF57" i="35" s="1"/>
  <c r="CW57" i="35"/>
  <c r="V57" i="19" s="1"/>
  <c r="CX57" i="35"/>
  <c r="W57" i="19" s="1"/>
  <c r="FN57" i="35"/>
  <c r="FV57" i="35" s="1"/>
  <c r="FX57" i="35" s="1"/>
  <c r="CJ84" i="35"/>
  <c r="CU57" i="35"/>
  <c r="T57" i="19" s="1"/>
  <c r="Q135" i="19"/>
  <c r="AC135" i="19" s="1"/>
  <c r="R57" i="19"/>
  <c r="CZ57" i="35"/>
  <c r="Y57" i="19" s="1"/>
  <c r="CT57" i="35"/>
  <c r="S57" i="19" s="1"/>
  <c r="CS167" i="35"/>
  <c r="GP167" i="35" s="1"/>
  <c r="CY167" i="35"/>
  <c r="X167" i="19" s="1"/>
  <c r="GH167" i="35"/>
  <c r="GV167" i="35" s="1"/>
  <c r="HD167" i="35" s="1"/>
  <c r="HG167" i="35" s="1"/>
  <c r="EW162" i="35"/>
  <c r="FN167" i="35"/>
  <c r="FV167" i="35" s="1"/>
  <c r="FX167" i="35" s="1"/>
  <c r="CS93" i="35"/>
  <c r="CV93" i="35" s="1"/>
  <c r="U93" i="19" s="1"/>
  <c r="FX108" i="35"/>
  <c r="DR162" i="35"/>
  <c r="DV162" i="35" s="1"/>
  <c r="CX43" i="35"/>
  <c r="W43" i="19" s="1"/>
  <c r="K167" i="19"/>
  <c r="CJ162" i="35"/>
  <c r="DA167" i="35"/>
  <c r="Z167" i="19" s="1"/>
  <c r="CX167" i="35"/>
  <c r="W167" i="19" s="1"/>
  <c r="CI162" i="35"/>
  <c r="CY17" i="35"/>
  <c r="X17" i="19" s="1"/>
  <c r="CS17" i="35"/>
  <c r="R17" i="19" s="1"/>
  <c r="FN17" i="35"/>
  <c r="FP17" i="35" s="1"/>
  <c r="FR17" i="35" s="1"/>
  <c r="FT17" i="35" s="1"/>
  <c r="I131" i="19"/>
  <c r="CM164" i="35"/>
  <c r="CO164" i="35" s="1"/>
  <c r="CQ164" i="35" s="1"/>
  <c r="Q164" i="19" s="1"/>
  <c r="AC164" i="19" s="1"/>
  <c r="GH163" i="35"/>
  <c r="GV163" i="35" s="1"/>
  <c r="HD163" i="35" s="1"/>
  <c r="HG163" i="35" s="1"/>
  <c r="S145" i="19"/>
  <c r="CM163" i="35"/>
  <c r="GJ163" i="35" s="1"/>
  <c r="GX163" i="35" s="1"/>
  <c r="DA180" i="35"/>
  <c r="Z180" i="19" s="1"/>
  <c r="CO12" i="35"/>
  <c r="O12" i="19" s="1"/>
  <c r="CZ17" i="35"/>
  <c r="Y17" i="19" s="1"/>
  <c r="GH17" i="35"/>
  <c r="GV17" i="35" s="1"/>
  <c r="HD17" i="35" s="1"/>
  <c r="HE17" i="35" s="1"/>
  <c r="FN163" i="35"/>
  <c r="FV163" i="35" s="1"/>
  <c r="FW163" i="35" s="1"/>
  <c r="FZ163" i="35" s="1"/>
  <c r="GB163" i="35" s="1"/>
  <c r="DA163" i="35"/>
  <c r="Z163" i="19" s="1"/>
  <c r="GL108" i="35"/>
  <c r="GZ108" i="35" s="1"/>
  <c r="HB108" i="35" s="1"/>
  <c r="DT205" i="35"/>
  <c r="CS163" i="35"/>
  <c r="R163" i="19" s="1"/>
  <c r="M12" i="19"/>
  <c r="DA17" i="35"/>
  <c r="Z17" i="19" s="1"/>
  <c r="CX17" i="35"/>
  <c r="W17" i="19" s="1"/>
  <c r="T145" i="19"/>
  <c r="CY163" i="35"/>
  <c r="X163" i="19" s="1"/>
  <c r="CZ163" i="35"/>
  <c r="Y163" i="19" s="1"/>
  <c r="GN47" i="35"/>
  <c r="HJ47" i="35" s="1"/>
  <c r="Q47" i="19"/>
  <c r="AC47" i="19" s="1"/>
  <c r="K163" i="19"/>
  <c r="CM17" i="35"/>
  <c r="GJ17" i="35" s="1"/>
  <c r="GX17" i="35" s="1"/>
  <c r="DT44" i="35"/>
  <c r="E29" i="38"/>
  <c r="GN81" i="35"/>
  <c r="HJ81" i="35" s="1"/>
  <c r="CI143" i="35"/>
  <c r="CZ29" i="35"/>
  <c r="Y29" i="19" s="1"/>
  <c r="Q130" i="19"/>
  <c r="AC130" i="19" s="1"/>
  <c r="GN129" i="35"/>
  <c r="Q129" i="19"/>
  <c r="AC129" i="19" s="1"/>
  <c r="CK205" i="35"/>
  <c r="CS205" i="35" s="1"/>
  <c r="GP205" i="35" s="1"/>
  <c r="HE76" i="35"/>
  <c r="CZ70" i="35"/>
  <c r="Y70" i="19" s="1"/>
  <c r="DA70" i="35"/>
  <c r="Z70" i="19" s="1"/>
  <c r="CM34" i="35"/>
  <c r="CO34" i="35" s="1"/>
  <c r="O34" i="19" s="1"/>
  <c r="Q117" i="19"/>
  <c r="AC117" i="19" s="1"/>
  <c r="GP110" i="35"/>
  <c r="HH76" i="35"/>
  <c r="HF34" i="35"/>
  <c r="HG34" i="35"/>
  <c r="CY34" i="35"/>
  <c r="X34" i="19" s="1"/>
  <c r="CS70" i="35"/>
  <c r="CW70" i="35" s="1"/>
  <c r="V70" i="19" s="1"/>
  <c r="FN70" i="35"/>
  <c r="FV70" i="35" s="1"/>
  <c r="FW70" i="35" s="1"/>
  <c r="FZ70" i="35" s="1"/>
  <c r="GB70" i="35" s="1"/>
  <c r="CS34" i="35"/>
  <c r="CU34" i="35" s="1"/>
  <c r="T34" i="19" s="1"/>
  <c r="GH70" i="35"/>
  <c r="GV70" i="35" s="1"/>
  <c r="HD70" i="35" s="1"/>
  <c r="HF70" i="35" s="1"/>
  <c r="CH44" i="35"/>
  <c r="J44" i="19" s="1"/>
  <c r="CY76" i="35"/>
  <c r="X76" i="19" s="1"/>
  <c r="HH34" i="35"/>
  <c r="CZ34" i="35"/>
  <c r="Y34" i="19" s="1"/>
  <c r="DA34" i="35"/>
  <c r="Z34" i="19" s="1"/>
  <c r="CX70" i="35"/>
  <c r="W70" i="19" s="1"/>
  <c r="CX34" i="35"/>
  <c r="W34" i="19" s="1"/>
  <c r="CM70" i="35"/>
  <c r="GJ70" i="35" s="1"/>
  <c r="GX70" i="35" s="1"/>
  <c r="FN34" i="35"/>
  <c r="FV34" i="35" s="1"/>
  <c r="FW34" i="35" s="1"/>
  <c r="FZ34" i="35" s="1"/>
  <c r="GB34" i="35" s="1"/>
  <c r="K70" i="19"/>
  <c r="K34" i="19"/>
  <c r="CZ76" i="35"/>
  <c r="Y76" i="19" s="1"/>
  <c r="T144" i="19"/>
  <c r="GR144" i="35"/>
  <c r="O144" i="19"/>
  <c r="CQ144" i="35"/>
  <c r="GL144" i="35"/>
  <c r="GZ144" i="35" s="1"/>
  <c r="HB144" i="35" s="1"/>
  <c r="GQ144" i="35"/>
  <c r="S144" i="19"/>
  <c r="GT144" i="35"/>
  <c r="V144" i="19"/>
  <c r="U144" i="19"/>
  <c r="GS144" i="35"/>
  <c r="BT253" i="35"/>
  <c r="BW253" i="35" s="1"/>
  <c r="BY253" i="35" s="1"/>
  <c r="BZ253" i="35" s="1"/>
  <c r="FW144" i="35"/>
  <c r="FZ144" i="35" s="1"/>
  <c r="GB144" i="35" s="1"/>
  <c r="FX144" i="35"/>
  <c r="BT234" i="35"/>
  <c r="BW234" i="35" s="1"/>
  <c r="BY234" i="35" s="1"/>
  <c r="BZ234" i="35" s="1"/>
  <c r="I112" i="19"/>
  <c r="FN76" i="35"/>
  <c r="FP76" i="35" s="1"/>
  <c r="FR76" i="35" s="1"/>
  <c r="FT76" i="35" s="1"/>
  <c r="DT112" i="35"/>
  <c r="HG76" i="35"/>
  <c r="K76" i="19"/>
  <c r="CF166" i="35"/>
  <c r="CG166" i="35" s="1"/>
  <c r="CJ166" i="35" s="1"/>
  <c r="CX76" i="35"/>
  <c r="W76" i="19" s="1"/>
  <c r="CM76" i="35"/>
  <c r="M76" i="19" s="1"/>
  <c r="DV13" i="35"/>
  <c r="CS76" i="35"/>
  <c r="R76" i="19" s="1"/>
  <c r="DA76" i="35"/>
  <c r="Z76" i="19" s="1"/>
  <c r="CT113" i="35"/>
  <c r="GQ113" i="35" s="1"/>
  <c r="CU108" i="35"/>
  <c r="T108" i="19" s="1"/>
  <c r="R108" i="19"/>
  <c r="CT108" i="35"/>
  <c r="GQ108" i="35" s="1"/>
  <c r="GN32" i="35"/>
  <c r="HJ32" i="35" s="1"/>
  <c r="Q32" i="19"/>
  <c r="AC32" i="19" s="1"/>
  <c r="CW108" i="35"/>
  <c r="GT108" i="35" s="1"/>
  <c r="CV108" i="35"/>
  <c r="U108" i="19" s="1"/>
  <c r="FN29" i="35"/>
  <c r="FV29" i="35" s="1"/>
  <c r="FW29" i="35" s="1"/>
  <c r="FZ29" i="35" s="1"/>
  <c r="GB29" i="35" s="1"/>
  <c r="DA110" i="35"/>
  <c r="Z110" i="19" s="1"/>
  <c r="CU110" i="35"/>
  <c r="T110" i="19" s="1"/>
  <c r="V130" i="19"/>
  <c r="GT130" i="35"/>
  <c r="FW147" i="35"/>
  <c r="FZ147" i="35" s="1"/>
  <c r="GB147" i="35" s="1"/>
  <c r="CT110" i="35"/>
  <c r="GQ110" i="35" s="1"/>
  <c r="FP108" i="35"/>
  <c r="FR108" i="35" s="1"/>
  <c r="FT108" i="35" s="1"/>
  <c r="CV110" i="35"/>
  <c r="GS110" i="35" s="1"/>
  <c r="CM110" i="35"/>
  <c r="M110" i="19" s="1"/>
  <c r="R110" i="19"/>
  <c r="GH29" i="35"/>
  <c r="GV29" i="35" s="1"/>
  <c r="HD29" i="35" s="1"/>
  <c r="HH29" i="35" s="1"/>
  <c r="HH108" i="35"/>
  <c r="CY110" i="35"/>
  <c r="X110" i="19" s="1"/>
  <c r="T130" i="19"/>
  <c r="CH166" i="35"/>
  <c r="J166" i="19" s="1"/>
  <c r="DC166" i="35"/>
  <c r="K110" i="19"/>
  <c r="FN110" i="35"/>
  <c r="FV110" i="35" s="1"/>
  <c r="FW110" i="35" s="1"/>
  <c r="FZ110" i="35" s="1"/>
  <c r="GB110" i="35" s="1"/>
  <c r="GH110" i="35"/>
  <c r="GV110" i="35" s="1"/>
  <c r="HD110" i="35" s="1"/>
  <c r="HH110" i="35" s="1"/>
  <c r="DA29" i="35"/>
  <c r="Z29" i="19" s="1"/>
  <c r="CX110" i="35"/>
  <c r="W110" i="19" s="1"/>
  <c r="CZ110" i="35"/>
  <c r="Y110" i="19" s="1"/>
  <c r="CX29" i="35"/>
  <c r="W29" i="19" s="1"/>
  <c r="Q114" i="19"/>
  <c r="AC114" i="19" s="1"/>
  <c r="GN114" i="35"/>
  <c r="HJ114" i="35" s="1"/>
  <c r="I44" i="19"/>
  <c r="CY29" i="35"/>
  <c r="X29" i="19" s="1"/>
  <c r="CV113" i="35"/>
  <c r="GS113" i="35" s="1"/>
  <c r="GP113" i="35"/>
  <c r="EW143" i="35"/>
  <c r="DT151" i="35"/>
  <c r="CW113" i="35"/>
  <c r="V113" i="19" s="1"/>
  <c r="HE108" i="35"/>
  <c r="DV143" i="35"/>
  <c r="GJ108" i="35"/>
  <c r="GX108" i="35" s="1"/>
  <c r="DT159" i="35"/>
  <c r="CJ143" i="35"/>
  <c r="O108" i="19"/>
  <c r="M108" i="19"/>
  <c r="Q22" i="19"/>
  <c r="AC22" i="19" s="1"/>
  <c r="GN22" i="35"/>
  <c r="HJ22" i="35" s="1"/>
  <c r="H143" i="19"/>
  <c r="HF108" i="35"/>
  <c r="GN147" i="35"/>
  <c r="HJ147" i="35" s="1"/>
  <c r="Q147" i="19"/>
  <c r="AC147" i="19" s="1"/>
  <c r="DC13" i="35"/>
  <c r="CH13" i="35"/>
  <c r="HH155" i="35"/>
  <c r="I24" i="19"/>
  <c r="CT155" i="35"/>
  <c r="CW155" i="35"/>
  <c r="CU155" i="35"/>
  <c r="R155" i="19"/>
  <c r="GP155" i="35"/>
  <c r="CV155" i="35"/>
  <c r="I103" i="19"/>
  <c r="GN104" i="35"/>
  <c r="Q104" i="19"/>
  <c r="AC104" i="19" s="1"/>
  <c r="Q138" i="19"/>
  <c r="AC138" i="19" s="1"/>
  <c r="GN138" i="35"/>
  <c r="HJ138" i="35" s="1"/>
  <c r="CK179" i="35"/>
  <c r="CX179" i="35" s="1"/>
  <c r="W179" i="19" s="1"/>
  <c r="GH43" i="35"/>
  <c r="GV43" i="35" s="1"/>
  <c r="HD43" i="35" s="1"/>
  <c r="HF43" i="35" s="1"/>
  <c r="I51" i="19"/>
  <c r="CV60" i="35"/>
  <c r="CT60" i="35"/>
  <c r="GP60" i="35"/>
  <c r="CU60" i="35"/>
  <c r="CW60" i="35"/>
  <c r="R60" i="19"/>
  <c r="DA43" i="35"/>
  <c r="Z43" i="19" s="1"/>
  <c r="CY43" i="35"/>
  <c r="X43" i="19" s="1"/>
  <c r="Q109" i="19"/>
  <c r="AC109" i="19" s="1"/>
  <c r="GN109" i="35"/>
  <c r="HJ109" i="35" s="1"/>
  <c r="Q53" i="19"/>
  <c r="AC53" i="19" s="1"/>
  <c r="GN53" i="35"/>
  <c r="HJ53" i="35" s="1"/>
  <c r="CS43" i="35"/>
  <c r="FP60" i="35"/>
  <c r="FR60" i="35" s="1"/>
  <c r="FT60" i="35" s="1"/>
  <c r="FV60" i="35"/>
  <c r="I40" i="19"/>
  <c r="CS29" i="35"/>
  <c r="CU29" i="35" s="1"/>
  <c r="GR29" i="35" s="1"/>
  <c r="I182" i="19"/>
  <c r="CK131" i="35"/>
  <c r="CS131" i="35" s="1"/>
  <c r="CW131" i="35" s="1"/>
  <c r="V131" i="19" s="1"/>
  <c r="CM43" i="35"/>
  <c r="GN36" i="35"/>
  <c r="HJ36" i="35" s="1"/>
  <c r="Q36" i="19"/>
  <c r="AC36" i="19" s="1"/>
  <c r="K43" i="19"/>
  <c r="FN43" i="35"/>
  <c r="HF60" i="35"/>
  <c r="HH60" i="35"/>
  <c r="HE60" i="35"/>
  <c r="HG60" i="35"/>
  <c r="CS66" i="35"/>
  <c r="R66" i="19" s="1"/>
  <c r="CM29" i="35"/>
  <c r="CO29" i="35" s="1"/>
  <c r="GL29" i="35" s="1"/>
  <c r="GZ29" i="35" s="1"/>
  <c r="HB29" i="35" s="1"/>
  <c r="CO60" i="35"/>
  <c r="GJ60" i="35"/>
  <c r="GX60" i="35" s="1"/>
  <c r="M60" i="19"/>
  <c r="I23" i="19"/>
  <c r="GH66" i="35"/>
  <c r="GV66" i="35" s="1"/>
  <c r="HD66" i="35" s="1"/>
  <c r="HE66" i="35" s="1"/>
  <c r="BT193" i="35"/>
  <c r="BW193" i="35" s="1"/>
  <c r="BY193" i="35" s="1"/>
  <c r="BZ193" i="35" s="1"/>
  <c r="GS133" i="35"/>
  <c r="U133" i="19"/>
  <c r="CA192" i="35"/>
  <c r="CF192" i="35"/>
  <c r="CG192" i="35" s="1"/>
  <c r="DR192" i="35" s="1"/>
  <c r="DT192" i="35" s="1"/>
  <c r="Q121" i="19"/>
  <c r="AC121" i="19" s="1"/>
  <c r="GN121" i="35"/>
  <c r="HJ121" i="35" s="1"/>
  <c r="CH197" i="35"/>
  <c r="J197" i="19" s="1"/>
  <c r="DC197" i="35"/>
  <c r="U153" i="19"/>
  <c r="GS153" i="35"/>
  <c r="BT251" i="35"/>
  <c r="BT177" i="35"/>
  <c r="V133" i="19"/>
  <c r="GT133" i="35"/>
  <c r="EW207" i="35"/>
  <c r="DR207" i="35"/>
  <c r="CI207" i="35"/>
  <c r="CJ207" i="35"/>
  <c r="H207" i="19"/>
  <c r="J23" i="19"/>
  <c r="CK23" i="35"/>
  <c r="GN142" i="35"/>
  <c r="HJ142" i="35" s="1"/>
  <c r="Q142" i="19"/>
  <c r="AC142" i="19" s="1"/>
  <c r="Q78" i="19"/>
  <c r="AC78" i="19" s="1"/>
  <c r="GN78" i="35"/>
  <c r="HJ78" i="35" s="1"/>
  <c r="GN48" i="35"/>
  <c r="HJ48" i="35" s="1"/>
  <c r="Q48" i="19"/>
  <c r="AC48" i="19" s="1"/>
  <c r="BT226" i="35"/>
  <c r="BT229" i="35"/>
  <c r="BW229" i="35" s="1"/>
  <c r="BY229" i="35" s="1"/>
  <c r="BZ229" i="35" s="1"/>
  <c r="GN14" i="35"/>
  <c r="HJ14" i="35" s="1"/>
  <c r="Q14" i="19"/>
  <c r="AC14" i="19" s="1"/>
  <c r="BT194" i="35"/>
  <c r="DV40" i="35"/>
  <c r="DT40" i="35"/>
  <c r="DC207" i="35"/>
  <c r="CH207" i="35"/>
  <c r="DV24" i="35"/>
  <c r="DT24" i="35"/>
  <c r="I179" i="19"/>
  <c r="CY175" i="35"/>
  <c r="X175" i="19" s="1"/>
  <c r="FN175" i="35"/>
  <c r="CX175" i="35"/>
  <c r="W175" i="19" s="1"/>
  <c r="K175" i="19"/>
  <c r="CS175" i="35"/>
  <c r="GH175" i="35"/>
  <c r="GV175" i="35" s="1"/>
  <c r="HD175" i="35" s="1"/>
  <c r="DA175" i="35"/>
  <c r="Z175" i="19" s="1"/>
  <c r="CM175" i="35"/>
  <c r="CZ175" i="35"/>
  <c r="Y175" i="19" s="1"/>
  <c r="O153" i="19"/>
  <c r="CQ153" i="35"/>
  <c r="GL153" i="35"/>
  <c r="GZ153" i="35" s="1"/>
  <c r="HB153" i="35" s="1"/>
  <c r="H197" i="19"/>
  <c r="DR197" i="35"/>
  <c r="CI197" i="35"/>
  <c r="CJ197" i="35"/>
  <c r="BT215" i="35"/>
  <c r="GR133" i="35"/>
  <c r="T133" i="19"/>
  <c r="GN156" i="35"/>
  <c r="HJ156" i="35" s="1"/>
  <c r="Q156" i="19"/>
  <c r="AC156" i="19" s="1"/>
  <c r="FX153" i="35"/>
  <c r="FW153" i="35"/>
  <c r="FZ153" i="35" s="1"/>
  <c r="GB153" i="35" s="1"/>
  <c r="GN111" i="35"/>
  <c r="HJ111" i="35" s="1"/>
  <c r="Q111" i="19"/>
  <c r="AC111" i="19" s="1"/>
  <c r="CI206" i="35"/>
  <c r="H206" i="19"/>
  <c r="CA191" i="35"/>
  <c r="CF191" i="35"/>
  <c r="CG191" i="35" s="1"/>
  <c r="CJ191" i="35" s="1"/>
  <c r="GQ100" i="35"/>
  <c r="S100" i="19"/>
  <c r="J103" i="19"/>
  <c r="CK103" i="35"/>
  <c r="BT184" i="35"/>
  <c r="S133" i="19"/>
  <c r="GQ133" i="35"/>
  <c r="J51" i="19"/>
  <c r="CK51" i="35"/>
  <c r="CQ100" i="35"/>
  <c r="O100" i="19"/>
  <c r="GL100" i="35"/>
  <c r="GZ100" i="35" s="1"/>
  <c r="HB100" i="35" s="1"/>
  <c r="FX100" i="35"/>
  <c r="FW100" i="35"/>
  <c r="FZ100" i="35" s="1"/>
  <c r="GB100" i="35" s="1"/>
  <c r="FX133" i="35"/>
  <c r="FW133" i="35"/>
  <c r="FZ133" i="35" s="1"/>
  <c r="GB133" i="35" s="1"/>
  <c r="GT100" i="35"/>
  <c r="V100" i="19"/>
  <c r="Q33" i="19"/>
  <c r="AC33" i="19" s="1"/>
  <c r="GN33" i="35"/>
  <c r="HJ33" i="35" s="1"/>
  <c r="DV182" i="35"/>
  <c r="DT182" i="35"/>
  <c r="BT237" i="35"/>
  <c r="BW237" i="35" s="1"/>
  <c r="BY237" i="35" s="1"/>
  <c r="BZ237" i="35" s="1"/>
  <c r="J182" i="19"/>
  <c r="CK182" i="35"/>
  <c r="GN89" i="35"/>
  <c r="HJ89" i="35" s="1"/>
  <c r="Q89" i="19"/>
  <c r="AC89" i="19" s="1"/>
  <c r="GL133" i="35"/>
  <c r="GZ133" i="35" s="1"/>
  <c r="HB133" i="35" s="1"/>
  <c r="CQ133" i="35"/>
  <c r="O133" i="19"/>
  <c r="DT179" i="35"/>
  <c r="DV179" i="35"/>
  <c r="BT248" i="35"/>
  <c r="BW248" i="35" s="1"/>
  <c r="BY248" i="35" s="1"/>
  <c r="BZ248" i="35" s="1"/>
  <c r="J40" i="19"/>
  <c r="CK40" i="35"/>
  <c r="CH143" i="35"/>
  <c r="J143" i="19" s="1"/>
  <c r="DC143" i="35"/>
  <c r="FN181" i="35"/>
  <c r="CY181" i="35"/>
  <c r="X181" i="19" s="1"/>
  <c r="CX181" i="35"/>
  <c r="W181" i="19" s="1"/>
  <c r="CM181" i="35"/>
  <c r="K181" i="19"/>
  <c r="GH181" i="35"/>
  <c r="GV181" i="35" s="1"/>
  <c r="HD181" i="35" s="1"/>
  <c r="DA181" i="35"/>
  <c r="Z181" i="19" s="1"/>
  <c r="CS181" i="35"/>
  <c r="CZ181" i="35"/>
  <c r="Y181" i="19" s="1"/>
  <c r="V153" i="19"/>
  <c r="GT153" i="35"/>
  <c r="GR100" i="35"/>
  <c r="T100" i="19"/>
  <c r="Q18" i="19"/>
  <c r="AC18" i="19" s="1"/>
  <c r="GN18" i="35"/>
  <c r="HJ18" i="35" s="1"/>
  <c r="S153" i="19"/>
  <c r="GQ153" i="35"/>
  <c r="DT51" i="35"/>
  <c r="DV51" i="35"/>
  <c r="DV103" i="35"/>
  <c r="DT103" i="35"/>
  <c r="BT224" i="35"/>
  <c r="BW224" i="35" s="1"/>
  <c r="BY224" i="35" s="1"/>
  <c r="BZ224" i="35" s="1"/>
  <c r="CF185" i="35"/>
  <c r="CG185" i="35" s="1"/>
  <c r="H185" i="19" s="1"/>
  <c r="CA185" i="35"/>
  <c r="T153" i="19"/>
  <c r="GR153" i="35"/>
  <c r="DT23" i="35"/>
  <c r="DV23" i="35"/>
  <c r="GS100" i="35"/>
  <c r="U100" i="19"/>
  <c r="CK24" i="35"/>
  <c r="CX66" i="35"/>
  <c r="W66" i="19" s="1"/>
  <c r="DA66" i="35"/>
  <c r="Z66" i="19" s="1"/>
  <c r="CZ66" i="35"/>
  <c r="Y66" i="19" s="1"/>
  <c r="FN66" i="35"/>
  <c r="FP66" i="35" s="1"/>
  <c r="FR66" i="35" s="1"/>
  <c r="FT66" i="35" s="1"/>
  <c r="CM66" i="35"/>
  <c r="M66" i="19" s="1"/>
  <c r="CY66" i="35"/>
  <c r="X66" i="19" s="1"/>
  <c r="U141" i="19"/>
  <c r="GS141" i="35"/>
  <c r="CY172" i="35"/>
  <c r="X172" i="19" s="1"/>
  <c r="DA172" i="35"/>
  <c r="Z172" i="19" s="1"/>
  <c r="GH172" i="35"/>
  <c r="GV172" i="35" s="1"/>
  <c r="HD172" i="35" s="1"/>
  <c r="CZ172" i="35"/>
  <c r="Y172" i="19" s="1"/>
  <c r="CS172" i="35"/>
  <c r="CM172" i="35"/>
  <c r="FN172" i="35"/>
  <c r="CX172" i="35"/>
  <c r="W172" i="19" s="1"/>
  <c r="K172" i="19"/>
  <c r="CQ141" i="35"/>
  <c r="GL141" i="35"/>
  <c r="GZ141" i="35" s="1"/>
  <c r="HB141" i="35" s="1"/>
  <c r="O141" i="19"/>
  <c r="FX141" i="35"/>
  <c r="FW141" i="35"/>
  <c r="FZ141" i="35" s="1"/>
  <c r="GB141" i="35" s="1"/>
  <c r="GR141" i="35"/>
  <c r="T141" i="19"/>
  <c r="GQ141" i="35"/>
  <c r="S141" i="19"/>
  <c r="GT141" i="35"/>
  <c r="V141" i="19"/>
  <c r="BR198" i="35"/>
  <c r="BR225" i="35"/>
  <c r="BR222" i="35"/>
  <c r="BR221" i="35"/>
  <c r="BR218" i="35"/>
  <c r="BR209" i="35"/>
  <c r="BR213" i="35"/>
  <c r="BR277" i="35"/>
  <c r="BR199" i="35"/>
  <c r="BR261" i="35"/>
  <c r="BR228" i="35"/>
  <c r="BR269" i="35"/>
  <c r="BT269" i="35" s="1"/>
  <c r="BW269" i="35" s="1"/>
  <c r="BY269" i="35" s="1"/>
  <c r="BZ269" i="35" s="1"/>
  <c r="BR233" i="35"/>
  <c r="BR220" i="35"/>
  <c r="BR203" i="35"/>
  <c r="BR201" i="35"/>
  <c r="BR216" i="35"/>
  <c r="BR214" i="35"/>
  <c r="BR254" i="35"/>
  <c r="GP137" i="35"/>
  <c r="R137" i="19"/>
  <c r="CY137" i="35"/>
  <c r="X137" i="19" s="1"/>
  <c r="FN137" i="35"/>
  <c r="FV137" i="35" s="1"/>
  <c r="FW137" i="35" s="1"/>
  <c r="FZ137" i="35" s="1"/>
  <c r="GB137" i="35" s="1"/>
  <c r="CW137" i="35"/>
  <c r="V137" i="19" s="1"/>
  <c r="K137" i="19"/>
  <c r="GH137" i="35"/>
  <c r="GV137" i="35" s="1"/>
  <c r="HD137" i="35" s="1"/>
  <c r="CZ137" i="35"/>
  <c r="Y137" i="19" s="1"/>
  <c r="CX137" i="35"/>
  <c r="W137" i="19" s="1"/>
  <c r="BL268" i="35"/>
  <c r="BN268" i="35" s="1"/>
  <c r="BP268" i="35" s="1"/>
  <c r="BL267" i="35"/>
  <c r="BN267" i="35" s="1"/>
  <c r="BP267" i="35" s="1"/>
  <c r="BL200" i="35"/>
  <c r="BN200" i="35" s="1"/>
  <c r="BP200" i="35" s="1"/>
  <c r="BL260" i="35"/>
  <c r="BN260" i="35" s="1"/>
  <c r="BP260" i="35" s="1"/>
  <c r="BL266" i="35"/>
  <c r="BN266" i="35" s="1"/>
  <c r="BP266" i="35" s="1"/>
  <c r="BL264" i="35"/>
  <c r="BN264" i="35" s="1"/>
  <c r="BP264" i="35" s="1"/>
  <c r="BL271" i="35"/>
  <c r="BN271" i="35" s="1"/>
  <c r="BP271" i="35" s="1"/>
  <c r="BL255" i="35"/>
  <c r="BN255" i="35" s="1"/>
  <c r="BP255" i="35" s="1"/>
  <c r="BL256" i="35"/>
  <c r="BN256" i="35" s="1"/>
  <c r="BP256" i="35" s="1"/>
  <c r="BL282" i="35"/>
  <c r="BN282" i="35" s="1"/>
  <c r="BP282" i="35" s="1"/>
  <c r="BL258" i="35"/>
  <c r="BN258" i="35" s="1"/>
  <c r="BP258" i="35" s="1"/>
  <c r="BL273" i="35"/>
  <c r="BN273" i="35" s="1"/>
  <c r="BP273" i="35" s="1"/>
  <c r="BL274" i="35"/>
  <c r="BN274" i="35" s="1"/>
  <c r="BP274" i="35" s="1"/>
  <c r="BL278" i="35"/>
  <c r="BN278" i="35" s="1"/>
  <c r="BP278" i="35" s="1"/>
  <c r="BL227" i="35"/>
  <c r="BN227" i="35" s="1"/>
  <c r="BP227" i="35" s="1"/>
  <c r="CS7" i="35"/>
  <c r="CY7" i="35"/>
  <c r="X7" i="19" s="1"/>
  <c r="CM7" i="35"/>
  <c r="CX7" i="35"/>
  <c r="W7" i="19" s="1"/>
  <c r="K7" i="19"/>
  <c r="GH7" i="35"/>
  <c r="GV7" i="35" s="1"/>
  <c r="HD7" i="35" s="1"/>
  <c r="DA7" i="35"/>
  <c r="Z7" i="19" s="1"/>
  <c r="FN7" i="35"/>
  <c r="CZ7" i="35"/>
  <c r="Y7" i="19" s="1"/>
  <c r="Q108" i="19"/>
  <c r="AC108" i="19" s="1"/>
  <c r="GN108" i="35"/>
  <c r="BJ204" i="35"/>
  <c r="BL204" i="35" s="1"/>
  <c r="BN204" i="35" s="1"/>
  <c r="BP204" i="35" s="1"/>
  <c r="BJ223" i="35"/>
  <c r="GT110" i="35"/>
  <c r="V110" i="19"/>
  <c r="BJ252" i="35"/>
  <c r="BL252" i="35" s="1"/>
  <c r="BN252" i="35" s="1"/>
  <c r="BP252" i="35" s="1"/>
  <c r="BJ236" i="35"/>
  <c r="BL236" i="35" s="1"/>
  <c r="BN236" i="35" s="1"/>
  <c r="BP236" i="35" s="1"/>
  <c r="T137" i="19"/>
  <c r="BH240" i="35"/>
  <c r="BH244" i="35"/>
  <c r="BH247" i="35"/>
  <c r="BH238" i="35"/>
  <c r="BH245" i="35"/>
  <c r="BH249" i="35"/>
  <c r="BH241" i="35"/>
  <c r="BJ241" i="35" s="1"/>
  <c r="BH243" i="35"/>
  <c r="BH231" i="35"/>
  <c r="BH232" i="35"/>
  <c r="BH246" i="35"/>
  <c r="BH235" i="35"/>
  <c r="BH230" i="35"/>
  <c r="BJ230" i="35" s="1"/>
  <c r="BF239" i="35"/>
  <c r="BF250" i="35"/>
  <c r="BF242" i="35"/>
  <c r="BF262" i="35"/>
  <c r="BF257" i="35"/>
  <c r="BD280" i="35"/>
  <c r="BD259" i="35"/>
  <c r="BD276" i="35"/>
  <c r="BD279" i="35"/>
  <c r="BD275" i="35"/>
  <c r="BD284" i="35"/>
  <c r="BD265" i="35"/>
  <c r="BD270" i="35"/>
  <c r="BA299" i="35"/>
  <c r="BA263" i="35"/>
  <c r="BD263" i="35" s="1"/>
  <c r="BF263" i="35" s="1"/>
  <c r="BH263" i="35" s="1"/>
  <c r="BJ263" i="35" s="1"/>
  <c r="BA285" i="35"/>
  <c r="BA283" i="35"/>
  <c r="BA272" i="35"/>
  <c r="BD272" i="35" s="1"/>
  <c r="BF272" i="35" s="1"/>
  <c r="BH272" i="35" s="1"/>
  <c r="BJ272" i="35" s="1"/>
  <c r="BA281" i="35"/>
  <c r="AZ289" i="35"/>
  <c r="AZ311" i="35"/>
  <c r="AZ294" i="35"/>
  <c r="AZ293" i="35"/>
  <c r="AZ309" i="35"/>
  <c r="AZ287" i="35"/>
  <c r="AZ308" i="35"/>
  <c r="AZ290" i="35"/>
  <c r="AZ288" i="35"/>
  <c r="AZ314" i="35"/>
  <c r="AZ307" i="35"/>
  <c r="AZ313" i="35"/>
  <c r="AZ292" i="35"/>
  <c r="AZ306" i="35"/>
  <c r="AZ296" i="35"/>
  <c r="AZ302" i="35"/>
  <c r="AZ303" i="35"/>
  <c r="AZ300" i="35"/>
  <c r="AZ295" i="35"/>
  <c r="AZ312" i="35"/>
  <c r="AZ305" i="35"/>
  <c r="AZ291" i="35"/>
  <c r="AZ304" i="35"/>
  <c r="AX297" i="35"/>
  <c r="AX301" i="35"/>
  <c r="DO306" i="35"/>
  <c r="DN306" i="35" s="1"/>
  <c r="AO368" i="35"/>
  <c r="AP368" i="35" s="1"/>
  <c r="AQ368" i="35" s="1"/>
  <c r="AO374" i="35"/>
  <c r="AP374" i="35" s="1"/>
  <c r="AQ374" i="35" s="1"/>
  <c r="AO366" i="35"/>
  <c r="AP366" i="35" s="1"/>
  <c r="AQ366" i="35" s="1"/>
  <c r="AO358" i="35"/>
  <c r="AP358" i="35" s="1"/>
  <c r="AQ358" i="35" s="1"/>
  <c r="AP364" i="35"/>
  <c r="AQ364" i="35" s="1"/>
  <c r="AO359" i="35"/>
  <c r="AP359" i="35" s="1"/>
  <c r="AQ359" i="35" s="1"/>
  <c r="AO350" i="35"/>
  <c r="AP350" i="35" s="1"/>
  <c r="AQ350" i="35" s="1"/>
  <c r="AO375" i="35"/>
  <c r="AP375" i="35" s="1"/>
  <c r="AQ375" i="35" s="1"/>
  <c r="AO371" i="35"/>
  <c r="AP371" i="35" s="1"/>
  <c r="AQ371" i="35" s="1"/>
  <c r="AO367" i="35"/>
  <c r="AP367" i="35" s="1"/>
  <c r="AQ367" i="35" s="1"/>
  <c r="AO377" i="35"/>
  <c r="AP377" i="35" s="1"/>
  <c r="AQ377" i="35" s="1"/>
  <c r="AO348" i="35"/>
  <c r="AP348" i="35" s="1"/>
  <c r="AQ348" i="35" s="1"/>
  <c r="AO353" i="35"/>
  <c r="AP353" i="35" s="1"/>
  <c r="AQ353" i="35" s="1"/>
  <c r="AO373" i="35"/>
  <c r="AP373" i="35" s="1"/>
  <c r="AQ373" i="35" s="1"/>
  <c r="AO356" i="35"/>
  <c r="AP356" i="35" s="1"/>
  <c r="AQ356" i="35" s="1"/>
  <c r="AO376" i="35"/>
  <c r="AP376" i="35" s="1"/>
  <c r="AQ376" i="35" s="1"/>
  <c r="AO357" i="35"/>
  <c r="AP357" i="35" s="1"/>
  <c r="AQ357" i="35" s="1"/>
  <c r="AO349" i="35"/>
  <c r="AP349" i="35" s="1"/>
  <c r="AQ349" i="35" s="1"/>
  <c r="AO355" i="35"/>
  <c r="AP355" i="35" s="1"/>
  <c r="AQ355" i="35" s="1"/>
  <c r="AO363" i="35"/>
  <c r="AP363" i="35" s="1"/>
  <c r="AQ363" i="35" s="1"/>
  <c r="AO354" i="35"/>
  <c r="AP354" i="35" s="1"/>
  <c r="AQ354" i="35" s="1"/>
  <c r="AO369" i="35"/>
  <c r="AP369" i="35" s="1"/>
  <c r="AQ369" i="35" s="1"/>
  <c r="AO351" i="35"/>
  <c r="AP351" i="35" s="1"/>
  <c r="AQ351" i="35" s="1"/>
  <c r="AO352" i="35"/>
  <c r="AP352" i="35" s="1"/>
  <c r="AQ352" i="35" s="1"/>
  <c r="AO362" i="35"/>
  <c r="AP362" i="35" s="1"/>
  <c r="AQ362" i="35" s="1"/>
  <c r="AO370" i="35"/>
  <c r="AP370" i="35" s="1"/>
  <c r="AQ370" i="35" s="1"/>
  <c r="AO365" i="35"/>
  <c r="AP365" i="35" s="1"/>
  <c r="AQ365" i="35" s="1"/>
  <c r="AO372" i="35"/>
  <c r="AP372" i="35" s="1"/>
  <c r="AQ372" i="35" s="1"/>
  <c r="AX316" i="35"/>
  <c r="AZ316" i="35" s="1"/>
  <c r="AX286" i="35"/>
  <c r="AS346" i="35"/>
  <c r="AS327" i="35"/>
  <c r="AS345" i="35"/>
  <c r="AS321" i="35"/>
  <c r="AS339" i="35"/>
  <c r="AU324" i="35"/>
  <c r="AW324" i="35" s="1"/>
  <c r="AX315" i="35"/>
  <c r="AZ315" i="35" s="1"/>
  <c r="AU333" i="35"/>
  <c r="AW333" i="35" s="1"/>
  <c r="AS330" i="35"/>
  <c r="AX298" i="35"/>
  <c r="AS331" i="35"/>
  <c r="AX310" i="35"/>
  <c r="AZ310" i="35" s="1"/>
  <c r="DP300" i="35"/>
  <c r="AU331" i="35"/>
  <c r="AV331" i="35" s="1"/>
  <c r="DP331" i="35" s="1"/>
  <c r="DO305" i="35"/>
  <c r="DN305" i="35" s="1"/>
  <c r="AU339" i="35"/>
  <c r="AW339" i="35" s="1"/>
  <c r="DP309" i="35"/>
  <c r="DP303" i="35"/>
  <c r="AV316" i="35"/>
  <c r="DO316" i="35" s="1"/>
  <c r="DN316" i="35" s="1"/>
  <c r="AS324" i="35"/>
  <c r="DO291" i="35"/>
  <c r="DN291" i="35" s="1"/>
  <c r="DO289" i="35"/>
  <c r="DN289" i="35" s="1"/>
  <c r="AU327" i="35"/>
  <c r="AV327" i="35" s="1"/>
  <c r="DP327" i="35" s="1"/>
  <c r="DP288" i="35"/>
  <c r="DO302" i="35"/>
  <c r="DN302" i="35" s="1"/>
  <c r="AU330" i="35"/>
  <c r="AW330" i="35" s="1"/>
  <c r="DO290" i="35"/>
  <c r="DN290" i="35" s="1"/>
  <c r="AS333" i="35"/>
  <c r="DO313" i="35"/>
  <c r="DN313" i="35" s="1"/>
  <c r="DO292" i="35"/>
  <c r="DN292" i="35" s="1"/>
  <c r="DO314" i="35"/>
  <c r="DN314" i="35" s="1"/>
  <c r="DB321" i="35"/>
  <c r="DB335" i="35"/>
  <c r="DB325" i="35"/>
  <c r="DB323" i="35"/>
  <c r="DB337" i="35"/>
  <c r="DP294" i="35"/>
  <c r="DB346" i="35"/>
  <c r="DB342" i="35"/>
  <c r="DB318" i="35"/>
  <c r="DB336" i="35"/>
  <c r="DB344" i="35"/>
  <c r="DB328" i="35"/>
  <c r="DB317" i="35"/>
  <c r="DB326" i="35"/>
  <c r="DB320" i="35"/>
  <c r="DB332" i="35"/>
  <c r="DB322" i="35"/>
  <c r="DB338" i="35"/>
  <c r="DB331" i="35"/>
  <c r="DB339" i="35"/>
  <c r="DB324" i="35"/>
  <c r="AS323" i="35"/>
  <c r="DB327" i="35"/>
  <c r="DB343" i="35"/>
  <c r="DB333" i="35"/>
  <c r="DB330" i="35"/>
  <c r="DB340" i="35"/>
  <c r="DB319" i="35"/>
  <c r="DB341" i="35"/>
  <c r="DB345" i="35"/>
  <c r="DB329" i="35"/>
  <c r="DB334" i="35"/>
  <c r="DO295" i="35"/>
  <c r="DN295" i="35" s="1"/>
  <c r="DP311" i="35"/>
  <c r="DO312" i="35"/>
  <c r="DN312" i="35" s="1"/>
  <c r="AU341" i="35"/>
  <c r="AW341" i="35" s="1"/>
  <c r="AU340" i="35"/>
  <c r="AW340" i="35" s="1"/>
  <c r="AS340" i="35"/>
  <c r="AU334" i="35"/>
  <c r="AW334" i="35" s="1"/>
  <c r="AS319" i="35"/>
  <c r="DO287" i="35"/>
  <c r="DN287" i="35" s="1"/>
  <c r="AU335" i="35"/>
  <c r="AV335" i="35" s="1"/>
  <c r="AS332" i="35"/>
  <c r="AU328" i="35"/>
  <c r="AW328" i="35" s="1"/>
  <c r="DP299" i="35"/>
  <c r="AS343" i="35"/>
  <c r="AU343" i="35"/>
  <c r="AW343" i="35" s="1"/>
  <c r="DO296" i="35"/>
  <c r="DN296" i="35" s="1"/>
  <c r="DO304" i="35"/>
  <c r="DN304" i="35" s="1"/>
  <c r="DO293" i="35"/>
  <c r="DN293" i="35" s="1"/>
  <c r="AU332" i="35"/>
  <c r="AW332" i="35" s="1"/>
  <c r="AU322" i="35"/>
  <c r="AW322" i="35" s="1"/>
  <c r="AS322" i="35"/>
  <c r="AS341" i="35"/>
  <c r="DP308" i="35"/>
  <c r="AU319" i="35"/>
  <c r="AV319" i="35" s="1"/>
  <c r="AS329" i="35"/>
  <c r="AU345" i="35"/>
  <c r="AW345" i="35" s="1"/>
  <c r="AS334" i="35"/>
  <c r="AU329" i="35"/>
  <c r="AW329" i="35" s="1"/>
  <c r="DO307" i="35"/>
  <c r="DN307" i="35" s="1"/>
  <c r="AS318" i="35"/>
  <c r="AS342" i="35"/>
  <c r="AU320" i="35"/>
  <c r="AV320" i="35" s="1"/>
  <c r="DP320" i="35" s="1"/>
  <c r="AU346" i="35"/>
  <c r="AW346" i="35" s="1"/>
  <c r="AU342" i="35"/>
  <c r="AV342" i="35" s="1"/>
  <c r="DO342" i="35" s="1"/>
  <c r="DN342" i="35" s="1"/>
  <c r="AS337" i="35"/>
  <c r="AS325" i="35"/>
  <c r="AU337" i="35"/>
  <c r="AW337" i="35" s="1"/>
  <c r="AS335" i="35"/>
  <c r="AS328" i="35"/>
  <c r="AU321" i="35"/>
  <c r="AW321" i="35" s="1"/>
  <c r="AU338" i="35"/>
  <c r="AW338" i="35" s="1"/>
  <c r="AU336" i="35"/>
  <c r="AW336" i="35" s="1"/>
  <c r="AS338" i="35"/>
  <c r="AS336" i="35"/>
  <c r="AS344" i="35"/>
  <c r="AU344" i="35"/>
  <c r="AW344" i="35" s="1"/>
  <c r="AU317" i="35"/>
  <c r="AW317" i="35" s="1"/>
  <c r="AS317" i="35"/>
  <c r="AS326" i="35"/>
  <c r="AU326" i="35"/>
  <c r="AW326" i="35" s="1"/>
  <c r="AU323" i="35"/>
  <c r="AW323" i="35" s="1"/>
  <c r="AU318" i="35"/>
  <c r="AW318" i="35" s="1"/>
  <c r="AU325" i="35"/>
  <c r="AW325" i="35" s="1"/>
  <c r="AS320" i="35"/>
  <c r="AP361" i="35"/>
  <c r="AQ361" i="35" s="1"/>
  <c r="AT347" i="35"/>
  <c r="AP360" i="35"/>
  <c r="AQ360" i="35" s="1"/>
  <c r="E13" i="34"/>
  <c r="O13" i="34" s="1"/>
  <c r="E13" i="38"/>
  <c r="N13" i="38" s="1"/>
  <c r="E10" i="34"/>
  <c r="O10" i="34" s="1"/>
  <c r="E10" i="38"/>
  <c r="N10" i="38" s="1"/>
  <c r="E11" i="32"/>
  <c r="N11" i="32" s="1"/>
  <c r="E11" i="38"/>
  <c r="N11" i="38" s="1"/>
  <c r="F19" i="38"/>
  <c r="F19" i="39" s="1"/>
  <c r="F39" i="4"/>
  <c r="N72" i="5"/>
  <c r="N69" i="5"/>
  <c r="N68" i="5"/>
  <c r="N71" i="5"/>
  <c r="N70" i="5"/>
  <c r="N8" i="24"/>
  <c r="K13" i="31"/>
  <c r="D25" i="31" s="1"/>
  <c r="K13" i="29"/>
  <c r="D25" i="29" s="1"/>
  <c r="K13" i="25"/>
  <c r="D25" i="25" s="1"/>
  <c r="K13" i="28"/>
  <c r="D25" i="28" s="1"/>
  <c r="E10" i="32"/>
  <c r="N10" i="32" s="1"/>
  <c r="K13" i="30"/>
  <c r="D25" i="30" s="1"/>
  <c r="E13" i="24"/>
  <c r="N13" i="24" s="1"/>
  <c r="K13" i="26"/>
  <c r="D25" i="26" s="1"/>
  <c r="K13" i="27"/>
  <c r="D25" i="27" s="1"/>
  <c r="E10" i="24"/>
  <c r="N10" i="24" s="1"/>
  <c r="E11" i="24"/>
  <c r="N11" i="24" s="1"/>
  <c r="E11" i="34"/>
  <c r="O11" i="34" s="1"/>
  <c r="D24" i="29"/>
  <c r="E13" i="32"/>
  <c r="N13" i="32" s="1"/>
  <c r="D24" i="27"/>
  <c r="D24" i="31"/>
  <c r="D24" i="25"/>
  <c r="D24" i="26"/>
  <c r="D24" i="28"/>
  <c r="D24" i="30"/>
  <c r="E15" i="9"/>
  <c r="E16" i="9" s="1"/>
  <c r="E16" i="8"/>
  <c r="E17" i="8" s="1"/>
  <c r="E15" i="34"/>
  <c r="E16" i="34" s="1"/>
  <c r="B57" i="37"/>
  <c r="AR21" i="37"/>
  <c r="AH378" i="35"/>
  <c r="AH379" i="35" s="1"/>
  <c r="AG379" i="35"/>
  <c r="X17" i="24"/>
  <c r="G73" i="23"/>
  <c r="G69" i="23"/>
  <c r="G71" i="23"/>
  <c r="G67" i="23"/>
  <c r="G65" i="23"/>
  <c r="G63" i="23"/>
  <c r="D73" i="23"/>
  <c r="D71" i="23"/>
  <c r="D69" i="23"/>
  <c r="D67" i="23"/>
  <c r="D65" i="23"/>
  <c r="D63" i="23"/>
  <c r="B73" i="23"/>
  <c r="B69" i="23"/>
  <c r="B71" i="23"/>
  <c r="B67" i="23"/>
  <c r="B65" i="23"/>
  <c r="B63" i="23"/>
  <c r="F31" i="23"/>
  <c r="F31" i="39" s="1"/>
  <c r="F32" i="23"/>
  <c r="F32" i="39" s="1"/>
  <c r="E31" i="23"/>
  <c r="F30" i="23"/>
  <c r="F30" i="39" s="1"/>
  <c r="B31" i="23"/>
  <c r="B31" i="39" s="1"/>
  <c r="B32" i="23"/>
  <c r="B32" i="39" s="1"/>
  <c r="B30" i="23"/>
  <c r="B30" i="39" s="1"/>
  <c r="HE155" i="35" l="1"/>
  <c r="S130" i="19"/>
  <c r="GH118" i="35"/>
  <c r="GV118" i="35" s="1"/>
  <c r="HD118" i="35" s="1"/>
  <c r="K102" i="19"/>
  <c r="HG102" i="35"/>
  <c r="CX37" i="35"/>
  <c r="W37" i="19" s="1"/>
  <c r="GT72" i="35"/>
  <c r="CS37" i="35"/>
  <c r="GN35" i="35"/>
  <c r="HJ35" i="35" s="1"/>
  <c r="Q35" i="19"/>
  <c r="AC35" i="19" s="1"/>
  <c r="FN46" i="35"/>
  <c r="FP46" i="35" s="1"/>
  <c r="FR46" i="35" s="1"/>
  <c r="FT46" i="35" s="1"/>
  <c r="CZ93" i="35"/>
  <c r="Y93" i="19" s="1"/>
  <c r="CX118" i="35"/>
  <c r="W118" i="19" s="1"/>
  <c r="CZ102" i="35"/>
  <c r="Y102" i="19" s="1"/>
  <c r="DA102" i="35"/>
  <c r="Z102" i="19" s="1"/>
  <c r="FN50" i="35"/>
  <c r="FP50" i="35" s="1"/>
  <c r="FR50" i="35" s="1"/>
  <c r="FT50" i="35" s="1"/>
  <c r="R145" i="19"/>
  <c r="CW145" i="35"/>
  <c r="CX46" i="35"/>
  <c r="W46" i="19" s="1"/>
  <c r="DA93" i="35"/>
  <c r="Z93" i="19" s="1"/>
  <c r="FN118" i="35"/>
  <c r="HE102" i="35"/>
  <c r="CX50" i="35"/>
  <c r="W50" i="19" s="1"/>
  <c r="GH37" i="35"/>
  <c r="GV37" i="35" s="1"/>
  <c r="HD37" i="35" s="1"/>
  <c r="CM118" i="35"/>
  <c r="HF102" i="35"/>
  <c r="GH50" i="35"/>
  <c r="GV50" i="35" s="1"/>
  <c r="HD50" i="35" s="1"/>
  <c r="HH50" i="35" s="1"/>
  <c r="K37" i="19"/>
  <c r="FN37" i="35"/>
  <c r="FP37" i="35" s="1"/>
  <c r="FR37" i="35" s="1"/>
  <c r="FT37" i="35" s="1"/>
  <c r="HF145" i="35"/>
  <c r="HH145" i="35"/>
  <c r="HG145" i="35"/>
  <c r="HE145" i="35"/>
  <c r="CZ118" i="35"/>
  <c r="Y118" i="19" s="1"/>
  <c r="GQ106" i="35"/>
  <c r="CX102" i="35"/>
  <c r="W102" i="19" s="1"/>
  <c r="CK134" i="35"/>
  <c r="CS134" i="35" s="1"/>
  <c r="CM37" i="35"/>
  <c r="HG155" i="35"/>
  <c r="U145" i="19"/>
  <c r="FX136" i="35"/>
  <c r="DA118" i="35"/>
  <c r="Z118" i="19" s="1"/>
  <c r="CY37" i="35"/>
  <c r="X37" i="19" s="1"/>
  <c r="U72" i="19"/>
  <c r="GS72" i="35"/>
  <c r="GL92" i="35"/>
  <c r="GZ92" i="35" s="1"/>
  <c r="HB92" i="35" s="1"/>
  <c r="O92" i="19"/>
  <c r="CQ92" i="35"/>
  <c r="FX92" i="35"/>
  <c r="FW92" i="35"/>
  <c r="FZ92" i="35" s="1"/>
  <c r="GB92" i="35" s="1"/>
  <c r="GL9" i="35"/>
  <c r="GZ9" i="35" s="1"/>
  <c r="HB9" i="35" s="1"/>
  <c r="O9" i="19"/>
  <c r="CQ9" i="35"/>
  <c r="DA164" i="35"/>
  <c r="Z164" i="19" s="1"/>
  <c r="I151" i="19"/>
  <c r="HJ104" i="35"/>
  <c r="HJ45" i="35"/>
  <c r="V35" i="19"/>
  <c r="U35" i="19"/>
  <c r="GS35" i="35"/>
  <c r="GP15" i="35"/>
  <c r="DT212" i="35"/>
  <c r="HE12" i="35"/>
  <c r="CX116" i="35"/>
  <c r="W116" i="19" s="1"/>
  <c r="CU15" i="35"/>
  <c r="HF12" i="35"/>
  <c r="DR202" i="35"/>
  <c r="DV202" i="35" s="1"/>
  <c r="R15" i="19"/>
  <c r="HG12" i="35"/>
  <c r="DV158" i="35"/>
  <c r="CW15" i="35"/>
  <c r="V15" i="19" s="1"/>
  <c r="CK26" i="35"/>
  <c r="CZ26" i="35" s="1"/>
  <c r="Y26" i="19" s="1"/>
  <c r="CJ212" i="35"/>
  <c r="CT15" i="35"/>
  <c r="FX104" i="35"/>
  <c r="FW104" i="35"/>
  <c r="FZ104" i="35" s="1"/>
  <c r="GB104" i="35" s="1"/>
  <c r="GR35" i="35"/>
  <c r="T35" i="19"/>
  <c r="CS26" i="35"/>
  <c r="K26" i="19"/>
  <c r="GH26" i="35"/>
  <c r="GV26" i="35" s="1"/>
  <c r="HD26" i="35" s="1"/>
  <c r="HG26" i="35" s="1"/>
  <c r="CA211" i="35"/>
  <c r="R168" i="19"/>
  <c r="I26" i="19"/>
  <c r="DR195" i="35"/>
  <c r="DT195" i="35" s="1"/>
  <c r="GH178" i="35"/>
  <c r="GV178" i="35" s="1"/>
  <c r="HD178" i="35" s="1"/>
  <c r="HH178" i="35" s="1"/>
  <c r="M155" i="19"/>
  <c r="R12" i="19"/>
  <c r="FN113" i="35"/>
  <c r="K113" i="19"/>
  <c r="CM113" i="35"/>
  <c r="CY113" i="35"/>
  <c r="X113" i="19" s="1"/>
  <c r="CX113" i="35"/>
  <c r="W113" i="19" s="1"/>
  <c r="HF168" i="35"/>
  <c r="HJ129" i="35"/>
  <c r="CU12" i="35"/>
  <c r="T12" i="19" s="1"/>
  <c r="CW12" i="35"/>
  <c r="GT12" i="35" s="1"/>
  <c r="CU168" i="35"/>
  <c r="GR168" i="35" s="1"/>
  <c r="FX74" i="35"/>
  <c r="FW74" i="35"/>
  <c r="FZ74" i="35" s="1"/>
  <c r="GB74" i="35" s="1"/>
  <c r="GL74" i="35"/>
  <c r="GZ74" i="35" s="1"/>
  <c r="HB74" i="35" s="1"/>
  <c r="CQ74" i="35"/>
  <c r="O74" i="19"/>
  <c r="GP12" i="35"/>
  <c r="FW35" i="35"/>
  <c r="FZ35" i="35" s="1"/>
  <c r="GB35" i="35" s="1"/>
  <c r="FX35" i="35"/>
  <c r="K178" i="19"/>
  <c r="FX71" i="35"/>
  <c r="CV12" i="35"/>
  <c r="U12" i="19" s="1"/>
  <c r="HE168" i="35"/>
  <c r="CM178" i="35"/>
  <c r="GJ178" i="35" s="1"/>
  <c r="GX178" i="35" s="1"/>
  <c r="CY178" i="35"/>
  <c r="X178" i="19" s="1"/>
  <c r="CZ180" i="35"/>
  <c r="Y180" i="19" s="1"/>
  <c r="GH180" i="35"/>
  <c r="GV180" i="35" s="1"/>
  <c r="HD180" i="35" s="1"/>
  <c r="HG180" i="35" s="1"/>
  <c r="GQ12" i="35"/>
  <c r="GQ79" i="35"/>
  <c r="I119" i="19"/>
  <c r="HJ145" i="35"/>
  <c r="CK115" i="35"/>
  <c r="CT134" i="35"/>
  <c r="R134" i="19"/>
  <c r="HF113" i="35"/>
  <c r="HE113" i="35"/>
  <c r="CY93" i="35"/>
  <c r="X93" i="19" s="1"/>
  <c r="DA116" i="35"/>
  <c r="Z116" i="19" s="1"/>
  <c r="CZ50" i="35"/>
  <c r="Y50" i="19" s="1"/>
  <c r="CT140" i="35"/>
  <c r="CV140" i="35"/>
  <c r="CU140" i="35"/>
  <c r="R140" i="19"/>
  <c r="CW140" i="35"/>
  <c r="GP140" i="35"/>
  <c r="CI152" i="35"/>
  <c r="CJ152" i="35"/>
  <c r="GQ22" i="35"/>
  <c r="S22" i="19"/>
  <c r="V22" i="19"/>
  <c r="GT22" i="35"/>
  <c r="FV140" i="35"/>
  <c r="FP140" i="35"/>
  <c r="FR140" i="35" s="1"/>
  <c r="FT140" i="35" s="1"/>
  <c r="V9" i="19"/>
  <c r="GT9" i="35"/>
  <c r="HE140" i="35"/>
  <c r="HF140" i="35"/>
  <c r="HG140" i="35"/>
  <c r="HH140" i="35"/>
  <c r="U9" i="19"/>
  <c r="GS9" i="35"/>
  <c r="CF176" i="35"/>
  <c r="CG176" i="35" s="1"/>
  <c r="CJ176" i="35" s="1"/>
  <c r="DA50" i="35"/>
  <c r="Z50" i="19" s="1"/>
  <c r="T22" i="19"/>
  <c r="GR22" i="35"/>
  <c r="Q67" i="19"/>
  <c r="AC67" i="19" s="1"/>
  <c r="HH27" i="35"/>
  <c r="CK16" i="35"/>
  <c r="CS16" i="35" s="1"/>
  <c r="CT16" i="35" s="1"/>
  <c r="S16" i="19" s="1"/>
  <c r="I134" i="19"/>
  <c r="K50" i="19"/>
  <c r="HG15" i="35"/>
  <c r="T9" i="19"/>
  <c r="GR9" i="35"/>
  <c r="M139" i="19"/>
  <c r="GJ139" i="35"/>
  <c r="GX139" i="35" s="1"/>
  <c r="CO139" i="35"/>
  <c r="FX98" i="35"/>
  <c r="FW98" i="35"/>
  <c r="FZ98" i="35" s="1"/>
  <c r="GB98" i="35" s="1"/>
  <c r="GT98" i="35"/>
  <c r="V98" i="19"/>
  <c r="CS50" i="35"/>
  <c r="CU50" i="35" s="1"/>
  <c r="T50" i="19" s="1"/>
  <c r="CY50" i="35"/>
  <c r="X50" i="19" s="1"/>
  <c r="DA137" i="35"/>
  <c r="Z137" i="19" s="1"/>
  <c r="FV155" i="35"/>
  <c r="FX155" i="35" s="1"/>
  <c r="CM137" i="35"/>
  <c r="CO137" i="35" s="1"/>
  <c r="GL137" i="35" s="1"/>
  <c r="GZ137" i="35" s="1"/>
  <c r="HB137" i="35" s="1"/>
  <c r="DR206" i="35"/>
  <c r="DV206" i="35" s="1"/>
  <c r="HG27" i="35"/>
  <c r="HG113" i="35"/>
  <c r="GH93" i="35"/>
  <c r="GV93" i="35" s="1"/>
  <c r="HD93" i="35" s="1"/>
  <c r="HH93" i="35" s="1"/>
  <c r="H152" i="19"/>
  <c r="CS116" i="35"/>
  <c r="CU116" i="35" s="1"/>
  <c r="GR116" i="35" s="1"/>
  <c r="CZ116" i="35"/>
  <c r="Y116" i="19" s="1"/>
  <c r="H195" i="19"/>
  <c r="HF15" i="35"/>
  <c r="CW101" i="35"/>
  <c r="R101" i="19"/>
  <c r="CV101" i="35"/>
  <c r="CT101" i="35"/>
  <c r="CU101" i="35"/>
  <c r="GP101" i="35"/>
  <c r="U22" i="19"/>
  <c r="GS22" i="35"/>
  <c r="Q72" i="19"/>
  <c r="AC72" i="19" s="1"/>
  <c r="GN72" i="35"/>
  <c r="HJ72" i="35" s="1"/>
  <c r="T98" i="19"/>
  <c r="GR98" i="35"/>
  <c r="U139" i="19"/>
  <c r="I122" i="19"/>
  <c r="HF139" i="35"/>
  <c r="HH139" i="35"/>
  <c r="HE139" i="35"/>
  <c r="HG139" i="35"/>
  <c r="S9" i="19"/>
  <c r="GQ9" i="35"/>
  <c r="FX22" i="35"/>
  <c r="FW22" i="35"/>
  <c r="FZ22" i="35" s="1"/>
  <c r="GB22" i="35" s="1"/>
  <c r="S98" i="19"/>
  <c r="GQ98" i="35"/>
  <c r="FN116" i="35"/>
  <c r="FV116" i="35" s="1"/>
  <c r="FW116" i="35" s="1"/>
  <c r="FZ116" i="35" s="1"/>
  <c r="GB116" i="35" s="1"/>
  <c r="U98" i="19"/>
  <c r="GS98" i="35"/>
  <c r="FP102" i="35"/>
  <c r="FR102" i="35" s="1"/>
  <c r="FT102" i="35" s="1"/>
  <c r="CV137" i="35"/>
  <c r="U137" i="19" s="1"/>
  <c r="CU113" i="35"/>
  <c r="GR113" i="35" s="1"/>
  <c r="K93" i="19"/>
  <c r="I65" i="19"/>
  <c r="HE15" i="35"/>
  <c r="HE101" i="35"/>
  <c r="HG101" i="35"/>
  <c r="HH101" i="35"/>
  <c r="HF101" i="35"/>
  <c r="M140" i="19"/>
  <c r="CO140" i="35"/>
  <c r="GJ140" i="35"/>
  <c r="GX140" i="35" s="1"/>
  <c r="CO155" i="35"/>
  <c r="O155" i="19" s="1"/>
  <c r="GL168" i="35"/>
  <c r="GZ168" i="35" s="1"/>
  <c r="HB168" i="35" s="1"/>
  <c r="GR139" i="35"/>
  <c r="FX180" i="35"/>
  <c r="GH10" i="35"/>
  <c r="GV10" i="35" s="1"/>
  <c r="HD10" i="35" s="1"/>
  <c r="HE10" i="35" s="1"/>
  <c r="K116" i="19"/>
  <c r="FV139" i="35"/>
  <c r="FW139" i="35" s="1"/>
  <c r="FZ139" i="35" s="1"/>
  <c r="GB139" i="35" s="1"/>
  <c r="M101" i="19"/>
  <c r="CO101" i="35"/>
  <c r="GJ101" i="35"/>
  <c r="GX101" i="35" s="1"/>
  <c r="CT137" i="35"/>
  <c r="GQ137" i="35" s="1"/>
  <c r="CJ206" i="35"/>
  <c r="I206" i="19" s="1"/>
  <c r="CZ178" i="35"/>
  <c r="Y178" i="19" s="1"/>
  <c r="GQ139" i="35"/>
  <c r="FN93" i="35"/>
  <c r="FP93" i="35" s="1"/>
  <c r="FR93" i="35" s="1"/>
  <c r="FT93" i="35" s="1"/>
  <c r="CM93" i="35"/>
  <c r="CO93" i="35" s="1"/>
  <c r="O93" i="19" s="1"/>
  <c r="CJ195" i="35"/>
  <c r="I195" i="19" s="1"/>
  <c r="DA10" i="35"/>
  <c r="Z10" i="19" s="1"/>
  <c r="DR152" i="35"/>
  <c r="DT152" i="35" s="1"/>
  <c r="DV93" i="35"/>
  <c r="CQ98" i="35"/>
  <c r="O98" i="19"/>
  <c r="GL98" i="35"/>
  <c r="GZ98" i="35" s="1"/>
  <c r="HB98" i="35" s="1"/>
  <c r="CZ58" i="35"/>
  <c r="Y58" i="19" s="1"/>
  <c r="GH58" i="35"/>
  <c r="GV58" i="35" s="1"/>
  <c r="HD58" i="35" s="1"/>
  <c r="CM58" i="35"/>
  <c r="DA58" i="35"/>
  <c r="Z58" i="19" s="1"/>
  <c r="CY58" i="35"/>
  <c r="X58" i="19" s="1"/>
  <c r="CX58" i="35"/>
  <c r="W58" i="19" s="1"/>
  <c r="K58" i="19"/>
  <c r="FN58" i="35"/>
  <c r="CS58" i="35"/>
  <c r="GR90" i="35"/>
  <c r="T90" i="19"/>
  <c r="DA134" i="35"/>
  <c r="Z134" i="19" s="1"/>
  <c r="FW90" i="35"/>
  <c r="FZ90" i="35" s="1"/>
  <c r="GB90" i="35" s="1"/>
  <c r="FX90" i="35"/>
  <c r="CV149" i="35"/>
  <c r="CU149" i="35"/>
  <c r="GP149" i="35"/>
  <c r="CT149" i="35"/>
  <c r="R149" i="19"/>
  <c r="CW149" i="35"/>
  <c r="GQ90" i="35"/>
  <c r="S90" i="19"/>
  <c r="U90" i="19"/>
  <c r="GS90" i="35"/>
  <c r="GP134" i="35"/>
  <c r="CV134" i="35"/>
  <c r="GS134" i="35" s="1"/>
  <c r="J69" i="19"/>
  <c r="CK69" i="35"/>
  <c r="HF73" i="35"/>
  <c r="DA178" i="35"/>
  <c r="Z178" i="19" s="1"/>
  <c r="HG73" i="35"/>
  <c r="GL90" i="35"/>
  <c r="GZ90" i="35" s="1"/>
  <c r="HB90" i="35" s="1"/>
  <c r="O90" i="19"/>
  <c r="CQ90" i="35"/>
  <c r="CY134" i="35"/>
  <c r="X134" i="19" s="1"/>
  <c r="CU134" i="35"/>
  <c r="GR134" i="35" s="1"/>
  <c r="CS178" i="35"/>
  <c r="GP178" i="35" s="1"/>
  <c r="HH73" i="35"/>
  <c r="CM116" i="35"/>
  <c r="CO116" i="35" s="1"/>
  <c r="GL116" i="35" s="1"/>
  <c r="GZ116" i="35" s="1"/>
  <c r="HB116" i="35" s="1"/>
  <c r="CM134" i="35"/>
  <c r="GJ134" i="35" s="1"/>
  <c r="GX134" i="35" s="1"/>
  <c r="CS28" i="35"/>
  <c r="GP28" i="35" s="1"/>
  <c r="CF190" i="35"/>
  <c r="CG190" i="35" s="1"/>
  <c r="CI190" i="35" s="1"/>
  <c r="FV149" i="35"/>
  <c r="FP149" i="35"/>
  <c r="FR149" i="35" s="1"/>
  <c r="DC112" i="35"/>
  <c r="CH112" i="35"/>
  <c r="HH149" i="35"/>
  <c r="HF149" i="35"/>
  <c r="HG149" i="35"/>
  <c r="HE149" i="35"/>
  <c r="M149" i="19"/>
  <c r="CO149" i="35"/>
  <c r="GJ149" i="35"/>
  <c r="GX149" i="35" s="1"/>
  <c r="GT90" i="35"/>
  <c r="V90" i="19"/>
  <c r="CH196" i="35"/>
  <c r="J196" i="19" s="1"/>
  <c r="DC196" i="35"/>
  <c r="DR217" i="35"/>
  <c r="H217" i="19"/>
  <c r="EW217" i="35"/>
  <c r="CI217" i="35"/>
  <c r="CJ217" i="35"/>
  <c r="CH176" i="35"/>
  <c r="J176" i="19" s="1"/>
  <c r="DC176" i="35"/>
  <c r="CH190" i="35"/>
  <c r="J190" i="19" s="1"/>
  <c r="DC190" i="35"/>
  <c r="CI211" i="35"/>
  <c r="DR211" i="35"/>
  <c r="DT211" i="35" s="1"/>
  <c r="H211" i="19"/>
  <c r="CJ211" i="35"/>
  <c r="GL107" i="35"/>
  <c r="GZ107" i="35" s="1"/>
  <c r="HB107" i="35" s="1"/>
  <c r="CQ107" i="35"/>
  <c r="O107" i="19"/>
  <c r="DV68" i="35"/>
  <c r="DT68" i="35"/>
  <c r="GQ8" i="35"/>
  <c r="S8" i="19"/>
  <c r="CX28" i="35"/>
  <c r="W28" i="19" s="1"/>
  <c r="FW8" i="35"/>
  <c r="FZ8" i="35" s="1"/>
  <c r="GB8" i="35" s="1"/>
  <c r="FX8" i="35"/>
  <c r="GH99" i="35"/>
  <c r="GV99" i="35" s="1"/>
  <c r="HD99" i="35" s="1"/>
  <c r="CS99" i="35"/>
  <c r="FN99" i="35"/>
  <c r="CX99" i="35"/>
  <c r="W99" i="19" s="1"/>
  <c r="CZ99" i="35"/>
  <c r="Y99" i="19" s="1"/>
  <c r="CM99" i="35"/>
  <c r="K99" i="19"/>
  <c r="DA99" i="35"/>
  <c r="Z99" i="19" s="1"/>
  <c r="CY99" i="35"/>
  <c r="X99" i="19" s="1"/>
  <c r="HG148" i="35"/>
  <c r="HE148" i="35"/>
  <c r="HH148" i="35"/>
  <c r="HF148" i="35"/>
  <c r="CH151" i="35"/>
  <c r="DC151" i="35"/>
  <c r="CF196" i="35"/>
  <c r="CG196" i="35" s="1"/>
  <c r="CJ196" i="35" s="1"/>
  <c r="CM46" i="35"/>
  <c r="CO46" i="35" s="1"/>
  <c r="GL46" i="35" s="1"/>
  <c r="GZ46" i="35" s="1"/>
  <c r="HB46" i="35" s="1"/>
  <c r="CK128" i="35"/>
  <c r="I128" i="19"/>
  <c r="K46" i="19"/>
  <c r="V63" i="19"/>
  <c r="GT63" i="35"/>
  <c r="DT128" i="35"/>
  <c r="DV128" i="35"/>
  <c r="GN79" i="35"/>
  <c r="HJ79" i="35" s="1"/>
  <c r="Q79" i="19"/>
  <c r="AC79" i="19" s="1"/>
  <c r="GT11" i="35"/>
  <c r="V11" i="19"/>
  <c r="J61" i="19"/>
  <c r="CK61" i="35"/>
  <c r="FX85" i="35"/>
  <c r="FW85" i="35"/>
  <c r="FZ85" i="35" s="1"/>
  <c r="GB85" i="35" s="1"/>
  <c r="DT115" i="35"/>
  <c r="DV115" i="35"/>
  <c r="FV160" i="35"/>
  <c r="FP160" i="35"/>
  <c r="FR160" i="35" s="1"/>
  <c r="FT160" i="35" s="1"/>
  <c r="O96" i="19"/>
  <c r="GL96" i="35"/>
  <c r="GZ96" i="35" s="1"/>
  <c r="HB96" i="35" s="1"/>
  <c r="CQ96" i="35"/>
  <c r="GL88" i="35"/>
  <c r="GZ88" i="35" s="1"/>
  <c r="HB88" i="35" s="1"/>
  <c r="O88" i="19"/>
  <c r="CQ88" i="35"/>
  <c r="FX11" i="35"/>
  <c r="FW11" i="35"/>
  <c r="FZ11" i="35" s="1"/>
  <c r="GB11" i="35" s="1"/>
  <c r="J120" i="19"/>
  <c r="CK120" i="35"/>
  <c r="CT102" i="35"/>
  <c r="S102" i="19" s="1"/>
  <c r="CI212" i="35"/>
  <c r="I212" i="19" s="1"/>
  <c r="GH46" i="35"/>
  <c r="GV46" i="35" s="1"/>
  <c r="HD46" i="35" s="1"/>
  <c r="HH46" i="35" s="1"/>
  <c r="CK122" i="35"/>
  <c r="CY122" i="35" s="1"/>
  <c r="X122" i="19" s="1"/>
  <c r="FN26" i="35"/>
  <c r="FV26" i="35" s="1"/>
  <c r="FX26" i="35" s="1"/>
  <c r="CZ28" i="35"/>
  <c r="Y28" i="19" s="1"/>
  <c r="HH28" i="35"/>
  <c r="CX180" i="35"/>
  <c r="W180" i="19" s="1"/>
  <c r="BY173" i="35"/>
  <c r="BZ173" i="35" s="1"/>
  <c r="CF173" i="35" s="1"/>
  <c r="CG173" i="35" s="1"/>
  <c r="GQ157" i="35"/>
  <c r="BY171" i="35"/>
  <c r="BZ171" i="35" s="1"/>
  <c r="CA171" i="35" s="1"/>
  <c r="DC171" i="35" s="1"/>
  <c r="H202" i="19"/>
  <c r="CA217" i="35"/>
  <c r="DC217" i="35" s="1"/>
  <c r="T63" i="19"/>
  <c r="GR63" i="35"/>
  <c r="FW123" i="35"/>
  <c r="FZ123" i="35" s="1"/>
  <c r="GB123" i="35" s="1"/>
  <c r="FX123" i="35"/>
  <c r="CF210" i="35"/>
  <c r="CG210" i="35" s="1"/>
  <c r="J55" i="19"/>
  <c r="CK55" i="35"/>
  <c r="EW146" i="35"/>
  <c r="H146" i="19"/>
  <c r="CI146" i="35"/>
  <c r="DR146" i="35"/>
  <c r="CJ146" i="35"/>
  <c r="FW63" i="35"/>
  <c r="FZ63" i="35" s="1"/>
  <c r="GB63" i="35" s="1"/>
  <c r="FX63" i="35"/>
  <c r="CK68" i="35"/>
  <c r="I68" i="19"/>
  <c r="J95" i="19"/>
  <c r="CK95" i="35"/>
  <c r="CH158" i="35"/>
  <c r="DC158" i="35"/>
  <c r="CY28" i="35"/>
  <c r="X28" i="19" s="1"/>
  <c r="U63" i="19"/>
  <c r="GS63" i="35"/>
  <c r="V88" i="19"/>
  <c r="GT88" i="35"/>
  <c r="DA46" i="35"/>
  <c r="Z46" i="19" s="1"/>
  <c r="BY189" i="35"/>
  <c r="BZ189" i="35" s="1"/>
  <c r="CF189" i="35" s="1"/>
  <c r="CG189" i="35" s="1"/>
  <c r="CJ189" i="35" s="1"/>
  <c r="H212" i="19"/>
  <c r="CH210" i="35"/>
  <c r="J210" i="19" s="1"/>
  <c r="CM26" i="35"/>
  <c r="M26" i="19" s="1"/>
  <c r="CX26" i="35"/>
  <c r="W26" i="19" s="1"/>
  <c r="HF28" i="35"/>
  <c r="FP15" i="35"/>
  <c r="FR15" i="35" s="1"/>
  <c r="FT15" i="35" s="1"/>
  <c r="Q41" i="19"/>
  <c r="AC41" i="19" s="1"/>
  <c r="GN41" i="35"/>
  <c r="HJ41" i="35" s="1"/>
  <c r="GS8" i="35"/>
  <c r="U8" i="19"/>
  <c r="S11" i="19"/>
  <c r="GQ11" i="35"/>
  <c r="I115" i="19"/>
  <c r="GL63" i="35"/>
  <c r="GZ63" i="35" s="1"/>
  <c r="HB63" i="35" s="1"/>
  <c r="O63" i="19"/>
  <c r="CQ63" i="35"/>
  <c r="GS96" i="35"/>
  <c r="U96" i="19"/>
  <c r="J21" i="19"/>
  <c r="CK21" i="35"/>
  <c r="T88" i="19"/>
  <c r="GR88" i="35"/>
  <c r="BY208" i="35"/>
  <c r="BZ208" i="35" s="1"/>
  <c r="CA208" i="35" s="1"/>
  <c r="S63" i="19"/>
  <c r="GQ63" i="35"/>
  <c r="CW160" i="35"/>
  <c r="CU160" i="35"/>
  <c r="CT160" i="35"/>
  <c r="R160" i="19"/>
  <c r="CV160" i="35"/>
  <c r="GP160" i="35"/>
  <c r="BY186" i="35"/>
  <c r="BZ186" i="35" s="1"/>
  <c r="CA186" i="35" s="1"/>
  <c r="T150" i="19"/>
  <c r="GR150" i="35"/>
  <c r="HG28" i="35"/>
  <c r="CZ46" i="35"/>
  <c r="Y46" i="19" s="1"/>
  <c r="CI202" i="35"/>
  <c r="I202" i="19" s="1"/>
  <c r="GS11" i="35"/>
  <c r="U11" i="19"/>
  <c r="CY26" i="35"/>
  <c r="X26" i="19" s="1"/>
  <c r="DA28" i="35"/>
  <c r="Z28" i="19" s="1"/>
  <c r="CY180" i="35"/>
  <c r="X180" i="19" s="1"/>
  <c r="U150" i="19"/>
  <c r="GS150" i="35"/>
  <c r="V8" i="19"/>
  <c r="GT8" i="35"/>
  <c r="U123" i="19"/>
  <c r="GS123" i="35"/>
  <c r="CQ150" i="35"/>
  <c r="GL150" i="35"/>
  <c r="GZ150" i="35" s="1"/>
  <c r="HB150" i="35" s="1"/>
  <c r="O150" i="19"/>
  <c r="GJ148" i="35"/>
  <c r="GX148" i="35" s="1"/>
  <c r="CO148" i="35"/>
  <c r="M148" i="19"/>
  <c r="FX88" i="35"/>
  <c r="FW88" i="35"/>
  <c r="FZ88" i="35" s="1"/>
  <c r="GB88" i="35" s="1"/>
  <c r="CQ8" i="35"/>
  <c r="O8" i="19"/>
  <c r="GL8" i="35"/>
  <c r="GZ8" i="35" s="1"/>
  <c r="HB8" i="35" s="1"/>
  <c r="CK38" i="35"/>
  <c r="FW79" i="35"/>
  <c r="FZ79" i="35" s="1"/>
  <c r="GB79" i="35" s="1"/>
  <c r="FX79" i="35"/>
  <c r="GT96" i="35"/>
  <c r="V96" i="19"/>
  <c r="K127" i="19"/>
  <c r="CY127" i="35"/>
  <c r="X127" i="19" s="1"/>
  <c r="CS127" i="35"/>
  <c r="GH127" i="35"/>
  <c r="GV127" i="35" s="1"/>
  <c r="HD127" i="35" s="1"/>
  <c r="CM127" i="35"/>
  <c r="FN127" i="35"/>
  <c r="CX127" i="35"/>
  <c r="W127" i="19" s="1"/>
  <c r="CZ127" i="35"/>
  <c r="Y127" i="19" s="1"/>
  <c r="DA127" i="35"/>
  <c r="Z127" i="19" s="1"/>
  <c r="V85" i="19"/>
  <c r="GT85" i="35"/>
  <c r="M160" i="19"/>
  <c r="CO160" i="35"/>
  <c r="GJ160" i="35"/>
  <c r="GX160" i="35" s="1"/>
  <c r="FX96" i="35"/>
  <c r="FW96" i="35"/>
  <c r="FZ96" i="35" s="1"/>
  <c r="GB96" i="35" s="1"/>
  <c r="GS85" i="35"/>
  <c r="U85" i="19"/>
  <c r="CK159" i="35"/>
  <c r="FN28" i="35"/>
  <c r="FP28" i="35" s="1"/>
  <c r="FR28" i="35" s="1"/>
  <c r="FT28" i="35" s="1"/>
  <c r="CA212" i="35"/>
  <c r="GL123" i="35"/>
  <c r="GZ123" i="35" s="1"/>
  <c r="HB123" i="35" s="1"/>
  <c r="O123" i="19"/>
  <c r="CQ123" i="35"/>
  <c r="V123" i="19"/>
  <c r="GT123" i="35"/>
  <c r="J42" i="19"/>
  <c r="CK42" i="35"/>
  <c r="FP148" i="35"/>
  <c r="FR148" i="35" s="1"/>
  <c r="FT148" i="35" s="1"/>
  <c r="FV148" i="35"/>
  <c r="GQ96" i="35"/>
  <c r="S96" i="19"/>
  <c r="HH160" i="35"/>
  <c r="HE160" i="35"/>
  <c r="HF160" i="35"/>
  <c r="HG160" i="35"/>
  <c r="FW168" i="35"/>
  <c r="FZ168" i="35" s="1"/>
  <c r="GB168" i="35" s="1"/>
  <c r="HF116" i="35"/>
  <c r="K28" i="19"/>
  <c r="CS180" i="35"/>
  <c r="CW180" i="35" s="1"/>
  <c r="GT180" i="35" s="1"/>
  <c r="CM28" i="35"/>
  <c r="M28" i="19" s="1"/>
  <c r="FP180" i="35"/>
  <c r="FR180" i="35" s="1"/>
  <c r="FT180" i="35" s="1"/>
  <c r="BY183" i="35"/>
  <c r="BZ183" i="35" s="1"/>
  <c r="CA183" i="35" s="1"/>
  <c r="BY165" i="35"/>
  <c r="BZ165" i="35" s="1"/>
  <c r="CA165" i="35" s="1"/>
  <c r="S150" i="19"/>
  <c r="GQ150" i="35"/>
  <c r="GR8" i="35"/>
  <c r="T8" i="19"/>
  <c r="S123" i="19"/>
  <c r="GQ123" i="35"/>
  <c r="T11" i="19"/>
  <c r="GR11" i="35"/>
  <c r="S88" i="19"/>
  <c r="GQ88" i="35"/>
  <c r="CW148" i="35"/>
  <c r="CU148" i="35"/>
  <c r="GP148" i="35"/>
  <c r="CT148" i="35"/>
  <c r="R148" i="19"/>
  <c r="CV148" i="35"/>
  <c r="T96" i="19"/>
  <c r="GR96" i="35"/>
  <c r="GL85" i="35"/>
  <c r="GZ85" i="35" s="1"/>
  <c r="HB85" i="35" s="1"/>
  <c r="O85" i="19"/>
  <c r="CQ85" i="35"/>
  <c r="CQ11" i="35"/>
  <c r="O11" i="19"/>
  <c r="GL11" i="35"/>
  <c r="GZ11" i="35" s="1"/>
  <c r="HB11" i="35" s="1"/>
  <c r="DT119" i="35"/>
  <c r="DV119" i="35"/>
  <c r="GQ85" i="35"/>
  <c r="S85" i="19"/>
  <c r="U88" i="19"/>
  <c r="GS88" i="35"/>
  <c r="J91" i="19"/>
  <c r="CK91" i="35"/>
  <c r="DV122" i="35"/>
  <c r="CM188" i="35"/>
  <c r="CO188" i="35" s="1"/>
  <c r="CQ188" i="35" s="1"/>
  <c r="CS46" i="35"/>
  <c r="R46" i="19" s="1"/>
  <c r="FV37" i="35"/>
  <c r="FW37" i="35" s="1"/>
  <c r="FZ37" i="35" s="1"/>
  <c r="GB37" i="35" s="1"/>
  <c r="DA26" i="35"/>
  <c r="Z26" i="19" s="1"/>
  <c r="FV12" i="35"/>
  <c r="FX12" i="35" s="1"/>
  <c r="K180" i="19"/>
  <c r="CM180" i="35"/>
  <c r="GJ180" i="35" s="1"/>
  <c r="GX180" i="35" s="1"/>
  <c r="BY174" i="35"/>
  <c r="BZ174" i="35" s="1"/>
  <c r="CF174" i="35" s="1"/>
  <c r="CG174" i="35" s="1"/>
  <c r="CK49" i="35"/>
  <c r="GH49" i="35" s="1"/>
  <c r="GV49" i="35" s="1"/>
  <c r="HD49" i="35" s="1"/>
  <c r="HH49" i="35" s="1"/>
  <c r="V150" i="19"/>
  <c r="GT150" i="35"/>
  <c r="GR123" i="35"/>
  <c r="T123" i="19"/>
  <c r="T85" i="19"/>
  <c r="GR85" i="35"/>
  <c r="FW150" i="35"/>
  <c r="FZ150" i="35" s="1"/>
  <c r="GB150" i="35" s="1"/>
  <c r="FX150" i="35"/>
  <c r="DC219" i="35"/>
  <c r="CH219" i="35"/>
  <c r="J219" i="19" s="1"/>
  <c r="CK119" i="35"/>
  <c r="CF125" i="35"/>
  <c r="CG125" i="35" s="1"/>
  <c r="CA125" i="35"/>
  <c r="S15" i="19"/>
  <c r="GQ15" i="35"/>
  <c r="CQ15" i="35"/>
  <c r="GL15" i="35"/>
  <c r="GZ15" i="35" s="1"/>
  <c r="HB15" i="35" s="1"/>
  <c r="O15" i="19"/>
  <c r="T15" i="19"/>
  <c r="GR15" i="35"/>
  <c r="U15" i="19"/>
  <c r="GS15" i="35"/>
  <c r="FW15" i="35"/>
  <c r="FZ15" i="35" s="1"/>
  <c r="GB15" i="35" s="1"/>
  <c r="FX15" i="35"/>
  <c r="CV102" i="35"/>
  <c r="U102" i="19" s="1"/>
  <c r="CW134" i="35"/>
  <c r="V134" i="19" s="1"/>
  <c r="CX134" i="35"/>
  <c r="W134" i="19" s="1"/>
  <c r="CK65" i="35"/>
  <c r="GH65" i="35" s="1"/>
  <c r="GV65" i="35" s="1"/>
  <c r="HD65" i="35" s="1"/>
  <c r="HH65" i="35" s="1"/>
  <c r="FN134" i="35"/>
  <c r="FV134" i="35" s="1"/>
  <c r="FW134" i="35" s="1"/>
  <c r="FZ134" i="35" s="1"/>
  <c r="GB134" i="35" s="1"/>
  <c r="CQ27" i="35"/>
  <c r="GN27" i="35" s="1"/>
  <c r="GS157" i="35"/>
  <c r="DV195" i="35"/>
  <c r="CW102" i="35"/>
  <c r="GT102" i="35" s="1"/>
  <c r="K134" i="19"/>
  <c r="GJ168" i="35"/>
  <c r="GX168" i="35" s="1"/>
  <c r="GR50" i="35"/>
  <c r="CZ134" i="35"/>
  <c r="Y134" i="19" s="1"/>
  <c r="CW168" i="35"/>
  <c r="V168" i="19" s="1"/>
  <c r="GH134" i="35"/>
  <c r="GV134" i="35" s="1"/>
  <c r="HD134" i="35" s="1"/>
  <c r="HE134" i="35" s="1"/>
  <c r="GL27" i="35"/>
  <c r="GZ27" i="35" s="1"/>
  <c r="HB27" i="35" s="1"/>
  <c r="M168" i="19"/>
  <c r="CQ168" i="35"/>
  <c r="GN168" i="35" s="1"/>
  <c r="HJ168" i="35" s="1"/>
  <c r="CT168" i="35"/>
  <c r="S168" i="19" s="1"/>
  <c r="CX164" i="35"/>
  <c r="W164" i="19" s="1"/>
  <c r="M27" i="19"/>
  <c r="CX82" i="35"/>
  <c r="W82" i="19" s="1"/>
  <c r="DA82" i="35"/>
  <c r="Z82" i="19" s="1"/>
  <c r="CV168" i="35"/>
  <c r="CY82" i="35"/>
  <c r="X82" i="19" s="1"/>
  <c r="GL157" i="35"/>
  <c r="GZ157" i="35" s="1"/>
  <c r="HB157" i="35" s="1"/>
  <c r="HJ157" i="35" s="1"/>
  <c r="CW50" i="35"/>
  <c r="V50" i="19" s="1"/>
  <c r="FN178" i="35"/>
  <c r="FV178" i="35" s="1"/>
  <c r="FX139" i="35"/>
  <c r="CZ164" i="35"/>
  <c r="Y164" i="19" s="1"/>
  <c r="GH164" i="35"/>
  <c r="GV164" i="35" s="1"/>
  <c r="HD164" i="35" s="1"/>
  <c r="HF164" i="35" s="1"/>
  <c r="Q157" i="19"/>
  <c r="AC157" i="19" s="1"/>
  <c r="CS82" i="35"/>
  <c r="R82" i="19" s="1"/>
  <c r="CZ82" i="35"/>
  <c r="Y82" i="19" s="1"/>
  <c r="FN82" i="35"/>
  <c r="FV82" i="35" s="1"/>
  <c r="FX82" i="35" s="1"/>
  <c r="K164" i="19"/>
  <c r="FN164" i="35"/>
  <c r="FP164" i="35" s="1"/>
  <c r="FR164" i="35" s="1"/>
  <c r="FT164" i="35" s="1"/>
  <c r="CZ187" i="35"/>
  <c r="Y187" i="19" s="1"/>
  <c r="GH82" i="35"/>
  <c r="GV82" i="35" s="1"/>
  <c r="HD82" i="35" s="1"/>
  <c r="HG82" i="35" s="1"/>
  <c r="HE116" i="35"/>
  <c r="CM82" i="35"/>
  <c r="GJ82" i="35" s="1"/>
  <c r="GX82" i="35" s="1"/>
  <c r="HF27" i="35"/>
  <c r="HG116" i="35"/>
  <c r="CS164" i="35"/>
  <c r="CV164" i="35" s="1"/>
  <c r="U164" i="19" s="1"/>
  <c r="CS170" i="35"/>
  <c r="CV170" i="35" s="1"/>
  <c r="U170" i="19" s="1"/>
  <c r="GH187" i="35"/>
  <c r="GV187" i="35" s="1"/>
  <c r="HD187" i="35" s="1"/>
  <c r="HG187" i="35" s="1"/>
  <c r="O157" i="19"/>
  <c r="CT50" i="35"/>
  <c r="GQ50" i="35" s="1"/>
  <c r="FN188" i="35"/>
  <c r="FP188" i="35" s="1"/>
  <c r="FR188" i="35" s="1"/>
  <c r="FT188" i="35" s="1"/>
  <c r="HH168" i="35"/>
  <c r="FW101" i="35"/>
  <c r="FZ101" i="35" s="1"/>
  <c r="GB101" i="35" s="1"/>
  <c r="CW10" i="35"/>
  <c r="GT10" i="35" s="1"/>
  <c r="DA16" i="35"/>
  <c r="Z16" i="19" s="1"/>
  <c r="CS187" i="35"/>
  <c r="CU187" i="35" s="1"/>
  <c r="T187" i="19" s="1"/>
  <c r="CM170" i="35"/>
  <c r="M170" i="19" s="1"/>
  <c r="R27" i="19"/>
  <c r="CV27" i="35"/>
  <c r="GS27" i="35" s="1"/>
  <c r="K170" i="19"/>
  <c r="CW27" i="35"/>
  <c r="GT27" i="35" s="1"/>
  <c r="FN170" i="35"/>
  <c r="FP170" i="35" s="1"/>
  <c r="FR170" i="35" s="1"/>
  <c r="FT170" i="35" s="1"/>
  <c r="GL102" i="35"/>
  <c r="GZ102" i="35" s="1"/>
  <c r="HB102" i="35" s="1"/>
  <c r="HJ102" i="35" s="1"/>
  <c r="CV50" i="35"/>
  <c r="U50" i="19" s="1"/>
  <c r="GQ16" i="35"/>
  <c r="GJ102" i="35"/>
  <c r="GX102" i="35" s="1"/>
  <c r="GR27" i="35"/>
  <c r="DA170" i="35"/>
  <c r="Z170" i="19" s="1"/>
  <c r="CY187" i="35"/>
  <c r="X187" i="19" s="1"/>
  <c r="GP27" i="35"/>
  <c r="GL136" i="35"/>
  <c r="GZ136" i="35" s="1"/>
  <c r="HB136" i="35" s="1"/>
  <c r="FV50" i="35"/>
  <c r="FX50" i="35" s="1"/>
  <c r="GP50" i="35"/>
  <c r="GR102" i="35"/>
  <c r="GJ27" i="35"/>
  <c r="GX27" i="35" s="1"/>
  <c r="DA188" i="35"/>
  <c r="Z188" i="19" s="1"/>
  <c r="GP116" i="35"/>
  <c r="CY170" i="35"/>
  <c r="X170" i="19" s="1"/>
  <c r="CX170" i="35"/>
  <c r="W170" i="19" s="1"/>
  <c r="CT116" i="35"/>
  <c r="GQ116" i="35" s="1"/>
  <c r="GH170" i="35"/>
  <c r="GV170" i="35" s="1"/>
  <c r="HD170" i="35" s="1"/>
  <c r="HG170" i="35" s="1"/>
  <c r="CM187" i="35"/>
  <c r="M187" i="19" s="1"/>
  <c r="GN25" i="35"/>
  <c r="HJ25" i="35" s="1"/>
  <c r="Q25" i="19"/>
  <c r="AC25" i="19" s="1"/>
  <c r="FN187" i="35"/>
  <c r="FP187" i="35" s="1"/>
  <c r="FR187" i="35" s="1"/>
  <c r="O136" i="19"/>
  <c r="CT27" i="35"/>
  <c r="S27" i="19" s="1"/>
  <c r="R50" i="19"/>
  <c r="V108" i="19"/>
  <c r="GP102" i="35"/>
  <c r="FP168" i="35"/>
  <c r="FR168" i="35" s="1"/>
  <c r="FT168" i="35" s="1"/>
  <c r="R116" i="19"/>
  <c r="DA187" i="35"/>
  <c r="Z187" i="19" s="1"/>
  <c r="K187" i="19"/>
  <c r="M50" i="19"/>
  <c r="GJ50" i="35"/>
  <c r="GX50" i="35" s="1"/>
  <c r="CO50" i="35"/>
  <c r="V73" i="19"/>
  <c r="GT73" i="35"/>
  <c r="GL73" i="35"/>
  <c r="GZ73" i="35" s="1"/>
  <c r="HB73" i="35" s="1"/>
  <c r="O73" i="19"/>
  <c r="CQ73" i="35"/>
  <c r="CU16" i="35"/>
  <c r="T16" i="19" s="1"/>
  <c r="O102" i="19"/>
  <c r="H196" i="19"/>
  <c r="V12" i="19"/>
  <c r="DV84" i="35"/>
  <c r="FX73" i="35"/>
  <c r="FW73" i="35"/>
  <c r="FZ73" i="35" s="1"/>
  <c r="GB73" i="35" s="1"/>
  <c r="GS73" i="35"/>
  <c r="U73" i="19"/>
  <c r="Q102" i="19"/>
  <c r="AC102" i="19" s="1"/>
  <c r="GR157" i="35"/>
  <c r="EW176" i="35"/>
  <c r="T73" i="19"/>
  <c r="GR73" i="35"/>
  <c r="GS12" i="35"/>
  <c r="R102" i="19"/>
  <c r="GT157" i="35"/>
  <c r="FX102" i="35"/>
  <c r="M102" i="19"/>
  <c r="FX157" i="35"/>
  <c r="S73" i="19"/>
  <c r="GQ73" i="35"/>
  <c r="CS19" i="35"/>
  <c r="GH19" i="35"/>
  <c r="GV19" i="35" s="1"/>
  <c r="HD19" i="35" s="1"/>
  <c r="FN19" i="35"/>
  <c r="CX19" i="35"/>
  <c r="W19" i="19" s="1"/>
  <c r="CY19" i="35"/>
  <c r="X19" i="19" s="1"/>
  <c r="CS169" i="35"/>
  <c r="CT169" i="35" s="1"/>
  <c r="S169" i="19" s="1"/>
  <c r="HE26" i="35"/>
  <c r="HH10" i="35"/>
  <c r="GH169" i="35"/>
  <c r="GV169" i="35" s="1"/>
  <c r="HD169" i="35" s="1"/>
  <c r="HE169" i="35" s="1"/>
  <c r="HH26" i="35"/>
  <c r="M10" i="19"/>
  <c r="CW93" i="35"/>
  <c r="GT93" i="35" s="1"/>
  <c r="CU93" i="35"/>
  <c r="GR93" i="35" s="1"/>
  <c r="CZ19" i="35"/>
  <c r="Y19" i="19" s="1"/>
  <c r="K19" i="19"/>
  <c r="CV16" i="35"/>
  <c r="GS16" i="35" s="1"/>
  <c r="R93" i="19"/>
  <c r="CM19" i="35"/>
  <c r="FV161" i="35"/>
  <c r="FW161" i="35" s="1"/>
  <c r="FZ161" i="35" s="1"/>
  <c r="GB161" i="35" s="1"/>
  <c r="HG57" i="35"/>
  <c r="CM161" i="35"/>
  <c r="CO161" i="35" s="1"/>
  <c r="CY161" i="35"/>
  <c r="X161" i="19" s="1"/>
  <c r="CX161" i="35"/>
  <c r="W161" i="19" s="1"/>
  <c r="CO57" i="35"/>
  <c r="GL57" i="35" s="1"/>
  <c r="GZ57" i="35" s="1"/>
  <c r="HB57" i="35" s="1"/>
  <c r="I219" i="19"/>
  <c r="FP118" i="35"/>
  <c r="FR118" i="35" s="1"/>
  <c r="FT118" i="35" s="1"/>
  <c r="FV118" i="35"/>
  <c r="M167" i="19"/>
  <c r="CM80" i="35"/>
  <c r="K80" i="19"/>
  <c r="DA80" i="35"/>
  <c r="Z80" i="19" s="1"/>
  <c r="CY80" i="35"/>
  <c r="X80" i="19" s="1"/>
  <c r="CX80" i="35"/>
  <c r="W80" i="19" s="1"/>
  <c r="CZ80" i="35"/>
  <c r="Y80" i="19" s="1"/>
  <c r="CS80" i="35"/>
  <c r="FN80" i="35"/>
  <c r="GH80" i="35"/>
  <c r="GV80" i="35" s="1"/>
  <c r="HD80" i="35" s="1"/>
  <c r="GP10" i="35"/>
  <c r="CX94" i="35"/>
  <c r="W94" i="19" s="1"/>
  <c r="CY94" i="35"/>
  <c r="X94" i="19" s="1"/>
  <c r="FN94" i="35"/>
  <c r="CS94" i="35"/>
  <c r="GH94" i="35"/>
  <c r="GV94" i="35" s="1"/>
  <c r="HD94" i="35" s="1"/>
  <c r="K94" i="19"/>
  <c r="DA94" i="35"/>
  <c r="Z94" i="19" s="1"/>
  <c r="CZ94" i="35"/>
  <c r="Y94" i="19" s="1"/>
  <c r="CM94" i="35"/>
  <c r="CX169" i="35"/>
  <c r="W169" i="19" s="1"/>
  <c r="CZ169" i="35"/>
  <c r="Y169" i="19" s="1"/>
  <c r="CM169" i="35"/>
  <c r="FN169" i="35"/>
  <c r="K169" i="19"/>
  <c r="DA169" i="35"/>
  <c r="Z169" i="19" s="1"/>
  <c r="O167" i="19"/>
  <c r="HH57" i="35"/>
  <c r="BW251" i="35"/>
  <c r="GP17" i="35"/>
  <c r="HE93" i="35"/>
  <c r="BW226" i="35"/>
  <c r="CT10" i="35"/>
  <c r="S10" i="19" s="1"/>
  <c r="GT57" i="35"/>
  <c r="CT93" i="35"/>
  <c r="S93" i="19" s="1"/>
  <c r="K188" i="19"/>
  <c r="GH188" i="35"/>
  <c r="GV188" i="35" s="1"/>
  <c r="HD188" i="35" s="1"/>
  <c r="HF188" i="35" s="1"/>
  <c r="CY188" i="35"/>
  <c r="X188" i="19" s="1"/>
  <c r="K52" i="19"/>
  <c r="CS52" i="35"/>
  <c r="CZ52" i="35"/>
  <c r="Y52" i="19" s="1"/>
  <c r="CX52" i="35"/>
  <c r="W52" i="19" s="1"/>
  <c r="FN52" i="35"/>
  <c r="DA52" i="35"/>
  <c r="Z52" i="19" s="1"/>
  <c r="GH52" i="35"/>
  <c r="GV52" i="35" s="1"/>
  <c r="HD52" i="35" s="1"/>
  <c r="CY52" i="35"/>
  <c r="X52" i="19" s="1"/>
  <c r="CM52" i="35"/>
  <c r="CV10" i="35"/>
  <c r="U10" i="19" s="1"/>
  <c r="FV10" i="35"/>
  <c r="FX10" i="35" s="1"/>
  <c r="CF183" i="35"/>
  <c r="CG183" i="35" s="1"/>
  <c r="CI183" i="35" s="1"/>
  <c r="CW163" i="35"/>
  <c r="V163" i="19" s="1"/>
  <c r="GN154" i="35"/>
  <c r="HJ154" i="35" s="1"/>
  <c r="Q154" i="19"/>
  <c r="AC154" i="19" s="1"/>
  <c r="CT76" i="35"/>
  <c r="GQ76" i="35" s="1"/>
  <c r="CX188" i="35"/>
  <c r="W188" i="19" s="1"/>
  <c r="GJ167" i="35"/>
  <c r="GX167" i="35" s="1"/>
  <c r="GJ57" i="35"/>
  <c r="GX57" i="35" s="1"/>
  <c r="I143" i="19"/>
  <c r="HE163" i="35"/>
  <c r="HE118" i="35"/>
  <c r="HG118" i="35"/>
  <c r="HF118" i="35"/>
  <c r="HH118" i="35"/>
  <c r="BW184" i="35"/>
  <c r="DA115" i="35"/>
  <c r="Z115" i="19" s="1"/>
  <c r="CM115" i="35"/>
  <c r="CS115" i="35"/>
  <c r="CZ115" i="35"/>
  <c r="Y115" i="19" s="1"/>
  <c r="GH115" i="35"/>
  <c r="GV115" i="35" s="1"/>
  <c r="HD115" i="35" s="1"/>
  <c r="CX115" i="35"/>
  <c r="W115" i="19" s="1"/>
  <c r="K115" i="19"/>
  <c r="FN115" i="35"/>
  <c r="CY115" i="35"/>
  <c r="X115" i="19" s="1"/>
  <c r="CO118" i="35"/>
  <c r="M118" i="19"/>
  <c r="GJ118" i="35"/>
  <c r="GX118" i="35" s="1"/>
  <c r="HE57" i="35"/>
  <c r="GL10" i="35"/>
  <c r="GZ10" i="35" s="1"/>
  <c r="HB10" i="35" s="1"/>
  <c r="CQ10" i="35"/>
  <c r="Q64" i="19"/>
  <c r="AC64" i="19" s="1"/>
  <c r="GN64" i="35"/>
  <c r="HJ64" i="35" s="1"/>
  <c r="GS93" i="35"/>
  <c r="CS65" i="35"/>
  <c r="R65" i="19" s="1"/>
  <c r="CS188" i="35"/>
  <c r="CV188" i="35" s="1"/>
  <c r="GS188" i="35" s="1"/>
  <c r="T10" i="19"/>
  <c r="BW194" i="35"/>
  <c r="FV17" i="35"/>
  <c r="FX17" i="35" s="1"/>
  <c r="BW177" i="35"/>
  <c r="HH163" i="35"/>
  <c r="GJ10" i="35"/>
  <c r="GX10" i="35" s="1"/>
  <c r="BW215" i="35"/>
  <c r="CQ167" i="35"/>
  <c r="Q167" i="19" s="1"/>
  <c r="AC167" i="19" s="1"/>
  <c r="R10" i="19"/>
  <c r="HG10" i="35"/>
  <c r="I84" i="19"/>
  <c r="DT219" i="35"/>
  <c r="DV219" i="35"/>
  <c r="DC211" i="35"/>
  <c r="CH211" i="35"/>
  <c r="J211" i="19" s="1"/>
  <c r="R118" i="19"/>
  <c r="GP118" i="35"/>
  <c r="CT118" i="35"/>
  <c r="CU118" i="35"/>
  <c r="CV118" i="35"/>
  <c r="CW118" i="35"/>
  <c r="CK84" i="35"/>
  <c r="CZ84" i="35" s="1"/>
  <c r="Y84" i="19" s="1"/>
  <c r="DR166" i="35"/>
  <c r="DV166" i="35" s="1"/>
  <c r="DA161" i="35"/>
  <c r="Z161" i="19" s="1"/>
  <c r="CS161" i="35"/>
  <c r="CT161" i="35" s="1"/>
  <c r="FP57" i="35"/>
  <c r="FR57" i="35" s="1"/>
  <c r="FT57" i="35" s="1"/>
  <c r="CU76" i="35"/>
  <c r="T76" i="19" s="1"/>
  <c r="K161" i="19"/>
  <c r="HF26" i="35"/>
  <c r="FW57" i="35"/>
  <c r="FZ57" i="35" s="1"/>
  <c r="GB57" i="35" s="1"/>
  <c r="CZ161" i="35"/>
  <c r="Y161" i="19" s="1"/>
  <c r="GH161" i="35"/>
  <c r="GV161" i="35" s="1"/>
  <c r="HD161" i="35" s="1"/>
  <c r="HG161" i="35" s="1"/>
  <c r="GR57" i="35"/>
  <c r="HH167" i="35"/>
  <c r="HF167" i="35"/>
  <c r="HE167" i="35"/>
  <c r="CO163" i="35"/>
  <c r="GL163" i="35" s="1"/>
  <c r="GZ163" i="35" s="1"/>
  <c r="HB163" i="35" s="1"/>
  <c r="GQ57" i="35"/>
  <c r="DT162" i="35"/>
  <c r="U57" i="19"/>
  <c r="GL164" i="35"/>
  <c r="GZ164" i="35" s="1"/>
  <c r="HB164" i="35" s="1"/>
  <c r="R167" i="19"/>
  <c r="I162" i="19"/>
  <c r="GN164" i="35"/>
  <c r="CU17" i="35"/>
  <c r="T17" i="19" s="1"/>
  <c r="CU167" i="35"/>
  <c r="T167" i="19" s="1"/>
  <c r="CW17" i="35"/>
  <c r="GT17" i="35" s="1"/>
  <c r="CV17" i="35"/>
  <c r="U17" i="19" s="1"/>
  <c r="CT17" i="35"/>
  <c r="CT2" i="35" s="1"/>
  <c r="CV163" i="35"/>
  <c r="GS163" i="35" s="1"/>
  <c r="M178" i="19"/>
  <c r="HF93" i="35"/>
  <c r="CQ12" i="35"/>
  <c r="GN12" i="35" s="1"/>
  <c r="CA234" i="35"/>
  <c r="DC234" i="35" s="1"/>
  <c r="GL12" i="35"/>
  <c r="GZ12" i="35" s="1"/>
  <c r="HB12" i="35" s="1"/>
  <c r="GP93" i="35"/>
  <c r="FW167" i="35"/>
  <c r="FZ167" i="35" s="1"/>
  <c r="GB167" i="35" s="1"/>
  <c r="R187" i="19"/>
  <c r="CK162" i="35"/>
  <c r="CX162" i="35" s="1"/>
  <c r="W162" i="19" s="1"/>
  <c r="HE70" i="35"/>
  <c r="FP167" i="35"/>
  <c r="FR167" i="35" s="1"/>
  <c r="CW178" i="35"/>
  <c r="V178" i="19" s="1"/>
  <c r="CA253" i="35"/>
  <c r="DC253" i="35" s="1"/>
  <c r="CI166" i="35"/>
  <c r="I166" i="19" s="1"/>
  <c r="CT167" i="35"/>
  <c r="CW167" i="35"/>
  <c r="CV167" i="35"/>
  <c r="M163" i="19"/>
  <c r="CV205" i="35"/>
  <c r="GS205" i="35" s="1"/>
  <c r="FP26" i="35"/>
  <c r="FR26" i="35" s="1"/>
  <c r="FT26" i="35" s="1"/>
  <c r="HF163" i="35"/>
  <c r="CV76" i="35"/>
  <c r="U76" i="19" s="1"/>
  <c r="GJ164" i="35"/>
  <c r="GX164" i="35" s="1"/>
  <c r="CW76" i="35"/>
  <c r="GT76" i="35" s="1"/>
  <c r="CY205" i="35"/>
  <c r="X205" i="19" s="1"/>
  <c r="CO178" i="35"/>
  <c r="O178" i="19" s="1"/>
  <c r="M164" i="19"/>
  <c r="FN205" i="35"/>
  <c r="FV205" i="35" s="1"/>
  <c r="FX205" i="35" s="1"/>
  <c r="CO17" i="35"/>
  <c r="GL17" i="35" s="1"/>
  <c r="GZ17" i="35" s="1"/>
  <c r="HB17" i="35" s="1"/>
  <c r="O164" i="19"/>
  <c r="FX163" i="35"/>
  <c r="HF46" i="35"/>
  <c r="HG17" i="35"/>
  <c r="HF17" i="35"/>
  <c r="Q136" i="19"/>
  <c r="AC136" i="19" s="1"/>
  <c r="GN136" i="35"/>
  <c r="HE46" i="35"/>
  <c r="GR34" i="35"/>
  <c r="HJ108" i="35"/>
  <c r="HH17" i="35"/>
  <c r="GP163" i="35"/>
  <c r="H192" i="19"/>
  <c r="CU163" i="35"/>
  <c r="GR163" i="35" s="1"/>
  <c r="GR108" i="35"/>
  <c r="GR12" i="35"/>
  <c r="GS108" i="35"/>
  <c r="FP163" i="35"/>
  <c r="FR163" i="35" s="1"/>
  <c r="CT163" i="35"/>
  <c r="S163" i="19" s="1"/>
  <c r="CM205" i="35"/>
  <c r="M205" i="19" s="1"/>
  <c r="M17" i="19"/>
  <c r="CZ179" i="35"/>
  <c r="Y179" i="19" s="1"/>
  <c r="H166" i="19"/>
  <c r="FN122" i="35"/>
  <c r="FP122" i="35" s="1"/>
  <c r="FR122" i="35" s="1"/>
  <c r="FT122" i="35" s="1"/>
  <c r="GJ76" i="35"/>
  <c r="GX76" i="35" s="1"/>
  <c r="CY179" i="35"/>
  <c r="X179" i="19" s="1"/>
  <c r="CV28" i="35"/>
  <c r="GS28" i="35" s="1"/>
  <c r="CT34" i="35"/>
  <c r="S34" i="19" s="1"/>
  <c r="DV192" i="35"/>
  <c r="HG46" i="35"/>
  <c r="GP76" i="35"/>
  <c r="FX70" i="35"/>
  <c r="HH70" i="35"/>
  <c r="GH205" i="35"/>
  <c r="GV205" i="35" s="1"/>
  <c r="HD205" i="35" s="1"/>
  <c r="FP70" i="35"/>
  <c r="FR70" i="35" s="1"/>
  <c r="FT70" i="35" s="1"/>
  <c r="S110" i="19"/>
  <c r="HG70" i="35"/>
  <c r="CT188" i="35"/>
  <c r="GQ188" i="35" s="1"/>
  <c r="K205" i="19"/>
  <c r="CZ205" i="35"/>
  <c r="Y205" i="19" s="1"/>
  <c r="CX205" i="35"/>
  <c r="W205" i="19" s="1"/>
  <c r="T29" i="19"/>
  <c r="M70" i="19"/>
  <c r="CV29" i="35"/>
  <c r="GS29" i="35" s="1"/>
  <c r="CO70" i="35"/>
  <c r="O70" i="19" s="1"/>
  <c r="S108" i="19"/>
  <c r="DA205" i="35"/>
  <c r="Z205" i="19" s="1"/>
  <c r="GP66" i="35"/>
  <c r="GT70" i="35"/>
  <c r="CW66" i="35"/>
  <c r="GT66" i="35" s="1"/>
  <c r="CU66" i="35"/>
  <c r="T66" i="19" s="1"/>
  <c r="CT70" i="35"/>
  <c r="S70" i="19" s="1"/>
  <c r="GP34" i="35"/>
  <c r="GJ26" i="35"/>
  <c r="GX26" i="35" s="1"/>
  <c r="CQ34" i="35"/>
  <c r="Q34" i="19" s="1"/>
  <c r="AC34" i="19" s="1"/>
  <c r="CO26" i="35"/>
  <c r="CQ26" i="35" s="1"/>
  <c r="GN26" i="35" s="1"/>
  <c r="GL34" i="35"/>
  <c r="GZ34" i="35" s="1"/>
  <c r="HB34" i="35" s="1"/>
  <c r="FX34" i="35"/>
  <c r="FV76" i="35"/>
  <c r="FX76" i="35" s="1"/>
  <c r="CK44" i="35"/>
  <c r="CX44" i="35" s="1"/>
  <c r="W44" i="19" s="1"/>
  <c r="CU205" i="35"/>
  <c r="CW205" i="35"/>
  <c r="CT205" i="35"/>
  <c r="R205" i="19"/>
  <c r="GJ34" i="35"/>
  <c r="GX34" i="35" s="1"/>
  <c r="S113" i="19"/>
  <c r="CV34" i="35"/>
  <c r="U34" i="19" s="1"/>
  <c r="CW34" i="35"/>
  <c r="GT34" i="35" s="1"/>
  <c r="K179" i="19"/>
  <c r="M34" i="19"/>
  <c r="CO76" i="35"/>
  <c r="GL76" i="35" s="1"/>
  <c r="GZ76" i="35" s="1"/>
  <c r="HB76" i="35" s="1"/>
  <c r="FP34" i="35"/>
  <c r="FR34" i="35" s="1"/>
  <c r="FT34" i="35" s="1"/>
  <c r="R34" i="19"/>
  <c r="CS179" i="35"/>
  <c r="CW179" i="35" s="1"/>
  <c r="V179" i="19" s="1"/>
  <c r="U110" i="19"/>
  <c r="CT66" i="35"/>
  <c r="GQ66" i="35" s="1"/>
  <c r="R70" i="19"/>
  <c r="CV66" i="35"/>
  <c r="GS66" i="35" s="1"/>
  <c r="GR110" i="35"/>
  <c r="CV70" i="35"/>
  <c r="U70" i="19" s="1"/>
  <c r="CU70" i="35"/>
  <c r="GR70" i="35" s="1"/>
  <c r="FN179" i="35"/>
  <c r="FP179" i="35" s="1"/>
  <c r="FR179" i="35" s="1"/>
  <c r="CT29" i="35"/>
  <c r="GQ29" i="35" s="1"/>
  <c r="CW29" i="35"/>
  <c r="V29" i="19" s="1"/>
  <c r="R29" i="19"/>
  <c r="GP70" i="35"/>
  <c r="GP29" i="35"/>
  <c r="Q144" i="19"/>
  <c r="AC144" i="19" s="1"/>
  <c r="GN144" i="35"/>
  <c r="HJ144" i="35" s="1"/>
  <c r="BT220" i="35"/>
  <c r="BW220" i="35" s="1"/>
  <c r="BY220" i="35" s="1"/>
  <c r="BT233" i="35"/>
  <c r="BW233" i="35" s="1"/>
  <c r="BY233" i="35" s="1"/>
  <c r="BZ233" i="35" s="1"/>
  <c r="CU46" i="35"/>
  <c r="T46" i="19" s="1"/>
  <c r="HF29" i="35"/>
  <c r="GT113" i="35"/>
  <c r="HE29" i="35"/>
  <c r="HG29" i="35"/>
  <c r="EW185" i="35"/>
  <c r="EW192" i="35"/>
  <c r="M29" i="19"/>
  <c r="CJ192" i="35"/>
  <c r="O29" i="19"/>
  <c r="CI192" i="35"/>
  <c r="CQ29" i="35"/>
  <c r="Q29" i="19" s="1"/>
  <c r="AC29" i="19" s="1"/>
  <c r="FX29" i="35"/>
  <c r="HG110" i="35"/>
  <c r="HE110" i="35"/>
  <c r="FP29" i="35"/>
  <c r="FR29" i="35" s="1"/>
  <c r="FT29" i="35" s="1"/>
  <c r="HF110" i="35"/>
  <c r="GJ110" i="35"/>
  <c r="GX110" i="35" s="1"/>
  <c r="U113" i="19"/>
  <c r="GJ29" i="35"/>
  <c r="GX29" i="35" s="1"/>
  <c r="CO110" i="35"/>
  <c r="CQ110" i="35" s="1"/>
  <c r="Q110" i="19" s="1"/>
  <c r="AC110" i="19" s="1"/>
  <c r="GH131" i="35"/>
  <c r="GV131" i="35" s="1"/>
  <c r="HD131" i="35" s="1"/>
  <c r="HG131" i="35" s="1"/>
  <c r="CM131" i="35"/>
  <c r="M131" i="19" s="1"/>
  <c r="CU131" i="35"/>
  <c r="GR131" i="35" s="1"/>
  <c r="DA131" i="35"/>
  <c r="Z131" i="19" s="1"/>
  <c r="H191" i="19"/>
  <c r="FP110" i="35"/>
  <c r="FR110" i="35" s="1"/>
  <c r="FT110" i="35" s="1"/>
  <c r="GL188" i="35"/>
  <c r="GZ188" i="35" s="1"/>
  <c r="HB188" i="35" s="1"/>
  <c r="FX110" i="35"/>
  <c r="CO66" i="35"/>
  <c r="GL66" i="35" s="1"/>
  <c r="GZ66" i="35" s="1"/>
  <c r="HB66" i="35" s="1"/>
  <c r="K131" i="19"/>
  <c r="CZ131" i="35"/>
  <c r="Y131" i="19" s="1"/>
  <c r="GP131" i="35"/>
  <c r="GJ66" i="35"/>
  <c r="GX66" i="35" s="1"/>
  <c r="CM179" i="35"/>
  <c r="CI185" i="35"/>
  <c r="CJ185" i="35"/>
  <c r="CV131" i="35"/>
  <c r="GS131" i="35" s="1"/>
  <c r="CX131" i="35"/>
  <c r="W131" i="19" s="1"/>
  <c r="CT131" i="35"/>
  <c r="S131" i="19" s="1"/>
  <c r="R131" i="19"/>
  <c r="FN131" i="35"/>
  <c r="FP131" i="35" s="1"/>
  <c r="FR131" i="35" s="1"/>
  <c r="CY131" i="35"/>
  <c r="X131" i="19" s="1"/>
  <c r="J13" i="19"/>
  <c r="CK13" i="35"/>
  <c r="T155" i="19"/>
  <c r="GR155" i="35"/>
  <c r="V155" i="19"/>
  <c r="GT155" i="35"/>
  <c r="S155" i="19"/>
  <c r="GQ155" i="35"/>
  <c r="GS155" i="35"/>
  <c r="U155" i="19"/>
  <c r="DA179" i="35"/>
  <c r="Z179" i="19" s="1"/>
  <c r="GH179" i="35"/>
  <c r="GV179" i="35" s="1"/>
  <c r="HD179" i="35" s="1"/>
  <c r="CK206" i="35"/>
  <c r="CK143" i="35"/>
  <c r="GH143" i="35" s="1"/>
  <c r="GV143" i="35" s="1"/>
  <c r="HD143" i="35" s="1"/>
  <c r="HH143" i="35" s="1"/>
  <c r="HH43" i="35"/>
  <c r="HG43" i="35"/>
  <c r="HE43" i="35"/>
  <c r="T60" i="19"/>
  <c r="GR60" i="35"/>
  <c r="FV43" i="35"/>
  <c r="FP43" i="35"/>
  <c r="FR43" i="35" s="1"/>
  <c r="FT43" i="35" s="1"/>
  <c r="GQ60" i="35"/>
  <c r="S60" i="19"/>
  <c r="U60" i="19"/>
  <c r="GS60" i="35"/>
  <c r="GL60" i="35"/>
  <c r="GZ60" i="35" s="1"/>
  <c r="HB60" i="35" s="1"/>
  <c r="CQ60" i="35"/>
  <c r="O60" i="19"/>
  <c r="FX60" i="35"/>
  <c r="FW60" i="35"/>
  <c r="FZ60" i="35" s="1"/>
  <c r="GB60" i="35" s="1"/>
  <c r="GJ43" i="35"/>
  <c r="GX43" i="35" s="1"/>
  <c r="M43" i="19"/>
  <c r="CO43" i="35"/>
  <c r="CV43" i="35"/>
  <c r="CU43" i="35"/>
  <c r="GP43" i="35"/>
  <c r="CT43" i="35"/>
  <c r="R43" i="19"/>
  <c r="CW43" i="35"/>
  <c r="V60" i="19"/>
  <c r="GT60" i="35"/>
  <c r="CF224" i="35"/>
  <c r="CG224" i="35" s="1"/>
  <c r="CA224" i="35"/>
  <c r="HF66" i="35"/>
  <c r="BT221" i="35"/>
  <c r="CK197" i="35"/>
  <c r="DR185" i="35"/>
  <c r="DV185" i="35" s="1"/>
  <c r="FV66" i="35"/>
  <c r="FW66" i="35" s="1"/>
  <c r="FZ66" i="35" s="1"/>
  <c r="GB66" i="35" s="1"/>
  <c r="BT222" i="35"/>
  <c r="I207" i="19"/>
  <c r="CS51" i="35"/>
  <c r="GH51" i="35"/>
  <c r="GV51" i="35" s="1"/>
  <c r="HD51" i="35" s="1"/>
  <c r="DA51" i="35"/>
  <c r="Z51" i="19" s="1"/>
  <c r="K51" i="19"/>
  <c r="CZ51" i="35"/>
  <c r="Y51" i="19" s="1"/>
  <c r="CX51" i="35"/>
  <c r="W51" i="19" s="1"/>
  <c r="FN51" i="35"/>
  <c r="CY51" i="35"/>
  <c r="X51" i="19" s="1"/>
  <c r="CM51" i="35"/>
  <c r="BT228" i="35"/>
  <c r="BT225" i="35"/>
  <c r="Q153" i="19"/>
  <c r="AC153" i="19" s="1"/>
  <c r="GN153" i="35"/>
  <c r="HJ153" i="35" s="1"/>
  <c r="DT207" i="35"/>
  <c r="DV207" i="35"/>
  <c r="CY103" i="35"/>
  <c r="X103" i="19" s="1"/>
  <c r="FN103" i="35"/>
  <c r="CS103" i="35"/>
  <c r="GH103" i="35"/>
  <c r="GV103" i="35" s="1"/>
  <c r="HD103" i="35" s="1"/>
  <c r="DA103" i="35"/>
  <c r="Z103" i="19" s="1"/>
  <c r="CX103" i="35"/>
  <c r="W103" i="19" s="1"/>
  <c r="CZ103" i="35"/>
  <c r="Y103" i="19" s="1"/>
  <c r="CM103" i="35"/>
  <c r="K103" i="19"/>
  <c r="CI191" i="35"/>
  <c r="I191" i="19" s="1"/>
  <c r="DC191" i="35"/>
  <c r="CH191" i="35"/>
  <c r="J191" i="19" s="1"/>
  <c r="BT218" i="35"/>
  <c r="FP181" i="35"/>
  <c r="FR181" i="35" s="1"/>
  <c r="FV181" i="35"/>
  <c r="BT261" i="35"/>
  <c r="BT198" i="35"/>
  <c r="BW198" i="35" s="1"/>
  <c r="BY198" i="35" s="1"/>
  <c r="BZ198" i="35" s="1"/>
  <c r="R181" i="19"/>
  <c r="GP181" i="35"/>
  <c r="CW181" i="35"/>
  <c r="CU181" i="35"/>
  <c r="CT181" i="35"/>
  <c r="CV181" i="35"/>
  <c r="CS40" i="35"/>
  <c r="CM40" i="35"/>
  <c r="CX40" i="35"/>
  <c r="W40" i="19" s="1"/>
  <c r="DA40" i="35"/>
  <c r="Z40" i="19" s="1"/>
  <c r="K40" i="19"/>
  <c r="CY40" i="35"/>
  <c r="X40" i="19" s="1"/>
  <c r="GH40" i="35"/>
  <c r="GV40" i="35" s="1"/>
  <c r="HD40" i="35" s="1"/>
  <c r="CZ40" i="35"/>
  <c r="Y40" i="19" s="1"/>
  <c r="FN40" i="35"/>
  <c r="CF237" i="35"/>
  <c r="CG237" i="35" s="1"/>
  <c r="CA237" i="35"/>
  <c r="J207" i="19"/>
  <c r="CK207" i="35"/>
  <c r="BT203" i="35"/>
  <c r="BT209" i="35"/>
  <c r="CA248" i="35"/>
  <c r="CF248" i="35"/>
  <c r="CG248" i="35" s="1"/>
  <c r="Q100" i="19"/>
  <c r="AC100" i="19" s="1"/>
  <c r="GN100" i="35"/>
  <c r="HJ100" i="35" s="1"/>
  <c r="DT197" i="35"/>
  <c r="DV197" i="35"/>
  <c r="CZ23" i="35"/>
  <c r="Y23" i="19" s="1"/>
  <c r="K23" i="19"/>
  <c r="CS23" i="35"/>
  <c r="CY23" i="35"/>
  <c r="X23" i="19" s="1"/>
  <c r="CX23" i="35"/>
  <c r="W23" i="19" s="1"/>
  <c r="CM23" i="35"/>
  <c r="GH23" i="35"/>
  <c r="GV23" i="35" s="1"/>
  <c r="HD23" i="35" s="1"/>
  <c r="FN23" i="35"/>
  <c r="DA23" i="35"/>
  <c r="Z23" i="19" s="1"/>
  <c r="EW191" i="35"/>
  <c r="HH66" i="35"/>
  <c r="BT254" i="35"/>
  <c r="BW254" i="35" s="1"/>
  <c r="BY254" i="35" s="1"/>
  <c r="BZ254" i="35" s="1"/>
  <c r="CO175" i="35"/>
  <c r="GJ175" i="35"/>
  <c r="GX175" i="35" s="1"/>
  <c r="M175" i="19"/>
  <c r="CH192" i="35"/>
  <c r="J192" i="19" s="1"/>
  <c r="DC192" i="35"/>
  <c r="CZ182" i="35"/>
  <c r="Y182" i="19" s="1"/>
  <c r="DA182" i="35"/>
  <c r="Z182" i="19" s="1"/>
  <c r="K182" i="19"/>
  <c r="CM182" i="35"/>
  <c r="CS182" i="35"/>
  <c r="CX182" i="35"/>
  <c r="W182" i="19" s="1"/>
  <c r="GH182" i="35"/>
  <c r="GV182" i="35" s="1"/>
  <c r="HD182" i="35" s="1"/>
  <c r="CY182" i="35"/>
  <c r="X182" i="19" s="1"/>
  <c r="FN182" i="35"/>
  <c r="DR191" i="35"/>
  <c r="DV191" i="35" s="1"/>
  <c r="BT214" i="35"/>
  <c r="BT199" i="35"/>
  <c r="CH185" i="35"/>
  <c r="J185" i="19" s="1"/>
  <c r="DC185" i="35"/>
  <c r="HF181" i="35"/>
  <c r="HG181" i="35"/>
  <c r="HE181" i="35"/>
  <c r="HH181" i="35"/>
  <c r="DT206" i="35"/>
  <c r="CF193" i="35"/>
  <c r="CG193" i="35" s="1"/>
  <c r="CA193" i="35"/>
  <c r="DA24" i="35"/>
  <c r="Z24" i="19" s="1"/>
  <c r="CS24" i="35"/>
  <c r="CY24" i="35"/>
  <c r="X24" i="19" s="1"/>
  <c r="CM24" i="35"/>
  <c r="K24" i="19"/>
  <c r="CZ24" i="35"/>
  <c r="Y24" i="19" s="1"/>
  <c r="CX24" i="35"/>
  <c r="W24" i="19" s="1"/>
  <c r="GH24" i="35"/>
  <c r="GV24" i="35" s="1"/>
  <c r="HD24" i="35" s="1"/>
  <c r="FN24" i="35"/>
  <c r="BT216" i="35"/>
  <c r="BT277" i="35"/>
  <c r="GN133" i="35"/>
  <c r="HJ133" i="35" s="1"/>
  <c r="Q133" i="19"/>
  <c r="AC133" i="19" s="1"/>
  <c r="HG175" i="35"/>
  <c r="HH175" i="35"/>
  <c r="HE175" i="35"/>
  <c r="HF175" i="35"/>
  <c r="CF229" i="35"/>
  <c r="CG229" i="35" s="1"/>
  <c r="CA229" i="35"/>
  <c r="FV175" i="35"/>
  <c r="FP175" i="35"/>
  <c r="FR175" i="35" s="1"/>
  <c r="HG66" i="35"/>
  <c r="BT201" i="35"/>
  <c r="BT213" i="35"/>
  <c r="M181" i="19"/>
  <c r="GJ181" i="35"/>
  <c r="GX181" i="35" s="1"/>
  <c r="CO181" i="35"/>
  <c r="I197" i="19"/>
  <c r="GP175" i="35"/>
  <c r="CV175" i="35"/>
  <c r="CW175" i="35"/>
  <c r="CT175" i="35"/>
  <c r="R175" i="19"/>
  <c r="CU175" i="35"/>
  <c r="HH172" i="35"/>
  <c r="HF172" i="35"/>
  <c r="HE172" i="35"/>
  <c r="HG172" i="35"/>
  <c r="Q141" i="19"/>
  <c r="AC141" i="19" s="1"/>
  <c r="GN141" i="35"/>
  <c r="HJ141" i="35" s="1"/>
  <c r="CF234" i="35"/>
  <c r="CG234" i="35" s="1"/>
  <c r="FP172" i="35"/>
  <c r="FR172" i="35" s="1"/>
  <c r="FT172" i="35" s="1"/>
  <c r="FV172" i="35"/>
  <c r="GJ172" i="35"/>
  <c r="GX172" i="35" s="1"/>
  <c r="CO172" i="35"/>
  <c r="M172" i="19"/>
  <c r="CW172" i="35"/>
  <c r="GP172" i="35"/>
  <c r="CT172" i="35"/>
  <c r="CV172" i="35"/>
  <c r="R172" i="19"/>
  <c r="CU172" i="35"/>
  <c r="BR278" i="35"/>
  <c r="BR274" i="35"/>
  <c r="BR260" i="35"/>
  <c r="BR204" i="35"/>
  <c r="BR200" i="35"/>
  <c r="BR236" i="35"/>
  <c r="BR267" i="35"/>
  <c r="BR258" i="35"/>
  <c r="BR282" i="35"/>
  <c r="BR256" i="35"/>
  <c r="BR266" i="35"/>
  <c r="BR255" i="35"/>
  <c r="BR268" i="35"/>
  <c r="BR227" i="35"/>
  <c r="BR271" i="35"/>
  <c r="BR264" i="35"/>
  <c r="BR273" i="35"/>
  <c r="BR252" i="35"/>
  <c r="FX137" i="35"/>
  <c r="FP137" i="35"/>
  <c r="FR137" i="35" s="1"/>
  <c r="S137" i="19"/>
  <c r="GT137" i="35"/>
  <c r="HF137" i="35"/>
  <c r="HE137" i="35"/>
  <c r="HG137" i="35"/>
  <c r="HH137" i="35"/>
  <c r="GT131" i="35"/>
  <c r="BL241" i="35"/>
  <c r="BN241" i="35" s="1"/>
  <c r="BP241" i="35" s="1"/>
  <c r="BL223" i="35"/>
  <c r="BN223" i="35" s="1"/>
  <c r="BP223" i="35" s="1"/>
  <c r="BL230" i="35"/>
  <c r="BN230" i="35" s="1"/>
  <c r="BP230" i="35" s="1"/>
  <c r="BL272" i="35"/>
  <c r="BN272" i="35" s="1"/>
  <c r="BP272" i="35" s="1"/>
  <c r="BL263" i="35"/>
  <c r="BN263" i="35" s="1"/>
  <c r="BP263" i="35" s="1"/>
  <c r="HG7" i="35"/>
  <c r="HH7" i="35"/>
  <c r="HF7" i="35"/>
  <c r="HE7" i="35"/>
  <c r="CT7" i="35"/>
  <c r="CU7" i="35"/>
  <c r="CV7" i="35"/>
  <c r="GP7" i="35"/>
  <c r="CW7" i="35"/>
  <c r="R7" i="19"/>
  <c r="FV7" i="35"/>
  <c r="FP7" i="35"/>
  <c r="FR7" i="35" s="1"/>
  <c r="FT7" i="35" s="1"/>
  <c r="M7" i="19"/>
  <c r="GJ7" i="35"/>
  <c r="GX7" i="35" s="1"/>
  <c r="CO7" i="35"/>
  <c r="BJ238" i="35"/>
  <c r="BJ247" i="35"/>
  <c r="BL247" i="35" s="1"/>
  <c r="BN247" i="35" s="1"/>
  <c r="BP247" i="35" s="1"/>
  <c r="BJ244" i="35"/>
  <c r="BL244" i="35" s="1"/>
  <c r="BN244" i="35" s="1"/>
  <c r="BP244" i="35" s="1"/>
  <c r="BJ240" i="35"/>
  <c r="BL240" i="35" s="1"/>
  <c r="BN240" i="35" s="1"/>
  <c r="BP240" i="35" s="1"/>
  <c r="BJ243" i="35"/>
  <c r="BL243" i="35" s="1"/>
  <c r="BN243" i="35" s="1"/>
  <c r="BP243" i="35" s="1"/>
  <c r="BJ246" i="35"/>
  <c r="BL246" i="35" s="1"/>
  <c r="BN246" i="35" s="1"/>
  <c r="BP246" i="35" s="1"/>
  <c r="BJ245" i="35"/>
  <c r="BL245" i="35" s="1"/>
  <c r="BN245" i="35" s="1"/>
  <c r="BP245" i="35" s="1"/>
  <c r="BJ235" i="35"/>
  <c r="BL235" i="35" s="1"/>
  <c r="BN235" i="35" s="1"/>
  <c r="BP235" i="35" s="1"/>
  <c r="BJ232" i="35"/>
  <c r="BL232" i="35" s="1"/>
  <c r="BN232" i="35" s="1"/>
  <c r="BP232" i="35" s="1"/>
  <c r="BJ231" i="35"/>
  <c r="BL231" i="35" s="1"/>
  <c r="BN231" i="35" s="1"/>
  <c r="BP231" i="35" s="1"/>
  <c r="BJ249" i="35"/>
  <c r="BL249" i="35" s="1"/>
  <c r="BN249" i="35" s="1"/>
  <c r="BP249" i="35" s="1"/>
  <c r="BH262" i="35"/>
  <c r="BJ262" i="35" s="1"/>
  <c r="BH257" i="35"/>
  <c r="BH242" i="35"/>
  <c r="BH250" i="35"/>
  <c r="BH239" i="35"/>
  <c r="BF265" i="35"/>
  <c r="BF276" i="35"/>
  <c r="BF279" i="35"/>
  <c r="BF284" i="35"/>
  <c r="BF259" i="35"/>
  <c r="BF275" i="35"/>
  <c r="BF280" i="35"/>
  <c r="BF270" i="35"/>
  <c r="BD283" i="35"/>
  <c r="BD285" i="35"/>
  <c r="BD281" i="35"/>
  <c r="BF281" i="35" s="1"/>
  <c r="BH281" i="35" s="1"/>
  <c r="BJ281" i="35" s="1"/>
  <c r="BD299" i="35"/>
  <c r="BA291" i="35"/>
  <c r="BA306" i="35"/>
  <c r="BA305" i="35"/>
  <c r="BD305" i="35" s="1"/>
  <c r="BF305" i="35" s="1"/>
  <c r="BH305" i="35" s="1"/>
  <c r="BJ305" i="35" s="1"/>
  <c r="BA287" i="35"/>
  <c r="BA310" i="35"/>
  <c r="BD310" i="35" s="1"/>
  <c r="BF310" i="35" s="1"/>
  <c r="BH310" i="35" s="1"/>
  <c r="BJ310" i="35" s="1"/>
  <c r="BA308" i="35"/>
  <c r="BA312" i="35"/>
  <c r="BD312" i="35" s="1"/>
  <c r="BF312" i="35" s="1"/>
  <c r="BH312" i="35" s="1"/>
  <c r="BJ312" i="35" s="1"/>
  <c r="BA292" i="35"/>
  <c r="BA309" i="35"/>
  <c r="BA295" i="35"/>
  <c r="BA293" i="35"/>
  <c r="BD293" i="35" s="1"/>
  <c r="BF293" i="35" s="1"/>
  <c r="BH293" i="35" s="1"/>
  <c r="BJ293" i="35" s="1"/>
  <c r="BA294" i="35"/>
  <c r="BA315" i="35"/>
  <c r="BA316" i="35"/>
  <c r="BA303" i="35"/>
  <c r="BD303" i="35" s="1"/>
  <c r="BF303" i="35" s="1"/>
  <c r="BH303" i="35" s="1"/>
  <c r="BJ303" i="35" s="1"/>
  <c r="BA314" i="35"/>
  <c r="BD314" i="35" s="1"/>
  <c r="BF314" i="35" s="1"/>
  <c r="BH314" i="35" s="1"/>
  <c r="BJ314" i="35" s="1"/>
  <c r="BA311" i="35"/>
  <c r="BD311" i="35" s="1"/>
  <c r="BF311" i="35" s="1"/>
  <c r="BH311" i="35" s="1"/>
  <c r="BJ311" i="35" s="1"/>
  <c r="BA300" i="35"/>
  <c r="BD300" i="35" s="1"/>
  <c r="BF300" i="35" s="1"/>
  <c r="BH300" i="35" s="1"/>
  <c r="BJ300" i="35" s="1"/>
  <c r="BA302" i="35"/>
  <c r="BD302" i="35" s="1"/>
  <c r="BF302" i="35" s="1"/>
  <c r="BH302" i="35" s="1"/>
  <c r="BJ302" i="35" s="1"/>
  <c r="BA288" i="35"/>
  <c r="BD288" i="35" s="1"/>
  <c r="BF288" i="35" s="1"/>
  <c r="BH288" i="35" s="1"/>
  <c r="BJ288" i="35" s="1"/>
  <c r="BA289" i="35"/>
  <c r="BD289" i="35" s="1"/>
  <c r="BF289" i="35" s="1"/>
  <c r="BH289" i="35" s="1"/>
  <c r="BJ289" i="35" s="1"/>
  <c r="BA313" i="35"/>
  <c r="BD313" i="35" s="1"/>
  <c r="BF313" i="35" s="1"/>
  <c r="BH313" i="35" s="1"/>
  <c r="BJ313" i="35" s="1"/>
  <c r="BA307" i="35"/>
  <c r="BA304" i="35"/>
  <c r="BA296" i="35"/>
  <c r="BA290" i="35"/>
  <c r="AZ297" i="35"/>
  <c r="AZ298" i="35"/>
  <c r="AZ301" i="35"/>
  <c r="AZ286" i="35"/>
  <c r="AX328" i="35"/>
  <c r="AX333" i="35"/>
  <c r="AX337" i="35"/>
  <c r="AX340" i="35"/>
  <c r="AX322" i="35"/>
  <c r="AX326" i="35"/>
  <c r="AX345" i="35"/>
  <c r="AX330" i="35"/>
  <c r="AX329" i="35"/>
  <c r="AX338" i="35"/>
  <c r="AX346" i="35"/>
  <c r="AX332" i="35"/>
  <c r="AX321" i="35"/>
  <c r="AX334" i="35"/>
  <c r="AX323" i="35"/>
  <c r="AX344" i="35"/>
  <c r="AX339" i="35"/>
  <c r="AV333" i="35"/>
  <c r="DP333" i="35" s="1"/>
  <c r="AV324" i="35"/>
  <c r="DP324" i="35" s="1"/>
  <c r="AX318" i="35"/>
  <c r="AX341" i="35"/>
  <c r="AX325" i="35"/>
  <c r="AX336" i="35"/>
  <c r="AZ336" i="35" s="1"/>
  <c r="AX317" i="35"/>
  <c r="AZ317" i="35" s="1"/>
  <c r="AX343" i="35"/>
  <c r="AZ343" i="35" s="1"/>
  <c r="AX324" i="35"/>
  <c r="AW327" i="35"/>
  <c r="AW331" i="35"/>
  <c r="AW335" i="35"/>
  <c r="AW319" i="35"/>
  <c r="AW320" i="35"/>
  <c r="AW342" i="35"/>
  <c r="DP316" i="35"/>
  <c r="AV339" i="35"/>
  <c r="DO339" i="35" s="1"/>
  <c r="DN339" i="35" s="1"/>
  <c r="AV330" i="35"/>
  <c r="DP330" i="35" s="1"/>
  <c r="AV322" i="35"/>
  <c r="DO322" i="35" s="1"/>
  <c r="DN322" i="35" s="1"/>
  <c r="AV344" i="35"/>
  <c r="DP344" i="35" s="1"/>
  <c r="AV341" i="35"/>
  <c r="DP341" i="35" s="1"/>
  <c r="AV340" i="35"/>
  <c r="DO340" i="35" s="1"/>
  <c r="DN340" i="35" s="1"/>
  <c r="AV334" i="35"/>
  <c r="DP334" i="35" s="1"/>
  <c r="AV336" i="35"/>
  <c r="DP336" i="35" s="1"/>
  <c r="DB347" i="35"/>
  <c r="AV343" i="35"/>
  <c r="DO343" i="35" s="1"/>
  <c r="DN343" i="35" s="1"/>
  <c r="AV328" i="35"/>
  <c r="DP328" i="35" s="1"/>
  <c r="AV337" i="35"/>
  <c r="DO337" i="35" s="1"/>
  <c r="DN337" i="35" s="1"/>
  <c r="AV321" i="35"/>
  <c r="DO321" i="35" s="1"/>
  <c r="DN321" i="35" s="1"/>
  <c r="AV345" i="35"/>
  <c r="DO345" i="35" s="1"/>
  <c r="DN345" i="35" s="1"/>
  <c r="AV332" i="35"/>
  <c r="DP332" i="35" s="1"/>
  <c r="AV329" i="35"/>
  <c r="DP329" i="35" s="1"/>
  <c r="AV317" i="35"/>
  <c r="DP317" i="35" s="1"/>
  <c r="AV325" i="35"/>
  <c r="DO325" i="35" s="1"/>
  <c r="DN325" i="35" s="1"/>
  <c r="AV346" i="35"/>
  <c r="DO346" i="35" s="1"/>
  <c r="DN346" i="35" s="1"/>
  <c r="AV326" i="35"/>
  <c r="DO326" i="35" s="1"/>
  <c r="DN326" i="35" s="1"/>
  <c r="AV338" i="35"/>
  <c r="DO338" i="35" s="1"/>
  <c r="DN338" i="35" s="1"/>
  <c r="AV323" i="35"/>
  <c r="DP323" i="35" s="1"/>
  <c r="AS347" i="35"/>
  <c r="AU347" i="35"/>
  <c r="AW347" i="35" s="1"/>
  <c r="AV318" i="35"/>
  <c r="DP318" i="35" s="1"/>
  <c r="AT372" i="35"/>
  <c r="AT365" i="35"/>
  <c r="AT351" i="35"/>
  <c r="AT355" i="35"/>
  <c r="AT370" i="35"/>
  <c r="AT371" i="35"/>
  <c r="AT350" i="35"/>
  <c r="AT358" i="35"/>
  <c r="AT373" i="35"/>
  <c r="AT357" i="35"/>
  <c r="AT367" i="35"/>
  <c r="AT364" i="35"/>
  <c r="AT374" i="35"/>
  <c r="AT366" i="35"/>
  <c r="AT348" i="35"/>
  <c r="AT375" i="35"/>
  <c r="AT356" i="35"/>
  <c r="AT349" i="35"/>
  <c r="AT369" i="35"/>
  <c r="AT359" i="35"/>
  <c r="AT363" i="35"/>
  <c r="AT352" i="35"/>
  <c r="AT360" i="35"/>
  <c r="AT362" i="35"/>
  <c r="AT377" i="35"/>
  <c r="AT368" i="35"/>
  <c r="AT361" i="35"/>
  <c r="AT376" i="35"/>
  <c r="AT353" i="35"/>
  <c r="AT354" i="35"/>
  <c r="M68" i="5"/>
  <c r="K68" i="5"/>
  <c r="M69" i="5"/>
  <c r="K69" i="5"/>
  <c r="M72" i="5"/>
  <c r="K72" i="5"/>
  <c r="M70" i="5"/>
  <c r="K70" i="5"/>
  <c r="M71" i="5"/>
  <c r="K71" i="5"/>
  <c r="FT117" i="35"/>
  <c r="B58" i="37"/>
  <c r="AS21" i="37"/>
  <c r="DP342" i="35"/>
  <c r="DO331" i="35"/>
  <c r="DN331" i="35" s="1"/>
  <c r="DO320" i="35"/>
  <c r="DN320" i="35" s="1"/>
  <c r="DO327" i="35"/>
  <c r="DN327" i="35" s="1"/>
  <c r="AI378" i="35"/>
  <c r="AJ378" i="35" s="1"/>
  <c r="AJ379" i="35" s="1"/>
  <c r="DP319" i="35"/>
  <c r="DO319" i="35"/>
  <c r="DN319" i="35" s="1"/>
  <c r="DP335" i="35"/>
  <c r="DO335" i="35"/>
  <c r="DN335" i="35" s="1"/>
  <c r="AA19" i="24"/>
  <c r="M76" i="24" s="1"/>
  <c r="M75" i="24" s="1"/>
  <c r="Y19" i="24"/>
  <c r="M72" i="23"/>
  <c r="K72" i="23"/>
  <c r="M55" i="23"/>
  <c r="K55" i="23"/>
  <c r="M54" i="23"/>
  <c r="K54" i="23"/>
  <c r="M53" i="23"/>
  <c r="K53" i="23"/>
  <c r="D42" i="23"/>
  <c r="D41" i="23"/>
  <c r="D40" i="23"/>
  <c r="D39" i="23"/>
  <c r="N9" i="23"/>
  <c r="M17" i="23"/>
  <c r="GP37" i="35" l="1"/>
  <c r="R37" i="19"/>
  <c r="CW37" i="35"/>
  <c r="CV37" i="35"/>
  <c r="CT37" i="35"/>
  <c r="CU37" i="35"/>
  <c r="U16" i="19"/>
  <c r="HG178" i="35"/>
  <c r="GP180" i="35"/>
  <c r="HF180" i="35"/>
  <c r="HE180" i="35"/>
  <c r="DT202" i="35"/>
  <c r="HF50" i="35"/>
  <c r="M116" i="19"/>
  <c r="M37" i="19"/>
  <c r="CO37" i="35"/>
  <c r="GJ37" i="35"/>
  <c r="GX37" i="35" s="1"/>
  <c r="GP16" i="35"/>
  <c r="CW16" i="35"/>
  <c r="V16" i="19" s="1"/>
  <c r="CX16" i="35"/>
  <c r="W16" i="19" s="1"/>
  <c r="V102" i="19"/>
  <c r="FV46" i="35"/>
  <c r="FX46" i="35" s="1"/>
  <c r="CW116" i="35"/>
  <c r="V116" i="19" s="1"/>
  <c r="CZ16" i="35"/>
  <c r="Y16" i="19" s="1"/>
  <c r="O116" i="19"/>
  <c r="CM16" i="35"/>
  <c r="M16" i="19" s="1"/>
  <c r="CO82" i="35"/>
  <c r="GL82" i="35" s="1"/>
  <c r="GZ82" i="35" s="1"/>
  <c r="HB82" i="35" s="1"/>
  <c r="K16" i="19"/>
  <c r="T116" i="19"/>
  <c r="EW190" i="35"/>
  <c r="CV116" i="35"/>
  <c r="GS116" i="35" s="1"/>
  <c r="T168" i="19"/>
  <c r="V145" i="19"/>
  <c r="GT145" i="35"/>
  <c r="CY16" i="35"/>
  <c r="X16" i="19" s="1"/>
  <c r="FN16" i="35"/>
  <c r="CI189" i="35"/>
  <c r="I189" i="19" s="1"/>
  <c r="HH180" i="35"/>
  <c r="HF10" i="35"/>
  <c r="R16" i="19"/>
  <c r="CF165" i="35"/>
  <c r="CG165" i="35" s="1"/>
  <c r="CJ165" i="35" s="1"/>
  <c r="GH16" i="35"/>
  <c r="GV16" i="35" s="1"/>
  <c r="HD16" i="35" s="1"/>
  <c r="HG50" i="35"/>
  <c r="HE50" i="35"/>
  <c r="HH37" i="35"/>
  <c r="HG37" i="35"/>
  <c r="HF37" i="35"/>
  <c r="HE37" i="35"/>
  <c r="GN92" i="35"/>
  <c r="HJ92" i="35" s="1"/>
  <c r="Q92" i="19"/>
  <c r="AC92" i="19" s="1"/>
  <c r="Q9" i="19"/>
  <c r="AC9" i="19" s="1"/>
  <c r="GN9" i="35"/>
  <c r="HJ9" i="35" s="1"/>
  <c r="U27" i="19"/>
  <c r="CZ122" i="35"/>
  <c r="Y122" i="19" s="1"/>
  <c r="CO16" i="35"/>
  <c r="O16" i="19" s="1"/>
  <c r="H190" i="19"/>
  <c r="CW164" i="35"/>
  <c r="V164" i="19" s="1"/>
  <c r="CX122" i="35"/>
  <c r="W122" i="19" s="1"/>
  <c r="HE164" i="35"/>
  <c r="CK195" i="35"/>
  <c r="CY195" i="35" s="1"/>
  <c r="X195" i="19" s="1"/>
  <c r="CK202" i="35"/>
  <c r="FN202" i="35" s="1"/>
  <c r="FP202" i="35" s="1"/>
  <c r="FR202" i="35" s="1"/>
  <c r="FT202" i="35" s="1"/>
  <c r="GH122" i="35"/>
  <c r="GV122" i="35" s="1"/>
  <c r="HD122" i="35" s="1"/>
  <c r="HE122" i="35" s="1"/>
  <c r="FP116" i="35"/>
  <c r="FR116" i="35" s="1"/>
  <c r="FT116" i="35" s="1"/>
  <c r="DV152" i="35"/>
  <c r="FX116" i="35"/>
  <c r="DV211" i="35"/>
  <c r="HF178" i="35"/>
  <c r="DA122" i="35"/>
  <c r="Z122" i="19" s="1"/>
  <c r="FV28" i="35"/>
  <c r="FX28" i="35" s="1"/>
  <c r="GT15" i="35"/>
  <c r="HE178" i="35"/>
  <c r="CS122" i="35"/>
  <c r="CW122" i="35" s="1"/>
  <c r="GT122" i="35" s="1"/>
  <c r="GS102" i="35"/>
  <c r="GP161" i="35"/>
  <c r="DR190" i="35"/>
  <c r="DT190" i="35" s="1"/>
  <c r="CJ190" i="35"/>
  <c r="I190" i="19" s="1"/>
  <c r="O188" i="19"/>
  <c r="GJ113" i="35"/>
  <c r="GX113" i="35" s="1"/>
  <c r="CO113" i="35"/>
  <c r="M113" i="19"/>
  <c r="FW155" i="35"/>
  <c r="FZ155" i="35" s="1"/>
  <c r="GB155" i="35" s="1"/>
  <c r="CQ116" i="35"/>
  <c r="GN116" i="35" s="1"/>
  <c r="HJ116" i="35" s="1"/>
  <c r="FP113" i="35"/>
  <c r="FR113" i="35" s="1"/>
  <c r="FT113" i="35" s="1"/>
  <c r="FV113" i="35"/>
  <c r="GJ188" i="35"/>
  <c r="GX188" i="35" s="1"/>
  <c r="GQ102" i="35"/>
  <c r="T113" i="19"/>
  <c r="M188" i="19"/>
  <c r="GJ116" i="35"/>
  <c r="GX116" i="35" s="1"/>
  <c r="I152" i="19"/>
  <c r="GN74" i="35"/>
  <c r="HJ74" i="35" s="1"/>
  <c r="Q74" i="19"/>
  <c r="AC74" i="19" s="1"/>
  <c r="CT26" i="35"/>
  <c r="R26" i="19"/>
  <c r="GP26" i="35"/>
  <c r="CW26" i="35"/>
  <c r="CU26" i="35"/>
  <c r="CV26" i="35"/>
  <c r="Q27" i="19"/>
  <c r="AC27" i="19" s="1"/>
  <c r="Q168" i="19"/>
  <c r="AC168" i="19" s="1"/>
  <c r="U134" i="19"/>
  <c r="R28" i="19"/>
  <c r="FN65" i="35"/>
  <c r="FV65" i="35" s="1"/>
  <c r="FX65" i="35" s="1"/>
  <c r="GJ93" i="35"/>
  <c r="GX93" i="35" s="1"/>
  <c r="T140" i="19"/>
  <c r="GR140" i="35"/>
  <c r="O137" i="19"/>
  <c r="DR165" i="35"/>
  <c r="DT165" i="35" s="1"/>
  <c r="DR196" i="35"/>
  <c r="DV196" i="35" s="1"/>
  <c r="CI196" i="35"/>
  <c r="U140" i="19"/>
  <c r="GS140" i="35"/>
  <c r="CQ93" i="35"/>
  <c r="Q93" i="19" s="1"/>
  <c r="AC93" i="19" s="1"/>
  <c r="S101" i="19"/>
  <c r="GQ101" i="35"/>
  <c r="GL155" i="35"/>
  <c r="GZ155" i="35" s="1"/>
  <c r="HB155" i="35" s="1"/>
  <c r="GL140" i="35"/>
  <c r="GZ140" i="35" s="1"/>
  <c r="HB140" i="35" s="1"/>
  <c r="O140" i="19"/>
  <c r="CQ140" i="35"/>
  <c r="U101" i="19"/>
  <c r="GS101" i="35"/>
  <c r="CQ155" i="35"/>
  <c r="Q155" i="19" s="1"/>
  <c r="AC155" i="19" s="1"/>
  <c r="CW46" i="35"/>
  <c r="V46" i="19" s="1"/>
  <c r="CT178" i="35"/>
  <c r="GQ178" i="35" s="1"/>
  <c r="CZ65" i="35"/>
  <c r="Y65" i="19" s="1"/>
  <c r="M93" i="19"/>
  <c r="CY65" i="35"/>
  <c r="X65" i="19" s="1"/>
  <c r="CI176" i="35"/>
  <c r="CK176" i="35" s="1"/>
  <c r="CX176" i="35" s="1"/>
  <c r="W176" i="19" s="1"/>
  <c r="H176" i="19"/>
  <c r="S140" i="19"/>
  <c r="GQ140" i="35"/>
  <c r="CV178" i="35"/>
  <c r="U178" i="19" s="1"/>
  <c r="M137" i="19"/>
  <c r="GP46" i="35"/>
  <c r="CW28" i="35"/>
  <c r="GT28" i="35" s="1"/>
  <c r="FV93" i="35"/>
  <c r="FX93" i="35" s="1"/>
  <c r="FX37" i="35"/>
  <c r="O46" i="19"/>
  <c r="DR176" i="35"/>
  <c r="DT176" i="35" s="1"/>
  <c r="GN98" i="35"/>
  <c r="HJ98" i="35" s="1"/>
  <c r="Q98" i="19"/>
  <c r="AC98" i="19" s="1"/>
  <c r="O101" i="19"/>
  <c r="GL101" i="35"/>
  <c r="GZ101" i="35" s="1"/>
  <c r="HB101" i="35" s="1"/>
  <c r="CQ101" i="35"/>
  <c r="V101" i="19"/>
  <c r="GT101" i="35"/>
  <c r="FX140" i="35"/>
  <c r="FW140" i="35"/>
  <c r="FZ140" i="35" s="1"/>
  <c r="GB140" i="35" s="1"/>
  <c r="GS137" i="35"/>
  <c r="GJ137" i="35"/>
  <c r="GX137" i="35" s="1"/>
  <c r="CO134" i="35"/>
  <c r="GL134" i="35" s="1"/>
  <c r="GZ134" i="35" s="1"/>
  <c r="HB134" i="35" s="1"/>
  <c r="T134" i="19"/>
  <c r="R178" i="19"/>
  <c r="GJ46" i="35"/>
  <c r="GX46" i="35" s="1"/>
  <c r="HE65" i="35"/>
  <c r="T101" i="19"/>
  <c r="GR101" i="35"/>
  <c r="O139" i="19"/>
  <c r="CQ139" i="35"/>
  <c r="GL139" i="35"/>
  <c r="GZ139" i="35" s="1"/>
  <c r="HB139" i="35" s="1"/>
  <c r="HF65" i="35"/>
  <c r="CM65" i="35"/>
  <c r="M65" i="19" s="1"/>
  <c r="CU178" i="35"/>
  <c r="T178" i="19" s="1"/>
  <c r="K65" i="19"/>
  <c r="M46" i="19"/>
  <c r="CQ137" i="35"/>
  <c r="Q137" i="19" s="1"/>
  <c r="AC137" i="19" s="1"/>
  <c r="M134" i="19"/>
  <c r="CV46" i="35"/>
  <c r="GS46" i="35" s="1"/>
  <c r="FW12" i="35"/>
  <c r="FZ12" i="35" s="1"/>
  <c r="GB12" i="35" s="1"/>
  <c r="FV187" i="35"/>
  <c r="FX187" i="35" s="1"/>
  <c r="CU28" i="35"/>
  <c r="GR28" i="35" s="1"/>
  <c r="GT134" i="35"/>
  <c r="CT46" i="35"/>
  <c r="GQ46" i="35" s="1"/>
  <c r="CT28" i="35"/>
  <c r="S28" i="19" s="1"/>
  <c r="CX65" i="35"/>
  <c r="W65" i="19" s="1"/>
  <c r="GL93" i="35"/>
  <c r="GZ93" i="35" s="1"/>
  <c r="HB93" i="35" s="1"/>
  <c r="HG93" i="35"/>
  <c r="DA65" i="35"/>
  <c r="Z65" i="19" s="1"/>
  <c r="HG65" i="35"/>
  <c r="CW82" i="35"/>
  <c r="V82" i="19" s="1"/>
  <c r="CT82" i="35"/>
  <c r="S82" i="19" s="1"/>
  <c r="GQ134" i="35"/>
  <c r="S134" i="19"/>
  <c r="V140" i="19"/>
  <c r="GT140" i="35"/>
  <c r="CK152" i="35"/>
  <c r="J112" i="19"/>
  <c r="CK112" i="35"/>
  <c r="Q90" i="19"/>
  <c r="AC90" i="19" s="1"/>
  <c r="GN90" i="35"/>
  <c r="HJ90" i="35" s="1"/>
  <c r="V149" i="19"/>
  <c r="GT149" i="35"/>
  <c r="FV58" i="35"/>
  <c r="FP58" i="35"/>
  <c r="FR58" i="35" s="1"/>
  <c r="FT58" i="35" s="1"/>
  <c r="CF171" i="35"/>
  <c r="CG171" i="35" s="1"/>
  <c r="I211" i="19"/>
  <c r="FW149" i="35"/>
  <c r="FZ149" i="35" s="1"/>
  <c r="GB149" i="35" s="1"/>
  <c r="FX149" i="35"/>
  <c r="S149" i="19"/>
  <c r="GQ149" i="35"/>
  <c r="R58" i="19"/>
  <c r="CU58" i="35"/>
  <c r="CW58" i="35"/>
  <c r="CV58" i="35"/>
  <c r="GP58" i="35"/>
  <c r="CT58" i="35"/>
  <c r="FP178" i="35"/>
  <c r="FR178" i="35" s="1"/>
  <c r="FT178" i="35" s="1"/>
  <c r="CM122" i="35"/>
  <c r="CO122" i="35" s="1"/>
  <c r="GL122" i="35" s="1"/>
  <c r="GZ122" i="35" s="1"/>
  <c r="HB122" i="35" s="1"/>
  <c r="CH217" i="35"/>
  <c r="J217" i="19" s="1"/>
  <c r="DA49" i="35"/>
  <c r="Z49" i="19" s="1"/>
  <c r="CQ149" i="35"/>
  <c r="GL149" i="35"/>
  <c r="GZ149" i="35" s="1"/>
  <c r="HB149" i="35" s="1"/>
  <c r="O149" i="19"/>
  <c r="CX69" i="35"/>
  <c r="W69" i="19" s="1"/>
  <c r="FN69" i="35"/>
  <c r="DA69" i="35"/>
  <c r="Z69" i="19" s="1"/>
  <c r="CM69" i="35"/>
  <c r="CY69" i="35"/>
  <c r="X69" i="19" s="1"/>
  <c r="CZ69" i="35"/>
  <c r="Y69" i="19" s="1"/>
  <c r="K69" i="19"/>
  <c r="CS69" i="35"/>
  <c r="GH69" i="35"/>
  <c r="GV69" i="35" s="1"/>
  <c r="HD69" i="35" s="1"/>
  <c r="T149" i="19"/>
  <c r="GR149" i="35"/>
  <c r="CM202" i="35"/>
  <c r="CO202" i="35" s="1"/>
  <c r="CQ202" i="35" s="1"/>
  <c r="GN202" i="35" s="1"/>
  <c r="K122" i="19"/>
  <c r="GQ168" i="35"/>
  <c r="U149" i="19"/>
  <c r="GS149" i="35"/>
  <c r="M58" i="19"/>
  <c r="CO58" i="35"/>
  <c r="GJ58" i="35"/>
  <c r="GX58" i="35" s="1"/>
  <c r="HE58" i="35"/>
  <c r="HG58" i="35"/>
  <c r="HF58" i="35"/>
  <c r="HH58" i="35"/>
  <c r="I217" i="19"/>
  <c r="DC165" i="35"/>
  <c r="CH165" i="35"/>
  <c r="J165" i="19" s="1"/>
  <c r="DR173" i="35"/>
  <c r="DV173" i="35" s="1"/>
  <c r="CI173" i="35"/>
  <c r="CJ173" i="35"/>
  <c r="I173" i="19" s="1"/>
  <c r="H173" i="19"/>
  <c r="EW173" i="35"/>
  <c r="CH208" i="35"/>
  <c r="J208" i="19" s="1"/>
  <c r="DC208" i="35"/>
  <c r="CH183" i="35"/>
  <c r="J183" i="19" s="1"/>
  <c r="DC183" i="35"/>
  <c r="CJ174" i="35"/>
  <c r="H174" i="19"/>
  <c r="DR174" i="35"/>
  <c r="DV174" i="35" s="1"/>
  <c r="CI174" i="35"/>
  <c r="EW174" i="35"/>
  <c r="CA173" i="35"/>
  <c r="CH173" i="35" s="1"/>
  <c r="J173" i="19" s="1"/>
  <c r="CM49" i="35"/>
  <c r="HF127" i="35"/>
  <c r="HE127" i="35"/>
  <c r="HH127" i="35"/>
  <c r="HG127" i="35"/>
  <c r="CF208" i="35"/>
  <c r="CG208" i="35" s="1"/>
  <c r="CT180" i="35"/>
  <c r="S180" i="19" s="1"/>
  <c r="GJ28" i="35"/>
  <c r="GX28" i="35" s="1"/>
  <c r="BY177" i="35"/>
  <c r="BZ177" i="35" s="1"/>
  <c r="CF177" i="35" s="1"/>
  <c r="CG177" i="35" s="1"/>
  <c r="EW177" i="35" s="1"/>
  <c r="CK219" i="35"/>
  <c r="CZ219" i="35" s="1"/>
  <c r="Y219" i="19" s="1"/>
  <c r="CO180" i="35"/>
  <c r="GL180" i="35" s="1"/>
  <c r="GZ180" i="35" s="1"/>
  <c r="HB180" i="35" s="1"/>
  <c r="FN49" i="35"/>
  <c r="FP49" i="35" s="1"/>
  <c r="FR49" i="35" s="1"/>
  <c r="FT49" i="35" s="1"/>
  <c r="GS148" i="35"/>
  <c r="U148" i="19"/>
  <c r="CA189" i="35"/>
  <c r="CU161" i="35"/>
  <c r="T161" i="19" s="1"/>
  <c r="GH202" i="35"/>
  <c r="GV202" i="35" s="1"/>
  <c r="HD202" i="35" s="1"/>
  <c r="HF202" i="35" s="1"/>
  <c r="FX134" i="35"/>
  <c r="M180" i="19"/>
  <c r="CA174" i="35"/>
  <c r="CH174" i="35" s="1"/>
  <c r="J174" i="19" s="1"/>
  <c r="GP82" i="35"/>
  <c r="HF49" i="35"/>
  <c r="O160" i="19"/>
  <c r="CQ160" i="35"/>
  <c r="GL160" i="35"/>
  <c r="GZ160" i="35" s="1"/>
  <c r="HB160" i="35" s="1"/>
  <c r="GL148" i="35"/>
  <c r="GZ148" i="35" s="1"/>
  <c r="HB148" i="35" s="1"/>
  <c r="CQ148" i="35"/>
  <c r="O148" i="19"/>
  <c r="CF186" i="35"/>
  <c r="CG186" i="35" s="1"/>
  <c r="K68" i="19"/>
  <c r="CZ68" i="35"/>
  <c r="Y68" i="19" s="1"/>
  <c r="FN68" i="35"/>
  <c r="CM68" i="35"/>
  <c r="GH68" i="35"/>
  <c r="GV68" i="35" s="1"/>
  <c r="HD68" i="35" s="1"/>
  <c r="CY68" i="35"/>
  <c r="X68" i="19" s="1"/>
  <c r="CX68" i="35"/>
  <c r="W68" i="19" s="1"/>
  <c r="CS68" i="35"/>
  <c r="DA68" i="35"/>
  <c r="Z68" i="19" s="1"/>
  <c r="Q88" i="19"/>
  <c r="AC88" i="19" s="1"/>
  <c r="GN88" i="35"/>
  <c r="HJ88" i="35" s="1"/>
  <c r="DA61" i="35"/>
  <c r="Z61" i="19" s="1"/>
  <c r="CY61" i="35"/>
  <c r="X61" i="19" s="1"/>
  <c r="CZ61" i="35"/>
  <c r="Y61" i="19" s="1"/>
  <c r="GH61" i="35"/>
  <c r="GV61" i="35" s="1"/>
  <c r="HD61" i="35" s="1"/>
  <c r="CS61" i="35"/>
  <c r="K61" i="19"/>
  <c r="CM61" i="35"/>
  <c r="FN61" i="35"/>
  <c r="CX61" i="35"/>
  <c r="W61" i="19" s="1"/>
  <c r="CS128" i="35"/>
  <c r="DA128" i="35"/>
  <c r="Z128" i="19" s="1"/>
  <c r="K128" i="19"/>
  <c r="FN128" i="35"/>
  <c r="CX128" i="35"/>
  <c r="W128" i="19" s="1"/>
  <c r="CZ128" i="35"/>
  <c r="Y128" i="19" s="1"/>
  <c r="CM128" i="35"/>
  <c r="GH128" i="35"/>
  <c r="GV128" i="35" s="1"/>
  <c r="HD128" i="35" s="1"/>
  <c r="CY128" i="35"/>
  <c r="X128" i="19" s="1"/>
  <c r="CO99" i="35"/>
  <c r="M99" i="19"/>
  <c r="GJ99" i="35"/>
  <c r="GX99" i="35" s="1"/>
  <c r="Q8" i="19"/>
  <c r="AC8" i="19" s="1"/>
  <c r="GN8" i="35"/>
  <c r="HJ8" i="35" s="1"/>
  <c r="CZ120" i="35"/>
  <c r="Y120" i="19" s="1"/>
  <c r="CY120" i="35"/>
  <c r="X120" i="19" s="1"/>
  <c r="K120" i="19"/>
  <c r="DA120" i="35"/>
  <c r="Z120" i="19" s="1"/>
  <c r="FN120" i="35"/>
  <c r="CS120" i="35"/>
  <c r="CM120" i="35"/>
  <c r="GH120" i="35"/>
  <c r="GV120" i="35" s="1"/>
  <c r="HD120" i="35" s="1"/>
  <c r="CX120" i="35"/>
  <c r="W120" i="19" s="1"/>
  <c r="CY49" i="35"/>
  <c r="X49" i="19" s="1"/>
  <c r="V180" i="19"/>
  <c r="CS49" i="35"/>
  <c r="GP49" i="35" s="1"/>
  <c r="S116" i="19"/>
  <c r="CT164" i="35"/>
  <c r="GQ164" i="35" s="1"/>
  <c r="CO187" i="35"/>
  <c r="GL187" i="35" s="1"/>
  <c r="GZ187" i="35" s="1"/>
  <c r="HB187" i="35" s="1"/>
  <c r="HH164" i="35"/>
  <c r="BY194" i="35"/>
  <c r="BZ194" i="35" s="1"/>
  <c r="CF194" i="35" s="1"/>
  <c r="CG194" i="35" s="1"/>
  <c r="U160" i="19"/>
  <c r="GS160" i="35"/>
  <c r="Q107" i="19"/>
  <c r="AC107" i="19" s="1"/>
  <c r="GN107" i="35"/>
  <c r="HJ107" i="35" s="1"/>
  <c r="FW160" i="35"/>
  <c r="FZ160" i="35" s="1"/>
  <c r="GB160" i="35" s="1"/>
  <c r="FX160" i="35"/>
  <c r="HG49" i="35"/>
  <c r="CZ95" i="35"/>
  <c r="Y95" i="19" s="1"/>
  <c r="CM95" i="35"/>
  <c r="CY95" i="35"/>
  <c r="X95" i="19" s="1"/>
  <c r="GH95" i="35"/>
  <c r="GV95" i="35" s="1"/>
  <c r="HD95" i="35" s="1"/>
  <c r="CX95" i="35"/>
  <c r="W95" i="19" s="1"/>
  <c r="K95" i="19"/>
  <c r="FN95" i="35"/>
  <c r="DA95" i="35"/>
  <c r="Z95" i="19" s="1"/>
  <c r="CS95" i="35"/>
  <c r="CV127" i="35"/>
  <c r="R127" i="19"/>
  <c r="CT127" i="35"/>
  <c r="CW127" i="35"/>
  <c r="CU127" i="35"/>
  <c r="GP127" i="35"/>
  <c r="H210" i="19"/>
  <c r="DR210" i="35"/>
  <c r="CJ210" i="35"/>
  <c r="CI210" i="35"/>
  <c r="CZ21" i="35"/>
  <c r="Y21" i="19" s="1"/>
  <c r="CY21" i="35"/>
  <c r="X21" i="19" s="1"/>
  <c r="K21" i="19"/>
  <c r="DA21" i="35"/>
  <c r="Z21" i="19" s="1"/>
  <c r="CX21" i="35"/>
  <c r="W21" i="19" s="1"/>
  <c r="FN21" i="35"/>
  <c r="GH21" i="35"/>
  <c r="GV21" i="35" s="1"/>
  <c r="HD21" i="35" s="1"/>
  <c r="CM21" i="35"/>
  <c r="CS21" i="35"/>
  <c r="CO28" i="35"/>
  <c r="O28" i="19" s="1"/>
  <c r="CQ46" i="35"/>
  <c r="Q46" i="19" s="1"/>
  <c r="AC46" i="19" s="1"/>
  <c r="HF170" i="35"/>
  <c r="BY226" i="35"/>
  <c r="BZ226" i="35" s="1"/>
  <c r="CF226" i="35" s="1"/>
  <c r="CG226" i="35" s="1"/>
  <c r="CI226" i="35" s="1"/>
  <c r="K49" i="19"/>
  <c r="GR148" i="35"/>
  <c r="T148" i="19"/>
  <c r="GN96" i="35"/>
  <c r="HJ96" i="35" s="1"/>
  <c r="Q96" i="19"/>
  <c r="AC96" i="19" s="1"/>
  <c r="FP99" i="35"/>
  <c r="FR99" i="35" s="1"/>
  <c r="FT99" i="35" s="1"/>
  <c r="FV99" i="35"/>
  <c r="CZ91" i="35"/>
  <c r="Y91" i="19" s="1"/>
  <c r="DA91" i="35"/>
  <c r="Z91" i="19" s="1"/>
  <c r="FN91" i="35"/>
  <c r="CS91" i="35"/>
  <c r="CX91" i="35"/>
  <c r="W91" i="19" s="1"/>
  <c r="K91" i="19"/>
  <c r="CM91" i="35"/>
  <c r="GH91" i="35"/>
  <c r="GV91" i="35" s="1"/>
  <c r="HD91" i="35" s="1"/>
  <c r="CY91" i="35"/>
  <c r="X91" i="19" s="1"/>
  <c r="FW148" i="35"/>
  <c r="FZ148" i="35" s="1"/>
  <c r="GB148" i="35" s="1"/>
  <c r="FX148" i="35"/>
  <c r="M127" i="19"/>
  <c r="CO127" i="35"/>
  <c r="GJ127" i="35"/>
  <c r="GX127" i="35" s="1"/>
  <c r="R164" i="19"/>
  <c r="HE49" i="35"/>
  <c r="CU180" i="35"/>
  <c r="GR180" i="35" s="1"/>
  <c r="Q123" i="19"/>
  <c r="AC123" i="19" s="1"/>
  <c r="GN123" i="35"/>
  <c r="HJ123" i="35" s="1"/>
  <c r="FW26" i="35"/>
  <c r="FZ26" i="35" s="1"/>
  <c r="GB26" i="35" s="1"/>
  <c r="GJ16" i="35"/>
  <c r="GX16" i="35" s="1"/>
  <c r="HE170" i="35"/>
  <c r="BY215" i="35"/>
  <c r="BZ215" i="35" s="1"/>
  <c r="CA215" i="35" s="1"/>
  <c r="CH215" i="35" s="1"/>
  <c r="J215" i="19" s="1"/>
  <c r="CX49" i="35"/>
  <c r="W49" i="19" s="1"/>
  <c r="GT148" i="35"/>
  <c r="V148" i="19"/>
  <c r="DC212" i="35"/>
  <c r="CH212" i="35"/>
  <c r="GN150" i="35"/>
  <c r="HJ150" i="35" s="1"/>
  <c r="Q150" i="19"/>
  <c r="AC150" i="19" s="1"/>
  <c r="GQ160" i="35"/>
  <c r="S160" i="19"/>
  <c r="DT146" i="35"/>
  <c r="DV146" i="35"/>
  <c r="J151" i="19"/>
  <c r="CK151" i="35"/>
  <c r="CW99" i="35"/>
  <c r="CU99" i="35"/>
  <c r="R99" i="19"/>
  <c r="CT99" i="35"/>
  <c r="GP99" i="35"/>
  <c r="CV99" i="35"/>
  <c r="DV217" i="35"/>
  <c r="DT217" i="35"/>
  <c r="FP127" i="35"/>
  <c r="FR127" i="35" s="1"/>
  <c r="FV127" i="35"/>
  <c r="CZ49" i="35"/>
  <c r="Y49" i="19" s="1"/>
  <c r="CX119" i="35"/>
  <c r="W119" i="19" s="1"/>
  <c r="CM119" i="35"/>
  <c r="DA119" i="35"/>
  <c r="Z119" i="19" s="1"/>
  <c r="CS119" i="35"/>
  <c r="FN119" i="35"/>
  <c r="CY119" i="35"/>
  <c r="X119" i="19" s="1"/>
  <c r="K119" i="19"/>
  <c r="GH119" i="35"/>
  <c r="GV119" i="35" s="1"/>
  <c r="HD119" i="35" s="1"/>
  <c r="CZ119" i="35"/>
  <c r="Y119" i="19" s="1"/>
  <c r="GH55" i="35"/>
  <c r="GV55" i="35" s="1"/>
  <c r="HD55" i="35" s="1"/>
  <c r="CY55" i="35"/>
  <c r="X55" i="19" s="1"/>
  <c r="DA55" i="35"/>
  <c r="Z55" i="19" s="1"/>
  <c r="K55" i="19"/>
  <c r="CM55" i="35"/>
  <c r="CS55" i="35"/>
  <c r="CZ55" i="35"/>
  <c r="Y55" i="19" s="1"/>
  <c r="CX55" i="35"/>
  <c r="W55" i="19" s="1"/>
  <c r="FN55" i="35"/>
  <c r="DR189" i="35"/>
  <c r="DV189" i="35" s="1"/>
  <c r="R180" i="19"/>
  <c r="HH170" i="35"/>
  <c r="BY184" i="35"/>
  <c r="BZ184" i="35" s="1"/>
  <c r="CF184" i="35" s="1"/>
  <c r="CG184" i="35" s="1"/>
  <c r="CJ184" i="35" s="1"/>
  <c r="HJ27" i="35"/>
  <c r="Q11" i="19"/>
  <c r="AC11" i="19" s="1"/>
  <c r="GN11" i="35"/>
  <c r="HJ11" i="35" s="1"/>
  <c r="CY38" i="35"/>
  <c r="X38" i="19" s="1"/>
  <c r="CM38" i="35"/>
  <c r="CX38" i="35"/>
  <c r="W38" i="19" s="1"/>
  <c r="K38" i="19"/>
  <c r="GH38" i="35"/>
  <c r="GV38" i="35" s="1"/>
  <c r="HD38" i="35" s="1"/>
  <c r="FN38" i="35"/>
  <c r="DA38" i="35"/>
  <c r="Z38" i="19" s="1"/>
  <c r="CZ38" i="35"/>
  <c r="Y38" i="19" s="1"/>
  <c r="CS38" i="35"/>
  <c r="T160" i="19"/>
  <c r="GR160" i="35"/>
  <c r="Q63" i="19"/>
  <c r="AC63" i="19" s="1"/>
  <c r="GN63" i="35"/>
  <c r="HJ63" i="35" s="1"/>
  <c r="I146" i="19"/>
  <c r="CK146" i="35"/>
  <c r="HG99" i="35"/>
  <c r="HF99" i="35"/>
  <c r="HE99" i="35"/>
  <c r="HH99" i="35"/>
  <c r="J158" i="19"/>
  <c r="CK158" i="35"/>
  <c r="CS42" i="35"/>
  <c r="FN42" i="35"/>
  <c r="CY42" i="35"/>
  <c r="X42" i="19" s="1"/>
  <c r="CZ42" i="35"/>
  <c r="Y42" i="19" s="1"/>
  <c r="DA42" i="35"/>
  <c r="Z42" i="19" s="1"/>
  <c r="GH42" i="35"/>
  <c r="GV42" i="35" s="1"/>
  <c r="HD42" i="35" s="1"/>
  <c r="CM42" i="35"/>
  <c r="K42" i="19"/>
  <c r="CX42" i="35"/>
  <c r="W42" i="19" s="1"/>
  <c r="S148" i="19"/>
  <c r="GQ148" i="35"/>
  <c r="H189" i="19"/>
  <c r="FP134" i="35"/>
  <c r="FR134" i="35" s="1"/>
  <c r="FT134" i="35" s="1"/>
  <c r="CV180" i="35"/>
  <c r="GS180" i="35" s="1"/>
  <c r="BY251" i="35"/>
  <c r="BZ251" i="35" s="1"/>
  <c r="CA251" i="35" s="1"/>
  <c r="CV82" i="35"/>
  <c r="GS82" i="35" s="1"/>
  <c r="Q85" i="19"/>
  <c r="AC85" i="19" s="1"/>
  <c r="GN85" i="35"/>
  <c r="HJ85" i="35" s="1"/>
  <c r="FN159" i="35"/>
  <c r="CM159" i="35"/>
  <c r="CS159" i="35"/>
  <c r="CX159" i="35"/>
  <c r="W159" i="19" s="1"/>
  <c r="CZ159" i="35"/>
  <c r="Y159" i="19" s="1"/>
  <c r="DA159" i="35"/>
  <c r="Z159" i="19" s="1"/>
  <c r="GH159" i="35"/>
  <c r="GV159" i="35" s="1"/>
  <c r="HD159" i="35" s="1"/>
  <c r="CY159" i="35"/>
  <c r="X159" i="19" s="1"/>
  <c r="K159" i="19"/>
  <c r="GT160" i="35"/>
  <c r="V160" i="19"/>
  <c r="Q15" i="19"/>
  <c r="AC15" i="19" s="1"/>
  <c r="GN15" i="35"/>
  <c r="HJ15" i="35" s="1"/>
  <c r="BZ220" i="35"/>
  <c r="CF220" i="35" s="1"/>
  <c r="CG220" i="35" s="1"/>
  <c r="DC125" i="35"/>
  <c r="CH125" i="35"/>
  <c r="J125" i="19" s="1"/>
  <c r="CI125" i="35"/>
  <c r="H125" i="19"/>
  <c r="DR125" i="35"/>
  <c r="CJ125" i="35"/>
  <c r="HF134" i="35"/>
  <c r="HH134" i="35"/>
  <c r="CT170" i="35"/>
  <c r="GQ170" i="35" s="1"/>
  <c r="CV187" i="35"/>
  <c r="U187" i="19" s="1"/>
  <c r="CW187" i="35"/>
  <c r="GT187" i="35" s="1"/>
  <c r="HG134" i="35"/>
  <c r="GP170" i="35"/>
  <c r="V10" i="19"/>
  <c r="FV202" i="35"/>
  <c r="FX202" i="35" s="1"/>
  <c r="K202" i="19"/>
  <c r="GS10" i="35"/>
  <c r="CY202" i="35"/>
  <c r="X202" i="19" s="1"/>
  <c r="CZ202" i="35"/>
  <c r="Y202" i="19" s="1"/>
  <c r="DA202" i="35"/>
  <c r="Z202" i="19" s="1"/>
  <c r="CX202" i="35"/>
  <c r="W202" i="19" s="1"/>
  <c r="CS202" i="35"/>
  <c r="R202" i="19" s="1"/>
  <c r="HE187" i="35"/>
  <c r="HG164" i="35"/>
  <c r="GT168" i="35"/>
  <c r="CU82" i="35"/>
  <c r="GS170" i="35"/>
  <c r="M82" i="19"/>
  <c r="FW82" i="35"/>
  <c r="FZ82" i="35" s="1"/>
  <c r="GB82" i="35" s="1"/>
  <c r="HE82" i="35"/>
  <c r="GN93" i="35"/>
  <c r="HJ93" i="35" s="1"/>
  <c r="S50" i="19"/>
  <c r="CQ82" i="35"/>
  <c r="Q82" i="19" s="1"/>
  <c r="AC82" i="19" s="1"/>
  <c r="CU170" i="35"/>
  <c r="T170" i="19" s="1"/>
  <c r="GP164" i="35"/>
  <c r="FV188" i="35"/>
  <c r="FX188" i="35" s="1"/>
  <c r="GT50" i="35"/>
  <c r="GS76" i="35"/>
  <c r="CW170" i="35"/>
  <c r="V170" i="19" s="1"/>
  <c r="FV164" i="35"/>
  <c r="FW164" i="35" s="1"/>
  <c r="FZ164" i="35" s="1"/>
  <c r="GB164" i="35" s="1"/>
  <c r="CU164" i="35"/>
  <c r="GR164" i="35" s="1"/>
  <c r="CT187" i="35"/>
  <c r="S187" i="19" s="1"/>
  <c r="HH187" i="35"/>
  <c r="CK190" i="35"/>
  <c r="CY190" i="35" s="1"/>
  <c r="X190" i="19" s="1"/>
  <c r="GP188" i="35"/>
  <c r="Q12" i="19"/>
  <c r="AC12" i="19" s="1"/>
  <c r="CY176" i="35"/>
  <c r="X176" i="19" s="1"/>
  <c r="GS164" i="35"/>
  <c r="R170" i="19"/>
  <c r="HF187" i="35"/>
  <c r="GJ187" i="35"/>
  <c r="GX187" i="35" s="1"/>
  <c r="FP82" i="35"/>
  <c r="FR82" i="35" s="1"/>
  <c r="FT82" i="35" s="1"/>
  <c r="HH82" i="35"/>
  <c r="HF82" i="35"/>
  <c r="GS168" i="35"/>
  <c r="U168" i="19"/>
  <c r="GH176" i="35"/>
  <c r="GV176" i="35" s="1"/>
  <c r="HD176" i="35" s="1"/>
  <c r="HE176" i="35" s="1"/>
  <c r="CW161" i="35"/>
  <c r="V27" i="19"/>
  <c r="U116" i="19"/>
  <c r="O82" i="19"/>
  <c r="R188" i="19"/>
  <c r="DA195" i="35"/>
  <c r="Z195" i="19" s="1"/>
  <c r="GR16" i="35"/>
  <c r="DA176" i="35"/>
  <c r="Z176" i="19" s="1"/>
  <c r="CO170" i="35"/>
  <c r="CQ170" i="35" s="1"/>
  <c r="GN170" i="35" s="1"/>
  <c r="GP187" i="35"/>
  <c r="FV170" i="35"/>
  <c r="FW170" i="35" s="1"/>
  <c r="FZ170" i="35" s="1"/>
  <c r="GB170" i="35" s="1"/>
  <c r="HF16" i="35"/>
  <c r="HG16" i="35"/>
  <c r="HE16" i="35"/>
  <c r="HH16" i="35"/>
  <c r="HJ136" i="35"/>
  <c r="GJ170" i="35"/>
  <c r="GX170" i="35" s="1"/>
  <c r="K176" i="19"/>
  <c r="U188" i="19"/>
  <c r="CQ50" i="35"/>
  <c r="O50" i="19"/>
  <c r="GL50" i="35"/>
  <c r="GZ50" i="35" s="1"/>
  <c r="HB50" i="35" s="1"/>
  <c r="H183" i="19"/>
  <c r="GH195" i="35"/>
  <c r="GV195" i="35" s="1"/>
  <c r="HD195" i="35" s="1"/>
  <c r="HH195" i="35" s="1"/>
  <c r="FP16" i="35"/>
  <c r="FR16" i="35" s="1"/>
  <c r="FT16" i="35" s="1"/>
  <c r="FV16" i="35"/>
  <c r="GQ27" i="35"/>
  <c r="FW50" i="35"/>
  <c r="FZ50" i="35" s="1"/>
  <c r="GB50" i="35" s="1"/>
  <c r="CM176" i="35"/>
  <c r="CO176" i="35" s="1"/>
  <c r="GL176" i="35" s="1"/>
  <c r="GZ176" i="35" s="1"/>
  <c r="HB176" i="35" s="1"/>
  <c r="GS50" i="35"/>
  <c r="CS176" i="35"/>
  <c r="CU176" i="35" s="1"/>
  <c r="GR176" i="35" s="1"/>
  <c r="DR183" i="35"/>
  <c r="DV183" i="35" s="1"/>
  <c r="CU188" i="35"/>
  <c r="GR188" i="35" s="1"/>
  <c r="CW188" i="35"/>
  <c r="GT188" i="35" s="1"/>
  <c r="GR187" i="35"/>
  <c r="CT122" i="35"/>
  <c r="GQ122" i="35" s="1"/>
  <c r="GP122" i="35"/>
  <c r="CH171" i="35"/>
  <c r="J171" i="19" s="1"/>
  <c r="CX195" i="35"/>
  <c r="W195" i="19" s="1"/>
  <c r="FN195" i="35"/>
  <c r="FP195" i="35" s="1"/>
  <c r="FR195" i="35" s="1"/>
  <c r="GT16" i="35"/>
  <c r="T93" i="19"/>
  <c r="CQ187" i="35"/>
  <c r="Q187" i="19" s="1"/>
  <c r="AC187" i="19" s="1"/>
  <c r="CV122" i="35"/>
  <c r="GS122" i="35" s="1"/>
  <c r="CI165" i="35"/>
  <c r="I165" i="19" s="1"/>
  <c r="R122" i="19"/>
  <c r="GN73" i="35"/>
  <c r="HJ73" i="35" s="1"/>
  <c r="Q73" i="19"/>
  <c r="AC73" i="19" s="1"/>
  <c r="CZ195" i="35"/>
  <c r="Y195" i="19" s="1"/>
  <c r="FX161" i="35"/>
  <c r="CK211" i="35"/>
  <c r="CZ211" i="35" s="1"/>
  <c r="Y211" i="19" s="1"/>
  <c r="H165" i="19"/>
  <c r="CU122" i="35"/>
  <c r="T122" i="19" s="1"/>
  <c r="CQ57" i="35"/>
  <c r="GN57" i="35" s="1"/>
  <c r="HJ57" i="35" s="1"/>
  <c r="GQ93" i="35"/>
  <c r="S76" i="19"/>
  <c r="HH169" i="35"/>
  <c r="GT82" i="35"/>
  <c r="GH219" i="35"/>
  <c r="GV219" i="35" s="1"/>
  <c r="HD219" i="35" s="1"/>
  <c r="HG219" i="35" s="1"/>
  <c r="GL202" i="35"/>
  <c r="GZ202" i="35" s="1"/>
  <c r="HB202" i="35" s="1"/>
  <c r="M202" i="19"/>
  <c r="HF169" i="35"/>
  <c r="O76" i="19"/>
  <c r="HG169" i="35"/>
  <c r="M161" i="19"/>
  <c r="GJ19" i="35"/>
  <c r="GX19" i="35" s="1"/>
  <c r="CO19" i="35"/>
  <c r="M19" i="19"/>
  <c r="V76" i="19"/>
  <c r="GJ161" i="35"/>
  <c r="GX161" i="35" s="1"/>
  <c r="GQ169" i="35"/>
  <c r="R169" i="19"/>
  <c r="HF161" i="35"/>
  <c r="T131" i="19"/>
  <c r="GP169" i="35"/>
  <c r="HH161" i="35"/>
  <c r="HE161" i="35"/>
  <c r="S164" i="19"/>
  <c r="CW169" i="35"/>
  <c r="GT169" i="35" s="1"/>
  <c r="FP19" i="35"/>
  <c r="FR19" i="35" s="1"/>
  <c r="FT19" i="35" s="1"/>
  <c r="FV19" i="35"/>
  <c r="V93" i="19"/>
  <c r="HJ164" i="35"/>
  <c r="HG19" i="35"/>
  <c r="HH19" i="35"/>
  <c r="HE19" i="35"/>
  <c r="HF19" i="35"/>
  <c r="CU169" i="35"/>
  <c r="FW10" i="35"/>
  <c r="FZ10" i="35" s="1"/>
  <c r="GB10" i="35" s="1"/>
  <c r="CV169" i="35"/>
  <c r="U169" i="19" s="1"/>
  <c r="CT19" i="35"/>
  <c r="GP19" i="35"/>
  <c r="R19" i="19"/>
  <c r="CU19" i="35"/>
  <c r="CV19" i="35"/>
  <c r="CW19" i="35"/>
  <c r="DT166" i="35"/>
  <c r="CK166" i="35"/>
  <c r="FN166" i="35" s="1"/>
  <c r="FP166" i="35" s="1"/>
  <c r="FR166" i="35" s="1"/>
  <c r="FT166" i="35" s="1"/>
  <c r="R161" i="19"/>
  <c r="CV161" i="35"/>
  <c r="U161" i="19" s="1"/>
  <c r="GQ17" i="35"/>
  <c r="U205" i="19"/>
  <c r="GN167" i="35"/>
  <c r="HJ167" i="35" s="1"/>
  <c r="CY84" i="35"/>
  <c r="X84" i="19" s="1"/>
  <c r="O57" i="19"/>
  <c r="FP52" i="35"/>
  <c r="FR52" i="35" s="1"/>
  <c r="FT52" i="35" s="1"/>
  <c r="FV52" i="35"/>
  <c r="CU65" i="35"/>
  <c r="T65" i="19" s="1"/>
  <c r="FP169" i="35"/>
  <c r="FR169" i="35" s="1"/>
  <c r="FV169" i="35"/>
  <c r="CQ76" i="35"/>
  <c r="Q76" i="19" s="1"/>
  <c r="AC76" i="19" s="1"/>
  <c r="GH84" i="35"/>
  <c r="GV84" i="35" s="1"/>
  <c r="HD84" i="35" s="1"/>
  <c r="HH84" i="35" s="1"/>
  <c r="GT163" i="35"/>
  <c r="GQ10" i="35"/>
  <c r="V118" i="19"/>
  <c r="GT118" i="35"/>
  <c r="O118" i="19"/>
  <c r="GL118" i="35"/>
  <c r="GZ118" i="35" s="1"/>
  <c r="HB118" i="35" s="1"/>
  <c r="CQ118" i="35"/>
  <c r="GP52" i="35"/>
  <c r="CV52" i="35"/>
  <c r="R52" i="19"/>
  <c r="CT52" i="35"/>
  <c r="CU52" i="35"/>
  <c r="CW52" i="35"/>
  <c r="M169" i="19"/>
  <c r="GJ169" i="35"/>
  <c r="GX169" i="35" s="1"/>
  <c r="CO169" i="35"/>
  <c r="CV65" i="35"/>
  <c r="U65" i="19" s="1"/>
  <c r="K84" i="19"/>
  <c r="BW225" i="35"/>
  <c r="CW65" i="35"/>
  <c r="GT65" i="35" s="1"/>
  <c r="BW218" i="35"/>
  <c r="M80" i="19"/>
  <c r="CO80" i="35"/>
  <c r="GJ80" i="35"/>
  <c r="GX80" i="35" s="1"/>
  <c r="DA84" i="35"/>
  <c r="Z84" i="19" s="1"/>
  <c r="GS118" i="35"/>
  <c r="U118" i="19"/>
  <c r="FW118" i="35"/>
  <c r="FZ118" i="35" s="1"/>
  <c r="GB118" i="35" s="1"/>
  <c r="FX118" i="35"/>
  <c r="BW222" i="35"/>
  <c r="BW228" i="35"/>
  <c r="BW221" i="35"/>
  <c r="GR118" i="35"/>
  <c r="T118" i="19"/>
  <c r="FP115" i="35"/>
  <c r="FR115" i="35" s="1"/>
  <c r="FT115" i="35" s="1"/>
  <c r="FV115" i="35"/>
  <c r="GP65" i="35"/>
  <c r="GQ118" i="35"/>
  <c r="S118" i="19"/>
  <c r="CS84" i="35"/>
  <c r="GP84" i="35" s="1"/>
  <c r="GR66" i="35"/>
  <c r="DT173" i="35"/>
  <c r="HE188" i="35"/>
  <c r="HH115" i="35"/>
  <c r="HG115" i="35"/>
  <c r="HF115" i="35"/>
  <c r="HE115" i="35"/>
  <c r="GJ52" i="35"/>
  <c r="GX52" i="35" s="1"/>
  <c r="CO52" i="35"/>
  <c r="M52" i="19"/>
  <c r="R80" i="19"/>
  <c r="GP80" i="35"/>
  <c r="CW80" i="35"/>
  <c r="CV80" i="35"/>
  <c r="CT80" i="35"/>
  <c r="CU80" i="35"/>
  <c r="BW216" i="35"/>
  <c r="CX84" i="35"/>
  <c r="W84" i="19" s="1"/>
  <c r="GJ94" i="35"/>
  <c r="GX94" i="35" s="1"/>
  <c r="M94" i="19"/>
  <c r="CO94" i="35"/>
  <c r="S17" i="19"/>
  <c r="FV80" i="35"/>
  <c r="FP80" i="35"/>
  <c r="FR80" i="35" s="1"/>
  <c r="FT80" i="35" s="1"/>
  <c r="CM84" i="35"/>
  <c r="CO84" i="35" s="1"/>
  <c r="HG188" i="35"/>
  <c r="FV94" i="35"/>
  <c r="FP94" i="35"/>
  <c r="FR94" i="35" s="1"/>
  <c r="FT94" i="35" s="1"/>
  <c r="FN84" i="35"/>
  <c r="FP84" i="35" s="1"/>
  <c r="FR84" i="35" s="1"/>
  <c r="FT84" i="35" s="1"/>
  <c r="CT65" i="35"/>
  <c r="GQ65" i="35" s="1"/>
  <c r="HH188" i="35"/>
  <c r="CH186" i="35"/>
  <c r="J186" i="19" s="1"/>
  <c r="DC186" i="35"/>
  <c r="FW17" i="35"/>
  <c r="FZ17" i="35" s="1"/>
  <c r="GB17" i="35" s="1"/>
  <c r="BW213" i="35"/>
  <c r="BW199" i="35"/>
  <c r="BW209" i="35"/>
  <c r="BW261" i="35"/>
  <c r="CQ163" i="35"/>
  <c r="GN163" i="35" s="1"/>
  <c r="HJ163" i="35" s="1"/>
  <c r="Q10" i="19"/>
  <c r="AC10" i="19" s="1"/>
  <c r="GN10" i="35"/>
  <c r="HJ10" i="35" s="1"/>
  <c r="CW115" i="35"/>
  <c r="GP115" i="35"/>
  <c r="CT115" i="35"/>
  <c r="R115" i="19"/>
  <c r="CV115" i="35"/>
  <c r="CU115" i="35"/>
  <c r="HH52" i="35"/>
  <c r="HF52" i="35"/>
  <c r="HE52" i="35"/>
  <c r="HG52" i="35"/>
  <c r="HH94" i="35"/>
  <c r="HF94" i="35"/>
  <c r="HG94" i="35"/>
  <c r="HE94" i="35"/>
  <c r="HG80" i="35"/>
  <c r="HH80" i="35"/>
  <c r="HE80" i="35"/>
  <c r="HF80" i="35"/>
  <c r="BW201" i="35"/>
  <c r="BW277" i="35"/>
  <c r="BW214" i="35"/>
  <c r="BW203" i="35"/>
  <c r="CJ183" i="35"/>
  <c r="I183" i="19" s="1"/>
  <c r="E382" i="35"/>
  <c r="GJ115" i="35"/>
  <c r="GX115" i="35" s="1"/>
  <c r="M115" i="19"/>
  <c r="CO115" i="35"/>
  <c r="K195" i="19"/>
  <c r="CS195" i="35"/>
  <c r="CM195" i="35"/>
  <c r="R94" i="19"/>
  <c r="CV94" i="35"/>
  <c r="CW94" i="35"/>
  <c r="CU94" i="35"/>
  <c r="CT94" i="35"/>
  <c r="GP94" i="35"/>
  <c r="GS17" i="35"/>
  <c r="O187" i="19"/>
  <c r="O163" i="19"/>
  <c r="O202" i="19"/>
  <c r="GR76" i="35"/>
  <c r="GR167" i="35"/>
  <c r="I174" i="19"/>
  <c r="GJ202" i="35"/>
  <c r="GX202" i="35" s="1"/>
  <c r="V17" i="19"/>
  <c r="GQ34" i="35"/>
  <c r="CZ162" i="35"/>
  <c r="Y162" i="19" s="1"/>
  <c r="GR17" i="35"/>
  <c r="FN162" i="35"/>
  <c r="FP162" i="35" s="1"/>
  <c r="FR162" i="35" s="1"/>
  <c r="FT162" i="35" s="1"/>
  <c r="CS162" i="35"/>
  <c r="CW162" i="35" s="1"/>
  <c r="O17" i="19"/>
  <c r="CH234" i="35"/>
  <c r="J234" i="19" s="1"/>
  <c r="CM162" i="35"/>
  <c r="CO162" i="35" s="1"/>
  <c r="CY162" i="35"/>
  <c r="X162" i="19" s="1"/>
  <c r="CF253" i="35"/>
  <c r="CG253" i="35" s="1"/>
  <c r="CJ253" i="35" s="1"/>
  <c r="CQ17" i="35"/>
  <c r="Q17" i="19" s="1"/>
  <c r="AC17" i="19" s="1"/>
  <c r="DA162" i="35"/>
  <c r="Z162" i="19" s="1"/>
  <c r="U163" i="19"/>
  <c r="GH44" i="35"/>
  <c r="GV44" i="35" s="1"/>
  <c r="HD44" i="35" s="1"/>
  <c r="HH44" i="35" s="1"/>
  <c r="CZ44" i="35"/>
  <c r="Y44" i="19" s="1"/>
  <c r="CM44" i="35"/>
  <c r="GJ44" i="35" s="1"/>
  <c r="GX44" i="35" s="1"/>
  <c r="HJ12" i="35"/>
  <c r="V167" i="19"/>
  <c r="GT167" i="35"/>
  <c r="U167" i="19"/>
  <c r="GS167" i="35"/>
  <c r="CY44" i="35"/>
  <c r="X44" i="19" s="1"/>
  <c r="S167" i="19"/>
  <c r="GQ167" i="35"/>
  <c r="GT178" i="35"/>
  <c r="K162" i="19"/>
  <c r="GH162" i="35"/>
  <c r="GV162" i="35" s="1"/>
  <c r="HD162" i="35" s="1"/>
  <c r="HH162" i="35" s="1"/>
  <c r="FW28" i="35"/>
  <c r="FZ28" i="35" s="1"/>
  <c r="GB28" i="35" s="1"/>
  <c r="GS34" i="35"/>
  <c r="CH253" i="35"/>
  <c r="J253" i="19" s="1"/>
  <c r="K44" i="19"/>
  <c r="U131" i="19"/>
  <c r="GL178" i="35"/>
  <c r="GZ178" i="35" s="1"/>
  <c r="HB178" i="35" s="1"/>
  <c r="CQ178" i="35"/>
  <c r="GT164" i="35"/>
  <c r="FW205" i="35"/>
  <c r="FZ205" i="35" s="1"/>
  <c r="GB205" i="35" s="1"/>
  <c r="FW46" i="35"/>
  <c r="FZ46" i="35" s="1"/>
  <c r="GB46" i="35" s="1"/>
  <c r="GT29" i="35"/>
  <c r="U29" i="19"/>
  <c r="HG122" i="35"/>
  <c r="FP205" i="35"/>
  <c r="FR205" i="35" s="1"/>
  <c r="FV122" i="35"/>
  <c r="FW122" i="35" s="1"/>
  <c r="FZ122" i="35" s="1"/>
  <c r="GB122" i="35" s="1"/>
  <c r="V66" i="19"/>
  <c r="GQ180" i="35"/>
  <c r="GQ163" i="35"/>
  <c r="T163" i="19"/>
  <c r="CO205" i="35"/>
  <c r="GL205" i="35" s="1"/>
  <c r="GZ205" i="35" s="1"/>
  <c r="HB205" i="35" s="1"/>
  <c r="GN29" i="35"/>
  <c r="HJ29" i="35" s="1"/>
  <c r="HH122" i="35"/>
  <c r="HF122" i="35"/>
  <c r="GQ70" i="35"/>
  <c r="GJ205" i="35"/>
  <c r="GX205" i="35" s="1"/>
  <c r="GQ28" i="35"/>
  <c r="U28" i="19"/>
  <c r="GR46" i="35"/>
  <c r="HH202" i="35"/>
  <c r="GN34" i="35"/>
  <c r="HJ34" i="35" s="1"/>
  <c r="CT179" i="35"/>
  <c r="V122" i="19"/>
  <c r="GS178" i="35"/>
  <c r="HG202" i="35"/>
  <c r="CU179" i="35"/>
  <c r="GR179" i="35" s="1"/>
  <c r="GP179" i="35"/>
  <c r="GT179" i="35"/>
  <c r="GL70" i="35"/>
  <c r="GZ70" i="35" s="1"/>
  <c r="HB70" i="35" s="1"/>
  <c r="CQ70" i="35"/>
  <c r="Q70" i="19" s="1"/>
  <c r="AC70" i="19" s="1"/>
  <c r="S188" i="19"/>
  <c r="FV179" i="35"/>
  <c r="FX179" i="35" s="1"/>
  <c r="V34" i="19"/>
  <c r="HE202" i="35"/>
  <c r="CV179" i="35"/>
  <c r="R179" i="19"/>
  <c r="FW178" i="35"/>
  <c r="FZ178" i="35" s="1"/>
  <c r="GB178" i="35" s="1"/>
  <c r="FX178" i="35"/>
  <c r="HF205" i="35"/>
  <c r="HH205" i="35"/>
  <c r="HE205" i="35"/>
  <c r="HG205" i="35"/>
  <c r="CQ66" i="35"/>
  <c r="Q66" i="19" s="1"/>
  <c r="AC66" i="19" s="1"/>
  <c r="S66" i="19"/>
  <c r="GS70" i="35"/>
  <c r="O66" i="19"/>
  <c r="T70" i="19"/>
  <c r="FN44" i="35"/>
  <c r="FV44" i="35" s="1"/>
  <c r="FX44" i="35" s="1"/>
  <c r="DA44" i="35"/>
  <c r="Z44" i="19" s="1"/>
  <c r="CS44" i="35"/>
  <c r="S29" i="19"/>
  <c r="FV131" i="35"/>
  <c r="FW131" i="35" s="1"/>
  <c r="FZ131" i="35" s="1"/>
  <c r="GB131" i="35" s="1"/>
  <c r="O26" i="19"/>
  <c r="S205" i="19"/>
  <c r="GQ205" i="35"/>
  <c r="S46" i="19"/>
  <c r="GL26" i="35"/>
  <c r="GZ26" i="35" s="1"/>
  <c r="HB26" i="35" s="1"/>
  <c r="HJ26" i="35" s="1"/>
  <c r="Q26" i="19"/>
  <c r="AC26" i="19" s="1"/>
  <c r="FW76" i="35"/>
  <c r="FZ76" i="35" s="1"/>
  <c r="GB76" i="35" s="1"/>
  <c r="FX66" i="35"/>
  <c r="GT205" i="35"/>
  <c r="V205" i="19"/>
  <c r="T205" i="19"/>
  <c r="GR205" i="35"/>
  <c r="U66" i="19"/>
  <c r="I192" i="19"/>
  <c r="HF143" i="35"/>
  <c r="CF233" i="35"/>
  <c r="CG233" i="35" s="1"/>
  <c r="DR233" i="35" s="1"/>
  <c r="DV233" i="35" s="1"/>
  <c r="CA233" i="35"/>
  <c r="DC233" i="35" s="1"/>
  <c r="BT236" i="35"/>
  <c r="BW236" i="35" s="1"/>
  <c r="BY236" i="35" s="1"/>
  <c r="BZ236" i="35" s="1"/>
  <c r="BT252" i="35"/>
  <c r="BW252" i="35" s="1"/>
  <c r="BY252" i="35" s="1"/>
  <c r="BZ252" i="35" s="1"/>
  <c r="BT266" i="35"/>
  <c r="BW266" i="35" s="1"/>
  <c r="BY266" i="35" s="1"/>
  <c r="BZ266" i="35" s="1"/>
  <c r="CZ143" i="35"/>
  <c r="Y143" i="19" s="1"/>
  <c r="HE143" i="35"/>
  <c r="DA143" i="35"/>
  <c r="Z143" i="19" s="1"/>
  <c r="FN143" i="35"/>
  <c r="FP143" i="35" s="1"/>
  <c r="FR143" i="35" s="1"/>
  <c r="GN110" i="35"/>
  <c r="O110" i="19"/>
  <c r="GL110" i="35"/>
  <c r="GZ110" i="35" s="1"/>
  <c r="HB110" i="35" s="1"/>
  <c r="GJ131" i="35"/>
  <c r="GX131" i="35" s="1"/>
  <c r="HF131" i="35"/>
  <c r="CS143" i="35"/>
  <c r="R143" i="19" s="1"/>
  <c r="HE131" i="35"/>
  <c r="CY143" i="35"/>
  <c r="X143" i="19" s="1"/>
  <c r="CM143" i="35"/>
  <c r="M143" i="19" s="1"/>
  <c r="HG143" i="35"/>
  <c r="K143" i="19"/>
  <c r="HH131" i="35"/>
  <c r="CX143" i="35"/>
  <c r="W143" i="19" s="1"/>
  <c r="CO131" i="35"/>
  <c r="GL131" i="35" s="1"/>
  <c r="GZ131" i="35" s="1"/>
  <c r="HB131" i="35" s="1"/>
  <c r="GQ131" i="35"/>
  <c r="DV165" i="35"/>
  <c r="GN188" i="35"/>
  <c r="HJ188" i="35" s="1"/>
  <c r="Q188" i="19"/>
  <c r="AC188" i="19" s="1"/>
  <c r="GJ179" i="35"/>
  <c r="GX179" i="35" s="1"/>
  <c r="M179" i="19"/>
  <c r="CO179" i="35"/>
  <c r="CK185" i="35"/>
  <c r="CY185" i="35" s="1"/>
  <c r="X185" i="19" s="1"/>
  <c r="I185" i="19"/>
  <c r="CM13" i="35"/>
  <c r="DA13" i="35"/>
  <c r="Z13" i="19" s="1"/>
  <c r="CX13" i="35"/>
  <c r="W13" i="19" s="1"/>
  <c r="GH13" i="35"/>
  <c r="GV13" i="35" s="1"/>
  <c r="HD13" i="35" s="1"/>
  <c r="CZ13" i="35"/>
  <c r="Y13" i="19" s="1"/>
  <c r="FN13" i="35"/>
  <c r="K13" i="19"/>
  <c r="CY13" i="35"/>
  <c r="X13" i="19" s="1"/>
  <c r="CS13" i="35"/>
  <c r="HH179" i="35"/>
  <c r="HF179" i="35"/>
  <c r="HE179" i="35"/>
  <c r="HG179" i="35"/>
  <c r="CX206" i="35"/>
  <c r="W206" i="19" s="1"/>
  <c r="CY206" i="35"/>
  <c r="X206" i="19" s="1"/>
  <c r="CS206" i="35"/>
  <c r="K206" i="19"/>
  <c r="DA206" i="35"/>
  <c r="Z206" i="19" s="1"/>
  <c r="CZ206" i="35"/>
  <c r="Y206" i="19" s="1"/>
  <c r="CM206" i="35"/>
  <c r="FN206" i="35"/>
  <c r="GH206" i="35"/>
  <c r="GV206" i="35" s="1"/>
  <c r="HD206" i="35" s="1"/>
  <c r="DT185" i="35"/>
  <c r="Q60" i="19"/>
  <c r="AC60" i="19" s="1"/>
  <c r="GN60" i="35"/>
  <c r="HJ60" i="35" s="1"/>
  <c r="V43" i="19"/>
  <c r="GT43" i="35"/>
  <c r="GQ43" i="35"/>
  <c r="S43" i="19"/>
  <c r="T43" i="19"/>
  <c r="GR43" i="35"/>
  <c r="FX43" i="35"/>
  <c r="FW43" i="35"/>
  <c r="FZ43" i="35" s="1"/>
  <c r="GB43" i="35" s="1"/>
  <c r="U43" i="19"/>
  <c r="GS43" i="35"/>
  <c r="CQ43" i="35"/>
  <c r="GL43" i="35"/>
  <c r="GZ43" i="35" s="1"/>
  <c r="HB43" i="35" s="1"/>
  <c r="O43" i="19"/>
  <c r="BT273" i="35"/>
  <c r="BW273" i="35" s="1"/>
  <c r="BY273" i="35" s="1"/>
  <c r="BZ273" i="35" s="1"/>
  <c r="BT278" i="35"/>
  <c r="BW278" i="35" s="1"/>
  <c r="BY278" i="35" s="1"/>
  <c r="BZ278" i="35" s="1"/>
  <c r="HF24" i="35"/>
  <c r="HH24" i="35"/>
  <c r="HG24" i="35"/>
  <c r="HE24" i="35"/>
  <c r="M23" i="19"/>
  <c r="GJ23" i="35"/>
  <c r="GX23" i="35" s="1"/>
  <c r="CO23" i="35"/>
  <c r="BT256" i="35"/>
  <c r="HG103" i="35"/>
  <c r="HF103" i="35"/>
  <c r="HE103" i="35"/>
  <c r="HH103" i="35"/>
  <c r="BT271" i="35"/>
  <c r="BT282" i="35"/>
  <c r="GR175" i="35"/>
  <c r="T175" i="19"/>
  <c r="FP182" i="35"/>
  <c r="FR182" i="35" s="1"/>
  <c r="FT182" i="35" s="1"/>
  <c r="FV182" i="35"/>
  <c r="CA198" i="35"/>
  <c r="CH198" i="35" s="1"/>
  <c r="J198" i="19" s="1"/>
  <c r="CF198" i="35"/>
  <c r="CG198" i="35" s="1"/>
  <c r="CJ198" i="35" s="1"/>
  <c r="CT103" i="35"/>
  <c r="CU103" i="35"/>
  <c r="GP103" i="35"/>
  <c r="R103" i="19"/>
  <c r="CW103" i="35"/>
  <c r="CV103" i="35"/>
  <c r="CO51" i="35"/>
  <c r="M51" i="19"/>
  <c r="GJ51" i="35"/>
  <c r="GX51" i="35" s="1"/>
  <c r="BT258" i="35"/>
  <c r="BW258" i="35" s="1"/>
  <c r="BY258" i="35" s="1"/>
  <c r="BZ258" i="35" s="1"/>
  <c r="O175" i="19"/>
  <c r="CQ175" i="35"/>
  <c r="GL175" i="35"/>
  <c r="GZ175" i="35" s="1"/>
  <c r="HB175" i="35" s="1"/>
  <c r="GP23" i="35"/>
  <c r="CU23" i="35"/>
  <c r="R23" i="19"/>
  <c r="CW23" i="35"/>
  <c r="CV23" i="35"/>
  <c r="CT23" i="35"/>
  <c r="CO40" i="35"/>
  <c r="M40" i="19"/>
  <c r="GJ40" i="35"/>
  <c r="GX40" i="35" s="1"/>
  <c r="CK191" i="35"/>
  <c r="FP103" i="35"/>
  <c r="FR103" i="35" s="1"/>
  <c r="FT103" i="35" s="1"/>
  <c r="FV103" i="35"/>
  <c r="FP23" i="35"/>
  <c r="FR23" i="35" s="1"/>
  <c r="FT23" i="35" s="1"/>
  <c r="FV23" i="35"/>
  <c r="H248" i="19"/>
  <c r="DR248" i="35"/>
  <c r="CJ248" i="35"/>
  <c r="CI248" i="35"/>
  <c r="EW248" i="35"/>
  <c r="BT227" i="35"/>
  <c r="S175" i="19"/>
  <c r="GQ175" i="35"/>
  <c r="CO24" i="35"/>
  <c r="GJ24" i="35"/>
  <c r="GX24" i="35" s="1"/>
  <c r="M24" i="19"/>
  <c r="HH182" i="35"/>
  <c r="HE182" i="35"/>
  <c r="HF182" i="35"/>
  <c r="HG182" i="35"/>
  <c r="GH207" i="35"/>
  <c r="GV207" i="35" s="1"/>
  <c r="HD207" i="35" s="1"/>
  <c r="CY207" i="35"/>
  <c r="X207" i="19" s="1"/>
  <c r="CX207" i="35"/>
  <c r="W207" i="19" s="1"/>
  <c r="CM207" i="35"/>
  <c r="CZ207" i="35"/>
  <c r="Y207" i="19" s="1"/>
  <c r="DA207" i="35"/>
  <c r="Z207" i="19" s="1"/>
  <c r="FN207" i="35"/>
  <c r="CS207" i="35"/>
  <c r="K207" i="19"/>
  <c r="CU40" i="35"/>
  <c r="CW40" i="35"/>
  <c r="CV40" i="35"/>
  <c r="R40" i="19"/>
  <c r="CT40" i="35"/>
  <c r="GP40" i="35"/>
  <c r="FP51" i="35"/>
  <c r="FR51" i="35" s="1"/>
  <c r="FT51" i="35" s="1"/>
  <c r="FV51" i="35"/>
  <c r="DC248" i="35"/>
  <c r="CH248" i="35"/>
  <c r="J248" i="19" s="1"/>
  <c r="BT267" i="35"/>
  <c r="BW267" i="35" s="1"/>
  <c r="BY267" i="35" s="1"/>
  <c r="BZ267" i="35" s="1"/>
  <c r="V175" i="19"/>
  <c r="GT175" i="35"/>
  <c r="CA254" i="35"/>
  <c r="CF254" i="35"/>
  <c r="CG254" i="35" s="1"/>
  <c r="U181" i="19"/>
  <c r="GS181" i="35"/>
  <c r="FX181" i="35"/>
  <c r="FW181" i="35"/>
  <c r="FZ181" i="35" s="1"/>
  <c r="GB181" i="35" s="1"/>
  <c r="CY197" i="35"/>
  <c r="X197" i="19" s="1"/>
  <c r="CS197" i="35"/>
  <c r="CM197" i="35"/>
  <c r="K197" i="19"/>
  <c r="GH197" i="35"/>
  <c r="GV197" i="35" s="1"/>
  <c r="HD197" i="35" s="1"/>
  <c r="CX197" i="35"/>
  <c r="W197" i="19" s="1"/>
  <c r="FN197" i="35"/>
  <c r="DA197" i="35"/>
  <c r="Z197" i="19" s="1"/>
  <c r="CZ197" i="35"/>
  <c r="Y197" i="19" s="1"/>
  <c r="CW51" i="35"/>
  <c r="CT51" i="35"/>
  <c r="CV51" i="35"/>
  <c r="GP51" i="35"/>
  <c r="R51" i="19"/>
  <c r="CU51" i="35"/>
  <c r="BT274" i="35"/>
  <c r="FP24" i="35"/>
  <c r="FR24" i="35" s="1"/>
  <c r="FT24" i="35" s="1"/>
  <c r="FV24" i="35"/>
  <c r="DC224" i="35"/>
  <c r="CH224" i="35"/>
  <c r="J224" i="19" s="1"/>
  <c r="BT264" i="35"/>
  <c r="BW264" i="35" s="1"/>
  <c r="BY264" i="35" s="1"/>
  <c r="BZ264" i="35" s="1"/>
  <c r="U175" i="19"/>
  <c r="GS175" i="35"/>
  <c r="CT24" i="35"/>
  <c r="GP24" i="35"/>
  <c r="CU24" i="35"/>
  <c r="CW24" i="35"/>
  <c r="CV24" i="35"/>
  <c r="R24" i="19"/>
  <c r="CT182" i="35"/>
  <c r="CU182" i="35"/>
  <c r="CV182" i="35"/>
  <c r="CW182" i="35"/>
  <c r="GP182" i="35"/>
  <c r="R182" i="19"/>
  <c r="DC237" i="35"/>
  <c r="CH237" i="35"/>
  <c r="S181" i="19"/>
  <c r="GQ181" i="35"/>
  <c r="DT191" i="35"/>
  <c r="BT200" i="35"/>
  <c r="BW200" i="35" s="1"/>
  <c r="BY200" i="35" s="1"/>
  <c r="BZ200" i="35" s="1"/>
  <c r="CO182" i="35"/>
  <c r="M182" i="19"/>
  <c r="GJ182" i="35"/>
  <c r="GX182" i="35" s="1"/>
  <c r="H237" i="19"/>
  <c r="CJ237" i="35"/>
  <c r="DR237" i="35"/>
  <c r="CI237" i="35"/>
  <c r="T181" i="19"/>
  <c r="GR181" i="35"/>
  <c r="BT260" i="35"/>
  <c r="HH23" i="35"/>
  <c r="HE23" i="35"/>
  <c r="HG23" i="35"/>
  <c r="HF23" i="35"/>
  <c r="EW224" i="35"/>
  <c r="CI224" i="35"/>
  <c r="DR224" i="35"/>
  <c r="H224" i="19"/>
  <c r="CJ224" i="35"/>
  <c r="BT268" i="35"/>
  <c r="FX175" i="35"/>
  <c r="FW175" i="35"/>
  <c r="FZ175" i="35" s="1"/>
  <c r="GB175" i="35" s="1"/>
  <c r="DC193" i="35"/>
  <c r="CH193" i="35"/>
  <c r="FP40" i="35"/>
  <c r="FR40" i="35" s="1"/>
  <c r="FT40" i="35" s="1"/>
  <c r="FV40" i="35"/>
  <c r="GT181" i="35"/>
  <c r="V181" i="19"/>
  <c r="CH229" i="35"/>
  <c r="J229" i="19" s="1"/>
  <c r="DC229" i="35"/>
  <c r="HF40" i="35"/>
  <c r="HG40" i="35"/>
  <c r="HH40" i="35"/>
  <c r="HE40" i="35"/>
  <c r="EW229" i="35"/>
  <c r="CI229" i="35"/>
  <c r="DR229" i="35"/>
  <c r="H229" i="19"/>
  <c r="CJ229" i="35"/>
  <c r="CK192" i="35"/>
  <c r="CM192" i="35" s="1"/>
  <c r="GJ192" i="35" s="1"/>
  <c r="GX192" i="35" s="1"/>
  <c r="BT255" i="35"/>
  <c r="BT204" i="35"/>
  <c r="GL181" i="35"/>
  <c r="GZ181" i="35" s="1"/>
  <c r="HB181" i="35" s="1"/>
  <c r="CQ181" i="35"/>
  <c r="O181" i="19"/>
  <c r="DR193" i="35"/>
  <c r="CI193" i="35"/>
  <c r="H193" i="19"/>
  <c r="EW193" i="35"/>
  <c r="CJ193" i="35"/>
  <c r="GJ103" i="35"/>
  <c r="GX103" i="35" s="1"/>
  <c r="M103" i="19"/>
  <c r="CO103" i="35"/>
  <c r="HF51" i="35"/>
  <c r="HH51" i="35"/>
  <c r="HE51" i="35"/>
  <c r="HG51" i="35"/>
  <c r="CF269" i="35"/>
  <c r="CG269" i="35" s="1"/>
  <c r="CA269" i="35"/>
  <c r="O172" i="19"/>
  <c r="CQ172" i="35"/>
  <c r="GL172" i="35"/>
  <c r="GZ172" i="35" s="1"/>
  <c r="HB172" i="35" s="1"/>
  <c r="V161" i="19"/>
  <c r="GT161" i="35"/>
  <c r="GQ161" i="35"/>
  <c r="S161" i="19"/>
  <c r="GS172" i="35"/>
  <c r="U172" i="19"/>
  <c r="GQ172" i="35"/>
  <c r="S172" i="19"/>
  <c r="CJ234" i="35"/>
  <c r="H234" i="19"/>
  <c r="CI234" i="35"/>
  <c r="EW234" i="35"/>
  <c r="DR234" i="35"/>
  <c r="FW172" i="35"/>
  <c r="FZ172" i="35" s="1"/>
  <c r="GB172" i="35" s="1"/>
  <c r="FX172" i="35"/>
  <c r="GL161" i="35"/>
  <c r="GZ161" i="35" s="1"/>
  <c r="HB161" i="35" s="1"/>
  <c r="O161" i="19"/>
  <c r="CQ161" i="35"/>
  <c r="GR172" i="35"/>
  <c r="T172" i="19"/>
  <c r="GT172" i="35"/>
  <c r="V172" i="19"/>
  <c r="BR272" i="35"/>
  <c r="BR240" i="35"/>
  <c r="BR231" i="35"/>
  <c r="BR246" i="35"/>
  <c r="BR230" i="35"/>
  <c r="BR249" i="35"/>
  <c r="BR245" i="35"/>
  <c r="BR235" i="35"/>
  <c r="BR247" i="35"/>
  <c r="BR223" i="35"/>
  <c r="BR263" i="35"/>
  <c r="BR244" i="35"/>
  <c r="BR232" i="35"/>
  <c r="BR243" i="35"/>
  <c r="BR241" i="35"/>
  <c r="T176" i="19"/>
  <c r="BL305" i="35"/>
  <c r="BN305" i="35" s="1"/>
  <c r="BP305" i="35" s="1"/>
  <c r="BL289" i="35"/>
  <c r="BN289" i="35" s="1"/>
  <c r="BP289" i="35" s="1"/>
  <c r="BL303" i="35"/>
  <c r="BN303" i="35" s="1"/>
  <c r="BP303" i="35" s="1"/>
  <c r="BL281" i="35"/>
  <c r="BN281" i="35" s="1"/>
  <c r="BP281" i="35" s="1"/>
  <c r="BL310" i="35"/>
  <c r="BN310" i="35" s="1"/>
  <c r="BP310" i="35" s="1"/>
  <c r="BL313" i="35"/>
  <c r="BN313" i="35" s="1"/>
  <c r="BP313" i="35" s="1"/>
  <c r="BL288" i="35"/>
  <c r="BN288" i="35" s="1"/>
  <c r="BP288" i="35" s="1"/>
  <c r="BL238" i="35"/>
  <c r="BN238" i="35" s="1"/>
  <c r="BP238" i="35" s="1"/>
  <c r="BL302" i="35"/>
  <c r="BN302" i="35" s="1"/>
  <c r="BP302" i="35" s="1"/>
  <c r="BL300" i="35"/>
  <c r="BN300" i="35" s="1"/>
  <c r="BP300" i="35" s="1"/>
  <c r="BL311" i="35"/>
  <c r="BN311" i="35" s="1"/>
  <c r="BP311" i="35" s="1"/>
  <c r="BL293" i="35"/>
  <c r="BN293" i="35" s="1"/>
  <c r="BP293" i="35" s="1"/>
  <c r="BL262" i="35"/>
  <c r="BN262" i="35" s="1"/>
  <c r="BP262" i="35" s="1"/>
  <c r="BL314" i="35"/>
  <c r="BN314" i="35" s="1"/>
  <c r="BP314" i="35" s="1"/>
  <c r="BL312" i="35"/>
  <c r="BN312" i="35" s="1"/>
  <c r="BP312" i="35" s="1"/>
  <c r="FX7" i="35"/>
  <c r="FW7" i="35"/>
  <c r="FZ7" i="35" s="1"/>
  <c r="GB7" i="35" s="1"/>
  <c r="V7" i="19"/>
  <c r="GT7" i="35"/>
  <c r="U7" i="19"/>
  <c r="GS7" i="35"/>
  <c r="GR7" i="35"/>
  <c r="T7" i="19"/>
  <c r="GQ7" i="35"/>
  <c r="S7" i="19"/>
  <c r="EK7" i="35"/>
  <c r="CQ7" i="35"/>
  <c r="GL7" i="35"/>
  <c r="GZ7" i="35" s="1"/>
  <c r="HB7" i="35" s="1"/>
  <c r="O7" i="19"/>
  <c r="BJ257" i="35"/>
  <c r="BL257" i="35" s="1"/>
  <c r="BN257" i="35" s="1"/>
  <c r="BP257" i="35" s="1"/>
  <c r="BJ239" i="35"/>
  <c r="BL239" i="35" s="1"/>
  <c r="BN239" i="35" s="1"/>
  <c r="BP239" i="35" s="1"/>
  <c r="BJ250" i="35"/>
  <c r="BL250" i="35" s="1"/>
  <c r="BN250" i="35" s="1"/>
  <c r="BP250" i="35" s="1"/>
  <c r="BJ242" i="35"/>
  <c r="BL242" i="35" s="1"/>
  <c r="BN242" i="35" s="1"/>
  <c r="BP242" i="35" s="1"/>
  <c r="BH259" i="35"/>
  <c r="BH270" i="35"/>
  <c r="BH280" i="35"/>
  <c r="BH279" i="35"/>
  <c r="BH275" i="35"/>
  <c r="BH284" i="35"/>
  <c r="BH265" i="35"/>
  <c r="BH276" i="35"/>
  <c r="BF299" i="35"/>
  <c r="BF283" i="35"/>
  <c r="BF285" i="35"/>
  <c r="BD291" i="35"/>
  <c r="BD316" i="35"/>
  <c r="BF316" i="35" s="1"/>
  <c r="BH316" i="35" s="1"/>
  <c r="BJ316" i="35" s="1"/>
  <c r="BD308" i="35"/>
  <c r="BD307" i="35"/>
  <c r="BD315" i="35"/>
  <c r="BD309" i="35"/>
  <c r="BD287" i="35"/>
  <c r="BD296" i="35"/>
  <c r="BD294" i="35"/>
  <c r="BD295" i="35"/>
  <c r="BD292" i="35"/>
  <c r="BD306" i="35"/>
  <c r="BD304" i="35"/>
  <c r="BD290" i="35"/>
  <c r="BA286" i="35"/>
  <c r="BD286" i="35" s="1"/>
  <c r="BF286" i="35" s="1"/>
  <c r="BH286" i="35" s="1"/>
  <c r="BJ286" i="35" s="1"/>
  <c r="BA297" i="35"/>
  <c r="BA301" i="35"/>
  <c r="BA343" i="35"/>
  <c r="BD343" i="35" s="1"/>
  <c r="BF343" i="35" s="1"/>
  <c r="BH343" i="35" s="1"/>
  <c r="BJ343" i="35" s="1"/>
  <c r="BA317" i="35"/>
  <c r="BA336" i="35"/>
  <c r="BA298" i="35"/>
  <c r="BD298" i="35" s="1"/>
  <c r="BF298" i="35" s="1"/>
  <c r="BH298" i="35" s="1"/>
  <c r="BJ298" i="35" s="1"/>
  <c r="AZ324" i="35"/>
  <c r="AZ334" i="35"/>
  <c r="AZ345" i="35"/>
  <c r="AZ341" i="35"/>
  <c r="AZ340" i="35"/>
  <c r="AZ328" i="35"/>
  <c r="AZ326" i="35"/>
  <c r="AZ322" i="35"/>
  <c r="AZ344" i="35"/>
  <c r="AZ346" i="35"/>
  <c r="AZ332" i="35"/>
  <c r="AZ329" i="35"/>
  <c r="AZ333" i="35"/>
  <c r="AZ323" i="35"/>
  <c r="AZ318" i="35"/>
  <c r="AZ330" i="35"/>
  <c r="AZ321" i="35"/>
  <c r="AZ337" i="35"/>
  <c r="AZ339" i="35"/>
  <c r="AZ325" i="35"/>
  <c r="AZ338" i="35"/>
  <c r="DO333" i="35"/>
  <c r="DN333" i="35" s="1"/>
  <c r="AX320" i="35"/>
  <c r="AX319" i="35"/>
  <c r="AX327" i="35"/>
  <c r="DO324" i="35"/>
  <c r="DN324" i="35" s="1"/>
  <c r="AX347" i="35"/>
  <c r="AS372" i="35"/>
  <c r="AU376" i="35"/>
  <c r="AW376" i="35" s="1"/>
  <c r="AX342" i="35"/>
  <c r="AZ342" i="35" s="1"/>
  <c r="AS356" i="35"/>
  <c r="AU351" i="35"/>
  <c r="AW351" i="35" s="1"/>
  <c r="AX335" i="35"/>
  <c r="AZ335" i="35" s="1"/>
  <c r="AS373" i="35"/>
  <c r="AX331" i="35"/>
  <c r="DP339" i="35"/>
  <c r="DO330" i="35"/>
  <c r="DN330" i="35" s="1"/>
  <c r="DO334" i="35"/>
  <c r="DN334" i="35" s="1"/>
  <c r="DO336" i="35"/>
  <c r="DN336" i="35" s="1"/>
  <c r="DP340" i="35"/>
  <c r="DP322" i="35"/>
  <c r="DP343" i="35"/>
  <c r="DO341" i="35"/>
  <c r="DN341" i="35" s="1"/>
  <c r="DP337" i="35"/>
  <c r="DO344" i="35"/>
  <c r="DN344" i="35" s="1"/>
  <c r="AU373" i="35"/>
  <c r="AW373" i="35" s="1"/>
  <c r="AU372" i="35"/>
  <c r="AV372" i="35" s="1"/>
  <c r="AS376" i="35"/>
  <c r="DO329" i="35"/>
  <c r="DN329" i="35" s="1"/>
  <c r="DO328" i="35"/>
  <c r="DN328" i="35" s="1"/>
  <c r="AU356" i="35"/>
  <c r="AV356" i="35" s="1"/>
  <c r="DP346" i="35"/>
  <c r="DP326" i="35"/>
  <c r="DP345" i="35"/>
  <c r="AS351" i="35"/>
  <c r="DP321" i="35"/>
  <c r="DB368" i="35"/>
  <c r="DB363" i="35"/>
  <c r="DB348" i="35"/>
  <c r="DB350" i="35"/>
  <c r="DB377" i="35"/>
  <c r="DB359" i="35"/>
  <c r="DB366" i="35"/>
  <c r="DB371" i="35"/>
  <c r="DB354" i="35"/>
  <c r="DB362" i="35"/>
  <c r="DB369" i="35"/>
  <c r="DB374" i="35"/>
  <c r="DB370" i="35"/>
  <c r="DB353" i="35"/>
  <c r="DB360" i="35"/>
  <c r="DB349" i="35"/>
  <c r="DB364" i="35"/>
  <c r="DB355" i="35"/>
  <c r="DB358" i="35"/>
  <c r="DB376" i="35"/>
  <c r="DB356" i="35"/>
  <c r="DB367" i="35"/>
  <c r="DB351" i="35"/>
  <c r="DB352" i="35"/>
  <c r="DB375" i="35"/>
  <c r="DB357" i="35"/>
  <c r="DB365" i="35"/>
  <c r="DB361" i="35"/>
  <c r="DB373" i="35"/>
  <c r="DB372" i="35"/>
  <c r="AU367" i="35"/>
  <c r="AW367" i="35" s="1"/>
  <c r="AV347" i="35"/>
  <c r="DO347" i="35" s="1"/>
  <c r="DN347" i="35" s="1"/>
  <c r="DO332" i="35"/>
  <c r="DN332" i="35" s="1"/>
  <c r="AS367" i="35"/>
  <c r="DO317" i="35"/>
  <c r="DN317" i="35" s="1"/>
  <c r="DP338" i="35"/>
  <c r="AU348" i="35"/>
  <c r="AW348" i="35" s="1"/>
  <c r="AS363" i="35"/>
  <c r="AS353" i="35"/>
  <c r="AU365" i="35"/>
  <c r="AW365" i="35" s="1"/>
  <c r="AS348" i="35"/>
  <c r="AS368" i="35"/>
  <c r="AU368" i="35"/>
  <c r="AW368" i="35" s="1"/>
  <c r="AU350" i="35"/>
  <c r="AW350" i="35" s="1"/>
  <c r="AS350" i="35"/>
  <c r="DP325" i="35"/>
  <c r="AU363" i="35"/>
  <c r="AV363" i="35" s="1"/>
  <c r="AS364" i="35"/>
  <c r="AU364" i="35"/>
  <c r="AW364" i="35" s="1"/>
  <c r="AU349" i="35"/>
  <c r="AW349" i="35" s="1"/>
  <c r="AU355" i="35"/>
  <c r="AV355" i="35" s="1"/>
  <c r="AS355" i="35"/>
  <c r="AS360" i="35"/>
  <c r="AS349" i="35"/>
  <c r="AU353" i="35"/>
  <c r="AW353" i="35" s="1"/>
  <c r="AU360" i="35"/>
  <c r="AW360" i="35" s="1"/>
  <c r="AU369" i="35"/>
  <c r="AV369" i="35" s="1"/>
  <c r="DO323" i="35"/>
  <c r="DN323" i="35" s="1"/>
  <c r="DO318" i="35"/>
  <c r="DN318" i="35" s="1"/>
  <c r="AU366" i="35"/>
  <c r="AW366" i="35" s="1"/>
  <c r="AU352" i="35"/>
  <c r="AW352" i="35" s="1"/>
  <c r="AS357" i="35"/>
  <c r="AS352" i="35"/>
  <c r="AU357" i="35"/>
  <c r="AV357" i="35" s="1"/>
  <c r="DP357" i="35" s="1"/>
  <c r="AS375" i="35"/>
  <c r="AU375" i="35"/>
  <c r="AV375" i="35" s="1"/>
  <c r="AS365" i="35"/>
  <c r="AS358" i="35"/>
  <c r="AU358" i="35"/>
  <c r="AW358" i="35" s="1"/>
  <c r="AU361" i="35"/>
  <c r="AW361" i="35" s="1"/>
  <c r="AS361" i="35"/>
  <c r="AS369" i="35"/>
  <c r="AU362" i="35"/>
  <c r="AW362" i="35" s="1"/>
  <c r="AS362" i="35"/>
  <c r="AS374" i="35"/>
  <c r="AU374" i="35"/>
  <c r="AV374" i="35" s="1"/>
  <c r="AU354" i="35"/>
  <c r="AW354" i="35" s="1"/>
  <c r="AS370" i="35"/>
  <c r="AS354" i="35"/>
  <c r="AU370" i="35"/>
  <c r="AV370" i="35" s="1"/>
  <c r="AS359" i="35"/>
  <c r="AU359" i="35"/>
  <c r="AW359" i="35" s="1"/>
  <c r="AU371" i="35"/>
  <c r="AW371" i="35" s="1"/>
  <c r="AS371" i="35"/>
  <c r="AS377" i="35"/>
  <c r="AS366" i="35"/>
  <c r="AU377" i="35"/>
  <c r="AW377" i="35" s="1"/>
  <c r="M70" i="10"/>
  <c r="M70" i="39"/>
  <c r="M72" i="10"/>
  <c r="M72" i="39"/>
  <c r="M69" i="10"/>
  <c r="M69" i="39"/>
  <c r="M71" i="10"/>
  <c r="M71" i="39"/>
  <c r="M68" i="10"/>
  <c r="M68" i="39"/>
  <c r="B59" i="37"/>
  <c r="AT21" i="37"/>
  <c r="AI379" i="35"/>
  <c r="AI380" i="35" s="1"/>
  <c r="AK378" i="35"/>
  <c r="L1" i="23"/>
  <c r="F33" i="23"/>
  <c r="W16" i="23"/>
  <c r="V17" i="23"/>
  <c r="CI177" i="35" l="1"/>
  <c r="FP65" i="35"/>
  <c r="FR65" i="35" s="1"/>
  <c r="FT65" i="35" s="1"/>
  <c r="CQ37" i="35"/>
  <c r="GL37" i="35"/>
  <c r="GZ37" i="35" s="1"/>
  <c r="HB37" i="35" s="1"/>
  <c r="O37" i="19"/>
  <c r="CQ16" i="35"/>
  <c r="T37" i="19"/>
  <c r="GR37" i="35"/>
  <c r="GL16" i="35"/>
  <c r="GZ16" i="35" s="1"/>
  <c r="HB16" i="35" s="1"/>
  <c r="S37" i="19"/>
  <c r="GQ37" i="35"/>
  <c r="DR177" i="35"/>
  <c r="FW65" i="35"/>
  <c r="FZ65" i="35" s="1"/>
  <c r="GB65" i="35" s="1"/>
  <c r="U37" i="19"/>
  <c r="GS37" i="35"/>
  <c r="CJ177" i="35"/>
  <c r="CQ134" i="35"/>
  <c r="GN134" i="35" s="1"/>
  <c r="HJ134" i="35" s="1"/>
  <c r="GT116" i="35"/>
  <c r="V37" i="19"/>
  <c r="GT37" i="35"/>
  <c r="H177" i="19"/>
  <c r="O134" i="19"/>
  <c r="I125" i="19"/>
  <c r="T164" i="19"/>
  <c r="GJ65" i="35"/>
  <c r="GX65" i="35" s="1"/>
  <c r="CO65" i="35"/>
  <c r="CQ65" i="35" s="1"/>
  <c r="GN65" i="35" s="1"/>
  <c r="Q116" i="19"/>
  <c r="AC116" i="19" s="1"/>
  <c r="DV190" i="35"/>
  <c r="FX113" i="35"/>
  <c r="FW113" i="35"/>
  <c r="FZ113" i="35" s="1"/>
  <c r="GB113" i="35" s="1"/>
  <c r="DV176" i="35"/>
  <c r="U26" i="19"/>
  <c r="GS26" i="35"/>
  <c r="DT174" i="35"/>
  <c r="DC174" i="35"/>
  <c r="T26" i="19"/>
  <c r="GR26" i="35"/>
  <c r="V26" i="19"/>
  <c r="GT26" i="35"/>
  <c r="DR184" i="35"/>
  <c r="GR178" i="35"/>
  <c r="CQ113" i="35"/>
  <c r="GL113" i="35"/>
  <c r="GZ113" i="35" s="1"/>
  <c r="HB113" i="35" s="1"/>
  <c r="O113" i="19"/>
  <c r="S26" i="19"/>
  <c r="GQ26" i="35"/>
  <c r="CK125" i="35"/>
  <c r="CS125" i="35" s="1"/>
  <c r="HJ202" i="35"/>
  <c r="Q202" i="19"/>
  <c r="AC202" i="19" s="1"/>
  <c r="DT189" i="35"/>
  <c r="GJ122" i="35"/>
  <c r="GX122" i="35" s="1"/>
  <c r="FW93" i="35"/>
  <c r="FZ93" i="35" s="1"/>
  <c r="GB93" i="35" s="1"/>
  <c r="V28" i="19"/>
  <c r="GQ82" i="35"/>
  <c r="GN140" i="35"/>
  <c r="HJ140" i="35" s="1"/>
  <c r="Q140" i="19"/>
  <c r="AC140" i="19" s="1"/>
  <c r="HH176" i="35"/>
  <c r="O122" i="19"/>
  <c r="FW187" i="35"/>
  <c r="FZ187" i="35" s="1"/>
  <c r="GB187" i="35" s="1"/>
  <c r="CA220" i="35"/>
  <c r="DC220" i="35" s="1"/>
  <c r="CU202" i="35"/>
  <c r="T202" i="19" s="1"/>
  <c r="U46" i="19"/>
  <c r="FN176" i="35"/>
  <c r="FV176" i="35" s="1"/>
  <c r="FX176" i="35" s="1"/>
  <c r="S178" i="19"/>
  <c r="GN139" i="35"/>
  <c r="HJ139" i="35" s="1"/>
  <c r="Q139" i="19"/>
  <c r="AC139" i="19" s="1"/>
  <c r="GN101" i="35"/>
  <c r="HJ101" i="35" s="1"/>
  <c r="Q101" i="19"/>
  <c r="AC101" i="19" s="1"/>
  <c r="CW202" i="35"/>
  <c r="GT202" i="35" s="1"/>
  <c r="GN155" i="35"/>
  <c r="HJ155" i="35" s="1"/>
  <c r="CV202" i="35"/>
  <c r="U202" i="19" s="1"/>
  <c r="GS187" i="35"/>
  <c r="HF176" i="35"/>
  <c r="CQ122" i="35"/>
  <c r="Q122" i="19" s="1"/>
  <c r="AC122" i="19" s="1"/>
  <c r="HG176" i="35"/>
  <c r="GT46" i="35"/>
  <c r="I176" i="19"/>
  <c r="I196" i="19"/>
  <c r="CK196" i="35"/>
  <c r="GN82" i="35"/>
  <c r="HJ82" i="35" s="1"/>
  <c r="T28" i="19"/>
  <c r="S170" i="19"/>
  <c r="Q65" i="19"/>
  <c r="AC65" i="19" s="1"/>
  <c r="GN137" i="35"/>
  <c r="HJ137" i="35" s="1"/>
  <c r="O65" i="19"/>
  <c r="CV176" i="35"/>
  <c r="GL65" i="35"/>
  <c r="GZ65" i="35" s="1"/>
  <c r="HB65" i="35" s="1"/>
  <c r="M122" i="19"/>
  <c r="DT196" i="35"/>
  <c r="CZ176" i="35"/>
  <c r="Y176" i="19" s="1"/>
  <c r="CY152" i="35"/>
  <c r="X152" i="19" s="1"/>
  <c r="CZ152" i="35"/>
  <c r="Y152" i="19" s="1"/>
  <c r="K152" i="19"/>
  <c r="FN152" i="35"/>
  <c r="CX152" i="35"/>
  <c r="W152" i="19" s="1"/>
  <c r="CM152" i="35"/>
  <c r="DA152" i="35"/>
  <c r="Z152" i="19" s="1"/>
  <c r="CS152" i="35"/>
  <c r="GH152" i="35"/>
  <c r="GV152" i="35" s="1"/>
  <c r="HD152" i="35" s="1"/>
  <c r="HF69" i="35"/>
  <c r="HH69" i="35"/>
  <c r="HG69" i="35"/>
  <c r="HE69" i="35"/>
  <c r="GL28" i="35"/>
  <c r="GZ28" i="35" s="1"/>
  <c r="HB28" i="35" s="1"/>
  <c r="FN219" i="35"/>
  <c r="FP219" i="35" s="1"/>
  <c r="FR219" i="35" s="1"/>
  <c r="CW69" i="35"/>
  <c r="CT69" i="35"/>
  <c r="GP69" i="35"/>
  <c r="CV69" i="35"/>
  <c r="CU69" i="35"/>
  <c r="R69" i="19"/>
  <c r="GN46" i="35"/>
  <c r="HJ46" i="35" s="1"/>
  <c r="CX219" i="35"/>
  <c r="W219" i="19" s="1"/>
  <c r="CS219" i="35"/>
  <c r="CU219" i="35" s="1"/>
  <c r="I210" i="19"/>
  <c r="CQ58" i="35"/>
  <c r="GL58" i="35"/>
  <c r="GZ58" i="35" s="1"/>
  <c r="HB58" i="35" s="1"/>
  <c r="O58" i="19"/>
  <c r="S58" i="19"/>
  <c r="GQ58" i="35"/>
  <c r="CK173" i="35"/>
  <c r="CS173" i="35" s="1"/>
  <c r="K219" i="19"/>
  <c r="M69" i="19"/>
  <c r="GJ69" i="35"/>
  <c r="GX69" i="35" s="1"/>
  <c r="CO69" i="35"/>
  <c r="FW58" i="35"/>
  <c r="FZ58" i="35" s="1"/>
  <c r="GB58" i="35" s="1"/>
  <c r="FX58" i="35"/>
  <c r="CA177" i="35"/>
  <c r="GS58" i="35"/>
  <c r="U58" i="19"/>
  <c r="DA219" i="35"/>
  <c r="Z219" i="19" s="1"/>
  <c r="FP69" i="35"/>
  <c r="FR69" i="35" s="1"/>
  <c r="FT69" i="35" s="1"/>
  <c r="FV69" i="35"/>
  <c r="V58" i="19"/>
  <c r="GT58" i="35"/>
  <c r="CF251" i="35"/>
  <c r="CG251" i="35" s="1"/>
  <c r="CI251" i="35" s="1"/>
  <c r="GR58" i="35"/>
  <c r="T58" i="19"/>
  <c r="DA190" i="35"/>
  <c r="Z190" i="19" s="1"/>
  <c r="CK217" i="35"/>
  <c r="CK210" i="35"/>
  <c r="GH210" i="35" s="1"/>
  <c r="GV210" i="35" s="1"/>
  <c r="HD210" i="35" s="1"/>
  <c r="HF210" i="35" s="1"/>
  <c r="U82" i="19"/>
  <c r="CJ171" i="35"/>
  <c r="EW171" i="35"/>
  <c r="H171" i="19"/>
  <c r="DR171" i="35"/>
  <c r="DR379" i="35" s="1"/>
  <c r="DS383" i="35" s="1"/>
  <c r="DS384" i="35" s="1"/>
  <c r="CI171" i="35"/>
  <c r="K112" i="19"/>
  <c r="CS112" i="35"/>
  <c r="FN112" i="35"/>
  <c r="CX112" i="35"/>
  <c r="W112" i="19" s="1"/>
  <c r="CY112" i="35"/>
  <c r="X112" i="19" s="1"/>
  <c r="DA112" i="35"/>
  <c r="Z112" i="19" s="1"/>
  <c r="GH112" i="35"/>
  <c r="GV112" i="35" s="1"/>
  <c r="HD112" i="35" s="1"/>
  <c r="CZ112" i="35"/>
  <c r="Y112" i="19" s="1"/>
  <c r="CM112" i="35"/>
  <c r="GN149" i="35"/>
  <c r="HJ149" i="35" s="1"/>
  <c r="Q149" i="19"/>
  <c r="AC149" i="19" s="1"/>
  <c r="DC251" i="35"/>
  <c r="CH251" i="35"/>
  <c r="J251" i="19" s="1"/>
  <c r="EW194" i="35"/>
  <c r="CJ194" i="35"/>
  <c r="H194" i="19"/>
  <c r="DR194" i="35"/>
  <c r="DT194" i="35" s="1"/>
  <c r="CI194" i="35"/>
  <c r="DC189" i="35"/>
  <c r="CH189" i="35"/>
  <c r="S99" i="19"/>
  <c r="GQ99" i="35"/>
  <c r="CJ208" i="35"/>
  <c r="DR208" i="35"/>
  <c r="EW208" i="35"/>
  <c r="H208" i="19"/>
  <c r="CI208" i="35"/>
  <c r="GR161" i="35"/>
  <c r="FP42" i="35"/>
  <c r="FR42" i="35" s="1"/>
  <c r="FT42" i="35" s="1"/>
  <c r="FV42" i="35"/>
  <c r="M55" i="19"/>
  <c r="CO55" i="35"/>
  <c r="GJ55" i="35"/>
  <c r="GX55" i="35" s="1"/>
  <c r="GJ119" i="35"/>
  <c r="GX119" i="35" s="1"/>
  <c r="M119" i="19"/>
  <c r="CO119" i="35"/>
  <c r="FV91" i="35"/>
  <c r="FP91" i="35"/>
  <c r="FR91" i="35" s="1"/>
  <c r="FT91" i="35" s="1"/>
  <c r="CA226" i="35"/>
  <c r="CU68" i="35"/>
  <c r="CT68" i="35"/>
  <c r="CW68" i="35"/>
  <c r="GP68" i="35"/>
  <c r="CV68" i="35"/>
  <c r="R68" i="19"/>
  <c r="BY261" i="35"/>
  <c r="BZ261" i="35" s="1"/>
  <c r="CF261" i="35" s="1"/>
  <c r="CG261" i="35" s="1"/>
  <c r="CI261" i="35" s="1"/>
  <c r="CW49" i="35"/>
  <c r="GT49" i="35" s="1"/>
  <c r="BY277" i="35"/>
  <c r="BZ277" i="35" s="1"/>
  <c r="CF277" i="35" s="1"/>
  <c r="CG277" i="35" s="1"/>
  <c r="CT49" i="35"/>
  <c r="GQ49" i="35" s="1"/>
  <c r="CZ158" i="35"/>
  <c r="Y158" i="19" s="1"/>
  <c r="CX158" i="35"/>
  <c r="W158" i="19" s="1"/>
  <c r="CS158" i="35"/>
  <c r="DA158" i="35"/>
  <c r="Z158" i="19" s="1"/>
  <c r="FN158" i="35"/>
  <c r="CM158" i="35"/>
  <c r="K158" i="19"/>
  <c r="GH158" i="35"/>
  <c r="GV158" i="35" s="1"/>
  <c r="HD158" i="35" s="1"/>
  <c r="CY158" i="35"/>
  <c r="X158" i="19" s="1"/>
  <c r="HE120" i="35"/>
  <c r="HG120" i="35"/>
  <c r="HH120" i="35"/>
  <c r="HF120" i="35"/>
  <c r="GJ61" i="35"/>
  <c r="GX61" i="35" s="1"/>
  <c r="CO61" i="35"/>
  <c r="M61" i="19"/>
  <c r="CJ226" i="35"/>
  <c r="I226" i="19" s="1"/>
  <c r="CI184" i="35"/>
  <c r="I184" i="19" s="1"/>
  <c r="BY201" i="35"/>
  <c r="BZ201" i="35" s="1"/>
  <c r="CA201" i="35" s="1"/>
  <c r="DC201" i="35" s="1"/>
  <c r="BY216" i="35"/>
  <c r="BZ216" i="35" s="1"/>
  <c r="CA216" i="35" s="1"/>
  <c r="CA184" i="35"/>
  <c r="FX127" i="35"/>
  <c r="FW127" i="35"/>
  <c r="FZ127" i="35" s="1"/>
  <c r="GB127" i="35" s="1"/>
  <c r="FW99" i="35"/>
  <c r="FZ99" i="35" s="1"/>
  <c r="GB99" i="35" s="1"/>
  <c r="FX99" i="35"/>
  <c r="DT210" i="35"/>
  <c r="DV210" i="35"/>
  <c r="CO120" i="35"/>
  <c r="GJ120" i="35"/>
  <c r="GX120" i="35" s="1"/>
  <c r="M120" i="19"/>
  <c r="HH68" i="35"/>
  <c r="HG68" i="35"/>
  <c r="HF68" i="35"/>
  <c r="HE68" i="35"/>
  <c r="DR226" i="35"/>
  <c r="DT226" i="35" s="1"/>
  <c r="CT202" i="35"/>
  <c r="S202" i="19" s="1"/>
  <c r="EW184" i="35"/>
  <c r="GP202" i="35"/>
  <c r="BY213" i="35"/>
  <c r="BZ213" i="35" s="1"/>
  <c r="CF213" i="35" s="1"/>
  <c r="CG213" i="35" s="1"/>
  <c r="H213" i="19" s="1"/>
  <c r="CA194" i="35"/>
  <c r="DC194" i="35" s="1"/>
  <c r="V187" i="19"/>
  <c r="CQ180" i="35"/>
  <c r="CT159" i="35"/>
  <c r="R159" i="19"/>
  <c r="CU159" i="35"/>
  <c r="CV159" i="35"/>
  <c r="CW159" i="35"/>
  <c r="GP159" i="35"/>
  <c r="HG55" i="35"/>
  <c r="HF55" i="35"/>
  <c r="HE55" i="35"/>
  <c r="HH55" i="35"/>
  <c r="CF215" i="35"/>
  <c r="CG215" i="35" s="1"/>
  <c r="R21" i="19"/>
  <c r="CU21" i="35"/>
  <c r="CW21" i="35"/>
  <c r="GP21" i="35"/>
  <c r="CT21" i="35"/>
  <c r="CV21" i="35"/>
  <c r="HF95" i="35"/>
  <c r="HG95" i="35"/>
  <c r="HH95" i="35"/>
  <c r="HE95" i="35"/>
  <c r="GP120" i="35"/>
  <c r="CW120" i="35"/>
  <c r="R120" i="19"/>
  <c r="CT120" i="35"/>
  <c r="CU120" i="35"/>
  <c r="CV120" i="35"/>
  <c r="HF128" i="35"/>
  <c r="HG128" i="35"/>
  <c r="HH128" i="35"/>
  <c r="HE128" i="35"/>
  <c r="CV61" i="35"/>
  <c r="CU61" i="35"/>
  <c r="CW61" i="35"/>
  <c r="CT61" i="35"/>
  <c r="GP61" i="35"/>
  <c r="R61" i="19"/>
  <c r="GJ68" i="35"/>
  <c r="GX68" i="35" s="1"/>
  <c r="M68" i="19"/>
  <c r="CO68" i="35"/>
  <c r="GR65" i="35"/>
  <c r="HE210" i="35"/>
  <c r="CY219" i="35"/>
  <c r="X219" i="19" s="1"/>
  <c r="DC173" i="35"/>
  <c r="GJ159" i="35"/>
  <c r="GX159" i="35" s="1"/>
  <c r="CO159" i="35"/>
  <c r="M159" i="19"/>
  <c r="FP38" i="35"/>
  <c r="FR38" i="35" s="1"/>
  <c r="FT38" i="35" s="1"/>
  <c r="FV38" i="35"/>
  <c r="CO21" i="35"/>
  <c r="M21" i="19"/>
  <c r="GJ21" i="35"/>
  <c r="GX21" i="35" s="1"/>
  <c r="FP120" i="35"/>
  <c r="FR120" i="35" s="1"/>
  <c r="FT120" i="35" s="1"/>
  <c r="FV120" i="35"/>
  <c r="CO128" i="35"/>
  <c r="GJ128" i="35"/>
  <c r="GX128" i="35" s="1"/>
  <c r="M128" i="19"/>
  <c r="HE61" i="35"/>
  <c r="HF61" i="35"/>
  <c r="HG61" i="35"/>
  <c r="HH61" i="35"/>
  <c r="FP68" i="35"/>
  <c r="FR68" i="35" s="1"/>
  <c r="FT68" i="35" s="1"/>
  <c r="FV68" i="35"/>
  <c r="BY228" i="35"/>
  <c r="BZ228" i="35" s="1"/>
  <c r="CF228" i="35" s="1"/>
  <c r="CG228" i="35" s="1"/>
  <c r="H228" i="19" s="1"/>
  <c r="M176" i="19"/>
  <c r="BY225" i="35"/>
  <c r="BZ225" i="35" s="1"/>
  <c r="CF225" i="35" s="1"/>
  <c r="CG225" i="35" s="1"/>
  <c r="DR225" i="35" s="1"/>
  <c r="DT225" i="35" s="1"/>
  <c r="GN148" i="35"/>
  <c r="HJ148" i="35" s="1"/>
  <c r="Q148" i="19"/>
  <c r="AC148" i="19" s="1"/>
  <c r="R42" i="19"/>
  <c r="CU42" i="35"/>
  <c r="CV42" i="35"/>
  <c r="CT42" i="35"/>
  <c r="CW42" i="35"/>
  <c r="GP42" i="35"/>
  <c r="CZ151" i="35"/>
  <c r="Y151" i="19" s="1"/>
  <c r="FN151" i="35"/>
  <c r="K151" i="19"/>
  <c r="DA151" i="35"/>
  <c r="Z151" i="19" s="1"/>
  <c r="CY151" i="35"/>
  <c r="X151" i="19" s="1"/>
  <c r="CX151" i="35"/>
  <c r="W151" i="19" s="1"/>
  <c r="CS151" i="35"/>
  <c r="CM151" i="35"/>
  <c r="GH151" i="35"/>
  <c r="GV151" i="35" s="1"/>
  <c r="HD151" i="35" s="1"/>
  <c r="GN160" i="35"/>
  <c r="HJ160" i="35" s="1"/>
  <c r="Q160" i="19"/>
  <c r="AC160" i="19" s="1"/>
  <c r="U180" i="19"/>
  <c r="BY209" i="35"/>
  <c r="BZ209" i="35" s="1"/>
  <c r="CF209" i="35" s="1"/>
  <c r="CG209" i="35" s="1"/>
  <c r="CW38" i="35"/>
  <c r="CT38" i="35"/>
  <c r="GP38" i="35"/>
  <c r="CU38" i="35"/>
  <c r="R38" i="19"/>
  <c r="CV38" i="35"/>
  <c r="BY222" i="35"/>
  <c r="BZ222" i="35" s="1"/>
  <c r="CF222" i="35" s="1"/>
  <c r="CG222" i="35" s="1"/>
  <c r="DR222" i="35" s="1"/>
  <c r="DV222" i="35" s="1"/>
  <c r="GP119" i="35"/>
  <c r="CW119" i="35"/>
  <c r="CU119" i="35"/>
  <c r="CV119" i="35"/>
  <c r="CT119" i="35"/>
  <c r="R119" i="19"/>
  <c r="J212" i="19"/>
  <c r="CK212" i="35"/>
  <c r="CU49" i="35"/>
  <c r="R49" i="19"/>
  <c r="CV49" i="35"/>
  <c r="CU55" i="35"/>
  <c r="CT55" i="35"/>
  <c r="CV55" i="35"/>
  <c r="CW55" i="35"/>
  <c r="GP55" i="35"/>
  <c r="R55" i="19"/>
  <c r="GR99" i="35"/>
  <c r="T99" i="19"/>
  <c r="CV91" i="35"/>
  <c r="CU91" i="35"/>
  <c r="CW91" i="35"/>
  <c r="CT91" i="35"/>
  <c r="R91" i="19"/>
  <c r="GP91" i="35"/>
  <c r="CT95" i="35"/>
  <c r="CW95" i="35"/>
  <c r="CU95" i="35"/>
  <c r="GP95" i="35"/>
  <c r="R95" i="19"/>
  <c r="CV95" i="35"/>
  <c r="CZ210" i="35"/>
  <c r="Y210" i="19" s="1"/>
  <c r="BY203" i="35"/>
  <c r="BZ203" i="35" s="1"/>
  <c r="CF203" i="35" s="1"/>
  <c r="CG203" i="35" s="1"/>
  <c r="DR203" i="35" s="1"/>
  <c r="DV203" i="35" s="1"/>
  <c r="HF159" i="35"/>
  <c r="HE159" i="35"/>
  <c r="HH159" i="35"/>
  <c r="HG159" i="35"/>
  <c r="V99" i="19"/>
  <c r="GT99" i="35"/>
  <c r="BY214" i="35"/>
  <c r="BZ214" i="35" s="1"/>
  <c r="CF214" i="35" s="1"/>
  <c r="CG214" i="35" s="1"/>
  <c r="CJ214" i="35" s="1"/>
  <c r="FP95" i="35"/>
  <c r="FR95" i="35" s="1"/>
  <c r="FT95" i="35" s="1"/>
  <c r="FV95" i="35"/>
  <c r="FV61" i="35"/>
  <c r="FP61" i="35"/>
  <c r="FR61" i="35" s="1"/>
  <c r="FT61" i="35" s="1"/>
  <c r="H226" i="19"/>
  <c r="GL127" i="35"/>
  <c r="GZ127" i="35" s="1"/>
  <c r="HB127" i="35" s="1"/>
  <c r="CQ127" i="35"/>
  <c r="O127" i="19"/>
  <c r="GL99" i="35"/>
  <c r="GZ99" i="35" s="1"/>
  <c r="HB99" i="35" s="1"/>
  <c r="O99" i="19"/>
  <c r="CQ99" i="35"/>
  <c r="GJ49" i="35"/>
  <c r="GX49" i="35" s="1"/>
  <c r="M49" i="19"/>
  <c r="CO49" i="35"/>
  <c r="H184" i="19"/>
  <c r="BY199" i="35"/>
  <c r="BZ199" i="35" s="1"/>
  <c r="CA199" i="35" s="1"/>
  <c r="CH199" i="35" s="1"/>
  <c r="J199" i="19" s="1"/>
  <c r="FV159" i="35"/>
  <c r="FP159" i="35"/>
  <c r="FR159" i="35" s="1"/>
  <c r="HF38" i="35"/>
  <c r="HH38" i="35"/>
  <c r="HG38" i="35"/>
  <c r="HE38" i="35"/>
  <c r="HE119" i="35"/>
  <c r="HG119" i="35"/>
  <c r="HF119" i="35"/>
  <c r="HH119" i="35"/>
  <c r="HG21" i="35"/>
  <c r="HE21" i="35"/>
  <c r="HF21" i="35"/>
  <c r="HH21" i="35"/>
  <c r="GR127" i="35"/>
  <c r="T127" i="19"/>
  <c r="GJ95" i="35"/>
  <c r="GX95" i="35" s="1"/>
  <c r="CO95" i="35"/>
  <c r="M95" i="19"/>
  <c r="GP176" i="35"/>
  <c r="DA210" i="35"/>
  <c r="Z210" i="19" s="1"/>
  <c r="GR170" i="35"/>
  <c r="T180" i="19"/>
  <c r="CQ28" i="35"/>
  <c r="Q28" i="19" s="1"/>
  <c r="AC28" i="19" s="1"/>
  <c r="CM219" i="35"/>
  <c r="FX164" i="35"/>
  <c r="FV49" i="35"/>
  <c r="CO42" i="35"/>
  <c r="GJ42" i="35"/>
  <c r="GX42" i="35" s="1"/>
  <c r="M42" i="19"/>
  <c r="U99" i="19"/>
  <c r="GS99" i="35"/>
  <c r="HE91" i="35"/>
  <c r="HF91" i="35"/>
  <c r="HG91" i="35"/>
  <c r="HH91" i="35"/>
  <c r="FV21" i="35"/>
  <c r="FP21" i="35"/>
  <c r="FR21" i="35" s="1"/>
  <c r="FT21" i="35" s="1"/>
  <c r="V127" i="19"/>
  <c r="GT127" i="35"/>
  <c r="GJ38" i="35"/>
  <c r="GX38" i="35" s="1"/>
  <c r="CO38" i="35"/>
  <c r="M38" i="19"/>
  <c r="FV119" i="35"/>
  <c r="FP119" i="35"/>
  <c r="FR119" i="35" s="1"/>
  <c r="FT119" i="35" s="1"/>
  <c r="GS127" i="35"/>
  <c r="U127" i="19"/>
  <c r="GP128" i="35"/>
  <c r="CV128" i="35"/>
  <c r="CU128" i="35"/>
  <c r="CT128" i="35"/>
  <c r="CW128" i="35"/>
  <c r="R128" i="19"/>
  <c r="BY221" i="35"/>
  <c r="BZ221" i="35" s="1"/>
  <c r="CF221" i="35" s="1"/>
  <c r="CG221" i="35" s="1"/>
  <c r="BY218" i="35"/>
  <c r="BZ218" i="35" s="1"/>
  <c r="CF218" i="35" s="1"/>
  <c r="CG218" i="35" s="1"/>
  <c r="O180" i="19"/>
  <c r="HE42" i="35"/>
  <c r="HG42" i="35"/>
  <c r="HF42" i="35"/>
  <c r="HH42" i="35"/>
  <c r="CS146" i="35"/>
  <c r="DA146" i="35"/>
  <c r="Z146" i="19" s="1"/>
  <c r="CY146" i="35"/>
  <c r="X146" i="19" s="1"/>
  <c r="K146" i="19"/>
  <c r="FN146" i="35"/>
  <c r="GH146" i="35"/>
  <c r="GV146" i="35" s="1"/>
  <c r="HD146" i="35" s="1"/>
  <c r="CX146" i="35"/>
  <c r="W146" i="19" s="1"/>
  <c r="CM146" i="35"/>
  <c r="CZ146" i="35"/>
  <c r="Y146" i="19" s="1"/>
  <c r="FV55" i="35"/>
  <c r="FP55" i="35"/>
  <c r="FR55" i="35" s="1"/>
  <c r="FT55" i="35" s="1"/>
  <c r="M91" i="19"/>
  <c r="CO91" i="35"/>
  <c r="GJ91" i="35"/>
  <c r="GX91" i="35" s="1"/>
  <c r="S127" i="19"/>
  <c r="GQ127" i="35"/>
  <c r="FP128" i="35"/>
  <c r="FR128" i="35" s="1"/>
  <c r="FT128" i="35" s="1"/>
  <c r="FV128" i="35"/>
  <c r="DR186" i="35"/>
  <c r="H186" i="19"/>
  <c r="CI186" i="35"/>
  <c r="CJ186" i="35"/>
  <c r="EW186" i="35"/>
  <c r="DT125" i="35"/>
  <c r="DV125" i="35"/>
  <c r="O170" i="19"/>
  <c r="CM190" i="35"/>
  <c r="GJ190" i="35" s="1"/>
  <c r="GX190" i="35" s="1"/>
  <c r="FW202" i="35"/>
  <c r="FZ202" i="35" s="1"/>
  <c r="GB202" i="35" s="1"/>
  <c r="FW188" i="35"/>
  <c r="FZ188" i="35" s="1"/>
  <c r="GB188" i="35" s="1"/>
  <c r="GQ187" i="35"/>
  <c r="GL170" i="35"/>
  <c r="GZ170" i="35" s="1"/>
  <c r="HB170" i="35" s="1"/>
  <c r="HJ170" i="35" s="1"/>
  <c r="T82" i="19"/>
  <c r="GR82" i="35"/>
  <c r="Q170" i="19"/>
  <c r="AC170" i="19" s="1"/>
  <c r="U122" i="19"/>
  <c r="S122" i="19"/>
  <c r="HG195" i="35"/>
  <c r="CK165" i="35"/>
  <c r="DA165" i="35" s="1"/>
  <c r="Z165" i="19" s="1"/>
  <c r="V188" i="19"/>
  <c r="V49" i="19"/>
  <c r="CX190" i="35"/>
  <c r="W190" i="19" s="1"/>
  <c r="K190" i="19"/>
  <c r="GS161" i="35"/>
  <c r="GT170" i="35"/>
  <c r="V169" i="19"/>
  <c r="FX170" i="35"/>
  <c r="GR122" i="35"/>
  <c r="GJ176" i="35"/>
  <c r="GX176" i="35" s="1"/>
  <c r="CZ166" i="35"/>
  <c r="Y166" i="19" s="1"/>
  <c r="CQ176" i="35"/>
  <c r="Q176" i="19" s="1"/>
  <c r="AC176" i="19" s="1"/>
  <c r="CS166" i="35"/>
  <c r="R166" i="19" s="1"/>
  <c r="O176" i="19"/>
  <c r="FN190" i="35"/>
  <c r="CZ190" i="35"/>
  <c r="Y190" i="19" s="1"/>
  <c r="CS190" i="35"/>
  <c r="CV190" i="35" s="1"/>
  <c r="U190" i="19" s="1"/>
  <c r="GH190" i="35"/>
  <c r="GV190" i="35" s="1"/>
  <c r="HD190" i="35" s="1"/>
  <c r="HF190" i="35" s="1"/>
  <c r="CH194" i="35"/>
  <c r="J194" i="19" s="1"/>
  <c r="HF195" i="35"/>
  <c r="CW176" i="35"/>
  <c r="GT176" i="35" s="1"/>
  <c r="CA213" i="35"/>
  <c r="CH213" i="35" s="1"/>
  <c r="J213" i="19" s="1"/>
  <c r="R176" i="19"/>
  <c r="DT183" i="35"/>
  <c r="HE195" i="35"/>
  <c r="K211" i="19"/>
  <c r="CT176" i="35"/>
  <c r="S176" i="19" s="1"/>
  <c r="HH219" i="35"/>
  <c r="CK174" i="35"/>
  <c r="CM174" i="35" s="1"/>
  <c r="M174" i="19" s="1"/>
  <c r="T188" i="19"/>
  <c r="Q50" i="19"/>
  <c r="AC50" i="19" s="1"/>
  <c r="GN50" i="35"/>
  <c r="HJ50" i="35" s="1"/>
  <c r="FX16" i="35"/>
  <c r="FW16" i="35"/>
  <c r="FZ16" i="35" s="1"/>
  <c r="GB16" i="35" s="1"/>
  <c r="CM211" i="35"/>
  <c r="CY211" i="35"/>
  <c r="X211" i="19" s="1"/>
  <c r="H251" i="19"/>
  <c r="FN211" i="35"/>
  <c r="S65" i="19"/>
  <c r="GN187" i="35"/>
  <c r="HJ187" i="35" s="1"/>
  <c r="GH211" i="35"/>
  <c r="GV211" i="35" s="1"/>
  <c r="HD211" i="35" s="1"/>
  <c r="CX211" i="35"/>
  <c r="W211" i="19" s="1"/>
  <c r="CS211" i="35"/>
  <c r="GP211" i="35" s="1"/>
  <c r="EW251" i="35"/>
  <c r="FV195" i="35"/>
  <c r="FW195" i="35" s="1"/>
  <c r="FZ195" i="35" s="1"/>
  <c r="GB195" i="35" s="1"/>
  <c r="Q57" i="19"/>
  <c r="AC57" i="19" s="1"/>
  <c r="R162" i="19"/>
  <c r="DA211" i="35"/>
  <c r="Z211" i="19" s="1"/>
  <c r="FV162" i="35"/>
  <c r="FW162" i="35" s="1"/>
  <c r="FZ162" i="35" s="1"/>
  <c r="GB162" i="35" s="1"/>
  <c r="DC215" i="35"/>
  <c r="HE219" i="35"/>
  <c r="GS169" i="35"/>
  <c r="CK183" i="35"/>
  <c r="CM183" i="35" s="1"/>
  <c r="GJ183" i="35" s="1"/>
  <c r="GX183" i="35" s="1"/>
  <c r="HF219" i="35"/>
  <c r="HE84" i="35"/>
  <c r="V65" i="19"/>
  <c r="HG84" i="35"/>
  <c r="GN76" i="35"/>
  <c r="HJ76" i="35" s="1"/>
  <c r="HF84" i="35"/>
  <c r="GS19" i="35"/>
  <c r="U19" i="19"/>
  <c r="CY166" i="35"/>
  <c r="X166" i="19" s="1"/>
  <c r="T19" i="19"/>
  <c r="GR19" i="35"/>
  <c r="GR169" i="35"/>
  <c r="T169" i="19"/>
  <c r="DA166" i="35"/>
  <c r="Z166" i="19" s="1"/>
  <c r="GS65" i="35"/>
  <c r="CX166" i="35"/>
  <c r="W166" i="19" s="1"/>
  <c r="V19" i="19"/>
  <c r="GT19" i="35"/>
  <c r="GH166" i="35"/>
  <c r="GV166" i="35" s="1"/>
  <c r="HD166" i="35" s="1"/>
  <c r="HF166" i="35" s="1"/>
  <c r="GQ19" i="35"/>
  <c r="S19" i="19"/>
  <c r="FX19" i="35"/>
  <c r="FW19" i="35"/>
  <c r="FZ19" i="35" s="1"/>
  <c r="GB19" i="35" s="1"/>
  <c r="CQ19" i="35"/>
  <c r="O19" i="19"/>
  <c r="GL19" i="35"/>
  <c r="GZ19" i="35" s="1"/>
  <c r="HB19" i="35" s="1"/>
  <c r="FV166" i="35"/>
  <c r="FX166" i="35" s="1"/>
  <c r="CM166" i="35"/>
  <c r="GJ166" i="35" s="1"/>
  <c r="GX166" i="35" s="1"/>
  <c r="K166" i="19"/>
  <c r="FV84" i="35"/>
  <c r="FX84" i="35" s="1"/>
  <c r="HF44" i="35"/>
  <c r="HE44" i="35"/>
  <c r="HG44" i="35"/>
  <c r="CV84" i="35"/>
  <c r="U84" i="19" s="1"/>
  <c r="M84" i="19"/>
  <c r="Q163" i="19"/>
  <c r="AC163" i="19" s="1"/>
  <c r="V52" i="19"/>
  <c r="GT52" i="35"/>
  <c r="BW255" i="35"/>
  <c r="CO44" i="35"/>
  <c r="GL44" i="35" s="1"/>
  <c r="GZ44" i="35" s="1"/>
  <c r="HB44" i="35" s="1"/>
  <c r="GP195" i="35"/>
  <c r="CV195" i="35"/>
  <c r="CW195" i="35"/>
  <c r="R195" i="19"/>
  <c r="CU195" i="35"/>
  <c r="CT195" i="35"/>
  <c r="CA277" i="35"/>
  <c r="T80" i="19"/>
  <c r="GR80" i="35"/>
  <c r="GQ80" i="35"/>
  <c r="S80" i="19"/>
  <c r="BW282" i="35"/>
  <c r="O115" i="19"/>
  <c r="CQ115" i="35"/>
  <c r="GL115" i="35"/>
  <c r="GZ115" i="35" s="1"/>
  <c r="HB115" i="35" s="1"/>
  <c r="U80" i="19"/>
  <c r="GS80" i="35"/>
  <c r="FX115" i="35"/>
  <c r="FW115" i="35"/>
  <c r="FZ115" i="35" s="1"/>
  <c r="GB115" i="35" s="1"/>
  <c r="GS52" i="35"/>
  <c r="U52" i="19"/>
  <c r="FW169" i="35"/>
  <c r="FZ169" i="35" s="1"/>
  <c r="GB169" i="35" s="1"/>
  <c r="FX169" i="35"/>
  <c r="BW204" i="35"/>
  <c r="GQ52" i="35"/>
  <c r="S52" i="19"/>
  <c r="BW271" i="35"/>
  <c r="GT80" i="35"/>
  <c r="V80" i="19"/>
  <c r="GT115" i="35"/>
  <c r="V115" i="19"/>
  <c r="FW80" i="35"/>
  <c r="FZ80" i="35" s="1"/>
  <c r="GB80" i="35" s="1"/>
  <c r="FX80" i="35"/>
  <c r="CW84" i="35"/>
  <c r="V84" i="19" s="1"/>
  <c r="GJ84" i="35"/>
  <c r="GX84" i="35" s="1"/>
  <c r="GR115" i="35"/>
  <c r="T115" i="19"/>
  <c r="M195" i="19"/>
  <c r="CO195" i="35"/>
  <c r="GJ195" i="35"/>
  <c r="GX195" i="35" s="1"/>
  <c r="CU84" i="35"/>
  <c r="GR84" i="35" s="1"/>
  <c r="GQ94" i="35"/>
  <c r="S94" i="19"/>
  <c r="GS115" i="35"/>
  <c r="U115" i="19"/>
  <c r="CQ94" i="35"/>
  <c r="GL94" i="35"/>
  <c r="GZ94" i="35" s="1"/>
  <c r="HB94" i="35" s="1"/>
  <c r="O94" i="19"/>
  <c r="T52" i="19"/>
  <c r="GR52" i="35"/>
  <c r="R84" i="19"/>
  <c r="GR94" i="35"/>
  <c r="T94" i="19"/>
  <c r="O52" i="19"/>
  <c r="GL52" i="35"/>
  <c r="GZ52" i="35" s="1"/>
  <c r="HB52" i="35" s="1"/>
  <c r="CQ52" i="35"/>
  <c r="GL169" i="35"/>
  <c r="GZ169" i="35" s="1"/>
  <c r="HB169" i="35" s="1"/>
  <c r="CQ169" i="35"/>
  <c r="O169" i="19"/>
  <c r="FX52" i="35"/>
  <c r="FW52" i="35"/>
  <c r="FZ52" i="35" s="1"/>
  <c r="GB52" i="35" s="1"/>
  <c r="BW268" i="35"/>
  <c r="O80" i="19"/>
  <c r="CQ80" i="35"/>
  <c r="GL80" i="35"/>
  <c r="GZ80" i="35" s="1"/>
  <c r="HB80" i="35" s="1"/>
  <c r="Q118" i="19"/>
  <c r="AC118" i="19" s="1"/>
  <c r="GN118" i="35"/>
  <c r="HJ118" i="35" s="1"/>
  <c r="CT84" i="35"/>
  <c r="GQ84" i="35" s="1"/>
  <c r="BW260" i="35"/>
  <c r="BW274" i="35"/>
  <c r="GT94" i="35"/>
  <c r="V94" i="19"/>
  <c r="S115" i="19"/>
  <c r="GQ115" i="35"/>
  <c r="FW94" i="35"/>
  <c r="FZ94" i="35" s="1"/>
  <c r="GB94" i="35" s="1"/>
  <c r="FX94" i="35"/>
  <c r="BW227" i="35"/>
  <c r="BW256" i="35"/>
  <c r="U94" i="19"/>
  <c r="GS94" i="35"/>
  <c r="CJ222" i="35"/>
  <c r="FX131" i="35"/>
  <c r="CQ205" i="35"/>
  <c r="Q205" i="19" s="1"/>
  <c r="AC205" i="19" s="1"/>
  <c r="CI222" i="35"/>
  <c r="FX122" i="35"/>
  <c r="CI220" i="35"/>
  <c r="EW220" i="35"/>
  <c r="HE162" i="35"/>
  <c r="GN17" i="35"/>
  <c r="HJ17" i="35" s="1"/>
  <c r="GJ162" i="35"/>
  <c r="GX162" i="35" s="1"/>
  <c r="CV162" i="35"/>
  <c r="GS162" i="35" s="1"/>
  <c r="M44" i="19"/>
  <c r="H253" i="19"/>
  <c r="CT162" i="35"/>
  <c r="S162" i="19" s="1"/>
  <c r="DR253" i="35"/>
  <c r="DV253" i="35" s="1"/>
  <c r="M162" i="19"/>
  <c r="EW253" i="35"/>
  <c r="CI253" i="35"/>
  <c r="CK253" i="35" s="1"/>
  <c r="GP162" i="35"/>
  <c r="CU162" i="35"/>
  <c r="T162" i="19" s="1"/>
  <c r="O205" i="19"/>
  <c r="HF162" i="35"/>
  <c r="CO143" i="35"/>
  <c r="CQ143" i="35" s="1"/>
  <c r="GN143" i="35" s="1"/>
  <c r="HG162" i="35"/>
  <c r="H233" i="19"/>
  <c r="DT222" i="35"/>
  <c r="H220" i="19"/>
  <c r="EW222" i="35"/>
  <c r="DR220" i="35"/>
  <c r="DV220" i="35" s="1"/>
  <c r="CF252" i="35"/>
  <c r="CG252" i="35" s="1"/>
  <c r="H222" i="19"/>
  <c r="CJ220" i="35"/>
  <c r="CA236" i="35"/>
  <c r="Q178" i="19"/>
  <c r="AC178" i="19" s="1"/>
  <c r="GN178" i="35"/>
  <c r="HJ178" i="35" s="1"/>
  <c r="CZ192" i="35"/>
  <c r="Y192" i="19" s="1"/>
  <c r="FW179" i="35"/>
  <c r="FZ179" i="35" s="1"/>
  <c r="GB179" i="35" s="1"/>
  <c r="CS185" i="35"/>
  <c r="CW185" i="35" s="1"/>
  <c r="V185" i="19" s="1"/>
  <c r="CY192" i="35"/>
  <c r="X192" i="19" s="1"/>
  <c r="GN122" i="35"/>
  <c r="HJ122" i="35" s="1"/>
  <c r="Q134" i="19"/>
  <c r="AC134" i="19" s="1"/>
  <c r="T179" i="19"/>
  <c r="GQ179" i="35"/>
  <c r="S179" i="19"/>
  <c r="CJ233" i="35"/>
  <c r="CQ131" i="35"/>
  <c r="Q131" i="19" s="1"/>
  <c r="AC131" i="19" s="1"/>
  <c r="FV143" i="35"/>
  <c r="FW143" i="35" s="1"/>
  <c r="FZ143" i="35" s="1"/>
  <c r="GB143" i="35" s="1"/>
  <c r="EW233" i="35"/>
  <c r="GJ143" i="35"/>
  <c r="GX143" i="35" s="1"/>
  <c r="CH233" i="35"/>
  <c r="J233" i="19" s="1"/>
  <c r="CI233" i="35"/>
  <c r="O131" i="19"/>
  <c r="GN70" i="35"/>
  <c r="HJ70" i="35" s="1"/>
  <c r="U179" i="19"/>
  <c r="GS179" i="35"/>
  <c r="GH185" i="35"/>
  <c r="GV185" i="35" s="1"/>
  <c r="HD185" i="35" s="1"/>
  <c r="HG185" i="35" s="1"/>
  <c r="DA185" i="35"/>
  <c r="Z185" i="19" s="1"/>
  <c r="CX185" i="35"/>
  <c r="W185" i="19" s="1"/>
  <c r="GN66" i="35"/>
  <c r="HJ66" i="35" s="1"/>
  <c r="K185" i="19"/>
  <c r="CM185" i="35"/>
  <c r="M185" i="19" s="1"/>
  <c r="CZ185" i="35"/>
  <c r="Y185" i="19" s="1"/>
  <c r="FN185" i="35"/>
  <c r="FV185" i="35" s="1"/>
  <c r="FW44" i="35"/>
  <c r="FZ44" i="35" s="1"/>
  <c r="GB44" i="35" s="1"/>
  <c r="FP44" i="35"/>
  <c r="FR44" i="35" s="1"/>
  <c r="FT44" i="35" s="1"/>
  <c r="CT44" i="35"/>
  <c r="GP44" i="35"/>
  <c r="CW44" i="35"/>
  <c r="CV44" i="35"/>
  <c r="CU44" i="35"/>
  <c r="R44" i="19"/>
  <c r="HJ110" i="35"/>
  <c r="CT143" i="35"/>
  <c r="S143" i="19" s="1"/>
  <c r="CV143" i="35"/>
  <c r="GS143" i="35" s="1"/>
  <c r="DT233" i="35"/>
  <c r="GR202" i="35"/>
  <c r="CA266" i="35"/>
  <c r="DC266" i="35" s="1"/>
  <c r="CF266" i="35"/>
  <c r="CG266" i="35" s="1"/>
  <c r="CJ266" i="35" s="1"/>
  <c r="BT235" i="35"/>
  <c r="BW235" i="35" s="1"/>
  <c r="BY235" i="35" s="1"/>
  <c r="EW203" i="35"/>
  <c r="CI203" i="35"/>
  <c r="CJ203" i="35"/>
  <c r="DT184" i="35"/>
  <c r="DV184" i="35"/>
  <c r="DT203" i="35"/>
  <c r="H203" i="19"/>
  <c r="GP143" i="35"/>
  <c r="CW143" i="35"/>
  <c r="GT143" i="35" s="1"/>
  <c r="CU143" i="35"/>
  <c r="GR143" i="35" s="1"/>
  <c r="DC198" i="35"/>
  <c r="CQ179" i="35"/>
  <c r="O179" i="19"/>
  <c r="GL179" i="35"/>
  <c r="GZ179" i="35" s="1"/>
  <c r="HB179" i="35" s="1"/>
  <c r="I177" i="19"/>
  <c r="HH13" i="35"/>
  <c r="HF13" i="35"/>
  <c r="HE13" i="35"/>
  <c r="HG13" i="35"/>
  <c r="CV13" i="35"/>
  <c r="CT13" i="35"/>
  <c r="CU13" i="35"/>
  <c r="CW13" i="35"/>
  <c r="R13" i="19"/>
  <c r="GP13" i="35"/>
  <c r="M13" i="19"/>
  <c r="CO13" i="35"/>
  <c r="GJ13" i="35"/>
  <c r="GX13" i="35" s="1"/>
  <c r="FP13" i="35"/>
  <c r="FR13" i="35" s="1"/>
  <c r="FT13" i="35" s="1"/>
  <c r="FV13" i="35"/>
  <c r="FN173" i="35"/>
  <c r="CZ173" i="35"/>
  <c r="Y173" i="19" s="1"/>
  <c r="K173" i="19"/>
  <c r="DA173" i="35"/>
  <c r="Z173" i="19" s="1"/>
  <c r="O162" i="19"/>
  <c r="GL162" i="35"/>
  <c r="GZ162" i="35" s="1"/>
  <c r="HB162" i="35" s="1"/>
  <c r="CQ162" i="35"/>
  <c r="HF206" i="35"/>
  <c r="HE206" i="35"/>
  <c r="HG206" i="35"/>
  <c r="HH206" i="35"/>
  <c r="FV206" i="35"/>
  <c r="FP206" i="35"/>
  <c r="FR206" i="35" s="1"/>
  <c r="FT206" i="35" s="1"/>
  <c r="I237" i="19"/>
  <c r="CO206" i="35"/>
  <c r="M206" i="19"/>
  <c r="GJ206" i="35"/>
  <c r="GX206" i="35" s="1"/>
  <c r="V162" i="19"/>
  <c r="GT162" i="35"/>
  <c r="I229" i="19"/>
  <c r="CT206" i="35"/>
  <c r="GP206" i="35"/>
  <c r="CW206" i="35"/>
  <c r="CV206" i="35"/>
  <c r="CU206" i="35"/>
  <c r="R206" i="19"/>
  <c r="I248" i="19"/>
  <c r="Q43" i="19"/>
  <c r="AC43" i="19" s="1"/>
  <c r="GN43" i="35"/>
  <c r="HJ43" i="35" s="1"/>
  <c r="I193" i="19"/>
  <c r="BT249" i="35"/>
  <c r="CK224" i="35"/>
  <c r="GT24" i="35"/>
  <c r="V24" i="19"/>
  <c r="H254" i="19"/>
  <c r="CJ254" i="35"/>
  <c r="DR254" i="35"/>
  <c r="CI254" i="35"/>
  <c r="GS23" i="35"/>
  <c r="U23" i="19"/>
  <c r="M192" i="19"/>
  <c r="BT244" i="35"/>
  <c r="GR24" i="35"/>
  <c r="T24" i="19"/>
  <c r="FX24" i="35"/>
  <c r="FW24" i="35"/>
  <c r="FZ24" i="35" s="1"/>
  <c r="GB24" i="35" s="1"/>
  <c r="FP197" i="35"/>
  <c r="FR197" i="35" s="1"/>
  <c r="FV197" i="35"/>
  <c r="CH254" i="35"/>
  <c r="DC254" i="35"/>
  <c r="GL24" i="35"/>
  <c r="GZ24" i="35" s="1"/>
  <c r="HB24" i="35" s="1"/>
  <c r="O24" i="19"/>
  <c r="CQ24" i="35"/>
  <c r="DT248" i="35"/>
  <c r="DV248" i="35"/>
  <c r="V23" i="19"/>
  <c r="GT23" i="35"/>
  <c r="U103" i="19"/>
  <c r="GS103" i="35"/>
  <c r="CA264" i="35"/>
  <c r="CF264" i="35"/>
  <c r="CG264" i="35" s="1"/>
  <c r="FN192" i="35"/>
  <c r="FV192" i="35" s="1"/>
  <c r="FW192" i="35" s="1"/>
  <c r="FZ192" i="35" s="1"/>
  <c r="GB192" i="35" s="1"/>
  <c r="BT263" i="35"/>
  <c r="BT246" i="35"/>
  <c r="CZ165" i="35"/>
  <c r="Y165" i="19" s="1"/>
  <c r="CK248" i="35"/>
  <c r="J237" i="19"/>
  <c r="CK237" i="35"/>
  <c r="FW51" i="35"/>
  <c r="FZ51" i="35" s="1"/>
  <c r="GB51" i="35" s="1"/>
  <c r="FX51" i="35"/>
  <c r="V103" i="19"/>
  <c r="GT103" i="35"/>
  <c r="T40" i="19"/>
  <c r="GR40" i="35"/>
  <c r="BT243" i="35"/>
  <c r="CV207" i="35"/>
  <c r="CU207" i="35"/>
  <c r="CT207" i="35"/>
  <c r="R207" i="19"/>
  <c r="CW207" i="35"/>
  <c r="GP207" i="35"/>
  <c r="GH192" i="35"/>
  <c r="GV192" i="35" s="1"/>
  <c r="HD192" i="35" s="1"/>
  <c r="HH192" i="35" s="1"/>
  <c r="BT231" i="35"/>
  <c r="BW231" i="35" s="1"/>
  <c r="BY231" i="35" s="1"/>
  <c r="BZ231" i="35" s="1"/>
  <c r="O103" i="19"/>
  <c r="GL103" i="35"/>
  <c r="GZ103" i="35" s="1"/>
  <c r="HB103" i="35" s="1"/>
  <c r="CQ103" i="35"/>
  <c r="DT224" i="35"/>
  <c r="DV224" i="35"/>
  <c r="DV237" i="35"/>
  <c r="DT237" i="35"/>
  <c r="GQ24" i="35"/>
  <c r="S24" i="19"/>
  <c r="HF197" i="35"/>
  <c r="HH197" i="35"/>
  <c r="HE197" i="35"/>
  <c r="HG197" i="35"/>
  <c r="GJ207" i="35"/>
  <c r="GX207" i="35" s="1"/>
  <c r="CO207" i="35"/>
  <c r="M207" i="19"/>
  <c r="FW23" i="35"/>
  <c r="FZ23" i="35" s="1"/>
  <c r="GB23" i="35" s="1"/>
  <c r="FX23" i="35"/>
  <c r="GR23" i="35"/>
  <c r="T23" i="19"/>
  <c r="CA278" i="35"/>
  <c r="CF278" i="35"/>
  <c r="CG278" i="35" s="1"/>
  <c r="GQ182" i="35"/>
  <c r="S182" i="19"/>
  <c r="GS24" i="35"/>
  <c r="U24" i="19"/>
  <c r="S23" i="19"/>
  <c r="GQ23" i="35"/>
  <c r="BT223" i="35"/>
  <c r="BT240" i="35"/>
  <c r="BW240" i="35" s="1"/>
  <c r="BY240" i="35" s="1"/>
  <c r="BZ240" i="35" s="1"/>
  <c r="FW40" i="35"/>
  <c r="FZ40" i="35" s="1"/>
  <c r="GB40" i="35" s="1"/>
  <c r="FX40" i="35"/>
  <c r="I224" i="19"/>
  <c r="BT245" i="35"/>
  <c r="BW245" i="35" s="1"/>
  <c r="BY245" i="35" s="1"/>
  <c r="BZ245" i="35" s="1"/>
  <c r="V51" i="19"/>
  <c r="GT51" i="35"/>
  <c r="BT230" i="35"/>
  <c r="Q181" i="19"/>
  <c r="AC181" i="19" s="1"/>
  <c r="GN181" i="35"/>
  <c r="HJ181" i="35" s="1"/>
  <c r="CA200" i="35"/>
  <c r="CF200" i="35"/>
  <c r="CG200" i="35" s="1"/>
  <c r="CQ51" i="35"/>
  <c r="GL51" i="35"/>
  <c r="GZ51" i="35" s="1"/>
  <c r="HB51" i="35" s="1"/>
  <c r="O51" i="19"/>
  <c r="CX192" i="35"/>
  <c r="W192" i="19" s="1"/>
  <c r="DA192" i="35"/>
  <c r="Z192" i="19" s="1"/>
  <c r="BT272" i="35"/>
  <c r="BW272" i="35" s="1"/>
  <c r="BY272" i="35" s="1"/>
  <c r="BZ272" i="35" s="1"/>
  <c r="DV229" i="35"/>
  <c r="DT229" i="35"/>
  <c r="T51" i="19"/>
  <c r="GR51" i="35"/>
  <c r="M197" i="19"/>
  <c r="CO197" i="35"/>
  <c r="GJ197" i="35"/>
  <c r="GX197" i="35" s="1"/>
  <c r="S40" i="19"/>
  <c r="GQ40" i="35"/>
  <c r="FW103" i="35"/>
  <c r="FZ103" i="35" s="1"/>
  <c r="GB103" i="35" s="1"/>
  <c r="FX103" i="35"/>
  <c r="T103" i="19"/>
  <c r="GR103" i="35"/>
  <c r="CA273" i="35"/>
  <c r="CF273" i="35"/>
  <c r="CG273" i="35" s="1"/>
  <c r="S51" i="19"/>
  <c r="GQ51" i="35"/>
  <c r="FV207" i="35"/>
  <c r="FP207" i="35"/>
  <c r="FR207" i="35" s="1"/>
  <c r="K192" i="19"/>
  <c r="J193" i="19"/>
  <c r="CK193" i="35"/>
  <c r="DV177" i="35"/>
  <c r="DT177" i="35"/>
  <c r="V182" i="19"/>
  <c r="GT182" i="35"/>
  <c r="CV197" i="35"/>
  <c r="GP197" i="35"/>
  <c r="CW197" i="35"/>
  <c r="CT197" i="35"/>
  <c r="CU197" i="35"/>
  <c r="R197" i="19"/>
  <c r="HF207" i="35"/>
  <c r="HE207" i="35"/>
  <c r="HH207" i="35"/>
  <c r="HG207" i="35"/>
  <c r="GN175" i="35"/>
  <c r="HJ175" i="35" s="1"/>
  <c r="Q175" i="19"/>
  <c r="AC175" i="19" s="1"/>
  <c r="GQ103" i="35"/>
  <c r="S103" i="19"/>
  <c r="CA258" i="35"/>
  <c r="CF258" i="35"/>
  <c r="CG258" i="35" s="1"/>
  <c r="DT193" i="35"/>
  <c r="DV193" i="35"/>
  <c r="CQ40" i="35"/>
  <c r="O40" i="19"/>
  <c r="GL40" i="35"/>
  <c r="GZ40" i="35" s="1"/>
  <c r="HB40" i="35" s="1"/>
  <c r="FW182" i="35"/>
  <c r="FZ182" i="35" s="1"/>
  <c r="GB182" i="35" s="1"/>
  <c r="FX182" i="35"/>
  <c r="CO192" i="35"/>
  <c r="GL192" i="35" s="1"/>
  <c r="GZ192" i="35" s="1"/>
  <c r="HB192" i="35" s="1"/>
  <c r="BT247" i="35"/>
  <c r="CH269" i="35"/>
  <c r="J269" i="19" s="1"/>
  <c r="DC269" i="35"/>
  <c r="U182" i="19"/>
  <c r="GS182" i="35"/>
  <c r="CF267" i="35"/>
  <c r="CG267" i="35" s="1"/>
  <c r="CA267" i="35"/>
  <c r="GS40" i="35"/>
  <c r="U40" i="19"/>
  <c r="CZ191" i="35"/>
  <c r="Y191" i="19" s="1"/>
  <c r="FN191" i="35"/>
  <c r="CM191" i="35"/>
  <c r="CX191" i="35"/>
  <c r="W191" i="19" s="1"/>
  <c r="GH191" i="35"/>
  <c r="GV191" i="35" s="1"/>
  <c r="HD191" i="35" s="1"/>
  <c r="CS191" i="35"/>
  <c r="K191" i="19"/>
  <c r="DA191" i="35"/>
  <c r="Z191" i="19" s="1"/>
  <c r="CY191" i="35"/>
  <c r="X191" i="19" s="1"/>
  <c r="GL23" i="35"/>
  <c r="GZ23" i="35" s="1"/>
  <c r="HB23" i="35" s="1"/>
  <c r="CQ23" i="35"/>
  <c r="O23" i="19"/>
  <c r="BT232" i="35"/>
  <c r="CS192" i="35"/>
  <c r="CW192" i="35" s="1"/>
  <c r="V192" i="19" s="1"/>
  <c r="BT241" i="35"/>
  <c r="CJ269" i="35"/>
  <c r="EW269" i="35"/>
  <c r="H269" i="19"/>
  <c r="CI269" i="35"/>
  <c r="DR269" i="35"/>
  <c r="O182" i="19"/>
  <c r="GL182" i="35"/>
  <c r="GZ182" i="35" s="1"/>
  <c r="HB182" i="35" s="1"/>
  <c r="CQ182" i="35"/>
  <c r="T182" i="19"/>
  <c r="GR182" i="35"/>
  <c r="GS51" i="35"/>
  <c r="U51" i="19"/>
  <c r="V40" i="19"/>
  <c r="GT40" i="35"/>
  <c r="CK229" i="35"/>
  <c r="CF236" i="35"/>
  <c r="CG236" i="35" s="1"/>
  <c r="CI236" i="35" s="1"/>
  <c r="O84" i="19"/>
  <c r="GL84" i="35"/>
  <c r="GZ84" i="35" s="1"/>
  <c r="HB84" i="35" s="1"/>
  <c r="CQ84" i="35"/>
  <c r="DV234" i="35"/>
  <c r="DT234" i="35"/>
  <c r="Q161" i="19"/>
  <c r="AC161" i="19" s="1"/>
  <c r="GN161" i="35"/>
  <c r="HJ161" i="35" s="1"/>
  <c r="I234" i="19"/>
  <c r="CK234" i="35"/>
  <c r="Q172" i="19"/>
  <c r="AC172" i="19" s="1"/>
  <c r="GN172" i="35"/>
  <c r="HJ172" i="35" s="1"/>
  <c r="BR312" i="35"/>
  <c r="BR242" i="35"/>
  <c r="BR311" i="35"/>
  <c r="BR281" i="35"/>
  <c r="BR239" i="35"/>
  <c r="BR257" i="35"/>
  <c r="BR314" i="35"/>
  <c r="BR262" i="35"/>
  <c r="BR310" i="35"/>
  <c r="BR250" i="35"/>
  <c r="BR303" i="35"/>
  <c r="BR300" i="35"/>
  <c r="BR289" i="35"/>
  <c r="BR238" i="35"/>
  <c r="BR288" i="35"/>
  <c r="BR313" i="35"/>
  <c r="BR293" i="35"/>
  <c r="BR302" i="35"/>
  <c r="BT302" i="35" s="1"/>
  <c r="BW302" i="35" s="1"/>
  <c r="BY302" i="35" s="1"/>
  <c r="BZ302" i="35" s="1"/>
  <c r="BR305" i="35"/>
  <c r="GS176" i="35"/>
  <c r="U176" i="19"/>
  <c r="DR198" i="35"/>
  <c r="DV198" i="35" s="1"/>
  <c r="H198" i="19"/>
  <c r="CI198" i="35"/>
  <c r="CK198" i="35" s="1"/>
  <c r="BL343" i="35"/>
  <c r="BN343" i="35" s="1"/>
  <c r="BP343" i="35" s="1"/>
  <c r="BL298" i="35"/>
  <c r="BN298" i="35" s="1"/>
  <c r="BP298" i="35" s="1"/>
  <c r="BL286" i="35"/>
  <c r="BN286" i="35" s="1"/>
  <c r="BP286" i="35" s="1"/>
  <c r="BL316" i="35"/>
  <c r="BN316" i="35" s="1"/>
  <c r="BP316" i="35" s="1"/>
  <c r="Q7" i="19"/>
  <c r="AC7" i="19" s="1"/>
  <c r="GN7" i="35"/>
  <c r="HJ7" i="35" s="1"/>
  <c r="EM9" i="35"/>
  <c r="EM10" i="35"/>
  <c r="EN10" i="35" s="1"/>
  <c r="EM11" i="35"/>
  <c r="EN11" i="35" s="1"/>
  <c r="BJ265" i="35"/>
  <c r="BL265" i="35" s="1"/>
  <c r="BN265" i="35" s="1"/>
  <c r="BP265" i="35" s="1"/>
  <c r="BJ284" i="35"/>
  <c r="BL284" i="35" s="1"/>
  <c r="BN284" i="35" s="1"/>
  <c r="BP284" i="35" s="1"/>
  <c r="BJ275" i="35"/>
  <c r="BL275" i="35" s="1"/>
  <c r="BN275" i="35" s="1"/>
  <c r="BP275" i="35" s="1"/>
  <c r="BJ276" i="35"/>
  <c r="BL276" i="35" s="1"/>
  <c r="BN276" i="35" s="1"/>
  <c r="BP276" i="35" s="1"/>
  <c r="BJ259" i="35"/>
  <c r="BL259" i="35" s="1"/>
  <c r="BN259" i="35" s="1"/>
  <c r="BP259" i="35" s="1"/>
  <c r="BJ279" i="35"/>
  <c r="BL279" i="35" s="1"/>
  <c r="BN279" i="35" s="1"/>
  <c r="BP279" i="35" s="1"/>
  <c r="BJ280" i="35"/>
  <c r="BL280" i="35" s="1"/>
  <c r="BN280" i="35" s="1"/>
  <c r="BP280" i="35" s="1"/>
  <c r="BJ270" i="35"/>
  <c r="BL270" i="35" s="1"/>
  <c r="BN270" i="35" s="1"/>
  <c r="BP270" i="35" s="1"/>
  <c r="BH283" i="35"/>
  <c r="BH285" i="35"/>
  <c r="BH299" i="35"/>
  <c r="BF290" i="35"/>
  <c r="BF287" i="35"/>
  <c r="BF296" i="35"/>
  <c r="BF308" i="35"/>
  <c r="BF291" i="35"/>
  <c r="BF304" i="35"/>
  <c r="BF309" i="35"/>
  <c r="BF292" i="35"/>
  <c r="BF295" i="35"/>
  <c r="BF315" i="35"/>
  <c r="BF306" i="35"/>
  <c r="BF294" i="35"/>
  <c r="BF307" i="35"/>
  <c r="BD301" i="35"/>
  <c r="BD317" i="35"/>
  <c r="BD297" i="35"/>
  <c r="BD336" i="35"/>
  <c r="BA337" i="35"/>
  <c r="BA346" i="35"/>
  <c r="BA321" i="35"/>
  <c r="BD321" i="35" s="1"/>
  <c r="BF321" i="35" s="1"/>
  <c r="BH321" i="35" s="1"/>
  <c r="BJ321" i="35" s="1"/>
  <c r="BA344" i="35"/>
  <c r="BA324" i="35"/>
  <c r="BD324" i="35" s="1"/>
  <c r="BF324" i="35" s="1"/>
  <c r="BH324" i="35" s="1"/>
  <c r="BJ324" i="35" s="1"/>
  <c r="BA330" i="35"/>
  <c r="BD330" i="35" s="1"/>
  <c r="BF330" i="35" s="1"/>
  <c r="BH330" i="35" s="1"/>
  <c r="BJ330" i="35" s="1"/>
  <c r="BA322" i="35"/>
  <c r="BD322" i="35" s="1"/>
  <c r="BF322" i="35" s="1"/>
  <c r="BH322" i="35" s="1"/>
  <c r="BJ322" i="35" s="1"/>
  <c r="BA323" i="35"/>
  <c r="BA328" i="35"/>
  <c r="BA338" i="35"/>
  <c r="BA333" i="35"/>
  <c r="BA340" i="35"/>
  <c r="BA318" i="35"/>
  <c r="BA334" i="35"/>
  <c r="BD334" i="35" s="1"/>
  <c r="BF334" i="35" s="1"/>
  <c r="BH334" i="35" s="1"/>
  <c r="BJ334" i="35" s="1"/>
  <c r="BA342" i="35"/>
  <c r="BA325" i="35"/>
  <c r="BA329" i="35"/>
  <c r="BA341" i="35"/>
  <c r="BA335" i="35"/>
  <c r="BD335" i="35" s="1"/>
  <c r="BF335" i="35" s="1"/>
  <c r="BH335" i="35" s="1"/>
  <c r="BJ335" i="35" s="1"/>
  <c r="BA326" i="35"/>
  <c r="BD326" i="35" s="1"/>
  <c r="BF326" i="35" s="1"/>
  <c r="BH326" i="35" s="1"/>
  <c r="BJ326" i="35" s="1"/>
  <c r="BA339" i="35"/>
  <c r="BD339" i="35" s="1"/>
  <c r="BF339" i="35" s="1"/>
  <c r="BH339" i="35" s="1"/>
  <c r="BJ339" i="35" s="1"/>
  <c r="BA332" i="35"/>
  <c r="BD332" i="35" s="1"/>
  <c r="BF332" i="35" s="1"/>
  <c r="BH332" i="35" s="1"/>
  <c r="BJ332" i="35" s="1"/>
  <c r="BA345" i="35"/>
  <c r="AZ319" i="35"/>
  <c r="AZ320" i="35"/>
  <c r="AZ327" i="35"/>
  <c r="AZ347" i="35"/>
  <c r="AZ331" i="35"/>
  <c r="AX349" i="35"/>
  <c r="AX362" i="35"/>
  <c r="AX364" i="35"/>
  <c r="AX353" i="35"/>
  <c r="AX367" i="35"/>
  <c r="AX376" i="35"/>
  <c r="AX371" i="35"/>
  <c r="AX359" i="35"/>
  <c r="AX377" i="35"/>
  <c r="AX361" i="35"/>
  <c r="AX348" i="35"/>
  <c r="AX366" i="35"/>
  <c r="AV376" i="35"/>
  <c r="DP376" i="35" s="1"/>
  <c r="AV351" i="35"/>
  <c r="DP351" i="35" s="1"/>
  <c r="AX360" i="35"/>
  <c r="AZ360" i="35" s="1"/>
  <c r="AX365" i="35"/>
  <c r="AX354" i="35"/>
  <c r="AX358" i="35"/>
  <c r="AZ358" i="35" s="1"/>
  <c r="AX352" i="35"/>
  <c r="AX373" i="35"/>
  <c r="AZ373" i="35" s="1"/>
  <c r="AX350" i="35"/>
  <c r="AX368" i="35"/>
  <c r="AW375" i="35"/>
  <c r="AW370" i="35"/>
  <c r="AW372" i="35"/>
  <c r="AW374" i="35"/>
  <c r="AX351" i="35"/>
  <c r="AW363" i="35"/>
  <c r="AW355" i="35"/>
  <c r="AW369" i="35"/>
  <c r="AW357" i="35"/>
  <c r="AW356" i="35"/>
  <c r="AV373" i="35"/>
  <c r="DO373" i="35" s="1"/>
  <c r="DN373" i="35" s="1"/>
  <c r="AV348" i="35"/>
  <c r="DO348" i="35" s="1"/>
  <c r="DN348" i="35" s="1"/>
  <c r="AV367" i="35"/>
  <c r="DO367" i="35" s="1"/>
  <c r="DN367" i="35" s="1"/>
  <c r="DP347" i="35"/>
  <c r="AV365" i="35"/>
  <c r="DO365" i="35" s="1"/>
  <c r="DN365" i="35" s="1"/>
  <c r="AV359" i="35"/>
  <c r="DP359" i="35" s="1"/>
  <c r="AV360" i="35"/>
  <c r="DO360" i="35" s="1"/>
  <c r="DN360" i="35" s="1"/>
  <c r="AV368" i="35"/>
  <c r="DO368" i="35" s="1"/>
  <c r="DN368" i="35" s="1"/>
  <c r="AV364" i="35"/>
  <c r="DP364" i="35" s="1"/>
  <c r="AV350" i="35"/>
  <c r="DO350" i="35" s="1"/>
  <c r="DN350" i="35" s="1"/>
  <c r="AV353" i="35"/>
  <c r="DP353" i="35" s="1"/>
  <c r="AV361" i="35"/>
  <c r="DO361" i="35" s="1"/>
  <c r="DN361" i="35" s="1"/>
  <c r="AV354" i="35"/>
  <c r="DP354" i="35" s="1"/>
  <c r="AV352" i="35"/>
  <c r="DO352" i="35" s="1"/>
  <c r="DN352" i="35" s="1"/>
  <c r="AV366" i="35"/>
  <c r="DO366" i="35" s="1"/>
  <c r="DN366" i="35" s="1"/>
  <c r="AV377" i="35"/>
  <c r="DP377" i="35" s="1"/>
  <c r="AV349" i="35"/>
  <c r="DP349" i="35" s="1"/>
  <c r="AV358" i="35"/>
  <c r="DO358" i="35" s="1"/>
  <c r="DN358" i="35" s="1"/>
  <c r="AV371" i="35"/>
  <c r="DP371" i="35" s="1"/>
  <c r="AV362" i="35"/>
  <c r="DO362" i="35" s="1"/>
  <c r="DN362" i="35" s="1"/>
  <c r="FT121" i="35"/>
  <c r="AL378" i="35"/>
  <c r="AL379" i="35" s="1"/>
  <c r="B60" i="37"/>
  <c r="AU21" i="37"/>
  <c r="AI387" i="35"/>
  <c r="AI390" i="35" s="1"/>
  <c r="DO357" i="35"/>
  <c r="DN357" i="35" s="1"/>
  <c r="DP356" i="35"/>
  <c r="DO356" i="35"/>
  <c r="DN356" i="35" s="1"/>
  <c r="DO370" i="35"/>
  <c r="DN370" i="35" s="1"/>
  <c r="DP370" i="35"/>
  <c r="DP375" i="35"/>
  <c r="DO375" i="35"/>
  <c r="DN375" i="35" s="1"/>
  <c r="DP363" i="35"/>
  <c r="DO363" i="35"/>
  <c r="DN363" i="35" s="1"/>
  <c r="AK379" i="35"/>
  <c r="DO369" i="35"/>
  <c r="DN369" i="35" s="1"/>
  <c r="DP369" i="35"/>
  <c r="DP374" i="35"/>
  <c r="DO374" i="35"/>
  <c r="DN374" i="35" s="1"/>
  <c r="DO355" i="35"/>
  <c r="DN355" i="35" s="1"/>
  <c r="DP355" i="35"/>
  <c r="DP372" i="35"/>
  <c r="DO372" i="35"/>
  <c r="DN372" i="35" s="1"/>
  <c r="X21" i="23"/>
  <c r="Z21" i="23"/>
  <c r="W17" i="23"/>
  <c r="Z20" i="23" s="1"/>
  <c r="GH125" i="35" l="1"/>
  <c r="GV125" i="35" s="1"/>
  <c r="HD125" i="35" s="1"/>
  <c r="CK186" i="35"/>
  <c r="GH186" i="35" s="1"/>
  <c r="GV186" i="35" s="1"/>
  <c r="HD186" i="35" s="1"/>
  <c r="HH186" i="35" s="1"/>
  <c r="Q16" i="19"/>
  <c r="AC16" i="19" s="1"/>
  <c r="GN16" i="35"/>
  <c r="HJ16" i="35" s="1"/>
  <c r="K125" i="19"/>
  <c r="GN37" i="35"/>
  <c r="HJ37" i="35" s="1"/>
  <c r="Q37" i="19"/>
  <c r="AC37" i="19" s="1"/>
  <c r="CH201" i="35"/>
  <c r="J201" i="19" s="1"/>
  <c r="CZ125" i="35"/>
  <c r="Y125" i="19" s="1"/>
  <c r="DA125" i="35"/>
  <c r="Z125" i="19" s="1"/>
  <c r="HJ65" i="35"/>
  <c r="CY165" i="35"/>
  <c r="X165" i="19" s="1"/>
  <c r="GH173" i="35"/>
  <c r="GV173" i="35" s="1"/>
  <c r="HD173" i="35" s="1"/>
  <c r="FN125" i="35"/>
  <c r="FP125" i="35" s="1"/>
  <c r="FR125" i="35" s="1"/>
  <c r="CM165" i="35"/>
  <c r="CX173" i="35"/>
  <c r="W173" i="19" s="1"/>
  <c r="FP176" i="35"/>
  <c r="FR176" i="35" s="1"/>
  <c r="FT176" i="35" s="1"/>
  <c r="CY125" i="35"/>
  <c r="X125" i="19" s="1"/>
  <c r="CX165" i="35"/>
  <c r="W165" i="19" s="1"/>
  <c r="CM173" i="35"/>
  <c r="CX125" i="35"/>
  <c r="W125" i="19" s="1"/>
  <c r="FW176" i="35"/>
  <c r="FZ176" i="35" s="1"/>
  <c r="GB176" i="35" s="1"/>
  <c r="GH165" i="35"/>
  <c r="GV165" i="35" s="1"/>
  <c r="HD165" i="35" s="1"/>
  <c r="FN165" i="35"/>
  <c r="CY173" i="35"/>
  <c r="X173" i="19" s="1"/>
  <c r="CI228" i="35"/>
  <c r="CM125" i="35"/>
  <c r="K165" i="19"/>
  <c r="GN113" i="35"/>
  <c r="HJ113" i="35" s="1"/>
  <c r="Q113" i="19"/>
  <c r="AC113" i="19" s="1"/>
  <c r="CA261" i="35"/>
  <c r="DC261" i="35" s="1"/>
  <c r="CW219" i="35"/>
  <c r="V219" i="19" s="1"/>
  <c r="R219" i="19"/>
  <c r="CH220" i="35"/>
  <c r="J220" i="19" s="1"/>
  <c r="CK171" i="35"/>
  <c r="CS171" i="35" s="1"/>
  <c r="CV171" i="35" s="1"/>
  <c r="U171" i="19" s="1"/>
  <c r="I194" i="19"/>
  <c r="T219" i="19"/>
  <c r="GR219" i="35"/>
  <c r="V202" i="19"/>
  <c r="CY210" i="35"/>
  <c r="X210" i="19" s="1"/>
  <c r="CK208" i="35"/>
  <c r="CZ208" i="35" s="1"/>
  <c r="Y208" i="19" s="1"/>
  <c r="HH152" i="35"/>
  <c r="HE152" i="35"/>
  <c r="HG152" i="35"/>
  <c r="HF152" i="35"/>
  <c r="HG210" i="35"/>
  <c r="DV226" i="35"/>
  <c r="FV219" i="35"/>
  <c r="FX219" i="35" s="1"/>
  <c r="CT219" i="35"/>
  <c r="S219" i="19" s="1"/>
  <c r="CJ251" i="35"/>
  <c r="CK251" i="35" s="1"/>
  <c r="CS251" i="35" s="1"/>
  <c r="R251" i="19" s="1"/>
  <c r="CM210" i="35"/>
  <c r="FN210" i="35"/>
  <c r="CT152" i="35"/>
  <c r="CW152" i="35"/>
  <c r="CU152" i="35"/>
  <c r="CV152" i="35"/>
  <c r="GP152" i="35"/>
  <c r="R152" i="19"/>
  <c r="FP152" i="35"/>
  <c r="FR152" i="35" s="1"/>
  <c r="FT152" i="35" s="1"/>
  <c r="FV152" i="35"/>
  <c r="CX196" i="35"/>
  <c r="W196" i="19" s="1"/>
  <c r="CM196" i="35"/>
  <c r="FN196" i="35"/>
  <c r="K196" i="19"/>
  <c r="DA196" i="35"/>
  <c r="Z196" i="19" s="1"/>
  <c r="GH196" i="35"/>
  <c r="GV196" i="35" s="1"/>
  <c r="HD196" i="35" s="1"/>
  <c r="CY196" i="35"/>
  <c r="X196" i="19" s="1"/>
  <c r="CS196" i="35"/>
  <c r="CZ196" i="35"/>
  <c r="Y196" i="19" s="1"/>
  <c r="DR228" i="35"/>
  <c r="DV228" i="35" s="1"/>
  <c r="HH210" i="35"/>
  <c r="GS202" i="35"/>
  <c r="CX210" i="35"/>
  <c r="W210" i="19" s="1"/>
  <c r="CF216" i="35"/>
  <c r="CG216" i="35" s="1"/>
  <c r="EW216" i="35" s="1"/>
  <c r="CS210" i="35"/>
  <c r="CT210" i="35" s="1"/>
  <c r="S210" i="19" s="1"/>
  <c r="DR251" i="35"/>
  <c r="GJ152" i="35"/>
  <c r="GX152" i="35" s="1"/>
  <c r="M152" i="19"/>
  <c r="CO152" i="35"/>
  <c r="CI214" i="35"/>
  <c r="I214" i="19" s="1"/>
  <c r="I171" i="19"/>
  <c r="DT171" i="35"/>
  <c r="DT379" i="35" s="1"/>
  <c r="DV171" i="35"/>
  <c r="GR69" i="35"/>
  <c r="T69" i="19"/>
  <c r="M112" i="19"/>
  <c r="CO112" i="35"/>
  <c r="GJ112" i="35"/>
  <c r="GX112" i="35" s="1"/>
  <c r="FX69" i="35"/>
  <c r="FW69" i="35"/>
  <c r="FZ69" i="35" s="1"/>
  <c r="GB69" i="35" s="1"/>
  <c r="U69" i="19"/>
  <c r="GS69" i="35"/>
  <c r="S69" i="19"/>
  <c r="GQ69" i="35"/>
  <c r="H225" i="19"/>
  <c r="V69" i="19"/>
  <c r="GT69" i="35"/>
  <c r="K210" i="19"/>
  <c r="K217" i="19"/>
  <c r="CM217" i="35"/>
  <c r="DA217" i="35"/>
  <c r="Z217" i="19" s="1"/>
  <c r="CZ217" i="35"/>
  <c r="Y217" i="19" s="1"/>
  <c r="CX217" i="35"/>
  <c r="W217" i="19" s="1"/>
  <c r="CS217" i="35"/>
  <c r="CY217" i="35"/>
  <c r="X217" i="19" s="1"/>
  <c r="GH217" i="35"/>
  <c r="GV217" i="35" s="1"/>
  <c r="HD217" i="35" s="1"/>
  <c r="FN217" i="35"/>
  <c r="DC177" i="35"/>
  <c r="CH177" i="35"/>
  <c r="Q58" i="19"/>
  <c r="AC58" i="19" s="1"/>
  <c r="GN58" i="35"/>
  <c r="HJ58" i="35" s="1"/>
  <c r="CJ225" i="35"/>
  <c r="FP112" i="35"/>
  <c r="FR112" i="35" s="1"/>
  <c r="FT112" i="35" s="1"/>
  <c r="FV112" i="35"/>
  <c r="EW225" i="35"/>
  <c r="CA225" i="35"/>
  <c r="DC225" i="35" s="1"/>
  <c r="DV225" i="35"/>
  <c r="CI225" i="35"/>
  <c r="CT112" i="35"/>
  <c r="CW112" i="35"/>
  <c r="CU112" i="35"/>
  <c r="GP112" i="35"/>
  <c r="R112" i="19"/>
  <c r="CV112" i="35"/>
  <c r="GP219" i="35"/>
  <c r="CV219" i="35"/>
  <c r="H214" i="19"/>
  <c r="HG112" i="35"/>
  <c r="HF112" i="35"/>
  <c r="HE112" i="35"/>
  <c r="HH112" i="35"/>
  <c r="I186" i="19"/>
  <c r="CQ69" i="35"/>
  <c r="GL69" i="35"/>
  <c r="GZ69" i="35" s="1"/>
  <c r="HB69" i="35" s="1"/>
  <c r="O69" i="19"/>
  <c r="DR214" i="35"/>
  <c r="DT214" i="35" s="1"/>
  <c r="CA203" i="35"/>
  <c r="DC203" i="35" s="1"/>
  <c r="CA222" i="35"/>
  <c r="H221" i="19"/>
  <c r="EW221" i="35"/>
  <c r="DR221" i="35"/>
  <c r="DV221" i="35" s="1"/>
  <c r="EW277" i="35"/>
  <c r="DR277" i="35"/>
  <c r="DT277" i="35" s="1"/>
  <c r="H277" i="19"/>
  <c r="CJ277" i="35"/>
  <c r="CI277" i="35"/>
  <c r="I277" i="19" s="1"/>
  <c r="CJ218" i="35"/>
  <c r="DR218" i="35"/>
  <c r="DT218" i="35" s="1"/>
  <c r="H218" i="19"/>
  <c r="CI218" i="35"/>
  <c r="EW218" i="35"/>
  <c r="DC216" i="35"/>
  <c r="CH216" i="35"/>
  <c r="J216" i="19" s="1"/>
  <c r="S55" i="19"/>
  <c r="GQ55" i="35"/>
  <c r="BY227" i="35"/>
  <c r="BZ227" i="35" s="1"/>
  <c r="CA227" i="35" s="1"/>
  <c r="DC227" i="35" s="1"/>
  <c r="FX119" i="35"/>
  <c r="FW119" i="35"/>
  <c r="FZ119" i="35" s="1"/>
  <c r="GB119" i="35" s="1"/>
  <c r="CF199" i="35"/>
  <c r="CG199" i="35" s="1"/>
  <c r="V119" i="19"/>
  <c r="GT119" i="35"/>
  <c r="CA228" i="35"/>
  <c r="U21" i="19"/>
  <c r="GS21" i="35"/>
  <c r="GT159" i="35"/>
  <c r="V159" i="19"/>
  <c r="O61" i="19"/>
  <c r="CQ61" i="35"/>
  <c r="GL61" i="35"/>
  <c r="GZ61" i="35" s="1"/>
  <c r="HB61" i="35" s="1"/>
  <c r="CW158" i="35"/>
  <c r="CU158" i="35"/>
  <c r="GP158" i="35"/>
  <c r="R158" i="19"/>
  <c r="CV158" i="35"/>
  <c r="CT158" i="35"/>
  <c r="GS68" i="35"/>
  <c r="U68" i="19"/>
  <c r="CQ55" i="35"/>
  <c r="GL55" i="35"/>
  <c r="GZ55" i="35" s="1"/>
  <c r="HB55" i="35" s="1"/>
  <c r="O55" i="19"/>
  <c r="EW228" i="35"/>
  <c r="CZ174" i="35"/>
  <c r="Y174" i="19" s="1"/>
  <c r="CA221" i="35"/>
  <c r="GQ91" i="35"/>
  <c r="S91" i="19"/>
  <c r="V42" i="19"/>
  <c r="GT42" i="35"/>
  <c r="O68" i="19"/>
  <c r="CQ68" i="35"/>
  <c r="GL68" i="35"/>
  <c r="GZ68" i="35" s="1"/>
  <c r="HB68" i="35" s="1"/>
  <c r="GQ21" i="35"/>
  <c r="S21" i="19"/>
  <c r="U159" i="19"/>
  <c r="GS159" i="35"/>
  <c r="BY260" i="35"/>
  <c r="BZ260" i="35" s="1"/>
  <c r="CA260" i="35" s="1"/>
  <c r="DC260" i="35" s="1"/>
  <c r="FX128" i="35"/>
  <c r="FW128" i="35"/>
  <c r="FZ128" i="35" s="1"/>
  <c r="GB128" i="35" s="1"/>
  <c r="CA209" i="35"/>
  <c r="FX120" i="35"/>
  <c r="FW120" i="35"/>
  <c r="FZ120" i="35" s="1"/>
  <c r="GB120" i="35" s="1"/>
  <c r="EW261" i="35"/>
  <c r="GN28" i="35"/>
  <c r="HJ28" i="35" s="1"/>
  <c r="FP146" i="35"/>
  <c r="FR146" i="35" s="1"/>
  <c r="FT146" i="35" s="1"/>
  <c r="FV146" i="35"/>
  <c r="GR55" i="35"/>
  <c r="T55" i="19"/>
  <c r="J189" i="19"/>
  <c r="CK189" i="35"/>
  <c r="GQ202" i="35"/>
  <c r="CJ213" i="35"/>
  <c r="BY204" i="35"/>
  <c r="BZ204" i="35" s="1"/>
  <c r="CA204" i="35" s="1"/>
  <c r="CH204" i="35" s="1"/>
  <c r="J204" i="19" s="1"/>
  <c r="BY282" i="35"/>
  <c r="BZ282" i="35" s="1"/>
  <c r="CF282" i="35" s="1"/>
  <c r="CG282" i="35" s="1"/>
  <c r="O38" i="19"/>
  <c r="CQ38" i="35"/>
  <c r="GL38" i="35"/>
  <c r="GZ38" i="35" s="1"/>
  <c r="HB38" i="35" s="1"/>
  <c r="CQ49" i="35"/>
  <c r="O49" i="19"/>
  <c r="GL49" i="35"/>
  <c r="GZ49" i="35" s="1"/>
  <c r="HB49" i="35" s="1"/>
  <c r="FW61" i="35"/>
  <c r="FZ61" i="35" s="1"/>
  <c r="GB61" i="35" s="1"/>
  <c r="FX61" i="35"/>
  <c r="GT91" i="35"/>
  <c r="V91" i="19"/>
  <c r="GQ42" i="35"/>
  <c r="S42" i="19"/>
  <c r="FW68" i="35"/>
  <c r="FZ68" i="35" s="1"/>
  <c r="GB68" i="35" s="1"/>
  <c r="FX68" i="35"/>
  <c r="GS120" i="35"/>
  <c r="U120" i="19"/>
  <c r="T159" i="19"/>
  <c r="GR159" i="35"/>
  <c r="V68" i="19"/>
  <c r="GT68" i="35"/>
  <c r="FX42" i="35"/>
  <c r="FW42" i="35"/>
  <c r="FZ42" i="35" s="1"/>
  <c r="GB42" i="35" s="1"/>
  <c r="Q127" i="19"/>
  <c r="AC127" i="19" s="1"/>
  <c r="GN127" i="35"/>
  <c r="HJ127" i="35" s="1"/>
  <c r="U55" i="19"/>
  <c r="GS55" i="35"/>
  <c r="HG146" i="35"/>
  <c r="HE146" i="35"/>
  <c r="HF146" i="35"/>
  <c r="HH146" i="35"/>
  <c r="CI213" i="35"/>
  <c r="U49" i="19"/>
  <c r="GS49" i="35"/>
  <c r="GT21" i="35"/>
  <c r="V21" i="19"/>
  <c r="DV194" i="35"/>
  <c r="CX174" i="35"/>
  <c r="W174" i="19" s="1"/>
  <c r="CQ91" i="35"/>
  <c r="O91" i="19"/>
  <c r="GL91" i="35"/>
  <c r="GZ91" i="35" s="1"/>
  <c r="HB91" i="35" s="1"/>
  <c r="CV146" i="35"/>
  <c r="CW146" i="35"/>
  <c r="CT146" i="35"/>
  <c r="GP146" i="35"/>
  <c r="R146" i="19"/>
  <c r="CU146" i="35"/>
  <c r="S128" i="19"/>
  <c r="GQ128" i="35"/>
  <c r="U91" i="19"/>
  <c r="GS91" i="35"/>
  <c r="GS38" i="35"/>
  <c r="U38" i="19"/>
  <c r="GJ151" i="35"/>
  <c r="GX151" i="35" s="1"/>
  <c r="CO151" i="35"/>
  <c r="M151" i="19"/>
  <c r="T42" i="19"/>
  <c r="GR42" i="35"/>
  <c r="FW38" i="35"/>
  <c r="FZ38" i="35" s="1"/>
  <c r="GB38" i="35" s="1"/>
  <c r="FX38" i="35"/>
  <c r="S120" i="19"/>
  <c r="GQ120" i="35"/>
  <c r="T21" i="19"/>
  <c r="GR21" i="35"/>
  <c r="S159" i="19"/>
  <c r="GQ159" i="35"/>
  <c r="DC184" i="35"/>
  <c r="CH184" i="35"/>
  <c r="T68" i="19"/>
  <c r="GR68" i="35"/>
  <c r="GT55" i="35"/>
  <c r="V55" i="19"/>
  <c r="O95" i="19"/>
  <c r="CQ95" i="35"/>
  <c r="GL95" i="35"/>
  <c r="GZ95" i="35" s="1"/>
  <c r="HB95" i="35" s="1"/>
  <c r="T91" i="19"/>
  <c r="GR91" i="35"/>
  <c r="U42" i="19"/>
  <c r="GS42" i="35"/>
  <c r="GL21" i="35"/>
  <c r="GZ21" i="35" s="1"/>
  <c r="HB21" i="35" s="1"/>
  <c r="CQ21" i="35"/>
  <c r="O21" i="19"/>
  <c r="CJ261" i="35"/>
  <c r="I261" i="19" s="1"/>
  <c r="S49" i="19"/>
  <c r="T128" i="19"/>
  <c r="GR128" i="35"/>
  <c r="O42" i="19"/>
  <c r="GL42" i="35"/>
  <c r="GZ42" i="35" s="1"/>
  <c r="HB42" i="35" s="1"/>
  <c r="CQ42" i="35"/>
  <c r="Q99" i="19"/>
  <c r="AC99" i="19" s="1"/>
  <c r="GN99" i="35"/>
  <c r="HJ99" i="35" s="1"/>
  <c r="U95" i="19"/>
  <c r="GS95" i="35"/>
  <c r="GR49" i="35"/>
  <c r="T49" i="19"/>
  <c r="CT151" i="35"/>
  <c r="CW151" i="35"/>
  <c r="GP151" i="35"/>
  <c r="CV151" i="35"/>
  <c r="R151" i="19"/>
  <c r="CU151" i="35"/>
  <c r="Q180" i="19"/>
  <c r="AC180" i="19" s="1"/>
  <c r="GN180" i="35"/>
  <c r="HJ180" i="35" s="1"/>
  <c r="DC226" i="35"/>
  <c r="CH226" i="35"/>
  <c r="I208" i="19"/>
  <c r="BY274" i="35"/>
  <c r="BZ274" i="35" s="1"/>
  <c r="CF274" i="35" s="1"/>
  <c r="CG274" i="35" s="1"/>
  <c r="GT38" i="35"/>
  <c r="V38" i="19"/>
  <c r="U61" i="19"/>
  <c r="GS61" i="35"/>
  <c r="GL120" i="35"/>
  <c r="GZ120" i="35" s="1"/>
  <c r="HB120" i="35" s="1"/>
  <c r="O120" i="19"/>
  <c r="CQ120" i="35"/>
  <c r="DV186" i="35"/>
  <c r="DT186" i="35"/>
  <c r="GS119" i="35"/>
  <c r="U119" i="19"/>
  <c r="GL128" i="35"/>
  <c r="GZ128" i="35" s="1"/>
  <c r="HB128" i="35" s="1"/>
  <c r="CQ128" i="35"/>
  <c r="O128" i="19"/>
  <c r="GT128" i="35"/>
  <c r="V128" i="19"/>
  <c r="FX95" i="35"/>
  <c r="FW95" i="35"/>
  <c r="FZ95" i="35" s="1"/>
  <c r="GB95" i="35" s="1"/>
  <c r="GQ68" i="35"/>
  <c r="S68" i="19"/>
  <c r="H261" i="19"/>
  <c r="CJ228" i="35"/>
  <c r="I228" i="19" s="1"/>
  <c r="BY268" i="35"/>
  <c r="BZ268" i="35" s="1"/>
  <c r="CA268" i="35" s="1"/>
  <c r="DC268" i="35" s="1"/>
  <c r="DR213" i="35"/>
  <c r="CA218" i="35"/>
  <c r="DC218" i="35" s="1"/>
  <c r="CS174" i="35"/>
  <c r="CT174" i="35" s="1"/>
  <c r="S174" i="19" s="1"/>
  <c r="CH225" i="35"/>
  <c r="J225" i="19" s="1"/>
  <c r="GS128" i="35"/>
  <c r="U128" i="19"/>
  <c r="FW49" i="35"/>
  <c r="FZ49" i="35" s="1"/>
  <c r="GB49" i="35" s="1"/>
  <c r="FX49" i="35"/>
  <c r="CA214" i="35"/>
  <c r="GH212" i="35"/>
  <c r="GV212" i="35" s="1"/>
  <c r="HD212" i="35" s="1"/>
  <c r="K212" i="19"/>
  <c r="CS212" i="35"/>
  <c r="CY212" i="35"/>
  <c r="X212" i="19" s="1"/>
  <c r="DA212" i="35"/>
  <c r="Z212" i="19" s="1"/>
  <c r="CZ212" i="35"/>
  <c r="Y212" i="19" s="1"/>
  <c r="CX212" i="35"/>
  <c r="W212" i="19" s="1"/>
  <c r="FN212" i="35"/>
  <c r="CM212" i="35"/>
  <c r="GR38" i="35"/>
  <c r="T38" i="19"/>
  <c r="S61" i="19"/>
  <c r="GQ61" i="35"/>
  <c r="V120" i="19"/>
  <c r="GT120" i="35"/>
  <c r="H215" i="19"/>
  <c r="CI215" i="35"/>
  <c r="DR215" i="35"/>
  <c r="CJ215" i="35"/>
  <c r="V95" i="19"/>
  <c r="GT95" i="35"/>
  <c r="BY271" i="35"/>
  <c r="BZ271" i="35" s="1"/>
  <c r="CF271" i="35" s="1"/>
  <c r="CG271" i="35" s="1"/>
  <c r="S95" i="19"/>
  <c r="GQ95" i="35"/>
  <c r="FV151" i="35"/>
  <c r="FP151" i="35"/>
  <c r="FR151" i="35" s="1"/>
  <c r="FP158" i="35"/>
  <c r="FR158" i="35" s="1"/>
  <c r="FT158" i="35" s="1"/>
  <c r="FV158" i="35"/>
  <c r="T119" i="19"/>
  <c r="GR119" i="35"/>
  <c r="DR261" i="35"/>
  <c r="DT261" i="35" s="1"/>
  <c r="HE151" i="35"/>
  <c r="HF151" i="35"/>
  <c r="HH151" i="35"/>
  <c r="HG151" i="35"/>
  <c r="GR120" i="35"/>
  <c r="T120" i="19"/>
  <c r="BY255" i="35"/>
  <c r="BZ255" i="35" s="1"/>
  <c r="CF255" i="35" s="1"/>
  <c r="CG255" i="35" s="1"/>
  <c r="FN174" i="35"/>
  <c r="FP174" i="35" s="1"/>
  <c r="FR174" i="35" s="1"/>
  <c r="FT174" i="35" s="1"/>
  <c r="FX55" i="35"/>
  <c r="FW55" i="35"/>
  <c r="FZ55" i="35" s="1"/>
  <c r="GB55" i="35" s="1"/>
  <c r="CQ159" i="35"/>
  <c r="O159" i="19"/>
  <c r="GL159" i="35"/>
  <c r="GZ159" i="35" s="1"/>
  <c r="HB159" i="35" s="1"/>
  <c r="V61" i="19"/>
  <c r="GT61" i="35"/>
  <c r="HG158" i="35"/>
  <c r="HH158" i="35"/>
  <c r="HF158" i="35"/>
  <c r="HE158" i="35"/>
  <c r="FW91" i="35"/>
  <c r="FZ91" i="35" s="1"/>
  <c r="GB91" i="35" s="1"/>
  <c r="FX91" i="35"/>
  <c r="M146" i="19"/>
  <c r="CO146" i="35"/>
  <c r="GJ146" i="35"/>
  <c r="GX146" i="35" s="1"/>
  <c r="S119" i="19"/>
  <c r="GQ119" i="35"/>
  <c r="CO158" i="35"/>
  <c r="GJ158" i="35"/>
  <c r="GX158" i="35" s="1"/>
  <c r="M158" i="19"/>
  <c r="BY256" i="35"/>
  <c r="BZ256" i="35" s="1"/>
  <c r="CF256" i="35" s="1"/>
  <c r="CG256" i="35" s="1"/>
  <c r="FW21" i="35"/>
  <c r="FZ21" i="35" s="1"/>
  <c r="GB21" i="35" s="1"/>
  <c r="FX21" i="35"/>
  <c r="CO219" i="35"/>
  <c r="GJ219" i="35"/>
  <c r="GX219" i="35" s="1"/>
  <c r="M219" i="19"/>
  <c r="FW159" i="35"/>
  <c r="FZ159" i="35" s="1"/>
  <c r="GB159" i="35" s="1"/>
  <c r="FX159" i="35"/>
  <c r="GR95" i="35"/>
  <c r="T95" i="19"/>
  <c r="S38" i="19"/>
  <c r="GQ38" i="35"/>
  <c r="T61" i="19"/>
  <c r="GR61" i="35"/>
  <c r="CF201" i="35"/>
  <c r="CG201" i="35" s="1"/>
  <c r="GL119" i="35"/>
  <c r="GZ119" i="35" s="1"/>
  <c r="HB119" i="35" s="1"/>
  <c r="O119" i="19"/>
  <c r="CQ119" i="35"/>
  <c r="DV208" i="35"/>
  <c r="DT208" i="35"/>
  <c r="BZ235" i="35"/>
  <c r="CT125" i="35"/>
  <c r="GP125" i="35"/>
  <c r="CW125" i="35"/>
  <c r="CV125" i="35"/>
  <c r="CU125" i="35"/>
  <c r="R125" i="19"/>
  <c r="FW84" i="35"/>
  <c r="FZ84" i="35" s="1"/>
  <c r="GB84" i="35" s="1"/>
  <c r="GJ125" i="35"/>
  <c r="GX125" i="35" s="1"/>
  <c r="M125" i="19"/>
  <c r="CO125" i="35"/>
  <c r="HG125" i="35"/>
  <c r="HH125" i="35"/>
  <c r="HE125" i="35"/>
  <c r="HF125" i="35"/>
  <c r="V176" i="19"/>
  <c r="CV211" i="35"/>
  <c r="GP166" i="35"/>
  <c r="DA186" i="35"/>
  <c r="Z186" i="19" s="1"/>
  <c r="CT211" i="35"/>
  <c r="S211" i="19" s="1"/>
  <c r="CV166" i="35"/>
  <c r="GS166" i="35" s="1"/>
  <c r="K186" i="19"/>
  <c r="CH261" i="35"/>
  <c r="J261" i="19" s="1"/>
  <c r="CS186" i="35"/>
  <c r="CW186" i="35" s="1"/>
  <c r="V186" i="19" s="1"/>
  <c r="FX195" i="35"/>
  <c r="CO190" i="35"/>
  <c r="M190" i="19"/>
  <c r="GN176" i="35"/>
  <c r="HJ176" i="35" s="1"/>
  <c r="CU166" i="35"/>
  <c r="T166" i="19" s="1"/>
  <c r="DC213" i="35"/>
  <c r="CK194" i="35"/>
  <c r="CS194" i="35" s="1"/>
  <c r="CV194" i="35" s="1"/>
  <c r="U194" i="19" s="1"/>
  <c r="FN186" i="35"/>
  <c r="FV186" i="35" s="1"/>
  <c r="FW186" i="35" s="1"/>
  <c r="FZ186" i="35" s="1"/>
  <c r="GB186" i="35" s="1"/>
  <c r="CY174" i="35"/>
  <c r="X174" i="19" s="1"/>
  <c r="HE190" i="35"/>
  <c r="HH190" i="35"/>
  <c r="HG190" i="35"/>
  <c r="HF186" i="35"/>
  <c r="CT166" i="35"/>
  <c r="S166" i="19" s="1"/>
  <c r="CZ186" i="35"/>
  <c r="Y186" i="19" s="1"/>
  <c r="CY186" i="35"/>
  <c r="X186" i="19" s="1"/>
  <c r="HE186" i="35"/>
  <c r="CW211" i="35"/>
  <c r="GT211" i="35" s="1"/>
  <c r="CS165" i="35"/>
  <c r="CV165" i="35" s="1"/>
  <c r="K174" i="19"/>
  <c r="R190" i="19"/>
  <c r="CU190" i="35"/>
  <c r="CT190" i="35"/>
  <c r="CW190" i="35"/>
  <c r="DA183" i="35"/>
  <c r="Z183" i="19" s="1"/>
  <c r="CU211" i="35"/>
  <c r="GR211" i="35" s="1"/>
  <c r="CM186" i="35"/>
  <c r="CO186" i="35" s="1"/>
  <c r="O186" i="19" s="1"/>
  <c r="HG186" i="35"/>
  <c r="DC199" i="35"/>
  <c r="CW166" i="35"/>
  <c r="GT166" i="35" s="1"/>
  <c r="CX183" i="35"/>
  <c r="W183" i="19" s="1"/>
  <c r="CX186" i="35"/>
  <c r="W186" i="19" s="1"/>
  <c r="GP190" i="35"/>
  <c r="FP190" i="35"/>
  <c r="FR190" i="35" s="1"/>
  <c r="FT190" i="35" s="1"/>
  <c r="FV190" i="35"/>
  <c r="GQ176" i="35"/>
  <c r="GS84" i="35"/>
  <c r="CJ216" i="35"/>
  <c r="S84" i="19"/>
  <c r="GT219" i="35"/>
  <c r="CJ221" i="35"/>
  <c r="FX162" i="35"/>
  <c r="FW166" i="35"/>
  <c r="FZ166" i="35" s="1"/>
  <c r="GB166" i="35" s="1"/>
  <c r="GJ174" i="35"/>
  <c r="GX174" i="35" s="1"/>
  <c r="H216" i="19"/>
  <c r="GS190" i="35"/>
  <c r="CZ183" i="35"/>
  <c r="Y183" i="19" s="1"/>
  <c r="CI221" i="35"/>
  <c r="I222" i="19"/>
  <c r="GH174" i="35"/>
  <c r="GV174" i="35" s="1"/>
  <c r="HD174" i="35" s="1"/>
  <c r="DA174" i="35"/>
  <c r="Z174" i="19" s="1"/>
  <c r="CO183" i="35"/>
  <c r="CQ183" i="35" s="1"/>
  <c r="GN183" i="35" s="1"/>
  <c r="CA271" i="35"/>
  <c r="DC271" i="35" s="1"/>
  <c r="M183" i="19"/>
  <c r="CU251" i="35"/>
  <c r="GR251" i="35" s="1"/>
  <c r="CV251" i="35"/>
  <c r="GS251" i="35" s="1"/>
  <c r="GT84" i="35"/>
  <c r="CS183" i="35"/>
  <c r="CW183" i="35" s="1"/>
  <c r="V183" i="19" s="1"/>
  <c r="GH183" i="35"/>
  <c r="GV183" i="35" s="1"/>
  <c r="HD183" i="35" s="1"/>
  <c r="HG183" i="35" s="1"/>
  <c r="CY251" i="35"/>
  <c r="X251" i="19" s="1"/>
  <c r="H209" i="19"/>
  <c r="DR209" i="35"/>
  <c r="CI209" i="35"/>
  <c r="CJ209" i="35"/>
  <c r="CY183" i="35"/>
  <c r="X183" i="19" s="1"/>
  <c r="FN183" i="35"/>
  <c r="FP183" i="35" s="1"/>
  <c r="FR183" i="35" s="1"/>
  <c r="GH251" i="35"/>
  <c r="GV251" i="35" s="1"/>
  <c r="HD251" i="35" s="1"/>
  <c r="HF251" i="35" s="1"/>
  <c r="K183" i="19"/>
  <c r="CO211" i="35"/>
  <c r="GJ211" i="35"/>
  <c r="GX211" i="35" s="1"/>
  <c r="M211" i="19"/>
  <c r="FP211" i="35"/>
  <c r="FR211" i="35" s="1"/>
  <c r="FV211" i="35"/>
  <c r="DT253" i="35"/>
  <c r="R211" i="19"/>
  <c r="HE211" i="35"/>
  <c r="HH211" i="35"/>
  <c r="HG211" i="35"/>
  <c r="HF211" i="35"/>
  <c r="HG166" i="35"/>
  <c r="HH166" i="35"/>
  <c r="HE166" i="35"/>
  <c r="CO174" i="35"/>
  <c r="GL174" i="35" s="1"/>
  <c r="GZ174" i="35" s="1"/>
  <c r="HB174" i="35" s="1"/>
  <c r="CO166" i="35"/>
  <c r="O166" i="19" s="1"/>
  <c r="M166" i="19"/>
  <c r="GT185" i="35"/>
  <c r="GN19" i="35"/>
  <c r="HJ19" i="35" s="1"/>
  <c r="Q19" i="19"/>
  <c r="AC19" i="19" s="1"/>
  <c r="GR162" i="35"/>
  <c r="CQ44" i="35"/>
  <c r="GN44" i="35" s="1"/>
  <c r="HJ44" i="35" s="1"/>
  <c r="T84" i="19"/>
  <c r="BW247" i="35"/>
  <c r="GN80" i="35"/>
  <c r="HJ80" i="35" s="1"/>
  <c r="Q80" i="19"/>
  <c r="AC80" i="19" s="1"/>
  <c r="Q143" i="19"/>
  <c r="AC143" i="19" s="1"/>
  <c r="BW223" i="35"/>
  <c r="U162" i="19"/>
  <c r="BW246" i="35"/>
  <c r="GN115" i="35"/>
  <c r="HJ115" i="35" s="1"/>
  <c r="Q115" i="19"/>
  <c r="AC115" i="19" s="1"/>
  <c r="BW232" i="35"/>
  <c r="BW263" i="35"/>
  <c r="BW244" i="35"/>
  <c r="BW249" i="35"/>
  <c r="U195" i="19"/>
  <c r="GS195" i="35"/>
  <c r="BW243" i="35"/>
  <c r="CA282" i="35"/>
  <c r="CH277" i="35"/>
  <c r="J277" i="19" s="1"/>
  <c r="DC277" i="35"/>
  <c r="CQ195" i="35"/>
  <c r="GL195" i="35"/>
  <c r="GZ195" i="35" s="1"/>
  <c r="HB195" i="35" s="1"/>
  <c r="O195" i="19"/>
  <c r="GQ195" i="35"/>
  <c r="S195" i="19"/>
  <c r="BW241" i="35"/>
  <c r="O44" i="19"/>
  <c r="Q169" i="19"/>
  <c r="AC169" i="19" s="1"/>
  <c r="GN169" i="35"/>
  <c r="HJ169" i="35" s="1"/>
  <c r="T195" i="19"/>
  <c r="GR195" i="35"/>
  <c r="GN94" i="35"/>
  <c r="HJ94" i="35" s="1"/>
  <c r="Q94" i="19"/>
  <c r="AC94" i="19" s="1"/>
  <c r="BW230" i="35"/>
  <c r="O143" i="19"/>
  <c r="Q52" i="19"/>
  <c r="AC52" i="19" s="1"/>
  <c r="GN52" i="35"/>
  <c r="HJ52" i="35" s="1"/>
  <c r="CH218" i="35"/>
  <c r="J218" i="19" s="1"/>
  <c r="V195" i="19"/>
  <c r="GT195" i="35"/>
  <c r="I253" i="19"/>
  <c r="CK233" i="35"/>
  <c r="CY233" i="35" s="1"/>
  <c r="X233" i="19" s="1"/>
  <c r="CT185" i="35"/>
  <c r="GQ185" i="35" s="1"/>
  <c r="I220" i="19"/>
  <c r="GP185" i="35"/>
  <c r="GJ185" i="35"/>
  <c r="GX185" i="35" s="1"/>
  <c r="GN205" i="35"/>
  <c r="HJ205" i="35" s="1"/>
  <c r="CV185" i="35"/>
  <c r="U185" i="19" s="1"/>
  <c r="GL143" i="35"/>
  <c r="GZ143" i="35" s="1"/>
  <c r="HB143" i="35" s="1"/>
  <c r="HJ143" i="35" s="1"/>
  <c r="GQ162" i="35"/>
  <c r="U143" i="19"/>
  <c r="DT220" i="35"/>
  <c r="CJ252" i="35"/>
  <c r="CI252" i="35"/>
  <c r="DR252" i="35"/>
  <c r="DV252" i="35" s="1"/>
  <c r="H252" i="19"/>
  <c r="DC236" i="35"/>
  <c r="CH236" i="35"/>
  <c r="J236" i="19" s="1"/>
  <c r="HE185" i="35"/>
  <c r="CO185" i="35"/>
  <c r="GL185" i="35" s="1"/>
  <c r="GZ185" i="35" s="1"/>
  <c r="HB185" i="35" s="1"/>
  <c r="CA252" i="35"/>
  <c r="CH252" i="35" s="1"/>
  <c r="J252" i="19" s="1"/>
  <c r="GN131" i="35"/>
  <c r="HJ131" i="35" s="1"/>
  <c r="CF235" i="35"/>
  <c r="CG235" i="35" s="1"/>
  <c r="H235" i="19" s="1"/>
  <c r="FX143" i="35"/>
  <c r="HF192" i="35"/>
  <c r="CU185" i="35"/>
  <c r="T185" i="19" s="1"/>
  <c r="CH227" i="35"/>
  <c r="J227" i="19" s="1"/>
  <c r="R185" i="19"/>
  <c r="HF185" i="35"/>
  <c r="I233" i="19"/>
  <c r="FP185" i="35"/>
  <c r="FR185" i="35" s="1"/>
  <c r="HH185" i="35"/>
  <c r="GQ143" i="35"/>
  <c r="CI266" i="35"/>
  <c r="I266" i="19" s="1"/>
  <c r="DR266" i="35"/>
  <c r="DT266" i="35" s="1"/>
  <c r="CH266" i="35"/>
  <c r="J266" i="19" s="1"/>
  <c r="V143" i="19"/>
  <c r="GR44" i="35"/>
  <c r="T44" i="19"/>
  <c r="GS44" i="35"/>
  <c r="U44" i="19"/>
  <c r="GT44" i="35"/>
  <c r="V44" i="19"/>
  <c r="S44" i="19"/>
  <c r="GQ44" i="35"/>
  <c r="EW266" i="35"/>
  <c r="H266" i="19"/>
  <c r="I203" i="19"/>
  <c r="BT293" i="35"/>
  <c r="BW293" i="35" s="1"/>
  <c r="BY293" i="35" s="1"/>
  <c r="BZ293" i="35" s="1"/>
  <c r="BT314" i="35"/>
  <c r="BW314" i="35" s="1"/>
  <c r="BY314" i="35" s="1"/>
  <c r="BZ314" i="35" s="1"/>
  <c r="BT281" i="35"/>
  <c r="BW281" i="35" s="1"/>
  <c r="BY281" i="35" s="1"/>
  <c r="BZ281" i="35" s="1"/>
  <c r="BT300" i="35"/>
  <c r="BW300" i="35" s="1"/>
  <c r="BY300" i="35" s="1"/>
  <c r="BZ300" i="35" s="1"/>
  <c r="T143" i="19"/>
  <c r="I254" i="19"/>
  <c r="CU192" i="35"/>
  <c r="T192" i="19" s="1"/>
  <c r="R192" i="19"/>
  <c r="Q179" i="19"/>
  <c r="AC179" i="19" s="1"/>
  <c r="GN179" i="35"/>
  <c r="HJ179" i="35" s="1"/>
  <c r="O192" i="19"/>
  <c r="FP192" i="35"/>
  <c r="FR192" i="35" s="1"/>
  <c r="FT192" i="35" s="1"/>
  <c r="FX192" i="35"/>
  <c r="GJ173" i="35"/>
  <c r="GX173" i="35" s="1"/>
  <c r="M173" i="19"/>
  <c r="CO173" i="35"/>
  <c r="V13" i="19"/>
  <c r="GT13" i="35"/>
  <c r="GR13" i="35"/>
  <c r="T13" i="19"/>
  <c r="S13" i="19"/>
  <c r="GQ13" i="35"/>
  <c r="GP173" i="35"/>
  <c r="CW173" i="35"/>
  <c r="R173" i="19"/>
  <c r="CT173" i="35"/>
  <c r="CU173" i="35"/>
  <c r="CV173" i="35"/>
  <c r="GS13" i="35"/>
  <c r="U13" i="19"/>
  <c r="FV173" i="35"/>
  <c r="FP173" i="35"/>
  <c r="FR173" i="35" s="1"/>
  <c r="GL13" i="35"/>
  <c r="GZ13" i="35" s="1"/>
  <c r="HB13" i="35" s="1"/>
  <c r="CQ13" i="35"/>
  <c r="O13" i="19"/>
  <c r="HG173" i="35"/>
  <c r="HF173" i="35"/>
  <c r="HE173" i="35"/>
  <c r="HH173" i="35"/>
  <c r="FX13" i="35"/>
  <c r="FW13" i="35"/>
  <c r="FZ13" i="35" s="1"/>
  <c r="GB13" i="35" s="1"/>
  <c r="S206" i="19"/>
  <c r="GQ206" i="35"/>
  <c r="FX206" i="35"/>
  <c r="FW206" i="35"/>
  <c r="FZ206" i="35" s="1"/>
  <c r="GB206" i="35" s="1"/>
  <c r="T206" i="19"/>
  <c r="GR206" i="35"/>
  <c r="U206" i="19"/>
  <c r="GS206" i="35"/>
  <c r="Q162" i="19"/>
  <c r="AC162" i="19" s="1"/>
  <c r="GN162" i="35"/>
  <c r="HJ162" i="35" s="1"/>
  <c r="V206" i="19"/>
  <c r="GT206" i="35"/>
  <c r="GL206" i="35"/>
  <c r="GZ206" i="35" s="1"/>
  <c r="HB206" i="35" s="1"/>
  <c r="CQ206" i="35"/>
  <c r="O206" i="19"/>
  <c r="CV192" i="35"/>
  <c r="GS192" i="35" s="1"/>
  <c r="GT192" i="35"/>
  <c r="GP192" i="35"/>
  <c r="CQ192" i="35"/>
  <c r="Q192" i="19" s="1"/>
  <c r="AC192" i="19" s="1"/>
  <c r="GN40" i="35"/>
  <c r="HJ40" i="35" s="1"/>
  <c r="Q40" i="19"/>
  <c r="AC40" i="19" s="1"/>
  <c r="BT239" i="35"/>
  <c r="CA302" i="35"/>
  <c r="HG192" i="35"/>
  <c r="BT250" i="35"/>
  <c r="BW250" i="35" s="1"/>
  <c r="BY250" i="35" s="1"/>
  <c r="BZ250" i="35" s="1"/>
  <c r="GJ191" i="35"/>
  <c r="GX191" i="35" s="1"/>
  <c r="M191" i="19"/>
  <c r="CO191" i="35"/>
  <c r="DR258" i="35"/>
  <c r="H258" i="19"/>
  <c r="CJ258" i="35"/>
  <c r="CI258" i="35"/>
  <c r="DV254" i="35"/>
  <c r="DT254" i="35"/>
  <c r="BT313" i="35"/>
  <c r="BT311" i="35"/>
  <c r="DV269" i="35"/>
  <c r="DT269" i="35"/>
  <c r="FV191" i="35"/>
  <c r="FP191" i="35"/>
  <c r="FR191" i="35" s="1"/>
  <c r="DC258" i="35"/>
  <c r="CH258" i="35"/>
  <c r="GT197" i="35"/>
  <c r="V197" i="19"/>
  <c r="S207" i="19"/>
  <c r="GQ207" i="35"/>
  <c r="GJ165" i="35"/>
  <c r="GX165" i="35" s="1"/>
  <c r="CO165" i="35"/>
  <c r="M165" i="19"/>
  <c r="DC264" i="35"/>
  <c r="CH264" i="35"/>
  <c r="BT288" i="35"/>
  <c r="BT310" i="35"/>
  <c r="BT242" i="35"/>
  <c r="CK269" i="35"/>
  <c r="I269" i="19"/>
  <c r="FX207" i="35"/>
  <c r="FW207" i="35"/>
  <c r="FZ207" i="35" s="1"/>
  <c r="GB207" i="35" s="1"/>
  <c r="GL207" i="35"/>
  <c r="GZ207" i="35" s="1"/>
  <c r="HB207" i="35" s="1"/>
  <c r="O207" i="19"/>
  <c r="CQ207" i="35"/>
  <c r="Q103" i="19"/>
  <c r="AC103" i="19" s="1"/>
  <c r="GN103" i="35"/>
  <c r="HJ103" i="35" s="1"/>
  <c r="T207" i="19"/>
  <c r="GR207" i="35"/>
  <c r="GH248" i="35"/>
  <c r="GV248" i="35" s="1"/>
  <c r="HD248" i="35" s="1"/>
  <c r="FN248" i="35"/>
  <c r="CX248" i="35"/>
  <c r="W248" i="19" s="1"/>
  <c r="CZ248" i="35"/>
  <c r="Y248" i="19" s="1"/>
  <c r="DA248" i="35"/>
  <c r="Z248" i="19" s="1"/>
  <c r="CM248" i="35"/>
  <c r="CY248" i="35"/>
  <c r="X248" i="19" s="1"/>
  <c r="K248" i="19"/>
  <c r="CS248" i="35"/>
  <c r="CX193" i="35"/>
  <c r="W193" i="19" s="1"/>
  <c r="FN193" i="35"/>
  <c r="DA193" i="35"/>
  <c r="Z193" i="19" s="1"/>
  <c r="K193" i="19"/>
  <c r="CY193" i="35"/>
  <c r="X193" i="19" s="1"/>
  <c r="GH193" i="35"/>
  <c r="GV193" i="35" s="1"/>
  <c r="HD193" i="35" s="1"/>
  <c r="CZ193" i="35"/>
  <c r="Y193" i="19" s="1"/>
  <c r="CS193" i="35"/>
  <c r="CM193" i="35"/>
  <c r="T197" i="19"/>
  <c r="GR197" i="35"/>
  <c r="CX237" i="35"/>
  <c r="W237" i="19" s="1"/>
  <c r="FN237" i="35"/>
  <c r="CY237" i="35"/>
  <c r="X237" i="19" s="1"/>
  <c r="K237" i="19"/>
  <c r="CM237" i="35"/>
  <c r="GH237" i="35"/>
  <c r="GV237" i="35" s="1"/>
  <c r="HD237" i="35" s="1"/>
  <c r="CS237" i="35"/>
  <c r="CZ237" i="35"/>
  <c r="Y237" i="19" s="1"/>
  <c r="DA237" i="35"/>
  <c r="Z237" i="19" s="1"/>
  <c r="BT238" i="35"/>
  <c r="GH229" i="35"/>
  <c r="GV229" i="35" s="1"/>
  <c r="HD229" i="35" s="1"/>
  <c r="CM229" i="35"/>
  <c r="FN229" i="35"/>
  <c r="K229" i="19"/>
  <c r="CX229" i="35"/>
  <c r="W229" i="19" s="1"/>
  <c r="DA229" i="35"/>
  <c r="Z229" i="19" s="1"/>
  <c r="CS229" i="35"/>
  <c r="CY229" i="35"/>
  <c r="X229" i="19" s="1"/>
  <c r="CZ229" i="35"/>
  <c r="Y229" i="19" s="1"/>
  <c r="U197" i="19"/>
  <c r="GS197" i="35"/>
  <c r="CA245" i="35"/>
  <c r="CF245" i="35"/>
  <c r="CG245" i="35" s="1"/>
  <c r="CJ245" i="35" s="1"/>
  <c r="U207" i="19"/>
  <c r="GS207" i="35"/>
  <c r="Q182" i="19"/>
  <c r="AC182" i="19" s="1"/>
  <c r="GN182" i="35"/>
  <c r="HJ182" i="35" s="1"/>
  <c r="BT262" i="35"/>
  <c r="BW262" i="35" s="1"/>
  <c r="BY262" i="35" s="1"/>
  <c r="BZ262" i="35" s="1"/>
  <c r="BT312" i="35"/>
  <c r="Q23" i="19"/>
  <c r="AC23" i="19" s="1"/>
  <c r="GN23" i="35"/>
  <c r="HJ23" i="35" s="1"/>
  <c r="O197" i="19"/>
  <c r="CQ197" i="35"/>
  <c r="GL197" i="35"/>
  <c r="GZ197" i="35" s="1"/>
  <c r="HB197" i="35" s="1"/>
  <c r="GP191" i="35"/>
  <c r="CV191" i="35"/>
  <c r="R191" i="19"/>
  <c r="CU191" i="35"/>
  <c r="CW191" i="35"/>
  <c r="CT191" i="35"/>
  <c r="CA240" i="35"/>
  <c r="CF240" i="35"/>
  <c r="CG240" i="35" s="1"/>
  <c r="CJ240" i="35" s="1"/>
  <c r="BT305" i="35"/>
  <c r="DR236" i="35"/>
  <c r="DT236" i="35" s="1"/>
  <c r="FW197" i="35"/>
  <c r="FZ197" i="35" s="1"/>
  <c r="GB197" i="35" s="1"/>
  <c r="FX197" i="35"/>
  <c r="S197" i="19"/>
  <c r="GQ197" i="35"/>
  <c r="CJ236" i="35"/>
  <c r="H236" i="19"/>
  <c r="DC267" i="35"/>
  <c r="CH267" i="35"/>
  <c r="Q51" i="19"/>
  <c r="AC51" i="19" s="1"/>
  <c r="GN51" i="35"/>
  <c r="HJ51" i="35" s="1"/>
  <c r="CM224" i="35"/>
  <c r="CX224" i="35"/>
  <c r="W224" i="19" s="1"/>
  <c r="CZ224" i="35"/>
  <c r="Y224" i="19" s="1"/>
  <c r="K224" i="19"/>
  <c r="DA224" i="35"/>
  <c r="Z224" i="19" s="1"/>
  <c r="FN224" i="35"/>
  <c r="CS224" i="35"/>
  <c r="GH224" i="35"/>
  <c r="GV224" i="35" s="1"/>
  <c r="HD224" i="35" s="1"/>
  <c r="CY224" i="35"/>
  <c r="X224" i="19" s="1"/>
  <c r="EW236" i="35"/>
  <c r="BT303" i="35"/>
  <c r="BW303" i="35" s="1"/>
  <c r="BY303" i="35" s="1"/>
  <c r="BZ303" i="35" s="1"/>
  <c r="GT207" i="35"/>
  <c r="V207" i="19"/>
  <c r="BT289" i="35"/>
  <c r="CJ267" i="35"/>
  <c r="CI267" i="35"/>
  <c r="EW267" i="35"/>
  <c r="H267" i="19"/>
  <c r="DR267" i="35"/>
  <c r="H273" i="19"/>
  <c r="DR273" i="35"/>
  <c r="CJ273" i="35"/>
  <c r="CI273" i="35"/>
  <c r="EW200" i="35"/>
  <c r="DR200" i="35"/>
  <c r="H200" i="19"/>
  <c r="CJ200" i="35"/>
  <c r="CI200" i="35"/>
  <c r="HH165" i="35"/>
  <c r="HG165" i="35"/>
  <c r="HF165" i="35"/>
  <c r="HE165" i="35"/>
  <c r="Q24" i="19"/>
  <c r="AC24" i="19" s="1"/>
  <c r="GN24" i="35"/>
  <c r="HJ24" i="35" s="1"/>
  <c r="HE192" i="35"/>
  <c r="CF272" i="35"/>
  <c r="CG272" i="35" s="1"/>
  <c r="CA272" i="35"/>
  <c r="CT192" i="35"/>
  <c r="GQ192" i="35" s="1"/>
  <c r="DC273" i="35"/>
  <c r="CH273" i="35"/>
  <c r="CH200" i="35"/>
  <c r="DC200" i="35"/>
  <c r="CH260" i="35"/>
  <c r="CJ278" i="35"/>
  <c r="DR278" i="35"/>
  <c r="H278" i="19"/>
  <c r="CI278" i="35"/>
  <c r="CA231" i="35"/>
  <c r="CF231" i="35"/>
  <c r="CG231" i="35" s="1"/>
  <c r="CI231" i="35" s="1"/>
  <c r="FP165" i="35"/>
  <c r="FR165" i="35" s="1"/>
  <c r="FV165" i="35"/>
  <c r="HE191" i="35"/>
  <c r="HF191" i="35"/>
  <c r="HG191" i="35"/>
  <c r="HH191" i="35"/>
  <c r="J254" i="19"/>
  <c r="CK254" i="35"/>
  <c r="BT257" i="35"/>
  <c r="DC278" i="35"/>
  <c r="CH278" i="35"/>
  <c r="DR264" i="35"/>
  <c r="CI264" i="35"/>
  <c r="CJ264" i="35"/>
  <c r="H264" i="19"/>
  <c r="EW264" i="35"/>
  <c r="Q84" i="19"/>
  <c r="AC84" i="19" s="1"/>
  <c r="GN84" i="35"/>
  <c r="HJ84" i="35" s="1"/>
  <c r="CK220" i="35"/>
  <c r="CM220" i="35" s="1"/>
  <c r="GJ220" i="35" s="1"/>
  <c r="GX220" i="35" s="1"/>
  <c r="CZ234" i="35"/>
  <c r="Y234" i="19" s="1"/>
  <c r="CM234" i="35"/>
  <c r="FN234" i="35"/>
  <c r="CS234" i="35"/>
  <c r="GH234" i="35"/>
  <c r="GV234" i="35" s="1"/>
  <c r="HD234" i="35" s="1"/>
  <c r="K234" i="19"/>
  <c r="CY234" i="35"/>
  <c r="X234" i="19" s="1"/>
  <c r="DA234" i="35"/>
  <c r="Z234" i="19" s="1"/>
  <c r="CX234" i="35"/>
  <c r="W234" i="19" s="1"/>
  <c r="CZ253" i="35"/>
  <c r="Y253" i="19" s="1"/>
  <c r="DA253" i="35"/>
  <c r="Z253" i="19" s="1"/>
  <c r="CM253" i="35"/>
  <c r="CX253" i="35"/>
  <c r="W253" i="19" s="1"/>
  <c r="GH253" i="35"/>
  <c r="GV253" i="35" s="1"/>
  <c r="HD253" i="35" s="1"/>
  <c r="CY253" i="35"/>
  <c r="X253" i="19" s="1"/>
  <c r="CS253" i="35"/>
  <c r="K253" i="19"/>
  <c r="FN253" i="35"/>
  <c r="BR259" i="35"/>
  <c r="BR280" i="35"/>
  <c r="BR275" i="35"/>
  <c r="BR316" i="35"/>
  <c r="BR343" i="35"/>
  <c r="BR284" i="35"/>
  <c r="BR286" i="35"/>
  <c r="BR276" i="35"/>
  <c r="BR279" i="35"/>
  <c r="BR270" i="35"/>
  <c r="BT270" i="35" s="1"/>
  <c r="BW270" i="35" s="1"/>
  <c r="BY270" i="35" s="1"/>
  <c r="BZ270" i="35" s="1"/>
  <c r="BR265" i="35"/>
  <c r="BR298" i="35"/>
  <c r="CQ174" i="35"/>
  <c r="GN174" i="35" s="1"/>
  <c r="HJ174" i="35" s="1"/>
  <c r="DT198" i="35"/>
  <c r="FX185" i="35"/>
  <c r="FW185" i="35"/>
  <c r="FZ185" i="35" s="1"/>
  <c r="GB185" i="35" s="1"/>
  <c r="I198" i="19"/>
  <c r="BL326" i="35"/>
  <c r="BN326" i="35" s="1"/>
  <c r="BP326" i="35" s="1"/>
  <c r="BL335" i="35"/>
  <c r="BN335" i="35" s="1"/>
  <c r="BP335" i="35" s="1"/>
  <c r="BL322" i="35"/>
  <c r="BN322" i="35" s="1"/>
  <c r="BP322" i="35" s="1"/>
  <c r="BL332" i="35"/>
  <c r="BN332" i="35" s="1"/>
  <c r="BP332" i="35" s="1"/>
  <c r="BL334" i="35"/>
  <c r="BN334" i="35" s="1"/>
  <c r="BP334" i="35" s="1"/>
  <c r="BL330" i="35"/>
  <c r="BN330" i="35" s="1"/>
  <c r="BP330" i="35" s="1"/>
  <c r="BL321" i="35"/>
  <c r="BN321" i="35" s="1"/>
  <c r="BP321" i="35" s="1"/>
  <c r="BL339" i="35"/>
  <c r="BN339" i="35" s="1"/>
  <c r="BP339" i="35" s="1"/>
  <c r="BL324" i="35"/>
  <c r="BN324" i="35" s="1"/>
  <c r="BP324" i="35" s="1"/>
  <c r="EN9" i="35"/>
  <c r="EM12" i="35"/>
  <c r="CX198" i="35"/>
  <c r="W198" i="19" s="1"/>
  <c r="GH198" i="35"/>
  <c r="GV198" i="35" s="1"/>
  <c r="HD198" i="35" s="1"/>
  <c r="FN198" i="35"/>
  <c r="DA198" i="35"/>
  <c r="Z198" i="19" s="1"/>
  <c r="K198" i="19"/>
  <c r="CZ198" i="35"/>
  <c r="Y198" i="19" s="1"/>
  <c r="CS198" i="35"/>
  <c r="CM198" i="35"/>
  <c r="CY198" i="35"/>
  <c r="X198" i="19" s="1"/>
  <c r="BJ283" i="35"/>
  <c r="BL283" i="35" s="1"/>
  <c r="BN283" i="35" s="1"/>
  <c r="BP283" i="35" s="1"/>
  <c r="BJ299" i="35"/>
  <c r="BL299" i="35" s="1"/>
  <c r="BN299" i="35" s="1"/>
  <c r="BP299" i="35" s="1"/>
  <c r="BJ285" i="35"/>
  <c r="BL285" i="35" s="1"/>
  <c r="BN285" i="35" s="1"/>
  <c r="BP285" i="35" s="1"/>
  <c r="BH291" i="35"/>
  <c r="BH308" i="35"/>
  <c r="BH296" i="35"/>
  <c r="BH307" i="35"/>
  <c r="BH315" i="35"/>
  <c r="BH294" i="35"/>
  <c r="BH295" i="35"/>
  <c r="BH292" i="35"/>
  <c r="BH287" i="35"/>
  <c r="BH306" i="35"/>
  <c r="BH309" i="35"/>
  <c r="BH290" i="35"/>
  <c r="BH304" i="35"/>
  <c r="BF317" i="35"/>
  <c r="BF336" i="35"/>
  <c r="BF301" i="35"/>
  <c r="BF297" i="35"/>
  <c r="BD337" i="35"/>
  <c r="BD342" i="35"/>
  <c r="BD318" i="35"/>
  <c r="BD328" i="35"/>
  <c r="BD344" i="35"/>
  <c r="BD341" i="35"/>
  <c r="BD340" i="35"/>
  <c r="BD323" i="35"/>
  <c r="BD329" i="35"/>
  <c r="BD333" i="35"/>
  <c r="BD346" i="35"/>
  <c r="BD345" i="35"/>
  <c r="BD325" i="35"/>
  <c r="BD338" i="35"/>
  <c r="BA358" i="35"/>
  <c r="BD358" i="35" s="1"/>
  <c r="BF358" i="35" s="1"/>
  <c r="BH358" i="35" s="1"/>
  <c r="BJ358" i="35" s="1"/>
  <c r="BA331" i="35"/>
  <c r="BD331" i="35" s="1"/>
  <c r="BF331" i="35" s="1"/>
  <c r="BH331" i="35" s="1"/>
  <c r="BJ331" i="35" s="1"/>
  <c r="BA327" i="35"/>
  <c r="BD327" i="35" s="1"/>
  <c r="BF327" i="35" s="1"/>
  <c r="BH327" i="35" s="1"/>
  <c r="BJ327" i="35" s="1"/>
  <c r="BA347" i="35"/>
  <c r="BD347" i="35" s="1"/>
  <c r="BF347" i="35" s="1"/>
  <c r="BH347" i="35" s="1"/>
  <c r="BJ347" i="35" s="1"/>
  <c r="BA320" i="35"/>
  <c r="BA373" i="35"/>
  <c r="BD373" i="35" s="1"/>
  <c r="BF373" i="35" s="1"/>
  <c r="BH373" i="35" s="1"/>
  <c r="BJ373" i="35" s="1"/>
  <c r="BA319" i="35"/>
  <c r="BA360" i="35"/>
  <c r="BD360" i="35" s="1"/>
  <c r="BF360" i="35" s="1"/>
  <c r="BH360" i="35" s="1"/>
  <c r="BJ360" i="35" s="1"/>
  <c r="AZ371" i="35"/>
  <c r="AZ352" i="35"/>
  <c r="AZ348" i="35"/>
  <c r="AZ367" i="35"/>
  <c r="AZ353" i="35"/>
  <c r="AZ364" i="35"/>
  <c r="AZ361" i="35"/>
  <c r="AZ377" i="35"/>
  <c r="AZ362" i="35"/>
  <c r="AZ350" i="35"/>
  <c r="AZ366" i="35"/>
  <c r="AZ376" i="35"/>
  <c r="AZ354" i="35"/>
  <c r="AZ365" i="35"/>
  <c r="AZ349" i="35"/>
  <c r="AZ359" i="35"/>
  <c r="AZ368" i="35"/>
  <c r="AZ351" i="35"/>
  <c r="DO376" i="35"/>
  <c r="DN376" i="35" s="1"/>
  <c r="AX372" i="35"/>
  <c r="AX356" i="35"/>
  <c r="AX375" i="35"/>
  <c r="AX369" i="35"/>
  <c r="AX363" i="35"/>
  <c r="DO351" i="35"/>
  <c r="DN351" i="35" s="1"/>
  <c r="AX370" i="35"/>
  <c r="AO378" i="35"/>
  <c r="AP378" i="35" s="1"/>
  <c r="AP379" i="35" s="1"/>
  <c r="AX355" i="35"/>
  <c r="AZ355" i="35" s="1"/>
  <c r="AX374" i="35"/>
  <c r="AZ374" i="35" s="1"/>
  <c r="AX357" i="35"/>
  <c r="DP373" i="35"/>
  <c r="DP367" i="35"/>
  <c r="DP348" i="35"/>
  <c r="DP352" i="35"/>
  <c r="DP365" i="35"/>
  <c r="DP358" i="35"/>
  <c r="DO354" i="35"/>
  <c r="DN354" i="35" s="1"/>
  <c r="DP368" i="35"/>
  <c r="DP350" i="35"/>
  <c r="DP366" i="35"/>
  <c r="DO371" i="35"/>
  <c r="DN371" i="35" s="1"/>
  <c r="DO359" i="35"/>
  <c r="DN359" i="35" s="1"/>
  <c r="DP361" i="35"/>
  <c r="DO349" i="35"/>
  <c r="DN349" i="35" s="1"/>
  <c r="DO353" i="35"/>
  <c r="DN353" i="35" s="1"/>
  <c r="DO364" i="35"/>
  <c r="DN364" i="35" s="1"/>
  <c r="DP360" i="35"/>
  <c r="DO377" i="35"/>
  <c r="DN377" i="35" s="1"/>
  <c r="DP362" i="35"/>
  <c r="FT123" i="35"/>
  <c r="AL3" i="35"/>
  <c r="AM379" i="35"/>
  <c r="B61" i="37"/>
  <c r="AV21" i="37"/>
  <c r="V18" i="23"/>
  <c r="V19" i="23" s="1"/>
  <c r="V20" i="23" s="1"/>
  <c r="V21" i="23" s="1"/>
  <c r="V22" i="23" s="1"/>
  <c r="V23" i="23" s="1"/>
  <c r="V24" i="23" s="1"/>
  <c r="V25" i="23" s="1"/>
  <c r="V26" i="23" s="1"/>
  <c r="V27" i="23" s="1"/>
  <c r="V28" i="23" s="1"/>
  <c r="V29" i="23" s="1"/>
  <c r="V30" i="23" s="1"/>
  <c r="V31" i="23" s="1"/>
  <c r="V32" i="23" s="1"/>
  <c r="V33" i="23" s="1"/>
  <c r="V34" i="23" s="1"/>
  <c r="V35" i="23" s="1"/>
  <c r="V36" i="23" s="1"/>
  <c r="V37" i="23" s="1"/>
  <c r="V38" i="23" s="1"/>
  <c r="V39" i="23" s="1"/>
  <c r="V40" i="23" s="1"/>
  <c r="V41" i="23" s="1"/>
  <c r="V42" i="23" s="1"/>
  <c r="V43" i="23" s="1"/>
  <c r="V44" i="23" s="1"/>
  <c r="V45" i="23" s="1"/>
  <c r="V46" i="23" s="1"/>
  <c r="V47" i="23" s="1"/>
  <c r="V48" i="23" s="1"/>
  <c r="V49" i="23" s="1"/>
  <c r="V50" i="23" s="1"/>
  <c r="V51" i="23" s="1"/>
  <c r="V52" i="23" s="1"/>
  <c r="V53" i="23" s="1"/>
  <c r="V54" i="23" s="1"/>
  <c r="V55" i="23" s="1"/>
  <c r="V56" i="23" s="1"/>
  <c r="V57" i="23" s="1"/>
  <c r="V58" i="23" s="1"/>
  <c r="V59" i="23" s="1"/>
  <c r="V60" i="23" s="1"/>
  <c r="V61" i="23" s="1"/>
  <c r="V62" i="23" s="1"/>
  <c r="V63" i="23" s="1"/>
  <c r="V64" i="23" s="1"/>
  <c r="V65" i="23" s="1"/>
  <c r="V66" i="23" s="1"/>
  <c r="V67" i="23" s="1"/>
  <c r="V68" i="23" s="1"/>
  <c r="V69" i="23" s="1"/>
  <c r="V70" i="23" s="1"/>
  <c r="V71" i="23" s="1"/>
  <c r="V72" i="23" s="1"/>
  <c r="X20" i="23"/>
  <c r="M74" i="23" s="1"/>
  <c r="M73" i="23" s="1"/>
  <c r="FV125" i="35" l="1"/>
  <c r="CY171" i="35"/>
  <c r="X171" i="19" s="1"/>
  <c r="CQ186" i="35"/>
  <c r="Q186" i="19" s="1"/>
  <c r="AC186" i="19" s="1"/>
  <c r="R174" i="19"/>
  <c r="CM251" i="35"/>
  <c r="GJ251" i="35" s="1"/>
  <c r="GX251" i="35" s="1"/>
  <c r="R210" i="19"/>
  <c r="CM208" i="35"/>
  <c r="GQ219" i="35"/>
  <c r="DA171" i="35"/>
  <c r="Z171" i="19" s="1"/>
  <c r="CX171" i="35"/>
  <c r="W171" i="19" s="1"/>
  <c r="GH171" i="35"/>
  <c r="GV171" i="35" s="1"/>
  <c r="HD171" i="35" s="1"/>
  <c r="HF171" i="35" s="1"/>
  <c r="K251" i="19"/>
  <c r="CU210" i="35"/>
  <c r="GP210" i="35"/>
  <c r="CT251" i="35"/>
  <c r="CW251" i="35"/>
  <c r="V251" i="19" s="1"/>
  <c r="CY208" i="35"/>
  <c r="X208" i="19" s="1"/>
  <c r="K171" i="19"/>
  <c r="FN208" i="35"/>
  <c r="FV208" i="35" s="1"/>
  <c r="FX208" i="35" s="1"/>
  <c r="CU174" i="35"/>
  <c r="T174" i="19" s="1"/>
  <c r="CZ251" i="35"/>
  <c r="Y251" i="19" s="1"/>
  <c r="K208" i="19"/>
  <c r="CM171" i="35"/>
  <c r="CO171" i="35" s="1"/>
  <c r="DV214" i="35"/>
  <c r="DA251" i="35"/>
  <c r="Z251" i="19" s="1"/>
  <c r="GH208" i="35"/>
  <c r="GV208" i="35" s="1"/>
  <c r="HD208" i="35" s="1"/>
  <c r="FN171" i="35"/>
  <c r="CX251" i="35"/>
  <c r="W251" i="19" s="1"/>
  <c r="GP251" i="35"/>
  <c r="FN251" i="35"/>
  <c r="FV251" i="35" s="1"/>
  <c r="DA208" i="35"/>
  <c r="Z208" i="19" s="1"/>
  <c r="CZ171" i="35"/>
  <c r="Y171" i="19" s="1"/>
  <c r="CS208" i="35"/>
  <c r="GP208" i="35" s="1"/>
  <c r="U251" i="19"/>
  <c r="I251" i="19"/>
  <c r="I225" i="19"/>
  <c r="CA255" i="35"/>
  <c r="CH255" i="35" s="1"/>
  <c r="J255" i="19" s="1"/>
  <c r="CW196" i="35"/>
  <c r="CT196" i="35"/>
  <c r="GP196" i="35"/>
  <c r="CV196" i="35"/>
  <c r="R196" i="19"/>
  <c r="CU196" i="35"/>
  <c r="HE196" i="35"/>
  <c r="HF196" i="35"/>
  <c r="HG196" i="35"/>
  <c r="HH196" i="35"/>
  <c r="M186" i="19"/>
  <c r="CF204" i="35"/>
  <c r="CG204" i="35" s="1"/>
  <c r="DV251" i="35"/>
  <c r="DT251" i="35"/>
  <c r="FP210" i="35"/>
  <c r="FR210" i="35" s="1"/>
  <c r="FT210" i="35" s="1"/>
  <c r="FV210" i="35"/>
  <c r="FX152" i="35"/>
  <c r="FW152" i="35"/>
  <c r="FZ152" i="35" s="1"/>
  <c r="GB152" i="35" s="1"/>
  <c r="R171" i="19"/>
  <c r="FW219" i="35"/>
  <c r="FZ219" i="35" s="1"/>
  <c r="GB219" i="35" s="1"/>
  <c r="T152" i="19"/>
  <c r="GR152" i="35"/>
  <c r="GQ211" i="35"/>
  <c r="GT152" i="35"/>
  <c r="V152" i="19"/>
  <c r="DV277" i="35"/>
  <c r="DT228" i="35"/>
  <c r="U166" i="19"/>
  <c r="R194" i="19"/>
  <c r="GL186" i="35"/>
  <c r="GZ186" i="35" s="1"/>
  <c r="HB186" i="35" s="1"/>
  <c r="CA274" i="35"/>
  <c r="CH274" i="35" s="1"/>
  <c r="J274" i="19" s="1"/>
  <c r="I213" i="19"/>
  <c r="CV210" i="35"/>
  <c r="CW210" i="35"/>
  <c r="FP196" i="35"/>
  <c r="FR196" i="35" s="1"/>
  <c r="FT196" i="35" s="1"/>
  <c r="FV196" i="35"/>
  <c r="CO210" i="35"/>
  <c r="GJ210" i="35"/>
  <c r="GX210" i="35" s="1"/>
  <c r="M210" i="19"/>
  <c r="O152" i="19"/>
  <c r="GL152" i="35"/>
  <c r="GZ152" i="35" s="1"/>
  <c r="HB152" i="35" s="1"/>
  <c r="CQ152" i="35"/>
  <c r="CU171" i="35"/>
  <c r="GR171" i="35" s="1"/>
  <c r="I218" i="19"/>
  <c r="CX208" i="35"/>
  <c r="W208" i="19" s="1"/>
  <c r="CI216" i="35"/>
  <c r="I216" i="19" s="1"/>
  <c r="DR216" i="35"/>
  <c r="CO196" i="35"/>
  <c r="GJ196" i="35"/>
  <c r="GX196" i="35" s="1"/>
  <c r="M196" i="19"/>
  <c r="GS152" i="35"/>
  <c r="U152" i="19"/>
  <c r="S152" i="19"/>
  <c r="GQ152" i="35"/>
  <c r="CY194" i="35"/>
  <c r="X194" i="19" s="1"/>
  <c r="DC204" i="35"/>
  <c r="CT171" i="35"/>
  <c r="S171" i="19" s="1"/>
  <c r="DR204" i="35"/>
  <c r="DV204" i="35" s="1"/>
  <c r="CT217" i="35"/>
  <c r="CW217" i="35"/>
  <c r="CU217" i="35"/>
  <c r="R217" i="19"/>
  <c r="GP217" i="35"/>
  <c r="CV217" i="35"/>
  <c r="HF208" i="35"/>
  <c r="GS171" i="35"/>
  <c r="EW204" i="35"/>
  <c r="DC222" i="35"/>
  <c r="CH222" i="35"/>
  <c r="U219" i="19"/>
  <c r="GS219" i="35"/>
  <c r="FX112" i="35"/>
  <c r="FW112" i="35"/>
  <c r="FZ112" i="35" s="1"/>
  <c r="GB112" i="35" s="1"/>
  <c r="HE208" i="35"/>
  <c r="DV218" i="35"/>
  <c r="CW171" i="35"/>
  <c r="GT171" i="35" s="1"/>
  <c r="GS112" i="35"/>
  <c r="U112" i="19"/>
  <c r="GP171" i="35"/>
  <c r="GJ217" i="35"/>
  <c r="GX217" i="35" s="1"/>
  <c r="M217" i="19"/>
  <c r="CO217" i="35"/>
  <c r="CK213" i="35"/>
  <c r="DA213" i="35" s="1"/>
  <c r="Z213" i="19" s="1"/>
  <c r="DV261" i="35"/>
  <c r="GT112" i="35"/>
  <c r="V112" i="19"/>
  <c r="J177" i="19"/>
  <c r="CK177" i="35"/>
  <c r="GN69" i="35"/>
  <c r="HJ69" i="35" s="1"/>
  <c r="Q69" i="19"/>
  <c r="AC69" i="19" s="1"/>
  <c r="CQ112" i="35"/>
  <c r="O112" i="19"/>
  <c r="GL112" i="35"/>
  <c r="GZ112" i="35" s="1"/>
  <c r="HB112" i="35" s="1"/>
  <c r="S112" i="19"/>
  <c r="GQ112" i="35"/>
  <c r="GR112" i="35"/>
  <c r="T112" i="19"/>
  <c r="CH203" i="35"/>
  <c r="FV217" i="35"/>
  <c r="FP217" i="35"/>
  <c r="FR217" i="35" s="1"/>
  <c r="HH217" i="35"/>
  <c r="HG217" i="35"/>
  <c r="HE217" i="35"/>
  <c r="HF217" i="35"/>
  <c r="CI255" i="35"/>
  <c r="CJ255" i="35"/>
  <c r="DR255" i="35"/>
  <c r="DT255" i="35" s="1"/>
  <c r="EW255" i="35"/>
  <c r="H255" i="19"/>
  <c r="H256" i="19"/>
  <c r="CJ256" i="35"/>
  <c r="EW256" i="35"/>
  <c r="CI256" i="35"/>
  <c r="DR256" i="35"/>
  <c r="DV256" i="35" s="1"/>
  <c r="CI274" i="35"/>
  <c r="CJ274" i="35"/>
  <c r="DR274" i="35"/>
  <c r="DT274" i="35" s="1"/>
  <c r="EW274" i="35"/>
  <c r="H274" i="19"/>
  <c r="CI271" i="35"/>
  <c r="EW271" i="35"/>
  <c r="DR271" i="35"/>
  <c r="DV271" i="35" s="1"/>
  <c r="CJ271" i="35"/>
  <c r="H271" i="19"/>
  <c r="CJ282" i="35"/>
  <c r="CI282" i="35"/>
  <c r="I282" i="19" s="1"/>
  <c r="EW282" i="35"/>
  <c r="DR282" i="35"/>
  <c r="DT282" i="35" s="1"/>
  <c r="H282" i="19"/>
  <c r="BY244" i="35"/>
  <c r="BZ244" i="35" s="1"/>
  <c r="CF244" i="35" s="1"/>
  <c r="CG244" i="35" s="1"/>
  <c r="BY263" i="35"/>
  <c r="BZ263" i="35" s="1"/>
  <c r="CF263" i="35" s="1"/>
  <c r="CG263" i="35" s="1"/>
  <c r="CI263" i="35" s="1"/>
  <c r="I215" i="19"/>
  <c r="CK215" i="35"/>
  <c r="DC228" i="35"/>
  <c r="CH228" i="35"/>
  <c r="BY232" i="35"/>
  <c r="BZ232" i="35" s="1"/>
  <c r="CA232" i="35" s="1"/>
  <c r="GN95" i="35"/>
  <c r="HJ95" i="35" s="1"/>
  <c r="Q95" i="19"/>
  <c r="AC95" i="19" s="1"/>
  <c r="BY247" i="35"/>
  <c r="BZ247" i="35" s="1"/>
  <c r="CA247" i="35" s="1"/>
  <c r="CQ158" i="35"/>
  <c r="O158" i="19"/>
  <c r="GL158" i="35"/>
  <c r="GZ158" i="35" s="1"/>
  <c r="HB158" i="35" s="1"/>
  <c r="FX151" i="35"/>
  <c r="FW151" i="35"/>
  <c r="FZ151" i="35" s="1"/>
  <c r="GB151" i="35" s="1"/>
  <c r="CF268" i="35"/>
  <c r="CG268" i="35" s="1"/>
  <c r="GQ151" i="35"/>
  <c r="S151" i="19"/>
  <c r="CF260" i="35"/>
  <c r="CG260" i="35" s="1"/>
  <c r="DC221" i="35"/>
  <c r="CH221" i="35"/>
  <c r="J221" i="19" s="1"/>
  <c r="T158" i="19"/>
  <c r="GR158" i="35"/>
  <c r="DR199" i="35"/>
  <c r="H199" i="19"/>
  <c r="CJ199" i="35"/>
  <c r="CI199" i="35"/>
  <c r="EW199" i="35"/>
  <c r="Q42" i="19"/>
  <c r="AC42" i="19" s="1"/>
  <c r="GN42" i="35"/>
  <c r="HJ42" i="35" s="1"/>
  <c r="DC209" i="35"/>
  <c r="CH209" i="35"/>
  <c r="J209" i="19" s="1"/>
  <c r="CK225" i="35"/>
  <c r="CS225" i="35" s="1"/>
  <c r="FN194" i="35"/>
  <c r="FP194" i="35" s="1"/>
  <c r="FR194" i="35" s="1"/>
  <c r="FT194" i="35" s="1"/>
  <c r="BY241" i="35"/>
  <c r="BZ241" i="35" s="1"/>
  <c r="CA241" i="35" s="1"/>
  <c r="DC241" i="35" s="1"/>
  <c r="BY243" i="35"/>
  <c r="BZ243" i="35" s="1"/>
  <c r="CA243" i="35" s="1"/>
  <c r="GQ174" i="35"/>
  <c r="CA256" i="35"/>
  <c r="HG212" i="35"/>
  <c r="HH212" i="35"/>
  <c r="HE212" i="35"/>
  <c r="HF212" i="35"/>
  <c r="Q38" i="19"/>
  <c r="AC38" i="19" s="1"/>
  <c r="GN38" i="35"/>
  <c r="HJ38" i="35" s="1"/>
  <c r="GT158" i="35"/>
  <c r="V158" i="19"/>
  <c r="T151" i="19"/>
  <c r="GR151" i="35"/>
  <c r="GS146" i="35"/>
  <c r="U146" i="19"/>
  <c r="GQ158" i="35"/>
  <c r="S158" i="19"/>
  <c r="Q91" i="19"/>
  <c r="AC91" i="19" s="1"/>
  <c r="GN91" i="35"/>
  <c r="HJ91" i="35" s="1"/>
  <c r="GN128" i="35"/>
  <c r="HJ128" i="35" s="1"/>
  <c r="Q128" i="19"/>
  <c r="AC128" i="19" s="1"/>
  <c r="DA194" i="35"/>
  <c r="Z194" i="19" s="1"/>
  <c r="CH268" i="35"/>
  <c r="J268" i="19" s="1"/>
  <c r="BY230" i="35"/>
  <c r="BZ230" i="35" s="1"/>
  <c r="CA230" i="35" s="1"/>
  <c r="BY246" i="35"/>
  <c r="BZ246" i="35" s="1"/>
  <c r="CA246" i="35" s="1"/>
  <c r="GP174" i="35"/>
  <c r="CV174" i="35"/>
  <c r="CH214" i="35"/>
  <c r="DC214" i="35"/>
  <c r="GR146" i="35"/>
  <c r="T146" i="19"/>
  <c r="FX146" i="35"/>
  <c r="FW146" i="35"/>
  <c r="FZ146" i="35" s="1"/>
  <c r="GB146" i="35" s="1"/>
  <c r="BY223" i="35"/>
  <c r="BZ223" i="35" s="1"/>
  <c r="CA223" i="35" s="1"/>
  <c r="CH223" i="35" s="1"/>
  <c r="FW158" i="35"/>
  <c r="FZ158" i="35" s="1"/>
  <c r="GB158" i="35" s="1"/>
  <c r="FX158" i="35"/>
  <c r="U151" i="19"/>
  <c r="GS151" i="35"/>
  <c r="CW174" i="35"/>
  <c r="V174" i="19" s="1"/>
  <c r="GQ210" i="35"/>
  <c r="FV174" i="35"/>
  <c r="Q119" i="19"/>
  <c r="AC119" i="19" s="1"/>
  <c r="GN119" i="35"/>
  <c r="HJ119" i="35" s="1"/>
  <c r="J226" i="19"/>
  <c r="CK226" i="35"/>
  <c r="Q61" i="19"/>
  <c r="AC61" i="19" s="1"/>
  <c r="GN61" i="35"/>
  <c r="HJ61" i="35" s="1"/>
  <c r="BY249" i="35"/>
  <c r="BZ249" i="35" s="1"/>
  <c r="CF249" i="35" s="1"/>
  <c r="CG249" i="35" s="1"/>
  <c r="DR249" i="35" s="1"/>
  <c r="DT249" i="35" s="1"/>
  <c r="CK216" i="35"/>
  <c r="CZ216" i="35" s="1"/>
  <c r="Y216" i="19" s="1"/>
  <c r="DT215" i="35"/>
  <c r="DV215" i="35"/>
  <c r="GS158" i="35"/>
  <c r="U158" i="19"/>
  <c r="K189" i="19"/>
  <c r="CZ189" i="35"/>
  <c r="Y189" i="19" s="1"/>
  <c r="DA189" i="35"/>
  <c r="Z189" i="19" s="1"/>
  <c r="GH189" i="35"/>
  <c r="GV189" i="35" s="1"/>
  <c r="HD189" i="35" s="1"/>
  <c r="CM189" i="35"/>
  <c r="CS189" i="35"/>
  <c r="FN189" i="35"/>
  <c r="CY189" i="35"/>
  <c r="X189" i="19" s="1"/>
  <c r="CX189" i="35"/>
  <c r="W189" i="19" s="1"/>
  <c r="V151" i="19"/>
  <c r="GT151" i="35"/>
  <c r="Q49" i="19"/>
  <c r="AC49" i="19" s="1"/>
  <c r="GN49" i="35"/>
  <c r="HJ49" i="35" s="1"/>
  <c r="CT186" i="35"/>
  <c r="GQ186" i="35" s="1"/>
  <c r="O146" i="19"/>
  <c r="GL146" i="35"/>
  <c r="GZ146" i="35" s="1"/>
  <c r="HB146" i="35" s="1"/>
  <c r="CQ146" i="35"/>
  <c r="Q159" i="19"/>
  <c r="AC159" i="19" s="1"/>
  <c r="GN159" i="35"/>
  <c r="HJ159" i="35" s="1"/>
  <c r="GN21" i="35"/>
  <c r="HJ21" i="35" s="1"/>
  <c r="Q21" i="19"/>
  <c r="AC21" i="19" s="1"/>
  <c r="CF227" i="35"/>
  <c r="CG227" i="35" s="1"/>
  <c r="GS194" i="35"/>
  <c r="GR185" i="35"/>
  <c r="CM194" i="35"/>
  <c r="CO194" i="35" s="1"/>
  <c r="CQ194" i="35" s="1"/>
  <c r="Q194" i="19" s="1"/>
  <c r="AC194" i="19" s="1"/>
  <c r="CU186" i="35"/>
  <c r="T186" i="19" s="1"/>
  <c r="O219" i="19"/>
  <c r="GL219" i="35"/>
  <c r="GZ219" i="35" s="1"/>
  <c r="HB219" i="35" s="1"/>
  <c r="CQ219" i="35"/>
  <c r="GJ212" i="35"/>
  <c r="GX212" i="35" s="1"/>
  <c r="M212" i="19"/>
  <c r="CO212" i="35"/>
  <c r="Q120" i="19"/>
  <c r="AC120" i="19" s="1"/>
  <c r="GN120" i="35"/>
  <c r="HJ120" i="35" s="1"/>
  <c r="J184" i="19"/>
  <c r="CK184" i="35"/>
  <c r="S146" i="19"/>
  <c r="GQ146" i="35"/>
  <c r="Q55" i="19"/>
  <c r="AC55" i="19" s="1"/>
  <c r="GN55" i="35"/>
  <c r="HJ55" i="35" s="1"/>
  <c r="DT213" i="35"/>
  <c r="DV213" i="35"/>
  <c r="GP212" i="35"/>
  <c r="CV212" i="35"/>
  <c r="CT212" i="35"/>
  <c r="CW212" i="35"/>
  <c r="CU212" i="35"/>
  <c r="R212" i="19"/>
  <c r="DT221" i="35"/>
  <c r="CI201" i="35"/>
  <c r="DR201" i="35"/>
  <c r="H201" i="19"/>
  <c r="CJ201" i="35"/>
  <c r="FV212" i="35"/>
  <c r="FP212" i="35"/>
  <c r="FR212" i="35" s="1"/>
  <c r="FT212" i="35" s="1"/>
  <c r="GL151" i="35"/>
  <c r="GZ151" i="35" s="1"/>
  <c r="HB151" i="35" s="1"/>
  <c r="O151" i="19"/>
  <c r="CQ151" i="35"/>
  <c r="V146" i="19"/>
  <c r="GT146" i="35"/>
  <c r="Q68" i="19"/>
  <c r="AC68" i="19" s="1"/>
  <c r="GN68" i="35"/>
  <c r="HJ68" i="35" s="1"/>
  <c r="GR125" i="35"/>
  <c r="T125" i="19"/>
  <c r="V125" i="19"/>
  <c r="GT125" i="35"/>
  <c r="S125" i="19"/>
  <c r="GQ125" i="35"/>
  <c r="FW125" i="35"/>
  <c r="FZ125" i="35" s="1"/>
  <c r="GB125" i="35" s="1"/>
  <c r="FX125" i="35"/>
  <c r="U125" i="19"/>
  <c r="GS125" i="35"/>
  <c r="GL125" i="35"/>
  <c r="GZ125" i="35" s="1"/>
  <c r="HB125" i="35" s="1"/>
  <c r="CQ125" i="35"/>
  <c r="O125" i="19"/>
  <c r="HH251" i="35"/>
  <c r="GR166" i="35"/>
  <c r="GP186" i="35"/>
  <c r="CK261" i="35"/>
  <c r="DA261" i="35" s="1"/>
  <c r="Z261" i="19" s="1"/>
  <c r="R186" i="19"/>
  <c r="CX194" i="35"/>
  <c r="W194" i="19" s="1"/>
  <c r="HE183" i="35"/>
  <c r="GJ186" i="35"/>
  <c r="GX186" i="35" s="1"/>
  <c r="U211" i="19"/>
  <c r="GS211" i="35"/>
  <c r="CV186" i="35"/>
  <c r="GS186" i="35" s="1"/>
  <c r="HH183" i="35"/>
  <c r="CU165" i="35"/>
  <c r="T165" i="19" s="1"/>
  <c r="GH194" i="35"/>
  <c r="GV194" i="35" s="1"/>
  <c r="HD194" i="35" s="1"/>
  <c r="HH194" i="35" s="1"/>
  <c r="CZ194" i="35"/>
  <c r="Y194" i="19" s="1"/>
  <c r="R165" i="19"/>
  <c r="CU194" i="35"/>
  <c r="GR194" i="35" s="1"/>
  <c r="CW194" i="35"/>
  <c r="V194" i="19" s="1"/>
  <c r="FX186" i="35"/>
  <c r="V211" i="19"/>
  <c r="CT194" i="35"/>
  <c r="GQ194" i="35" s="1"/>
  <c r="GT186" i="35"/>
  <c r="R183" i="19"/>
  <c r="I221" i="19"/>
  <c r="GL190" i="35"/>
  <c r="GZ190" i="35" s="1"/>
  <c r="HB190" i="35" s="1"/>
  <c r="CQ190" i="35"/>
  <c r="O190" i="19"/>
  <c r="FW190" i="35"/>
  <c r="FZ190" i="35" s="1"/>
  <c r="GB190" i="35" s="1"/>
  <c r="FX190" i="35"/>
  <c r="GQ166" i="35"/>
  <c r="GT190" i="35"/>
  <c r="V190" i="19"/>
  <c r="CK277" i="35"/>
  <c r="CS277" i="35" s="1"/>
  <c r="O185" i="19"/>
  <c r="GP165" i="35"/>
  <c r="T190" i="19"/>
  <c r="GR190" i="35"/>
  <c r="T211" i="19"/>
  <c r="FV183" i="35"/>
  <c r="FW183" i="35" s="1"/>
  <c r="FZ183" i="35" s="1"/>
  <c r="GB183" i="35" s="1"/>
  <c r="CW165" i="35"/>
  <c r="V165" i="19" s="1"/>
  <c r="V166" i="19"/>
  <c r="CT165" i="35"/>
  <c r="S165" i="19" s="1"/>
  <c r="GP194" i="35"/>
  <c r="Q44" i="19"/>
  <c r="AC44" i="19" s="1"/>
  <c r="GQ190" i="35"/>
  <c r="S190" i="19"/>
  <c r="CQ185" i="35"/>
  <c r="GN185" i="35" s="1"/>
  <c r="HJ185" i="35" s="1"/>
  <c r="K194" i="19"/>
  <c r="GT183" i="35"/>
  <c r="FP186" i="35"/>
  <c r="FR186" i="35" s="1"/>
  <c r="FT186" i="35" s="1"/>
  <c r="GP183" i="35"/>
  <c r="GL183" i="35"/>
  <c r="GZ183" i="35" s="1"/>
  <c r="HB183" i="35" s="1"/>
  <c r="HJ183" i="35" s="1"/>
  <c r="CV183" i="35"/>
  <c r="GS183" i="35" s="1"/>
  <c r="HF183" i="35"/>
  <c r="FN233" i="35"/>
  <c r="FP233" i="35" s="1"/>
  <c r="FR233" i="35" s="1"/>
  <c r="O183" i="19"/>
  <c r="HG174" i="35"/>
  <c r="HH174" i="35"/>
  <c r="HE174" i="35"/>
  <c r="HF174" i="35"/>
  <c r="Q183" i="19"/>
  <c r="AC183" i="19" s="1"/>
  <c r="O174" i="19"/>
  <c r="CT183" i="35"/>
  <c r="GQ183" i="35" s="1"/>
  <c r="CO251" i="35"/>
  <c r="GL251" i="35" s="1"/>
  <c r="GZ251" i="35" s="1"/>
  <c r="HB251" i="35" s="1"/>
  <c r="HG251" i="35"/>
  <c r="K233" i="19"/>
  <c r="CU183" i="35"/>
  <c r="T183" i="19" s="1"/>
  <c r="FP251" i="35"/>
  <c r="FR251" i="35" s="1"/>
  <c r="HE251" i="35"/>
  <c r="CH271" i="35"/>
  <c r="J271" i="19" s="1"/>
  <c r="CQ211" i="35"/>
  <c r="GL211" i="35"/>
  <c r="GZ211" i="35" s="1"/>
  <c r="HB211" i="35" s="1"/>
  <c r="O211" i="19"/>
  <c r="I209" i="19"/>
  <c r="DV209" i="35"/>
  <c r="DT209" i="35"/>
  <c r="T251" i="19"/>
  <c r="CQ166" i="35"/>
  <c r="Q166" i="19" s="1"/>
  <c r="AC166" i="19" s="1"/>
  <c r="GL166" i="35"/>
  <c r="GZ166" i="35" s="1"/>
  <c r="HB166" i="35" s="1"/>
  <c r="M251" i="19"/>
  <c r="FX211" i="35"/>
  <c r="FW211" i="35"/>
  <c r="FZ211" i="35" s="1"/>
  <c r="GB211" i="35" s="1"/>
  <c r="S185" i="19"/>
  <c r="DA233" i="35"/>
  <c r="Z233" i="19" s="1"/>
  <c r="CS233" i="35"/>
  <c r="CU233" i="35" s="1"/>
  <c r="GR233" i="35" s="1"/>
  <c r="CM233" i="35"/>
  <c r="M233" i="19" s="1"/>
  <c r="CX233" i="35"/>
  <c r="W233" i="19" s="1"/>
  <c r="CZ233" i="35"/>
  <c r="Y233" i="19" s="1"/>
  <c r="GH233" i="35"/>
  <c r="GV233" i="35" s="1"/>
  <c r="HD233" i="35" s="1"/>
  <c r="HG233" i="35" s="1"/>
  <c r="I252" i="19"/>
  <c r="DT252" i="35"/>
  <c r="CA263" i="35"/>
  <c r="BW310" i="35"/>
  <c r="CK218" i="35"/>
  <c r="CS218" i="35" s="1"/>
  <c r="CW218" i="35" s="1"/>
  <c r="GT218" i="35" s="1"/>
  <c r="BW312" i="35"/>
  <c r="BW238" i="35"/>
  <c r="GN195" i="35"/>
  <c r="HJ195" i="35" s="1"/>
  <c r="Q195" i="19"/>
  <c r="AC195" i="19" s="1"/>
  <c r="BW311" i="35"/>
  <c r="BW288" i="35"/>
  <c r="BW313" i="35"/>
  <c r="BW289" i="35"/>
  <c r="BW242" i="35"/>
  <c r="BW239" i="35"/>
  <c r="DC282" i="35"/>
  <c r="CH282" i="35"/>
  <c r="BW257" i="35"/>
  <c r="BW305" i="35"/>
  <c r="GS185" i="35"/>
  <c r="CK236" i="35"/>
  <c r="CX236" i="35" s="1"/>
  <c r="W236" i="19" s="1"/>
  <c r="DC252" i="35"/>
  <c r="CA281" i="35"/>
  <c r="CA235" i="35"/>
  <c r="GR192" i="35"/>
  <c r="CA314" i="35"/>
  <c r="CF293" i="35"/>
  <c r="CG293" i="35" s="1"/>
  <c r="DR293" i="35" s="1"/>
  <c r="DT293" i="35" s="1"/>
  <c r="CK252" i="35"/>
  <c r="FN252" i="35" s="1"/>
  <c r="FP252" i="35" s="1"/>
  <c r="FR252" i="35" s="1"/>
  <c r="FT252" i="35" s="1"/>
  <c r="H240" i="19"/>
  <c r="CS216" i="35"/>
  <c r="CW216" i="35" s="1"/>
  <c r="V216" i="19" s="1"/>
  <c r="CZ213" i="35"/>
  <c r="Y213" i="19" s="1"/>
  <c r="CK266" i="35"/>
  <c r="K266" i="19" s="1"/>
  <c r="CF302" i="35"/>
  <c r="CG302" i="35" s="1"/>
  <c r="H302" i="19" s="1"/>
  <c r="GN186" i="35"/>
  <c r="HJ186" i="35" s="1"/>
  <c r="DV266" i="35"/>
  <c r="GN192" i="35"/>
  <c r="HJ192" i="35" s="1"/>
  <c r="FN213" i="35"/>
  <c r="FV213" i="35" s="1"/>
  <c r="FW213" i="35" s="1"/>
  <c r="FZ213" i="35" s="1"/>
  <c r="GB213" i="35" s="1"/>
  <c r="CS213" i="35"/>
  <c r="CT213" i="35" s="1"/>
  <c r="S213" i="19" s="1"/>
  <c r="U192" i="19"/>
  <c r="CF300" i="35"/>
  <c r="CG300" i="35" s="1"/>
  <c r="EW300" i="35" s="1"/>
  <c r="CA300" i="35"/>
  <c r="CH300" i="35" s="1"/>
  <c r="J300" i="19" s="1"/>
  <c r="CJ249" i="35"/>
  <c r="BT298" i="35"/>
  <c r="BW298" i="35" s="1"/>
  <c r="BY298" i="35" s="1"/>
  <c r="BZ298" i="35" s="1"/>
  <c r="EW235" i="35"/>
  <c r="I236" i="19"/>
  <c r="CI235" i="35"/>
  <c r="S192" i="19"/>
  <c r="H231" i="19"/>
  <c r="CX220" i="35"/>
  <c r="W220" i="19" s="1"/>
  <c r="CJ231" i="35"/>
  <c r="I231" i="19" s="1"/>
  <c r="DR231" i="35"/>
  <c r="DV231" i="35" s="1"/>
  <c r="K220" i="19"/>
  <c r="I200" i="19"/>
  <c r="FX173" i="35"/>
  <c r="FW173" i="35"/>
  <c r="FZ173" i="35" s="1"/>
  <c r="GB173" i="35" s="1"/>
  <c r="CQ173" i="35"/>
  <c r="GL173" i="35"/>
  <c r="GZ173" i="35" s="1"/>
  <c r="HB173" i="35" s="1"/>
  <c r="O173" i="19"/>
  <c r="U173" i="19"/>
  <c r="GS173" i="35"/>
  <c r="T173" i="19"/>
  <c r="GR173" i="35"/>
  <c r="Q13" i="19"/>
  <c r="AC13" i="19" s="1"/>
  <c r="GN13" i="35"/>
  <c r="HJ13" i="35" s="1"/>
  <c r="GQ173" i="35"/>
  <c r="S173" i="19"/>
  <c r="I267" i="19"/>
  <c r="GT173" i="35"/>
  <c r="V173" i="19"/>
  <c r="DC302" i="35"/>
  <c r="CH302" i="35"/>
  <c r="J302" i="19" s="1"/>
  <c r="I264" i="19"/>
  <c r="GN206" i="35"/>
  <c r="HJ206" i="35" s="1"/>
  <c r="Q206" i="19"/>
  <c r="AC206" i="19" s="1"/>
  <c r="GH220" i="35"/>
  <c r="GV220" i="35" s="1"/>
  <c r="HD220" i="35" s="1"/>
  <c r="HG220" i="35" s="1"/>
  <c r="I278" i="19"/>
  <c r="I258" i="19"/>
  <c r="BT284" i="35"/>
  <c r="CA303" i="35"/>
  <c r="CF303" i="35"/>
  <c r="CG303" i="35" s="1"/>
  <c r="DC240" i="35"/>
  <c r="CH240" i="35"/>
  <c r="J240" i="19" s="1"/>
  <c r="DC245" i="35"/>
  <c r="CH245" i="35"/>
  <c r="J245" i="19" s="1"/>
  <c r="CA250" i="35"/>
  <c r="CF250" i="35"/>
  <c r="CG250" i="35" s="1"/>
  <c r="H250" i="19" s="1"/>
  <c r="J278" i="19"/>
  <c r="CK278" i="35"/>
  <c r="GN197" i="35"/>
  <c r="HJ197" i="35" s="1"/>
  <c r="Q197" i="19"/>
  <c r="AC197" i="19" s="1"/>
  <c r="FX165" i="35"/>
  <c r="FW165" i="35"/>
  <c r="FZ165" i="35" s="1"/>
  <c r="GB165" i="35" s="1"/>
  <c r="CI240" i="35"/>
  <c r="I240" i="19" s="1"/>
  <c r="CH231" i="35"/>
  <c r="J231" i="19" s="1"/>
  <c r="DC231" i="35"/>
  <c r="S191" i="19"/>
  <c r="GQ191" i="35"/>
  <c r="M193" i="19"/>
  <c r="CO193" i="35"/>
  <c r="GJ193" i="35"/>
  <c r="GX193" i="35" s="1"/>
  <c r="M248" i="19"/>
  <c r="GJ248" i="35"/>
  <c r="GX248" i="35" s="1"/>
  <c r="CO248" i="35"/>
  <c r="J258" i="19"/>
  <c r="CK258" i="35"/>
  <c r="J267" i="19"/>
  <c r="CK267" i="35"/>
  <c r="R248" i="19"/>
  <c r="GP248" i="35"/>
  <c r="CV248" i="35"/>
  <c r="CW248" i="35"/>
  <c r="CU248" i="35"/>
  <c r="CT248" i="35"/>
  <c r="DR245" i="35"/>
  <c r="DV245" i="35" s="1"/>
  <c r="CO220" i="35"/>
  <c r="O220" i="19" s="1"/>
  <c r="GT191" i="35"/>
  <c r="V191" i="19"/>
  <c r="GP229" i="35"/>
  <c r="CW229" i="35"/>
  <c r="CV229" i="35"/>
  <c r="CU229" i="35"/>
  <c r="R229" i="19"/>
  <c r="CT229" i="35"/>
  <c r="CW193" i="35"/>
  <c r="R193" i="19"/>
  <c r="GP193" i="35"/>
  <c r="CV193" i="35"/>
  <c r="CT193" i="35"/>
  <c r="CU193" i="35"/>
  <c r="DV267" i="35"/>
  <c r="DT267" i="35"/>
  <c r="CI245" i="35"/>
  <c r="I245" i="19" s="1"/>
  <c r="M220" i="19"/>
  <c r="BT279" i="35"/>
  <c r="BT343" i="35"/>
  <c r="T191" i="19"/>
  <c r="GR191" i="35"/>
  <c r="R237" i="19"/>
  <c r="GP237" i="35"/>
  <c r="CT237" i="35"/>
  <c r="CV237" i="35"/>
  <c r="CW237" i="35"/>
  <c r="CU237" i="35"/>
  <c r="DV273" i="35"/>
  <c r="DT273" i="35"/>
  <c r="FP237" i="35"/>
  <c r="FR237" i="35" s="1"/>
  <c r="FV237" i="35"/>
  <c r="CZ220" i="35"/>
  <c r="Y220" i="19" s="1"/>
  <c r="BT316" i="35"/>
  <c r="CS254" i="35"/>
  <c r="CM254" i="35"/>
  <c r="FN254" i="35"/>
  <c r="GH254" i="35"/>
  <c r="GV254" i="35" s="1"/>
  <c r="HD254" i="35" s="1"/>
  <c r="DA254" i="35"/>
  <c r="Z254" i="19" s="1"/>
  <c r="CX254" i="35"/>
  <c r="W254" i="19" s="1"/>
  <c r="CY254" i="35"/>
  <c r="X254" i="19" s="1"/>
  <c r="K254" i="19"/>
  <c r="CZ254" i="35"/>
  <c r="Y254" i="19" s="1"/>
  <c r="DT278" i="35"/>
  <c r="DV278" i="35"/>
  <c r="DC272" i="35"/>
  <c r="CH272" i="35"/>
  <c r="DV200" i="35"/>
  <c r="DT200" i="35"/>
  <c r="HF224" i="35"/>
  <c r="HH224" i="35"/>
  <c r="HE224" i="35"/>
  <c r="HG224" i="35"/>
  <c r="GS165" i="35"/>
  <c r="U165" i="19"/>
  <c r="CF262" i="35"/>
  <c r="CG262" i="35" s="1"/>
  <c r="CA262" i="35"/>
  <c r="HH237" i="35"/>
  <c r="HE237" i="35"/>
  <c r="HF237" i="35"/>
  <c r="HG237" i="35"/>
  <c r="HH193" i="35"/>
  <c r="HG193" i="35"/>
  <c r="HF193" i="35"/>
  <c r="HE193" i="35"/>
  <c r="J264" i="19"/>
  <c r="CK264" i="35"/>
  <c r="FW191" i="35"/>
  <c r="FZ191" i="35" s="1"/>
  <c r="GB191" i="35" s="1"/>
  <c r="FX191" i="35"/>
  <c r="CQ191" i="35"/>
  <c r="O191" i="19"/>
  <c r="GL191" i="35"/>
  <c r="GZ191" i="35" s="1"/>
  <c r="HB191" i="35" s="1"/>
  <c r="BT286" i="35"/>
  <c r="J273" i="19"/>
  <c r="CK273" i="35"/>
  <c r="CJ235" i="35"/>
  <c r="BT275" i="35"/>
  <c r="CS220" i="35"/>
  <c r="CW220" i="35" s="1"/>
  <c r="V220" i="19" s="1"/>
  <c r="CI272" i="35"/>
  <c r="EW272" i="35"/>
  <c r="H272" i="19"/>
  <c r="CJ272" i="35"/>
  <c r="DR272" i="35"/>
  <c r="R224" i="19"/>
  <c r="CU224" i="35"/>
  <c r="CW224" i="35"/>
  <c r="CV224" i="35"/>
  <c r="GP224" i="35"/>
  <c r="CT224" i="35"/>
  <c r="U191" i="19"/>
  <c r="GS191" i="35"/>
  <c r="GJ237" i="35"/>
  <c r="GX237" i="35" s="1"/>
  <c r="CO237" i="35"/>
  <c r="M237" i="19"/>
  <c r="FP248" i="35"/>
  <c r="FR248" i="35" s="1"/>
  <c r="FT248" i="35" s="1"/>
  <c r="FV248" i="35"/>
  <c r="CY269" i="35"/>
  <c r="X269" i="19" s="1"/>
  <c r="DA269" i="35"/>
  <c r="Z269" i="19" s="1"/>
  <c r="FN269" i="35"/>
  <c r="CZ269" i="35"/>
  <c r="Y269" i="19" s="1"/>
  <c r="CX269" i="35"/>
  <c r="W269" i="19" s="1"/>
  <c r="K269" i="19"/>
  <c r="CS269" i="35"/>
  <c r="GH269" i="35"/>
  <c r="GV269" i="35" s="1"/>
  <c r="HD269" i="35" s="1"/>
  <c r="CM269" i="35"/>
  <c r="HF229" i="35"/>
  <c r="HG229" i="35"/>
  <c r="HH229" i="35"/>
  <c r="HE229" i="35"/>
  <c r="J200" i="19"/>
  <c r="CK200" i="35"/>
  <c r="DR235" i="35"/>
  <c r="DV235" i="35" s="1"/>
  <c r="H245" i="19"/>
  <c r="DV236" i="35"/>
  <c r="BT276" i="35"/>
  <c r="BT280" i="35"/>
  <c r="BW280" i="35" s="1"/>
  <c r="BY280" i="35" s="1"/>
  <c r="BZ280" i="35" s="1"/>
  <c r="J260" i="19"/>
  <c r="I273" i="19"/>
  <c r="FP224" i="35"/>
  <c r="FR224" i="35" s="1"/>
  <c r="FT224" i="35" s="1"/>
  <c r="FV224" i="35"/>
  <c r="FV229" i="35"/>
  <c r="FP229" i="35"/>
  <c r="FR229" i="35" s="1"/>
  <c r="HG248" i="35"/>
  <c r="HF248" i="35"/>
  <c r="HH248" i="35"/>
  <c r="HE248" i="35"/>
  <c r="DV264" i="35"/>
  <c r="DT264" i="35"/>
  <c r="FP193" i="35"/>
  <c r="FR193" i="35" s="1"/>
  <c r="FV193" i="35"/>
  <c r="BT265" i="35"/>
  <c r="CO224" i="35"/>
  <c r="M224" i="19"/>
  <c r="GJ224" i="35"/>
  <c r="GX224" i="35" s="1"/>
  <c r="Q207" i="19"/>
  <c r="AC207" i="19" s="1"/>
  <c r="GN207" i="35"/>
  <c r="HJ207" i="35" s="1"/>
  <c r="DR240" i="35"/>
  <c r="DV240" i="35" s="1"/>
  <c r="CY220" i="35"/>
  <c r="X220" i="19" s="1"/>
  <c r="BT259" i="35"/>
  <c r="GJ229" i="35"/>
  <c r="GX229" i="35" s="1"/>
  <c r="M229" i="19"/>
  <c r="CO229" i="35"/>
  <c r="O165" i="19"/>
  <c r="CQ165" i="35"/>
  <c r="GL165" i="35"/>
  <c r="GZ165" i="35" s="1"/>
  <c r="HB165" i="35" s="1"/>
  <c r="DV258" i="35"/>
  <c r="DT258" i="35"/>
  <c r="CF281" i="35"/>
  <c r="CG281" i="35" s="1"/>
  <c r="EW281" i="35" s="1"/>
  <c r="FN220" i="35"/>
  <c r="FV220" i="35" s="1"/>
  <c r="FW220" i="35" s="1"/>
  <c r="FZ220" i="35" s="1"/>
  <c r="GB220" i="35" s="1"/>
  <c r="DA220" i="35"/>
  <c r="Z220" i="19" s="1"/>
  <c r="HE253" i="35"/>
  <c r="HF253" i="35"/>
  <c r="HH253" i="35"/>
  <c r="HG253" i="35"/>
  <c r="CO253" i="35"/>
  <c r="GJ253" i="35"/>
  <c r="GX253" i="35" s="1"/>
  <c r="M253" i="19"/>
  <c r="HE234" i="35"/>
  <c r="HG234" i="35"/>
  <c r="HF234" i="35"/>
  <c r="HH234" i="35"/>
  <c r="GP234" i="35"/>
  <c r="CV234" i="35"/>
  <c r="CW234" i="35"/>
  <c r="CU234" i="35"/>
  <c r="CT234" i="35"/>
  <c r="R234" i="19"/>
  <c r="FP234" i="35"/>
  <c r="FR234" i="35" s="1"/>
  <c r="FT234" i="35" s="1"/>
  <c r="FV234" i="35"/>
  <c r="FP253" i="35"/>
  <c r="FR253" i="35" s="1"/>
  <c r="FV253" i="35"/>
  <c r="CO234" i="35"/>
  <c r="GJ234" i="35"/>
  <c r="GX234" i="35" s="1"/>
  <c r="M234" i="19"/>
  <c r="CV253" i="35"/>
  <c r="CW253" i="35"/>
  <c r="CT253" i="35"/>
  <c r="R253" i="19"/>
  <c r="CU253" i="35"/>
  <c r="GP253" i="35"/>
  <c r="BR321" i="35"/>
  <c r="BR335" i="35"/>
  <c r="BR326" i="35"/>
  <c r="BR330" i="35"/>
  <c r="BR334" i="35"/>
  <c r="BR299" i="35"/>
  <c r="BR324" i="35"/>
  <c r="BR285" i="35"/>
  <c r="BR332" i="35"/>
  <c r="BR322" i="35"/>
  <c r="BR283" i="35"/>
  <c r="BR339" i="35"/>
  <c r="Q174" i="19"/>
  <c r="AC174" i="19" s="1"/>
  <c r="BL360" i="35"/>
  <c r="BN360" i="35" s="1"/>
  <c r="BP360" i="35" s="1"/>
  <c r="BL358" i="35"/>
  <c r="BN358" i="35" s="1"/>
  <c r="BP358" i="35" s="1"/>
  <c r="BL373" i="35"/>
  <c r="BN373" i="35" s="1"/>
  <c r="BP373" i="35" s="1"/>
  <c r="BL327" i="35"/>
  <c r="BN327" i="35" s="1"/>
  <c r="BP327" i="35" s="1"/>
  <c r="BL347" i="35"/>
  <c r="BN347" i="35" s="1"/>
  <c r="BP347" i="35" s="1"/>
  <c r="BL331" i="35"/>
  <c r="BN331" i="35" s="1"/>
  <c r="BP331" i="35" s="1"/>
  <c r="BJ304" i="35"/>
  <c r="BL304" i="35" s="1"/>
  <c r="BN304" i="35" s="1"/>
  <c r="BP304" i="35" s="1"/>
  <c r="BJ315" i="35"/>
  <c r="BL315" i="35" s="1"/>
  <c r="BN315" i="35" s="1"/>
  <c r="BP315" i="35" s="1"/>
  <c r="FV198" i="35"/>
  <c r="FP198" i="35"/>
  <c r="FR198" i="35" s="1"/>
  <c r="FT198" i="35" s="1"/>
  <c r="BJ307" i="35"/>
  <c r="BL307" i="35" s="1"/>
  <c r="BN307" i="35" s="1"/>
  <c r="BP307" i="35" s="1"/>
  <c r="HF198" i="35"/>
  <c r="HE198" i="35"/>
  <c r="HH198" i="35"/>
  <c r="HG198" i="35"/>
  <c r="BJ287" i="35"/>
  <c r="BL287" i="35" s="1"/>
  <c r="BN287" i="35" s="1"/>
  <c r="BP287" i="35" s="1"/>
  <c r="BJ296" i="35"/>
  <c r="BL296" i="35" s="1"/>
  <c r="BN296" i="35" s="1"/>
  <c r="BP296" i="35" s="1"/>
  <c r="BJ290" i="35"/>
  <c r="BL290" i="35" s="1"/>
  <c r="BN290" i="35" s="1"/>
  <c r="BP290" i="35" s="1"/>
  <c r="BJ292" i="35"/>
  <c r="BL292" i="35" s="1"/>
  <c r="BN292" i="35" s="1"/>
  <c r="BP292" i="35" s="1"/>
  <c r="BJ291" i="35"/>
  <c r="BL291" i="35" s="1"/>
  <c r="BN291" i="35" s="1"/>
  <c r="BP291" i="35" s="1"/>
  <c r="CO198" i="35"/>
  <c r="M198" i="19"/>
  <c r="GJ198" i="35"/>
  <c r="GX198" i="35" s="1"/>
  <c r="BJ309" i="35"/>
  <c r="BL309" i="35" s="1"/>
  <c r="BN309" i="35" s="1"/>
  <c r="BP309" i="35" s="1"/>
  <c r="BJ295" i="35"/>
  <c r="BL295" i="35" s="1"/>
  <c r="BN295" i="35" s="1"/>
  <c r="BP295" i="35" s="1"/>
  <c r="CU198" i="35"/>
  <c r="CW198" i="35"/>
  <c r="CT198" i="35"/>
  <c r="R198" i="19"/>
  <c r="CV198" i="35"/>
  <c r="GP198" i="35"/>
  <c r="BJ306" i="35"/>
  <c r="BL306" i="35" s="1"/>
  <c r="BN306" i="35" s="1"/>
  <c r="BP306" i="35" s="1"/>
  <c r="BJ294" i="35"/>
  <c r="BJ308" i="35"/>
  <c r="BL308" i="35" s="1"/>
  <c r="BN308" i="35" s="1"/>
  <c r="BP308" i="35" s="1"/>
  <c r="BH301" i="35"/>
  <c r="BH336" i="35"/>
  <c r="BH317" i="35"/>
  <c r="BH297" i="35"/>
  <c r="BF340" i="35"/>
  <c r="BF338" i="35"/>
  <c r="BF333" i="35"/>
  <c r="BF341" i="35"/>
  <c r="BF329" i="35"/>
  <c r="BF345" i="35"/>
  <c r="BF325" i="35"/>
  <c r="BF318" i="35"/>
  <c r="BF342" i="35"/>
  <c r="BF346" i="35"/>
  <c r="BF344" i="35"/>
  <c r="BF337" i="35"/>
  <c r="BF323" i="35"/>
  <c r="BF328" i="35"/>
  <c r="BD320" i="35"/>
  <c r="BD319" i="35"/>
  <c r="BA366" i="35"/>
  <c r="BD366" i="35" s="1"/>
  <c r="BF366" i="35" s="1"/>
  <c r="BH366" i="35" s="1"/>
  <c r="BJ366" i="35" s="1"/>
  <c r="BA348" i="35"/>
  <c r="BA376" i="35"/>
  <c r="BD376" i="35" s="1"/>
  <c r="BF376" i="35" s="1"/>
  <c r="BH376" i="35" s="1"/>
  <c r="BJ376" i="35" s="1"/>
  <c r="BA367" i="35"/>
  <c r="BD367" i="35" s="1"/>
  <c r="BF367" i="35" s="1"/>
  <c r="BH367" i="35" s="1"/>
  <c r="BJ367" i="35" s="1"/>
  <c r="BA351" i="35"/>
  <c r="BA350" i="35"/>
  <c r="BA352" i="35"/>
  <c r="BA368" i="35"/>
  <c r="BA371" i="35"/>
  <c r="BA374" i="35"/>
  <c r="BA359" i="35"/>
  <c r="BA377" i="35"/>
  <c r="BD377" i="35" s="1"/>
  <c r="BF377" i="35" s="1"/>
  <c r="BH377" i="35" s="1"/>
  <c r="BJ377" i="35" s="1"/>
  <c r="BA355" i="35"/>
  <c r="BA349" i="35"/>
  <c r="BD349" i="35" s="1"/>
  <c r="BF349" i="35" s="1"/>
  <c r="BH349" i="35" s="1"/>
  <c r="BJ349" i="35" s="1"/>
  <c r="BA361" i="35"/>
  <c r="BD361" i="35" s="1"/>
  <c r="BF361" i="35" s="1"/>
  <c r="BH361" i="35" s="1"/>
  <c r="BJ361" i="35" s="1"/>
  <c r="BA365" i="35"/>
  <c r="BD365" i="35" s="1"/>
  <c r="BF365" i="35" s="1"/>
  <c r="BH365" i="35" s="1"/>
  <c r="BJ365" i="35" s="1"/>
  <c r="BA364" i="35"/>
  <c r="BA362" i="35"/>
  <c r="BA354" i="35"/>
  <c r="BD354" i="35" s="1"/>
  <c r="BF354" i="35" s="1"/>
  <c r="BH354" i="35" s="1"/>
  <c r="BJ354" i="35" s="1"/>
  <c r="BA353" i="35"/>
  <c r="BD353" i="35" s="1"/>
  <c r="BF353" i="35" s="1"/>
  <c r="BH353" i="35" s="1"/>
  <c r="BJ353" i="35" s="1"/>
  <c r="AZ357" i="35"/>
  <c r="AZ363" i="35"/>
  <c r="AZ370" i="35"/>
  <c r="AZ356" i="35"/>
  <c r="AZ375" i="35"/>
  <c r="AZ372" i="35"/>
  <c r="AZ369" i="35"/>
  <c r="AQ378" i="35"/>
  <c r="FT125" i="35"/>
  <c r="B62" i="37"/>
  <c r="AW21" i="37"/>
  <c r="AO379" i="35"/>
  <c r="GH225" i="35" l="1"/>
  <c r="GV225" i="35" s="1"/>
  <c r="HD225" i="35" s="1"/>
  <c r="CA244" i="35"/>
  <c r="GN194" i="35"/>
  <c r="CZ225" i="35"/>
  <c r="Y225" i="19" s="1"/>
  <c r="K225" i="19"/>
  <c r="I274" i="19"/>
  <c r="DC223" i="35"/>
  <c r="GT194" i="35"/>
  <c r="U186" i="19"/>
  <c r="DC255" i="35"/>
  <c r="GR174" i="35"/>
  <c r="DC274" i="35"/>
  <c r="CQ171" i="35"/>
  <c r="GL171" i="35"/>
  <c r="GZ171" i="35" s="1"/>
  <c r="HB171" i="35" s="1"/>
  <c r="O171" i="19"/>
  <c r="GT251" i="35"/>
  <c r="GQ171" i="35"/>
  <c r="CT208" i="35"/>
  <c r="FV171" i="35"/>
  <c r="FP171" i="35"/>
  <c r="FR171" i="35" s="1"/>
  <c r="DA225" i="35"/>
  <c r="Z225" i="19" s="1"/>
  <c r="HG171" i="35"/>
  <c r="CW208" i="35"/>
  <c r="HG208" i="35"/>
  <c r="HH208" i="35"/>
  <c r="FW208" i="35"/>
  <c r="FZ208" i="35" s="1"/>
  <c r="GB208" i="35" s="1"/>
  <c r="CM225" i="35"/>
  <c r="CO225" i="35" s="1"/>
  <c r="R208" i="19"/>
  <c r="HE171" i="35"/>
  <c r="CX225" i="35"/>
  <c r="W225" i="19" s="1"/>
  <c r="GJ171" i="35"/>
  <c r="GX171" i="35" s="1"/>
  <c r="M171" i="19"/>
  <c r="GQ251" i="35"/>
  <c r="S251" i="19"/>
  <c r="M208" i="19"/>
  <c r="GJ208" i="35"/>
  <c r="GX208" i="35" s="1"/>
  <c r="CO208" i="35"/>
  <c r="CU208" i="35"/>
  <c r="CV208" i="35"/>
  <c r="U208" i="19" s="1"/>
  <c r="FP208" i="35"/>
  <c r="FR208" i="35" s="1"/>
  <c r="FT208" i="35" s="1"/>
  <c r="FW251" i="35"/>
  <c r="FZ251" i="35" s="1"/>
  <c r="GB251" i="35" s="1"/>
  <c r="FX251" i="35"/>
  <c r="GR210" i="35"/>
  <c r="T210" i="19"/>
  <c r="CZ277" i="35"/>
  <c r="Y277" i="19" s="1"/>
  <c r="CY225" i="35"/>
  <c r="X225" i="19" s="1"/>
  <c r="H249" i="19"/>
  <c r="HH171" i="35"/>
  <c r="I256" i="19"/>
  <c r="DV216" i="35"/>
  <c r="DT216" i="35"/>
  <c r="EW249" i="35"/>
  <c r="GH216" i="35"/>
  <c r="GV216" i="35" s="1"/>
  <c r="HD216" i="35" s="1"/>
  <c r="HG216" i="35" s="1"/>
  <c r="CA249" i="35"/>
  <c r="O210" i="19"/>
  <c r="GL210" i="35"/>
  <c r="GZ210" i="35" s="1"/>
  <c r="HB210" i="35" s="1"/>
  <c r="CQ210" i="35"/>
  <c r="T196" i="19"/>
  <c r="GR196" i="35"/>
  <c r="FN225" i="35"/>
  <c r="FV225" i="35" s="1"/>
  <c r="K261" i="19"/>
  <c r="DV274" i="35"/>
  <c r="CM216" i="35"/>
  <c r="GJ216" i="35" s="1"/>
  <c r="GX216" i="35" s="1"/>
  <c r="FX196" i="35"/>
  <c r="FW196" i="35"/>
  <c r="FZ196" i="35" s="1"/>
  <c r="GB196" i="35" s="1"/>
  <c r="CX213" i="35"/>
  <c r="W213" i="19" s="1"/>
  <c r="FW210" i="35"/>
  <c r="FZ210" i="35" s="1"/>
  <c r="GB210" i="35" s="1"/>
  <c r="FX210" i="35"/>
  <c r="CI249" i="35"/>
  <c r="I249" i="19" s="1"/>
  <c r="GS196" i="35"/>
  <c r="U196" i="19"/>
  <c r="CH241" i="35"/>
  <c r="J241" i="19" s="1"/>
  <c r="FN261" i="35"/>
  <c r="FP261" i="35" s="1"/>
  <c r="FR261" i="35" s="1"/>
  <c r="CY261" i="35"/>
  <c r="X261" i="19" s="1"/>
  <c r="DV249" i="35"/>
  <c r="K216" i="19"/>
  <c r="CF247" i="35"/>
  <c r="CG247" i="35" s="1"/>
  <c r="EW247" i="35" s="1"/>
  <c r="V210" i="19"/>
  <c r="GT210" i="35"/>
  <c r="CY213" i="35"/>
  <c r="X213" i="19" s="1"/>
  <c r="GH213" i="35"/>
  <c r="GV213" i="35" s="1"/>
  <c r="HD213" i="35" s="1"/>
  <c r="HE213" i="35" s="1"/>
  <c r="CF246" i="35"/>
  <c r="CG246" i="35" s="1"/>
  <c r="CJ246" i="35" s="1"/>
  <c r="FV194" i="35"/>
  <c r="FX194" i="35" s="1"/>
  <c r="GH261" i="35"/>
  <c r="GV261" i="35" s="1"/>
  <c r="HD261" i="35" s="1"/>
  <c r="HE261" i="35" s="1"/>
  <c r="CY216" i="35"/>
  <c r="X216" i="19" s="1"/>
  <c r="GS210" i="35"/>
  <c r="U210" i="19"/>
  <c r="H204" i="19"/>
  <c r="CI204" i="35"/>
  <c r="CJ204" i="35"/>
  <c r="GQ196" i="35"/>
  <c r="S196" i="19"/>
  <c r="CQ196" i="35"/>
  <c r="O196" i="19"/>
  <c r="GL196" i="35"/>
  <c r="GZ196" i="35" s="1"/>
  <c r="HB196" i="35" s="1"/>
  <c r="DA216" i="35"/>
  <c r="Z216" i="19" s="1"/>
  <c r="HF194" i="35"/>
  <c r="CM261" i="35"/>
  <c r="CO261" i="35" s="1"/>
  <c r="FN216" i="35"/>
  <c r="FV216" i="35" s="1"/>
  <c r="FX216" i="35" s="1"/>
  <c r="CZ261" i="35"/>
  <c r="Y261" i="19" s="1"/>
  <c r="K213" i="19"/>
  <c r="CX216" i="35"/>
  <c r="W216" i="19" s="1"/>
  <c r="DT204" i="35"/>
  <c r="V196" i="19"/>
  <c r="GT196" i="35"/>
  <c r="CX261" i="35"/>
  <c r="W261" i="19" s="1"/>
  <c r="T171" i="19"/>
  <c r="DV255" i="35"/>
  <c r="CK221" i="35"/>
  <c r="K221" i="19" s="1"/>
  <c r="GT174" i="35"/>
  <c r="CS261" i="35"/>
  <c r="CM213" i="35"/>
  <c r="M213" i="19" s="1"/>
  <c r="CF243" i="35"/>
  <c r="CG243" i="35" s="1"/>
  <c r="CJ243" i="35" s="1"/>
  <c r="GN152" i="35"/>
  <c r="HJ152" i="35" s="1"/>
  <c r="Q152" i="19"/>
  <c r="AC152" i="19" s="1"/>
  <c r="CX177" i="35"/>
  <c r="W177" i="19" s="1"/>
  <c r="CS177" i="35"/>
  <c r="K177" i="19"/>
  <c r="CY177" i="35"/>
  <c r="X177" i="19" s="1"/>
  <c r="CM177" i="35"/>
  <c r="FN177" i="35"/>
  <c r="DA177" i="35"/>
  <c r="Z177" i="19" s="1"/>
  <c r="CZ177" i="35"/>
  <c r="Y177" i="19" s="1"/>
  <c r="GH177" i="35"/>
  <c r="GV177" i="35" s="1"/>
  <c r="HD177" i="35" s="1"/>
  <c r="M194" i="19"/>
  <c r="CK209" i="35"/>
  <c r="FN209" i="35" s="1"/>
  <c r="FP209" i="35" s="1"/>
  <c r="FR209" i="35" s="1"/>
  <c r="FX217" i="35"/>
  <c r="FW217" i="35"/>
  <c r="FZ217" i="35" s="1"/>
  <c r="GB217" i="35" s="1"/>
  <c r="T194" i="19"/>
  <c r="GR217" i="35"/>
  <c r="T217" i="19"/>
  <c r="V171" i="19"/>
  <c r="V217" i="19"/>
  <c r="GT217" i="35"/>
  <c r="GJ194" i="35"/>
  <c r="GX194" i="35" s="1"/>
  <c r="CK255" i="35"/>
  <c r="CS255" i="35" s="1"/>
  <c r="S217" i="19"/>
  <c r="GQ217" i="35"/>
  <c r="J203" i="19"/>
  <c r="CK203" i="35"/>
  <c r="CK271" i="35"/>
  <c r="CY271" i="35" s="1"/>
  <c r="X271" i="19" s="1"/>
  <c r="O217" i="19"/>
  <c r="CQ217" i="35"/>
  <c r="GL217" i="35"/>
  <c r="GZ217" i="35" s="1"/>
  <c r="HB217" i="35" s="1"/>
  <c r="U217" i="19"/>
  <c r="GS217" i="35"/>
  <c r="DT271" i="35"/>
  <c r="GN112" i="35"/>
  <c r="HJ112" i="35" s="1"/>
  <c r="Q112" i="19"/>
  <c r="AC112" i="19" s="1"/>
  <c r="J222" i="19"/>
  <c r="CK222" i="35"/>
  <c r="CH247" i="35"/>
  <c r="J247" i="19" s="1"/>
  <c r="DC247" i="35"/>
  <c r="DC246" i="35"/>
  <c r="CH246" i="35"/>
  <c r="J246" i="19" s="1"/>
  <c r="DC243" i="35"/>
  <c r="CH243" i="35"/>
  <c r="J243" i="19" s="1"/>
  <c r="EW244" i="35"/>
  <c r="H244" i="19"/>
  <c r="DR244" i="35"/>
  <c r="DV244" i="35" s="1"/>
  <c r="CJ244" i="35"/>
  <c r="CI244" i="35"/>
  <c r="BY305" i="35"/>
  <c r="BZ305" i="35" s="1"/>
  <c r="CF305" i="35" s="1"/>
  <c r="CG305" i="35" s="1"/>
  <c r="BY313" i="35"/>
  <c r="BZ313" i="35" s="1"/>
  <c r="CF313" i="35" s="1"/>
  <c r="CG313" i="35" s="1"/>
  <c r="BY288" i="35"/>
  <c r="BZ288" i="35" s="1"/>
  <c r="CF288" i="35" s="1"/>
  <c r="CG288" i="35" s="1"/>
  <c r="CF230" i="35"/>
  <c r="CG230" i="35" s="1"/>
  <c r="H263" i="19"/>
  <c r="Q151" i="19"/>
  <c r="AC151" i="19" s="1"/>
  <c r="GN151" i="35"/>
  <c r="HJ151" i="35" s="1"/>
  <c r="V212" i="19"/>
  <c r="GT212" i="35"/>
  <c r="DR227" i="35"/>
  <c r="H227" i="19"/>
  <c r="EW227" i="35"/>
  <c r="CJ227" i="35"/>
  <c r="CI227" i="35"/>
  <c r="K215" i="19"/>
  <c r="GH215" i="35"/>
  <c r="GV215" i="35" s="1"/>
  <c r="HD215" i="35" s="1"/>
  <c r="CZ215" i="35"/>
  <c r="Y215" i="19" s="1"/>
  <c r="FN215" i="35"/>
  <c r="CS215" i="35"/>
  <c r="CY215" i="35"/>
  <c r="X215" i="19" s="1"/>
  <c r="CX215" i="35"/>
  <c r="W215" i="19" s="1"/>
  <c r="DA215" i="35"/>
  <c r="Z215" i="19" s="1"/>
  <c r="CM215" i="35"/>
  <c r="I271" i="19"/>
  <c r="DV201" i="35"/>
  <c r="DT201" i="35"/>
  <c r="CF232" i="35"/>
  <c r="CG232" i="35" s="1"/>
  <c r="GR186" i="35"/>
  <c r="FN184" i="35"/>
  <c r="CM184" i="35"/>
  <c r="CZ184" i="35"/>
  <c r="Y184" i="19" s="1"/>
  <c r="CX184" i="35"/>
  <c r="W184" i="19" s="1"/>
  <c r="CS184" i="35"/>
  <c r="GH184" i="35"/>
  <c r="GV184" i="35" s="1"/>
  <c r="HD184" i="35" s="1"/>
  <c r="CY184" i="35"/>
  <c r="X184" i="19" s="1"/>
  <c r="K184" i="19"/>
  <c r="DA184" i="35"/>
  <c r="Z184" i="19" s="1"/>
  <c r="CF223" i="35"/>
  <c r="CG223" i="35" s="1"/>
  <c r="S186" i="19"/>
  <c r="BY310" i="35"/>
  <c r="BZ310" i="35" s="1"/>
  <c r="CF310" i="35" s="1"/>
  <c r="CG310" i="35" s="1"/>
  <c r="EW310" i="35" s="1"/>
  <c r="DV282" i="35"/>
  <c r="GR212" i="35"/>
  <c r="T212" i="19"/>
  <c r="GR165" i="35"/>
  <c r="DR263" i="35"/>
  <c r="DT263" i="35" s="1"/>
  <c r="CQ251" i="35"/>
  <c r="GN251" i="35" s="1"/>
  <c r="HJ251" i="35" s="1"/>
  <c r="GQ212" i="35"/>
  <c r="S212" i="19"/>
  <c r="FW174" i="35"/>
  <c r="FZ174" i="35" s="1"/>
  <c r="GB174" i="35" s="1"/>
  <c r="FX174" i="35"/>
  <c r="J228" i="19"/>
  <c r="CK228" i="35"/>
  <c r="CK199" i="35"/>
  <c r="I199" i="19"/>
  <c r="CJ263" i="35"/>
  <c r="I263" i="19" s="1"/>
  <c r="BY239" i="35"/>
  <c r="BZ239" i="35" s="1"/>
  <c r="CF239" i="35" s="1"/>
  <c r="CG239" i="35" s="1"/>
  <c r="BY311" i="35"/>
  <c r="BZ311" i="35" s="1"/>
  <c r="CA311" i="35" s="1"/>
  <c r="DC311" i="35" s="1"/>
  <c r="GS212" i="35"/>
  <c r="U212" i="19"/>
  <c r="O212" i="19"/>
  <c r="CQ212" i="35"/>
  <c r="GL212" i="35"/>
  <c r="GZ212" i="35" s="1"/>
  <c r="HB212" i="35" s="1"/>
  <c r="CF241" i="35"/>
  <c r="CG241" i="35" s="1"/>
  <c r="DT199" i="35"/>
  <c r="DV199" i="35"/>
  <c r="DC256" i="35"/>
  <c r="CH256" i="35"/>
  <c r="H268" i="19"/>
  <c r="CI268" i="35"/>
  <c r="DR268" i="35"/>
  <c r="EW268" i="35"/>
  <c r="CJ268" i="35"/>
  <c r="O194" i="19"/>
  <c r="BY242" i="35"/>
  <c r="BZ242" i="35" s="1"/>
  <c r="CF242" i="35" s="1"/>
  <c r="CG242" i="35" s="1"/>
  <c r="GN158" i="35"/>
  <c r="HJ158" i="35" s="1"/>
  <c r="Q158" i="19"/>
  <c r="AC158" i="19" s="1"/>
  <c r="BY238" i="35"/>
  <c r="BZ238" i="35" s="1"/>
  <c r="CA238" i="35" s="1"/>
  <c r="DR260" i="35"/>
  <c r="H260" i="19"/>
  <c r="CI260" i="35"/>
  <c r="CJ260" i="35"/>
  <c r="CK201" i="35"/>
  <c r="I201" i="19"/>
  <c r="HE194" i="35"/>
  <c r="EW263" i="35"/>
  <c r="I255" i="19"/>
  <c r="DT256" i="35"/>
  <c r="FX212" i="35"/>
  <c r="FW212" i="35"/>
  <c r="FZ212" i="35" s="1"/>
  <c r="GB212" i="35" s="1"/>
  <c r="FV189" i="35"/>
  <c r="FP189" i="35"/>
  <c r="FR189" i="35" s="1"/>
  <c r="J214" i="19"/>
  <c r="CK214" i="35"/>
  <c r="HH189" i="35"/>
  <c r="HF189" i="35"/>
  <c r="HG189" i="35"/>
  <c r="HE189" i="35"/>
  <c r="CY266" i="35"/>
  <c r="X266" i="19" s="1"/>
  <c r="BY289" i="35"/>
  <c r="BZ289" i="35" s="1"/>
  <c r="CF289" i="35" s="1"/>
  <c r="CG289" i="35" s="1"/>
  <c r="BY257" i="35"/>
  <c r="BZ257" i="35" s="1"/>
  <c r="CA257" i="35" s="1"/>
  <c r="CY277" i="35"/>
  <c r="X277" i="19" s="1"/>
  <c r="HG194" i="35"/>
  <c r="GL194" i="35"/>
  <c r="GZ194" i="35" s="1"/>
  <c r="HB194" i="35" s="1"/>
  <c r="HJ194" i="35" s="1"/>
  <c r="Q219" i="19"/>
  <c r="AC219" i="19" s="1"/>
  <c r="GN219" i="35"/>
  <c r="HJ219" i="35" s="1"/>
  <c r="CW189" i="35"/>
  <c r="R189" i="19"/>
  <c r="CU189" i="35"/>
  <c r="CV189" i="35"/>
  <c r="CT189" i="35"/>
  <c r="GP189" i="35"/>
  <c r="BY312" i="35"/>
  <c r="BZ312" i="35" s="1"/>
  <c r="CA312" i="35" s="1"/>
  <c r="DC312" i="35" s="1"/>
  <c r="O251" i="19"/>
  <c r="CZ226" i="35"/>
  <c r="Y226" i="19" s="1"/>
  <c r="FN226" i="35"/>
  <c r="DA226" i="35"/>
  <c r="Z226" i="19" s="1"/>
  <c r="CM226" i="35"/>
  <c r="CY226" i="35"/>
  <c r="X226" i="19" s="1"/>
  <c r="CX226" i="35"/>
  <c r="W226" i="19" s="1"/>
  <c r="K226" i="19"/>
  <c r="GH226" i="35"/>
  <c r="GV226" i="35" s="1"/>
  <c r="HD226" i="35" s="1"/>
  <c r="CS226" i="35"/>
  <c r="K277" i="19"/>
  <c r="CJ247" i="35"/>
  <c r="GN146" i="35"/>
  <c r="HJ146" i="35" s="1"/>
  <c r="Q146" i="19"/>
  <c r="AC146" i="19" s="1"/>
  <c r="CO189" i="35"/>
  <c r="M189" i="19"/>
  <c r="GJ189" i="35"/>
  <c r="GX189" i="35" s="1"/>
  <c r="U174" i="19"/>
  <c r="GS174" i="35"/>
  <c r="GN166" i="35"/>
  <c r="HJ166" i="35" s="1"/>
  <c r="GN125" i="35"/>
  <c r="HJ125" i="35" s="1"/>
  <c r="Q125" i="19"/>
  <c r="AC125" i="19" s="1"/>
  <c r="Q190" i="19"/>
  <c r="AC190" i="19" s="1"/>
  <c r="GN190" i="35"/>
  <c r="HJ190" i="35" s="1"/>
  <c r="T233" i="19"/>
  <c r="CS236" i="35"/>
  <c r="CW236" i="35" s="1"/>
  <c r="GT236" i="35" s="1"/>
  <c r="GP233" i="35"/>
  <c r="S183" i="19"/>
  <c r="S194" i="19"/>
  <c r="GR183" i="35"/>
  <c r="CT233" i="35"/>
  <c r="GQ233" i="35" s="1"/>
  <c r="R233" i="19"/>
  <c r="FV233" i="35"/>
  <c r="FW233" i="35" s="1"/>
  <c r="FZ233" i="35" s="1"/>
  <c r="GB233" i="35" s="1"/>
  <c r="GQ165" i="35"/>
  <c r="GH277" i="35"/>
  <c r="GV277" i="35" s="1"/>
  <c r="HD277" i="35" s="1"/>
  <c r="HE277" i="35" s="1"/>
  <c r="HE233" i="35"/>
  <c r="GT165" i="35"/>
  <c r="FN277" i="35"/>
  <c r="FP277" i="35" s="1"/>
  <c r="FR277" i="35" s="1"/>
  <c r="FX183" i="35"/>
  <c r="DA277" i="35"/>
  <c r="Z277" i="19" s="1"/>
  <c r="U183" i="19"/>
  <c r="CS221" i="35"/>
  <c r="CM277" i="35"/>
  <c r="M277" i="19" s="1"/>
  <c r="CX277" i="35"/>
  <c r="W277" i="19" s="1"/>
  <c r="Q185" i="19"/>
  <c r="AC185" i="19" s="1"/>
  <c r="DA255" i="35"/>
  <c r="Z255" i="19" s="1"/>
  <c r="CZ266" i="35"/>
  <c r="Y266" i="19" s="1"/>
  <c r="CX266" i="35"/>
  <c r="W266" i="19" s="1"/>
  <c r="CY209" i="35"/>
  <c r="X209" i="19" s="1"/>
  <c r="FN266" i="35"/>
  <c r="FP266" i="35" s="1"/>
  <c r="FR266" i="35" s="1"/>
  <c r="FT266" i="35" s="1"/>
  <c r="GH266" i="35"/>
  <c r="GV266" i="35" s="1"/>
  <c r="HD266" i="35" s="1"/>
  <c r="HG266" i="35" s="1"/>
  <c r="CS266" i="35"/>
  <c r="GP266" i="35" s="1"/>
  <c r="CM266" i="35"/>
  <c r="M266" i="19" s="1"/>
  <c r="CK274" i="35"/>
  <c r="FN274" i="35" s="1"/>
  <c r="DA266" i="35"/>
  <c r="Z266" i="19" s="1"/>
  <c r="DC232" i="35"/>
  <c r="CH232" i="35"/>
  <c r="J232" i="19" s="1"/>
  <c r="GJ233" i="35"/>
  <c r="GX233" i="35" s="1"/>
  <c r="CF312" i="35"/>
  <c r="CG312" i="35" s="1"/>
  <c r="CJ312" i="35" s="1"/>
  <c r="CO233" i="35"/>
  <c r="CQ233" i="35" s="1"/>
  <c r="Q233" i="19" s="1"/>
  <c r="AC233" i="19" s="1"/>
  <c r="CW233" i="35"/>
  <c r="GT233" i="35" s="1"/>
  <c r="R218" i="19"/>
  <c r="CV233" i="35"/>
  <c r="U233" i="19" s="1"/>
  <c r="Q211" i="19"/>
  <c r="AC211" i="19" s="1"/>
  <c r="GN211" i="35"/>
  <c r="HJ211" i="35" s="1"/>
  <c r="V218" i="19"/>
  <c r="CU218" i="35"/>
  <c r="FN218" i="35"/>
  <c r="FP218" i="35" s="1"/>
  <c r="FR218" i="35" s="1"/>
  <c r="FT218" i="35" s="1"/>
  <c r="GH218" i="35"/>
  <c r="GV218" i="35" s="1"/>
  <c r="HD218" i="35" s="1"/>
  <c r="HH218" i="35" s="1"/>
  <c r="HF233" i="35"/>
  <c r="CV218" i="35"/>
  <c r="CX218" i="35"/>
  <c r="W218" i="19" s="1"/>
  <c r="FP216" i="35"/>
  <c r="FR216" i="35" s="1"/>
  <c r="FT216" i="35" s="1"/>
  <c r="CZ218" i="35"/>
  <c r="Y218" i="19" s="1"/>
  <c r="HH233" i="35"/>
  <c r="FW216" i="35"/>
  <c r="FZ216" i="35" s="1"/>
  <c r="GB216" i="35" s="1"/>
  <c r="CY236" i="35"/>
  <c r="X236" i="19" s="1"/>
  <c r="CY218" i="35"/>
  <c r="X218" i="19" s="1"/>
  <c r="DA218" i="35"/>
  <c r="Z218" i="19" s="1"/>
  <c r="CZ236" i="35"/>
  <c r="Y236" i="19" s="1"/>
  <c r="CM236" i="35"/>
  <c r="M236" i="19" s="1"/>
  <c r="FN236" i="35"/>
  <c r="FV236" i="35" s="1"/>
  <c r="FW236" i="35" s="1"/>
  <c r="FZ236" i="35" s="1"/>
  <c r="GB236" i="35" s="1"/>
  <c r="GH236" i="35"/>
  <c r="GV236" i="35" s="1"/>
  <c r="HD236" i="35" s="1"/>
  <c r="HH236" i="35" s="1"/>
  <c r="DA236" i="35"/>
  <c r="Z236" i="19" s="1"/>
  <c r="FV252" i="35"/>
  <c r="FX252" i="35" s="1"/>
  <c r="K236" i="19"/>
  <c r="HF220" i="35"/>
  <c r="BW265" i="35"/>
  <c r="BW316" i="35"/>
  <c r="BW284" i="35"/>
  <c r="BW343" i="35"/>
  <c r="BW286" i="35"/>
  <c r="BW276" i="35"/>
  <c r="J282" i="19"/>
  <c r="CK282" i="35"/>
  <c r="DC230" i="35"/>
  <c r="CH230" i="35"/>
  <c r="J230" i="19" s="1"/>
  <c r="BW279" i="35"/>
  <c r="BW275" i="35"/>
  <c r="CT218" i="35"/>
  <c r="S218" i="19" s="1"/>
  <c r="BW259" i="35"/>
  <c r="GP218" i="35"/>
  <c r="DC263" i="35"/>
  <c r="CH263" i="35"/>
  <c r="J263" i="19" s="1"/>
  <c r="CM218" i="35"/>
  <c r="CO218" i="35" s="1"/>
  <c r="CQ218" i="35" s="1"/>
  <c r="Q218" i="19" s="1"/>
  <c r="AC218" i="19" s="1"/>
  <c r="K218" i="19"/>
  <c r="CH244" i="35"/>
  <c r="J244" i="19" s="1"/>
  <c r="DC244" i="35"/>
  <c r="R216" i="19"/>
  <c r="HF216" i="35"/>
  <c r="CS252" i="35"/>
  <c r="CT252" i="35" s="1"/>
  <c r="S252" i="19" s="1"/>
  <c r="K252" i="19"/>
  <c r="DA252" i="35"/>
  <c r="Z252" i="19" s="1"/>
  <c r="CY252" i="35"/>
  <c r="X252" i="19" s="1"/>
  <c r="CA293" i="35"/>
  <c r="CH293" i="35" s="1"/>
  <c r="DR300" i="35"/>
  <c r="DT300" i="35" s="1"/>
  <c r="CM252" i="35"/>
  <c r="CO252" i="35" s="1"/>
  <c r="O252" i="19" s="1"/>
  <c r="CZ252" i="35"/>
  <c r="Y252" i="19" s="1"/>
  <c r="GH252" i="35"/>
  <c r="GV252" i="35" s="1"/>
  <c r="HD252" i="35" s="1"/>
  <c r="HG252" i="35" s="1"/>
  <c r="CX252" i="35"/>
  <c r="W252" i="19" s="1"/>
  <c r="DC314" i="35"/>
  <c r="CH314" i="35"/>
  <c r="J314" i="19" s="1"/>
  <c r="DC281" i="35"/>
  <c r="CH281" i="35"/>
  <c r="J281" i="19" s="1"/>
  <c r="CF298" i="35"/>
  <c r="CG298" i="35" s="1"/>
  <c r="CI293" i="35"/>
  <c r="CJ293" i="35"/>
  <c r="H293" i="19"/>
  <c r="CT216" i="35"/>
  <c r="GQ216" i="35" s="1"/>
  <c r="CH235" i="35"/>
  <c r="J235" i="19" s="1"/>
  <c r="DC235" i="35"/>
  <c r="GP216" i="35"/>
  <c r="FP213" i="35"/>
  <c r="FR213" i="35" s="1"/>
  <c r="CF314" i="35"/>
  <c r="CG314" i="35" s="1"/>
  <c r="DR314" i="35" s="1"/>
  <c r="DT314" i="35" s="1"/>
  <c r="FX213" i="35"/>
  <c r="CV216" i="35"/>
  <c r="U216" i="19" s="1"/>
  <c r="CU216" i="35"/>
  <c r="GR216" i="35" s="1"/>
  <c r="GT216" i="35"/>
  <c r="CI302" i="35"/>
  <c r="DR302" i="35"/>
  <c r="DT302" i="35" s="1"/>
  <c r="GJ213" i="35"/>
  <c r="GX213" i="35" s="1"/>
  <c r="CV213" i="35"/>
  <c r="GS213" i="35" s="1"/>
  <c r="CJ302" i="35"/>
  <c r="CJ250" i="35"/>
  <c r="EW250" i="35"/>
  <c r="R213" i="19"/>
  <c r="HH213" i="35"/>
  <c r="HH220" i="35"/>
  <c r="DR250" i="35"/>
  <c r="DT250" i="35" s="1"/>
  <c r="CI250" i="35"/>
  <c r="CI300" i="35"/>
  <c r="CJ300" i="35"/>
  <c r="H300" i="19"/>
  <c r="CO213" i="35"/>
  <c r="O213" i="19" s="1"/>
  <c r="CW213" i="35"/>
  <c r="GT213" i="35" s="1"/>
  <c r="DC300" i="35"/>
  <c r="CU213" i="35"/>
  <c r="GR213" i="35" s="1"/>
  <c r="GP213" i="35"/>
  <c r="CK231" i="35"/>
  <c r="CZ231" i="35" s="1"/>
  <c r="Y231" i="19" s="1"/>
  <c r="GQ213" i="35"/>
  <c r="HE220" i="35"/>
  <c r="CK245" i="35"/>
  <c r="K245" i="19" s="1"/>
  <c r="DT240" i="35"/>
  <c r="BT326" i="35"/>
  <c r="BW326" i="35" s="1"/>
  <c r="BY326" i="35" s="1"/>
  <c r="BZ326" i="35" s="1"/>
  <c r="GP261" i="35"/>
  <c r="CT261" i="35"/>
  <c r="CV261" i="35"/>
  <c r="CW261" i="35"/>
  <c r="R261" i="19"/>
  <c r="CU261" i="35"/>
  <c r="DV263" i="35"/>
  <c r="DT231" i="35"/>
  <c r="DT245" i="35"/>
  <c r="CJ281" i="35"/>
  <c r="CQ220" i="35"/>
  <c r="Q220" i="19" s="1"/>
  <c r="AC220" i="19" s="1"/>
  <c r="CU225" i="35"/>
  <c r="CT225" i="35"/>
  <c r="CW225" i="35"/>
  <c r="CV225" i="35"/>
  <c r="R225" i="19"/>
  <c r="GP225" i="35"/>
  <c r="CI281" i="35"/>
  <c r="I272" i="19"/>
  <c r="H281" i="19"/>
  <c r="HG225" i="35"/>
  <c r="HH225" i="35"/>
  <c r="HF225" i="35"/>
  <c r="HE225" i="35"/>
  <c r="M225" i="19"/>
  <c r="Q173" i="19"/>
  <c r="AC173" i="19" s="1"/>
  <c r="GN173" i="35"/>
  <c r="HJ173" i="35" s="1"/>
  <c r="DR281" i="35"/>
  <c r="DV281" i="35" s="1"/>
  <c r="J223" i="19"/>
  <c r="I235" i="19"/>
  <c r="GL220" i="35"/>
  <c r="GZ220" i="35" s="1"/>
  <c r="HB220" i="35" s="1"/>
  <c r="CU269" i="35"/>
  <c r="CT269" i="35"/>
  <c r="GP269" i="35"/>
  <c r="CW269" i="35"/>
  <c r="CV269" i="35"/>
  <c r="R269" i="19"/>
  <c r="CK240" i="35"/>
  <c r="CZ240" i="35" s="1"/>
  <c r="Y240" i="19" s="1"/>
  <c r="BT332" i="35"/>
  <c r="GT220" i="35"/>
  <c r="O229" i="19"/>
  <c r="CQ229" i="35"/>
  <c r="GL229" i="35"/>
  <c r="GZ229" i="35" s="1"/>
  <c r="HB229" i="35" s="1"/>
  <c r="GH200" i="35"/>
  <c r="GV200" i="35" s="1"/>
  <c r="HD200" i="35" s="1"/>
  <c r="CS200" i="35"/>
  <c r="FN200" i="35"/>
  <c r="CM200" i="35"/>
  <c r="CX200" i="35"/>
  <c r="W200" i="19" s="1"/>
  <c r="DA200" i="35"/>
  <c r="Z200" i="19" s="1"/>
  <c r="K200" i="19"/>
  <c r="CY200" i="35"/>
  <c r="X200" i="19" s="1"/>
  <c r="CZ200" i="35"/>
  <c r="Y200" i="19" s="1"/>
  <c r="FP269" i="35"/>
  <c r="FR269" i="35" s="1"/>
  <c r="FV269" i="35"/>
  <c r="GS224" i="35"/>
  <c r="U224" i="19"/>
  <c r="FX237" i="35"/>
  <c r="FW237" i="35"/>
  <c r="FZ237" i="35" s="1"/>
  <c r="GB237" i="35" s="1"/>
  <c r="GT248" i="35"/>
  <c r="V248" i="19"/>
  <c r="CQ193" i="35"/>
  <c r="GL193" i="35"/>
  <c r="GZ193" i="35" s="1"/>
  <c r="HB193" i="35" s="1"/>
  <c r="O193" i="19"/>
  <c r="DR303" i="35"/>
  <c r="H303" i="19"/>
  <c r="CJ303" i="35"/>
  <c r="CI303" i="35"/>
  <c r="BT339" i="35"/>
  <c r="GS237" i="35"/>
  <c r="U237" i="19"/>
  <c r="S224" i="19"/>
  <c r="GQ224" i="35"/>
  <c r="BT285" i="35"/>
  <c r="GP220" i="35"/>
  <c r="O224" i="19"/>
  <c r="CQ224" i="35"/>
  <c r="GL224" i="35"/>
  <c r="GZ224" i="35" s="1"/>
  <c r="HB224" i="35" s="1"/>
  <c r="V224" i="19"/>
  <c r="GT224" i="35"/>
  <c r="GS248" i="35"/>
  <c r="U248" i="19"/>
  <c r="CH303" i="35"/>
  <c r="DC303" i="35"/>
  <c r="CA270" i="35"/>
  <c r="CF270" i="35"/>
  <c r="CG270" i="35" s="1"/>
  <c r="EW270" i="35" s="1"/>
  <c r="T193" i="19"/>
  <c r="GR193" i="35"/>
  <c r="BT324" i="35"/>
  <c r="T224" i="19"/>
  <c r="GR224" i="35"/>
  <c r="CM273" i="35"/>
  <c r="CZ273" i="35"/>
  <c r="Y273" i="19" s="1"/>
  <c r="K273" i="19"/>
  <c r="DA273" i="35"/>
  <c r="Z273" i="19" s="1"/>
  <c r="CY273" i="35"/>
  <c r="X273" i="19" s="1"/>
  <c r="GH273" i="35"/>
  <c r="GV273" i="35" s="1"/>
  <c r="HD273" i="35" s="1"/>
  <c r="CX273" i="35"/>
  <c r="W273" i="19" s="1"/>
  <c r="CS273" i="35"/>
  <c r="FN273" i="35"/>
  <c r="V193" i="19"/>
  <c r="GT193" i="35"/>
  <c r="CX278" i="35"/>
  <c r="W278" i="19" s="1"/>
  <c r="CM278" i="35"/>
  <c r="FN278" i="35"/>
  <c r="CY278" i="35"/>
  <c r="X278" i="19" s="1"/>
  <c r="DA278" i="35"/>
  <c r="Z278" i="19" s="1"/>
  <c r="CS278" i="35"/>
  <c r="K278" i="19"/>
  <c r="CZ278" i="35"/>
  <c r="Y278" i="19" s="1"/>
  <c r="GH278" i="35"/>
  <c r="GV278" i="35" s="1"/>
  <c r="HD278" i="35" s="1"/>
  <c r="S237" i="19"/>
  <c r="GQ237" i="35"/>
  <c r="GQ248" i="35"/>
  <c r="S248" i="19"/>
  <c r="CZ264" i="35"/>
  <c r="Y264" i="19" s="1"/>
  <c r="GH264" i="35"/>
  <c r="GV264" i="35" s="1"/>
  <c r="HD264" i="35" s="1"/>
  <c r="CS264" i="35"/>
  <c r="CM264" i="35"/>
  <c r="CX264" i="35"/>
  <c r="W264" i="19" s="1"/>
  <c r="K264" i="19"/>
  <c r="DA264" i="35"/>
  <c r="Z264" i="19" s="1"/>
  <c r="CY264" i="35"/>
  <c r="X264" i="19" s="1"/>
  <c r="FN264" i="35"/>
  <c r="GR248" i="35"/>
  <c r="T248" i="19"/>
  <c r="BT299" i="35"/>
  <c r="BT335" i="35"/>
  <c r="BW335" i="35" s="1"/>
  <c r="BY335" i="35" s="1"/>
  <c r="BZ335" i="35" s="1"/>
  <c r="CA280" i="35"/>
  <c r="CF280" i="35"/>
  <c r="CG280" i="35" s="1"/>
  <c r="H280" i="19" s="1"/>
  <c r="FX248" i="35"/>
  <c r="FW248" i="35"/>
  <c r="FZ248" i="35" s="1"/>
  <c r="GB248" i="35" s="1"/>
  <c r="GQ229" i="35"/>
  <c r="S229" i="19"/>
  <c r="GN191" i="35"/>
  <c r="HJ191" i="35" s="1"/>
  <c r="Q191" i="19"/>
  <c r="AC191" i="19" s="1"/>
  <c r="DC262" i="35"/>
  <c r="CH262" i="35"/>
  <c r="J262" i="19" s="1"/>
  <c r="DT235" i="35"/>
  <c r="FX220" i="35"/>
  <c r="DV272" i="35"/>
  <c r="DT272" i="35"/>
  <c r="HF254" i="35"/>
  <c r="HG254" i="35"/>
  <c r="HE254" i="35"/>
  <c r="HH254" i="35"/>
  <c r="CY267" i="35"/>
  <c r="X267" i="19" s="1"/>
  <c r="CX267" i="35"/>
  <c r="W267" i="19" s="1"/>
  <c r="GH267" i="35"/>
  <c r="GV267" i="35" s="1"/>
  <c r="HD267" i="35" s="1"/>
  <c r="K267" i="19"/>
  <c r="CS267" i="35"/>
  <c r="CZ267" i="35"/>
  <c r="Y267" i="19" s="1"/>
  <c r="CM267" i="35"/>
  <c r="FN267" i="35"/>
  <c r="DA267" i="35"/>
  <c r="Z267" i="19" s="1"/>
  <c r="GL248" i="35"/>
  <c r="GZ248" i="35" s="1"/>
  <c r="HB248" i="35" s="1"/>
  <c r="O248" i="19"/>
  <c r="CQ248" i="35"/>
  <c r="BT283" i="35"/>
  <c r="S193" i="19"/>
  <c r="GQ193" i="35"/>
  <c r="FP220" i="35"/>
  <c r="FR220" i="35" s="1"/>
  <c r="FT220" i="35" s="1"/>
  <c r="BT321" i="35"/>
  <c r="BW321" i="35" s="1"/>
  <c r="BY321" i="35" s="1"/>
  <c r="BZ321" i="35" s="1"/>
  <c r="CT220" i="35"/>
  <c r="FV254" i="35"/>
  <c r="FP254" i="35"/>
  <c r="FR254" i="35" s="1"/>
  <c r="FT254" i="35" s="1"/>
  <c r="GR229" i="35"/>
  <c r="T229" i="19"/>
  <c r="DC250" i="35"/>
  <c r="CH250" i="35"/>
  <c r="J250" i="19" s="1"/>
  <c r="GP277" i="35"/>
  <c r="CV277" i="35"/>
  <c r="CU277" i="35"/>
  <c r="CW277" i="35"/>
  <c r="R277" i="19"/>
  <c r="CT277" i="35"/>
  <c r="BT334" i="35"/>
  <c r="BW334" i="35" s="1"/>
  <c r="BY334" i="35" s="1"/>
  <c r="BZ334" i="35" s="1"/>
  <c r="FX193" i="35"/>
  <c r="FW193" i="35"/>
  <c r="FZ193" i="35" s="1"/>
  <c r="GB193" i="35" s="1"/>
  <c r="BT330" i="35"/>
  <c r="BT322" i="35"/>
  <c r="CV220" i="35"/>
  <c r="GS220" i="35" s="1"/>
  <c r="R220" i="19"/>
  <c r="FW229" i="35"/>
  <c r="FZ229" i="35" s="1"/>
  <c r="GB229" i="35" s="1"/>
  <c r="FX229" i="35"/>
  <c r="M269" i="19"/>
  <c r="GJ269" i="35"/>
  <c r="GX269" i="35" s="1"/>
  <c r="CO269" i="35"/>
  <c r="O237" i="19"/>
  <c r="CQ237" i="35"/>
  <c r="GL237" i="35"/>
  <c r="GZ237" i="35" s="1"/>
  <c r="HB237" i="35" s="1"/>
  <c r="GJ254" i="35"/>
  <c r="GX254" i="35" s="1"/>
  <c r="CO254" i="35"/>
  <c r="M254" i="19"/>
  <c r="GR237" i="35"/>
  <c r="T237" i="19"/>
  <c r="GS229" i="35"/>
  <c r="U229" i="19"/>
  <c r="CY258" i="35"/>
  <c r="X258" i="19" s="1"/>
  <c r="DA258" i="35"/>
  <c r="Z258" i="19" s="1"/>
  <c r="CZ258" i="35"/>
  <c r="Y258" i="19" s="1"/>
  <c r="CM258" i="35"/>
  <c r="GH258" i="35"/>
  <c r="GV258" i="35" s="1"/>
  <c r="HD258" i="35" s="1"/>
  <c r="CS258" i="35"/>
  <c r="CX258" i="35"/>
  <c r="W258" i="19" s="1"/>
  <c r="K258" i="19"/>
  <c r="FN258" i="35"/>
  <c r="Q165" i="19"/>
  <c r="AC165" i="19" s="1"/>
  <c r="GN165" i="35"/>
  <c r="HJ165" i="35" s="1"/>
  <c r="H262" i="19"/>
  <c r="EW262" i="35"/>
  <c r="CI262" i="35"/>
  <c r="CJ262" i="35"/>
  <c r="DR262" i="35"/>
  <c r="GS193" i="35"/>
  <c r="U193" i="19"/>
  <c r="CU220" i="35"/>
  <c r="GR220" i="35" s="1"/>
  <c r="FX224" i="35"/>
  <c r="FW224" i="35"/>
  <c r="FZ224" i="35" s="1"/>
  <c r="GB224" i="35" s="1"/>
  <c r="HH269" i="35"/>
  <c r="HF269" i="35"/>
  <c r="HE269" i="35"/>
  <c r="HG269" i="35"/>
  <c r="J272" i="19"/>
  <c r="CK272" i="35"/>
  <c r="CV254" i="35"/>
  <c r="CW254" i="35"/>
  <c r="CT254" i="35"/>
  <c r="CU254" i="35"/>
  <c r="R254" i="19"/>
  <c r="GP254" i="35"/>
  <c r="GT237" i="35"/>
  <c r="V237" i="19"/>
  <c r="GT229" i="35"/>
  <c r="V229" i="19"/>
  <c r="CA298" i="35"/>
  <c r="DC298" i="35" s="1"/>
  <c r="DV293" i="35"/>
  <c r="T234" i="19"/>
  <c r="GR234" i="35"/>
  <c r="V234" i="19"/>
  <c r="GT234" i="35"/>
  <c r="U234" i="19"/>
  <c r="GS234" i="35"/>
  <c r="CQ234" i="35"/>
  <c r="GL234" i="35"/>
  <c r="GZ234" i="35" s="1"/>
  <c r="HB234" i="35" s="1"/>
  <c r="O234" i="19"/>
  <c r="FW253" i="35"/>
  <c r="FZ253" i="35" s="1"/>
  <c r="GB253" i="35" s="1"/>
  <c r="FX253" i="35"/>
  <c r="T253" i="19"/>
  <c r="GR253" i="35"/>
  <c r="FW234" i="35"/>
  <c r="FZ234" i="35" s="1"/>
  <c r="GB234" i="35" s="1"/>
  <c r="FX234" i="35"/>
  <c r="S253" i="19"/>
  <c r="GQ253" i="35"/>
  <c r="V253" i="19"/>
  <c r="GT253" i="35"/>
  <c r="GS253" i="35"/>
  <c r="U253" i="19"/>
  <c r="S234" i="19"/>
  <c r="GQ234" i="35"/>
  <c r="GL253" i="35"/>
  <c r="GZ253" i="35" s="1"/>
  <c r="HB253" i="35" s="1"/>
  <c r="CQ253" i="35"/>
  <c r="O253" i="19"/>
  <c r="S233" i="19"/>
  <c r="BR291" i="35"/>
  <c r="BR327" i="35"/>
  <c r="BR292" i="35"/>
  <c r="BT292" i="35" s="1"/>
  <c r="BW292" i="35" s="1"/>
  <c r="BY292" i="35" s="1"/>
  <c r="BZ292" i="35" s="1"/>
  <c r="BR373" i="35"/>
  <c r="BR360" i="35"/>
  <c r="BR308" i="35"/>
  <c r="BR295" i="35"/>
  <c r="BR296" i="35"/>
  <c r="BR309" i="35"/>
  <c r="BR287" i="35"/>
  <c r="BR306" i="35"/>
  <c r="BR307" i="35"/>
  <c r="BR331" i="35"/>
  <c r="BT331" i="35" s="1"/>
  <c r="BW331" i="35" s="1"/>
  <c r="BY331" i="35" s="1"/>
  <c r="BZ331" i="35" s="1"/>
  <c r="BR347" i="35"/>
  <c r="BR290" i="35"/>
  <c r="BR315" i="35"/>
  <c r="BR358" i="35"/>
  <c r="BR304" i="35"/>
  <c r="BL365" i="35"/>
  <c r="BN365" i="35" s="1"/>
  <c r="BP365" i="35" s="1"/>
  <c r="BL361" i="35"/>
  <c r="BN361" i="35" s="1"/>
  <c r="BP361" i="35" s="1"/>
  <c r="BL349" i="35"/>
  <c r="BN349" i="35" s="1"/>
  <c r="BP349" i="35" s="1"/>
  <c r="BL377" i="35"/>
  <c r="BN377" i="35" s="1"/>
  <c r="BP377" i="35" s="1"/>
  <c r="BL367" i="35"/>
  <c r="BN367" i="35" s="1"/>
  <c r="BP367" i="35" s="1"/>
  <c r="BL376" i="35"/>
  <c r="BN376" i="35" s="1"/>
  <c r="BP376" i="35" s="1"/>
  <c r="BL366" i="35"/>
  <c r="BN366" i="35" s="1"/>
  <c r="BP366" i="35" s="1"/>
  <c r="BL353" i="35"/>
  <c r="BN353" i="35" s="1"/>
  <c r="BP353" i="35" s="1"/>
  <c r="BL294" i="35"/>
  <c r="BN294" i="35" s="1"/>
  <c r="BP294" i="35" s="1"/>
  <c r="BL354" i="35"/>
  <c r="BN354" i="35" s="1"/>
  <c r="BP354" i="35" s="1"/>
  <c r="BJ297" i="35"/>
  <c r="BL297" i="35" s="1"/>
  <c r="BN297" i="35" s="1"/>
  <c r="BP297" i="35" s="1"/>
  <c r="GS198" i="35"/>
  <c r="U198" i="19"/>
  <c r="S198" i="19"/>
  <c r="GQ198" i="35"/>
  <c r="V198" i="19"/>
  <c r="GT198" i="35"/>
  <c r="FX198" i="35"/>
  <c r="FW198" i="35"/>
  <c r="FZ198" i="35" s="1"/>
  <c r="GB198" i="35" s="1"/>
  <c r="BJ336" i="35"/>
  <c r="BL336" i="35" s="1"/>
  <c r="BN336" i="35" s="1"/>
  <c r="BP336" i="35" s="1"/>
  <c r="T198" i="19"/>
  <c r="GR198" i="35"/>
  <c r="BJ317" i="35"/>
  <c r="BL317" i="35" s="1"/>
  <c r="BN317" i="35" s="1"/>
  <c r="BP317" i="35" s="1"/>
  <c r="BJ301" i="35"/>
  <c r="BL301" i="35" s="1"/>
  <c r="BN301" i="35" s="1"/>
  <c r="BP301" i="35" s="1"/>
  <c r="GL198" i="35"/>
  <c r="GZ198" i="35" s="1"/>
  <c r="HB198" i="35" s="1"/>
  <c r="CQ198" i="35"/>
  <c r="O198" i="19"/>
  <c r="BH328" i="35"/>
  <c r="BH337" i="35"/>
  <c r="BH333" i="35"/>
  <c r="BH318" i="35"/>
  <c r="BH344" i="35"/>
  <c r="BH345" i="35"/>
  <c r="BH346" i="35"/>
  <c r="BH340" i="35"/>
  <c r="BH338" i="35"/>
  <c r="BH323" i="35"/>
  <c r="BH342" i="35"/>
  <c r="BH329" i="35"/>
  <c r="BH325" i="35"/>
  <c r="BH341" i="35"/>
  <c r="BF319" i="35"/>
  <c r="BF320" i="35"/>
  <c r="BD371" i="35"/>
  <c r="BD359" i="35"/>
  <c r="BD368" i="35"/>
  <c r="BD355" i="35"/>
  <c r="BD352" i="35"/>
  <c r="BD362" i="35"/>
  <c r="BD350" i="35"/>
  <c r="BD374" i="35"/>
  <c r="BD364" i="35"/>
  <c r="BD348" i="35"/>
  <c r="BD351" i="35"/>
  <c r="BA357" i="35"/>
  <c r="BA372" i="35"/>
  <c r="BA356" i="35"/>
  <c r="BD356" i="35" s="1"/>
  <c r="BF356" i="35" s="1"/>
  <c r="BH356" i="35" s="1"/>
  <c r="BJ356" i="35" s="1"/>
  <c r="BA370" i="35"/>
  <c r="BA363" i="35"/>
  <c r="BA369" i="35"/>
  <c r="BD369" i="35" s="1"/>
  <c r="BF369" i="35" s="1"/>
  <c r="BH369" i="35" s="1"/>
  <c r="BJ369" i="35" s="1"/>
  <c r="BA375" i="35"/>
  <c r="BD375" i="35" s="1"/>
  <c r="BF375" i="35" s="1"/>
  <c r="BH375" i="35" s="1"/>
  <c r="BJ375" i="35" s="1"/>
  <c r="AT378" i="35"/>
  <c r="AQ379" i="35"/>
  <c r="FT127" i="35"/>
  <c r="B63" i="37"/>
  <c r="AX21" i="37"/>
  <c r="I28" i="26"/>
  <c r="G69" i="5"/>
  <c r="DA221" i="35" l="1"/>
  <c r="Z221" i="19" s="1"/>
  <c r="GH271" i="35"/>
  <c r="GV271" i="35" s="1"/>
  <c r="HD271" i="35" s="1"/>
  <c r="HF271" i="35" s="1"/>
  <c r="K209" i="19"/>
  <c r="CM221" i="35"/>
  <c r="M221" i="19" s="1"/>
  <c r="CZ221" i="35"/>
  <c r="Y221" i="19" s="1"/>
  <c r="GS208" i="35"/>
  <c r="CO216" i="35"/>
  <c r="O216" i="19" s="1"/>
  <c r="CM209" i="35"/>
  <c r="M209" i="19" s="1"/>
  <c r="DR247" i="35"/>
  <c r="DV247" i="35" s="1"/>
  <c r="CI247" i="35"/>
  <c r="I247" i="19" s="1"/>
  <c r="CX271" i="35"/>
  <c r="W271" i="19" s="1"/>
  <c r="CZ209" i="35"/>
  <c r="Y209" i="19" s="1"/>
  <c r="GH209" i="35"/>
  <c r="GV209" i="35" s="1"/>
  <c r="HD209" i="35" s="1"/>
  <c r="HF209" i="35" s="1"/>
  <c r="CM271" i="35"/>
  <c r="M271" i="19" s="1"/>
  <c r="H247" i="19"/>
  <c r="CY221" i="35"/>
  <c r="X221" i="19" s="1"/>
  <c r="FV209" i="35"/>
  <c r="FX209" i="35" s="1"/>
  <c r="M216" i="19"/>
  <c r="FN221" i="35"/>
  <c r="HE216" i="35"/>
  <c r="HH216" i="35"/>
  <c r="DT247" i="35"/>
  <c r="DR310" i="35"/>
  <c r="DV310" i="35" s="1"/>
  <c r="GJ261" i="35"/>
  <c r="GX261" i="35" s="1"/>
  <c r="S208" i="19"/>
  <c r="GQ208" i="35"/>
  <c r="H310" i="19"/>
  <c r="M261" i="19"/>
  <c r="CA239" i="35"/>
  <c r="CH239" i="35" s="1"/>
  <c r="J239" i="19" s="1"/>
  <c r="CI310" i="35"/>
  <c r="GJ225" i="35"/>
  <c r="GX225" i="35" s="1"/>
  <c r="CJ310" i="35"/>
  <c r="GJ221" i="35"/>
  <c r="GX221" i="35" s="1"/>
  <c r="DR246" i="35"/>
  <c r="DV246" i="35" s="1"/>
  <c r="GN171" i="35"/>
  <c r="HJ171" i="35" s="1"/>
  <c r="Q171" i="19"/>
  <c r="AC171" i="19" s="1"/>
  <c r="GJ209" i="35"/>
  <c r="GX209" i="35" s="1"/>
  <c r="HF277" i="35"/>
  <c r="V208" i="19"/>
  <c r="GT208" i="35"/>
  <c r="H243" i="19"/>
  <c r="T208" i="19"/>
  <c r="GR208" i="35"/>
  <c r="DR243" i="35"/>
  <c r="DV243" i="35" s="1"/>
  <c r="CQ208" i="35"/>
  <c r="GL208" i="35"/>
  <c r="GZ208" i="35" s="1"/>
  <c r="HB208" i="35" s="1"/>
  <c r="O208" i="19"/>
  <c r="FV261" i="35"/>
  <c r="FW261" i="35" s="1"/>
  <c r="FZ261" i="35" s="1"/>
  <c r="GB261" i="35" s="1"/>
  <c r="EW243" i="35"/>
  <c r="HF213" i="35"/>
  <c r="I244" i="19"/>
  <c r="FW171" i="35"/>
  <c r="FZ171" i="35" s="1"/>
  <c r="GB171" i="35" s="1"/>
  <c r="FX171" i="35"/>
  <c r="Q210" i="19"/>
  <c r="AC210" i="19" s="1"/>
  <c r="GN210" i="35"/>
  <c r="HJ210" i="35" s="1"/>
  <c r="HF261" i="35"/>
  <c r="H246" i="19"/>
  <c r="CZ271" i="35"/>
  <c r="Y271" i="19" s="1"/>
  <c r="FP225" i="35"/>
  <c r="FR225" i="35" s="1"/>
  <c r="CK247" i="35"/>
  <c r="K247" i="19" s="1"/>
  <c r="DA271" i="35"/>
  <c r="Z271" i="19" s="1"/>
  <c r="I204" i="19"/>
  <c r="CK204" i="35"/>
  <c r="CH249" i="35"/>
  <c r="DC249" i="35"/>
  <c r="K271" i="19"/>
  <c r="Q196" i="19"/>
  <c r="AC196" i="19" s="1"/>
  <c r="GN196" i="35"/>
  <c r="HJ196" i="35" s="1"/>
  <c r="HG213" i="35"/>
  <c r="HH261" i="35"/>
  <c r="FN271" i="35"/>
  <c r="FV271" i="35" s="1"/>
  <c r="FW271" i="35" s="1"/>
  <c r="FZ271" i="35" s="1"/>
  <c r="GB271" i="35" s="1"/>
  <c r="GH255" i="35"/>
  <c r="GV255" i="35" s="1"/>
  <c r="HD255" i="35" s="1"/>
  <c r="HE255" i="35" s="1"/>
  <c r="HG261" i="35"/>
  <c r="FW194" i="35"/>
  <c r="FZ194" i="35" s="1"/>
  <c r="GB194" i="35" s="1"/>
  <c r="HH209" i="35"/>
  <c r="CI243" i="35"/>
  <c r="I243" i="19" s="1"/>
  <c r="CI246" i="35"/>
  <c r="I246" i="19" s="1"/>
  <c r="CS271" i="35"/>
  <c r="GP271" i="35" s="1"/>
  <c r="GH221" i="35"/>
  <c r="GV221" i="35" s="1"/>
  <c r="HD221" i="35" s="1"/>
  <c r="CX221" i="35"/>
  <c r="W221" i="19" s="1"/>
  <c r="HG177" i="35"/>
  <c r="HF177" i="35"/>
  <c r="HH177" i="35"/>
  <c r="HE177" i="35"/>
  <c r="DT246" i="35"/>
  <c r="HG209" i="35"/>
  <c r="CA310" i="35"/>
  <c r="CH310" i="35" s="1"/>
  <c r="J310" i="19" s="1"/>
  <c r="CK268" i="35"/>
  <c r="CY268" i="35" s="1"/>
  <c r="X268" i="19" s="1"/>
  <c r="FV177" i="35"/>
  <c r="FP177" i="35"/>
  <c r="FR177" i="35" s="1"/>
  <c r="CO221" i="35"/>
  <c r="GL221" i="35" s="1"/>
  <c r="GZ221" i="35" s="1"/>
  <c r="HB221" i="35" s="1"/>
  <c r="DA209" i="35"/>
  <c r="Z209" i="19" s="1"/>
  <c r="CX255" i="35"/>
  <c r="W255" i="19" s="1"/>
  <c r="FN255" i="35"/>
  <c r="GN217" i="35"/>
  <c r="HJ217" i="35" s="1"/>
  <c r="Q217" i="19"/>
  <c r="AC217" i="19" s="1"/>
  <c r="GJ177" i="35"/>
  <c r="GX177" i="35" s="1"/>
  <c r="CO177" i="35"/>
  <c r="M177" i="19"/>
  <c r="HE209" i="35"/>
  <c r="CZ255" i="35"/>
  <c r="Y255" i="19" s="1"/>
  <c r="CY255" i="35"/>
  <c r="X255" i="19" s="1"/>
  <c r="CX209" i="35"/>
  <c r="W209" i="19" s="1"/>
  <c r="CM255" i="35"/>
  <c r="CS209" i="35"/>
  <c r="GP209" i="35" s="1"/>
  <c r="K255" i="19"/>
  <c r="FN203" i="35"/>
  <c r="CS203" i="35"/>
  <c r="GH203" i="35"/>
  <c r="GV203" i="35" s="1"/>
  <c r="HD203" i="35" s="1"/>
  <c r="CY203" i="35"/>
  <c r="X203" i="19" s="1"/>
  <c r="CX203" i="35"/>
  <c r="W203" i="19" s="1"/>
  <c r="CM203" i="35"/>
  <c r="K203" i="19"/>
  <c r="CZ203" i="35"/>
  <c r="Y203" i="19" s="1"/>
  <c r="DA203" i="35"/>
  <c r="Z203" i="19" s="1"/>
  <c r="CV177" i="35"/>
  <c r="CU177" i="35"/>
  <c r="CW177" i="35"/>
  <c r="GP177" i="35"/>
  <c r="CT177" i="35"/>
  <c r="R177" i="19"/>
  <c r="CA288" i="35"/>
  <c r="DC288" i="35" s="1"/>
  <c r="CA242" i="35"/>
  <c r="DC242" i="35" s="1"/>
  <c r="CX222" i="35"/>
  <c r="W222" i="19" s="1"/>
  <c r="FN222" i="35"/>
  <c r="CZ222" i="35"/>
  <c r="Y222" i="19" s="1"/>
  <c r="CM222" i="35"/>
  <c r="DA222" i="35"/>
  <c r="Z222" i="19" s="1"/>
  <c r="K222" i="19"/>
  <c r="GH222" i="35"/>
  <c r="GV222" i="35" s="1"/>
  <c r="HD222" i="35" s="1"/>
  <c r="CS222" i="35"/>
  <c r="CY222" i="35"/>
  <c r="X222" i="19" s="1"/>
  <c r="H288" i="19"/>
  <c r="CI288" i="35"/>
  <c r="CJ288" i="35"/>
  <c r="EW288" i="35"/>
  <c r="DR288" i="35"/>
  <c r="DV288" i="35" s="1"/>
  <c r="CJ305" i="35"/>
  <c r="CI305" i="35"/>
  <c r="CJ289" i="35"/>
  <c r="DR289" i="35"/>
  <c r="DV289" i="35" s="1"/>
  <c r="H289" i="19"/>
  <c r="CI289" i="35"/>
  <c r="CI242" i="35"/>
  <c r="H242" i="19"/>
  <c r="CJ242" i="35"/>
  <c r="DR242" i="35"/>
  <c r="DT242" i="35" s="1"/>
  <c r="CI239" i="35"/>
  <c r="CJ239" i="35"/>
  <c r="H239" i="19"/>
  <c r="EW239" i="35"/>
  <c r="DR239" i="35"/>
  <c r="DT239" i="35" s="1"/>
  <c r="DC257" i="35"/>
  <c r="CH257" i="35"/>
  <c r="J257" i="19" s="1"/>
  <c r="CH238" i="35"/>
  <c r="J238" i="19" s="1"/>
  <c r="DC238" i="35"/>
  <c r="CW255" i="35"/>
  <c r="R255" i="19"/>
  <c r="GP255" i="35"/>
  <c r="CV255" i="35"/>
  <c r="CT255" i="35"/>
  <c r="GL218" i="35"/>
  <c r="GZ218" i="35" s="1"/>
  <c r="HB218" i="35" s="1"/>
  <c r="CT226" i="35"/>
  <c r="R226" i="19"/>
  <c r="GP226" i="35"/>
  <c r="CW226" i="35"/>
  <c r="CU226" i="35"/>
  <c r="CV226" i="35"/>
  <c r="DV260" i="35"/>
  <c r="DT260" i="35"/>
  <c r="J256" i="19"/>
  <c r="CK256" i="35"/>
  <c r="CF238" i="35"/>
  <c r="CG238" i="35" s="1"/>
  <c r="DR238" i="35" s="1"/>
  <c r="DT238" i="35" s="1"/>
  <c r="CF257" i="35"/>
  <c r="CG257" i="35" s="1"/>
  <c r="DR257" i="35" s="1"/>
  <c r="DT257" i="35" s="1"/>
  <c r="CF311" i="35"/>
  <c r="CG311" i="35" s="1"/>
  <c r="M215" i="19"/>
  <c r="GJ215" i="35"/>
  <c r="GX215" i="35" s="1"/>
  <c r="CO215" i="35"/>
  <c r="CA313" i="35"/>
  <c r="I260" i="19"/>
  <c r="M218" i="19"/>
  <c r="BY279" i="35"/>
  <c r="BZ279" i="35" s="1"/>
  <c r="CF279" i="35" s="1"/>
  <c r="CG279" i="35" s="1"/>
  <c r="CI279" i="35" s="1"/>
  <c r="HF226" i="35"/>
  <c r="HE226" i="35"/>
  <c r="HG226" i="35"/>
  <c r="HH226" i="35"/>
  <c r="CA289" i="35"/>
  <c r="CO209" i="35"/>
  <c r="CQ209" i="35" s="1"/>
  <c r="Q209" i="19" s="1"/>
  <c r="AC209" i="19" s="1"/>
  <c r="BY316" i="35"/>
  <c r="BZ316" i="35" s="1"/>
  <c r="CF316" i="35" s="1"/>
  <c r="CG316" i="35" s="1"/>
  <c r="M226" i="19"/>
  <c r="GJ226" i="35"/>
  <c r="GX226" i="35" s="1"/>
  <c r="CO226" i="35"/>
  <c r="GT189" i="35"/>
  <c r="V189" i="19"/>
  <c r="HG184" i="35"/>
  <c r="HH184" i="35"/>
  <c r="HF184" i="35"/>
  <c r="HE184" i="35"/>
  <c r="DT227" i="35"/>
  <c r="DV227" i="35"/>
  <c r="BY275" i="35"/>
  <c r="BZ275" i="35" s="1"/>
  <c r="CA275" i="35" s="1"/>
  <c r="DC275" i="35" s="1"/>
  <c r="GQ189" i="35"/>
  <c r="S189" i="19"/>
  <c r="T189" i="19"/>
  <c r="GR189" i="35"/>
  <c r="HG255" i="35"/>
  <c r="GJ218" i="35"/>
  <c r="GX218" i="35" s="1"/>
  <c r="CK260" i="35"/>
  <c r="CV184" i="35"/>
  <c r="R184" i="19"/>
  <c r="GP184" i="35"/>
  <c r="CW184" i="35"/>
  <c r="CT184" i="35"/>
  <c r="CU184" i="35"/>
  <c r="CA305" i="35"/>
  <c r="FX271" i="35"/>
  <c r="CH312" i="35"/>
  <c r="J312" i="19" s="1"/>
  <c r="DT244" i="35"/>
  <c r="HG277" i="35"/>
  <c r="GN218" i="35"/>
  <c r="BY259" i="35"/>
  <c r="BZ259" i="35" s="1"/>
  <c r="CF259" i="35" s="1"/>
  <c r="CG259" i="35" s="1"/>
  <c r="BY265" i="35"/>
  <c r="BZ265" i="35" s="1"/>
  <c r="CA265" i="35" s="1"/>
  <c r="O189" i="19"/>
  <c r="CQ189" i="35"/>
  <c r="GL189" i="35"/>
  <c r="GZ189" i="35" s="1"/>
  <c r="HB189" i="35" s="1"/>
  <c r="FV226" i="35"/>
  <c r="FP226" i="35"/>
  <c r="FR226" i="35" s="1"/>
  <c r="FT226" i="35" s="1"/>
  <c r="BY343" i="35"/>
  <c r="BZ343" i="35" s="1"/>
  <c r="CA343" i="35" s="1"/>
  <c r="FW189" i="35"/>
  <c r="FZ189" i="35" s="1"/>
  <c r="GB189" i="35" s="1"/>
  <c r="FX189" i="35"/>
  <c r="EW230" i="35"/>
  <c r="H230" i="19"/>
  <c r="DR230" i="35"/>
  <c r="CJ230" i="35"/>
  <c r="CI230" i="35"/>
  <c r="BY284" i="35"/>
  <c r="BZ284" i="35" s="1"/>
  <c r="CF284" i="35" s="1"/>
  <c r="CG284" i="35" s="1"/>
  <c r="CI284" i="35" s="1"/>
  <c r="CU255" i="35"/>
  <c r="HH277" i="35"/>
  <c r="R236" i="19"/>
  <c r="CY214" i="35"/>
  <c r="X214" i="19" s="1"/>
  <c r="CX214" i="35"/>
  <c r="W214" i="19" s="1"/>
  <c r="K214" i="19"/>
  <c r="DA214" i="35"/>
  <c r="Z214" i="19" s="1"/>
  <c r="CZ214" i="35"/>
  <c r="Y214" i="19" s="1"/>
  <c r="CM214" i="35"/>
  <c r="FN214" i="35"/>
  <c r="CS214" i="35"/>
  <c r="GH214" i="35"/>
  <c r="GV214" i="35" s="1"/>
  <c r="HD214" i="35" s="1"/>
  <c r="H241" i="19"/>
  <c r="CI241" i="35"/>
  <c r="CJ241" i="35"/>
  <c r="DR241" i="35"/>
  <c r="CV215" i="35"/>
  <c r="R215" i="19"/>
  <c r="CT215" i="35"/>
  <c r="GP215" i="35"/>
  <c r="CU215" i="35"/>
  <c r="CW215" i="35"/>
  <c r="HF215" i="35"/>
  <c r="HG215" i="35"/>
  <c r="HE215" i="35"/>
  <c r="HH215" i="35"/>
  <c r="CI232" i="35"/>
  <c r="DR232" i="35"/>
  <c r="H232" i="19"/>
  <c r="CJ232" i="35"/>
  <c r="CK227" i="35"/>
  <c r="I227" i="19"/>
  <c r="BY276" i="35"/>
  <c r="BZ276" i="35" s="1"/>
  <c r="CF276" i="35" s="1"/>
  <c r="CG276" i="35" s="1"/>
  <c r="CS199" i="35"/>
  <c r="FN199" i="35"/>
  <c r="CY199" i="35"/>
  <c r="X199" i="19" s="1"/>
  <c r="CZ199" i="35"/>
  <c r="Y199" i="19" s="1"/>
  <c r="CM199" i="35"/>
  <c r="CX199" i="35"/>
  <c r="W199" i="19" s="1"/>
  <c r="DA199" i="35"/>
  <c r="Z199" i="19" s="1"/>
  <c r="GH199" i="35"/>
  <c r="GV199" i="35" s="1"/>
  <c r="HD199" i="35" s="1"/>
  <c r="K199" i="19"/>
  <c r="M184" i="19"/>
  <c r="GJ184" i="35"/>
  <c r="GX184" i="35" s="1"/>
  <c r="CO184" i="35"/>
  <c r="FP215" i="35"/>
  <c r="FR215" i="35" s="1"/>
  <c r="FV215" i="35"/>
  <c r="DV268" i="35"/>
  <c r="DT268" i="35"/>
  <c r="DR223" i="35"/>
  <c r="EW223" i="35"/>
  <c r="H223" i="19"/>
  <c r="CI223" i="35"/>
  <c r="CJ223" i="35"/>
  <c r="GS189" i="35"/>
  <c r="U189" i="19"/>
  <c r="O218" i="19"/>
  <c r="Q251" i="19"/>
  <c r="AC251" i="19" s="1"/>
  <c r="DT243" i="35"/>
  <c r="BY286" i="35"/>
  <c r="BZ286" i="35" s="1"/>
  <c r="CF286" i="35" s="1"/>
  <c r="CG286" i="35" s="1"/>
  <c r="H286" i="19" s="1"/>
  <c r="DA201" i="35"/>
  <c r="Z201" i="19" s="1"/>
  <c r="CM201" i="35"/>
  <c r="FN201" i="35"/>
  <c r="CX201" i="35"/>
  <c r="W201" i="19" s="1"/>
  <c r="CS201" i="35"/>
  <c r="GH201" i="35"/>
  <c r="GV201" i="35" s="1"/>
  <c r="HD201" i="35" s="1"/>
  <c r="CY201" i="35"/>
  <c r="X201" i="19" s="1"/>
  <c r="CZ201" i="35"/>
  <c r="Y201" i="19" s="1"/>
  <c r="K201" i="19"/>
  <c r="I268" i="19"/>
  <c r="Q212" i="19"/>
  <c r="AC212" i="19" s="1"/>
  <c r="GN212" i="35"/>
  <c r="HJ212" i="35" s="1"/>
  <c r="CM228" i="35"/>
  <c r="CX228" i="35"/>
  <c r="W228" i="19" s="1"/>
  <c r="DA228" i="35"/>
  <c r="Z228" i="19" s="1"/>
  <c r="CY228" i="35"/>
  <c r="X228" i="19" s="1"/>
  <c r="K228" i="19"/>
  <c r="GH228" i="35"/>
  <c r="GV228" i="35" s="1"/>
  <c r="HD228" i="35" s="1"/>
  <c r="CZ228" i="35"/>
  <c r="Y228" i="19" s="1"/>
  <c r="FN228" i="35"/>
  <c r="CS228" i="35"/>
  <c r="FV184" i="35"/>
  <c r="FP184" i="35"/>
  <c r="FR184" i="35" s="1"/>
  <c r="FT184" i="35" s="1"/>
  <c r="CU236" i="35"/>
  <c r="GR236" i="35" s="1"/>
  <c r="CT236" i="35"/>
  <c r="GQ236" i="35" s="1"/>
  <c r="CW266" i="35"/>
  <c r="GT266" i="35" s="1"/>
  <c r="GP236" i="35"/>
  <c r="CU266" i="35"/>
  <c r="GR266" i="35" s="1"/>
  <c r="CV236" i="35"/>
  <c r="U236" i="19" s="1"/>
  <c r="V236" i="19"/>
  <c r="CV209" i="35"/>
  <c r="GS209" i="35" s="1"/>
  <c r="CU209" i="35"/>
  <c r="HF255" i="35"/>
  <c r="GH274" i="35"/>
  <c r="GV274" i="35" s="1"/>
  <c r="HD274" i="35" s="1"/>
  <c r="HH274" i="35" s="1"/>
  <c r="CT209" i="35"/>
  <c r="S209" i="19" s="1"/>
  <c r="R209" i="19"/>
  <c r="FX233" i="35"/>
  <c r="CW209" i="35"/>
  <c r="V209" i="19" s="1"/>
  <c r="CW221" i="35"/>
  <c r="CT221" i="35"/>
  <c r="CV221" i="35"/>
  <c r="R221" i="19"/>
  <c r="GP221" i="35"/>
  <c r="CU221" i="35"/>
  <c r="FV277" i="35"/>
  <c r="FW277" i="35" s="1"/>
  <c r="FZ277" i="35" s="1"/>
  <c r="GB277" i="35" s="1"/>
  <c r="K274" i="19"/>
  <c r="FW209" i="35"/>
  <c r="FZ209" i="35" s="1"/>
  <c r="GB209" i="35" s="1"/>
  <c r="CO277" i="35"/>
  <c r="CQ277" i="35" s="1"/>
  <c r="GL233" i="35"/>
  <c r="GZ233" i="35" s="1"/>
  <c r="HB233" i="35" s="1"/>
  <c r="FV221" i="35"/>
  <c r="FP221" i="35"/>
  <c r="FR221" i="35" s="1"/>
  <c r="GS233" i="35"/>
  <c r="GJ277" i="35"/>
  <c r="GX277" i="35" s="1"/>
  <c r="GL216" i="35"/>
  <c r="GZ216" i="35" s="1"/>
  <c r="HB216" i="35" s="1"/>
  <c r="CO266" i="35"/>
  <c r="GL266" i="35" s="1"/>
  <c r="GZ266" i="35" s="1"/>
  <c r="HB266" i="35" s="1"/>
  <c r="FP274" i="35"/>
  <c r="FR274" i="35" s="1"/>
  <c r="FV274" i="35"/>
  <c r="FX274" i="35" s="1"/>
  <c r="HE266" i="35"/>
  <c r="FV266" i="35"/>
  <c r="FW266" i="35" s="1"/>
  <c r="FZ266" i="35" s="1"/>
  <c r="GB266" i="35" s="1"/>
  <c r="GN233" i="35"/>
  <c r="R266" i="19"/>
  <c r="CH311" i="35"/>
  <c r="J311" i="19" s="1"/>
  <c r="CY274" i="35"/>
  <c r="X274" i="19" s="1"/>
  <c r="CV266" i="35"/>
  <c r="U266" i="19" s="1"/>
  <c r="EW312" i="35"/>
  <c r="GJ271" i="35"/>
  <c r="GX271" i="35" s="1"/>
  <c r="CX274" i="35"/>
  <c r="W274" i="19" s="1"/>
  <c r="CS274" i="35"/>
  <c r="CM274" i="35"/>
  <c r="GJ274" i="35" s="1"/>
  <c r="GX274" i="35" s="1"/>
  <c r="HF266" i="35"/>
  <c r="O233" i="19"/>
  <c r="CZ274" i="35"/>
  <c r="Y274" i="19" s="1"/>
  <c r="DA274" i="35"/>
  <c r="Z274" i="19" s="1"/>
  <c r="V233" i="19"/>
  <c r="CO271" i="35"/>
  <c r="CQ271" i="35" s="1"/>
  <c r="Q271" i="19" s="1"/>
  <c r="AC271" i="19" s="1"/>
  <c r="GJ266" i="35"/>
  <c r="GX266" i="35" s="1"/>
  <c r="CT266" i="35"/>
  <c r="S266" i="19" s="1"/>
  <c r="DR312" i="35"/>
  <c r="DV312" i="35" s="1"/>
  <c r="CI312" i="35"/>
  <c r="I312" i="19" s="1"/>
  <c r="HH266" i="35"/>
  <c r="CF343" i="35"/>
  <c r="CG343" i="35" s="1"/>
  <c r="DR343" i="35" s="1"/>
  <c r="DT343" i="35" s="1"/>
  <c r="H312" i="19"/>
  <c r="FW252" i="35"/>
  <c r="FZ252" i="35" s="1"/>
  <c r="GB252" i="35" s="1"/>
  <c r="CQ252" i="35"/>
  <c r="GN252" i="35" s="1"/>
  <c r="DV238" i="35"/>
  <c r="H238" i="19"/>
  <c r="GL252" i="35"/>
  <c r="GZ252" i="35" s="1"/>
  <c r="HB252" i="35" s="1"/>
  <c r="HE271" i="35"/>
  <c r="CI238" i="35"/>
  <c r="CJ238" i="35"/>
  <c r="CK263" i="35"/>
  <c r="K263" i="19" s="1"/>
  <c r="H305" i="19"/>
  <c r="DR305" i="35"/>
  <c r="DT305" i="35" s="1"/>
  <c r="CW271" i="35"/>
  <c r="GT271" i="35" s="1"/>
  <c r="FP271" i="35"/>
  <c r="FR271" i="35" s="1"/>
  <c r="HE236" i="35"/>
  <c r="FP236" i="35"/>
  <c r="FR236" i="35" s="1"/>
  <c r="FT236" i="35" s="1"/>
  <c r="GJ236" i="35"/>
  <c r="GX236" i="35" s="1"/>
  <c r="FX236" i="35"/>
  <c r="HF236" i="35"/>
  <c r="T216" i="19"/>
  <c r="HG236" i="35"/>
  <c r="FV218" i="35"/>
  <c r="GR218" i="35"/>
  <c r="T218" i="19"/>
  <c r="HF218" i="35"/>
  <c r="HE218" i="35"/>
  <c r="U218" i="19"/>
  <c r="GS218" i="35"/>
  <c r="CO236" i="35"/>
  <c r="GL236" i="35" s="1"/>
  <c r="GZ236" i="35" s="1"/>
  <c r="HB236" i="35" s="1"/>
  <c r="HG218" i="35"/>
  <c r="GJ252" i="35"/>
  <c r="GX252" i="35" s="1"/>
  <c r="CK235" i="35"/>
  <c r="K235" i="19" s="1"/>
  <c r="CW252" i="35"/>
  <c r="GT252" i="35" s="1"/>
  <c r="GQ252" i="35"/>
  <c r="R252" i="19"/>
  <c r="CU252" i="35"/>
  <c r="CV252" i="35"/>
  <c r="U252" i="19" s="1"/>
  <c r="DV300" i="35"/>
  <c r="BW283" i="35"/>
  <c r="HH271" i="35"/>
  <c r="EW238" i="35"/>
  <c r="BW324" i="35"/>
  <c r="H313" i="19"/>
  <c r="CJ313" i="35"/>
  <c r="DR313" i="35"/>
  <c r="CI313" i="35"/>
  <c r="BW299" i="35"/>
  <c r="HH252" i="35"/>
  <c r="GN209" i="35"/>
  <c r="DC293" i="35"/>
  <c r="BW322" i="35"/>
  <c r="BW339" i="35"/>
  <c r="BW332" i="35"/>
  <c r="CK244" i="35"/>
  <c r="CZ244" i="35" s="1"/>
  <c r="Y244" i="19" s="1"/>
  <c r="HE252" i="35"/>
  <c r="GQ218" i="35"/>
  <c r="CY282" i="35"/>
  <c r="X282" i="19" s="1"/>
  <c r="FN282" i="35"/>
  <c r="CM282" i="35"/>
  <c r="K282" i="19"/>
  <c r="CS282" i="35"/>
  <c r="DA282" i="35"/>
  <c r="Z282" i="19" s="1"/>
  <c r="GH282" i="35"/>
  <c r="GV282" i="35" s="1"/>
  <c r="HD282" i="35" s="1"/>
  <c r="CZ282" i="35"/>
  <c r="Y282" i="19" s="1"/>
  <c r="CX282" i="35"/>
  <c r="W282" i="19" s="1"/>
  <c r="BW330" i="35"/>
  <c r="BW285" i="35"/>
  <c r="I250" i="19"/>
  <c r="CY231" i="35"/>
  <c r="X231" i="19" s="1"/>
  <c r="HG271" i="35"/>
  <c r="M252" i="19"/>
  <c r="GP252" i="35"/>
  <c r="U209" i="19"/>
  <c r="S216" i="19"/>
  <c r="GS216" i="35"/>
  <c r="I293" i="19"/>
  <c r="HF252" i="35"/>
  <c r="DR298" i="35"/>
  <c r="H298" i="19"/>
  <c r="CJ298" i="35"/>
  <c r="EW298" i="35"/>
  <c r="CI298" i="35"/>
  <c r="CF326" i="35"/>
  <c r="CG326" i="35" s="1"/>
  <c r="CI314" i="35"/>
  <c r="DV314" i="35"/>
  <c r="CJ314" i="35"/>
  <c r="DV302" i="35"/>
  <c r="H314" i="19"/>
  <c r="I239" i="19"/>
  <c r="CK302" i="35"/>
  <c r="CX302" i="35" s="1"/>
  <c r="W302" i="19" s="1"/>
  <c r="GH231" i="35"/>
  <c r="GV231" i="35" s="1"/>
  <c r="HD231" i="35" s="1"/>
  <c r="HE231" i="35" s="1"/>
  <c r="FN231" i="35"/>
  <c r="FP231" i="35" s="1"/>
  <c r="FR231" i="35" s="1"/>
  <c r="HG274" i="35"/>
  <c r="HE274" i="35"/>
  <c r="HF274" i="35"/>
  <c r="GL209" i="35"/>
  <c r="GZ209" i="35" s="1"/>
  <c r="HB209" i="35" s="1"/>
  <c r="I302" i="19"/>
  <c r="CK300" i="35"/>
  <c r="CS300" i="35" s="1"/>
  <c r="CU300" i="35" s="1"/>
  <c r="GR300" i="35" s="1"/>
  <c r="U213" i="19"/>
  <c r="O209" i="19"/>
  <c r="K231" i="19"/>
  <c r="CM231" i="35"/>
  <c r="CO231" i="35" s="1"/>
  <c r="GL231" i="35" s="1"/>
  <c r="GZ231" i="35" s="1"/>
  <c r="HB231" i="35" s="1"/>
  <c r="V213" i="19"/>
  <c r="CS231" i="35"/>
  <c r="CT231" i="35" s="1"/>
  <c r="S231" i="19" s="1"/>
  <c r="T213" i="19"/>
  <c r="DV250" i="35"/>
  <c r="CX231" i="35"/>
  <c r="W231" i="19" s="1"/>
  <c r="CQ213" i="35"/>
  <c r="Q213" i="19" s="1"/>
  <c r="AC213" i="19" s="1"/>
  <c r="CS245" i="35"/>
  <c r="CV245" i="35" s="1"/>
  <c r="GS245" i="35" s="1"/>
  <c r="DA231" i="35"/>
  <c r="Z231" i="19" s="1"/>
  <c r="GL213" i="35"/>
  <c r="GZ213" i="35" s="1"/>
  <c r="HB213" i="35" s="1"/>
  <c r="EW284" i="35"/>
  <c r="I300" i="19"/>
  <c r="CX247" i="35"/>
  <c r="W247" i="19" s="1"/>
  <c r="CS247" i="35"/>
  <c r="GP247" i="35" s="1"/>
  <c r="DA247" i="35"/>
  <c r="Z247" i="19" s="1"/>
  <c r="GH245" i="35"/>
  <c r="GV245" i="35" s="1"/>
  <c r="HD245" i="35" s="1"/>
  <c r="HH245" i="35" s="1"/>
  <c r="DA245" i="35"/>
  <c r="Z245" i="19" s="1"/>
  <c r="CM247" i="35"/>
  <c r="CO247" i="35" s="1"/>
  <c r="GL247" i="35" s="1"/>
  <c r="GZ247" i="35" s="1"/>
  <c r="HB247" i="35" s="1"/>
  <c r="CY245" i="35"/>
  <c r="X245" i="19" s="1"/>
  <c r="CM245" i="35"/>
  <c r="M245" i="19" s="1"/>
  <c r="H270" i="19"/>
  <c r="GH247" i="35"/>
  <c r="GV247" i="35" s="1"/>
  <c r="HD247" i="35" s="1"/>
  <c r="HE247" i="35" s="1"/>
  <c r="EW280" i="35"/>
  <c r="CX245" i="35"/>
  <c r="W245" i="19" s="1"/>
  <c r="CY247" i="35"/>
  <c r="X247" i="19" s="1"/>
  <c r="DR280" i="35"/>
  <c r="DV280" i="35" s="1"/>
  <c r="DV239" i="35"/>
  <c r="FN247" i="35"/>
  <c r="FP247" i="35" s="1"/>
  <c r="FR247" i="35" s="1"/>
  <c r="CJ280" i="35"/>
  <c r="CZ245" i="35"/>
  <c r="Y245" i="19" s="1"/>
  <c r="CZ247" i="35"/>
  <c r="Y247" i="19" s="1"/>
  <c r="FN245" i="35"/>
  <c r="FV245" i="35" s="1"/>
  <c r="FW245" i="35" s="1"/>
  <c r="FZ245" i="35" s="1"/>
  <c r="GB245" i="35" s="1"/>
  <c r="FX261" i="35"/>
  <c r="CS240" i="35"/>
  <c r="R240" i="19" s="1"/>
  <c r="CX240" i="35"/>
  <c r="W240" i="19" s="1"/>
  <c r="DT281" i="35"/>
  <c r="BT327" i="35"/>
  <c r="BW327" i="35" s="1"/>
  <c r="BY327" i="35" s="1"/>
  <c r="BZ327" i="35" s="1"/>
  <c r="BT347" i="35"/>
  <c r="BW347" i="35" s="1"/>
  <c r="BY347" i="35" s="1"/>
  <c r="BZ347" i="35" s="1"/>
  <c r="CJ270" i="35"/>
  <c r="T261" i="19"/>
  <c r="GR261" i="35"/>
  <c r="V261" i="19"/>
  <c r="GT261" i="35"/>
  <c r="U261" i="19"/>
  <c r="GS261" i="35"/>
  <c r="DR270" i="35"/>
  <c r="DT270" i="35" s="1"/>
  <c r="CI270" i="35"/>
  <c r="I281" i="19"/>
  <c r="CQ261" i="35"/>
  <c r="GL261" i="35"/>
  <c r="GZ261" i="35" s="1"/>
  <c r="HB261" i="35" s="1"/>
  <c r="O261" i="19"/>
  <c r="S261" i="19"/>
  <c r="GQ261" i="35"/>
  <c r="CK250" i="35"/>
  <c r="CS250" i="35" s="1"/>
  <c r="CU250" i="35" s="1"/>
  <c r="CK281" i="35"/>
  <c r="CI280" i="35"/>
  <c r="CJ284" i="35"/>
  <c r="I284" i="19" s="1"/>
  <c r="DR284" i="35"/>
  <c r="DV284" i="35" s="1"/>
  <c r="GN220" i="35"/>
  <c r="HJ220" i="35" s="1"/>
  <c r="H284" i="19"/>
  <c r="GQ225" i="35"/>
  <c r="S225" i="19"/>
  <c r="T225" i="19"/>
  <c r="GR225" i="35"/>
  <c r="FX225" i="35"/>
  <c r="FW225" i="35"/>
  <c r="FZ225" i="35" s="1"/>
  <c r="GB225" i="35" s="1"/>
  <c r="DT289" i="35"/>
  <c r="GS225" i="35"/>
  <c r="U225" i="19"/>
  <c r="GL225" i="35"/>
  <c r="GZ225" i="35" s="1"/>
  <c r="HB225" i="35" s="1"/>
  <c r="CQ225" i="35"/>
  <c r="O225" i="19"/>
  <c r="GT225" i="35"/>
  <c r="V225" i="19"/>
  <c r="U220" i="19"/>
  <c r="O266" i="19"/>
  <c r="I303" i="19"/>
  <c r="I262" i="19"/>
  <c r="GN248" i="35"/>
  <c r="HJ248" i="35" s="1"/>
  <c r="Q248" i="19"/>
  <c r="AC248" i="19" s="1"/>
  <c r="CQ269" i="35"/>
  <c r="GL269" i="35"/>
  <c r="GZ269" i="35" s="1"/>
  <c r="HB269" i="35" s="1"/>
  <c r="O269" i="19"/>
  <c r="BT315" i="35"/>
  <c r="BT287" i="35"/>
  <c r="BT291" i="35"/>
  <c r="GT254" i="35"/>
  <c r="V254" i="19"/>
  <c r="FP267" i="35"/>
  <c r="FR267" i="35" s="1"/>
  <c r="FV267" i="35"/>
  <c r="CW264" i="35"/>
  <c r="R264" i="19"/>
  <c r="CU264" i="35"/>
  <c r="CV264" i="35"/>
  <c r="CT264" i="35"/>
  <c r="GP264" i="35"/>
  <c r="FV200" i="35"/>
  <c r="FP200" i="35"/>
  <c r="FR200" i="35" s="1"/>
  <c r="FT200" i="35" s="1"/>
  <c r="BT306" i="35"/>
  <c r="CF321" i="35"/>
  <c r="CG321" i="35" s="1"/>
  <c r="CA321" i="35"/>
  <c r="CA335" i="35"/>
  <c r="CF335" i="35"/>
  <c r="CG335" i="35" s="1"/>
  <c r="BT290" i="35"/>
  <c r="BW290" i="35" s="1"/>
  <c r="BY290" i="35" s="1"/>
  <c r="BZ290" i="35" s="1"/>
  <c r="BT309" i="35"/>
  <c r="U254" i="19"/>
  <c r="GS254" i="35"/>
  <c r="FP258" i="35"/>
  <c r="FR258" i="35" s="1"/>
  <c r="FT258" i="35" s="1"/>
  <c r="FV258" i="35"/>
  <c r="GJ267" i="35"/>
  <c r="GX267" i="35" s="1"/>
  <c r="CO267" i="35"/>
  <c r="M267" i="19"/>
  <c r="HF264" i="35"/>
  <c r="HH264" i="35"/>
  <c r="HG264" i="35"/>
  <c r="HE264" i="35"/>
  <c r="GJ273" i="35"/>
  <c r="GX273" i="35" s="1"/>
  <c r="CO273" i="35"/>
  <c r="M273" i="19"/>
  <c r="CU200" i="35"/>
  <c r="CW200" i="35"/>
  <c r="CV200" i="35"/>
  <c r="GP200" i="35"/>
  <c r="R200" i="19"/>
  <c r="CT200" i="35"/>
  <c r="BT304" i="35"/>
  <c r="DT288" i="35"/>
  <c r="GQ220" i="35"/>
  <c r="S220" i="19"/>
  <c r="T254" i="19"/>
  <c r="GR254" i="35"/>
  <c r="GN224" i="35"/>
  <c r="HJ224" i="35" s="1"/>
  <c r="Q224" i="19"/>
  <c r="AC224" i="19" s="1"/>
  <c r="M200" i="19"/>
  <c r="GJ200" i="35"/>
  <c r="GX200" i="35" s="1"/>
  <c r="CO200" i="35"/>
  <c r="GH240" i="35"/>
  <c r="GV240" i="35" s="1"/>
  <c r="HD240" i="35" s="1"/>
  <c r="HG240" i="35" s="1"/>
  <c r="BT296" i="35"/>
  <c r="CZ272" i="35"/>
  <c r="Y272" i="19" s="1"/>
  <c r="FN272" i="35"/>
  <c r="CX272" i="35"/>
  <c r="W272" i="19" s="1"/>
  <c r="CS272" i="35"/>
  <c r="K272" i="19"/>
  <c r="CY272" i="35"/>
  <c r="X272" i="19" s="1"/>
  <c r="DA272" i="35"/>
  <c r="Z272" i="19" s="1"/>
  <c r="CM272" i="35"/>
  <c r="GH272" i="35"/>
  <c r="GV272" i="35" s="1"/>
  <c r="HD272" i="35" s="1"/>
  <c r="CH270" i="35"/>
  <c r="J270" i="19" s="1"/>
  <c r="DC270" i="35"/>
  <c r="HG200" i="35"/>
  <c r="HF200" i="35"/>
  <c r="HH200" i="35"/>
  <c r="HE200" i="35"/>
  <c r="GS269" i="35"/>
  <c r="U269" i="19"/>
  <c r="BT307" i="35"/>
  <c r="BW307" i="35" s="1"/>
  <c r="BY307" i="35" s="1"/>
  <c r="BZ307" i="35" s="1"/>
  <c r="T220" i="19"/>
  <c r="FN240" i="35"/>
  <c r="FV240" i="35" s="1"/>
  <c r="FX240" i="35" s="1"/>
  <c r="CY240" i="35"/>
  <c r="X240" i="19" s="1"/>
  <c r="BT295" i="35"/>
  <c r="O254" i="19"/>
  <c r="CQ254" i="35"/>
  <c r="GL254" i="35"/>
  <c r="GZ254" i="35" s="1"/>
  <c r="HB254" i="35" s="1"/>
  <c r="I310" i="19"/>
  <c r="CW267" i="35"/>
  <c r="R267" i="19"/>
  <c r="CV267" i="35"/>
  <c r="GP267" i="35"/>
  <c r="CU267" i="35"/>
  <c r="CT267" i="35"/>
  <c r="V269" i="19"/>
  <c r="GT269" i="35"/>
  <c r="S254" i="19"/>
  <c r="GQ254" i="35"/>
  <c r="DA240" i="35"/>
  <c r="Z240" i="19" s="1"/>
  <c r="CM240" i="35"/>
  <c r="M240" i="19" s="1"/>
  <c r="BT308" i="35"/>
  <c r="DV262" i="35"/>
  <c r="DT262" i="35"/>
  <c r="R258" i="19"/>
  <c r="CU258" i="35"/>
  <c r="CT258" i="35"/>
  <c r="GP258" i="35"/>
  <c r="CV258" i="35"/>
  <c r="CW258" i="35"/>
  <c r="CF334" i="35"/>
  <c r="CG334" i="35" s="1"/>
  <c r="CA334" i="35"/>
  <c r="HG278" i="35"/>
  <c r="HH278" i="35"/>
  <c r="HE278" i="35"/>
  <c r="HF278" i="35"/>
  <c r="J303" i="19"/>
  <c r="CK303" i="35"/>
  <c r="DT303" i="35"/>
  <c r="DV303" i="35"/>
  <c r="FX269" i="35"/>
  <c r="FW269" i="35"/>
  <c r="FZ269" i="35" s="1"/>
  <c r="GB269" i="35" s="1"/>
  <c r="M264" i="19"/>
  <c r="CO264" i="35"/>
  <c r="GJ264" i="35"/>
  <c r="GX264" i="35" s="1"/>
  <c r="CO278" i="35"/>
  <c r="M278" i="19"/>
  <c r="GJ278" i="35"/>
  <c r="GX278" i="35" s="1"/>
  <c r="BT360" i="35"/>
  <c r="HF258" i="35"/>
  <c r="HE258" i="35"/>
  <c r="HH258" i="35"/>
  <c r="HG258" i="35"/>
  <c r="S277" i="19"/>
  <c r="GQ277" i="35"/>
  <c r="HE267" i="35"/>
  <c r="HF267" i="35"/>
  <c r="HH267" i="35"/>
  <c r="HG267" i="35"/>
  <c r="CH280" i="35"/>
  <c r="J280" i="19" s="1"/>
  <c r="DC280" i="35"/>
  <c r="FP273" i="35"/>
  <c r="FR273" i="35" s="1"/>
  <c r="FV273" i="35"/>
  <c r="GQ269" i="35"/>
  <c r="S269" i="19"/>
  <c r="FX254" i="35"/>
  <c r="FW254" i="35"/>
  <c r="FZ254" i="35" s="1"/>
  <c r="GB254" i="35" s="1"/>
  <c r="FV278" i="35"/>
  <c r="FP278" i="35"/>
  <c r="FR278" i="35" s="1"/>
  <c r="GJ258" i="35"/>
  <c r="GX258" i="35" s="1"/>
  <c r="M258" i="19"/>
  <c r="CO258" i="35"/>
  <c r="FP264" i="35"/>
  <c r="FR264" i="35" s="1"/>
  <c r="FT264" i="35" s="1"/>
  <c r="FV264" i="35"/>
  <c r="GP273" i="35"/>
  <c r="CU273" i="35"/>
  <c r="R273" i="19"/>
  <c r="CW273" i="35"/>
  <c r="CV273" i="35"/>
  <c r="CT273" i="35"/>
  <c r="Q229" i="19"/>
  <c r="AC229" i="19" s="1"/>
  <c r="GN229" i="35"/>
  <c r="HJ229" i="35" s="1"/>
  <c r="T269" i="19"/>
  <c r="GR269" i="35"/>
  <c r="T277" i="19"/>
  <c r="GR277" i="35"/>
  <c r="HH273" i="35"/>
  <c r="HE273" i="35"/>
  <c r="HG273" i="35"/>
  <c r="HF273" i="35"/>
  <c r="GS277" i="35"/>
  <c r="U277" i="19"/>
  <c r="BT358" i="35"/>
  <c r="K240" i="19"/>
  <c r="BT373" i="35"/>
  <c r="GN237" i="35"/>
  <c r="HJ237" i="35" s="1"/>
  <c r="Q237" i="19"/>
  <c r="AC237" i="19" s="1"/>
  <c r="V277" i="19"/>
  <c r="GT277" i="35"/>
  <c r="CW278" i="35"/>
  <c r="CU278" i="35"/>
  <c r="GP278" i="35"/>
  <c r="CV278" i="35"/>
  <c r="CT278" i="35"/>
  <c r="R278" i="19"/>
  <c r="Q193" i="19"/>
  <c r="AC193" i="19" s="1"/>
  <c r="GN193" i="35"/>
  <c r="HJ193" i="35" s="1"/>
  <c r="CK262" i="35"/>
  <c r="CH298" i="35"/>
  <c r="J298" i="19" s="1"/>
  <c r="J293" i="19"/>
  <c r="CK293" i="35"/>
  <c r="Q234" i="19"/>
  <c r="AC234" i="19" s="1"/>
  <c r="GN234" i="35"/>
  <c r="HJ234" i="35" s="1"/>
  <c r="Q253" i="19"/>
  <c r="AC253" i="19" s="1"/>
  <c r="GN253" i="35"/>
  <c r="HJ253" i="35" s="1"/>
  <c r="BR317" i="35"/>
  <c r="BT317" i="35" s="1"/>
  <c r="BW317" i="35" s="1"/>
  <c r="BY317" i="35" s="1"/>
  <c r="BZ317" i="35" s="1"/>
  <c r="BR353" i="35"/>
  <c r="BR297" i="35"/>
  <c r="BR376" i="35"/>
  <c r="BR377" i="35"/>
  <c r="BR349" i="35"/>
  <c r="BR301" i="35"/>
  <c r="BR294" i="35"/>
  <c r="BT294" i="35" s="1"/>
  <c r="BW294" i="35" s="1"/>
  <c r="BY294" i="35" s="1"/>
  <c r="BZ294" i="35" s="1"/>
  <c r="BR366" i="35"/>
  <c r="BR361" i="35"/>
  <c r="BT361" i="35" s="1"/>
  <c r="BW361" i="35" s="1"/>
  <c r="BY361" i="35" s="1"/>
  <c r="BZ361" i="35" s="1"/>
  <c r="BR354" i="35"/>
  <c r="BT354" i="35" s="1"/>
  <c r="BW354" i="35" s="1"/>
  <c r="BY354" i="35" s="1"/>
  <c r="BZ354" i="35" s="1"/>
  <c r="BR367" i="35"/>
  <c r="BR336" i="35"/>
  <c r="BR365" i="35"/>
  <c r="BL369" i="35"/>
  <c r="BN369" i="35" s="1"/>
  <c r="BP369" i="35" s="1"/>
  <c r="BL356" i="35"/>
  <c r="BN356" i="35" s="1"/>
  <c r="BP356" i="35" s="1"/>
  <c r="BL375" i="35"/>
  <c r="BN375" i="35" s="1"/>
  <c r="BP375" i="35" s="1"/>
  <c r="BJ344" i="35"/>
  <c r="BL344" i="35" s="1"/>
  <c r="BN344" i="35" s="1"/>
  <c r="BP344" i="35" s="1"/>
  <c r="BJ318" i="35"/>
  <c r="BL318" i="35" s="1"/>
  <c r="BN318" i="35" s="1"/>
  <c r="BP318" i="35" s="1"/>
  <c r="BJ329" i="35"/>
  <c r="BJ342" i="35"/>
  <c r="BJ340" i="35"/>
  <c r="BL340" i="35" s="1"/>
  <c r="BN340" i="35" s="1"/>
  <c r="BP340" i="35" s="1"/>
  <c r="BJ341" i="35"/>
  <c r="BL341" i="35" s="1"/>
  <c r="BN341" i="35" s="1"/>
  <c r="BP341" i="35" s="1"/>
  <c r="BJ323" i="35"/>
  <c r="BL323" i="35" s="1"/>
  <c r="BN323" i="35" s="1"/>
  <c r="BP323" i="35" s="1"/>
  <c r="BJ338" i="35"/>
  <c r="BL338" i="35" s="1"/>
  <c r="BN338" i="35" s="1"/>
  <c r="BP338" i="35" s="1"/>
  <c r="BJ346" i="35"/>
  <c r="BJ333" i="35"/>
  <c r="BL333" i="35" s="1"/>
  <c r="BN333" i="35" s="1"/>
  <c r="BP333" i="35" s="1"/>
  <c r="BJ325" i="35"/>
  <c r="BL325" i="35" s="1"/>
  <c r="BN325" i="35" s="1"/>
  <c r="BP325" i="35" s="1"/>
  <c r="BJ337" i="35"/>
  <c r="BL337" i="35" s="1"/>
  <c r="BN337" i="35" s="1"/>
  <c r="BP337" i="35" s="1"/>
  <c r="GN198" i="35"/>
  <c r="HJ198" i="35" s="1"/>
  <c r="Q198" i="19"/>
  <c r="AC198" i="19" s="1"/>
  <c r="BJ328" i="35"/>
  <c r="BL328" i="35" s="1"/>
  <c r="BN328" i="35" s="1"/>
  <c r="BP328" i="35" s="1"/>
  <c r="BJ345" i="35"/>
  <c r="BH319" i="35"/>
  <c r="BH320" i="35"/>
  <c r="BF351" i="35"/>
  <c r="BF362" i="35"/>
  <c r="BF350" i="35"/>
  <c r="BF348" i="35"/>
  <c r="BF364" i="35"/>
  <c r="BF359" i="35"/>
  <c r="BF374" i="35"/>
  <c r="BF352" i="35"/>
  <c r="BF368" i="35"/>
  <c r="BF355" i="35"/>
  <c r="BF371" i="35"/>
  <c r="BD372" i="35"/>
  <c r="BD357" i="35"/>
  <c r="BF357" i="35" s="1"/>
  <c r="BH357" i="35" s="1"/>
  <c r="BJ357" i="35" s="1"/>
  <c r="BD363" i="35"/>
  <c r="BD370" i="35"/>
  <c r="AT379" i="35"/>
  <c r="DB378" i="35"/>
  <c r="AU378" i="35"/>
  <c r="AU379" i="35" s="1"/>
  <c r="AS378" i="35"/>
  <c r="AS379" i="35" s="1"/>
  <c r="FT129" i="35"/>
  <c r="B64" i="37"/>
  <c r="AY21" i="37"/>
  <c r="I28" i="25"/>
  <c r="E35" i="10"/>
  <c r="CU271" i="35" l="1"/>
  <c r="CT271" i="35"/>
  <c r="S271" i="19" s="1"/>
  <c r="CQ216" i="35"/>
  <c r="DT310" i="35"/>
  <c r="R271" i="19"/>
  <c r="CV271" i="35"/>
  <c r="U271" i="19" s="1"/>
  <c r="HJ218" i="35"/>
  <c r="I305" i="19"/>
  <c r="I288" i="19"/>
  <c r="I242" i="19"/>
  <c r="DC239" i="35"/>
  <c r="CZ263" i="35"/>
  <c r="Y263" i="19" s="1"/>
  <c r="CQ221" i="35"/>
  <c r="O221" i="19"/>
  <c r="DV242" i="35"/>
  <c r="Q208" i="19"/>
  <c r="AC208" i="19" s="1"/>
  <c r="GN208" i="35"/>
  <c r="HJ208" i="35" s="1"/>
  <c r="GQ209" i="35"/>
  <c r="CK232" i="35"/>
  <c r="FN232" i="35" s="1"/>
  <c r="FV232" i="35" s="1"/>
  <c r="FW232" i="35" s="1"/>
  <c r="FZ232" i="35" s="1"/>
  <c r="GB232" i="35" s="1"/>
  <c r="CH288" i="35"/>
  <c r="J288" i="19" s="1"/>
  <c r="CH242" i="35"/>
  <c r="J242" i="19" s="1"/>
  <c r="CK243" i="35"/>
  <c r="J249" i="19"/>
  <c r="CK249" i="35"/>
  <c r="CA279" i="35"/>
  <c r="CH279" i="35" s="1"/>
  <c r="J279" i="19" s="1"/>
  <c r="DC310" i="35"/>
  <c r="CX268" i="35"/>
  <c r="W268" i="19" s="1"/>
  <c r="CM268" i="35"/>
  <c r="CK246" i="35"/>
  <c r="HH221" i="35"/>
  <c r="HG221" i="35"/>
  <c r="HF221" i="35"/>
  <c r="HE221" i="35"/>
  <c r="DA204" i="35"/>
  <c r="Z204" i="19" s="1"/>
  <c r="CY204" i="35"/>
  <c r="X204" i="19" s="1"/>
  <c r="CX204" i="35"/>
  <c r="W204" i="19" s="1"/>
  <c r="CS204" i="35"/>
  <c r="FN204" i="35"/>
  <c r="CZ204" i="35"/>
  <c r="Y204" i="19" s="1"/>
  <c r="GH204" i="35"/>
  <c r="GV204" i="35" s="1"/>
  <c r="HD204" i="35" s="1"/>
  <c r="CM204" i="35"/>
  <c r="K204" i="19"/>
  <c r="CK310" i="35"/>
  <c r="CM310" i="35" s="1"/>
  <c r="T236" i="19"/>
  <c r="I232" i="19"/>
  <c r="HH255" i="35"/>
  <c r="CJ276" i="35"/>
  <c r="DR276" i="35"/>
  <c r="DV276" i="35" s="1"/>
  <c r="M222" i="19"/>
  <c r="GJ222" i="35"/>
  <c r="GX222" i="35" s="1"/>
  <c r="CO222" i="35"/>
  <c r="CA276" i="35"/>
  <c r="CH276" i="35" s="1"/>
  <c r="J276" i="19" s="1"/>
  <c r="CK230" i="35"/>
  <c r="CX230" i="35" s="1"/>
  <c r="W230" i="19" s="1"/>
  <c r="FP222" i="35"/>
  <c r="FR222" i="35" s="1"/>
  <c r="FT222" i="35" s="1"/>
  <c r="FV222" i="35"/>
  <c r="CS263" i="35"/>
  <c r="CT263" i="35" s="1"/>
  <c r="S263" i="19" s="1"/>
  <c r="FX177" i="35"/>
  <c r="FW177" i="35"/>
  <c r="FZ177" i="35" s="1"/>
  <c r="GB177" i="35" s="1"/>
  <c r="CZ268" i="35"/>
  <c r="Y268" i="19" s="1"/>
  <c r="K268" i="19"/>
  <c r="HF203" i="35"/>
  <c r="HE203" i="35"/>
  <c r="HG203" i="35"/>
  <c r="HH203" i="35"/>
  <c r="O177" i="19"/>
  <c r="CQ177" i="35"/>
  <c r="GL177" i="35"/>
  <c r="GZ177" i="35" s="1"/>
  <c r="HB177" i="35" s="1"/>
  <c r="CI257" i="35"/>
  <c r="FN268" i="35"/>
  <c r="S177" i="19"/>
  <c r="GQ177" i="35"/>
  <c r="CT203" i="35"/>
  <c r="GP203" i="35"/>
  <c r="CV203" i="35"/>
  <c r="R203" i="19"/>
  <c r="CU203" i="35"/>
  <c r="CW203" i="35"/>
  <c r="O277" i="19"/>
  <c r="DA268" i="35"/>
  <c r="Z268" i="19" s="1"/>
  <c r="R222" i="19"/>
  <c r="CT222" i="35"/>
  <c r="CV222" i="35"/>
  <c r="GP222" i="35"/>
  <c r="CW222" i="35"/>
  <c r="CU222" i="35"/>
  <c r="FP203" i="35"/>
  <c r="FR203" i="35" s="1"/>
  <c r="FV203" i="35"/>
  <c r="GH268" i="35"/>
  <c r="GV268" i="35" s="1"/>
  <c r="HD268" i="35" s="1"/>
  <c r="HE222" i="35"/>
  <c r="HH222" i="35"/>
  <c r="HF222" i="35"/>
  <c r="HG222" i="35"/>
  <c r="GT177" i="35"/>
  <c r="V177" i="19"/>
  <c r="M203" i="19"/>
  <c r="CO203" i="35"/>
  <c r="GJ203" i="35"/>
  <c r="GX203" i="35" s="1"/>
  <c r="CS268" i="35"/>
  <c r="CV268" i="35" s="1"/>
  <c r="T177" i="19"/>
  <c r="GR177" i="35"/>
  <c r="FP255" i="35"/>
  <c r="FR255" i="35" s="1"/>
  <c r="FV255" i="35"/>
  <c r="CX263" i="35"/>
  <c r="W263" i="19" s="1"/>
  <c r="CA284" i="35"/>
  <c r="I289" i="19"/>
  <c r="GS177" i="35"/>
  <c r="U177" i="19"/>
  <c r="CO255" i="35"/>
  <c r="GJ255" i="35"/>
  <c r="GX255" i="35" s="1"/>
  <c r="M255" i="19"/>
  <c r="DR316" i="35"/>
  <c r="DT316" i="35" s="1"/>
  <c r="CI316" i="35"/>
  <c r="DR259" i="35"/>
  <c r="CJ259" i="35"/>
  <c r="CI259" i="35"/>
  <c r="H259" i="19"/>
  <c r="CH343" i="35"/>
  <c r="J343" i="19" s="1"/>
  <c r="DC343" i="35"/>
  <c r="FX277" i="35"/>
  <c r="H279" i="19"/>
  <c r="EW279" i="35"/>
  <c r="CA286" i="35"/>
  <c r="DV223" i="35"/>
  <c r="DT223" i="35"/>
  <c r="CO199" i="35"/>
  <c r="GJ199" i="35"/>
  <c r="GX199" i="35" s="1"/>
  <c r="M199" i="19"/>
  <c r="DT232" i="35"/>
  <c r="DV232" i="35"/>
  <c r="DV241" i="35"/>
  <c r="DT241" i="35"/>
  <c r="U184" i="19"/>
  <c r="GS184" i="35"/>
  <c r="DR279" i="35"/>
  <c r="DT279" i="35" s="1"/>
  <c r="DV230" i="35"/>
  <c r="DT230" i="35"/>
  <c r="I223" i="19"/>
  <c r="V184" i="19"/>
  <c r="GT184" i="35"/>
  <c r="M228" i="19"/>
  <c r="CO228" i="35"/>
  <c r="GJ228" i="35"/>
  <c r="GX228" i="35" s="1"/>
  <c r="CF275" i="35"/>
  <c r="CG275" i="35" s="1"/>
  <c r="BY283" i="35"/>
  <c r="BZ283" i="35" s="1"/>
  <c r="CF283" i="35" s="1"/>
  <c r="CG283" i="35" s="1"/>
  <c r="U215" i="19"/>
  <c r="GS215" i="35"/>
  <c r="CA259" i="35"/>
  <c r="FW184" i="35"/>
  <c r="FZ184" i="35" s="1"/>
  <c r="GB184" i="35" s="1"/>
  <c r="FX184" i="35"/>
  <c r="K260" i="19"/>
  <c r="FN260" i="35"/>
  <c r="CM260" i="35"/>
  <c r="CS260" i="35"/>
  <c r="CZ260" i="35"/>
  <c r="Y260" i="19" s="1"/>
  <c r="GH260" i="35"/>
  <c r="GV260" i="35" s="1"/>
  <c r="HD260" i="35" s="1"/>
  <c r="CX260" i="35"/>
  <c r="W260" i="19" s="1"/>
  <c r="DA260" i="35"/>
  <c r="Z260" i="19" s="1"/>
  <c r="CY260" i="35"/>
  <c r="X260" i="19" s="1"/>
  <c r="DC289" i="35"/>
  <c r="CH289" i="35"/>
  <c r="CO214" i="35"/>
  <c r="M214" i="19"/>
  <c r="GJ214" i="35"/>
  <c r="GX214" i="35" s="1"/>
  <c r="HH199" i="35"/>
  <c r="HE199" i="35"/>
  <c r="HF199" i="35"/>
  <c r="HG199" i="35"/>
  <c r="GS226" i="35"/>
  <c r="U226" i="19"/>
  <c r="DC313" i="35"/>
  <c r="CH313" i="35"/>
  <c r="J313" i="19" s="1"/>
  <c r="CA316" i="35"/>
  <c r="I241" i="19"/>
  <c r="CK241" i="35"/>
  <c r="S226" i="19"/>
  <c r="GQ226" i="35"/>
  <c r="O226" i="19"/>
  <c r="CQ226" i="35"/>
  <c r="GL226" i="35"/>
  <c r="GZ226" i="35" s="1"/>
  <c r="HB226" i="35" s="1"/>
  <c r="S184" i="19"/>
  <c r="GQ184" i="35"/>
  <c r="V255" i="19"/>
  <c r="GT255" i="35"/>
  <c r="S236" i="19"/>
  <c r="FV228" i="35"/>
  <c r="FP228" i="35"/>
  <c r="FR228" i="35" s="1"/>
  <c r="FT228" i="35" s="1"/>
  <c r="FX215" i="35"/>
  <c r="FW215" i="35"/>
  <c r="FZ215" i="35" s="1"/>
  <c r="GB215" i="35" s="1"/>
  <c r="FV199" i="35"/>
  <c r="FP199" i="35"/>
  <c r="FR199" i="35" s="1"/>
  <c r="GR255" i="35"/>
  <c r="T255" i="19"/>
  <c r="CJ257" i="35"/>
  <c r="H257" i="19"/>
  <c r="T215" i="19"/>
  <c r="GR215" i="35"/>
  <c r="GR184" i="35"/>
  <c r="T184" i="19"/>
  <c r="BY332" i="35"/>
  <c r="BZ332" i="35" s="1"/>
  <c r="CA332" i="35" s="1"/>
  <c r="CH332" i="35" s="1"/>
  <c r="J332" i="19" s="1"/>
  <c r="M201" i="19"/>
  <c r="GJ201" i="35"/>
  <c r="GX201" i="35" s="1"/>
  <c r="CO201" i="35"/>
  <c r="CF265" i="35"/>
  <c r="CG265" i="35" s="1"/>
  <c r="BY339" i="35"/>
  <c r="BZ339" i="35" s="1"/>
  <c r="CF339" i="35" s="1"/>
  <c r="CG339" i="35" s="1"/>
  <c r="GR226" i="35"/>
  <c r="T226" i="19"/>
  <c r="EW311" i="35"/>
  <c r="DR311" i="35"/>
  <c r="CJ311" i="35"/>
  <c r="CI311" i="35"/>
  <c r="H311" i="19"/>
  <c r="CJ279" i="35"/>
  <c r="BY324" i="35"/>
  <c r="BZ324" i="35" s="1"/>
  <c r="CF324" i="35" s="1"/>
  <c r="CG324" i="35" s="1"/>
  <c r="HJ233" i="35"/>
  <c r="CV199" i="35"/>
  <c r="R199" i="19"/>
  <c r="CU199" i="35"/>
  <c r="CW199" i="35"/>
  <c r="CT199" i="35"/>
  <c r="GP199" i="35"/>
  <c r="HF214" i="35"/>
  <c r="HG214" i="35"/>
  <c r="HE214" i="35"/>
  <c r="HH214" i="35"/>
  <c r="FX226" i="35"/>
  <c r="FW226" i="35"/>
  <c r="FZ226" i="35" s="1"/>
  <c r="GB226" i="35" s="1"/>
  <c r="GQ255" i="35"/>
  <c r="S255" i="19"/>
  <c r="CY227" i="35"/>
  <c r="X227" i="19" s="1"/>
  <c r="CS227" i="35"/>
  <c r="CZ227" i="35"/>
  <c r="Y227" i="19" s="1"/>
  <c r="CM227" i="35"/>
  <c r="GH227" i="35"/>
  <c r="GV227" i="35" s="1"/>
  <c r="HD227" i="35" s="1"/>
  <c r="K227" i="19"/>
  <c r="CX227" i="35"/>
  <c r="W227" i="19" s="1"/>
  <c r="DA227" i="35"/>
  <c r="Z227" i="19" s="1"/>
  <c r="FN227" i="35"/>
  <c r="GT226" i="35"/>
  <c r="V226" i="19"/>
  <c r="CT228" i="35"/>
  <c r="CU228" i="35"/>
  <c r="CV228" i="35"/>
  <c r="GP228" i="35"/>
  <c r="R228" i="19"/>
  <c r="CW228" i="35"/>
  <c r="BY285" i="35"/>
  <c r="BZ285" i="35" s="1"/>
  <c r="CF285" i="35" s="1"/>
  <c r="CG285" i="35" s="1"/>
  <c r="HF228" i="35"/>
  <c r="HH228" i="35"/>
  <c r="HE228" i="35"/>
  <c r="HG228" i="35"/>
  <c r="HF201" i="35"/>
  <c r="HG201" i="35"/>
  <c r="HE201" i="35"/>
  <c r="HH201" i="35"/>
  <c r="CQ184" i="35"/>
  <c r="GL184" i="35"/>
  <c r="GZ184" i="35" s="1"/>
  <c r="HB184" i="35" s="1"/>
  <c r="O184" i="19"/>
  <c r="CU214" i="35"/>
  <c r="GP214" i="35"/>
  <c r="CV214" i="35"/>
  <c r="R214" i="19"/>
  <c r="CW214" i="35"/>
  <c r="CT214" i="35"/>
  <c r="GH256" i="35"/>
  <c r="GV256" i="35" s="1"/>
  <c r="HD256" i="35" s="1"/>
  <c r="CX256" i="35"/>
  <c r="W256" i="19" s="1"/>
  <c r="CS256" i="35"/>
  <c r="FN256" i="35"/>
  <c r="CY256" i="35"/>
  <c r="X256" i="19" s="1"/>
  <c r="DA256" i="35"/>
  <c r="Z256" i="19" s="1"/>
  <c r="K256" i="19"/>
  <c r="CM256" i="35"/>
  <c r="CZ256" i="35"/>
  <c r="Y256" i="19" s="1"/>
  <c r="U255" i="19"/>
  <c r="GS255" i="35"/>
  <c r="FV201" i="35"/>
  <c r="FP201" i="35"/>
  <c r="FR201" i="35" s="1"/>
  <c r="S215" i="19"/>
  <c r="GQ215" i="35"/>
  <c r="BY322" i="35"/>
  <c r="BZ322" i="35" s="1"/>
  <c r="CF322" i="35" s="1"/>
  <c r="CG322" i="35" s="1"/>
  <c r="H322" i="19" s="1"/>
  <c r="O215" i="19"/>
  <c r="GL215" i="35"/>
  <c r="GZ215" i="35" s="1"/>
  <c r="HB215" i="35" s="1"/>
  <c r="CQ215" i="35"/>
  <c r="V266" i="19"/>
  <c r="CZ235" i="35"/>
  <c r="Y235" i="19" s="1"/>
  <c r="BY330" i="35"/>
  <c r="BZ330" i="35" s="1"/>
  <c r="CF330" i="35" s="1"/>
  <c r="CG330" i="35" s="1"/>
  <c r="CI330" i="35" s="1"/>
  <c r="BY299" i="35"/>
  <c r="BZ299" i="35" s="1"/>
  <c r="CF299" i="35" s="1"/>
  <c r="CG299" i="35" s="1"/>
  <c r="CJ299" i="35" s="1"/>
  <c r="CV201" i="35"/>
  <c r="CU201" i="35"/>
  <c r="CT201" i="35"/>
  <c r="R201" i="19"/>
  <c r="CW201" i="35"/>
  <c r="GP201" i="35"/>
  <c r="V215" i="19"/>
  <c r="GT215" i="35"/>
  <c r="FP214" i="35"/>
  <c r="FR214" i="35" s="1"/>
  <c r="FT214" i="35" s="1"/>
  <c r="FV214" i="35"/>
  <c r="I230" i="19"/>
  <c r="Q189" i="19"/>
  <c r="AC189" i="19" s="1"/>
  <c r="GN189" i="35"/>
  <c r="HJ189" i="35" s="1"/>
  <c r="DC305" i="35"/>
  <c r="CH305" i="35"/>
  <c r="CK223" i="35"/>
  <c r="T266" i="19"/>
  <c r="GS236" i="35"/>
  <c r="H276" i="19"/>
  <c r="FX266" i="35"/>
  <c r="HJ252" i="35"/>
  <c r="CI276" i="35"/>
  <c r="I276" i="19" s="1"/>
  <c r="GT209" i="35"/>
  <c r="CH275" i="35"/>
  <c r="J275" i="19" s="1"/>
  <c r="R231" i="19"/>
  <c r="GQ271" i="35"/>
  <c r="DA235" i="35"/>
  <c r="Z235" i="19" s="1"/>
  <c r="V271" i="19"/>
  <c r="CK238" i="35"/>
  <c r="DA238" i="35" s="1"/>
  <c r="Z238" i="19" s="1"/>
  <c r="GL277" i="35"/>
  <c r="GZ277" i="35" s="1"/>
  <c r="HB277" i="35" s="1"/>
  <c r="CY244" i="35"/>
  <c r="X244" i="19" s="1"/>
  <c r="O271" i="19"/>
  <c r="CM235" i="35"/>
  <c r="CO235" i="35" s="1"/>
  <c r="GL235" i="35" s="1"/>
  <c r="GZ235" i="35" s="1"/>
  <c r="HB235" i="35" s="1"/>
  <c r="T209" i="19"/>
  <c r="GR209" i="35"/>
  <c r="FN235" i="35"/>
  <c r="FP235" i="35" s="1"/>
  <c r="FR235" i="35" s="1"/>
  <c r="GN271" i="35"/>
  <c r="CY263" i="35"/>
  <c r="X263" i="19" s="1"/>
  <c r="CM263" i="35"/>
  <c r="GJ263" i="35" s="1"/>
  <c r="GX263" i="35" s="1"/>
  <c r="GS266" i="35"/>
  <c r="CW247" i="35"/>
  <c r="GT247" i="35" s="1"/>
  <c r="CI286" i="35"/>
  <c r="FW221" i="35"/>
  <c r="FZ221" i="35" s="1"/>
  <c r="GB221" i="35" s="1"/>
  <c r="FX221" i="35"/>
  <c r="DV343" i="35"/>
  <c r="GR221" i="35"/>
  <c r="T221" i="19"/>
  <c r="GL271" i="35"/>
  <c r="GZ271" i="35" s="1"/>
  <c r="HB271" i="35" s="1"/>
  <c r="FW274" i="35"/>
  <c r="FZ274" i="35" s="1"/>
  <c r="GB274" i="35" s="1"/>
  <c r="CZ230" i="35"/>
  <c r="Y230" i="19" s="1"/>
  <c r="U221" i="19"/>
  <c r="GS221" i="35"/>
  <c r="Q252" i="19"/>
  <c r="AC252" i="19" s="1"/>
  <c r="CU231" i="35"/>
  <c r="T231" i="19" s="1"/>
  <c r="CQ266" i="35"/>
  <c r="GN266" i="35" s="1"/>
  <c r="HJ266" i="35" s="1"/>
  <c r="CK312" i="35"/>
  <c r="K312" i="19" s="1"/>
  <c r="I238" i="19"/>
  <c r="CK242" i="35"/>
  <c r="S221" i="19"/>
  <c r="GQ221" i="35"/>
  <c r="GT221" i="35"/>
  <c r="V221" i="19"/>
  <c r="CI343" i="35"/>
  <c r="CJ343" i="35"/>
  <c r="M274" i="19"/>
  <c r="CO274" i="35"/>
  <c r="GL274" i="35" s="1"/>
  <c r="GZ274" i="35" s="1"/>
  <c r="HB274" i="35" s="1"/>
  <c r="DA263" i="35"/>
  <c r="Z263" i="19" s="1"/>
  <c r="GQ266" i="35"/>
  <c r="DV257" i="35"/>
  <c r="DC265" i="35"/>
  <c r="CH265" i="35"/>
  <c r="J265" i="19" s="1"/>
  <c r="EW343" i="35"/>
  <c r="H343" i="19"/>
  <c r="CU274" i="35"/>
  <c r="GP274" i="35"/>
  <c r="R274" i="19"/>
  <c r="CT274" i="35"/>
  <c r="CV274" i="35"/>
  <c r="CW274" i="35"/>
  <c r="EW316" i="35"/>
  <c r="CJ286" i="35"/>
  <c r="DT312" i="35"/>
  <c r="FN263" i="35"/>
  <c r="FP263" i="35" s="1"/>
  <c r="FR263" i="35" s="1"/>
  <c r="GH263" i="35"/>
  <c r="GV263" i="35" s="1"/>
  <c r="HD263" i="35" s="1"/>
  <c r="HG263" i="35" s="1"/>
  <c r="CJ316" i="35"/>
  <c r="H316" i="19"/>
  <c r="DR286" i="35"/>
  <c r="DV286" i="35" s="1"/>
  <c r="EW286" i="35"/>
  <c r="CK314" i="35"/>
  <c r="DA314" i="35" s="1"/>
  <c r="Z314" i="19" s="1"/>
  <c r="CZ232" i="35"/>
  <c r="Y232" i="19" s="1"/>
  <c r="FX232" i="35"/>
  <c r="FN244" i="35"/>
  <c r="FV244" i="35" s="1"/>
  <c r="FX244" i="35" s="1"/>
  <c r="DV305" i="35"/>
  <c r="CK239" i="35"/>
  <c r="CS239" i="35" s="1"/>
  <c r="GP239" i="35" s="1"/>
  <c r="R263" i="19"/>
  <c r="GN221" i="35"/>
  <c r="HJ221" i="35" s="1"/>
  <c r="Q221" i="19"/>
  <c r="AC221" i="19" s="1"/>
  <c r="CV263" i="35"/>
  <c r="GS263" i="35" s="1"/>
  <c r="GH244" i="35"/>
  <c r="GV244" i="35" s="1"/>
  <c r="HD244" i="35" s="1"/>
  <c r="HF244" i="35" s="1"/>
  <c r="CQ236" i="35"/>
  <c r="GN236" i="35" s="1"/>
  <c r="HJ236" i="35" s="1"/>
  <c r="DA244" i="35"/>
  <c r="Z244" i="19" s="1"/>
  <c r="FW218" i="35"/>
  <c r="FZ218" i="35" s="1"/>
  <c r="GB218" i="35" s="1"/>
  <c r="FX218" i="35"/>
  <c r="O236" i="19"/>
  <c r="CM244" i="35"/>
  <c r="CO244" i="35" s="1"/>
  <c r="CQ244" i="35" s="1"/>
  <c r="GN244" i="35" s="1"/>
  <c r="CX244" i="35"/>
  <c r="W244" i="19" s="1"/>
  <c r="HJ209" i="35"/>
  <c r="V252" i="19"/>
  <c r="K244" i="19"/>
  <c r="CS244" i="35"/>
  <c r="I313" i="19"/>
  <c r="GS252" i="35"/>
  <c r="T252" i="19"/>
  <c r="GR252" i="35"/>
  <c r="CY235" i="35"/>
  <c r="X235" i="19" s="1"/>
  <c r="GH235" i="35"/>
  <c r="GV235" i="35" s="1"/>
  <c r="HD235" i="35" s="1"/>
  <c r="CX235" i="35"/>
  <c r="W235" i="19" s="1"/>
  <c r="CS235" i="35"/>
  <c r="BW295" i="35"/>
  <c r="R282" i="19"/>
  <c r="CV282" i="35"/>
  <c r="CT282" i="35"/>
  <c r="GP282" i="35"/>
  <c r="CW282" i="35"/>
  <c r="CU282" i="35"/>
  <c r="BW358" i="35"/>
  <c r="DV313" i="35"/>
  <c r="DT313" i="35"/>
  <c r="BW308" i="35"/>
  <c r="BW287" i="35"/>
  <c r="BW296" i="35"/>
  <c r="GJ282" i="35"/>
  <c r="GX282" i="35" s="1"/>
  <c r="M282" i="19"/>
  <c r="CO282" i="35"/>
  <c r="GQ231" i="35"/>
  <c r="BW315" i="35"/>
  <c r="DT276" i="35"/>
  <c r="GP231" i="35"/>
  <c r="FV282" i="35"/>
  <c r="FP282" i="35"/>
  <c r="FR282" i="35" s="1"/>
  <c r="BW309" i="35"/>
  <c r="CH259" i="35"/>
  <c r="J259" i="19" s="1"/>
  <c r="DC259" i="35"/>
  <c r="CW263" i="35"/>
  <c r="CU263" i="35"/>
  <c r="GP263" i="35"/>
  <c r="CV231" i="35"/>
  <c r="GS231" i="35" s="1"/>
  <c r="BW291" i="35"/>
  <c r="CW231" i="35"/>
  <c r="GT231" i="35" s="1"/>
  <c r="BW306" i="35"/>
  <c r="BW304" i="35"/>
  <c r="BW360" i="35"/>
  <c r="BW373" i="35"/>
  <c r="HH282" i="35"/>
  <c r="HF282" i="35"/>
  <c r="HE282" i="35"/>
  <c r="HG282" i="35"/>
  <c r="GJ245" i="35"/>
  <c r="GX245" i="35" s="1"/>
  <c r="I298" i="19"/>
  <c r="DT280" i="35"/>
  <c r="FV231" i="35"/>
  <c r="FW231" i="35" s="1"/>
  <c r="FZ231" i="35" s="1"/>
  <c r="GB231" i="35" s="1"/>
  <c r="CM302" i="35"/>
  <c r="CO302" i="35" s="1"/>
  <c r="GL302" i="35" s="1"/>
  <c r="GZ302" i="35" s="1"/>
  <c r="HB302" i="35" s="1"/>
  <c r="CZ302" i="35"/>
  <c r="Y302" i="19" s="1"/>
  <c r="HH231" i="35"/>
  <c r="HG231" i="35"/>
  <c r="CS302" i="35"/>
  <c r="R302" i="19" s="1"/>
  <c r="HF231" i="35"/>
  <c r="CY302" i="35"/>
  <c r="X302" i="19" s="1"/>
  <c r="DA302" i="35"/>
  <c r="Z302" i="19" s="1"/>
  <c r="K302" i="19"/>
  <c r="CA326" i="35"/>
  <c r="DC326" i="35" s="1"/>
  <c r="FN302" i="35"/>
  <c r="FV302" i="35" s="1"/>
  <c r="FW302" i="35" s="1"/>
  <c r="FZ302" i="35" s="1"/>
  <c r="GB302" i="35" s="1"/>
  <c r="GH302" i="35"/>
  <c r="GV302" i="35" s="1"/>
  <c r="HD302" i="35" s="1"/>
  <c r="HF302" i="35" s="1"/>
  <c r="CJ326" i="35"/>
  <c r="EW326" i="35"/>
  <c r="H326" i="19"/>
  <c r="DR326" i="35"/>
  <c r="DT326" i="35" s="1"/>
  <c r="CI326" i="35"/>
  <c r="GQ263" i="35"/>
  <c r="I314" i="19"/>
  <c r="CF347" i="35"/>
  <c r="CG347" i="35" s="1"/>
  <c r="CU247" i="35"/>
  <c r="GR247" i="35" s="1"/>
  <c r="CX300" i="35"/>
  <c r="W300" i="19" s="1"/>
  <c r="DV298" i="35"/>
  <c r="DT298" i="35"/>
  <c r="DA281" i="35"/>
  <c r="Z281" i="19" s="1"/>
  <c r="GH300" i="35"/>
  <c r="GV300" i="35" s="1"/>
  <c r="HD300" i="35" s="1"/>
  <c r="HH300" i="35" s="1"/>
  <c r="T300" i="19"/>
  <c r="CW245" i="35"/>
  <c r="V245" i="19" s="1"/>
  <c r="HE240" i="35"/>
  <c r="GP245" i="35"/>
  <c r="M231" i="19"/>
  <c r="DT284" i="35"/>
  <c r="HF247" i="35"/>
  <c r="HG247" i="35"/>
  <c r="FN300" i="35"/>
  <c r="FV300" i="35" s="1"/>
  <c r="FX300" i="35" s="1"/>
  <c r="GH281" i="35"/>
  <c r="GV281" i="35" s="1"/>
  <c r="HD281" i="35" s="1"/>
  <c r="HE281" i="35" s="1"/>
  <c r="CY281" i="35"/>
  <c r="X281" i="19" s="1"/>
  <c r="CS281" i="35"/>
  <c r="R281" i="19" s="1"/>
  <c r="CY250" i="35"/>
  <c r="X250" i="19" s="1"/>
  <c r="CW300" i="35"/>
  <c r="GT300" i="35" s="1"/>
  <c r="R300" i="19"/>
  <c r="CZ300" i="35"/>
  <c r="Y300" i="19" s="1"/>
  <c r="FN281" i="35"/>
  <c r="R250" i="19"/>
  <c r="CT300" i="35"/>
  <c r="GQ300" i="35" s="1"/>
  <c r="CY300" i="35"/>
  <c r="X300" i="19" s="1"/>
  <c r="K300" i="19"/>
  <c r="CV300" i="35"/>
  <c r="GS300" i="35" s="1"/>
  <c r="CX281" i="35"/>
  <c r="W281" i="19" s="1"/>
  <c r="DA300" i="35"/>
  <c r="Z300" i="19" s="1"/>
  <c r="CM300" i="35"/>
  <c r="GJ300" i="35" s="1"/>
  <c r="GX300" i="35" s="1"/>
  <c r="CZ250" i="35"/>
  <c r="Y250" i="19" s="1"/>
  <c r="GP300" i="35"/>
  <c r="FX245" i="35"/>
  <c r="FP245" i="35"/>
  <c r="FR245" i="35" s="1"/>
  <c r="CV247" i="35"/>
  <c r="GS247" i="35" s="1"/>
  <c r="GJ247" i="35"/>
  <c r="GX247" i="35" s="1"/>
  <c r="CU245" i="35"/>
  <c r="T245" i="19" s="1"/>
  <c r="CQ231" i="35"/>
  <c r="Q231" i="19" s="1"/>
  <c r="AC231" i="19" s="1"/>
  <c r="O231" i="19"/>
  <c r="R245" i="19"/>
  <c r="HH247" i="35"/>
  <c r="CT247" i="35"/>
  <c r="GQ247" i="35" s="1"/>
  <c r="GJ231" i="35"/>
  <c r="GX231" i="35" s="1"/>
  <c r="M247" i="19"/>
  <c r="CQ247" i="35"/>
  <c r="GN247" i="35" s="1"/>
  <c r="HJ247" i="35" s="1"/>
  <c r="HG245" i="35"/>
  <c r="R247" i="19"/>
  <c r="HE245" i="35"/>
  <c r="CT245" i="35"/>
  <c r="GQ245" i="35" s="1"/>
  <c r="U245" i="19"/>
  <c r="I279" i="19"/>
  <c r="HF245" i="35"/>
  <c r="GN213" i="35"/>
  <c r="HJ213" i="35" s="1"/>
  <c r="O247" i="19"/>
  <c r="CU240" i="35"/>
  <c r="T240" i="19" s="1"/>
  <c r="CV240" i="35"/>
  <c r="U240" i="19" s="1"/>
  <c r="CO245" i="35"/>
  <c r="O245" i="19" s="1"/>
  <c r="FV247" i="35"/>
  <c r="FX247" i="35" s="1"/>
  <c r="CT240" i="35"/>
  <c r="GQ240" i="35" s="1"/>
  <c r="CW240" i="35"/>
  <c r="GT240" i="35" s="1"/>
  <c r="GP240" i="35"/>
  <c r="I280" i="19"/>
  <c r="CK270" i="35"/>
  <c r="CY270" i="35" s="1"/>
  <c r="X270" i="19" s="1"/>
  <c r="CV250" i="35"/>
  <c r="U250" i="19" s="1"/>
  <c r="FN250" i="35"/>
  <c r="FP250" i="35" s="1"/>
  <c r="FR250" i="35" s="1"/>
  <c r="FT250" i="35" s="1"/>
  <c r="GP250" i="35"/>
  <c r="CW250" i="35"/>
  <c r="V250" i="19" s="1"/>
  <c r="CT250" i="35"/>
  <c r="GQ250" i="35" s="1"/>
  <c r="CM250" i="35"/>
  <c r="M250" i="19" s="1"/>
  <c r="I270" i="19"/>
  <c r="CX250" i="35"/>
  <c r="W250" i="19" s="1"/>
  <c r="DV270" i="35"/>
  <c r="DA250" i="35"/>
  <c r="Z250" i="19" s="1"/>
  <c r="GH250" i="35"/>
  <c r="GV250" i="35" s="1"/>
  <c r="HD250" i="35" s="1"/>
  <c r="HE250" i="35" s="1"/>
  <c r="K250" i="19"/>
  <c r="K281" i="19"/>
  <c r="CS238" i="35"/>
  <c r="CT238" i="35" s="1"/>
  <c r="GQ238" i="35" s="1"/>
  <c r="HF240" i="35"/>
  <c r="HH240" i="35"/>
  <c r="CZ281" i="35"/>
  <c r="Y281" i="19" s="1"/>
  <c r="CM281" i="35"/>
  <c r="GJ281" i="35" s="1"/>
  <c r="GX281" i="35" s="1"/>
  <c r="CF327" i="35"/>
  <c r="CG327" i="35" s="1"/>
  <c r="CI327" i="35" s="1"/>
  <c r="CA327" i="35"/>
  <c r="DC327" i="35" s="1"/>
  <c r="FP240" i="35"/>
  <c r="FR240" i="35" s="1"/>
  <c r="FT240" i="35" s="1"/>
  <c r="BT336" i="35"/>
  <c r="BW336" i="35" s="1"/>
  <c r="BY336" i="35" s="1"/>
  <c r="BZ336" i="35" s="1"/>
  <c r="BT297" i="35"/>
  <c r="BW297" i="35" s="1"/>
  <c r="BY297" i="35" s="1"/>
  <c r="BZ297" i="35" s="1"/>
  <c r="Q261" i="19"/>
  <c r="AC261" i="19" s="1"/>
  <c r="GN261" i="35"/>
  <c r="HJ261" i="35" s="1"/>
  <c r="FW240" i="35"/>
  <c r="FZ240" i="35" s="1"/>
  <c r="GB240" i="35" s="1"/>
  <c r="CK280" i="35"/>
  <c r="FN280" i="35" s="1"/>
  <c r="FV280" i="35" s="1"/>
  <c r="FX280" i="35" s="1"/>
  <c r="Q225" i="19"/>
  <c r="AC225" i="19" s="1"/>
  <c r="GN225" i="35"/>
  <c r="HJ225" i="35" s="1"/>
  <c r="CO240" i="35"/>
  <c r="O240" i="19" s="1"/>
  <c r="GJ240" i="35"/>
  <c r="GX240" i="35" s="1"/>
  <c r="CJ322" i="35"/>
  <c r="V267" i="19"/>
  <c r="GT267" i="35"/>
  <c r="GS200" i="35"/>
  <c r="U200" i="19"/>
  <c r="BT349" i="35"/>
  <c r="FP272" i="35"/>
  <c r="FR272" i="35" s="1"/>
  <c r="FV272" i="35"/>
  <c r="V200" i="19"/>
  <c r="GT200" i="35"/>
  <c r="BT377" i="35"/>
  <c r="CA331" i="35"/>
  <c r="CF331" i="35"/>
  <c r="CG331" i="35" s="1"/>
  <c r="GN254" i="35"/>
  <c r="HJ254" i="35" s="1"/>
  <c r="Q254" i="19"/>
  <c r="AC254" i="19" s="1"/>
  <c r="O273" i="19"/>
  <c r="CQ273" i="35"/>
  <c r="GL273" i="35"/>
  <c r="GZ273" i="35" s="1"/>
  <c r="HB273" i="35" s="1"/>
  <c r="S264" i="19"/>
  <c r="GQ264" i="35"/>
  <c r="T258" i="19"/>
  <c r="GR258" i="35"/>
  <c r="CT272" i="35"/>
  <c r="GP272" i="35"/>
  <c r="R272" i="19"/>
  <c r="CW272" i="35"/>
  <c r="CV272" i="35"/>
  <c r="CU272" i="35"/>
  <c r="BT365" i="35"/>
  <c r="BW365" i="35" s="1"/>
  <c r="BY365" i="35" s="1"/>
  <c r="BZ365" i="35" s="1"/>
  <c r="CA317" i="35"/>
  <c r="FX278" i="35"/>
  <c r="FW278" i="35"/>
  <c r="FZ278" i="35" s="1"/>
  <c r="GB278" i="35" s="1"/>
  <c r="T278" i="19"/>
  <c r="GR278" i="35"/>
  <c r="DC334" i="35"/>
  <c r="CH334" i="35"/>
  <c r="U264" i="19"/>
  <c r="GS264" i="35"/>
  <c r="BT301" i="35"/>
  <c r="T273" i="19"/>
  <c r="GR273" i="35"/>
  <c r="GS278" i="35"/>
  <c r="U278" i="19"/>
  <c r="GT278" i="35"/>
  <c r="V278" i="19"/>
  <c r="EW334" i="35"/>
  <c r="DR334" i="35"/>
  <c r="H334" i="19"/>
  <c r="CI334" i="35"/>
  <c r="CJ334" i="35"/>
  <c r="HF272" i="35"/>
  <c r="HH272" i="35"/>
  <c r="HE272" i="35"/>
  <c r="HG272" i="35"/>
  <c r="GR264" i="35"/>
  <c r="T264" i="19"/>
  <c r="CA361" i="35"/>
  <c r="Q277" i="19"/>
  <c r="AC277" i="19" s="1"/>
  <c r="GN277" i="35"/>
  <c r="GL267" i="35"/>
  <c r="GZ267" i="35" s="1"/>
  <c r="HB267" i="35" s="1"/>
  <c r="CQ267" i="35"/>
  <c r="O267" i="19"/>
  <c r="BT376" i="35"/>
  <c r="GQ273" i="35"/>
  <c r="S273" i="19"/>
  <c r="FW264" i="35"/>
  <c r="FZ264" i="35" s="1"/>
  <c r="GB264" i="35" s="1"/>
  <c r="FX264" i="35"/>
  <c r="GT258" i="35"/>
  <c r="V258" i="19"/>
  <c r="GQ267" i="35"/>
  <c r="S267" i="19"/>
  <c r="CF307" i="35"/>
  <c r="CG307" i="35" s="1"/>
  <c r="DR307" i="35" s="1"/>
  <c r="DV307" i="35" s="1"/>
  <c r="CA307" i="35"/>
  <c r="M272" i="19"/>
  <c r="GJ272" i="35"/>
  <c r="GX272" i="35" s="1"/>
  <c r="CO272" i="35"/>
  <c r="CQ200" i="35"/>
  <c r="GL200" i="35"/>
  <c r="GZ200" i="35" s="1"/>
  <c r="HB200" i="35" s="1"/>
  <c r="O200" i="19"/>
  <c r="FW258" i="35"/>
  <c r="FZ258" i="35" s="1"/>
  <c r="GB258" i="35" s="1"/>
  <c r="FX258" i="35"/>
  <c r="EW335" i="35"/>
  <c r="DR335" i="35"/>
  <c r="H335" i="19"/>
  <c r="CJ335" i="35"/>
  <c r="CI335" i="35"/>
  <c r="FW273" i="35"/>
  <c r="FZ273" i="35" s="1"/>
  <c r="GB273" i="35" s="1"/>
  <c r="FX273" i="35"/>
  <c r="Q269" i="19"/>
  <c r="AC269" i="19" s="1"/>
  <c r="GN269" i="35"/>
  <c r="HJ269" i="35" s="1"/>
  <c r="GQ278" i="35"/>
  <c r="S278" i="19"/>
  <c r="FX200" i="35"/>
  <c r="FW200" i="35"/>
  <c r="FZ200" i="35" s="1"/>
  <c r="GB200" i="35" s="1"/>
  <c r="CF290" i="35"/>
  <c r="CG290" i="35" s="1"/>
  <c r="H290" i="19" s="1"/>
  <c r="CA290" i="35"/>
  <c r="BT367" i="35"/>
  <c r="BW367" i="35" s="1"/>
  <c r="BY367" i="35" s="1"/>
  <c r="BZ367" i="35" s="1"/>
  <c r="U273" i="19"/>
  <c r="GS273" i="35"/>
  <c r="GL278" i="35"/>
  <c r="GZ278" i="35" s="1"/>
  <c r="HB278" i="35" s="1"/>
  <c r="O278" i="19"/>
  <c r="CQ278" i="35"/>
  <c r="CY303" i="35"/>
  <c r="X303" i="19" s="1"/>
  <c r="FN303" i="35"/>
  <c r="CS303" i="35"/>
  <c r="CZ303" i="35"/>
  <c r="Y303" i="19" s="1"/>
  <c r="GH303" i="35"/>
  <c r="GV303" i="35" s="1"/>
  <c r="HD303" i="35" s="1"/>
  <c r="CM303" i="35"/>
  <c r="K303" i="19"/>
  <c r="DA303" i="35"/>
  <c r="Z303" i="19" s="1"/>
  <c r="CX303" i="35"/>
  <c r="W303" i="19" s="1"/>
  <c r="U258" i="19"/>
  <c r="GS258" i="35"/>
  <c r="T267" i="19"/>
  <c r="GR267" i="35"/>
  <c r="DC335" i="35"/>
  <c r="CH335" i="35"/>
  <c r="V264" i="19"/>
  <c r="GT264" i="35"/>
  <c r="BT353" i="35"/>
  <c r="BT366" i="35"/>
  <c r="GT273" i="35"/>
  <c r="V273" i="19"/>
  <c r="CA292" i="35"/>
  <c r="CF292" i="35"/>
  <c r="CG292" i="35" s="1"/>
  <c r="H292" i="19" s="1"/>
  <c r="GQ200" i="35"/>
  <c r="S200" i="19"/>
  <c r="DC321" i="35"/>
  <c r="CH321" i="35"/>
  <c r="FX267" i="35"/>
  <c r="FW267" i="35"/>
  <c r="FZ267" i="35" s="1"/>
  <c r="GB267" i="35" s="1"/>
  <c r="GR200" i="35"/>
  <c r="T200" i="19"/>
  <c r="CK298" i="35"/>
  <c r="CS298" i="35" s="1"/>
  <c r="R298" i="19" s="1"/>
  <c r="CM262" i="35"/>
  <c r="FN262" i="35"/>
  <c r="DA262" i="35"/>
  <c r="Z262" i="19" s="1"/>
  <c r="K262" i="19"/>
  <c r="GH262" i="35"/>
  <c r="GV262" i="35" s="1"/>
  <c r="HD262" i="35" s="1"/>
  <c r="CX262" i="35"/>
  <c r="W262" i="19" s="1"/>
  <c r="CZ262" i="35"/>
  <c r="Y262" i="19" s="1"/>
  <c r="CY262" i="35"/>
  <c r="X262" i="19" s="1"/>
  <c r="CS262" i="35"/>
  <c r="GL258" i="35"/>
  <c r="GZ258" i="35" s="1"/>
  <c r="HB258" i="35" s="1"/>
  <c r="O258" i="19"/>
  <c r="CQ258" i="35"/>
  <c r="CQ264" i="35"/>
  <c r="GL264" i="35"/>
  <c r="GZ264" i="35" s="1"/>
  <c r="HB264" i="35" s="1"/>
  <c r="O264" i="19"/>
  <c r="GQ258" i="35"/>
  <c r="S258" i="19"/>
  <c r="U267" i="19"/>
  <c r="GS267" i="35"/>
  <c r="H321" i="19"/>
  <c r="EW321" i="35"/>
  <c r="CI321" i="35"/>
  <c r="CJ321" i="35"/>
  <c r="DR321" i="35"/>
  <c r="CY293" i="35"/>
  <c r="X293" i="19" s="1"/>
  <c r="CS293" i="35"/>
  <c r="GH293" i="35"/>
  <c r="GV293" i="35" s="1"/>
  <c r="HD293" i="35" s="1"/>
  <c r="CM293" i="35"/>
  <c r="DA293" i="35"/>
  <c r="Z293" i="19" s="1"/>
  <c r="CZ293" i="35"/>
  <c r="Y293" i="19" s="1"/>
  <c r="FN293" i="35"/>
  <c r="CX293" i="35"/>
  <c r="W293" i="19" s="1"/>
  <c r="K293" i="19"/>
  <c r="BR333" i="35"/>
  <c r="BR325" i="35"/>
  <c r="BT325" i="35" s="1"/>
  <c r="BW325" i="35" s="1"/>
  <c r="BY325" i="35" s="1"/>
  <c r="BZ325" i="35" s="1"/>
  <c r="BR328" i="35"/>
  <c r="BR340" i="35"/>
  <c r="BR369" i="35"/>
  <c r="BT369" i="35" s="1"/>
  <c r="BW369" i="35" s="1"/>
  <c r="BY369" i="35" s="1"/>
  <c r="BZ369" i="35" s="1"/>
  <c r="BR375" i="35"/>
  <c r="BR323" i="35"/>
  <c r="BR356" i="35"/>
  <c r="BR341" i="35"/>
  <c r="BR337" i="35"/>
  <c r="BR318" i="35"/>
  <c r="BR344" i="35"/>
  <c r="BR338" i="35"/>
  <c r="BL329" i="35"/>
  <c r="BN329" i="35" s="1"/>
  <c r="BP329" i="35" s="1"/>
  <c r="BL357" i="35"/>
  <c r="BN357" i="35" s="1"/>
  <c r="BP357" i="35" s="1"/>
  <c r="BL346" i="35"/>
  <c r="BN346" i="35" s="1"/>
  <c r="BP346" i="35" s="1"/>
  <c r="BL342" i="35"/>
  <c r="BN342" i="35" s="1"/>
  <c r="BP342" i="35" s="1"/>
  <c r="BL345" i="35"/>
  <c r="BN345" i="35" s="1"/>
  <c r="BP345" i="35" s="1"/>
  <c r="BJ319" i="35"/>
  <c r="BL319" i="35" s="1"/>
  <c r="BN319" i="35" s="1"/>
  <c r="BP319" i="35" s="1"/>
  <c r="BJ320" i="35"/>
  <c r="BL320" i="35" s="1"/>
  <c r="BN320" i="35" s="1"/>
  <c r="BP320" i="35" s="1"/>
  <c r="T250" i="19"/>
  <c r="GR250" i="35"/>
  <c r="BH348" i="35"/>
  <c r="BH368" i="35"/>
  <c r="BH350" i="35"/>
  <c r="BH371" i="35"/>
  <c r="BH352" i="35"/>
  <c r="BH362" i="35"/>
  <c r="BH374" i="35"/>
  <c r="BH351" i="35"/>
  <c r="BH359" i="35"/>
  <c r="BH355" i="35"/>
  <c r="BH364" i="35"/>
  <c r="BF370" i="35"/>
  <c r="BF372" i="35"/>
  <c r="BF363" i="35"/>
  <c r="AW378" i="35"/>
  <c r="AV378" i="35"/>
  <c r="DO378" i="35" s="1"/>
  <c r="DN378" i="35" s="1"/>
  <c r="FT131" i="35"/>
  <c r="B65" i="37"/>
  <c r="AZ21" i="37"/>
  <c r="I28" i="30"/>
  <c r="G67" i="5"/>
  <c r="G65" i="5"/>
  <c r="G63" i="5"/>
  <c r="D69" i="5"/>
  <c r="D69" i="6" s="1"/>
  <c r="D70" i="7" s="1"/>
  <c r="D45" i="8" s="1"/>
  <c r="D44" i="34" s="1"/>
  <c r="D67" i="5"/>
  <c r="D67" i="6" s="1"/>
  <c r="D68" i="7" s="1"/>
  <c r="D43" i="8" s="1"/>
  <c r="D42" i="34" s="1"/>
  <c r="D65" i="5"/>
  <c r="D65" i="6" s="1"/>
  <c r="D66" i="7" s="1"/>
  <c r="D41" i="8" s="1"/>
  <c r="D40" i="34" s="1"/>
  <c r="D63" i="5"/>
  <c r="D63" i="6" s="1"/>
  <c r="D64" i="7" s="1"/>
  <c r="D39" i="8" s="1"/>
  <c r="D38" i="34" s="1"/>
  <c r="G61" i="5"/>
  <c r="D61" i="5"/>
  <c r="D61" i="6" s="1"/>
  <c r="D62" i="7" s="1"/>
  <c r="D37" i="8" s="1"/>
  <c r="D36" i="34" s="1"/>
  <c r="B69" i="5"/>
  <c r="B69" i="6" s="1"/>
  <c r="B70" i="7" s="1"/>
  <c r="B45" i="8" s="1"/>
  <c r="B67" i="5"/>
  <c r="B67" i="6" s="1"/>
  <c r="B68" i="7" s="1"/>
  <c r="B43" i="8" s="1"/>
  <c r="B65" i="5"/>
  <c r="B65" i="6" s="1"/>
  <c r="B66" i="7" s="1"/>
  <c r="B41" i="8" s="1"/>
  <c r="B63" i="5"/>
  <c r="B63" i="6" s="1"/>
  <c r="B64" i="7" s="1"/>
  <c r="B39" i="8" s="1"/>
  <c r="B61" i="5"/>
  <c r="B61" i="6" s="1"/>
  <c r="B62" i="7" s="1"/>
  <c r="B37" i="8" s="1"/>
  <c r="G59" i="5"/>
  <c r="D59" i="5"/>
  <c r="D59" i="6" s="1"/>
  <c r="D60" i="7" s="1"/>
  <c r="D35" i="8" s="1"/>
  <c r="D34" i="34" s="1"/>
  <c r="B59" i="5"/>
  <c r="B59" i="6" s="1"/>
  <c r="B60" i="7" s="1"/>
  <c r="B35" i="8" s="1"/>
  <c r="GN216" i="35" l="1"/>
  <c r="HJ216" i="35" s="1"/>
  <c r="Q216" i="19"/>
  <c r="AC216" i="19" s="1"/>
  <c r="GS271" i="35"/>
  <c r="T271" i="19"/>
  <c r="GR271" i="35"/>
  <c r="K230" i="19"/>
  <c r="CM232" i="35"/>
  <c r="CO232" i="35" s="1"/>
  <c r="O232" i="19" s="1"/>
  <c r="CS310" i="35"/>
  <c r="I259" i="19"/>
  <c r="CW268" i="35"/>
  <c r="GT268" i="35" s="1"/>
  <c r="CI322" i="35"/>
  <c r="DR322" i="35"/>
  <c r="EW322" i="35"/>
  <c r="DA232" i="35"/>
  <c r="Z232" i="19" s="1"/>
  <c r="K239" i="19"/>
  <c r="K232" i="19"/>
  <c r="DC276" i="35"/>
  <c r="I257" i="19"/>
  <c r="FP232" i="35"/>
  <c r="FR232" i="35" s="1"/>
  <c r="FT232" i="35" s="1"/>
  <c r="CS232" i="35"/>
  <c r="CU232" i="35" s="1"/>
  <c r="T232" i="19" s="1"/>
  <c r="GH232" i="35"/>
  <c r="GV232" i="35" s="1"/>
  <c r="HD232" i="35" s="1"/>
  <c r="HH232" i="35" s="1"/>
  <c r="CX232" i="35"/>
  <c r="W232" i="19" s="1"/>
  <c r="CK288" i="35"/>
  <c r="CY288" i="35" s="1"/>
  <c r="X288" i="19" s="1"/>
  <c r="CY232" i="35"/>
  <c r="X232" i="19" s="1"/>
  <c r="U268" i="19"/>
  <c r="GS268" i="35"/>
  <c r="K310" i="19"/>
  <c r="CS230" i="35"/>
  <c r="CV230" i="35" s="1"/>
  <c r="CY230" i="35"/>
  <c r="X230" i="19" s="1"/>
  <c r="HF204" i="35"/>
  <c r="HE204" i="35"/>
  <c r="HH204" i="35"/>
  <c r="HG204" i="35"/>
  <c r="CO268" i="35"/>
  <c r="GJ268" i="35"/>
  <c r="GX268" i="35" s="1"/>
  <c r="M268" i="19"/>
  <c r="CM246" i="35"/>
  <c r="K246" i="19"/>
  <c r="FN246" i="35"/>
  <c r="CS246" i="35"/>
  <c r="CX246" i="35"/>
  <c r="W246" i="19" s="1"/>
  <c r="CZ246" i="35"/>
  <c r="Y246" i="19" s="1"/>
  <c r="DA246" i="35"/>
  <c r="Z246" i="19" s="1"/>
  <c r="CY246" i="35"/>
  <c r="X246" i="19" s="1"/>
  <c r="GH246" i="35"/>
  <c r="GV246" i="35" s="1"/>
  <c r="HD246" i="35" s="1"/>
  <c r="CY310" i="35"/>
  <c r="X310" i="19" s="1"/>
  <c r="CM230" i="35"/>
  <c r="GJ230" i="35" s="1"/>
  <c r="GX230" i="35" s="1"/>
  <c r="GH310" i="35"/>
  <c r="GV310" i="35" s="1"/>
  <c r="HD310" i="35" s="1"/>
  <c r="HF310" i="35" s="1"/>
  <c r="GJ204" i="35"/>
  <c r="GX204" i="35" s="1"/>
  <c r="M204" i="19"/>
  <c r="CO204" i="35"/>
  <c r="DA310" i="35"/>
  <c r="Z310" i="19" s="1"/>
  <c r="CK279" i="35"/>
  <c r="GH279" i="35" s="1"/>
  <c r="GV279" i="35" s="1"/>
  <c r="HD279" i="35" s="1"/>
  <c r="HG279" i="35" s="1"/>
  <c r="DV316" i="35"/>
  <c r="HJ271" i="35"/>
  <c r="FV204" i="35"/>
  <c r="FP204" i="35"/>
  <c r="FR204" i="35" s="1"/>
  <c r="FT204" i="35" s="1"/>
  <c r="CZ310" i="35"/>
  <c r="Y310" i="19" s="1"/>
  <c r="CX310" i="35"/>
  <c r="W310" i="19" s="1"/>
  <c r="GH230" i="35"/>
  <c r="GV230" i="35" s="1"/>
  <c r="HD230" i="35" s="1"/>
  <c r="HG230" i="35" s="1"/>
  <c r="CY249" i="35"/>
  <c r="X249" i="19" s="1"/>
  <c r="CX249" i="35"/>
  <c r="W249" i="19" s="1"/>
  <c r="DA249" i="35"/>
  <c r="Z249" i="19" s="1"/>
  <c r="CS249" i="35"/>
  <c r="CZ249" i="35"/>
  <c r="Y249" i="19" s="1"/>
  <c r="CM249" i="35"/>
  <c r="FN249" i="35"/>
  <c r="GH249" i="35"/>
  <c r="GV249" i="35" s="1"/>
  <c r="HD249" i="35" s="1"/>
  <c r="K249" i="19"/>
  <c r="CA283" i="35"/>
  <c r="CH283" i="35" s="1"/>
  <c r="J283" i="19" s="1"/>
  <c r="I316" i="19"/>
  <c r="DA230" i="35"/>
  <c r="Z230" i="19" s="1"/>
  <c r="CK257" i="35"/>
  <c r="CY257" i="35" s="1"/>
  <c r="X257" i="19" s="1"/>
  <c r="CZ243" i="35"/>
  <c r="Y243" i="19" s="1"/>
  <c r="CX243" i="35"/>
  <c r="W243" i="19" s="1"/>
  <c r="GH243" i="35"/>
  <c r="GV243" i="35" s="1"/>
  <c r="HD243" i="35" s="1"/>
  <c r="CS243" i="35"/>
  <c r="FN243" i="35"/>
  <c r="CM243" i="35"/>
  <c r="CY243" i="35"/>
  <c r="X243" i="19" s="1"/>
  <c r="DA243" i="35"/>
  <c r="Z243" i="19" s="1"/>
  <c r="K243" i="19"/>
  <c r="GP204" i="35"/>
  <c r="CW204" i="35"/>
  <c r="R204" i="19"/>
  <c r="CV204" i="35"/>
  <c r="CU204" i="35"/>
  <c r="CT204" i="35"/>
  <c r="DR330" i="35"/>
  <c r="DV330" i="35" s="1"/>
  <c r="CF332" i="35"/>
  <c r="CG332" i="35" s="1"/>
  <c r="EW332" i="35" s="1"/>
  <c r="FN230" i="35"/>
  <c r="FN310" i="35"/>
  <c r="FV310" i="35" s="1"/>
  <c r="DC279" i="35"/>
  <c r="DT286" i="35"/>
  <c r="DV279" i="35"/>
  <c r="DC284" i="35"/>
  <c r="CH284" i="35"/>
  <c r="CA299" i="35"/>
  <c r="DC299" i="35" s="1"/>
  <c r="FW255" i="35"/>
  <c r="FZ255" i="35" s="1"/>
  <c r="GB255" i="35" s="1"/>
  <c r="FX255" i="35"/>
  <c r="Q177" i="19"/>
  <c r="AC177" i="19" s="1"/>
  <c r="GN177" i="35"/>
  <c r="HJ177" i="35" s="1"/>
  <c r="HF268" i="35"/>
  <c r="HE268" i="35"/>
  <c r="HG268" i="35"/>
  <c r="GR203" i="35"/>
  <c r="T203" i="19"/>
  <c r="FX222" i="35"/>
  <c r="FW222" i="35"/>
  <c r="FZ222" i="35" s="1"/>
  <c r="GB222" i="35" s="1"/>
  <c r="GJ235" i="35"/>
  <c r="GX235" i="35" s="1"/>
  <c r="CX239" i="35"/>
  <c r="W239" i="19" s="1"/>
  <c r="I343" i="19"/>
  <c r="FX203" i="35"/>
  <c r="FW203" i="35"/>
  <c r="FZ203" i="35" s="1"/>
  <c r="GB203" i="35" s="1"/>
  <c r="R268" i="19"/>
  <c r="GP268" i="35"/>
  <c r="CU268" i="35"/>
  <c r="CT268" i="35"/>
  <c r="U203" i="19"/>
  <c r="GS203" i="35"/>
  <c r="T222" i="19"/>
  <c r="GR222" i="35"/>
  <c r="GL222" i="35"/>
  <c r="GZ222" i="35" s="1"/>
  <c r="HB222" i="35" s="1"/>
  <c r="O222" i="19"/>
  <c r="CQ222" i="35"/>
  <c r="CA339" i="35"/>
  <c r="CH339" i="35" s="1"/>
  <c r="J339" i="19" s="1"/>
  <c r="CQ255" i="35"/>
  <c r="O255" i="19"/>
  <c r="GL255" i="35"/>
  <c r="GZ255" i="35" s="1"/>
  <c r="HB255" i="35" s="1"/>
  <c r="O203" i="19"/>
  <c r="GL203" i="35"/>
  <c r="GZ203" i="35" s="1"/>
  <c r="HB203" i="35" s="1"/>
  <c r="CQ203" i="35"/>
  <c r="V222" i="19"/>
  <c r="GT222" i="35"/>
  <c r="S203" i="19"/>
  <c r="GQ203" i="35"/>
  <c r="CK313" i="35"/>
  <c r="K313" i="19" s="1"/>
  <c r="V203" i="19"/>
  <c r="GT203" i="35"/>
  <c r="CA324" i="35"/>
  <c r="CH324" i="35" s="1"/>
  <c r="J324" i="19" s="1"/>
  <c r="U222" i="19"/>
  <c r="GS222" i="35"/>
  <c r="CA285" i="35"/>
  <c r="CH285" i="35" s="1"/>
  <c r="HH268" i="35"/>
  <c r="S222" i="19"/>
  <c r="GQ222" i="35"/>
  <c r="FP268" i="35"/>
  <c r="FR268" i="35" s="1"/>
  <c r="FT268" i="35" s="1"/>
  <c r="FV268" i="35"/>
  <c r="CJ339" i="35"/>
  <c r="CI339" i="35"/>
  <c r="DR339" i="35"/>
  <c r="DV339" i="35" s="1"/>
  <c r="EW339" i="35"/>
  <c r="H339" i="19"/>
  <c r="DR283" i="35"/>
  <c r="EW283" i="35"/>
  <c r="CJ283" i="35"/>
  <c r="H283" i="19"/>
  <c r="CI283" i="35"/>
  <c r="CI285" i="35"/>
  <c r="CJ285" i="35"/>
  <c r="EW285" i="35"/>
  <c r="H285" i="19"/>
  <c r="DR285" i="35"/>
  <c r="DT285" i="35" s="1"/>
  <c r="CI324" i="35"/>
  <c r="EW324" i="35"/>
  <c r="CJ324" i="35"/>
  <c r="CK324" i="35" s="1"/>
  <c r="GH324" i="35" s="1"/>
  <c r="GV324" i="35" s="1"/>
  <c r="HD324" i="35" s="1"/>
  <c r="HF324" i="35" s="1"/>
  <c r="DR324" i="35"/>
  <c r="DV324" i="35" s="1"/>
  <c r="H324" i="19"/>
  <c r="CK276" i="35"/>
  <c r="CX276" i="35" s="1"/>
  <c r="W276" i="19" s="1"/>
  <c r="U199" i="19"/>
  <c r="GS199" i="35"/>
  <c r="V268" i="19"/>
  <c r="BY373" i="35"/>
  <c r="BZ373" i="35" s="1"/>
  <c r="CA373" i="35" s="1"/>
  <c r="DC373" i="35" s="1"/>
  <c r="BY296" i="35"/>
  <c r="BZ296" i="35" s="1"/>
  <c r="CF296" i="35" s="1"/>
  <c r="CG296" i="35" s="1"/>
  <c r="DR296" i="35" s="1"/>
  <c r="DT296" i="35" s="1"/>
  <c r="GN215" i="35"/>
  <c r="HJ215" i="35" s="1"/>
  <c r="Q215" i="19"/>
  <c r="AC215" i="19" s="1"/>
  <c r="GS214" i="35"/>
  <c r="U214" i="19"/>
  <c r="CH316" i="35"/>
  <c r="DC316" i="35"/>
  <c r="J289" i="19"/>
  <c r="CK289" i="35"/>
  <c r="DV311" i="35"/>
  <c r="DT311" i="35"/>
  <c r="GJ260" i="35"/>
  <c r="GX260" i="35" s="1"/>
  <c r="CO260" i="35"/>
  <c r="M260" i="19"/>
  <c r="FV260" i="35"/>
  <c r="FP260" i="35"/>
  <c r="FR260" i="35" s="1"/>
  <c r="FT260" i="35" s="1"/>
  <c r="BY309" i="35"/>
  <c r="BZ309" i="35" s="1"/>
  <c r="CF309" i="35" s="1"/>
  <c r="CG309" i="35" s="1"/>
  <c r="FW228" i="35"/>
  <c r="FZ228" i="35" s="1"/>
  <c r="GB228" i="35" s="1"/>
  <c r="FX228" i="35"/>
  <c r="FN312" i="35"/>
  <c r="FV312" i="35" s="1"/>
  <c r="O274" i="19"/>
  <c r="HE263" i="35"/>
  <c r="V201" i="19"/>
  <c r="GT201" i="35"/>
  <c r="GJ256" i="35"/>
  <c r="GX256" i="35" s="1"/>
  <c r="CO256" i="35"/>
  <c r="M256" i="19"/>
  <c r="FP227" i="35"/>
  <c r="FR227" i="35" s="1"/>
  <c r="FV227" i="35"/>
  <c r="CQ199" i="35"/>
  <c r="GL199" i="35"/>
  <c r="GZ199" i="35" s="1"/>
  <c r="HB199" i="35" s="1"/>
  <c r="O199" i="19"/>
  <c r="CA330" i="35"/>
  <c r="GR199" i="35"/>
  <c r="T199" i="19"/>
  <c r="GQ228" i="35"/>
  <c r="S228" i="19"/>
  <c r="CM312" i="35"/>
  <c r="CO312" i="35" s="1"/>
  <c r="DR299" i="35"/>
  <c r="DV299" i="35" s="1"/>
  <c r="BY360" i="35"/>
  <c r="BZ360" i="35" s="1"/>
  <c r="CA360" i="35" s="1"/>
  <c r="CH360" i="35" s="1"/>
  <c r="J360" i="19" s="1"/>
  <c r="K223" i="19"/>
  <c r="GH223" i="35"/>
  <c r="GV223" i="35" s="1"/>
  <c r="HD223" i="35" s="1"/>
  <c r="CX223" i="35"/>
  <c r="W223" i="19" s="1"/>
  <c r="FN223" i="35"/>
  <c r="CY223" i="35"/>
  <c r="X223" i="19" s="1"/>
  <c r="CS223" i="35"/>
  <c r="CZ223" i="35"/>
  <c r="Y223" i="19" s="1"/>
  <c r="CM223" i="35"/>
  <c r="DA223" i="35"/>
  <c r="Z223" i="19" s="1"/>
  <c r="T214" i="19"/>
  <c r="GR214" i="35"/>
  <c r="H265" i="19"/>
  <c r="EW265" i="35"/>
  <c r="CI265" i="35"/>
  <c r="DR265" i="35"/>
  <c r="CJ265" i="35"/>
  <c r="DV259" i="35"/>
  <c r="DT259" i="35"/>
  <c r="GQ199" i="35"/>
  <c r="S199" i="19"/>
  <c r="FW214" i="35"/>
  <c r="FZ214" i="35" s="1"/>
  <c r="GB214" i="35" s="1"/>
  <c r="FX214" i="35"/>
  <c r="R227" i="19"/>
  <c r="CU227" i="35"/>
  <c r="CV227" i="35"/>
  <c r="CW227" i="35"/>
  <c r="CT227" i="35"/>
  <c r="GP227" i="35"/>
  <c r="S214" i="19"/>
  <c r="GQ214" i="35"/>
  <c r="CJ330" i="35"/>
  <c r="I330" i="19" s="1"/>
  <c r="CQ235" i="35"/>
  <c r="GN235" i="35" s="1"/>
  <c r="HJ235" i="35" s="1"/>
  <c r="GR231" i="35"/>
  <c r="EW330" i="35"/>
  <c r="Q266" i="19"/>
  <c r="AC266" i="19" s="1"/>
  <c r="BY358" i="35"/>
  <c r="BZ358" i="35" s="1"/>
  <c r="CF358" i="35" s="1"/>
  <c r="CG358" i="35" s="1"/>
  <c r="HJ277" i="35"/>
  <c r="CS312" i="35"/>
  <c r="CT312" i="35" s="1"/>
  <c r="BY304" i="35"/>
  <c r="BZ304" i="35" s="1"/>
  <c r="CA304" i="35" s="1"/>
  <c r="CH304" i="35" s="1"/>
  <c r="J304" i="19" s="1"/>
  <c r="DC332" i="35"/>
  <c r="J305" i="19"/>
  <c r="CK305" i="35"/>
  <c r="S201" i="19"/>
  <c r="GQ201" i="35"/>
  <c r="CQ201" i="35"/>
  <c r="O201" i="19"/>
  <c r="GL201" i="35"/>
  <c r="GZ201" i="35" s="1"/>
  <c r="HB201" i="35" s="1"/>
  <c r="BY291" i="35"/>
  <c r="BZ291" i="35" s="1"/>
  <c r="CA291" i="35" s="1"/>
  <c r="GT199" i="35"/>
  <c r="V199" i="19"/>
  <c r="O228" i="19"/>
  <c r="GL228" i="35"/>
  <c r="GZ228" i="35" s="1"/>
  <c r="HB228" i="35" s="1"/>
  <c r="CQ228" i="35"/>
  <c r="CK343" i="35"/>
  <c r="GH343" i="35" s="1"/>
  <c r="GV343" i="35" s="1"/>
  <c r="HD343" i="35" s="1"/>
  <c r="CJ332" i="35"/>
  <c r="GH312" i="35"/>
  <c r="GV312" i="35" s="1"/>
  <c r="HD312" i="35" s="1"/>
  <c r="HH312" i="35" s="1"/>
  <c r="M263" i="19"/>
  <c r="K257" i="19"/>
  <c r="GR201" i="35"/>
  <c r="T201" i="19"/>
  <c r="CA322" i="35"/>
  <c r="DC286" i="35"/>
  <c r="CH286" i="35"/>
  <c r="J286" i="19" s="1"/>
  <c r="BY315" i="35"/>
  <c r="BZ315" i="35" s="1"/>
  <c r="CA315" i="35" s="1"/>
  <c r="CV260" i="35"/>
  <c r="GP260" i="35"/>
  <c r="CT260" i="35"/>
  <c r="CU260" i="35"/>
  <c r="CW260" i="35"/>
  <c r="R260" i="19"/>
  <c r="HG256" i="35"/>
  <c r="HE256" i="35"/>
  <c r="HF256" i="35"/>
  <c r="HH256" i="35"/>
  <c r="GR228" i="35"/>
  <c r="T228" i="19"/>
  <c r="V214" i="19"/>
  <c r="GT214" i="35"/>
  <c r="H330" i="19"/>
  <c r="O235" i="19"/>
  <c r="BY306" i="35"/>
  <c r="BZ306" i="35" s="1"/>
  <c r="CA306" i="35" s="1"/>
  <c r="CO263" i="35"/>
  <c r="GL263" i="35" s="1"/>
  <c r="GZ263" i="35" s="1"/>
  <c r="HB263" i="35" s="1"/>
  <c r="BY287" i="35"/>
  <c r="BZ287" i="35" s="1"/>
  <c r="CF287" i="35" s="1"/>
  <c r="CG287" i="35" s="1"/>
  <c r="GS201" i="35"/>
  <c r="U201" i="19"/>
  <c r="FV256" i="35"/>
  <c r="FP256" i="35"/>
  <c r="FR256" i="35" s="1"/>
  <c r="FT256" i="35" s="1"/>
  <c r="GN184" i="35"/>
  <c r="HJ184" i="35" s="1"/>
  <c r="Q184" i="19"/>
  <c r="AC184" i="19" s="1"/>
  <c r="V228" i="19"/>
  <c r="GT228" i="35"/>
  <c r="HF227" i="35"/>
  <c r="HE227" i="35"/>
  <c r="HH227" i="35"/>
  <c r="HG227" i="35"/>
  <c r="HE260" i="35"/>
  <c r="HF260" i="35"/>
  <c r="HG260" i="35"/>
  <c r="HH260" i="35"/>
  <c r="U228" i="19"/>
  <c r="GS228" i="35"/>
  <c r="FX201" i="35"/>
  <c r="FW201" i="35"/>
  <c r="FZ201" i="35" s="1"/>
  <c r="GB201" i="35" s="1"/>
  <c r="CS241" i="35"/>
  <c r="CM241" i="35"/>
  <c r="CY241" i="35"/>
  <c r="X241" i="19" s="1"/>
  <c r="CZ241" i="35"/>
  <c r="Y241" i="19" s="1"/>
  <c r="FN241" i="35"/>
  <c r="GH241" i="35"/>
  <c r="GV241" i="35" s="1"/>
  <c r="HD241" i="35" s="1"/>
  <c r="K241" i="19"/>
  <c r="CX241" i="35"/>
  <c r="W241" i="19" s="1"/>
  <c r="DA241" i="35"/>
  <c r="Z241" i="19" s="1"/>
  <c r="O214" i="19"/>
  <c r="CQ214" i="35"/>
  <c r="GL214" i="35"/>
  <c r="GZ214" i="35" s="1"/>
  <c r="HB214" i="35" s="1"/>
  <c r="BY308" i="35"/>
  <c r="BZ308" i="35" s="1"/>
  <c r="CA308" i="35" s="1"/>
  <c r="BY295" i="35"/>
  <c r="BZ295" i="35" s="1"/>
  <c r="CA295" i="35" s="1"/>
  <c r="CW256" i="35"/>
  <c r="CU256" i="35"/>
  <c r="CV256" i="35"/>
  <c r="CT256" i="35"/>
  <c r="R256" i="19"/>
  <c r="GP256" i="35"/>
  <c r="CO227" i="35"/>
  <c r="GJ227" i="35"/>
  <c r="GX227" i="35" s="1"/>
  <c r="M227" i="19"/>
  <c r="I311" i="19"/>
  <c r="CK311" i="35"/>
  <c r="FW199" i="35"/>
  <c r="FZ199" i="35" s="1"/>
  <c r="GB199" i="35" s="1"/>
  <c r="FX199" i="35"/>
  <c r="GN226" i="35"/>
  <c r="HJ226" i="35" s="1"/>
  <c r="Q226" i="19"/>
  <c r="AC226" i="19" s="1"/>
  <c r="DR275" i="35"/>
  <c r="EW275" i="35"/>
  <c r="H275" i="19"/>
  <c r="CI275" i="35"/>
  <c r="CJ275" i="35"/>
  <c r="FV235" i="35"/>
  <c r="FW235" i="35" s="1"/>
  <c r="FZ235" i="35" s="1"/>
  <c r="GB235" i="35" s="1"/>
  <c r="M235" i="19"/>
  <c r="CZ238" i="35"/>
  <c r="Y238" i="19" s="1"/>
  <c r="GH238" i="35"/>
  <c r="GV238" i="35" s="1"/>
  <c r="HD238" i="35" s="1"/>
  <c r="HG238" i="35" s="1"/>
  <c r="DC324" i="35"/>
  <c r="I286" i="19"/>
  <c r="FN238" i="35"/>
  <c r="FV238" i="35" s="1"/>
  <c r="FX238" i="35" s="1"/>
  <c r="CM238" i="35"/>
  <c r="GJ238" i="35" s="1"/>
  <c r="GX238" i="35" s="1"/>
  <c r="CY238" i="35"/>
  <c r="X238" i="19" s="1"/>
  <c r="K238" i="19"/>
  <c r="CX238" i="35"/>
  <c r="W238" i="19" s="1"/>
  <c r="K242" i="19"/>
  <c r="CX242" i="35"/>
  <c r="W242" i="19" s="1"/>
  <c r="CS242" i="35"/>
  <c r="CM242" i="35"/>
  <c r="CZ242" i="35"/>
  <c r="Y242" i="19" s="1"/>
  <c r="FN242" i="35"/>
  <c r="GH242" i="35"/>
  <c r="GV242" i="35" s="1"/>
  <c r="HD242" i="35" s="1"/>
  <c r="DA242" i="35"/>
  <c r="Z242" i="19" s="1"/>
  <c r="CY242" i="35"/>
  <c r="X242" i="19" s="1"/>
  <c r="K314" i="19"/>
  <c r="CQ274" i="35"/>
  <c r="GN274" i="35" s="1"/>
  <c r="HJ274" i="35" s="1"/>
  <c r="CZ314" i="35"/>
  <c r="Y314" i="19" s="1"/>
  <c r="CZ312" i="35"/>
  <c r="Y312" i="19" s="1"/>
  <c r="V247" i="19"/>
  <c r="CS314" i="35"/>
  <c r="R314" i="19" s="1"/>
  <c r="CY312" i="35"/>
  <c r="X312" i="19" s="1"/>
  <c r="CY314" i="35"/>
  <c r="X314" i="19" s="1"/>
  <c r="FN314" i="35"/>
  <c r="FP314" i="35" s="1"/>
  <c r="FR314" i="35" s="1"/>
  <c r="DA312" i="35"/>
  <c r="Z312" i="19" s="1"/>
  <c r="CM314" i="35"/>
  <c r="GJ314" i="35" s="1"/>
  <c r="GX314" i="35" s="1"/>
  <c r="CX312" i="35"/>
  <c r="W312" i="19" s="1"/>
  <c r="FP244" i="35"/>
  <c r="FR244" i="35" s="1"/>
  <c r="FT244" i="35" s="1"/>
  <c r="CX314" i="35"/>
  <c r="W314" i="19" s="1"/>
  <c r="GH314" i="35"/>
  <c r="GV314" i="35" s="1"/>
  <c r="HD314" i="35" s="1"/>
  <c r="HG314" i="35" s="1"/>
  <c r="FV263" i="35"/>
  <c r="S274" i="19"/>
  <c r="GQ274" i="35"/>
  <c r="T274" i="19"/>
  <c r="GR274" i="35"/>
  <c r="U274" i="19"/>
  <c r="GS274" i="35"/>
  <c r="CS279" i="35"/>
  <c r="CU279" i="35" s="1"/>
  <c r="T279" i="19" s="1"/>
  <c r="CF295" i="35"/>
  <c r="CG295" i="35" s="1"/>
  <c r="CI295" i="35" s="1"/>
  <c r="V274" i="19"/>
  <c r="GT274" i="35"/>
  <c r="CU302" i="35"/>
  <c r="T302" i="19" s="1"/>
  <c r="FW244" i="35"/>
  <c r="FZ244" i="35" s="1"/>
  <c r="GB244" i="35" s="1"/>
  <c r="HF263" i="35"/>
  <c r="HH263" i="35"/>
  <c r="HG244" i="35"/>
  <c r="CQ232" i="35"/>
  <c r="CI299" i="35"/>
  <c r="I299" i="19" s="1"/>
  <c r="CM239" i="35"/>
  <c r="CO239" i="35" s="1"/>
  <c r="O239" i="19" s="1"/>
  <c r="CY239" i="35"/>
  <c r="X239" i="19" s="1"/>
  <c r="FN239" i="35"/>
  <c r="FP239" i="35" s="1"/>
  <c r="FR239" i="35" s="1"/>
  <c r="HE244" i="35"/>
  <c r="GH239" i="35"/>
  <c r="GV239" i="35" s="1"/>
  <c r="HD239" i="35" s="1"/>
  <c r="HF239" i="35" s="1"/>
  <c r="U247" i="19"/>
  <c r="Q244" i="19"/>
  <c r="AC244" i="19" s="1"/>
  <c r="DA288" i="35"/>
  <c r="Z288" i="19" s="1"/>
  <c r="DA239" i="35"/>
  <c r="Z239" i="19" s="1"/>
  <c r="CZ239" i="35"/>
  <c r="Y239" i="19" s="1"/>
  <c r="H299" i="19"/>
  <c r="GL244" i="35"/>
  <c r="GZ244" i="35" s="1"/>
  <c r="HB244" i="35" s="1"/>
  <c r="HJ244" i="35" s="1"/>
  <c r="HH244" i="35"/>
  <c r="U263" i="19"/>
  <c r="M244" i="19"/>
  <c r="Q236" i="19"/>
  <c r="AC236" i="19" s="1"/>
  <c r="O244" i="19"/>
  <c r="GJ244" i="35"/>
  <c r="GX244" i="35" s="1"/>
  <c r="CW244" i="35"/>
  <c r="CT244" i="35"/>
  <c r="R244" i="19"/>
  <c r="GP244" i="35"/>
  <c r="CU244" i="35"/>
  <c r="CV244" i="35"/>
  <c r="U231" i="19"/>
  <c r="O302" i="19"/>
  <c r="CQ302" i="35"/>
  <c r="Q302" i="19" s="1"/>
  <c r="AC302" i="19" s="1"/>
  <c r="FP302" i="35"/>
  <c r="FR302" i="35" s="1"/>
  <c r="CH326" i="35"/>
  <c r="J326" i="19" s="1"/>
  <c r="FX302" i="35"/>
  <c r="EW327" i="35"/>
  <c r="CM270" i="35"/>
  <c r="CO270" i="35" s="1"/>
  <c r="GL270" i="35" s="1"/>
  <c r="GZ270" i="35" s="1"/>
  <c r="HB270" i="35" s="1"/>
  <c r="R235" i="19"/>
  <c r="CT235" i="35"/>
  <c r="CU235" i="35"/>
  <c r="CV235" i="35"/>
  <c r="CW235" i="35"/>
  <c r="GP235" i="35"/>
  <c r="HF235" i="35"/>
  <c r="HG235" i="35"/>
  <c r="HE235" i="35"/>
  <c r="HH235" i="35"/>
  <c r="CV302" i="35"/>
  <c r="U302" i="19" s="1"/>
  <c r="GP302" i="35"/>
  <c r="M302" i="19"/>
  <c r="CK259" i="35"/>
  <c r="CZ259" i="35" s="1"/>
  <c r="Y259" i="19" s="1"/>
  <c r="O263" i="19"/>
  <c r="CQ263" i="35"/>
  <c r="BW377" i="35"/>
  <c r="GT263" i="35"/>
  <c r="V263" i="19"/>
  <c r="CF308" i="35"/>
  <c r="CG308" i="35" s="1"/>
  <c r="BW301" i="35"/>
  <c r="CT239" i="35"/>
  <c r="GQ239" i="35" s="1"/>
  <c r="R239" i="19"/>
  <c r="CQ282" i="35"/>
  <c r="O282" i="19"/>
  <c r="GL282" i="35"/>
  <c r="GZ282" i="35" s="1"/>
  <c r="HB282" i="35" s="1"/>
  <c r="BW353" i="35"/>
  <c r="BW376" i="35"/>
  <c r="FX231" i="35"/>
  <c r="BW349" i="35"/>
  <c r="CW239" i="35"/>
  <c r="GT250" i="35"/>
  <c r="V231" i="19"/>
  <c r="CZ313" i="35"/>
  <c r="Y313" i="19" s="1"/>
  <c r="CU239" i="35"/>
  <c r="BW366" i="35"/>
  <c r="GJ302" i="35"/>
  <c r="GX302" i="35" s="1"/>
  <c r="CV239" i="35"/>
  <c r="V282" i="19"/>
  <c r="GT282" i="35"/>
  <c r="GQ282" i="35"/>
  <c r="S282" i="19"/>
  <c r="GS282" i="35"/>
  <c r="U282" i="19"/>
  <c r="GH313" i="35"/>
  <c r="GV313" i="35" s="1"/>
  <c r="HD313" i="35" s="1"/>
  <c r="Q247" i="19"/>
  <c r="AC247" i="19" s="1"/>
  <c r="GR263" i="35"/>
  <c r="T263" i="19"/>
  <c r="FX282" i="35"/>
  <c r="FW282" i="35"/>
  <c r="FZ282" i="35" s="1"/>
  <c r="GB282" i="35" s="1"/>
  <c r="T282" i="19"/>
  <c r="GR282" i="35"/>
  <c r="I326" i="19"/>
  <c r="T247" i="19"/>
  <c r="V240" i="19"/>
  <c r="GL245" i="35"/>
  <c r="GZ245" i="35" s="1"/>
  <c r="HB245" i="35" s="1"/>
  <c r="S240" i="19"/>
  <c r="H327" i="19"/>
  <c r="CT302" i="35"/>
  <c r="S302" i="19" s="1"/>
  <c r="DV326" i="35"/>
  <c r="DR327" i="35"/>
  <c r="DV327" i="35" s="1"/>
  <c r="CJ327" i="35"/>
  <c r="I327" i="19" s="1"/>
  <c r="CW302" i="35"/>
  <c r="V302" i="19" s="1"/>
  <c r="HG302" i="35"/>
  <c r="GR245" i="35"/>
  <c r="GT245" i="35"/>
  <c r="HE302" i="35"/>
  <c r="HH302" i="35"/>
  <c r="CJ347" i="35"/>
  <c r="DR347" i="35"/>
  <c r="DT347" i="35" s="1"/>
  <c r="H347" i="19"/>
  <c r="CI347" i="35"/>
  <c r="EW347" i="35"/>
  <c r="CS259" i="35"/>
  <c r="CT259" i="35" s="1"/>
  <c r="S259" i="19" s="1"/>
  <c r="GN231" i="35"/>
  <c r="HJ231" i="35" s="1"/>
  <c r="FP300" i="35"/>
  <c r="FR300" i="35" s="1"/>
  <c r="HF300" i="35"/>
  <c r="HE300" i="35"/>
  <c r="CF297" i="35"/>
  <c r="CG297" i="35" s="1"/>
  <c r="CJ297" i="35" s="1"/>
  <c r="HG300" i="35"/>
  <c r="CF336" i="35"/>
  <c r="CG336" i="35" s="1"/>
  <c r="K259" i="19"/>
  <c r="CA347" i="35"/>
  <c r="DC347" i="35" s="1"/>
  <c r="U300" i="19"/>
  <c r="FV250" i="35"/>
  <c r="FW250" i="35" s="1"/>
  <c r="FZ250" i="35" s="1"/>
  <c r="GB250" i="35" s="1"/>
  <c r="GP281" i="35"/>
  <c r="HF281" i="35"/>
  <c r="HG281" i="35"/>
  <c r="HH281" i="35"/>
  <c r="M300" i="19"/>
  <c r="CT281" i="35"/>
  <c r="CW238" i="35"/>
  <c r="GT238" i="35" s="1"/>
  <c r="CW281" i="35"/>
  <c r="GT281" i="35" s="1"/>
  <c r="CU238" i="35"/>
  <c r="T238" i="19" s="1"/>
  <c r="GP238" i="35"/>
  <c r="S300" i="19"/>
  <c r="CV281" i="35"/>
  <c r="U281" i="19" s="1"/>
  <c r="V300" i="19"/>
  <c r="CU281" i="35"/>
  <c r="GR281" i="35" s="1"/>
  <c r="S247" i="19"/>
  <c r="CO300" i="35"/>
  <c r="CQ300" i="35" s="1"/>
  <c r="GN300" i="35" s="1"/>
  <c r="FV281" i="35"/>
  <c r="FP281" i="35"/>
  <c r="FR281" i="35" s="1"/>
  <c r="FW280" i="35"/>
  <c r="FZ280" i="35" s="1"/>
  <c r="GB280" i="35" s="1"/>
  <c r="DT324" i="35"/>
  <c r="FW300" i="35"/>
  <c r="FZ300" i="35" s="1"/>
  <c r="GB300" i="35" s="1"/>
  <c r="K280" i="19"/>
  <c r="CY280" i="35"/>
  <c r="X280" i="19" s="1"/>
  <c r="GS250" i="35"/>
  <c r="CX280" i="35"/>
  <c r="W280" i="19" s="1"/>
  <c r="FP280" i="35"/>
  <c r="FR280" i="35" s="1"/>
  <c r="CM280" i="35"/>
  <c r="M280" i="19" s="1"/>
  <c r="CM276" i="35"/>
  <c r="CO276" i="35" s="1"/>
  <c r="CQ276" i="35" s="1"/>
  <c r="S245" i="19"/>
  <c r="GR240" i="35"/>
  <c r="FW247" i="35"/>
  <c r="FZ247" i="35" s="1"/>
  <c r="GB247" i="35" s="1"/>
  <c r="CH327" i="35"/>
  <c r="J327" i="19" s="1"/>
  <c r="M281" i="19"/>
  <c r="CO281" i="35"/>
  <c r="CQ281" i="35" s="1"/>
  <c r="CZ270" i="35"/>
  <c r="Y270" i="19" s="1"/>
  <c r="K270" i="19"/>
  <c r="CX270" i="35"/>
  <c r="W270" i="19" s="1"/>
  <c r="GH270" i="35"/>
  <c r="GV270" i="35" s="1"/>
  <c r="HD270" i="35" s="1"/>
  <c r="HF270" i="35" s="1"/>
  <c r="S250" i="19"/>
  <c r="DA270" i="35"/>
  <c r="Z270" i="19" s="1"/>
  <c r="CS270" i="35"/>
  <c r="CU270" i="35" s="1"/>
  <c r="T270" i="19" s="1"/>
  <c r="FN270" i="35"/>
  <c r="FP270" i="35" s="1"/>
  <c r="FR270" i="35" s="1"/>
  <c r="FT270" i="35" s="1"/>
  <c r="GS240" i="35"/>
  <c r="CJ292" i="35"/>
  <c r="DR292" i="35"/>
  <c r="DT292" i="35" s="1"/>
  <c r="CQ245" i="35"/>
  <c r="CO250" i="35"/>
  <c r="GL250" i="35" s="1"/>
  <c r="GZ250" i="35" s="1"/>
  <c r="HB250" i="35" s="1"/>
  <c r="HF250" i="35"/>
  <c r="HH250" i="35"/>
  <c r="GJ250" i="35"/>
  <c r="GX250" i="35" s="1"/>
  <c r="CZ343" i="35"/>
  <c r="Y343" i="19" s="1"/>
  <c r="HG250" i="35"/>
  <c r="CV238" i="35"/>
  <c r="R238" i="19"/>
  <c r="CI292" i="35"/>
  <c r="BT344" i="35"/>
  <c r="BW344" i="35" s="1"/>
  <c r="BY344" i="35" s="1"/>
  <c r="BZ344" i="35" s="1"/>
  <c r="BT318" i="35"/>
  <c r="BW318" i="35" s="1"/>
  <c r="BY318" i="35" s="1"/>
  <c r="BZ318" i="35" s="1"/>
  <c r="CQ240" i="35"/>
  <c r="GN240" i="35" s="1"/>
  <c r="S238" i="19"/>
  <c r="DA280" i="35"/>
  <c r="Z280" i="19" s="1"/>
  <c r="GH280" i="35"/>
  <c r="GV280" i="35" s="1"/>
  <c r="HD280" i="35" s="1"/>
  <c r="HH280" i="35" s="1"/>
  <c r="CV312" i="35"/>
  <c r="GL240" i="35"/>
  <c r="GZ240" i="35" s="1"/>
  <c r="HB240" i="35" s="1"/>
  <c r="CZ280" i="35"/>
  <c r="Y280" i="19" s="1"/>
  <c r="CS280" i="35"/>
  <c r="GP280" i="35" s="1"/>
  <c r="HF312" i="35"/>
  <c r="HE312" i="35"/>
  <c r="DC361" i="35"/>
  <c r="CH361" i="35"/>
  <c r="J361" i="19" s="1"/>
  <c r="CH317" i="35"/>
  <c r="J317" i="19" s="1"/>
  <c r="DC317" i="35"/>
  <c r="I335" i="19"/>
  <c r="I322" i="19"/>
  <c r="DT322" i="35"/>
  <c r="DV322" i="35"/>
  <c r="DT307" i="35"/>
  <c r="CH290" i="35"/>
  <c r="J290" i="19" s="1"/>
  <c r="DC290" i="35"/>
  <c r="CJ290" i="35"/>
  <c r="CJ307" i="35"/>
  <c r="DV321" i="35"/>
  <c r="DT321" i="35"/>
  <c r="Q258" i="19"/>
  <c r="AC258" i="19" s="1"/>
  <c r="GN258" i="35"/>
  <c r="HJ258" i="35" s="1"/>
  <c r="J321" i="19"/>
  <c r="CK321" i="35"/>
  <c r="BT323" i="35"/>
  <c r="BW323" i="35" s="1"/>
  <c r="BY323" i="35" s="1"/>
  <c r="BZ323" i="35" s="1"/>
  <c r="M262" i="19"/>
  <c r="GJ262" i="35"/>
  <c r="GX262" i="35" s="1"/>
  <c r="CO262" i="35"/>
  <c r="CI307" i="35"/>
  <c r="BT340" i="35"/>
  <c r="GH298" i="35"/>
  <c r="GV298" i="35" s="1"/>
  <c r="HD298" i="35" s="1"/>
  <c r="CX298" i="35"/>
  <c r="W298" i="19" s="1"/>
  <c r="DV334" i="35"/>
  <c r="DT334" i="35"/>
  <c r="CI290" i="35"/>
  <c r="BT328" i="35"/>
  <c r="FN298" i="35"/>
  <c r="FP298" i="35" s="1"/>
  <c r="FR298" i="35" s="1"/>
  <c r="I321" i="19"/>
  <c r="CF365" i="35"/>
  <c r="CG365" i="35" s="1"/>
  <c r="CA365" i="35"/>
  <c r="Q273" i="19"/>
  <c r="AC273" i="19" s="1"/>
  <c r="GN273" i="35"/>
  <c r="HJ273" i="35" s="1"/>
  <c r="K298" i="19"/>
  <c r="DA298" i="35"/>
  <c r="Z298" i="19" s="1"/>
  <c r="R262" i="19"/>
  <c r="GP262" i="35"/>
  <c r="CW262" i="35"/>
  <c r="CU262" i="35"/>
  <c r="CT262" i="35"/>
  <c r="CV262" i="35"/>
  <c r="CA294" i="35"/>
  <c r="CF294" i="35"/>
  <c r="CG294" i="35" s="1"/>
  <c r="M303" i="19"/>
  <c r="GJ303" i="35"/>
  <c r="GX303" i="35" s="1"/>
  <c r="CO303" i="35"/>
  <c r="CA367" i="35"/>
  <c r="CF367" i="35"/>
  <c r="CG367" i="35" s="1"/>
  <c r="Q200" i="19"/>
  <c r="AC200" i="19" s="1"/>
  <c r="GN200" i="35"/>
  <c r="HJ200" i="35" s="1"/>
  <c r="T272" i="19"/>
  <c r="GR272" i="35"/>
  <c r="BT356" i="35"/>
  <c r="BW356" i="35" s="1"/>
  <c r="BY356" i="35" s="1"/>
  <c r="BZ356" i="35" s="1"/>
  <c r="CT310" i="35"/>
  <c r="R310" i="19"/>
  <c r="CV310" i="35"/>
  <c r="CU310" i="35"/>
  <c r="GP310" i="35"/>
  <c r="CW310" i="35"/>
  <c r="GN278" i="35"/>
  <c r="HJ278" i="35" s="1"/>
  <c r="Q278" i="19"/>
  <c r="AC278" i="19" s="1"/>
  <c r="BT375" i="35"/>
  <c r="FP262" i="35"/>
  <c r="FR262" i="35" s="1"/>
  <c r="FT262" i="35" s="1"/>
  <c r="FV262" i="35"/>
  <c r="Q264" i="19"/>
  <c r="AC264" i="19" s="1"/>
  <c r="GN264" i="35"/>
  <c r="HJ264" i="35" s="1"/>
  <c r="CA354" i="35"/>
  <c r="CF354" i="35"/>
  <c r="CG354" i="35" s="1"/>
  <c r="CA325" i="35"/>
  <c r="CZ298" i="35"/>
  <c r="Y298" i="19" s="1"/>
  <c r="CY298" i="35"/>
  <c r="X298" i="19" s="1"/>
  <c r="HE303" i="35"/>
  <c r="HH303" i="35"/>
  <c r="HG303" i="35"/>
  <c r="HF303" i="35"/>
  <c r="CQ272" i="35"/>
  <c r="O272" i="19"/>
  <c r="GL272" i="35"/>
  <c r="GZ272" i="35" s="1"/>
  <c r="HB272" i="35" s="1"/>
  <c r="U272" i="19"/>
  <c r="GS272" i="35"/>
  <c r="BT333" i="35"/>
  <c r="BW333" i="35" s="1"/>
  <c r="BY333" i="35" s="1"/>
  <c r="BZ333" i="35" s="1"/>
  <c r="J334" i="19"/>
  <c r="CK334" i="35"/>
  <c r="BT338" i="35"/>
  <c r="DR290" i="35"/>
  <c r="DV290" i="35" s="1"/>
  <c r="H307" i="19"/>
  <c r="DC292" i="35"/>
  <c r="CH292" i="35"/>
  <c r="J292" i="19" s="1"/>
  <c r="V272" i="19"/>
  <c r="GT272" i="35"/>
  <c r="FW272" i="35"/>
  <c r="FZ272" i="35" s="1"/>
  <c r="GB272" i="35" s="1"/>
  <c r="FX272" i="35"/>
  <c r="GQ272" i="35"/>
  <c r="S272" i="19"/>
  <c r="DT335" i="35"/>
  <c r="DV335" i="35"/>
  <c r="BT337" i="35"/>
  <c r="CF317" i="35"/>
  <c r="CG317" i="35" s="1"/>
  <c r="CI317" i="35" s="1"/>
  <c r="J335" i="19"/>
  <c r="CK335" i="35"/>
  <c r="CW303" i="35"/>
  <c r="GP303" i="35"/>
  <c r="CU303" i="35"/>
  <c r="R303" i="19"/>
  <c r="CV303" i="35"/>
  <c r="CT303" i="35"/>
  <c r="EW331" i="35"/>
  <c r="H331" i="19"/>
  <c r="DR331" i="35"/>
  <c r="CI331" i="35"/>
  <c r="CJ331" i="35"/>
  <c r="GN267" i="35"/>
  <c r="HJ267" i="35" s="1"/>
  <c r="Q267" i="19"/>
  <c r="AC267" i="19" s="1"/>
  <c r="I334" i="19"/>
  <c r="BT341" i="35"/>
  <c r="BW341" i="35" s="1"/>
  <c r="BY341" i="35" s="1"/>
  <c r="BZ341" i="35" s="1"/>
  <c r="CF361" i="35"/>
  <c r="CG361" i="35" s="1"/>
  <c r="EW361" i="35" s="1"/>
  <c r="CM298" i="35"/>
  <c r="M298" i="19" s="1"/>
  <c r="HH262" i="35"/>
  <c r="HG262" i="35"/>
  <c r="HE262" i="35"/>
  <c r="HF262" i="35"/>
  <c r="FP303" i="35"/>
  <c r="FR303" i="35" s="1"/>
  <c r="FV303" i="35"/>
  <c r="DC307" i="35"/>
  <c r="CH307" i="35"/>
  <c r="J307" i="19" s="1"/>
  <c r="DC331" i="35"/>
  <c r="CH331" i="35"/>
  <c r="M310" i="19"/>
  <c r="GJ310" i="35"/>
  <c r="GX310" i="35" s="1"/>
  <c r="CO310" i="35"/>
  <c r="M293" i="19"/>
  <c r="CO293" i="35"/>
  <c r="GJ293" i="35"/>
  <c r="GX293" i="35" s="1"/>
  <c r="HG293" i="35"/>
  <c r="HE293" i="35"/>
  <c r="HH293" i="35"/>
  <c r="HF293" i="35"/>
  <c r="CV298" i="35"/>
  <c r="GS298" i="35" s="1"/>
  <c r="CU298" i="35"/>
  <c r="GR298" i="35" s="1"/>
  <c r="R293" i="19"/>
  <c r="CV293" i="35"/>
  <c r="GP293" i="35"/>
  <c r="CU293" i="35"/>
  <c r="CW293" i="35"/>
  <c r="CT293" i="35"/>
  <c r="CA336" i="35"/>
  <c r="GP298" i="35"/>
  <c r="CT298" i="35"/>
  <c r="S298" i="19" s="1"/>
  <c r="FV293" i="35"/>
  <c r="FP293" i="35"/>
  <c r="FR293" i="35" s="1"/>
  <c r="CW298" i="35"/>
  <c r="V298" i="19" s="1"/>
  <c r="BR320" i="35"/>
  <c r="BR319" i="35"/>
  <c r="BR345" i="35"/>
  <c r="BR342" i="35"/>
  <c r="BR346" i="35"/>
  <c r="BR357" i="35"/>
  <c r="BR329" i="35"/>
  <c r="BT329" i="35" s="1"/>
  <c r="BW329" i="35" s="1"/>
  <c r="BY329" i="35" s="1"/>
  <c r="BZ329" i="35" s="1"/>
  <c r="BJ350" i="35"/>
  <c r="BL350" i="35" s="1"/>
  <c r="BN350" i="35" s="1"/>
  <c r="BP350" i="35" s="1"/>
  <c r="BJ351" i="35"/>
  <c r="BL351" i="35" s="1"/>
  <c r="BN351" i="35" s="1"/>
  <c r="BP351" i="35" s="1"/>
  <c r="BJ368" i="35"/>
  <c r="BL368" i="35" s="1"/>
  <c r="BN368" i="35" s="1"/>
  <c r="BP368" i="35" s="1"/>
  <c r="BJ364" i="35"/>
  <c r="BJ374" i="35"/>
  <c r="BL374" i="35" s="1"/>
  <c r="BN374" i="35" s="1"/>
  <c r="BP374" i="35" s="1"/>
  <c r="BJ371" i="35"/>
  <c r="BL371" i="35" s="1"/>
  <c r="BN371" i="35" s="1"/>
  <c r="BP371" i="35" s="1"/>
  <c r="BJ348" i="35"/>
  <c r="BL348" i="35" s="1"/>
  <c r="BN348" i="35" s="1"/>
  <c r="BP348" i="35" s="1"/>
  <c r="BJ355" i="35"/>
  <c r="BL355" i="35" s="1"/>
  <c r="BN355" i="35" s="1"/>
  <c r="BP355" i="35" s="1"/>
  <c r="BJ359" i="35"/>
  <c r="BJ362" i="35"/>
  <c r="BL362" i="35" s="1"/>
  <c r="BN362" i="35" s="1"/>
  <c r="BP362" i="35" s="1"/>
  <c r="BJ352" i="35"/>
  <c r="BH372" i="35"/>
  <c r="BH370" i="35"/>
  <c r="BH363" i="35"/>
  <c r="AX378" i="35"/>
  <c r="AZ378" i="35" s="1"/>
  <c r="AW379" i="35"/>
  <c r="AV379" i="35"/>
  <c r="DP378" i="35"/>
  <c r="FT133" i="35"/>
  <c r="FT272" i="35"/>
  <c r="B66" i="37"/>
  <c r="BA21" i="37"/>
  <c r="F15" i="24"/>
  <c r="B38" i="9"/>
  <c r="B39" i="20" s="1"/>
  <c r="B38" i="34"/>
  <c r="B36" i="9"/>
  <c r="B37" i="20" s="1"/>
  <c r="B36" i="34"/>
  <c r="B40" i="9"/>
  <c r="B41" i="20" s="1"/>
  <c r="B40" i="34"/>
  <c r="B42" i="9"/>
  <c r="B43" i="20" s="1"/>
  <c r="B42" i="34"/>
  <c r="B44" i="9"/>
  <c r="B45" i="20" s="1"/>
  <c r="B44" i="34"/>
  <c r="B34" i="9"/>
  <c r="B35" i="20" s="1"/>
  <c r="B34" i="34"/>
  <c r="D44" i="9"/>
  <c r="D45" i="20" s="1"/>
  <c r="D38" i="9"/>
  <c r="D39" i="20" s="1"/>
  <c r="D40" i="9"/>
  <c r="D41" i="20" s="1"/>
  <c r="D34" i="9"/>
  <c r="D35" i="20" s="1"/>
  <c r="D36" i="9"/>
  <c r="D37" i="20" s="1"/>
  <c r="D42" i="9"/>
  <c r="D43" i="20" s="1"/>
  <c r="G59" i="6"/>
  <c r="G63" i="6"/>
  <c r="G65" i="6"/>
  <c r="G67" i="6"/>
  <c r="G61" i="6"/>
  <c r="G69" i="6"/>
  <c r="D3" i="13"/>
  <c r="H112" i="13" s="1"/>
  <c r="K288" i="19" l="1"/>
  <c r="HG312" i="35"/>
  <c r="DC339" i="35"/>
  <c r="FN288" i="35"/>
  <c r="FV288" i="35" s="1"/>
  <c r="FW288" i="35" s="1"/>
  <c r="FZ288" i="35" s="1"/>
  <c r="GB288" i="35" s="1"/>
  <c r="GL232" i="35"/>
  <c r="GZ232" i="35" s="1"/>
  <c r="HB232" i="35" s="1"/>
  <c r="CM288" i="35"/>
  <c r="CO288" i="35" s="1"/>
  <c r="CQ288" i="35" s="1"/>
  <c r="Q288" i="19" s="1"/>
  <c r="AC288" i="19" s="1"/>
  <c r="GJ232" i="35"/>
  <c r="GX232" i="35" s="1"/>
  <c r="M232" i="19"/>
  <c r="CZ288" i="35"/>
  <c r="Y288" i="19" s="1"/>
  <c r="DC285" i="35"/>
  <c r="CF315" i="35"/>
  <c r="CG315" i="35" s="1"/>
  <c r="DR315" i="35" s="1"/>
  <c r="DV315" i="35" s="1"/>
  <c r="CS288" i="35"/>
  <c r="GP288" i="35" s="1"/>
  <c r="CA296" i="35"/>
  <c r="CX288" i="35"/>
  <c r="W288" i="19" s="1"/>
  <c r="GH288" i="35"/>
  <c r="GV288" i="35" s="1"/>
  <c r="HD288" i="35" s="1"/>
  <c r="HG288" i="35" s="1"/>
  <c r="CF291" i="35"/>
  <c r="CG291" i="35" s="1"/>
  <c r="H291" i="19" s="1"/>
  <c r="CM279" i="35"/>
  <c r="GJ279" i="35" s="1"/>
  <c r="GX279" i="35" s="1"/>
  <c r="CZ279" i="35"/>
  <c r="Y279" i="19" s="1"/>
  <c r="DA279" i="35"/>
  <c r="Z279" i="19" s="1"/>
  <c r="HF279" i="35"/>
  <c r="HG232" i="35"/>
  <c r="CW279" i="35"/>
  <c r="V279" i="19" s="1"/>
  <c r="HH279" i="35"/>
  <c r="HF232" i="35"/>
  <c r="FN279" i="35"/>
  <c r="FV279" i="35" s="1"/>
  <c r="FW279" i="35" s="1"/>
  <c r="FZ279" i="35" s="1"/>
  <c r="GB279" i="35" s="1"/>
  <c r="HE232" i="35"/>
  <c r="CX279" i="35"/>
  <c r="W279" i="19" s="1"/>
  <c r="CZ257" i="35"/>
  <c r="Y257" i="19" s="1"/>
  <c r="CM257" i="35"/>
  <c r="GJ257" i="35" s="1"/>
  <c r="GX257" i="35" s="1"/>
  <c r="DA257" i="35"/>
  <c r="Z257" i="19" s="1"/>
  <c r="GH257" i="35"/>
  <c r="GV257" i="35" s="1"/>
  <c r="HD257" i="35" s="1"/>
  <c r="HF257" i="35" s="1"/>
  <c r="CS257" i="35"/>
  <c r="GP257" i="35" s="1"/>
  <c r="DT330" i="35"/>
  <c r="FN257" i="35"/>
  <c r="FV257" i="35" s="1"/>
  <c r="FW257" i="35" s="1"/>
  <c r="FZ257" i="35" s="1"/>
  <c r="GB257" i="35" s="1"/>
  <c r="CX257" i="35"/>
  <c r="W257" i="19" s="1"/>
  <c r="U230" i="19"/>
  <c r="GS230" i="35"/>
  <c r="CX343" i="35"/>
  <c r="W343" i="19" s="1"/>
  <c r="CW230" i="35"/>
  <c r="GT230" i="35" s="1"/>
  <c r="CT230" i="35"/>
  <c r="GQ230" i="35" s="1"/>
  <c r="FP310" i="35"/>
  <c r="FR310" i="35" s="1"/>
  <c r="GP312" i="35"/>
  <c r="CY343" i="35"/>
  <c r="X343" i="19" s="1"/>
  <c r="CS343" i="35"/>
  <c r="CT232" i="35"/>
  <c r="CW232" i="35"/>
  <c r="V232" i="19" s="1"/>
  <c r="GR232" i="35"/>
  <c r="CA287" i="35"/>
  <c r="CH287" i="35" s="1"/>
  <c r="J287" i="19" s="1"/>
  <c r="CU230" i="35"/>
  <c r="GR230" i="35" s="1"/>
  <c r="R279" i="19"/>
  <c r="CV232" i="35"/>
  <c r="U232" i="19" s="1"/>
  <c r="DA313" i="35"/>
  <c r="Z313" i="19" s="1"/>
  <c r="GP232" i="35"/>
  <c r="GP279" i="35"/>
  <c r="R232" i="19"/>
  <c r="CK265" i="35"/>
  <c r="FN265" i="35" s="1"/>
  <c r="HE230" i="35"/>
  <c r="CH373" i="35"/>
  <c r="J373" i="19" s="1"/>
  <c r="CY276" i="35"/>
  <c r="X276" i="19" s="1"/>
  <c r="CI296" i="35"/>
  <c r="HF246" i="35"/>
  <c r="HE246" i="35"/>
  <c r="HH246" i="35"/>
  <c r="HG246" i="35"/>
  <c r="FX288" i="35"/>
  <c r="FN343" i="35"/>
  <c r="FP343" i="35" s="1"/>
  <c r="FR343" i="35" s="1"/>
  <c r="CJ296" i="35"/>
  <c r="I296" i="19" s="1"/>
  <c r="CY313" i="35"/>
  <c r="X313" i="19" s="1"/>
  <c r="H332" i="19"/>
  <c r="CI332" i="35"/>
  <c r="HG249" i="35"/>
  <c r="HE249" i="35"/>
  <c r="HF249" i="35"/>
  <c r="HH249" i="35"/>
  <c r="FW204" i="35"/>
  <c r="FZ204" i="35" s="1"/>
  <c r="GB204" i="35" s="1"/>
  <c r="FX204" i="35"/>
  <c r="V204" i="19"/>
  <c r="GT204" i="35"/>
  <c r="DV285" i="35"/>
  <c r="O268" i="19"/>
  <c r="CQ268" i="35"/>
  <c r="GL268" i="35"/>
  <c r="GZ268" i="35" s="1"/>
  <c r="HB268" i="35" s="1"/>
  <c r="FV314" i="35"/>
  <c r="FW314" i="35" s="1"/>
  <c r="FZ314" i="35" s="1"/>
  <c r="GB314" i="35" s="1"/>
  <c r="K343" i="19"/>
  <c r="HH239" i="35"/>
  <c r="CX313" i="35"/>
  <c r="W313" i="19" s="1"/>
  <c r="CS313" i="35"/>
  <c r="CT313" i="35" s="1"/>
  <c r="GQ313" i="35" s="1"/>
  <c r="DR332" i="35"/>
  <c r="DT332" i="35" s="1"/>
  <c r="CH299" i="35"/>
  <c r="J299" i="19" s="1"/>
  <c r="CK283" i="35"/>
  <c r="DA283" i="35" s="1"/>
  <c r="Z283" i="19" s="1"/>
  <c r="FP230" i="35"/>
  <c r="FR230" i="35" s="1"/>
  <c r="FT230" i="35" s="1"/>
  <c r="FV230" i="35"/>
  <c r="CO243" i="35"/>
  <c r="M243" i="19"/>
  <c r="GJ243" i="35"/>
  <c r="GX243" i="35" s="1"/>
  <c r="FV249" i="35"/>
  <c r="FP249" i="35"/>
  <c r="FR249" i="35" s="1"/>
  <c r="GR279" i="35"/>
  <c r="DT339" i="35"/>
  <c r="HH230" i="35"/>
  <c r="CU243" i="35"/>
  <c r="CW243" i="35"/>
  <c r="CV243" i="35"/>
  <c r="R243" i="19"/>
  <c r="GP243" i="35"/>
  <c r="CT243" i="35"/>
  <c r="HE310" i="35"/>
  <c r="FP243" i="35"/>
  <c r="FR243" i="35" s="1"/>
  <c r="FV243" i="35"/>
  <c r="HG310" i="35"/>
  <c r="DA343" i="35"/>
  <c r="Z343" i="19" s="1"/>
  <c r="FN313" i="35"/>
  <c r="FP313" i="35" s="1"/>
  <c r="FR313" i="35" s="1"/>
  <c r="HE279" i="35"/>
  <c r="M257" i="19"/>
  <c r="K279" i="19"/>
  <c r="S204" i="19"/>
  <c r="GQ204" i="35"/>
  <c r="HH243" i="35"/>
  <c r="HE243" i="35"/>
  <c r="HG243" i="35"/>
  <c r="HF243" i="35"/>
  <c r="CU249" i="35"/>
  <c r="CT249" i="35"/>
  <c r="R249" i="19"/>
  <c r="CV249" i="35"/>
  <c r="GP249" i="35"/>
  <c r="CW249" i="35"/>
  <c r="CT246" i="35"/>
  <c r="CV246" i="35"/>
  <c r="CW246" i="35"/>
  <c r="CU246" i="35"/>
  <c r="GP246" i="35"/>
  <c r="R246" i="19"/>
  <c r="GP230" i="35"/>
  <c r="R230" i="19"/>
  <c r="CA358" i="35"/>
  <c r="HH310" i="35"/>
  <c r="CO257" i="35"/>
  <c r="GL257" i="35" s="1"/>
  <c r="GZ257" i="35" s="1"/>
  <c r="HB257" i="35" s="1"/>
  <c r="CO230" i="35"/>
  <c r="O230" i="19" s="1"/>
  <c r="FP312" i="35"/>
  <c r="FR312" i="35" s="1"/>
  <c r="CM343" i="35"/>
  <c r="GJ343" i="35" s="1"/>
  <c r="GX343" i="35" s="1"/>
  <c r="DA276" i="35"/>
  <c r="Z276" i="19" s="1"/>
  <c r="CM313" i="35"/>
  <c r="DC283" i="35"/>
  <c r="CY279" i="35"/>
  <c r="X279" i="19" s="1"/>
  <c r="I324" i="19"/>
  <c r="T204" i="19"/>
  <c r="GR204" i="35"/>
  <c r="CQ204" i="35"/>
  <c r="O204" i="19"/>
  <c r="GL204" i="35"/>
  <c r="GZ204" i="35" s="1"/>
  <c r="HB204" i="35" s="1"/>
  <c r="FV246" i="35"/>
  <c r="FP246" i="35"/>
  <c r="FR246" i="35" s="1"/>
  <c r="FT246" i="35" s="1"/>
  <c r="M230" i="19"/>
  <c r="M249" i="19"/>
  <c r="CO249" i="35"/>
  <c r="GJ249" i="35"/>
  <c r="GX249" i="35" s="1"/>
  <c r="K276" i="19"/>
  <c r="GS204" i="35"/>
  <c r="U204" i="19"/>
  <c r="CJ315" i="35"/>
  <c r="DC360" i="35"/>
  <c r="FX235" i="35"/>
  <c r="HF230" i="35"/>
  <c r="GJ246" i="35"/>
  <c r="GX246" i="35" s="1"/>
  <c r="M246" i="19"/>
  <c r="CO246" i="35"/>
  <c r="CH295" i="35"/>
  <c r="J295" i="19" s="1"/>
  <c r="DC295" i="35"/>
  <c r="DR287" i="35"/>
  <c r="DT287" i="35" s="1"/>
  <c r="CJ287" i="35"/>
  <c r="H287" i="19"/>
  <c r="EW287" i="35"/>
  <c r="CI287" i="35"/>
  <c r="CH308" i="35"/>
  <c r="J308" i="19" s="1"/>
  <c r="DC308" i="35"/>
  <c r="FX268" i="35"/>
  <c r="FW268" i="35"/>
  <c r="FZ268" i="35" s="1"/>
  <c r="GB268" i="35" s="1"/>
  <c r="Q222" i="19"/>
  <c r="AC222" i="19" s="1"/>
  <c r="GN222" i="35"/>
  <c r="HJ222" i="35" s="1"/>
  <c r="I285" i="19"/>
  <c r="Q203" i="19"/>
  <c r="AC203" i="19" s="1"/>
  <c r="GN203" i="35"/>
  <c r="HJ203" i="35" s="1"/>
  <c r="J284" i="19"/>
  <c r="CK284" i="35"/>
  <c r="EW295" i="35"/>
  <c r="FX279" i="35"/>
  <c r="FP279" i="35"/>
  <c r="FR279" i="35" s="1"/>
  <c r="EW315" i="35"/>
  <c r="S268" i="19"/>
  <c r="GQ268" i="35"/>
  <c r="CV279" i="35"/>
  <c r="U279" i="19" s="1"/>
  <c r="T268" i="19"/>
  <c r="GR268" i="35"/>
  <c r="Q255" i="19"/>
  <c r="AC255" i="19" s="1"/>
  <c r="GN255" i="35"/>
  <c r="HJ255" i="35" s="1"/>
  <c r="HE238" i="35"/>
  <c r="HH238" i="35"/>
  <c r="CF373" i="35"/>
  <c r="CG373" i="35" s="1"/>
  <c r="HF238" i="35"/>
  <c r="CT279" i="35"/>
  <c r="S279" i="19" s="1"/>
  <c r="CF360" i="35"/>
  <c r="CG360" i="35" s="1"/>
  <c r="CJ309" i="35"/>
  <c r="CI309" i="35"/>
  <c r="EW309" i="35"/>
  <c r="DR309" i="35"/>
  <c r="DT309" i="35" s="1"/>
  <c r="H309" i="19"/>
  <c r="DC291" i="35"/>
  <c r="CH291" i="35"/>
  <c r="J291" i="19" s="1"/>
  <c r="CJ358" i="35"/>
  <c r="CI358" i="35"/>
  <c r="DR358" i="35"/>
  <c r="DV358" i="35" s="1"/>
  <c r="EW358" i="35"/>
  <c r="H358" i="19"/>
  <c r="CH315" i="35"/>
  <c r="J315" i="19" s="1"/>
  <c r="DC315" i="35"/>
  <c r="CF306" i="35"/>
  <c r="CG306" i="35" s="1"/>
  <c r="M223" i="19"/>
  <c r="GJ223" i="35"/>
  <c r="GX223" i="35" s="1"/>
  <c r="CO223" i="35"/>
  <c r="CZ276" i="35"/>
  <c r="Y276" i="19" s="1"/>
  <c r="BY366" i="35"/>
  <c r="BZ366" i="35" s="1"/>
  <c r="CF366" i="35" s="1"/>
  <c r="CG366" i="35" s="1"/>
  <c r="H366" i="19" s="1"/>
  <c r="CW312" i="35"/>
  <c r="V312" i="19" s="1"/>
  <c r="GJ312" i="35"/>
  <c r="GX312" i="35" s="1"/>
  <c r="M238" i="19"/>
  <c r="CM259" i="35"/>
  <c r="GJ259" i="35" s="1"/>
  <c r="GX259" i="35" s="1"/>
  <c r="GR256" i="35"/>
  <c r="T256" i="19"/>
  <c r="GT260" i="35"/>
  <c r="V260" i="19"/>
  <c r="FP223" i="35"/>
  <c r="FR223" i="35" s="1"/>
  <c r="FV223" i="35"/>
  <c r="CA309" i="35"/>
  <c r="DC304" i="35"/>
  <c r="U256" i="19"/>
  <c r="GS256" i="35"/>
  <c r="FX260" i="35"/>
  <c r="FW260" i="35"/>
  <c r="FZ260" i="35" s="1"/>
  <c r="GB260" i="35" s="1"/>
  <c r="R312" i="19"/>
  <c r="M312" i="19"/>
  <c r="CO238" i="35"/>
  <c r="GL238" i="35" s="1"/>
  <c r="GZ238" i="35" s="1"/>
  <c r="HB238" i="35" s="1"/>
  <c r="FX257" i="35"/>
  <c r="BY349" i="35"/>
  <c r="BZ349" i="35" s="1"/>
  <c r="CF349" i="35" s="1"/>
  <c r="CG349" i="35" s="1"/>
  <c r="V256" i="19"/>
  <c r="GT256" i="35"/>
  <c r="HF241" i="35"/>
  <c r="HH241" i="35"/>
  <c r="HG241" i="35"/>
  <c r="HE241" i="35"/>
  <c r="FW256" i="35"/>
  <c r="FZ256" i="35" s="1"/>
  <c r="GB256" i="35" s="1"/>
  <c r="FX256" i="35"/>
  <c r="T260" i="19"/>
  <c r="GR260" i="35"/>
  <c r="GQ227" i="35"/>
  <c r="S227" i="19"/>
  <c r="DV265" i="35"/>
  <c r="DT265" i="35"/>
  <c r="DC330" i="35"/>
  <c r="CH330" i="35"/>
  <c r="O260" i="19"/>
  <c r="GL260" i="35"/>
  <c r="GZ260" i="35" s="1"/>
  <c r="HB260" i="35" s="1"/>
  <c r="CQ260" i="35"/>
  <c r="DT283" i="35"/>
  <c r="DV283" i="35"/>
  <c r="CQ227" i="35"/>
  <c r="GL227" i="35"/>
  <c r="GZ227" i="35" s="1"/>
  <c r="HB227" i="35" s="1"/>
  <c r="O227" i="19"/>
  <c r="BY301" i="35"/>
  <c r="BZ301" i="35" s="1"/>
  <c r="CF301" i="35" s="1"/>
  <c r="CG301" i="35" s="1"/>
  <c r="S256" i="19"/>
  <c r="GQ256" i="35"/>
  <c r="CF304" i="35"/>
  <c r="CG304" i="35" s="1"/>
  <c r="GP223" i="35"/>
  <c r="R223" i="19"/>
  <c r="CW223" i="35"/>
  <c r="CT223" i="35"/>
  <c r="CV223" i="35"/>
  <c r="CU223" i="35"/>
  <c r="CJ295" i="35"/>
  <c r="I295" i="19" s="1"/>
  <c r="I283" i="19"/>
  <c r="CU312" i="35"/>
  <c r="GR312" i="35" s="1"/>
  <c r="H295" i="19"/>
  <c r="FP257" i="35"/>
  <c r="FR257" i="35" s="1"/>
  <c r="FP241" i="35"/>
  <c r="FR241" i="35" s="1"/>
  <c r="FV241" i="35"/>
  <c r="GQ260" i="35"/>
  <c r="S260" i="19"/>
  <c r="V227" i="19"/>
  <c r="GT227" i="35"/>
  <c r="I265" i="19"/>
  <c r="HH223" i="35"/>
  <c r="HF223" i="35"/>
  <c r="HG223" i="35"/>
  <c r="HE223" i="35"/>
  <c r="DV287" i="35"/>
  <c r="H315" i="19"/>
  <c r="FP238" i="35"/>
  <c r="FR238" i="35" s="1"/>
  <c r="FT238" i="35" s="1"/>
  <c r="GH276" i="35"/>
  <c r="GV276" i="35" s="1"/>
  <c r="HD276" i="35" s="1"/>
  <c r="HE276" i="35" s="1"/>
  <c r="CY311" i="35"/>
  <c r="X311" i="19" s="1"/>
  <c r="CZ311" i="35"/>
  <c r="Y311" i="19" s="1"/>
  <c r="CX311" i="35"/>
  <c r="W311" i="19" s="1"/>
  <c r="K311" i="19"/>
  <c r="FN311" i="35"/>
  <c r="CS311" i="35"/>
  <c r="CM311" i="35"/>
  <c r="GH311" i="35"/>
  <c r="GV311" i="35" s="1"/>
  <c r="HD311" i="35" s="1"/>
  <c r="DA311" i="35"/>
  <c r="Z311" i="19" s="1"/>
  <c r="Q201" i="19"/>
  <c r="AC201" i="19" s="1"/>
  <c r="GN201" i="35"/>
  <c r="HJ201" i="35" s="1"/>
  <c r="GS227" i="35"/>
  <c r="U227" i="19"/>
  <c r="EW296" i="35"/>
  <c r="H296" i="19"/>
  <c r="CK275" i="35"/>
  <c r="I275" i="19"/>
  <c r="CQ256" i="35"/>
  <c r="GL256" i="35"/>
  <c r="GZ256" i="35" s="1"/>
  <c r="HB256" i="35" s="1"/>
  <c r="O256" i="19"/>
  <c r="CH322" i="35"/>
  <c r="DC322" i="35"/>
  <c r="DT299" i="35"/>
  <c r="DR295" i="35"/>
  <c r="DT295" i="35" s="1"/>
  <c r="U260" i="19"/>
  <c r="GS260" i="35"/>
  <c r="GR227" i="35"/>
  <c r="T227" i="19"/>
  <c r="Q199" i="19"/>
  <c r="AC199" i="19" s="1"/>
  <c r="GN199" i="35"/>
  <c r="HJ199" i="35" s="1"/>
  <c r="J316" i="19"/>
  <c r="CK316" i="35"/>
  <c r="FW238" i="35"/>
  <c r="FZ238" i="35" s="1"/>
  <c r="GB238" i="35" s="1"/>
  <c r="FN276" i="35"/>
  <c r="FV276" i="35" s="1"/>
  <c r="FW276" i="35" s="1"/>
  <c r="FZ276" i="35" s="1"/>
  <c r="GB276" i="35" s="1"/>
  <c r="CQ230" i="35"/>
  <c r="GN230" i="35" s="1"/>
  <c r="BY376" i="35"/>
  <c r="BZ376" i="35" s="1"/>
  <c r="CF376" i="35" s="1"/>
  <c r="CG376" i="35" s="1"/>
  <c r="BY377" i="35"/>
  <c r="BZ377" i="35" s="1"/>
  <c r="CA377" i="35" s="1"/>
  <c r="GJ241" i="35"/>
  <c r="GX241" i="35" s="1"/>
  <c r="M241" i="19"/>
  <c r="CO241" i="35"/>
  <c r="FX227" i="35"/>
  <c r="FW227" i="35"/>
  <c r="FZ227" i="35" s="1"/>
  <c r="GB227" i="35" s="1"/>
  <c r="CY289" i="35"/>
  <c r="X289" i="19" s="1"/>
  <c r="CM289" i="35"/>
  <c r="FN289" i="35"/>
  <c r="K289" i="19"/>
  <c r="DA289" i="35"/>
  <c r="Z289" i="19" s="1"/>
  <c r="GH289" i="35"/>
  <c r="GV289" i="35" s="1"/>
  <c r="HD289" i="35" s="1"/>
  <c r="CX289" i="35"/>
  <c r="W289" i="19" s="1"/>
  <c r="CS289" i="35"/>
  <c r="CZ289" i="35"/>
  <c r="Y289" i="19" s="1"/>
  <c r="GN214" i="35"/>
  <c r="HJ214" i="35" s="1"/>
  <c r="Q214" i="19"/>
  <c r="AC214" i="19" s="1"/>
  <c r="DV275" i="35"/>
  <c r="DT275" i="35"/>
  <c r="Q235" i="19"/>
  <c r="AC235" i="19" s="1"/>
  <c r="DT315" i="35"/>
  <c r="CS276" i="35"/>
  <c r="CV276" i="35" s="1"/>
  <c r="U276" i="19" s="1"/>
  <c r="BY353" i="35"/>
  <c r="BZ353" i="35" s="1"/>
  <c r="CF353" i="35" s="1"/>
  <c r="CG353" i="35" s="1"/>
  <c r="CK286" i="35"/>
  <c r="FN286" i="35" s="1"/>
  <c r="FP286" i="35" s="1"/>
  <c r="FR286" i="35" s="1"/>
  <c r="CV241" i="35"/>
  <c r="R241" i="19"/>
  <c r="CW241" i="35"/>
  <c r="CT241" i="35"/>
  <c r="GP241" i="35"/>
  <c r="CU241" i="35"/>
  <c r="GN228" i="35"/>
  <c r="HJ228" i="35" s="1"/>
  <c r="Q228" i="19"/>
  <c r="AC228" i="19" s="1"/>
  <c r="K305" i="19"/>
  <c r="CZ305" i="35"/>
  <c r="Y305" i="19" s="1"/>
  <c r="CS305" i="35"/>
  <c r="DA305" i="35"/>
  <c r="Z305" i="19" s="1"/>
  <c r="CM305" i="35"/>
  <c r="CY305" i="35"/>
  <c r="X305" i="19" s="1"/>
  <c r="GH305" i="35"/>
  <c r="GV305" i="35" s="1"/>
  <c r="HD305" i="35" s="1"/>
  <c r="CX305" i="35"/>
  <c r="W305" i="19" s="1"/>
  <c r="FN305" i="35"/>
  <c r="I339" i="19"/>
  <c r="CK326" i="35"/>
  <c r="CX326" i="35" s="1"/>
  <c r="W326" i="19" s="1"/>
  <c r="CO314" i="35"/>
  <c r="O314" i="19" s="1"/>
  <c r="CT314" i="35"/>
  <c r="S314" i="19" s="1"/>
  <c r="CU314" i="35"/>
  <c r="GR314" i="35" s="1"/>
  <c r="GP314" i="35"/>
  <c r="M270" i="19"/>
  <c r="T230" i="19"/>
  <c r="Q274" i="19"/>
  <c r="AC274" i="19" s="1"/>
  <c r="DV296" i="35"/>
  <c r="M314" i="19"/>
  <c r="CW314" i="35"/>
  <c r="V314" i="19" s="1"/>
  <c r="R288" i="19"/>
  <c r="GT232" i="35"/>
  <c r="HF242" i="35"/>
  <c r="HH242" i="35"/>
  <c r="HE242" i="35"/>
  <c r="HG242" i="35"/>
  <c r="CV314" i="35"/>
  <c r="U314" i="19" s="1"/>
  <c r="CT288" i="35"/>
  <c r="S288" i="19" s="1"/>
  <c r="GJ242" i="35"/>
  <c r="GX242" i="35" s="1"/>
  <c r="M242" i="19"/>
  <c r="CO242" i="35"/>
  <c r="CO279" i="35"/>
  <c r="GL279" i="35" s="1"/>
  <c r="GZ279" i="35" s="1"/>
  <c r="HB279" i="35" s="1"/>
  <c r="GP242" i="35"/>
  <c r="CU242" i="35"/>
  <c r="CW242" i="35"/>
  <c r="CV242" i="35"/>
  <c r="CT242" i="35"/>
  <c r="R242" i="19"/>
  <c r="M279" i="19"/>
  <c r="FV242" i="35"/>
  <c r="FP242" i="35"/>
  <c r="FR242" i="35" s="1"/>
  <c r="FT242" i="35" s="1"/>
  <c r="CV288" i="35"/>
  <c r="U288" i="19" s="1"/>
  <c r="HH288" i="35"/>
  <c r="CU288" i="35"/>
  <c r="GR288" i="35" s="1"/>
  <c r="CI315" i="35"/>
  <c r="I315" i="19" s="1"/>
  <c r="CW288" i="35"/>
  <c r="GT288" i="35" s="1"/>
  <c r="GH259" i="35"/>
  <c r="GV259" i="35" s="1"/>
  <c r="HD259" i="35" s="1"/>
  <c r="HG259" i="35" s="1"/>
  <c r="HE314" i="35"/>
  <c r="HH314" i="35"/>
  <c r="FV239" i="35"/>
  <c r="FX239" i="35" s="1"/>
  <c r="GP276" i="35"/>
  <c r="HF314" i="35"/>
  <c r="M288" i="19"/>
  <c r="CQ270" i="35"/>
  <c r="GN270" i="35" s="1"/>
  <c r="HJ270" i="35" s="1"/>
  <c r="O257" i="19"/>
  <c r="FX263" i="35"/>
  <c r="FW263" i="35"/>
  <c r="FZ263" i="35" s="1"/>
  <c r="GB263" i="35" s="1"/>
  <c r="CQ257" i="35"/>
  <c r="Q257" i="19" s="1"/>
  <c r="AC257" i="19" s="1"/>
  <c r="GR302" i="35"/>
  <c r="Q232" i="19"/>
  <c r="AC232" i="19" s="1"/>
  <c r="GN232" i="35"/>
  <c r="HJ232" i="35" s="1"/>
  <c r="GH283" i="35"/>
  <c r="GV283" i="35" s="1"/>
  <c r="HD283" i="35" s="1"/>
  <c r="HF283" i="35" s="1"/>
  <c r="FN283" i="35"/>
  <c r="FV283" i="35" s="1"/>
  <c r="FW283" i="35" s="1"/>
  <c r="FZ283" i="35" s="1"/>
  <c r="GB283" i="35" s="1"/>
  <c r="GJ288" i="35"/>
  <c r="GX288" i="35" s="1"/>
  <c r="CY283" i="35"/>
  <c r="X283" i="19" s="1"/>
  <c r="CZ283" i="35"/>
  <c r="Y283" i="19" s="1"/>
  <c r="CS283" i="35"/>
  <c r="CV283" i="35" s="1"/>
  <c r="GS283" i="35" s="1"/>
  <c r="GQ232" i="35"/>
  <c r="S232" i="19"/>
  <c r="K283" i="19"/>
  <c r="GN288" i="35"/>
  <c r="M239" i="19"/>
  <c r="GJ239" i="35"/>
  <c r="GX239" i="35" s="1"/>
  <c r="FP288" i="35"/>
  <c r="FR288" i="35" s="1"/>
  <c r="CX283" i="35"/>
  <c r="W283" i="19" s="1"/>
  <c r="HE239" i="35"/>
  <c r="O288" i="19"/>
  <c r="GL288" i="35"/>
  <c r="GZ288" i="35" s="1"/>
  <c r="HB288" i="35" s="1"/>
  <c r="HG239" i="35"/>
  <c r="GJ313" i="35"/>
  <c r="GX313" i="35" s="1"/>
  <c r="M276" i="19"/>
  <c r="GN302" i="35"/>
  <c r="HJ302" i="35" s="1"/>
  <c r="GQ244" i="35"/>
  <c r="S244" i="19"/>
  <c r="GT244" i="35"/>
  <c r="V244" i="19"/>
  <c r="U244" i="19"/>
  <c r="GS244" i="35"/>
  <c r="CY259" i="35"/>
  <c r="X259" i="19" s="1"/>
  <c r="T244" i="19"/>
  <c r="GR244" i="35"/>
  <c r="O270" i="19"/>
  <c r="GJ270" i="35"/>
  <c r="GX270" i="35" s="1"/>
  <c r="GS302" i="35"/>
  <c r="GT302" i="35"/>
  <c r="GT235" i="35"/>
  <c r="V235" i="19"/>
  <c r="S235" i="19"/>
  <c r="GQ235" i="35"/>
  <c r="U235" i="19"/>
  <c r="GS235" i="35"/>
  <c r="GR235" i="35"/>
  <c r="T235" i="19"/>
  <c r="BW337" i="35"/>
  <c r="CA349" i="35"/>
  <c r="GR239" i="35"/>
  <c r="T239" i="19"/>
  <c r="GS239" i="35"/>
  <c r="U239" i="19"/>
  <c r="DA259" i="35"/>
  <c r="Z259" i="19" s="1"/>
  <c r="CX259" i="35"/>
  <c r="W259" i="19" s="1"/>
  <c r="R259" i="19"/>
  <c r="CV259" i="35"/>
  <c r="GS259" i="35" s="1"/>
  <c r="HH313" i="35"/>
  <c r="HF313" i="35"/>
  <c r="HE313" i="35"/>
  <c r="HG313" i="35"/>
  <c r="DR308" i="35"/>
  <c r="H308" i="19"/>
  <c r="CI308" i="35"/>
  <c r="CJ308" i="35"/>
  <c r="CW259" i="35"/>
  <c r="V259" i="19" s="1"/>
  <c r="BW375" i="35"/>
  <c r="CK339" i="35"/>
  <c r="CZ339" i="35" s="1"/>
  <c r="Y339" i="19" s="1"/>
  <c r="CH306" i="35"/>
  <c r="J306" i="19" s="1"/>
  <c r="DC306" i="35"/>
  <c r="GP259" i="35"/>
  <c r="GN263" i="35"/>
  <c r="HJ263" i="35" s="1"/>
  <c r="Q263" i="19"/>
  <c r="AC263" i="19" s="1"/>
  <c r="BW338" i="35"/>
  <c r="BW328" i="35"/>
  <c r="BW340" i="35"/>
  <c r="S239" i="19"/>
  <c r="CH296" i="35"/>
  <c r="DC296" i="35"/>
  <c r="FN259" i="35"/>
  <c r="FP259" i="35" s="1"/>
  <c r="FR259" i="35" s="1"/>
  <c r="J285" i="19"/>
  <c r="CK285" i="35"/>
  <c r="GN282" i="35"/>
  <c r="HJ282" i="35" s="1"/>
  <c r="Q282" i="19"/>
  <c r="AC282" i="19" s="1"/>
  <c r="CQ239" i="35"/>
  <c r="GL239" i="35"/>
  <c r="GZ239" i="35" s="1"/>
  <c r="HB239" i="35" s="1"/>
  <c r="FX250" i="35"/>
  <c r="CZ324" i="35"/>
  <c r="Y324" i="19" s="1"/>
  <c r="GR238" i="35"/>
  <c r="GT239" i="35"/>
  <c r="V239" i="19"/>
  <c r="GQ302" i="35"/>
  <c r="DV347" i="35"/>
  <c r="CU259" i="35"/>
  <c r="T259" i="19" s="1"/>
  <c r="GQ259" i="35"/>
  <c r="CO280" i="35"/>
  <c r="GL280" i="35" s="1"/>
  <c r="GZ280" i="35" s="1"/>
  <c r="HB280" i="35" s="1"/>
  <c r="DT327" i="35"/>
  <c r="I347" i="19"/>
  <c r="DR336" i="35"/>
  <c r="CI336" i="35"/>
  <c r="H336" i="19"/>
  <c r="EW336" i="35"/>
  <c r="CA297" i="35"/>
  <c r="DC297" i="35" s="1"/>
  <c r="CW270" i="35"/>
  <c r="V270" i="19" s="1"/>
  <c r="GP270" i="35"/>
  <c r="CH347" i="35"/>
  <c r="J347" i="19" s="1"/>
  <c r="GR270" i="35"/>
  <c r="I292" i="19"/>
  <c r="CO259" i="35"/>
  <c r="CQ259" i="35" s="1"/>
  <c r="GN259" i="35" s="1"/>
  <c r="GS281" i="35"/>
  <c r="DV295" i="35"/>
  <c r="M259" i="19"/>
  <c r="CA318" i="35"/>
  <c r="DC318" i="35" s="1"/>
  <c r="CJ336" i="35"/>
  <c r="CF344" i="35"/>
  <c r="CG344" i="35" s="1"/>
  <c r="V238" i="19"/>
  <c r="GT298" i="35"/>
  <c r="S281" i="19"/>
  <c r="Q281" i="19"/>
  <c r="AC281" i="19" s="1"/>
  <c r="GQ281" i="35"/>
  <c r="O281" i="19"/>
  <c r="GN281" i="35"/>
  <c r="V281" i="19"/>
  <c r="O300" i="19"/>
  <c r="FV270" i="35"/>
  <c r="FX270" i="35" s="1"/>
  <c r="CM324" i="35"/>
  <c r="CO324" i="35" s="1"/>
  <c r="O324" i="19" s="1"/>
  <c r="DA324" i="35"/>
  <c r="Z324" i="19" s="1"/>
  <c r="Q300" i="19"/>
  <c r="AC300" i="19" s="1"/>
  <c r="GL300" i="35"/>
  <c r="GZ300" i="35" s="1"/>
  <c r="HB300" i="35" s="1"/>
  <c r="HJ300" i="35" s="1"/>
  <c r="HF276" i="35"/>
  <c r="K324" i="19"/>
  <c r="HH270" i="35"/>
  <c r="HH276" i="35"/>
  <c r="GL281" i="35"/>
  <c r="GZ281" i="35" s="1"/>
  <c r="HB281" i="35" s="1"/>
  <c r="HH324" i="35"/>
  <c r="Q230" i="19"/>
  <c r="AC230" i="19" s="1"/>
  <c r="CY324" i="35"/>
  <c r="X324" i="19" s="1"/>
  <c r="GJ276" i="35"/>
  <c r="GX276" i="35" s="1"/>
  <c r="O276" i="19"/>
  <c r="GL276" i="35"/>
  <c r="GZ276" i="35" s="1"/>
  <c r="HB276" i="35" s="1"/>
  <c r="CT270" i="35"/>
  <c r="GQ270" i="35" s="1"/>
  <c r="FN324" i="35"/>
  <c r="FP324" i="35" s="1"/>
  <c r="FR324" i="35" s="1"/>
  <c r="CX324" i="35"/>
  <c r="W324" i="19" s="1"/>
  <c r="HG324" i="35"/>
  <c r="CS324" i="35"/>
  <c r="GP324" i="35" s="1"/>
  <c r="FX281" i="35"/>
  <c r="FW281" i="35"/>
  <c r="FZ281" i="35" s="1"/>
  <c r="GB281" i="35" s="1"/>
  <c r="HE324" i="35"/>
  <c r="CQ250" i="35"/>
  <c r="GN250" i="35" s="1"/>
  <c r="HJ250" i="35" s="1"/>
  <c r="T281" i="19"/>
  <c r="CK327" i="35"/>
  <c r="GH327" i="35" s="1"/>
  <c r="GV327" i="35" s="1"/>
  <c r="HD327" i="35" s="1"/>
  <c r="HH327" i="35" s="1"/>
  <c r="DV292" i="35"/>
  <c r="R270" i="19"/>
  <c r="CV270" i="35"/>
  <c r="U270" i="19" s="1"/>
  <c r="GJ280" i="35"/>
  <c r="GX280" i="35" s="1"/>
  <c r="CF325" i="35"/>
  <c r="CG325" i="35" s="1"/>
  <c r="H325" i="19" s="1"/>
  <c r="O250" i="19"/>
  <c r="HE270" i="35"/>
  <c r="HG270" i="35"/>
  <c r="CI297" i="35"/>
  <c r="I297" i="19" s="1"/>
  <c r="T298" i="19"/>
  <c r="FV298" i="35"/>
  <c r="FX298" i="35" s="1"/>
  <c r="Q245" i="19"/>
  <c r="AC245" i="19" s="1"/>
  <c r="GN245" i="35"/>
  <c r="HJ245" i="35" s="1"/>
  <c r="HE343" i="35"/>
  <c r="HH343" i="35"/>
  <c r="HF343" i="35"/>
  <c r="HG343" i="35"/>
  <c r="CT343" i="35"/>
  <c r="GP343" i="35"/>
  <c r="R343" i="19"/>
  <c r="CV343" i="35"/>
  <c r="CW343" i="35"/>
  <c r="CU343" i="35"/>
  <c r="GT279" i="35"/>
  <c r="GQ298" i="35"/>
  <c r="U238" i="19"/>
  <c r="GS238" i="35"/>
  <c r="CK292" i="35"/>
  <c r="GH292" i="35" s="1"/>
  <c r="GV292" i="35" s="1"/>
  <c r="HD292" i="35" s="1"/>
  <c r="HE292" i="35" s="1"/>
  <c r="CV280" i="35"/>
  <c r="GS280" i="35" s="1"/>
  <c r="HJ240" i="35"/>
  <c r="H317" i="19"/>
  <c r="CU280" i="35"/>
  <c r="GR280" i="35" s="1"/>
  <c r="DR361" i="35"/>
  <c r="DV361" i="35" s="1"/>
  <c r="CJ361" i="35"/>
  <c r="HE280" i="35"/>
  <c r="HF280" i="35"/>
  <c r="Q240" i="19"/>
  <c r="AC240" i="19" s="1"/>
  <c r="GS312" i="35"/>
  <c r="U312" i="19"/>
  <c r="DV309" i="35"/>
  <c r="HG280" i="35"/>
  <c r="CW280" i="35"/>
  <c r="GT280" i="35" s="1"/>
  <c r="R280" i="19"/>
  <c r="S312" i="19"/>
  <c r="GQ312" i="35"/>
  <c r="FX312" i="35"/>
  <c r="FW312" i="35"/>
  <c r="FZ312" i="35" s="1"/>
  <c r="GB312" i="35" s="1"/>
  <c r="CQ312" i="35"/>
  <c r="O312" i="19"/>
  <c r="GL312" i="35"/>
  <c r="GZ312" i="35" s="1"/>
  <c r="HB312" i="35" s="1"/>
  <c r="CT280" i="35"/>
  <c r="S280" i="19" s="1"/>
  <c r="H361" i="19"/>
  <c r="EW297" i="35"/>
  <c r="CJ317" i="35"/>
  <c r="CK317" i="35" s="1"/>
  <c r="CM317" i="35" s="1"/>
  <c r="CO317" i="35" s="1"/>
  <c r="DC325" i="35"/>
  <c r="CH325" i="35"/>
  <c r="J325" i="19" s="1"/>
  <c r="CI361" i="35"/>
  <c r="I290" i="19"/>
  <c r="CY326" i="35"/>
  <c r="X326" i="19" s="1"/>
  <c r="CS326" i="35"/>
  <c r="FN326" i="35"/>
  <c r="K326" i="19"/>
  <c r="CZ326" i="35"/>
  <c r="Y326" i="19" s="1"/>
  <c r="CM326" i="35"/>
  <c r="FX314" i="35"/>
  <c r="DR297" i="35"/>
  <c r="DT297" i="35" s="1"/>
  <c r="CA344" i="35"/>
  <c r="DC344" i="35" s="1"/>
  <c r="H297" i="19"/>
  <c r="U298" i="19"/>
  <c r="DR317" i="35"/>
  <c r="DV317" i="35" s="1"/>
  <c r="I307" i="19"/>
  <c r="EW317" i="35"/>
  <c r="BT342" i="35"/>
  <c r="BW342" i="35" s="1"/>
  <c r="BY342" i="35" s="1"/>
  <c r="BZ342" i="35" s="1"/>
  <c r="GS303" i="35"/>
  <c r="U303" i="19"/>
  <c r="DC354" i="35"/>
  <c r="CH354" i="35"/>
  <c r="J354" i="19" s="1"/>
  <c r="GS310" i="35"/>
  <c r="U310" i="19"/>
  <c r="Q272" i="19"/>
  <c r="AC272" i="19" s="1"/>
  <c r="GN272" i="35"/>
  <c r="HJ272" i="35" s="1"/>
  <c r="FW310" i="35"/>
  <c r="FZ310" i="35" s="1"/>
  <c r="GB310" i="35" s="1"/>
  <c r="FX310" i="35"/>
  <c r="CQ262" i="35"/>
  <c r="O262" i="19"/>
  <c r="GL262" i="35"/>
  <c r="GZ262" i="35" s="1"/>
  <c r="HB262" i="35" s="1"/>
  <c r="CA369" i="35"/>
  <c r="CF369" i="35"/>
  <c r="CG369" i="35" s="1"/>
  <c r="BT345" i="35"/>
  <c r="BW345" i="35" s="1"/>
  <c r="BY345" i="35" s="1"/>
  <c r="BZ345" i="35" s="1"/>
  <c r="FW303" i="35"/>
  <c r="FZ303" i="35" s="1"/>
  <c r="GB303" i="35" s="1"/>
  <c r="FX303" i="35"/>
  <c r="DT290" i="35"/>
  <c r="GT303" i="35"/>
  <c r="V303" i="19"/>
  <c r="CF356" i="35"/>
  <c r="CG356" i="35" s="1"/>
  <c r="CA356" i="35"/>
  <c r="U262" i="19"/>
  <c r="GS262" i="35"/>
  <c r="DC365" i="35"/>
  <c r="CH365" i="35"/>
  <c r="T310" i="19"/>
  <c r="GR310" i="35"/>
  <c r="CI294" i="35"/>
  <c r="CJ294" i="35"/>
  <c r="H294" i="19"/>
  <c r="DR294" i="35"/>
  <c r="FX262" i="35"/>
  <c r="FW262" i="35"/>
  <c r="FZ262" i="35" s="1"/>
  <c r="GB262" i="35" s="1"/>
  <c r="DC294" i="35"/>
  <c r="CH294" i="35"/>
  <c r="CK307" i="35"/>
  <c r="CS307" i="35" s="1"/>
  <c r="R307" i="19" s="1"/>
  <c r="GH335" i="35"/>
  <c r="GV335" i="35" s="1"/>
  <c r="HD335" i="35" s="1"/>
  <c r="CS335" i="35"/>
  <c r="FN335" i="35"/>
  <c r="K335" i="19"/>
  <c r="CY335" i="35"/>
  <c r="X335" i="19" s="1"/>
  <c r="DA335" i="35"/>
  <c r="Z335" i="19" s="1"/>
  <c r="CX335" i="35"/>
  <c r="W335" i="19" s="1"/>
  <c r="CZ335" i="35"/>
  <c r="Y335" i="19" s="1"/>
  <c r="CM335" i="35"/>
  <c r="CY334" i="35"/>
  <c r="X334" i="19" s="1"/>
  <c r="CX334" i="35"/>
  <c r="W334" i="19" s="1"/>
  <c r="DA334" i="35"/>
  <c r="Z334" i="19" s="1"/>
  <c r="CS334" i="35"/>
  <c r="K334" i="19"/>
  <c r="GH334" i="35"/>
  <c r="GV334" i="35" s="1"/>
  <c r="HD334" i="35" s="1"/>
  <c r="CZ334" i="35"/>
  <c r="Y334" i="19" s="1"/>
  <c r="CM334" i="35"/>
  <c r="FN334" i="35"/>
  <c r="GQ262" i="35"/>
  <c r="S262" i="19"/>
  <c r="EW365" i="35"/>
  <c r="DR365" i="35"/>
  <c r="CI365" i="35"/>
  <c r="H365" i="19"/>
  <c r="CJ365" i="35"/>
  <c r="CA323" i="35"/>
  <c r="CF323" i="35"/>
  <c r="CG323" i="35" s="1"/>
  <c r="DR323" i="35" s="1"/>
  <c r="DV323" i="35" s="1"/>
  <c r="CF341" i="35"/>
  <c r="CG341" i="35" s="1"/>
  <c r="DR341" i="35" s="1"/>
  <c r="DT341" i="35" s="1"/>
  <c r="CA341" i="35"/>
  <c r="GL303" i="35"/>
  <c r="GZ303" i="35" s="1"/>
  <c r="HB303" i="35" s="1"/>
  <c r="CQ303" i="35"/>
  <c r="O303" i="19"/>
  <c r="S310" i="19"/>
  <c r="GQ310" i="35"/>
  <c r="CQ310" i="35"/>
  <c r="O310" i="19"/>
  <c r="GL310" i="35"/>
  <c r="GZ310" i="35" s="1"/>
  <c r="HB310" i="35" s="1"/>
  <c r="CZ321" i="35"/>
  <c r="Y321" i="19" s="1"/>
  <c r="CX321" i="35"/>
  <c r="W321" i="19" s="1"/>
  <c r="CY321" i="35"/>
  <c r="X321" i="19" s="1"/>
  <c r="CM321" i="35"/>
  <c r="FN321" i="35"/>
  <c r="CS321" i="35"/>
  <c r="GH321" i="35"/>
  <c r="GV321" i="35" s="1"/>
  <c r="HD321" i="35" s="1"/>
  <c r="K321" i="19"/>
  <c r="DA321" i="35"/>
  <c r="Z321" i="19" s="1"/>
  <c r="BT319" i="35"/>
  <c r="I331" i="19"/>
  <c r="V262" i="19"/>
  <c r="GT262" i="35"/>
  <c r="S303" i="19"/>
  <c r="GQ303" i="35"/>
  <c r="T303" i="19"/>
  <c r="GR303" i="35"/>
  <c r="CA329" i="35"/>
  <c r="CO298" i="35"/>
  <c r="GJ298" i="35"/>
  <c r="GX298" i="35" s="1"/>
  <c r="DT331" i="35"/>
  <c r="DV331" i="35"/>
  <c r="CA333" i="35"/>
  <c r="CF333" i="35"/>
  <c r="CG333" i="35" s="1"/>
  <c r="CJ333" i="35" s="1"/>
  <c r="HE298" i="35"/>
  <c r="HH298" i="35"/>
  <c r="HF298" i="35"/>
  <c r="HG298" i="35"/>
  <c r="BT346" i="35"/>
  <c r="BW346" i="35" s="1"/>
  <c r="BY346" i="35" s="1"/>
  <c r="BZ346" i="35" s="1"/>
  <c r="GR262" i="35"/>
  <c r="T262" i="19"/>
  <c r="CK290" i="35"/>
  <c r="CX290" i="35" s="1"/>
  <c r="W290" i="19" s="1"/>
  <c r="BT357" i="35"/>
  <c r="BT320" i="35"/>
  <c r="J331" i="19"/>
  <c r="CK331" i="35"/>
  <c r="V310" i="19"/>
  <c r="GT310" i="35"/>
  <c r="CJ367" i="35"/>
  <c r="EW367" i="35"/>
  <c r="DR367" i="35"/>
  <c r="CI367" i="35"/>
  <c r="H367" i="19"/>
  <c r="CI354" i="35"/>
  <c r="H354" i="19"/>
  <c r="DR354" i="35"/>
  <c r="EW354" i="35"/>
  <c r="CJ354" i="35"/>
  <c r="CH367" i="35"/>
  <c r="DC367" i="35"/>
  <c r="CH336" i="35"/>
  <c r="J336" i="19" s="1"/>
  <c r="DC336" i="35"/>
  <c r="GQ293" i="35"/>
  <c r="S293" i="19"/>
  <c r="GT293" i="35"/>
  <c r="V293" i="19"/>
  <c r="U293" i="19"/>
  <c r="GS293" i="35"/>
  <c r="T293" i="19"/>
  <c r="GR293" i="35"/>
  <c r="CQ293" i="35"/>
  <c r="O293" i="19"/>
  <c r="GL293" i="35"/>
  <c r="GZ293" i="35" s="1"/>
  <c r="HB293" i="35" s="1"/>
  <c r="FW293" i="35"/>
  <c r="FZ293" i="35" s="1"/>
  <c r="GB293" i="35" s="1"/>
  <c r="FX293" i="35"/>
  <c r="BR371" i="35"/>
  <c r="BR355" i="35"/>
  <c r="BR348" i="35"/>
  <c r="BR362" i="35"/>
  <c r="BR374" i="35"/>
  <c r="BR350" i="35"/>
  <c r="BR368" i="35"/>
  <c r="BR351" i="35"/>
  <c r="BL359" i="35"/>
  <c r="BN359" i="35" s="1"/>
  <c r="BP359" i="35" s="1"/>
  <c r="BL352" i="35"/>
  <c r="BN352" i="35" s="1"/>
  <c r="BP352" i="35" s="1"/>
  <c r="BL364" i="35"/>
  <c r="BN364" i="35" s="1"/>
  <c r="BP364" i="35" s="1"/>
  <c r="BJ363" i="35"/>
  <c r="BL363" i="35" s="1"/>
  <c r="BN363" i="35" s="1"/>
  <c r="BP363" i="35" s="1"/>
  <c r="GN276" i="35"/>
  <c r="Q276" i="19"/>
  <c r="AC276" i="19" s="1"/>
  <c r="BJ370" i="35"/>
  <c r="BL370" i="35" s="1"/>
  <c r="BN370" i="35" s="1"/>
  <c r="BP370" i="35" s="1"/>
  <c r="BJ372" i="35"/>
  <c r="BL372" i="35" s="1"/>
  <c r="BN372" i="35" s="1"/>
  <c r="BP372" i="35" s="1"/>
  <c r="AX379" i="35"/>
  <c r="FT274" i="35"/>
  <c r="FT135" i="35"/>
  <c r="FB2" i="35"/>
  <c r="D14" i="37" s="1"/>
  <c r="BB21" i="37"/>
  <c r="B67" i="37"/>
  <c r="F20" i="5"/>
  <c r="F20" i="38" s="1"/>
  <c r="F17" i="24"/>
  <c r="F18" i="24" s="1"/>
  <c r="C1" i="24"/>
  <c r="A239" i="24"/>
  <c r="G66" i="7"/>
  <c r="H41" i="8" s="1"/>
  <c r="G70" i="7"/>
  <c r="H45" i="8" s="1"/>
  <c r="G64" i="7"/>
  <c r="H39" i="8" s="1"/>
  <c r="G68" i="7"/>
  <c r="H43" i="8" s="1"/>
  <c r="G62" i="7"/>
  <c r="H37" i="8" s="1"/>
  <c r="G60" i="7"/>
  <c r="H35" i="8" s="1"/>
  <c r="G34" i="34" s="1"/>
  <c r="DR291" i="35" l="1"/>
  <c r="V230" i="19"/>
  <c r="FX276" i="35"/>
  <c r="CJ291" i="35"/>
  <c r="GT314" i="35"/>
  <c r="HH257" i="35"/>
  <c r="HE288" i="35"/>
  <c r="CZ265" i="35"/>
  <c r="Y265" i="19" s="1"/>
  <c r="HF288" i="35"/>
  <c r="CI291" i="35"/>
  <c r="CX265" i="35"/>
  <c r="W265" i="19" s="1"/>
  <c r="CU257" i="35"/>
  <c r="CS265" i="35"/>
  <c r="CY265" i="35"/>
  <c r="X265" i="19" s="1"/>
  <c r="S230" i="19"/>
  <c r="K265" i="19"/>
  <c r="DA265" i="35"/>
  <c r="Z265" i="19" s="1"/>
  <c r="GH265" i="35"/>
  <c r="GV265" i="35" s="1"/>
  <c r="HD265" i="35" s="1"/>
  <c r="CM265" i="35"/>
  <c r="DC287" i="35"/>
  <c r="I287" i="19"/>
  <c r="HH259" i="35"/>
  <c r="GS232" i="35"/>
  <c r="R257" i="19"/>
  <c r="CT257" i="35"/>
  <c r="CW257" i="35"/>
  <c r="CV257" i="35"/>
  <c r="HG257" i="35"/>
  <c r="HE257" i="35"/>
  <c r="M343" i="19"/>
  <c r="GS279" i="35"/>
  <c r="CO343" i="35"/>
  <c r="GL343" i="35" s="1"/>
  <c r="GZ343" i="35" s="1"/>
  <c r="HB343" i="35" s="1"/>
  <c r="FW239" i="35"/>
  <c r="FZ239" i="35" s="1"/>
  <c r="GB239" i="35" s="1"/>
  <c r="CK287" i="35"/>
  <c r="GL249" i="35"/>
  <c r="GZ249" i="35" s="1"/>
  <c r="HB249" i="35" s="1"/>
  <c r="CQ249" i="35"/>
  <c r="O249" i="19"/>
  <c r="CK291" i="35"/>
  <c r="K291" i="19" s="1"/>
  <c r="M313" i="19"/>
  <c r="CO313" i="35"/>
  <c r="FX243" i="35"/>
  <c r="FW243" i="35"/>
  <c r="FZ243" i="35" s="1"/>
  <c r="GB243" i="35" s="1"/>
  <c r="HG276" i="35"/>
  <c r="FP276" i="35"/>
  <c r="FR276" i="35" s="1"/>
  <c r="FT276" i="35" s="1"/>
  <c r="CM283" i="35"/>
  <c r="M283" i="19" s="1"/>
  <c r="FX249" i="35"/>
  <c r="FW249" i="35"/>
  <c r="FZ249" i="35" s="1"/>
  <c r="GB249" i="35" s="1"/>
  <c r="T243" i="19"/>
  <c r="GR243" i="35"/>
  <c r="R313" i="19"/>
  <c r="GR246" i="35"/>
  <c r="T246" i="19"/>
  <c r="DC358" i="35"/>
  <c r="CH358" i="35"/>
  <c r="J358" i="19" s="1"/>
  <c r="CK299" i="35"/>
  <c r="K299" i="19" s="1"/>
  <c r="GQ279" i="35"/>
  <c r="CU313" i="35"/>
  <c r="T313" i="19" s="1"/>
  <c r="S313" i="19"/>
  <c r="GP313" i="35"/>
  <c r="GH286" i="35"/>
  <c r="GV286" i="35" s="1"/>
  <c r="HD286" i="35" s="1"/>
  <c r="HG286" i="35" s="1"/>
  <c r="GL230" i="35"/>
  <c r="GZ230" i="35" s="1"/>
  <c r="HB230" i="35" s="1"/>
  <c r="HJ230" i="35" s="1"/>
  <c r="FW246" i="35"/>
  <c r="FZ246" i="35" s="1"/>
  <c r="GB246" i="35" s="1"/>
  <c r="FX246" i="35"/>
  <c r="V246" i="19"/>
  <c r="GT246" i="35"/>
  <c r="GQ243" i="35"/>
  <c r="S243" i="19"/>
  <c r="GQ249" i="35"/>
  <c r="S249" i="19"/>
  <c r="GS288" i="35"/>
  <c r="DT358" i="35"/>
  <c r="GS246" i="35"/>
  <c r="U246" i="19"/>
  <c r="CQ243" i="35"/>
  <c r="GL243" i="35"/>
  <c r="GZ243" i="35" s="1"/>
  <c r="HB243" i="35" s="1"/>
  <c r="O243" i="19"/>
  <c r="FV343" i="35"/>
  <c r="FX343" i="35" s="1"/>
  <c r="I358" i="19"/>
  <c r="DV332" i="35"/>
  <c r="S246" i="19"/>
  <c r="GQ246" i="35"/>
  <c r="FW230" i="35"/>
  <c r="FZ230" i="35" s="1"/>
  <c r="GB230" i="35" s="1"/>
  <c r="FX230" i="35"/>
  <c r="GN268" i="35"/>
  <c r="HJ268" i="35" s="1"/>
  <c r="Q268" i="19"/>
  <c r="AC268" i="19" s="1"/>
  <c r="I332" i="19"/>
  <c r="CK332" i="35"/>
  <c r="U249" i="19"/>
  <c r="GS249" i="35"/>
  <c r="O246" i="19"/>
  <c r="CQ246" i="35"/>
  <c r="GL246" i="35"/>
  <c r="GZ246" i="35" s="1"/>
  <c r="HB246" i="35" s="1"/>
  <c r="T249" i="19"/>
  <c r="GR249" i="35"/>
  <c r="FV313" i="35"/>
  <c r="CV313" i="35"/>
  <c r="U313" i="19" s="1"/>
  <c r="CW313" i="35"/>
  <c r="GT313" i="35" s="1"/>
  <c r="Q204" i="19"/>
  <c r="AC204" i="19" s="1"/>
  <c r="GN204" i="35"/>
  <c r="HJ204" i="35" s="1"/>
  <c r="V249" i="19"/>
  <c r="GT249" i="35"/>
  <c r="GS243" i="35"/>
  <c r="U243" i="19"/>
  <c r="V243" i="19"/>
  <c r="GT243" i="35"/>
  <c r="EW373" i="35"/>
  <c r="H373" i="19"/>
  <c r="DR373" i="35"/>
  <c r="CI373" i="35"/>
  <c r="CJ373" i="35"/>
  <c r="GL324" i="35"/>
  <c r="GZ324" i="35" s="1"/>
  <c r="HB324" i="35" s="1"/>
  <c r="DA286" i="35"/>
  <c r="Z286" i="19" s="1"/>
  <c r="CZ286" i="35"/>
  <c r="Y286" i="19" s="1"/>
  <c r="CY286" i="35"/>
  <c r="X286" i="19" s="1"/>
  <c r="CM284" i="35"/>
  <c r="CY284" i="35"/>
  <c r="X284" i="19" s="1"/>
  <c r="FN284" i="35"/>
  <c r="CZ284" i="35"/>
  <c r="Y284" i="19" s="1"/>
  <c r="GH284" i="35"/>
  <c r="GV284" i="35" s="1"/>
  <c r="HD284" i="35" s="1"/>
  <c r="DA284" i="35"/>
  <c r="Z284" i="19" s="1"/>
  <c r="K284" i="19"/>
  <c r="CS284" i="35"/>
  <c r="CX284" i="35"/>
  <c r="W284" i="19" s="1"/>
  <c r="CQ324" i="35"/>
  <c r="Q324" i="19" s="1"/>
  <c r="AC324" i="19" s="1"/>
  <c r="V288" i="19"/>
  <c r="HE259" i="35"/>
  <c r="CA301" i="35"/>
  <c r="CH301" i="35" s="1"/>
  <c r="J301" i="19" s="1"/>
  <c r="H360" i="19"/>
  <c r="CI360" i="35"/>
  <c r="DR360" i="35"/>
  <c r="EW360" i="35"/>
  <c r="CJ360" i="35"/>
  <c r="CI301" i="35"/>
  <c r="H301" i="19"/>
  <c r="DR301" i="35"/>
  <c r="DT301" i="35" s="1"/>
  <c r="CJ301" i="35"/>
  <c r="EW301" i="35"/>
  <c r="DC377" i="35"/>
  <c r="CH377" i="35"/>
  <c r="J377" i="19" s="1"/>
  <c r="CI349" i="35"/>
  <c r="EW349" i="35"/>
  <c r="CJ349" i="35"/>
  <c r="DR349" i="35"/>
  <c r="DT349" i="35" s="1"/>
  <c r="H349" i="19"/>
  <c r="DR376" i="35"/>
  <c r="CI376" i="35"/>
  <c r="H376" i="19"/>
  <c r="CV305" i="35"/>
  <c r="CW305" i="35"/>
  <c r="R305" i="19"/>
  <c r="CU305" i="35"/>
  <c r="GP305" i="35"/>
  <c r="CT305" i="35"/>
  <c r="BY340" i="35"/>
  <c r="BZ340" i="35" s="1"/>
  <c r="CF340" i="35" s="1"/>
  <c r="CG340" i="35" s="1"/>
  <c r="CI340" i="35" s="1"/>
  <c r="CA353" i="35"/>
  <c r="I291" i="19"/>
  <c r="GS276" i="35"/>
  <c r="FV289" i="35"/>
  <c r="FP289" i="35"/>
  <c r="FR289" i="35" s="1"/>
  <c r="GR223" i="35"/>
  <c r="T223" i="19"/>
  <c r="FX223" i="35"/>
  <c r="FW223" i="35"/>
  <c r="FZ223" i="35" s="1"/>
  <c r="GB223" i="35" s="1"/>
  <c r="CA366" i="35"/>
  <c r="GQ314" i="35"/>
  <c r="DA326" i="35"/>
  <c r="Z326" i="19" s="1"/>
  <c r="GT312" i="35"/>
  <c r="GQ288" i="35"/>
  <c r="CK295" i="35"/>
  <c r="CY295" i="35" s="1"/>
  <c r="X295" i="19" s="1"/>
  <c r="T241" i="19"/>
  <c r="GR241" i="35"/>
  <c r="GJ289" i="35"/>
  <c r="GX289" i="35" s="1"/>
  <c r="CO289" i="35"/>
  <c r="M289" i="19"/>
  <c r="GS223" i="35"/>
  <c r="U223" i="19"/>
  <c r="GN227" i="35"/>
  <c r="HJ227" i="35" s="1"/>
  <c r="Q227" i="19"/>
  <c r="AC227" i="19" s="1"/>
  <c r="DA299" i="35"/>
  <c r="Z299" i="19" s="1"/>
  <c r="CT276" i="35"/>
  <c r="S276" i="19" s="1"/>
  <c r="CA376" i="35"/>
  <c r="GH326" i="35"/>
  <c r="GV326" i="35" s="1"/>
  <c r="HD326" i="35" s="1"/>
  <c r="HF326" i="35" s="1"/>
  <c r="CK315" i="35"/>
  <c r="CS315" i="35" s="1"/>
  <c r="GP315" i="35" s="1"/>
  <c r="FP305" i="35"/>
  <c r="FR305" i="35" s="1"/>
  <c r="FV305" i="35"/>
  <c r="GQ223" i="35"/>
  <c r="S223" i="19"/>
  <c r="CQ223" i="35"/>
  <c r="O223" i="19"/>
  <c r="GL223" i="35"/>
  <c r="GZ223" i="35" s="1"/>
  <c r="HB223" i="35" s="1"/>
  <c r="HH289" i="35"/>
  <c r="HE289" i="35"/>
  <c r="HF289" i="35"/>
  <c r="HG289" i="35"/>
  <c r="GQ241" i="35"/>
  <c r="S241" i="19"/>
  <c r="J322" i="19"/>
  <c r="CK322" i="35"/>
  <c r="V223" i="19"/>
  <c r="GT223" i="35"/>
  <c r="GH275" i="35"/>
  <c r="GV275" i="35" s="1"/>
  <c r="HD275" i="35" s="1"/>
  <c r="FN275" i="35"/>
  <c r="CZ275" i="35"/>
  <c r="Y275" i="19" s="1"/>
  <c r="CX275" i="35"/>
  <c r="W275" i="19" s="1"/>
  <c r="CY275" i="35"/>
  <c r="X275" i="19" s="1"/>
  <c r="DA275" i="35"/>
  <c r="Z275" i="19" s="1"/>
  <c r="CM275" i="35"/>
  <c r="CS275" i="35"/>
  <c r="K275" i="19"/>
  <c r="BY337" i="35"/>
  <c r="BZ337" i="35" s="1"/>
  <c r="CA337" i="35" s="1"/>
  <c r="T314" i="19"/>
  <c r="CQ314" i="35"/>
  <c r="Q314" i="19" s="1"/>
  <c r="AC314" i="19" s="1"/>
  <c r="CQ238" i="35"/>
  <c r="GN238" i="35" s="1"/>
  <c r="HJ238" i="35" s="1"/>
  <c r="HE305" i="35"/>
  <c r="HH305" i="35"/>
  <c r="HF305" i="35"/>
  <c r="HG305" i="35"/>
  <c r="V241" i="19"/>
  <c r="GT241" i="35"/>
  <c r="FW241" i="35"/>
  <c r="FZ241" i="35" s="1"/>
  <c r="GB241" i="35" s="1"/>
  <c r="FX241" i="35"/>
  <c r="Q260" i="19"/>
  <c r="AC260" i="19" s="1"/>
  <c r="GN260" i="35"/>
  <c r="HJ260" i="35" s="1"/>
  <c r="GL314" i="35"/>
  <c r="GZ314" i="35" s="1"/>
  <c r="HB314" i="35" s="1"/>
  <c r="T312" i="19"/>
  <c r="O238" i="19"/>
  <c r="CM286" i="35"/>
  <c r="M286" i="19" s="1"/>
  <c r="R276" i="19"/>
  <c r="GL241" i="35"/>
  <c r="GZ241" i="35" s="1"/>
  <c r="HB241" i="35" s="1"/>
  <c r="CQ241" i="35"/>
  <c r="O241" i="19"/>
  <c r="HE311" i="35"/>
  <c r="HH311" i="35"/>
  <c r="HF311" i="35"/>
  <c r="HG311" i="35"/>
  <c r="CI306" i="35"/>
  <c r="H306" i="19"/>
  <c r="CJ306" i="35"/>
  <c r="DR306" i="35"/>
  <c r="FP311" i="35"/>
  <c r="FR311" i="35" s="1"/>
  <c r="FV311" i="35"/>
  <c r="CF377" i="35"/>
  <c r="CG377" i="35" s="1"/>
  <c r="BY338" i="35"/>
  <c r="BZ338" i="35" s="1"/>
  <c r="CF338" i="35" s="1"/>
  <c r="CG338" i="35" s="1"/>
  <c r="DC309" i="35"/>
  <c r="CH309" i="35"/>
  <c r="CX316" i="35"/>
  <c r="W316" i="19" s="1"/>
  <c r="CM316" i="35"/>
  <c r="GH316" i="35"/>
  <c r="GV316" i="35" s="1"/>
  <c r="HD316" i="35" s="1"/>
  <c r="FN316" i="35"/>
  <c r="DA316" i="35"/>
  <c r="Z316" i="19" s="1"/>
  <c r="CY316" i="35"/>
  <c r="X316" i="19" s="1"/>
  <c r="CS316" i="35"/>
  <c r="K316" i="19"/>
  <c r="CZ316" i="35"/>
  <c r="Y316" i="19" s="1"/>
  <c r="CU276" i="35"/>
  <c r="GR276" i="35" s="1"/>
  <c r="GJ305" i="35"/>
  <c r="GX305" i="35" s="1"/>
  <c r="M305" i="19"/>
  <c r="CO305" i="35"/>
  <c r="U241" i="19"/>
  <c r="GS241" i="35"/>
  <c r="GN256" i="35"/>
  <c r="HJ256" i="35" s="1"/>
  <c r="Q256" i="19"/>
  <c r="AC256" i="19" s="1"/>
  <c r="GJ311" i="35"/>
  <c r="GX311" i="35" s="1"/>
  <c r="M311" i="19"/>
  <c r="CO311" i="35"/>
  <c r="CI304" i="35"/>
  <c r="H304" i="19"/>
  <c r="CJ304" i="35"/>
  <c r="DR304" i="35"/>
  <c r="I309" i="19"/>
  <c r="BY328" i="35"/>
  <c r="BZ328" i="35" s="1"/>
  <c r="CF328" i="35" s="1"/>
  <c r="CG328" i="35" s="1"/>
  <c r="CJ328" i="35" s="1"/>
  <c r="CW276" i="35"/>
  <c r="V276" i="19" s="1"/>
  <c r="BY375" i="35"/>
  <c r="BZ375" i="35" s="1"/>
  <c r="CA375" i="35" s="1"/>
  <c r="CX286" i="35"/>
  <c r="W286" i="19" s="1"/>
  <c r="K286" i="19"/>
  <c r="CS286" i="35"/>
  <c r="CV289" i="35"/>
  <c r="CW289" i="35"/>
  <c r="CU289" i="35"/>
  <c r="CT289" i="35"/>
  <c r="GP289" i="35"/>
  <c r="R289" i="19"/>
  <c r="CU311" i="35"/>
  <c r="R311" i="19"/>
  <c r="CV311" i="35"/>
  <c r="CT311" i="35"/>
  <c r="CW311" i="35"/>
  <c r="GP311" i="35"/>
  <c r="J330" i="19"/>
  <c r="CK330" i="35"/>
  <c r="T288" i="19"/>
  <c r="GS314" i="35"/>
  <c r="O279" i="19"/>
  <c r="Q270" i="19"/>
  <c r="AC270" i="19" s="1"/>
  <c r="FV286" i="35"/>
  <c r="FW286" i="35" s="1"/>
  <c r="FZ286" i="35" s="1"/>
  <c r="GB286" i="35" s="1"/>
  <c r="FP283" i="35"/>
  <c r="FR283" i="35" s="1"/>
  <c r="O242" i="19"/>
  <c r="GL242" i="35"/>
  <c r="GZ242" i="35" s="1"/>
  <c r="HB242" i="35" s="1"/>
  <c r="CQ242" i="35"/>
  <c r="K287" i="19"/>
  <c r="CQ279" i="35"/>
  <c r="GN279" i="35" s="1"/>
  <c r="HJ279" i="35" s="1"/>
  <c r="FN287" i="35"/>
  <c r="FV287" i="35" s="1"/>
  <c r="CS287" i="35"/>
  <c r="CT287" i="35" s="1"/>
  <c r="S287" i="19" s="1"/>
  <c r="GH287" i="35"/>
  <c r="GV287" i="35" s="1"/>
  <c r="HD287" i="35" s="1"/>
  <c r="HG287" i="35" s="1"/>
  <c r="S242" i="19"/>
  <c r="GQ242" i="35"/>
  <c r="FX283" i="35"/>
  <c r="U242" i="19"/>
  <c r="GS242" i="35"/>
  <c r="T242" i="19"/>
  <c r="GR242" i="35"/>
  <c r="CZ287" i="35"/>
  <c r="Y287" i="19" s="1"/>
  <c r="CX287" i="35"/>
  <c r="W287" i="19" s="1"/>
  <c r="FW242" i="35"/>
  <c r="FZ242" i="35" s="1"/>
  <c r="GB242" i="35" s="1"/>
  <c r="FX242" i="35"/>
  <c r="CY287" i="35"/>
  <c r="X287" i="19" s="1"/>
  <c r="HF259" i="35"/>
  <c r="V242" i="19"/>
  <c r="GT242" i="35"/>
  <c r="CJ376" i="35"/>
  <c r="CF375" i="35"/>
  <c r="CG375" i="35" s="1"/>
  <c r="CI375" i="35" s="1"/>
  <c r="HH283" i="35"/>
  <c r="EW376" i="35"/>
  <c r="V313" i="19"/>
  <c r="HG283" i="35"/>
  <c r="HE265" i="35"/>
  <c r="HF265" i="35"/>
  <c r="HG265" i="35"/>
  <c r="HH265" i="35"/>
  <c r="GT259" i="35"/>
  <c r="GP265" i="35"/>
  <c r="CV265" i="35"/>
  <c r="CW265" i="35"/>
  <c r="R265" i="19"/>
  <c r="CT265" i="35"/>
  <c r="CU265" i="35"/>
  <c r="GN257" i="35"/>
  <c r="HJ257" i="35" s="1"/>
  <c r="GJ265" i="35"/>
  <c r="GX265" i="35" s="1"/>
  <c r="CO265" i="35"/>
  <c r="M265" i="19"/>
  <c r="HE283" i="35"/>
  <c r="FV265" i="35"/>
  <c r="FP265" i="35"/>
  <c r="FR265" i="35" s="1"/>
  <c r="H353" i="19"/>
  <c r="CI353" i="35"/>
  <c r="CJ353" i="35"/>
  <c r="EW353" i="35"/>
  <c r="DR353" i="35"/>
  <c r="CT283" i="35"/>
  <c r="GQ283" i="35" s="1"/>
  <c r="CI366" i="35"/>
  <c r="HJ288" i="35"/>
  <c r="U283" i="19"/>
  <c r="CJ366" i="35"/>
  <c r="R283" i="19"/>
  <c r="GP283" i="35"/>
  <c r="CU283" i="35"/>
  <c r="T283" i="19" s="1"/>
  <c r="EW366" i="35"/>
  <c r="DR366" i="35"/>
  <c r="DV366" i="35" s="1"/>
  <c r="CW283" i="35"/>
  <c r="GT283" i="35" s="1"/>
  <c r="I336" i="19"/>
  <c r="GH339" i="35"/>
  <c r="GV339" i="35" s="1"/>
  <c r="HD339" i="35" s="1"/>
  <c r="HF339" i="35" s="1"/>
  <c r="CS339" i="35"/>
  <c r="R339" i="19" s="1"/>
  <c r="CX339" i="35"/>
  <c r="W339" i="19" s="1"/>
  <c r="GL259" i="35"/>
  <c r="GZ259" i="35" s="1"/>
  <c r="HB259" i="35" s="1"/>
  <c r="HJ259" i="35" s="1"/>
  <c r="FV324" i="35"/>
  <c r="FW324" i="35" s="1"/>
  <c r="FZ324" i="35" s="1"/>
  <c r="GB324" i="35" s="1"/>
  <c r="CY339" i="35"/>
  <c r="X339" i="19" s="1"/>
  <c r="FN339" i="35"/>
  <c r="FP339" i="35" s="1"/>
  <c r="FR339" i="35" s="1"/>
  <c r="HJ281" i="35"/>
  <c r="FX313" i="35"/>
  <c r="FW313" i="35"/>
  <c r="FZ313" i="35" s="1"/>
  <c r="GB313" i="35" s="1"/>
  <c r="HF292" i="35"/>
  <c r="FW270" i="35"/>
  <c r="FZ270" i="35" s="1"/>
  <c r="GB270" i="35" s="1"/>
  <c r="DA292" i="35"/>
  <c r="Z292" i="19" s="1"/>
  <c r="CJ325" i="35"/>
  <c r="EW325" i="35"/>
  <c r="CI325" i="35"/>
  <c r="CH297" i="35"/>
  <c r="J297" i="19" s="1"/>
  <c r="K327" i="19"/>
  <c r="DV308" i="35"/>
  <c r="DT308" i="35"/>
  <c r="FV259" i="35"/>
  <c r="FW259" i="35" s="1"/>
  <c r="FZ259" i="35" s="1"/>
  <c r="GB259" i="35" s="1"/>
  <c r="J296" i="19"/>
  <c r="CK296" i="35"/>
  <c r="I308" i="19"/>
  <c r="CZ327" i="35"/>
  <c r="Y327" i="19" s="1"/>
  <c r="U259" i="19"/>
  <c r="HF327" i="35"/>
  <c r="CK308" i="35"/>
  <c r="FN308" i="35" s="1"/>
  <c r="FV308" i="35" s="1"/>
  <c r="FW308" i="35" s="1"/>
  <c r="FZ308" i="35" s="1"/>
  <c r="GB308" i="35" s="1"/>
  <c r="O259" i="19"/>
  <c r="GJ324" i="35"/>
  <c r="GX324" i="35" s="1"/>
  <c r="DA339" i="35"/>
  <c r="Z339" i="19" s="1"/>
  <c r="Q239" i="19"/>
  <c r="AC239" i="19" s="1"/>
  <c r="GN239" i="35"/>
  <c r="HJ239" i="35" s="1"/>
  <c r="DR325" i="35"/>
  <c r="DV325" i="35" s="1"/>
  <c r="BW320" i="35"/>
  <c r="CM339" i="35"/>
  <c r="M339" i="19" s="1"/>
  <c r="BW319" i="35"/>
  <c r="BW357" i="35"/>
  <c r="DC349" i="35"/>
  <c r="CH349" i="35"/>
  <c r="J349" i="19" s="1"/>
  <c r="CZ295" i="35"/>
  <c r="Y295" i="19" s="1"/>
  <c r="Q259" i="19"/>
  <c r="AC259" i="19" s="1"/>
  <c r="M324" i="19"/>
  <c r="K339" i="19"/>
  <c r="CZ285" i="35"/>
  <c r="Y285" i="19" s="1"/>
  <c r="CX285" i="35"/>
  <c r="W285" i="19" s="1"/>
  <c r="CY285" i="35"/>
  <c r="X285" i="19" s="1"/>
  <c r="GH285" i="35"/>
  <c r="GV285" i="35" s="1"/>
  <c r="HD285" i="35" s="1"/>
  <c r="DA285" i="35"/>
  <c r="Z285" i="19" s="1"/>
  <c r="FN285" i="35"/>
  <c r="CM285" i="35"/>
  <c r="K285" i="19"/>
  <c r="CS285" i="35"/>
  <c r="DA327" i="35"/>
  <c r="Z327" i="19" s="1"/>
  <c r="CQ280" i="35"/>
  <c r="Q280" i="19" s="1"/>
  <c r="AC280" i="19" s="1"/>
  <c r="O280" i="19"/>
  <c r="CX292" i="35"/>
  <c r="W292" i="19" s="1"/>
  <c r="GT270" i="35"/>
  <c r="GR259" i="35"/>
  <c r="CX327" i="35"/>
  <c r="W327" i="19" s="1"/>
  <c r="CF318" i="35"/>
  <c r="CG318" i="35" s="1"/>
  <c r="CI318" i="35" s="1"/>
  <c r="HE327" i="35"/>
  <c r="CS327" i="35"/>
  <c r="GP327" i="35" s="1"/>
  <c r="EW344" i="35"/>
  <c r="H344" i="19"/>
  <c r="CJ344" i="35"/>
  <c r="DR344" i="35"/>
  <c r="DT344" i="35" s="1"/>
  <c r="CK347" i="35"/>
  <c r="FN347" i="35" s="1"/>
  <c r="CY327" i="35"/>
  <c r="X327" i="19" s="1"/>
  <c r="I361" i="19"/>
  <c r="DV336" i="35"/>
  <c r="DT336" i="35"/>
  <c r="CI344" i="35"/>
  <c r="CU324" i="35"/>
  <c r="T324" i="19" s="1"/>
  <c r="CH318" i="35"/>
  <c r="J318" i="19" s="1"/>
  <c r="R324" i="19"/>
  <c r="CV324" i="35"/>
  <c r="GS324" i="35" s="1"/>
  <c r="FN295" i="35"/>
  <c r="FP295" i="35" s="1"/>
  <c r="FR295" i="35" s="1"/>
  <c r="CW324" i="35"/>
  <c r="V324" i="19" s="1"/>
  <c r="CT324" i="35"/>
  <c r="S324" i="19" s="1"/>
  <c r="K295" i="19"/>
  <c r="HG327" i="35"/>
  <c r="FN327" i="35"/>
  <c r="FP327" i="35" s="1"/>
  <c r="FR327" i="35" s="1"/>
  <c r="CM327" i="35"/>
  <c r="CO327" i="35" s="1"/>
  <c r="GL327" i="35" s="1"/>
  <c r="GZ327" i="35" s="1"/>
  <c r="HB327" i="35" s="1"/>
  <c r="FW298" i="35"/>
  <c r="FZ298" i="35" s="1"/>
  <c r="GB298" i="35" s="1"/>
  <c r="CK297" i="35"/>
  <c r="CM297" i="35" s="1"/>
  <c r="CO297" i="35" s="1"/>
  <c r="O297" i="19" s="1"/>
  <c r="S270" i="19"/>
  <c r="CW315" i="35"/>
  <c r="GT315" i="35" s="1"/>
  <c r="Q238" i="19"/>
  <c r="AC238" i="19" s="1"/>
  <c r="V280" i="19"/>
  <c r="HJ276" i="35"/>
  <c r="Q250" i="19"/>
  <c r="AC250" i="19" s="1"/>
  <c r="GS270" i="35"/>
  <c r="CK361" i="35"/>
  <c r="GH361" i="35" s="1"/>
  <c r="GV361" i="35" s="1"/>
  <c r="HD361" i="35" s="1"/>
  <c r="HF361" i="35" s="1"/>
  <c r="CU315" i="35"/>
  <c r="GR315" i="35" s="1"/>
  <c r="DR340" i="35"/>
  <c r="DV340" i="35" s="1"/>
  <c r="GJ317" i="35"/>
  <c r="GX317" i="35" s="1"/>
  <c r="CX317" i="35"/>
  <c r="W317" i="19" s="1"/>
  <c r="DA290" i="35"/>
  <c r="Z290" i="19" s="1"/>
  <c r="CY307" i="35"/>
  <c r="X307" i="19" s="1"/>
  <c r="GH317" i="35"/>
  <c r="GV317" i="35" s="1"/>
  <c r="HD317" i="35" s="1"/>
  <c r="HE317" i="35" s="1"/>
  <c r="CX307" i="35"/>
  <c r="W307" i="19" s="1"/>
  <c r="CW307" i="35"/>
  <c r="GT307" i="35" s="1"/>
  <c r="CZ317" i="35"/>
  <c r="Y317" i="19" s="1"/>
  <c r="CU307" i="35"/>
  <c r="GR307" i="35" s="1"/>
  <c r="K307" i="19"/>
  <c r="M317" i="19"/>
  <c r="U280" i="19"/>
  <c r="CM292" i="35"/>
  <c r="CO292" i="35" s="1"/>
  <c r="GL292" i="35" s="1"/>
  <c r="GZ292" i="35" s="1"/>
  <c r="HB292" i="35" s="1"/>
  <c r="CY292" i="35"/>
  <c r="X292" i="19" s="1"/>
  <c r="T280" i="19"/>
  <c r="HG292" i="35"/>
  <c r="GT343" i="35"/>
  <c r="V343" i="19"/>
  <c r="H341" i="19"/>
  <c r="CZ292" i="35"/>
  <c r="Y292" i="19" s="1"/>
  <c r="K292" i="19"/>
  <c r="GS343" i="35"/>
  <c r="U343" i="19"/>
  <c r="O343" i="19"/>
  <c r="CS292" i="35"/>
  <c r="GP292" i="35" s="1"/>
  <c r="FN292" i="35"/>
  <c r="FP292" i="35" s="1"/>
  <c r="FR292" i="35" s="1"/>
  <c r="EW341" i="35"/>
  <c r="T343" i="19"/>
  <c r="GR343" i="35"/>
  <c r="HH292" i="35"/>
  <c r="CH344" i="35"/>
  <c r="J344" i="19" s="1"/>
  <c r="GQ343" i="35"/>
  <c r="S343" i="19"/>
  <c r="GH290" i="35"/>
  <c r="GV290" i="35" s="1"/>
  <c r="HD290" i="35" s="1"/>
  <c r="HF290" i="35" s="1"/>
  <c r="GQ280" i="35"/>
  <c r="BT355" i="35"/>
  <c r="BW355" i="35" s="1"/>
  <c r="BY355" i="35" s="1"/>
  <c r="BZ355" i="35" s="1"/>
  <c r="BT362" i="35"/>
  <c r="BW362" i="35" s="1"/>
  <c r="BY362" i="35" s="1"/>
  <c r="BZ362" i="35" s="1"/>
  <c r="GP307" i="35"/>
  <c r="CS317" i="35"/>
  <c r="R317" i="19" s="1"/>
  <c r="DA307" i="35"/>
  <c r="Z307" i="19" s="1"/>
  <c r="DT361" i="35"/>
  <c r="CY317" i="35"/>
  <c r="X317" i="19" s="1"/>
  <c r="FN307" i="35"/>
  <c r="FV307" i="35" s="1"/>
  <c r="FW307" i="35" s="1"/>
  <c r="FZ307" i="35" s="1"/>
  <c r="GB307" i="35" s="1"/>
  <c r="CM307" i="35"/>
  <c r="M307" i="19" s="1"/>
  <c r="CT307" i="35"/>
  <c r="GQ307" i="35" s="1"/>
  <c r="FN317" i="35"/>
  <c r="FP317" i="35" s="1"/>
  <c r="FR317" i="35" s="1"/>
  <c r="CV307" i="35"/>
  <c r="U307" i="19" s="1"/>
  <c r="K317" i="19"/>
  <c r="I317" i="19"/>
  <c r="DA317" i="35"/>
  <c r="Z317" i="19" s="1"/>
  <c r="DA315" i="35"/>
  <c r="Z315" i="19" s="1"/>
  <c r="CY315" i="35"/>
  <c r="X315" i="19" s="1"/>
  <c r="EW323" i="35"/>
  <c r="CZ315" i="35"/>
  <c r="Y315" i="19" s="1"/>
  <c r="R315" i="19"/>
  <c r="CT315" i="35"/>
  <c r="S315" i="19" s="1"/>
  <c r="K315" i="19"/>
  <c r="GH315" i="35"/>
  <c r="GV315" i="35" s="1"/>
  <c r="HD315" i="35" s="1"/>
  <c r="HH315" i="35" s="1"/>
  <c r="CV315" i="35"/>
  <c r="GS315" i="35" s="1"/>
  <c r="FN315" i="35"/>
  <c r="FP315" i="35" s="1"/>
  <c r="FR315" i="35" s="1"/>
  <c r="CX315" i="35"/>
  <c r="W315" i="19" s="1"/>
  <c r="CM315" i="35"/>
  <c r="GJ315" i="35" s="1"/>
  <c r="GX315" i="35" s="1"/>
  <c r="DT317" i="35"/>
  <c r="GH291" i="35"/>
  <c r="GV291" i="35" s="1"/>
  <c r="HD291" i="35" s="1"/>
  <c r="HE291" i="35" s="1"/>
  <c r="GN312" i="35"/>
  <c r="HJ312" i="35" s="1"/>
  <c r="Q312" i="19"/>
  <c r="AC312" i="19" s="1"/>
  <c r="HH339" i="35"/>
  <c r="CY291" i="35"/>
  <c r="X291" i="19" s="1"/>
  <c r="DV297" i="35"/>
  <c r="DC329" i="35"/>
  <c r="CH329" i="35"/>
  <c r="J329" i="19" s="1"/>
  <c r="I367" i="19"/>
  <c r="CZ307" i="35"/>
  <c r="Y307" i="19" s="1"/>
  <c r="GJ326" i="35"/>
  <c r="GX326" i="35" s="1"/>
  <c r="M326" i="19"/>
  <c r="CO326" i="35"/>
  <c r="CI323" i="35"/>
  <c r="CJ323" i="35"/>
  <c r="FV326" i="35"/>
  <c r="FP326" i="35"/>
  <c r="FR326" i="35" s="1"/>
  <c r="R326" i="19"/>
  <c r="CV326" i="35"/>
  <c r="CW326" i="35"/>
  <c r="GP326" i="35"/>
  <c r="CT326" i="35"/>
  <c r="CU326" i="35"/>
  <c r="H323" i="19"/>
  <c r="I365" i="19"/>
  <c r="CJ341" i="35"/>
  <c r="CK336" i="35"/>
  <c r="CZ336" i="35" s="1"/>
  <c r="Y336" i="19" s="1"/>
  <c r="CY290" i="35"/>
  <c r="X290" i="19" s="1"/>
  <c r="CI341" i="35"/>
  <c r="GH307" i="35"/>
  <c r="GV307" i="35" s="1"/>
  <c r="HD307" i="35" s="1"/>
  <c r="HG307" i="35" s="1"/>
  <c r="CS290" i="35"/>
  <c r="CV290" i="35" s="1"/>
  <c r="U290" i="19" s="1"/>
  <c r="CF329" i="35"/>
  <c r="CG329" i="35" s="1"/>
  <c r="DR329" i="35" s="1"/>
  <c r="DV329" i="35" s="1"/>
  <c r="DT365" i="35"/>
  <c r="DV365" i="35"/>
  <c r="DR333" i="35"/>
  <c r="DT333" i="35" s="1"/>
  <c r="FN290" i="35"/>
  <c r="FP290" i="35" s="1"/>
  <c r="FR290" i="35" s="1"/>
  <c r="DC333" i="35"/>
  <c r="CH333" i="35"/>
  <c r="J333" i="19" s="1"/>
  <c r="GJ335" i="35"/>
  <c r="GX335" i="35" s="1"/>
  <c r="M335" i="19"/>
  <c r="CO335" i="35"/>
  <c r="Q310" i="19"/>
  <c r="AC310" i="19" s="1"/>
  <c r="GN310" i="35"/>
  <c r="HJ310" i="35" s="1"/>
  <c r="EW369" i="35"/>
  <c r="DR369" i="35"/>
  <c r="CJ369" i="35"/>
  <c r="CI369" i="35"/>
  <c r="H369" i="19"/>
  <c r="BT348" i="35"/>
  <c r="DT354" i="35"/>
  <c r="DV354" i="35"/>
  <c r="CU321" i="35"/>
  <c r="R321" i="19"/>
  <c r="CV321" i="35"/>
  <c r="CT321" i="35"/>
  <c r="GP321" i="35"/>
  <c r="CW321" i="35"/>
  <c r="EW333" i="35"/>
  <c r="FP321" i="35"/>
  <c r="FR321" i="35" s="1"/>
  <c r="FV321" i="35"/>
  <c r="FV334" i="35"/>
  <c r="FP334" i="35"/>
  <c r="FR334" i="35" s="1"/>
  <c r="BT351" i="35"/>
  <c r="I354" i="19"/>
  <c r="GL298" i="35"/>
  <c r="GZ298" i="35" s="1"/>
  <c r="HB298" i="35" s="1"/>
  <c r="O298" i="19"/>
  <c r="CQ298" i="35"/>
  <c r="CO321" i="35"/>
  <c r="GJ321" i="35"/>
  <c r="GX321" i="35" s="1"/>
  <c r="M321" i="19"/>
  <c r="CH341" i="35"/>
  <c r="J341" i="19" s="1"/>
  <c r="DC341" i="35"/>
  <c r="GJ334" i="35"/>
  <c r="GX334" i="35" s="1"/>
  <c r="CO334" i="35"/>
  <c r="M334" i="19"/>
  <c r="J367" i="19"/>
  <c r="CK367" i="35"/>
  <c r="J365" i="19"/>
  <c r="CK365" i="35"/>
  <c r="BT368" i="35"/>
  <c r="DC356" i="35"/>
  <c r="CH356" i="35"/>
  <c r="GN262" i="35"/>
  <c r="HJ262" i="35" s="1"/>
  <c r="Q262" i="19"/>
  <c r="AC262" i="19" s="1"/>
  <c r="Q303" i="19"/>
  <c r="AC303" i="19" s="1"/>
  <c r="GN303" i="35"/>
  <c r="HJ303" i="35" s="1"/>
  <c r="CI333" i="35"/>
  <c r="I333" i="19" s="1"/>
  <c r="BT371" i="35"/>
  <c r="BW371" i="35" s="1"/>
  <c r="BY371" i="35" s="1"/>
  <c r="BZ371" i="35" s="1"/>
  <c r="CZ331" i="35"/>
  <c r="Y331" i="19" s="1"/>
  <c r="CY331" i="35"/>
  <c r="X331" i="19" s="1"/>
  <c r="CX331" i="35"/>
  <c r="W331" i="19" s="1"/>
  <c r="K331" i="19"/>
  <c r="CM331" i="35"/>
  <c r="GH331" i="35"/>
  <c r="GV331" i="35" s="1"/>
  <c r="HD331" i="35" s="1"/>
  <c r="FN331" i="35"/>
  <c r="CS331" i="35"/>
  <c r="DA331" i="35"/>
  <c r="Z331" i="19" s="1"/>
  <c r="CF346" i="35"/>
  <c r="CG346" i="35" s="1"/>
  <c r="CA346" i="35"/>
  <c r="HH334" i="35"/>
  <c r="HG334" i="35"/>
  <c r="HE334" i="35"/>
  <c r="HF334" i="35"/>
  <c r="FV335" i="35"/>
  <c r="FP335" i="35"/>
  <c r="FR335" i="35" s="1"/>
  <c r="DR356" i="35"/>
  <c r="EW356" i="35"/>
  <c r="H356" i="19"/>
  <c r="CJ356" i="35"/>
  <c r="CI356" i="35"/>
  <c r="J294" i="19"/>
  <c r="CK294" i="35"/>
  <c r="DC369" i="35"/>
  <c r="CH369" i="35"/>
  <c r="J369" i="19" s="1"/>
  <c r="DT367" i="35"/>
  <c r="DV367" i="35"/>
  <c r="CH323" i="35"/>
  <c r="J323" i="19" s="1"/>
  <c r="DC323" i="35"/>
  <c r="CV335" i="35"/>
  <c r="CW335" i="35"/>
  <c r="GP335" i="35"/>
  <c r="CU335" i="35"/>
  <c r="R335" i="19"/>
  <c r="CT335" i="35"/>
  <c r="DV294" i="35"/>
  <c r="DT294" i="35"/>
  <c r="HG321" i="35"/>
  <c r="HE321" i="35"/>
  <c r="HF321" i="35"/>
  <c r="HH321" i="35"/>
  <c r="H333" i="19"/>
  <c r="CZ290" i="35"/>
  <c r="Y290" i="19" s="1"/>
  <c r="BT350" i="35"/>
  <c r="CV334" i="35"/>
  <c r="CU334" i="35"/>
  <c r="R334" i="19"/>
  <c r="CW334" i="35"/>
  <c r="GP334" i="35"/>
  <c r="CT334" i="35"/>
  <c r="HG335" i="35"/>
  <c r="HF335" i="35"/>
  <c r="HH335" i="35"/>
  <c r="HE335" i="35"/>
  <c r="CF345" i="35"/>
  <c r="CG345" i="35" s="1"/>
  <c r="CA345" i="35"/>
  <c r="CA342" i="35"/>
  <c r="CF342" i="35"/>
  <c r="CG342" i="35" s="1"/>
  <c r="K290" i="19"/>
  <c r="CM290" i="35"/>
  <c r="M290" i="19" s="1"/>
  <c r="BT374" i="35"/>
  <c r="I294" i="19"/>
  <c r="CK354" i="35"/>
  <c r="EW318" i="35"/>
  <c r="GN293" i="35"/>
  <c r="HJ293" i="35" s="1"/>
  <c r="Q293" i="19"/>
  <c r="AC293" i="19" s="1"/>
  <c r="BR372" i="35"/>
  <c r="BR359" i="35"/>
  <c r="BR370" i="35"/>
  <c r="BR363" i="35"/>
  <c r="BR364" i="35"/>
  <c r="BR352" i="35"/>
  <c r="S283" i="19"/>
  <c r="DV341" i="35"/>
  <c r="DT323" i="35"/>
  <c r="CV287" i="35"/>
  <c r="CW287" i="35"/>
  <c r="V287" i="19" s="1"/>
  <c r="GP287" i="35"/>
  <c r="GQ287" i="35"/>
  <c r="GL317" i="35"/>
  <c r="GZ317" i="35" s="1"/>
  <c r="HB317" i="35" s="1"/>
  <c r="CQ317" i="35"/>
  <c r="O317" i="19"/>
  <c r="AZ379" i="35"/>
  <c r="BA378" i="35"/>
  <c r="F20" i="39"/>
  <c r="FT137" i="35"/>
  <c r="BZ23" i="37"/>
  <c r="C25" i="37"/>
  <c r="A25" i="37"/>
  <c r="H14" i="37"/>
  <c r="B68" i="37"/>
  <c r="BC21" i="37"/>
  <c r="F21" i="10"/>
  <c r="F20" i="24"/>
  <c r="F22" i="7"/>
  <c r="F21" i="6"/>
  <c r="F20" i="32"/>
  <c r="F20" i="23"/>
  <c r="G42" i="9"/>
  <c r="H43" i="20" s="1"/>
  <c r="G42" i="34"/>
  <c r="G38" i="9"/>
  <c r="H39" i="20" s="1"/>
  <c r="G38" i="34"/>
  <c r="G36" i="9"/>
  <c r="H37" i="20" s="1"/>
  <c r="G36" i="34"/>
  <c r="G44" i="9"/>
  <c r="H45" i="20" s="1"/>
  <c r="G44" i="34"/>
  <c r="G40" i="9"/>
  <c r="H41" i="20" s="1"/>
  <c r="G40" i="34"/>
  <c r="G34" i="9"/>
  <c r="H35" i="20" s="1"/>
  <c r="B69" i="10"/>
  <c r="F69" i="10"/>
  <c r="G60" i="20"/>
  <c r="B60" i="20"/>
  <c r="G54" i="9"/>
  <c r="B54" i="9"/>
  <c r="G65" i="8"/>
  <c r="B65" i="8"/>
  <c r="F79" i="6"/>
  <c r="B79" i="6"/>
  <c r="F81" i="5"/>
  <c r="B81" i="5"/>
  <c r="CQ343" i="35" l="1"/>
  <c r="HH286" i="35"/>
  <c r="HG339" i="35"/>
  <c r="CK301" i="35"/>
  <c r="CS301" i="35" s="1"/>
  <c r="GP301" i="35" s="1"/>
  <c r="R287" i="19"/>
  <c r="HE339" i="35"/>
  <c r="HE286" i="35"/>
  <c r="CY299" i="35"/>
  <c r="X299" i="19" s="1"/>
  <c r="GS313" i="35"/>
  <c r="CU287" i="35"/>
  <c r="CX299" i="35"/>
  <c r="W299" i="19" s="1"/>
  <c r="GJ286" i="35"/>
  <c r="GX286" i="35" s="1"/>
  <c r="DT291" i="35"/>
  <c r="DV291" i="35"/>
  <c r="GR257" i="35"/>
  <c r="T257" i="19"/>
  <c r="I349" i="19"/>
  <c r="CM291" i="35"/>
  <c r="CO291" i="35" s="1"/>
  <c r="CQ291" i="35" s="1"/>
  <c r="CX291" i="35"/>
  <c r="W291" i="19" s="1"/>
  <c r="DA291" i="35"/>
  <c r="Z291" i="19" s="1"/>
  <c r="GT276" i="35"/>
  <c r="U257" i="19"/>
  <c r="GS257" i="35"/>
  <c r="GT257" i="35"/>
  <c r="V257" i="19"/>
  <c r="CS291" i="35"/>
  <c r="GP291" i="35" s="1"/>
  <c r="GQ257" i="35"/>
  <c r="S257" i="19"/>
  <c r="FN291" i="35"/>
  <c r="FV291" i="35" s="1"/>
  <c r="FW291" i="35" s="1"/>
  <c r="FZ291" i="35" s="1"/>
  <c r="GB291" i="35" s="1"/>
  <c r="I301" i="19"/>
  <c r="CZ291" i="35"/>
  <c r="Y291" i="19" s="1"/>
  <c r="CM287" i="35"/>
  <c r="DA287" i="35"/>
  <c r="Z287" i="19" s="1"/>
  <c r="HF286" i="35"/>
  <c r="I373" i="19"/>
  <c r="DC375" i="35"/>
  <c r="CH375" i="35"/>
  <c r="J375" i="19" s="1"/>
  <c r="GN246" i="35"/>
  <c r="HJ246" i="35" s="1"/>
  <c r="Q246" i="19"/>
  <c r="AC246" i="19" s="1"/>
  <c r="CM299" i="35"/>
  <c r="M299" i="19" s="1"/>
  <c r="CS299" i="35"/>
  <c r="CV299" i="35" s="1"/>
  <c r="DA332" i="35"/>
  <c r="Z332" i="19" s="1"/>
  <c r="CZ332" i="35"/>
  <c r="Y332" i="19" s="1"/>
  <c r="CX332" i="35"/>
  <c r="W332" i="19" s="1"/>
  <c r="GH332" i="35"/>
  <c r="GV332" i="35" s="1"/>
  <c r="HD332" i="35" s="1"/>
  <c r="CY332" i="35"/>
  <c r="X332" i="19" s="1"/>
  <c r="CM332" i="35"/>
  <c r="CS332" i="35"/>
  <c r="FN332" i="35"/>
  <c r="K332" i="19"/>
  <c r="CQ313" i="35"/>
  <c r="O313" i="19"/>
  <c r="GL313" i="35"/>
  <c r="GZ313" i="35" s="1"/>
  <c r="HB313" i="35" s="1"/>
  <c r="CX295" i="35"/>
  <c r="W295" i="19" s="1"/>
  <c r="FN299" i="35"/>
  <c r="FV299" i="35" s="1"/>
  <c r="GN243" i="35"/>
  <c r="HJ243" i="35" s="1"/>
  <c r="Q243" i="19"/>
  <c r="AC243" i="19" s="1"/>
  <c r="CO283" i="35"/>
  <c r="CZ299" i="35"/>
  <c r="Y299" i="19" s="1"/>
  <c r="CK373" i="35"/>
  <c r="DC301" i="35"/>
  <c r="DA295" i="35"/>
  <c r="Z295" i="19" s="1"/>
  <c r="GH299" i="35"/>
  <c r="GV299" i="35" s="1"/>
  <c r="HD299" i="35" s="1"/>
  <c r="HG299" i="35" s="1"/>
  <c r="DV301" i="35"/>
  <c r="GN314" i="35"/>
  <c r="HJ314" i="35" s="1"/>
  <c r="FW343" i="35"/>
  <c r="FZ343" i="35" s="1"/>
  <c r="GB343" i="35" s="1"/>
  <c r="CM295" i="35"/>
  <c r="M295" i="19" s="1"/>
  <c r="GJ283" i="35"/>
  <c r="GX283" i="35" s="1"/>
  <c r="Q249" i="19"/>
  <c r="AC249" i="19" s="1"/>
  <c r="GN249" i="35"/>
  <c r="HJ249" i="35" s="1"/>
  <c r="FX324" i="35"/>
  <c r="I306" i="19"/>
  <c r="GR313" i="35"/>
  <c r="GR283" i="35"/>
  <c r="CJ375" i="35"/>
  <c r="DT366" i="35"/>
  <c r="GH295" i="35"/>
  <c r="GV295" i="35" s="1"/>
  <c r="HD295" i="35" s="1"/>
  <c r="HE295" i="35" s="1"/>
  <c r="CS295" i="35"/>
  <c r="CW295" i="35" s="1"/>
  <c r="V295" i="19" s="1"/>
  <c r="CK358" i="35"/>
  <c r="CO284" i="35"/>
  <c r="M284" i="19"/>
  <c r="GJ284" i="35"/>
  <c r="GX284" i="35" s="1"/>
  <c r="EW328" i="35"/>
  <c r="I304" i="19"/>
  <c r="CW284" i="35"/>
  <c r="CV284" i="35"/>
  <c r="R284" i="19"/>
  <c r="CU284" i="35"/>
  <c r="CT284" i="35"/>
  <c r="GP284" i="35"/>
  <c r="H328" i="19"/>
  <c r="FP287" i="35"/>
  <c r="FR287" i="35" s="1"/>
  <c r="GN324" i="35"/>
  <c r="HJ324" i="35" s="1"/>
  <c r="DR328" i="35"/>
  <c r="DV328" i="35" s="1"/>
  <c r="HH284" i="35"/>
  <c r="HG284" i="35"/>
  <c r="HE284" i="35"/>
  <c r="HF284" i="35"/>
  <c r="DV373" i="35"/>
  <c r="DT373" i="35"/>
  <c r="DT360" i="35"/>
  <c r="DV360" i="35"/>
  <c r="CI328" i="35"/>
  <c r="I328" i="19" s="1"/>
  <c r="CA328" i="35"/>
  <c r="DC328" i="35" s="1"/>
  <c r="CK360" i="35"/>
  <c r="I360" i="19"/>
  <c r="FV284" i="35"/>
  <c r="FP284" i="35"/>
  <c r="FR284" i="35" s="1"/>
  <c r="DR338" i="35"/>
  <c r="EW338" i="35"/>
  <c r="CI338" i="35"/>
  <c r="H338" i="19"/>
  <c r="CJ338" i="35"/>
  <c r="CH337" i="35"/>
  <c r="J337" i="19" s="1"/>
  <c r="DC337" i="35"/>
  <c r="GQ289" i="35"/>
  <c r="S289" i="19"/>
  <c r="CH366" i="35"/>
  <c r="J366" i="19" s="1"/>
  <c r="DC366" i="35"/>
  <c r="GS289" i="35"/>
  <c r="U289" i="19"/>
  <c r="FP275" i="35"/>
  <c r="FR275" i="35" s="1"/>
  <c r="FV275" i="35"/>
  <c r="FX286" i="35"/>
  <c r="GP286" i="35"/>
  <c r="R286" i="19"/>
  <c r="CV286" i="35"/>
  <c r="CW286" i="35"/>
  <c r="CU286" i="35"/>
  <c r="CT286" i="35"/>
  <c r="CK304" i="35"/>
  <c r="CA338" i="35"/>
  <c r="HG275" i="35"/>
  <c r="HE275" i="35"/>
  <c r="HH275" i="35"/>
  <c r="HF275" i="35"/>
  <c r="GL289" i="35"/>
  <c r="GZ289" i="35" s="1"/>
  <c r="HB289" i="35" s="1"/>
  <c r="O289" i="19"/>
  <c r="CQ289" i="35"/>
  <c r="T305" i="19"/>
  <c r="GR305" i="35"/>
  <c r="CO316" i="35"/>
  <c r="GJ316" i="35"/>
  <c r="GX316" i="35" s="1"/>
  <c r="M316" i="19"/>
  <c r="DC376" i="35"/>
  <c r="CH376" i="35"/>
  <c r="J376" i="19" s="1"/>
  <c r="T289" i="19"/>
  <c r="GR289" i="35"/>
  <c r="GT289" i="35"/>
  <c r="V289" i="19"/>
  <c r="GQ276" i="35"/>
  <c r="T276" i="19"/>
  <c r="CF337" i="35"/>
  <c r="CG337" i="35" s="1"/>
  <c r="CI337" i="35" s="1"/>
  <c r="CO286" i="35"/>
  <c r="CQ286" i="35" s="1"/>
  <c r="GN286" i="35" s="1"/>
  <c r="V311" i="19"/>
  <c r="GT311" i="35"/>
  <c r="GL311" i="35"/>
  <c r="GZ311" i="35" s="1"/>
  <c r="HB311" i="35" s="1"/>
  <c r="CQ311" i="35"/>
  <c r="O311" i="19"/>
  <c r="CJ377" i="35"/>
  <c r="H377" i="19"/>
  <c r="EW377" i="35"/>
  <c r="CI377" i="35"/>
  <c r="DR377" i="35"/>
  <c r="Q223" i="19"/>
  <c r="AC223" i="19" s="1"/>
  <c r="GN223" i="35"/>
  <c r="HJ223" i="35" s="1"/>
  <c r="DC353" i="35"/>
  <c r="CH353" i="35"/>
  <c r="J353" i="19" s="1"/>
  <c r="CA340" i="35"/>
  <c r="CY330" i="35"/>
  <c r="X330" i="19" s="1"/>
  <c r="CZ330" i="35"/>
  <c r="Y330" i="19" s="1"/>
  <c r="DA330" i="35"/>
  <c r="Z330" i="19" s="1"/>
  <c r="CX330" i="35"/>
  <c r="W330" i="19" s="1"/>
  <c r="GH330" i="35"/>
  <c r="GV330" i="35" s="1"/>
  <c r="HD330" i="35" s="1"/>
  <c r="CM330" i="35"/>
  <c r="CS330" i="35"/>
  <c r="FN330" i="35"/>
  <c r="K330" i="19"/>
  <c r="CK306" i="35"/>
  <c r="FN306" i="35" s="1"/>
  <c r="GQ311" i="35"/>
  <c r="S311" i="19"/>
  <c r="CT316" i="35"/>
  <c r="R316" i="19"/>
  <c r="GP316" i="35"/>
  <c r="CW316" i="35"/>
  <c r="CV316" i="35"/>
  <c r="CU316" i="35"/>
  <c r="FX311" i="35"/>
  <c r="FW311" i="35"/>
  <c r="FZ311" i="35" s="1"/>
  <c r="GB311" i="35" s="1"/>
  <c r="Q241" i="19"/>
  <c r="AC241" i="19" s="1"/>
  <c r="GN241" i="35"/>
  <c r="HJ241" i="35" s="1"/>
  <c r="V305" i="19"/>
  <c r="GT305" i="35"/>
  <c r="BY319" i="35"/>
  <c r="BZ319" i="35" s="1"/>
  <c r="CF319" i="35" s="1"/>
  <c r="CG319" i="35" s="1"/>
  <c r="DR319" i="35" s="1"/>
  <c r="DT319" i="35" s="1"/>
  <c r="S305" i="19"/>
  <c r="GQ305" i="35"/>
  <c r="CJ340" i="35"/>
  <c r="I340" i="19" s="1"/>
  <c r="HF287" i="35"/>
  <c r="HE326" i="35"/>
  <c r="GS311" i="35"/>
  <c r="U311" i="19"/>
  <c r="CM322" i="35"/>
  <c r="GH322" i="35"/>
  <c r="GV322" i="35" s="1"/>
  <c r="HD322" i="35" s="1"/>
  <c r="CS322" i="35"/>
  <c r="CY322" i="35"/>
  <c r="X322" i="19" s="1"/>
  <c r="CZ322" i="35"/>
  <c r="Y322" i="19" s="1"/>
  <c r="CX322" i="35"/>
  <c r="W322" i="19" s="1"/>
  <c r="DA322" i="35"/>
  <c r="Z322" i="19" s="1"/>
  <c r="K322" i="19"/>
  <c r="FN322" i="35"/>
  <c r="GS305" i="35"/>
  <c r="U305" i="19"/>
  <c r="DV304" i="35"/>
  <c r="DT304" i="35"/>
  <c r="HH326" i="35"/>
  <c r="FV339" i="35"/>
  <c r="FX339" i="35" s="1"/>
  <c r="DT306" i="35"/>
  <c r="DV306" i="35"/>
  <c r="FW305" i="35"/>
  <c r="FZ305" i="35" s="1"/>
  <c r="GB305" i="35" s="1"/>
  <c r="FX305" i="35"/>
  <c r="GP299" i="35"/>
  <c r="CW299" i="35"/>
  <c r="R299" i="19"/>
  <c r="CU299" i="35"/>
  <c r="CT299" i="35"/>
  <c r="FW289" i="35"/>
  <c r="FZ289" i="35" s="1"/>
  <c r="GB289" i="35" s="1"/>
  <c r="FX289" i="35"/>
  <c r="J309" i="19"/>
  <c r="CK309" i="35"/>
  <c r="DV349" i="35"/>
  <c r="HG326" i="35"/>
  <c r="GR311" i="35"/>
  <c r="T311" i="19"/>
  <c r="FV316" i="35"/>
  <c r="FP316" i="35"/>
  <c r="FR316" i="35" s="1"/>
  <c r="CW275" i="35"/>
  <c r="GP275" i="35"/>
  <c r="CU275" i="35"/>
  <c r="CT275" i="35"/>
  <c r="CV275" i="35"/>
  <c r="R275" i="19"/>
  <c r="CQ305" i="35"/>
  <c r="GL305" i="35"/>
  <c r="GZ305" i="35" s="1"/>
  <c r="HB305" i="35" s="1"/>
  <c r="O305" i="19"/>
  <c r="BY320" i="35"/>
  <c r="BZ320" i="35" s="1"/>
  <c r="CA320" i="35" s="1"/>
  <c r="EW340" i="35"/>
  <c r="H340" i="19"/>
  <c r="BY357" i="35"/>
  <c r="BZ357" i="35" s="1"/>
  <c r="CF357" i="35" s="1"/>
  <c r="CG357" i="35" s="1"/>
  <c r="CJ357" i="35" s="1"/>
  <c r="HF316" i="35"/>
  <c r="HH316" i="35"/>
  <c r="HE316" i="35"/>
  <c r="HG316" i="35"/>
  <c r="M275" i="19"/>
  <c r="GJ275" i="35"/>
  <c r="GX275" i="35" s="1"/>
  <c r="CO275" i="35"/>
  <c r="DV376" i="35"/>
  <c r="DT376" i="35"/>
  <c r="HH287" i="35"/>
  <c r="HE287" i="35"/>
  <c r="I376" i="19"/>
  <c r="EW375" i="35"/>
  <c r="DR375" i="35"/>
  <c r="DT375" i="35" s="1"/>
  <c r="Q279" i="19"/>
  <c r="AC279" i="19" s="1"/>
  <c r="GR324" i="35"/>
  <c r="H375" i="19"/>
  <c r="GN242" i="35"/>
  <c r="HJ242" i="35" s="1"/>
  <c r="Q242" i="19"/>
  <c r="AC242" i="19" s="1"/>
  <c r="CS306" i="35"/>
  <c r="CU306" i="35" s="1"/>
  <c r="GR306" i="35" s="1"/>
  <c r="I325" i="19"/>
  <c r="CK325" i="35"/>
  <c r="K325" i="19" s="1"/>
  <c r="S265" i="19"/>
  <c r="GQ265" i="35"/>
  <c r="GT265" i="35"/>
  <c r="V265" i="19"/>
  <c r="I366" i="19"/>
  <c r="FX265" i="35"/>
  <c r="FW265" i="35"/>
  <c r="FZ265" i="35" s="1"/>
  <c r="GB265" i="35" s="1"/>
  <c r="GS265" i="35"/>
  <c r="U265" i="19"/>
  <c r="GL265" i="35"/>
  <c r="GZ265" i="35" s="1"/>
  <c r="HB265" i="35" s="1"/>
  <c r="O265" i="19"/>
  <c r="CQ265" i="35"/>
  <c r="T265" i="19"/>
  <c r="GR265" i="35"/>
  <c r="DT325" i="35"/>
  <c r="V283" i="19"/>
  <c r="CW339" i="35"/>
  <c r="V339" i="19" s="1"/>
  <c r="DT353" i="35"/>
  <c r="DV353" i="35"/>
  <c r="I353" i="19"/>
  <c r="GP339" i="35"/>
  <c r="CV339" i="35"/>
  <c r="U339" i="19" s="1"/>
  <c r="CT339" i="35"/>
  <c r="S339" i="19" s="1"/>
  <c r="CU339" i="35"/>
  <c r="T339" i="19" s="1"/>
  <c r="CY306" i="35"/>
  <c r="X306" i="19" s="1"/>
  <c r="GJ297" i="35"/>
  <c r="GX297" i="35" s="1"/>
  <c r="K308" i="19"/>
  <c r="CS308" i="35"/>
  <c r="CW308" i="35" s="1"/>
  <c r="GT308" i="35" s="1"/>
  <c r="CQ297" i="35"/>
  <c r="Q297" i="19" s="1"/>
  <c r="AC297" i="19" s="1"/>
  <c r="CS297" i="35"/>
  <c r="CV297" i="35" s="1"/>
  <c r="GS297" i="35" s="1"/>
  <c r="CS347" i="35"/>
  <c r="CU347" i="35" s="1"/>
  <c r="T347" i="19" s="1"/>
  <c r="FX259" i="35"/>
  <c r="GQ324" i="35"/>
  <c r="DA347" i="35"/>
  <c r="Z347" i="19" s="1"/>
  <c r="GH347" i="35"/>
  <c r="GV347" i="35" s="1"/>
  <c r="HD347" i="35" s="1"/>
  <c r="HE347" i="35" s="1"/>
  <c r="I344" i="19"/>
  <c r="FV292" i="35"/>
  <c r="FX292" i="35" s="1"/>
  <c r="GL297" i="35"/>
  <c r="GZ297" i="35" s="1"/>
  <c r="HB297" i="35" s="1"/>
  <c r="M297" i="19"/>
  <c r="FN297" i="35"/>
  <c r="FP297" i="35" s="1"/>
  <c r="FR297" i="35" s="1"/>
  <c r="BW348" i="35"/>
  <c r="CK349" i="35"/>
  <c r="BW374" i="35"/>
  <c r="GH308" i="35"/>
  <c r="GV308" i="35" s="1"/>
  <c r="HD308" i="35" s="1"/>
  <c r="HF308" i="35" s="1"/>
  <c r="CT327" i="35"/>
  <c r="S327" i="19" s="1"/>
  <c r="CU285" i="35"/>
  <c r="CT285" i="35"/>
  <c r="GP285" i="35"/>
  <c r="CV285" i="35"/>
  <c r="CW285" i="35"/>
  <c r="R285" i="19"/>
  <c r="FV295" i="35"/>
  <c r="FW295" i="35" s="1"/>
  <c r="FZ295" i="35" s="1"/>
  <c r="GB295" i="35" s="1"/>
  <c r="BW350" i="35"/>
  <c r="R327" i="19"/>
  <c r="FX308" i="35"/>
  <c r="CX308" i="35"/>
  <c r="W308" i="19" s="1"/>
  <c r="CO285" i="35"/>
  <c r="M285" i="19"/>
  <c r="GJ285" i="35"/>
  <c r="GX285" i="35" s="1"/>
  <c r="CZ296" i="35"/>
  <c r="Y296" i="19" s="1"/>
  <c r="CS296" i="35"/>
  <c r="DA296" i="35"/>
  <c r="Z296" i="19" s="1"/>
  <c r="CM296" i="35"/>
  <c r="CX296" i="35"/>
  <c r="W296" i="19" s="1"/>
  <c r="GH296" i="35"/>
  <c r="GV296" i="35" s="1"/>
  <c r="HD296" i="35" s="1"/>
  <c r="FN296" i="35"/>
  <c r="K296" i="19"/>
  <c r="CY296" i="35"/>
  <c r="X296" i="19" s="1"/>
  <c r="BW351" i="35"/>
  <c r="GJ339" i="35"/>
  <c r="GX339" i="35" s="1"/>
  <c r="CZ308" i="35"/>
  <c r="Y308" i="19" s="1"/>
  <c r="HG285" i="35"/>
  <c r="HH285" i="35"/>
  <c r="HE285" i="35"/>
  <c r="HF285" i="35"/>
  <c r="DT340" i="35"/>
  <c r="BW368" i="35"/>
  <c r="CO339" i="35"/>
  <c r="GL339" i="35" s="1"/>
  <c r="GZ339" i="35" s="1"/>
  <c r="HB339" i="35" s="1"/>
  <c r="DA308" i="35"/>
  <c r="Z308" i="19" s="1"/>
  <c r="CV327" i="35"/>
  <c r="U327" i="19" s="1"/>
  <c r="CW327" i="35"/>
  <c r="V327" i="19" s="1"/>
  <c r="FP285" i="35"/>
  <c r="FR285" i="35" s="1"/>
  <c r="FV285" i="35"/>
  <c r="HG317" i="35"/>
  <c r="S307" i="19"/>
  <c r="GN280" i="35"/>
  <c r="HJ280" i="35" s="1"/>
  <c r="FV327" i="35"/>
  <c r="FW327" i="35" s="1"/>
  <c r="FZ327" i="35" s="1"/>
  <c r="GB327" i="35" s="1"/>
  <c r="CY308" i="35"/>
  <c r="X308" i="19" s="1"/>
  <c r="CU327" i="35"/>
  <c r="GR327" i="35" s="1"/>
  <c r="CM308" i="35"/>
  <c r="CO308" i="35" s="1"/>
  <c r="O308" i="19" s="1"/>
  <c r="FP308" i="35"/>
  <c r="FR308" i="35" s="1"/>
  <c r="V315" i="19"/>
  <c r="CJ318" i="35"/>
  <c r="I318" i="19" s="1"/>
  <c r="GP295" i="35"/>
  <c r="R295" i="19"/>
  <c r="CV295" i="35"/>
  <c r="GS295" i="35" s="1"/>
  <c r="DR318" i="35"/>
  <c r="DV318" i="35" s="1"/>
  <c r="H318" i="19"/>
  <c r="O327" i="19"/>
  <c r="CU295" i="35"/>
  <c r="GR295" i="35" s="1"/>
  <c r="DA297" i="35"/>
  <c r="Z297" i="19" s="1"/>
  <c r="GH297" i="35"/>
  <c r="GV297" i="35" s="1"/>
  <c r="HD297" i="35" s="1"/>
  <c r="HH297" i="35" s="1"/>
  <c r="CY297" i="35"/>
  <c r="X297" i="19" s="1"/>
  <c r="CT292" i="35"/>
  <c r="GQ292" i="35" s="1"/>
  <c r="K297" i="19"/>
  <c r="CZ297" i="35"/>
  <c r="Y297" i="19" s="1"/>
  <c r="CM347" i="35"/>
  <c r="CO347" i="35" s="1"/>
  <c r="GL347" i="35" s="1"/>
  <c r="GZ347" i="35" s="1"/>
  <c r="HB347" i="35" s="1"/>
  <c r="DV344" i="35"/>
  <c r="CX347" i="35"/>
  <c r="W347" i="19" s="1"/>
  <c r="FP347" i="35"/>
  <c r="FR347" i="35" s="1"/>
  <c r="FV347" i="35"/>
  <c r="FX347" i="35" s="1"/>
  <c r="CZ347" i="35"/>
  <c r="Y347" i="19" s="1"/>
  <c r="CY347" i="35"/>
  <c r="X347" i="19" s="1"/>
  <c r="K347" i="19"/>
  <c r="M327" i="19"/>
  <c r="GT324" i="35"/>
  <c r="GJ327" i="35"/>
  <c r="GX327" i="35" s="1"/>
  <c r="CQ327" i="35"/>
  <c r="GN327" i="35" s="1"/>
  <c r="HJ327" i="35" s="1"/>
  <c r="CF362" i="35"/>
  <c r="CG362" i="35" s="1"/>
  <c r="CA355" i="35"/>
  <c r="CO295" i="35"/>
  <c r="CQ295" i="35" s="1"/>
  <c r="Q295" i="19" s="1"/>
  <c r="AC295" i="19" s="1"/>
  <c r="GS307" i="35"/>
  <c r="CX297" i="35"/>
  <c r="W297" i="19" s="1"/>
  <c r="GJ295" i="35"/>
  <c r="GX295" i="35" s="1"/>
  <c r="U324" i="19"/>
  <c r="HF317" i="35"/>
  <c r="HG290" i="35"/>
  <c r="GJ292" i="35"/>
  <c r="GX292" i="35" s="1"/>
  <c r="HF307" i="35"/>
  <c r="CX361" i="35"/>
  <c r="W361" i="19" s="1"/>
  <c r="CS361" i="35"/>
  <c r="CV361" i="35" s="1"/>
  <c r="U361" i="19" s="1"/>
  <c r="HE361" i="35"/>
  <c r="HG315" i="35"/>
  <c r="GS290" i="35"/>
  <c r="CM361" i="35"/>
  <c r="M361" i="19" s="1"/>
  <c r="HH317" i="35"/>
  <c r="FN361" i="35"/>
  <c r="FV361" i="35" s="1"/>
  <c r="FX361" i="35" s="1"/>
  <c r="CZ361" i="35"/>
  <c r="Y361" i="19" s="1"/>
  <c r="K361" i="19"/>
  <c r="R301" i="19"/>
  <c r="HH361" i="35"/>
  <c r="CY361" i="35"/>
  <c r="X361" i="19" s="1"/>
  <c r="DA361" i="35"/>
  <c r="Z361" i="19" s="1"/>
  <c r="HG361" i="35"/>
  <c r="CK344" i="35"/>
  <c r="DA344" i="35" s="1"/>
  <c r="Z344" i="19" s="1"/>
  <c r="CW292" i="35"/>
  <c r="GT292" i="35" s="1"/>
  <c r="CU291" i="35"/>
  <c r="GR291" i="35" s="1"/>
  <c r="CV292" i="35"/>
  <c r="GS292" i="35" s="1"/>
  <c r="T307" i="19"/>
  <c r="U315" i="19"/>
  <c r="CU292" i="35"/>
  <c r="GR292" i="35" s="1"/>
  <c r="T315" i="19"/>
  <c r="V307" i="19"/>
  <c r="R292" i="19"/>
  <c r="GQ315" i="35"/>
  <c r="CT291" i="35"/>
  <c r="GQ291" i="35" s="1"/>
  <c r="CV291" i="35"/>
  <c r="GS291" i="35" s="1"/>
  <c r="CW291" i="35"/>
  <c r="V291" i="19" s="1"/>
  <c r="R291" i="19"/>
  <c r="O292" i="19"/>
  <c r="CQ292" i="35"/>
  <c r="Q292" i="19" s="1"/>
  <c r="AC292" i="19" s="1"/>
  <c r="M292" i="19"/>
  <c r="HH290" i="35"/>
  <c r="HE290" i="35"/>
  <c r="CW290" i="35"/>
  <c r="GT290" i="35" s="1"/>
  <c r="M315" i="19"/>
  <c r="Q343" i="19"/>
  <c r="AC343" i="19" s="1"/>
  <c r="GN343" i="35"/>
  <c r="HJ343" i="35" s="1"/>
  <c r="CY336" i="35"/>
  <c r="X336" i="19" s="1"/>
  <c r="CO315" i="35"/>
  <c r="GL315" i="35" s="1"/>
  <c r="GZ315" i="35" s="1"/>
  <c r="HB315" i="35" s="1"/>
  <c r="DT328" i="35"/>
  <c r="HF291" i="35"/>
  <c r="FV290" i="35"/>
  <c r="FX290" i="35" s="1"/>
  <c r="FV317" i="35"/>
  <c r="FW317" i="35" s="1"/>
  <c r="FZ317" i="35" s="1"/>
  <c r="GB317" i="35" s="1"/>
  <c r="CV317" i="35"/>
  <c r="U317" i="19" s="1"/>
  <c r="K336" i="19"/>
  <c r="GJ307" i="35"/>
  <c r="GX307" i="35" s="1"/>
  <c r="CY301" i="35"/>
  <c r="X301" i="19" s="1"/>
  <c r="CU301" i="35"/>
  <c r="GR301" i="35" s="1"/>
  <c r="CW301" i="35"/>
  <c r="V301" i="19" s="1"/>
  <c r="CT317" i="35"/>
  <c r="GQ317" i="35" s="1"/>
  <c r="GP317" i="35"/>
  <c r="FN301" i="35"/>
  <c r="FP301" i="35" s="1"/>
  <c r="FR301" i="35" s="1"/>
  <c r="CM301" i="35"/>
  <c r="GJ301" i="35" s="1"/>
  <c r="GX301" i="35" s="1"/>
  <c r="HE315" i="35"/>
  <c r="CI329" i="35"/>
  <c r="CT301" i="35"/>
  <c r="GQ301" i="35" s="1"/>
  <c r="FX307" i="35"/>
  <c r="CU317" i="35"/>
  <c r="GR317" i="35" s="1"/>
  <c r="FP307" i="35"/>
  <c r="FR307" i="35" s="1"/>
  <c r="HF315" i="35"/>
  <c r="DT329" i="35"/>
  <c r="CX301" i="35"/>
  <c r="W301" i="19" s="1"/>
  <c r="EW329" i="35"/>
  <c r="K301" i="19"/>
  <c r="CV301" i="35"/>
  <c r="GS301" i="35" s="1"/>
  <c r="CO307" i="35"/>
  <c r="GL307" i="35" s="1"/>
  <c r="GZ307" i="35" s="1"/>
  <c r="HB307" i="35" s="1"/>
  <c r="CZ301" i="35"/>
  <c r="Y301" i="19" s="1"/>
  <c r="GH301" i="35"/>
  <c r="GV301" i="35" s="1"/>
  <c r="HD301" i="35" s="1"/>
  <c r="HF301" i="35" s="1"/>
  <c r="CW317" i="35"/>
  <c r="V317" i="19" s="1"/>
  <c r="DA301" i="35"/>
  <c r="Z301" i="19" s="1"/>
  <c r="HE307" i="35"/>
  <c r="FV315" i="35"/>
  <c r="FW315" i="35" s="1"/>
  <c r="FZ315" i="35" s="1"/>
  <c r="GB315" i="35" s="1"/>
  <c r="HH307" i="35"/>
  <c r="H329" i="19"/>
  <c r="CJ329" i="35"/>
  <c r="FN336" i="35"/>
  <c r="FV336" i="35" s="1"/>
  <c r="FX336" i="35" s="1"/>
  <c r="GL291" i="35"/>
  <c r="GZ291" i="35" s="1"/>
  <c r="HB291" i="35" s="1"/>
  <c r="CX336" i="35"/>
  <c r="W336" i="19" s="1"/>
  <c r="O291" i="19"/>
  <c r="GJ291" i="35"/>
  <c r="GX291" i="35" s="1"/>
  <c r="CM336" i="35"/>
  <c r="M336" i="19" s="1"/>
  <c r="HG291" i="35"/>
  <c r="CS336" i="35"/>
  <c r="R336" i="19" s="1"/>
  <c r="HH291" i="35"/>
  <c r="DA336" i="35"/>
  <c r="Z336" i="19" s="1"/>
  <c r="GH336" i="35"/>
  <c r="GV336" i="35" s="1"/>
  <c r="HD336" i="35" s="1"/>
  <c r="HG336" i="35" s="1"/>
  <c r="DV333" i="35"/>
  <c r="M291" i="19"/>
  <c r="GP290" i="35"/>
  <c r="I369" i="19"/>
  <c r="CU290" i="35"/>
  <c r="GR290" i="35" s="1"/>
  <c r="CT290" i="35"/>
  <c r="GQ290" i="35" s="1"/>
  <c r="R290" i="19"/>
  <c r="I323" i="19"/>
  <c r="I341" i="19"/>
  <c r="I356" i="19"/>
  <c r="CK341" i="35"/>
  <c r="CZ341" i="35" s="1"/>
  <c r="Y341" i="19" s="1"/>
  <c r="CK369" i="35"/>
  <c r="CS369" i="35" s="1"/>
  <c r="GT326" i="35"/>
  <c r="V326" i="19"/>
  <c r="GS326" i="35"/>
  <c r="U326" i="19"/>
  <c r="GL326" i="35"/>
  <c r="GZ326" i="35" s="1"/>
  <c r="HB326" i="35" s="1"/>
  <c r="CQ326" i="35"/>
  <c r="O326" i="19"/>
  <c r="FW326" i="35"/>
  <c r="FZ326" i="35" s="1"/>
  <c r="GB326" i="35" s="1"/>
  <c r="FX326" i="35"/>
  <c r="GJ290" i="35"/>
  <c r="GX290" i="35" s="1"/>
  <c r="T326" i="19"/>
  <c r="GR326" i="35"/>
  <c r="GQ326" i="35"/>
  <c r="S326" i="19"/>
  <c r="CH346" i="35"/>
  <c r="J346" i="19" s="1"/>
  <c r="DC346" i="35"/>
  <c r="BT364" i="35"/>
  <c r="FV331" i="35"/>
  <c r="FP331" i="35"/>
  <c r="FR331" i="35" s="1"/>
  <c r="CK333" i="35"/>
  <c r="CS333" i="35" s="1"/>
  <c r="CU333" i="35" s="1"/>
  <c r="T333" i="19" s="1"/>
  <c r="BT363" i="35"/>
  <c r="GT334" i="35"/>
  <c r="V334" i="19"/>
  <c r="S335" i="19"/>
  <c r="GQ335" i="35"/>
  <c r="DT356" i="35"/>
  <c r="DV356" i="35"/>
  <c r="HH331" i="35"/>
  <c r="HG331" i="35"/>
  <c r="HF331" i="35"/>
  <c r="HE331" i="35"/>
  <c r="CQ334" i="35"/>
  <c r="O334" i="19"/>
  <c r="GL334" i="35"/>
  <c r="GZ334" i="35" s="1"/>
  <c r="HB334" i="35" s="1"/>
  <c r="GL321" i="35"/>
  <c r="GZ321" i="35" s="1"/>
  <c r="HB321" i="35" s="1"/>
  <c r="CQ321" i="35"/>
  <c r="O321" i="19"/>
  <c r="I375" i="19"/>
  <c r="BT352" i="35"/>
  <c r="GP331" i="35"/>
  <c r="R331" i="19"/>
  <c r="CV331" i="35"/>
  <c r="CW331" i="35"/>
  <c r="CT331" i="35"/>
  <c r="CU331" i="35"/>
  <c r="CO331" i="35"/>
  <c r="GJ331" i="35"/>
  <c r="GX331" i="35" s="1"/>
  <c r="M331" i="19"/>
  <c r="V321" i="19"/>
  <c r="GT321" i="35"/>
  <c r="CK323" i="35"/>
  <c r="K323" i="19" s="1"/>
  <c r="BT372" i="35"/>
  <c r="CO290" i="35"/>
  <c r="GL290" i="35" s="1"/>
  <c r="GZ290" i="35" s="1"/>
  <c r="HB290" i="35" s="1"/>
  <c r="CJ342" i="35"/>
  <c r="H342" i="19"/>
  <c r="DR342" i="35"/>
  <c r="EW342" i="35"/>
  <c r="CI342" i="35"/>
  <c r="T335" i="19"/>
  <c r="GR335" i="35"/>
  <c r="FX335" i="35"/>
  <c r="FW335" i="35"/>
  <c r="FZ335" i="35" s="1"/>
  <c r="GB335" i="35" s="1"/>
  <c r="GR321" i="35"/>
  <c r="T321" i="19"/>
  <c r="CM367" i="35"/>
  <c r="CY367" i="35"/>
  <c r="X367" i="19" s="1"/>
  <c r="CX367" i="35"/>
  <c r="W367" i="19" s="1"/>
  <c r="K367" i="19"/>
  <c r="FN367" i="35"/>
  <c r="DA367" i="35"/>
  <c r="Z367" i="19" s="1"/>
  <c r="CZ367" i="35"/>
  <c r="Y367" i="19" s="1"/>
  <c r="GH367" i="35"/>
  <c r="GV367" i="35" s="1"/>
  <c r="HD367" i="35" s="1"/>
  <c r="CS367" i="35"/>
  <c r="BT370" i="35"/>
  <c r="BW370" i="35" s="1"/>
  <c r="BY370" i="35" s="1"/>
  <c r="BZ370" i="35" s="1"/>
  <c r="CH342" i="35"/>
  <c r="DC342" i="35"/>
  <c r="U334" i="19"/>
  <c r="GS334" i="35"/>
  <c r="S321" i="19"/>
  <c r="GQ321" i="35"/>
  <c r="DV369" i="35"/>
  <c r="DT369" i="35"/>
  <c r="FW321" i="35"/>
  <c r="FZ321" i="35" s="1"/>
  <c r="GB321" i="35" s="1"/>
  <c r="FX321" i="35"/>
  <c r="CA371" i="35"/>
  <c r="CF371" i="35"/>
  <c r="CG371" i="35" s="1"/>
  <c r="H371" i="19" s="1"/>
  <c r="DR346" i="35"/>
  <c r="H346" i="19"/>
  <c r="CJ346" i="35"/>
  <c r="CI346" i="35"/>
  <c r="EW346" i="35"/>
  <c r="CQ335" i="35"/>
  <c r="O335" i="19"/>
  <c r="GL335" i="35"/>
  <c r="GZ335" i="35" s="1"/>
  <c r="HB335" i="35" s="1"/>
  <c r="BT359" i="35"/>
  <c r="DC345" i="35"/>
  <c r="CH345" i="35"/>
  <c r="GT335" i="35"/>
  <c r="V335" i="19"/>
  <c r="GH294" i="35"/>
  <c r="GV294" i="35" s="1"/>
  <c r="HD294" i="35" s="1"/>
  <c r="CY294" i="35"/>
  <c r="X294" i="19" s="1"/>
  <c r="K294" i="19"/>
  <c r="CS294" i="35"/>
  <c r="DA294" i="35"/>
  <c r="Z294" i="19" s="1"/>
  <c r="FN294" i="35"/>
  <c r="CX294" i="35"/>
  <c r="W294" i="19" s="1"/>
  <c r="CM294" i="35"/>
  <c r="CZ294" i="35"/>
  <c r="Y294" i="19" s="1"/>
  <c r="CS365" i="35"/>
  <c r="FN365" i="35"/>
  <c r="CX365" i="35"/>
  <c r="W365" i="19" s="1"/>
  <c r="DA365" i="35"/>
  <c r="Z365" i="19" s="1"/>
  <c r="CY365" i="35"/>
  <c r="X365" i="19" s="1"/>
  <c r="CM365" i="35"/>
  <c r="K365" i="19"/>
  <c r="GH365" i="35"/>
  <c r="GV365" i="35" s="1"/>
  <c r="HD365" i="35" s="1"/>
  <c r="CZ365" i="35"/>
  <c r="Y365" i="19" s="1"/>
  <c r="GS321" i="35"/>
  <c r="U321" i="19"/>
  <c r="Q298" i="19"/>
  <c r="AC298" i="19" s="1"/>
  <c r="GN298" i="35"/>
  <c r="HJ298" i="35" s="1"/>
  <c r="J356" i="19"/>
  <c r="CK356" i="35"/>
  <c r="S334" i="19"/>
  <c r="GQ334" i="35"/>
  <c r="GR334" i="35"/>
  <c r="T334" i="19"/>
  <c r="DA354" i="35"/>
  <c r="Z354" i="19" s="1"/>
  <c r="CS354" i="35"/>
  <c r="GH354" i="35"/>
  <c r="GV354" i="35" s="1"/>
  <c r="HD354" i="35" s="1"/>
  <c r="FN354" i="35"/>
  <c r="CM354" i="35"/>
  <c r="K354" i="19"/>
  <c r="CZ354" i="35"/>
  <c r="Y354" i="19" s="1"/>
  <c r="CY354" i="35"/>
  <c r="X354" i="19" s="1"/>
  <c r="CX354" i="35"/>
  <c r="W354" i="19" s="1"/>
  <c r="EW345" i="35"/>
  <c r="H345" i="19"/>
  <c r="DR345" i="35"/>
  <c r="CI345" i="35"/>
  <c r="CJ345" i="35"/>
  <c r="GS335" i="35"/>
  <c r="U335" i="19"/>
  <c r="FW334" i="35"/>
  <c r="FZ334" i="35" s="1"/>
  <c r="GB334" i="35" s="1"/>
  <c r="FX334" i="35"/>
  <c r="CA362" i="35"/>
  <c r="FW287" i="35"/>
  <c r="FZ287" i="35" s="1"/>
  <c r="GB287" i="35" s="1"/>
  <c r="FX287" i="35"/>
  <c r="U287" i="19"/>
  <c r="GS287" i="35"/>
  <c r="GT287" i="35"/>
  <c r="T287" i="19"/>
  <c r="GR287" i="35"/>
  <c r="U297" i="19"/>
  <c r="Q291" i="19"/>
  <c r="AC291" i="19" s="1"/>
  <c r="GN291" i="35"/>
  <c r="Q317" i="19"/>
  <c r="AC317" i="19" s="1"/>
  <c r="GN317" i="35"/>
  <c r="HJ317" i="35" s="1"/>
  <c r="BA379" i="35"/>
  <c r="BD378" i="35"/>
  <c r="BF378" i="35" s="1"/>
  <c r="BH378" i="35" s="1"/>
  <c r="F22" i="24"/>
  <c r="F15" i="5"/>
  <c r="FT278" i="35"/>
  <c r="FT139" i="35"/>
  <c r="D25" i="37"/>
  <c r="F25" i="37" s="1"/>
  <c r="A26" i="37"/>
  <c r="H25" i="37"/>
  <c r="CA23" i="37"/>
  <c r="BY25" i="37"/>
  <c r="BX25" i="37" s="1"/>
  <c r="BZ25" i="37" s="1"/>
  <c r="BY26" i="37" s="1"/>
  <c r="BX26" i="37" s="1"/>
  <c r="BZ26" i="37" s="1"/>
  <c r="B69" i="37"/>
  <c r="BD21" i="37"/>
  <c r="B80" i="23"/>
  <c r="K81" i="23" s="1"/>
  <c r="B79" i="32"/>
  <c r="K81" i="32" s="1"/>
  <c r="F80" i="23"/>
  <c r="P81" i="23" s="1"/>
  <c r="F79" i="32"/>
  <c r="P81" i="32" s="1"/>
  <c r="F78" i="7"/>
  <c r="B78" i="7"/>
  <c r="FP291" i="35" l="1"/>
  <c r="FR291" i="35" s="1"/>
  <c r="HH295" i="35"/>
  <c r="FX291" i="35"/>
  <c r="HG295" i="35"/>
  <c r="CK375" i="35"/>
  <c r="HF295" i="35"/>
  <c r="CK366" i="35"/>
  <c r="CM366" i="35" s="1"/>
  <c r="M366" i="19" s="1"/>
  <c r="I338" i="19"/>
  <c r="DV375" i="35"/>
  <c r="CO299" i="35"/>
  <c r="GJ299" i="35"/>
  <c r="GX299" i="35" s="1"/>
  <c r="CK353" i="35"/>
  <c r="CF320" i="35"/>
  <c r="CG320" i="35" s="1"/>
  <c r="EW320" i="35" s="1"/>
  <c r="HH299" i="35"/>
  <c r="HF299" i="35"/>
  <c r="GJ287" i="35"/>
  <c r="GX287" i="35" s="1"/>
  <c r="M287" i="19"/>
  <c r="CO287" i="35"/>
  <c r="DR357" i="35"/>
  <c r="DV357" i="35" s="1"/>
  <c r="CI357" i="35"/>
  <c r="I357" i="19" s="1"/>
  <c r="HE299" i="35"/>
  <c r="CO332" i="35"/>
  <c r="M332" i="19"/>
  <c r="GJ332" i="35"/>
  <c r="GX332" i="35" s="1"/>
  <c r="CT295" i="35"/>
  <c r="S295" i="19" s="1"/>
  <c r="CY358" i="35"/>
  <c r="X358" i="19" s="1"/>
  <c r="GH358" i="35"/>
  <c r="GV358" i="35" s="1"/>
  <c r="HD358" i="35" s="1"/>
  <c r="DA358" i="35"/>
  <c r="Z358" i="19" s="1"/>
  <c r="K358" i="19"/>
  <c r="CM358" i="35"/>
  <c r="CZ358" i="35"/>
  <c r="Y358" i="19" s="1"/>
  <c r="CS358" i="35"/>
  <c r="CX358" i="35"/>
  <c r="W358" i="19" s="1"/>
  <c r="FN358" i="35"/>
  <c r="CI319" i="35"/>
  <c r="Q313" i="19"/>
  <c r="AC313" i="19" s="1"/>
  <c r="GN313" i="35"/>
  <c r="HJ313" i="35" s="1"/>
  <c r="FP299" i="35"/>
  <c r="FR299" i="35" s="1"/>
  <c r="HF332" i="35"/>
  <c r="HG332" i="35"/>
  <c r="HE332" i="35"/>
  <c r="HH332" i="35"/>
  <c r="H357" i="19"/>
  <c r="CH328" i="35"/>
  <c r="J328" i="19" s="1"/>
  <c r="CT306" i="35"/>
  <c r="GQ306" i="35" s="1"/>
  <c r="K373" i="19"/>
  <c r="FN373" i="35"/>
  <c r="DA373" i="35"/>
  <c r="Z373" i="19" s="1"/>
  <c r="CM373" i="35"/>
  <c r="CZ373" i="35"/>
  <c r="Y373" i="19" s="1"/>
  <c r="CS373" i="35"/>
  <c r="GH373" i="35"/>
  <c r="GV373" i="35" s="1"/>
  <c r="HD373" i="35" s="1"/>
  <c r="CX373" i="35"/>
  <c r="W373" i="19" s="1"/>
  <c r="CY373" i="35"/>
  <c r="X373" i="19" s="1"/>
  <c r="FP332" i="35"/>
  <c r="FR332" i="35" s="1"/>
  <c r="FV332" i="35"/>
  <c r="GL283" i="35"/>
  <c r="GZ283" i="35" s="1"/>
  <c r="HB283" i="35" s="1"/>
  <c r="O283" i="19"/>
  <c r="CQ283" i="35"/>
  <c r="CJ319" i="35"/>
  <c r="GT295" i="35"/>
  <c r="CU332" i="35"/>
  <c r="GP332" i="35"/>
  <c r="CV332" i="35"/>
  <c r="CW332" i="35"/>
  <c r="R332" i="19"/>
  <c r="CT332" i="35"/>
  <c r="CS353" i="35"/>
  <c r="CU353" i="35" s="1"/>
  <c r="GR353" i="35" s="1"/>
  <c r="CM353" i="35"/>
  <c r="M353" i="19" s="1"/>
  <c r="S284" i="19"/>
  <c r="GQ284" i="35"/>
  <c r="T284" i="19"/>
  <c r="GR284" i="35"/>
  <c r="CZ353" i="35"/>
  <c r="Y353" i="19" s="1"/>
  <c r="GH353" i="35"/>
  <c r="GV353" i="35" s="1"/>
  <c r="HD353" i="35" s="1"/>
  <c r="HE353" i="35" s="1"/>
  <c r="CK376" i="35"/>
  <c r="GS284" i="35"/>
  <c r="U284" i="19"/>
  <c r="DA353" i="35"/>
  <c r="Z353" i="19" s="1"/>
  <c r="V284" i="19"/>
  <c r="GT284" i="35"/>
  <c r="FN353" i="35"/>
  <c r="FP353" i="35" s="1"/>
  <c r="FR353" i="35" s="1"/>
  <c r="FX284" i="35"/>
  <c r="FW284" i="35"/>
  <c r="FZ284" i="35" s="1"/>
  <c r="GB284" i="35" s="1"/>
  <c r="CA357" i="35"/>
  <c r="DC357" i="35" s="1"/>
  <c r="K306" i="19"/>
  <c r="CS360" i="35"/>
  <c r="FN360" i="35"/>
  <c r="CM360" i="35"/>
  <c r="K360" i="19"/>
  <c r="DA360" i="35"/>
  <c r="Z360" i="19" s="1"/>
  <c r="CX360" i="35"/>
  <c r="W360" i="19" s="1"/>
  <c r="GH360" i="35"/>
  <c r="GV360" i="35" s="1"/>
  <c r="HD360" i="35" s="1"/>
  <c r="CY360" i="35"/>
  <c r="X360" i="19" s="1"/>
  <c r="CZ360" i="35"/>
  <c r="Y360" i="19" s="1"/>
  <c r="CX353" i="35"/>
  <c r="W353" i="19" s="1"/>
  <c r="CQ284" i="35"/>
  <c r="O284" i="19"/>
  <c r="GL284" i="35"/>
  <c r="GZ284" i="35" s="1"/>
  <c r="HB284" i="35" s="1"/>
  <c r="DC320" i="35"/>
  <c r="CH320" i="35"/>
  <c r="J320" i="19" s="1"/>
  <c r="FP306" i="35"/>
  <c r="FR306" i="35" s="1"/>
  <c r="FV306" i="35"/>
  <c r="FW306" i="35" s="1"/>
  <c r="FZ306" i="35" s="1"/>
  <c r="GB306" i="35" s="1"/>
  <c r="GQ286" i="35"/>
  <c r="S286" i="19"/>
  <c r="FV330" i="35"/>
  <c r="FP330" i="35"/>
  <c r="FR330" i="35" s="1"/>
  <c r="DT377" i="35"/>
  <c r="DV377" i="35"/>
  <c r="DR320" i="35"/>
  <c r="DV320" i="35" s="1"/>
  <c r="BY351" i="35"/>
  <c r="BZ351" i="35" s="1"/>
  <c r="CF351" i="35" s="1"/>
  <c r="CG351" i="35" s="1"/>
  <c r="CJ351" i="35" s="1"/>
  <c r="HG330" i="35"/>
  <c r="HE330" i="35"/>
  <c r="HF330" i="35"/>
  <c r="HH330" i="35"/>
  <c r="FW316" i="35"/>
  <c r="FZ316" i="35" s="1"/>
  <c r="GB316" i="35" s="1"/>
  <c r="FX316" i="35"/>
  <c r="U299" i="19"/>
  <c r="GS299" i="35"/>
  <c r="CO322" i="35"/>
  <c r="GJ322" i="35"/>
  <c r="GX322" i="35" s="1"/>
  <c r="M322" i="19"/>
  <c r="CJ337" i="35"/>
  <c r="I337" i="19" s="1"/>
  <c r="EW337" i="35"/>
  <c r="Q286" i="19"/>
  <c r="AC286" i="19" s="1"/>
  <c r="GT286" i="35"/>
  <c r="V286" i="19"/>
  <c r="CJ320" i="35"/>
  <c r="CA319" i="35"/>
  <c r="DR337" i="35"/>
  <c r="DV337" i="35" s="1"/>
  <c r="BY368" i="35"/>
  <c r="BZ368" i="35" s="1"/>
  <c r="CF368" i="35" s="1"/>
  <c r="CG368" i="35" s="1"/>
  <c r="DR368" i="35" s="1"/>
  <c r="DV368" i="35" s="1"/>
  <c r="CW306" i="35"/>
  <c r="GT306" i="35" s="1"/>
  <c r="GT299" i="35"/>
  <c r="V299" i="19"/>
  <c r="GQ299" i="35"/>
  <c r="S299" i="19"/>
  <c r="R330" i="19"/>
  <c r="CU330" i="35"/>
  <c r="GP330" i="35"/>
  <c r="CV330" i="35"/>
  <c r="CT330" i="35"/>
  <c r="CW330" i="35"/>
  <c r="CW322" i="35"/>
  <c r="CV322" i="35"/>
  <c r="CT322" i="35"/>
  <c r="R322" i="19"/>
  <c r="CU322" i="35"/>
  <c r="GP322" i="35"/>
  <c r="CO330" i="35"/>
  <c r="GJ330" i="35"/>
  <c r="GX330" i="35" s="1"/>
  <c r="M330" i="19"/>
  <c r="FW339" i="35"/>
  <c r="FZ339" i="35" s="1"/>
  <c r="GB339" i="35" s="1"/>
  <c r="CM306" i="35"/>
  <c r="M306" i="19" s="1"/>
  <c r="GN305" i="35"/>
  <c r="HJ305" i="35" s="1"/>
  <c r="Q305" i="19"/>
  <c r="AC305" i="19" s="1"/>
  <c r="CQ299" i="35"/>
  <c r="O299" i="19"/>
  <c r="GL299" i="35"/>
  <c r="GZ299" i="35" s="1"/>
  <c r="HB299" i="35" s="1"/>
  <c r="S316" i="19"/>
  <c r="GQ316" i="35"/>
  <c r="GR286" i="35"/>
  <c r="T286" i="19"/>
  <c r="GT275" i="35"/>
  <c r="V275" i="19"/>
  <c r="HF322" i="35"/>
  <c r="HG322" i="35"/>
  <c r="HH322" i="35"/>
  <c r="HE322" i="35"/>
  <c r="EW357" i="35"/>
  <c r="BY374" i="35"/>
  <c r="BZ374" i="35" s="1"/>
  <c r="CF374" i="35" s="1"/>
  <c r="CG374" i="35" s="1"/>
  <c r="GL286" i="35"/>
  <c r="GZ286" i="35" s="1"/>
  <c r="HB286" i="35" s="1"/>
  <c r="HJ286" i="35" s="1"/>
  <c r="Q311" i="19"/>
  <c r="AC311" i="19" s="1"/>
  <c r="GN311" i="35"/>
  <c r="HJ311" i="35" s="1"/>
  <c r="FW275" i="35"/>
  <c r="FZ275" i="35" s="1"/>
  <c r="GB275" i="35" s="1"/>
  <c r="FX275" i="35"/>
  <c r="S275" i="19"/>
  <c r="GQ275" i="35"/>
  <c r="CH357" i="35"/>
  <c r="J357" i="19" s="1"/>
  <c r="GR275" i="35"/>
  <c r="T275" i="19"/>
  <c r="T316" i="19"/>
  <c r="GR316" i="35"/>
  <c r="U286" i="19"/>
  <c r="GS286" i="35"/>
  <c r="CQ275" i="35"/>
  <c r="GL275" i="35"/>
  <c r="GZ275" i="35" s="1"/>
  <c r="HB275" i="35" s="1"/>
  <c r="O275" i="19"/>
  <c r="GT316" i="35"/>
  <c r="V316" i="19"/>
  <c r="BY350" i="35"/>
  <c r="BZ350" i="35" s="1"/>
  <c r="CA350" i="35" s="1"/>
  <c r="FW299" i="35"/>
  <c r="FZ299" i="35" s="1"/>
  <c r="GB299" i="35" s="1"/>
  <c r="FX299" i="35"/>
  <c r="FV322" i="35"/>
  <c r="FP322" i="35"/>
  <c r="FR322" i="35" s="1"/>
  <c r="DC340" i="35"/>
  <c r="CH340" i="35"/>
  <c r="O316" i="19"/>
  <c r="CQ316" i="35"/>
  <c r="GL316" i="35"/>
  <c r="GZ316" i="35" s="1"/>
  <c r="HB316" i="35" s="1"/>
  <c r="GS316" i="35"/>
  <c r="U316" i="19"/>
  <c r="CK377" i="35"/>
  <c r="I377" i="19"/>
  <c r="H319" i="19"/>
  <c r="BY348" i="35"/>
  <c r="BZ348" i="35" s="1"/>
  <c r="CA348" i="35" s="1"/>
  <c r="CZ309" i="35"/>
  <c r="Y309" i="19" s="1"/>
  <c r="CY309" i="35"/>
  <c r="X309" i="19" s="1"/>
  <c r="GH309" i="35"/>
  <c r="GV309" i="35" s="1"/>
  <c r="HD309" i="35" s="1"/>
  <c r="CM309" i="35"/>
  <c r="CS309" i="35"/>
  <c r="K309" i="19"/>
  <c r="CX309" i="35"/>
  <c r="W309" i="19" s="1"/>
  <c r="DA309" i="35"/>
  <c r="Z309" i="19" s="1"/>
  <c r="FN309" i="35"/>
  <c r="CH338" i="35"/>
  <c r="DC338" i="35"/>
  <c r="T299" i="19"/>
  <c r="GR299" i="35"/>
  <c r="GN289" i="35"/>
  <c r="HJ289" i="35" s="1"/>
  <c r="Q289" i="19"/>
  <c r="AC289" i="19" s="1"/>
  <c r="CI320" i="35"/>
  <c r="DV319" i="35"/>
  <c r="O286" i="19"/>
  <c r="H337" i="19"/>
  <c r="GS275" i="35"/>
  <c r="U275" i="19"/>
  <c r="CX306" i="35"/>
  <c r="W306" i="19" s="1"/>
  <c r="CZ306" i="35"/>
  <c r="Y306" i="19" s="1"/>
  <c r="DA306" i="35"/>
  <c r="Z306" i="19" s="1"/>
  <c r="GH306" i="35"/>
  <c r="GV306" i="35" s="1"/>
  <c r="HD306" i="35" s="1"/>
  <c r="CX304" i="35"/>
  <c r="W304" i="19" s="1"/>
  <c r="CZ304" i="35"/>
  <c r="Y304" i="19" s="1"/>
  <c r="CM304" i="35"/>
  <c r="CY304" i="35"/>
  <c r="X304" i="19" s="1"/>
  <c r="DA304" i="35"/>
  <c r="Z304" i="19" s="1"/>
  <c r="GH304" i="35"/>
  <c r="GV304" i="35" s="1"/>
  <c r="HD304" i="35" s="1"/>
  <c r="FN304" i="35"/>
  <c r="K304" i="19"/>
  <c r="CS304" i="35"/>
  <c r="DV338" i="35"/>
  <c r="DT338" i="35"/>
  <c r="DA325" i="35"/>
  <c r="Z325" i="19" s="1"/>
  <c r="FN325" i="35"/>
  <c r="FP325" i="35" s="1"/>
  <c r="FR325" i="35" s="1"/>
  <c r="CM325" i="35"/>
  <c r="GJ325" i="35" s="1"/>
  <c r="GX325" i="35" s="1"/>
  <c r="V306" i="19"/>
  <c r="CV306" i="35"/>
  <c r="CZ325" i="35"/>
  <c r="Y325" i="19" s="1"/>
  <c r="GT339" i="35"/>
  <c r="R306" i="19"/>
  <c r="GP306" i="35"/>
  <c r="CX325" i="35"/>
  <c r="W325" i="19" s="1"/>
  <c r="CS325" i="35"/>
  <c r="GP325" i="35" s="1"/>
  <c r="CU297" i="35"/>
  <c r="T297" i="19" s="1"/>
  <c r="GS339" i="35"/>
  <c r="T306" i="19"/>
  <c r="GR347" i="35"/>
  <c r="GP297" i="35"/>
  <c r="GH325" i="35"/>
  <c r="GV325" i="35" s="1"/>
  <c r="HD325" i="35" s="1"/>
  <c r="HH325" i="35" s="1"/>
  <c r="CT297" i="35"/>
  <c r="GQ297" i="35" s="1"/>
  <c r="CW347" i="35"/>
  <c r="V347" i="19" s="1"/>
  <c r="GN297" i="35"/>
  <c r="HJ297" i="35" s="1"/>
  <c r="CY325" i="35"/>
  <c r="X325" i="19" s="1"/>
  <c r="CW297" i="35"/>
  <c r="V297" i="19" s="1"/>
  <c r="R347" i="19"/>
  <c r="GP347" i="35"/>
  <c r="CV347" i="35"/>
  <c r="U347" i="19" s="1"/>
  <c r="FW292" i="35"/>
  <c r="FZ292" i="35" s="1"/>
  <c r="GB292" i="35" s="1"/>
  <c r="R297" i="19"/>
  <c r="FX327" i="35"/>
  <c r="CT347" i="35"/>
  <c r="GQ347" i="35" s="1"/>
  <c r="CV308" i="35"/>
  <c r="U308" i="19" s="1"/>
  <c r="V308" i="19"/>
  <c r="CU308" i="35"/>
  <c r="GR308" i="35" s="1"/>
  <c r="GN265" i="35"/>
  <c r="HJ265" i="35" s="1"/>
  <c r="Q265" i="19"/>
  <c r="AC265" i="19" s="1"/>
  <c r="H320" i="19"/>
  <c r="CT308" i="35"/>
  <c r="S308" i="19" s="1"/>
  <c r="GQ339" i="35"/>
  <c r="GP308" i="35"/>
  <c r="R308" i="19"/>
  <c r="GR339" i="35"/>
  <c r="CY323" i="35"/>
  <c r="X323" i="19" s="1"/>
  <c r="FX295" i="35"/>
  <c r="CQ339" i="35"/>
  <c r="GN339" i="35" s="1"/>
  <c r="HJ339" i="35" s="1"/>
  <c r="O339" i="19"/>
  <c r="FV297" i="35"/>
  <c r="FX297" i="35" s="1"/>
  <c r="T327" i="19"/>
  <c r="T295" i="19"/>
  <c r="U301" i="19"/>
  <c r="HG297" i="35"/>
  <c r="HG347" i="35"/>
  <c r="HH347" i="35"/>
  <c r="HF347" i="35"/>
  <c r="S292" i="19"/>
  <c r="DT318" i="35"/>
  <c r="GS327" i="35"/>
  <c r="BW364" i="35"/>
  <c r="GQ295" i="35"/>
  <c r="BW352" i="35"/>
  <c r="BW359" i="35"/>
  <c r="M308" i="19"/>
  <c r="GJ308" i="35"/>
  <c r="GX308" i="35" s="1"/>
  <c r="M296" i="19"/>
  <c r="GJ296" i="35"/>
  <c r="GX296" i="35" s="1"/>
  <c r="CO296" i="35"/>
  <c r="HG296" i="35"/>
  <c r="HH296" i="35"/>
  <c r="HF296" i="35"/>
  <c r="HE296" i="35"/>
  <c r="CF348" i="35"/>
  <c r="CG348" i="35" s="1"/>
  <c r="DR348" i="35" s="1"/>
  <c r="DT348" i="35" s="1"/>
  <c r="GT327" i="35"/>
  <c r="CZ349" i="35"/>
  <c r="Y349" i="19" s="1"/>
  <c r="DA349" i="35"/>
  <c r="Z349" i="19" s="1"/>
  <c r="K349" i="19"/>
  <c r="FN349" i="35"/>
  <c r="CM349" i="35"/>
  <c r="CX349" i="35"/>
  <c r="W349" i="19" s="1"/>
  <c r="GH349" i="35"/>
  <c r="GV349" i="35" s="1"/>
  <c r="HD349" i="35" s="1"/>
  <c r="CY349" i="35"/>
  <c r="X349" i="19" s="1"/>
  <c r="CS349" i="35"/>
  <c r="FW285" i="35"/>
  <c r="FZ285" i="35" s="1"/>
  <c r="GB285" i="35" s="1"/>
  <c r="FX285" i="35"/>
  <c r="FP296" i="35"/>
  <c r="FR296" i="35" s="1"/>
  <c r="FV296" i="35"/>
  <c r="R296" i="19"/>
  <c r="CT296" i="35"/>
  <c r="CV296" i="35"/>
  <c r="GP296" i="35"/>
  <c r="CW296" i="35"/>
  <c r="CU296" i="35"/>
  <c r="HG308" i="35"/>
  <c r="HE308" i="35"/>
  <c r="GT285" i="35"/>
  <c r="V285" i="19"/>
  <c r="BW372" i="35"/>
  <c r="GS285" i="35"/>
  <c r="U285" i="19"/>
  <c r="HH308" i="35"/>
  <c r="CK318" i="35"/>
  <c r="CZ318" i="35" s="1"/>
  <c r="Y318" i="19" s="1"/>
  <c r="BW363" i="35"/>
  <c r="GQ327" i="35"/>
  <c r="O285" i="19"/>
  <c r="CQ285" i="35"/>
  <c r="GL285" i="35"/>
  <c r="GZ285" i="35" s="1"/>
  <c r="HB285" i="35" s="1"/>
  <c r="S285" i="19"/>
  <c r="GQ285" i="35"/>
  <c r="T285" i="19"/>
  <c r="GR285" i="35"/>
  <c r="U295" i="19"/>
  <c r="S291" i="19"/>
  <c r="CZ344" i="35"/>
  <c r="Y344" i="19" s="1"/>
  <c r="HF297" i="35"/>
  <c r="HE297" i="35"/>
  <c r="CF355" i="35"/>
  <c r="CG355" i="35" s="1"/>
  <c r="H355" i="19" s="1"/>
  <c r="GJ347" i="35"/>
  <c r="GX347" i="35" s="1"/>
  <c r="M347" i="19"/>
  <c r="O347" i="19"/>
  <c r="CT361" i="35"/>
  <c r="GQ361" i="35" s="1"/>
  <c r="FW347" i="35"/>
  <c r="FZ347" i="35" s="1"/>
  <c r="GB347" i="35" s="1"/>
  <c r="CQ347" i="35"/>
  <c r="Q347" i="19" s="1"/>
  <c r="AC347" i="19" s="1"/>
  <c r="DR362" i="35"/>
  <c r="CJ362" i="35"/>
  <c r="CI362" i="35"/>
  <c r="EW362" i="35"/>
  <c r="CO361" i="35"/>
  <c r="O361" i="19" s="1"/>
  <c r="S290" i="19"/>
  <c r="CH355" i="35"/>
  <c r="J355" i="19" s="1"/>
  <c r="DC355" i="35"/>
  <c r="GN295" i="35"/>
  <c r="H362" i="19"/>
  <c r="Q327" i="19"/>
  <c r="AC327" i="19" s="1"/>
  <c r="S301" i="19"/>
  <c r="GL295" i="35"/>
  <c r="GZ295" i="35" s="1"/>
  <c r="HB295" i="35" s="1"/>
  <c r="O295" i="19"/>
  <c r="CY344" i="35"/>
  <c r="X344" i="19" s="1"/>
  <c r="GJ361" i="35"/>
  <c r="GX361" i="35" s="1"/>
  <c r="FW361" i="35"/>
  <c r="FZ361" i="35" s="1"/>
  <c r="GB361" i="35" s="1"/>
  <c r="R361" i="19"/>
  <c r="GP361" i="35"/>
  <c r="CW361" i="35"/>
  <c r="CW353" i="35"/>
  <c r="GT353" i="35" s="1"/>
  <c r="GS317" i="35"/>
  <c r="U291" i="19"/>
  <c r="GS361" i="35"/>
  <c r="R353" i="19"/>
  <c r="T292" i="19"/>
  <c r="FW336" i="35"/>
  <c r="FZ336" i="35" s="1"/>
  <c r="GB336" i="35" s="1"/>
  <c r="T291" i="19"/>
  <c r="CW336" i="35"/>
  <c r="GT336" i="35" s="1"/>
  <c r="CS344" i="35"/>
  <c r="CV344" i="35" s="1"/>
  <c r="U344" i="19" s="1"/>
  <c r="GN292" i="35"/>
  <c r="HJ292" i="35" s="1"/>
  <c r="V292" i="19"/>
  <c r="FP361" i="35"/>
  <c r="FR361" i="35" s="1"/>
  <c r="GH344" i="35"/>
  <c r="GV344" i="35" s="1"/>
  <c r="HD344" i="35" s="1"/>
  <c r="HH344" i="35" s="1"/>
  <c r="GH323" i="35"/>
  <c r="GV323" i="35" s="1"/>
  <c r="HD323" i="35" s="1"/>
  <c r="HE323" i="35" s="1"/>
  <c r="FN344" i="35"/>
  <c r="FP344" i="35" s="1"/>
  <c r="FR344" i="35" s="1"/>
  <c r="FW290" i="35"/>
  <c r="FZ290" i="35" s="1"/>
  <c r="GB290" i="35" s="1"/>
  <c r="K344" i="19"/>
  <c r="CM344" i="35"/>
  <c r="GJ344" i="35" s="1"/>
  <c r="GX344" i="35" s="1"/>
  <c r="CX344" i="35"/>
  <c r="W344" i="19" s="1"/>
  <c r="CU361" i="35"/>
  <c r="GR361" i="35" s="1"/>
  <c r="GT317" i="35"/>
  <c r="GL308" i="35"/>
  <c r="GZ308" i="35" s="1"/>
  <c r="HB308" i="35" s="1"/>
  <c r="GT301" i="35"/>
  <c r="GT291" i="35"/>
  <c r="T301" i="19"/>
  <c r="U292" i="19"/>
  <c r="CQ315" i="35"/>
  <c r="Q315" i="19" s="1"/>
  <c r="AC315" i="19" s="1"/>
  <c r="O315" i="19"/>
  <c r="V290" i="19"/>
  <c r="CX341" i="35"/>
  <c r="W341" i="19" s="1"/>
  <c r="CQ308" i="35"/>
  <c r="Q308" i="19" s="1"/>
  <c r="AC308" i="19" s="1"/>
  <c r="GP353" i="35"/>
  <c r="CV353" i="35"/>
  <c r="GS353" i="35" s="1"/>
  <c r="CK329" i="35"/>
  <c r="CY329" i="35" s="1"/>
  <c r="X329" i="19" s="1"/>
  <c r="CO336" i="35"/>
  <c r="CQ336" i="35" s="1"/>
  <c r="Q336" i="19" s="1"/>
  <c r="AC336" i="19" s="1"/>
  <c r="I329" i="19"/>
  <c r="S317" i="19"/>
  <c r="HH336" i="35"/>
  <c r="T317" i="19"/>
  <c r="T290" i="19"/>
  <c r="CQ307" i="35"/>
  <c r="Q307" i="19" s="1"/>
  <c r="AC307" i="19" s="1"/>
  <c r="FX317" i="35"/>
  <c r="FN323" i="35"/>
  <c r="FV323" i="35" s="1"/>
  <c r="HE301" i="35"/>
  <c r="CV336" i="35"/>
  <c r="U336" i="19" s="1"/>
  <c r="M301" i="19"/>
  <c r="CJ368" i="35"/>
  <c r="CU336" i="35"/>
  <c r="T336" i="19" s="1"/>
  <c r="CY341" i="35"/>
  <c r="X341" i="19" s="1"/>
  <c r="CS341" i="35"/>
  <c r="CW341" i="35" s="1"/>
  <c r="V341" i="19" s="1"/>
  <c r="CM323" i="35"/>
  <c r="M323" i="19" s="1"/>
  <c r="CO301" i="35"/>
  <c r="O301" i="19" s="1"/>
  <c r="H368" i="19"/>
  <c r="GP336" i="35"/>
  <c r="FV301" i="35"/>
  <c r="FX301" i="35" s="1"/>
  <c r="CT336" i="35"/>
  <c r="GQ336" i="35" s="1"/>
  <c r="CS323" i="35"/>
  <c r="CT323" i="35" s="1"/>
  <c r="GQ323" i="35" s="1"/>
  <c r="EW368" i="35"/>
  <c r="GH341" i="35"/>
  <c r="GV341" i="35" s="1"/>
  <c r="HD341" i="35" s="1"/>
  <c r="HE341" i="35" s="1"/>
  <c r="CX323" i="35"/>
  <c r="W323" i="19" s="1"/>
  <c r="O307" i="19"/>
  <c r="CZ323" i="35"/>
  <c r="Y323" i="19" s="1"/>
  <c r="FP336" i="35"/>
  <c r="FR336" i="35" s="1"/>
  <c r="DA323" i="35"/>
  <c r="Z323" i="19" s="1"/>
  <c r="CI368" i="35"/>
  <c r="DA341" i="35"/>
  <c r="Z341" i="19" s="1"/>
  <c r="HH301" i="35"/>
  <c r="HG301" i="35"/>
  <c r="FX315" i="35"/>
  <c r="CK346" i="35"/>
  <c r="CS346" i="35" s="1"/>
  <c r="CV346" i="35" s="1"/>
  <c r="U346" i="19" s="1"/>
  <c r="GJ336" i="35"/>
  <c r="GX336" i="35" s="1"/>
  <c r="HE336" i="35"/>
  <c r="HF336" i="35"/>
  <c r="HJ291" i="35"/>
  <c r="CW369" i="35"/>
  <c r="V369" i="19" s="1"/>
  <c r="CT369" i="35"/>
  <c r="GQ369" i="35" s="1"/>
  <c r="I342" i="19"/>
  <c r="R333" i="19"/>
  <c r="K333" i="19"/>
  <c r="GH369" i="35"/>
  <c r="GV369" i="35" s="1"/>
  <c r="HD369" i="35" s="1"/>
  <c r="CZ369" i="35"/>
  <c r="Y369" i="19" s="1"/>
  <c r="DA369" i="35"/>
  <c r="Z369" i="19" s="1"/>
  <c r="CY369" i="35"/>
  <c r="X369" i="19" s="1"/>
  <c r="CX369" i="35"/>
  <c r="W369" i="19" s="1"/>
  <c r="K369" i="19"/>
  <c r="CM369" i="35"/>
  <c r="K341" i="19"/>
  <c r="CM341" i="35"/>
  <c r="CO341" i="35" s="1"/>
  <c r="CQ341" i="35" s="1"/>
  <c r="I346" i="19"/>
  <c r="CX333" i="35"/>
  <c r="W333" i="19" s="1"/>
  <c r="FN369" i="35"/>
  <c r="FV369" i="35" s="1"/>
  <c r="FX369" i="35" s="1"/>
  <c r="FN341" i="35"/>
  <c r="FP341" i="35" s="1"/>
  <c r="FR341" i="35" s="1"/>
  <c r="CI371" i="35"/>
  <c r="GN326" i="35"/>
  <c r="HJ326" i="35" s="1"/>
  <c r="Q326" i="19"/>
  <c r="AC326" i="19" s="1"/>
  <c r="FN333" i="35"/>
  <c r="FP333" i="35" s="1"/>
  <c r="FR333" i="35" s="1"/>
  <c r="CV369" i="35"/>
  <c r="U369" i="19" s="1"/>
  <c r="GR333" i="35"/>
  <c r="CQ290" i="35"/>
  <c r="GN290" i="35" s="1"/>
  <c r="HJ290" i="35" s="1"/>
  <c r="CW333" i="35"/>
  <c r="V333" i="19" s="1"/>
  <c r="O290" i="19"/>
  <c r="GT331" i="35"/>
  <c r="V331" i="19"/>
  <c r="R369" i="19"/>
  <c r="CW294" i="35"/>
  <c r="CT294" i="35"/>
  <c r="CU294" i="35"/>
  <c r="CV294" i="35"/>
  <c r="GP294" i="35"/>
  <c r="R294" i="19"/>
  <c r="GN334" i="35"/>
  <c r="HJ334" i="35" s="1"/>
  <c r="Q334" i="19"/>
  <c r="AC334" i="19" s="1"/>
  <c r="GP369" i="35"/>
  <c r="DA333" i="35"/>
  <c r="Z333" i="19" s="1"/>
  <c r="GJ354" i="35"/>
  <c r="GX354" i="35" s="1"/>
  <c r="CO354" i="35"/>
  <c r="M354" i="19"/>
  <c r="CM333" i="35"/>
  <c r="M333" i="19" s="1"/>
  <c r="FP354" i="35"/>
  <c r="FR354" i="35" s="1"/>
  <c r="FV354" i="35"/>
  <c r="FP365" i="35"/>
  <c r="FR365" i="35" s="1"/>
  <c r="FV365" i="35"/>
  <c r="HE294" i="35"/>
  <c r="HH294" i="35"/>
  <c r="HF294" i="35"/>
  <c r="HG294" i="35"/>
  <c r="CV367" i="35"/>
  <c r="CT367" i="35"/>
  <c r="R367" i="19"/>
  <c r="GP367" i="35"/>
  <c r="CW367" i="35"/>
  <c r="CU367" i="35"/>
  <c r="CO365" i="35"/>
  <c r="M365" i="19"/>
  <c r="GJ365" i="35"/>
  <c r="GX365" i="35" s="1"/>
  <c r="DA356" i="35"/>
  <c r="Z356" i="19" s="1"/>
  <c r="CM356" i="35"/>
  <c r="FN356" i="35"/>
  <c r="K356" i="19"/>
  <c r="CZ356" i="35"/>
  <c r="Y356" i="19" s="1"/>
  <c r="GH356" i="35"/>
  <c r="GV356" i="35" s="1"/>
  <c r="HD356" i="35" s="1"/>
  <c r="CX356" i="35"/>
  <c r="W356" i="19" s="1"/>
  <c r="CY356" i="35"/>
  <c r="X356" i="19" s="1"/>
  <c r="CS356" i="35"/>
  <c r="CF370" i="35"/>
  <c r="CG370" i="35" s="1"/>
  <c r="CI370" i="35" s="1"/>
  <c r="CA370" i="35"/>
  <c r="CJ371" i="35"/>
  <c r="HE354" i="35"/>
  <c r="HH354" i="35"/>
  <c r="HF354" i="35"/>
  <c r="HG354" i="35"/>
  <c r="CT365" i="35"/>
  <c r="CU365" i="35"/>
  <c r="GP365" i="35"/>
  <c r="CW365" i="35"/>
  <c r="CV365" i="35"/>
  <c r="R365" i="19"/>
  <c r="GN335" i="35"/>
  <c r="HJ335" i="35" s="1"/>
  <c r="Q335" i="19"/>
  <c r="AC335" i="19" s="1"/>
  <c r="HF367" i="35"/>
  <c r="HE367" i="35"/>
  <c r="HH367" i="35"/>
  <c r="HG367" i="35"/>
  <c r="FX331" i="35"/>
  <c r="FW331" i="35"/>
  <c r="FZ331" i="35" s="1"/>
  <c r="GB331" i="35" s="1"/>
  <c r="J342" i="19"/>
  <c r="CK342" i="35"/>
  <c r="CY333" i="35"/>
  <c r="X333" i="19" s="1"/>
  <c r="GP354" i="35"/>
  <c r="CW354" i="35"/>
  <c r="CU354" i="35"/>
  <c r="CV354" i="35"/>
  <c r="CT354" i="35"/>
  <c r="R354" i="19"/>
  <c r="CY375" i="35"/>
  <c r="X375" i="19" s="1"/>
  <c r="CX375" i="35"/>
  <c r="W375" i="19" s="1"/>
  <c r="CM375" i="35"/>
  <c r="GH375" i="35"/>
  <c r="GV375" i="35" s="1"/>
  <c r="HD375" i="35" s="1"/>
  <c r="K375" i="19"/>
  <c r="FN375" i="35"/>
  <c r="DA375" i="35"/>
  <c r="Z375" i="19" s="1"/>
  <c r="CZ375" i="35"/>
  <c r="Y375" i="19" s="1"/>
  <c r="CS375" i="35"/>
  <c r="FP294" i="35"/>
  <c r="FR294" i="35" s="1"/>
  <c r="FV294" i="35"/>
  <c r="M367" i="19"/>
  <c r="GJ367" i="35"/>
  <c r="GX367" i="35" s="1"/>
  <c r="CO367" i="35"/>
  <c r="GP333" i="35"/>
  <c r="I345" i="19"/>
  <c r="J345" i="19"/>
  <c r="CK345" i="35"/>
  <c r="U331" i="19"/>
  <c r="GS331" i="35"/>
  <c r="DT342" i="35"/>
  <c r="DV342" i="35"/>
  <c r="CQ331" i="35"/>
  <c r="GL331" i="35"/>
  <c r="GZ331" i="35" s="1"/>
  <c r="HB331" i="35" s="1"/>
  <c r="O331" i="19"/>
  <c r="CU369" i="35"/>
  <c r="T369" i="19" s="1"/>
  <c r="CT333" i="35"/>
  <c r="GQ333" i="35" s="1"/>
  <c r="DT345" i="35"/>
  <c r="DV345" i="35"/>
  <c r="FV367" i="35"/>
  <c r="FP367" i="35"/>
  <c r="FR367" i="35" s="1"/>
  <c r="DR371" i="35"/>
  <c r="DT371" i="35" s="1"/>
  <c r="CZ333" i="35"/>
  <c r="Y333" i="19" s="1"/>
  <c r="GH333" i="35"/>
  <c r="GV333" i="35" s="1"/>
  <c r="HD333" i="35" s="1"/>
  <c r="HE333" i="35" s="1"/>
  <c r="CO294" i="35"/>
  <c r="M294" i="19"/>
  <c r="GJ294" i="35"/>
  <c r="GX294" i="35" s="1"/>
  <c r="GR331" i="35"/>
  <c r="T331" i="19"/>
  <c r="Q321" i="19"/>
  <c r="AC321" i="19" s="1"/>
  <c r="GN321" i="35"/>
  <c r="HJ321" i="35" s="1"/>
  <c r="DC371" i="35"/>
  <c r="CH371" i="35"/>
  <c r="J371" i="19" s="1"/>
  <c r="CV333" i="35"/>
  <c r="GS333" i="35" s="1"/>
  <c r="HE365" i="35"/>
  <c r="HG365" i="35"/>
  <c r="HF365" i="35"/>
  <c r="HH365" i="35"/>
  <c r="DV346" i="35"/>
  <c r="DT346" i="35"/>
  <c r="GQ331" i="35"/>
  <c r="S331" i="19"/>
  <c r="CH362" i="35"/>
  <c r="J362" i="19" s="1"/>
  <c r="DC362" i="35"/>
  <c r="HE325" i="35"/>
  <c r="HG325" i="35"/>
  <c r="FV325" i="35"/>
  <c r="FX325" i="35" s="1"/>
  <c r="CV325" i="35"/>
  <c r="U325" i="19" s="1"/>
  <c r="BJ378" i="35"/>
  <c r="BL378" i="35" s="1"/>
  <c r="BN378" i="35" s="1"/>
  <c r="BP378" i="35" s="1"/>
  <c r="BR378" i="35" s="1"/>
  <c r="BT378" i="35" s="1"/>
  <c r="BW378" i="35" s="1"/>
  <c r="BH379" i="35"/>
  <c r="BF379" i="35"/>
  <c r="BD379" i="35"/>
  <c r="F31" i="24"/>
  <c r="E38" i="24" s="1"/>
  <c r="F38" i="24" s="1"/>
  <c r="F47" i="24"/>
  <c r="F26" i="24"/>
  <c r="N75" i="24" s="1"/>
  <c r="F24" i="24"/>
  <c r="F15" i="38"/>
  <c r="F17" i="5"/>
  <c r="AG8" i="5" s="1"/>
  <c r="AH8" i="5" s="1"/>
  <c r="AI8" i="5" s="1"/>
  <c r="F15" i="34"/>
  <c r="I27" i="26"/>
  <c r="F15" i="32"/>
  <c r="F17" i="32" s="1"/>
  <c r="F16" i="7"/>
  <c r="I27" i="27" s="1"/>
  <c r="FT141" i="35"/>
  <c r="FT280" i="35"/>
  <c r="G25" i="37"/>
  <c r="M25" i="37" s="1"/>
  <c r="BY27" i="37"/>
  <c r="BX27" i="37" s="1"/>
  <c r="BZ27" i="37" s="1"/>
  <c r="BY28" i="37" s="1"/>
  <c r="BX28" i="37" s="1"/>
  <c r="BZ28" i="37" s="1"/>
  <c r="M26" i="37"/>
  <c r="A27" i="37"/>
  <c r="D26" i="37"/>
  <c r="B70" i="37"/>
  <c r="BE21" i="37"/>
  <c r="A117" i="13"/>
  <c r="D23" i="13"/>
  <c r="E16" i="13"/>
  <c r="I11" i="13"/>
  <c r="A4" i="13"/>
  <c r="DT320" i="35" l="1"/>
  <c r="FN366" i="35"/>
  <c r="CS366" i="35"/>
  <c r="GH366" i="35"/>
  <c r="GV366" i="35" s="1"/>
  <c r="HD366" i="35" s="1"/>
  <c r="HG366" i="35" s="1"/>
  <c r="DA366" i="35"/>
  <c r="Z366" i="19" s="1"/>
  <c r="CZ366" i="35"/>
  <c r="Y366" i="19" s="1"/>
  <c r="CX366" i="35"/>
  <c r="W366" i="19" s="1"/>
  <c r="K366" i="19"/>
  <c r="CY366" i="35"/>
  <c r="X366" i="19" s="1"/>
  <c r="GJ366" i="35"/>
  <c r="GX366" i="35" s="1"/>
  <c r="CO366" i="35"/>
  <c r="K353" i="19"/>
  <c r="CY353" i="35"/>
  <c r="X353" i="19" s="1"/>
  <c r="I319" i="19"/>
  <c r="DT357" i="35"/>
  <c r="GJ306" i="35"/>
  <c r="GX306" i="35" s="1"/>
  <c r="GL287" i="35"/>
  <c r="GZ287" i="35" s="1"/>
  <c r="HB287" i="35" s="1"/>
  <c r="CQ287" i="35"/>
  <c r="O287" i="19"/>
  <c r="CK337" i="35"/>
  <c r="CS337" i="35" s="1"/>
  <c r="CV337" i="35" s="1"/>
  <c r="U337" i="19" s="1"/>
  <c r="BY378" i="35"/>
  <c r="BW379" i="35"/>
  <c r="HH366" i="35"/>
  <c r="U332" i="19"/>
  <c r="GS332" i="35"/>
  <c r="GJ353" i="35"/>
  <c r="GX353" i="35" s="1"/>
  <c r="GP373" i="35"/>
  <c r="CU373" i="35"/>
  <c r="CW373" i="35"/>
  <c r="CT373" i="35"/>
  <c r="R373" i="19"/>
  <c r="CV373" i="35"/>
  <c r="HE358" i="35"/>
  <c r="HF358" i="35"/>
  <c r="HH358" i="35"/>
  <c r="HG358" i="35"/>
  <c r="CX337" i="35"/>
  <c r="W337" i="19" s="1"/>
  <c r="S306" i="19"/>
  <c r="T332" i="19"/>
  <c r="GR332" i="35"/>
  <c r="HF325" i="35"/>
  <c r="CV366" i="35"/>
  <c r="GS366" i="35" s="1"/>
  <c r="HG353" i="35"/>
  <c r="FV353" i="35"/>
  <c r="FX353" i="35" s="1"/>
  <c r="M373" i="19"/>
  <c r="CO373" i="35"/>
  <c r="GJ373" i="35"/>
  <c r="GX373" i="35" s="1"/>
  <c r="S297" i="19"/>
  <c r="HH353" i="35"/>
  <c r="FX306" i="35"/>
  <c r="T353" i="19"/>
  <c r="CA368" i="35"/>
  <c r="DC368" i="35" s="1"/>
  <c r="HF373" i="35"/>
  <c r="HG373" i="35"/>
  <c r="HH373" i="35"/>
  <c r="HE373" i="35"/>
  <c r="HF353" i="35"/>
  <c r="CK328" i="35"/>
  <c r="GH328" i="35" s="1"/>
  <c r="GV328" i="35" s="1"/>
  <c r="HD328" i="35" s="1"/>
  <c r="HG328" i="35" s="1"/>
  <c r="Q283" i="19"/>
  <c r="AC283" i="19" s="1"/>
  <c r="GN283" i="35"/>
  <c r="HJ283" i="35" s="1"/>
  <c r="FP373" i="35"/>
  <c r="FR373" i="35" s="1"/>
  <c r="FV373" i="35"/>
  <c r="GT332" i="35"/>
  <c r="V332" i="19"/>
  <c r="HF366" i="35"/>
  <c r="FP358" i="35"/>
  <c r="FR358" i="35" s="1"/>
  <c r="FV358" i="35"/>
  <c r="CQ332" i="35"/>
  <c r="O332" i="19"/>
  <c r="GL332" i="35"/>
  <c r="GZ332" i="35" s="1"/>
  <c r="HB332" i="35" s="1"/>
  <c r="GS347" i="35"/>
  <c r="FX332" i="35"/>
  <c r="FW332" i="35"/>
  <c r="FZ332" i="35" s="1"/>
  <c r="GB332" i="35" s="1"/>
  <c r="CW358" i="35"/>
  <c r="CU358" i="35"/>
  <c r="GP358" i="35"/>
  <c r="R358" i="19"/>
  <c r="CV358" i="35"/>
  <c r="CT358" i="35"/>
  <c r="CO353" i="35"/>
  <c r="CQ353" i="35" s="1"/>
  <c r="Q353" i="19" s="1"/>
  <c r="AC353" i="19" s="1"/>
  <c r="S332" i="19"/>
  <c r="GQ332" i="35"/>
  <c r="EW351" i="35"/>
  <c r="DR351" i="35"/>
  <c r="DT351" i="35" s="1"/>
  <c r="CT353" i="35"/>
  <c r="CO358" i="35"/>
  <c r="GJ358" i="35"/>
  <c r="GX358" i="35" s="1"/>
  <c r="M358" i="19"/>
  <c r="CI351" i="35"/>
  <c r="I351" i="19" s="1"/>
  <c r="H351" i="19"/>
  <c r="M360" i="19"/>
  <c r="GJ360" i="35"/>
  <c r="GX360" i="35" s="1"/>
  <c r="CO360" i="35"/>
  <c r="DA376" i="35"/>
  <c r="Z376" i="19" s="1"/>
  <c r="CS376" i="35"/>
  <c r="FN376" i="35"/>
  <c r="K376" i="19"/>
  <c r="CM376" i="35"/>
  <c r="CY376" i="35"/>
  <c r="X376" i="19" s="1"/>
  <c r="CZ376" i="35"/>
  <c r="Y376" i="19" s="1"/>
  <c r="GH376" i="35"/>
  <c r="GV376" i="35" s="1"/>
  <c r="HD376" i="35" s="1"/>
  <c r="CX376" i="35"/>
  <c r="W376" i="19" s="1"/>
  <c r="CK357" i="35"/>
  <c r="CM357" i="35" s="1"/>
  <c r="M357" i="19" s="1"/>
  <c r="CT360" i="35"/>
  <c r="CW360" i="35"/>
  <c r="CV360" i="35"/>
  <c r="R360" i="19"/>
  <c r="CU360" i="35"/>
  <c r="GP360" i="35"/>
  <c r="FV360" i="35"/>
  <c r="FP360" i="35"/>
  <c r="FR360" i="35" s="1"/>
  <c r="CK320" i="35"/>
  <c r="K320" i="19" s="1"/>
  <c r="CF350" i="35"/>
  <c r="CG350" i="35" s="1"/>
  <c r="EW350" i="35" s="1"/>
  <c r="GN284" i="35"/>
  <c r="HJ284" i="35" s="1"/>
  <c r="Q284" i="19"/>
  <c r="AC284" i="19" s="1"/>
  <c r="CO306" i="35"/>
  <c r="O306" i="19" s="1"/>
  <c r="HG360" i="35"/>
  <c r="HF360" i="35"/>
  <c r="HH360" i="35"/>
  <c r="HE360" i="35"/>
  <c r="DT368" i="35"/>
  <c r="I320" i="19"/>
  <c r="CH348" i="35"/>
  <c r="J348" i="19" s="1"/>
  <c r="DC348" i="35"/>
  <c r="DR374" i="35"/>
  <c r="CJ374" i="35"/>
  <c r="CI374" i="35"/>
  <c r="EW374" i="35"/>
  <c r="H374" i="19"/>
  <c r="DC350" i="35"/>
  <c r="CH350" i="35"/>
  <c r="J350" i="19" s="1"/>
  <c r="HE366" i="35"/>
  <c r="HF304" i="35"/>
  <c r="HG304" i="35"/>
  <c r="HH304" i="35"/>
  <c r="HE304" i="35"/>
  <c r="GS330" i="35"/>
  <c r="U330" i="19"/>
  <c r="BY364" i="35"/>
  <c r="BZ364" i="35" s="1"/>
  <c r="CF364" i="35" s="1"/>
  <c r="CG364" i="35" s="1"/>
  <c r="H364" i="19" s="1"/>
  <c r="M304" i="19"/>
  <c r="GJ304" i="35"/>
  <c r="GX304" i="35" s="1"/>
  <c r="CO304" i="35"/>
  <c r="M309" i="19"/>
  <c r="GJ309" i="35"/>
  <c r="GX309" i="35" s="1"/>
  <c r="CO309" i="35"/>
  <c r="O330" i="19"/>
  <c r="CQ330" i="35"/>
  <c r="GL330" i="35"/>
  <c r="GZ330" i="35" s="1"/>
  <c r="HB330" i="35" s="1"/>
  <c r="FP304" i="35"/>
  <c r="FR304" i="35" s="1"/>
  <c r="FV304" i="35"/>
  <c r="DC319" i="35"/>
  <c r="CH319" i="35"/>
  <c r="CH368" i="35"/>
  <c r="J368" i="19" s="1"/>
  <c r="CA374" i="35"/>
  <c r="HE309" i="35"/>
  <c r="HG309" i="35"/>
  <c r="HF309" i="35"/>
  <c r="HH309" i="35"/>
  <c r="R337" i="19"/>
  <c r="BY363" i="35"/>
  <c r="BZ363" i="35" s="1"/>
  <c r="CF363" i="35" s="1"/>
  <c r="CG363" i="35" s="1"/>
  <c r="GQ330" i="35"/>
  <c r="S330" i="19"/>
  <c r="CY377" i="35"/>
  <c r="X377" i="19" s="1"/>
  <c r="CX377" i="35"/>
  <c r="W377" i="19" s="1"/>
  <c r="CZ377" i="35"/>
  <c r="Y377" i="19" s="1"/>
  <c r="K377" i="19"/>
  <c r="DA377" i="35"/>
  <c r="Z377" i="19" s="1"/>
  <c r="CS377" i="35"/>
  <c r="CM377" i="35"/>
  <c r="FN377" i="35"/>
  <c r="GH377" i="35"/>
  <c r="GV377" i="35" s="1"/>
  <c r="HD377" i="35" s="1"/>
  <c r="FW330" i="35"/>
  <c r="FZ330" i="35" s="1"/>
  <c r="GB330" i="35" s="1"/>
  <c r="FX330" i="35"/>
  <c r="GN316" i="35"/>
  <c r="HJ316" i="35" s="1"/>
  <c r="Q316" i="19"/>
  <c r="AC316" i="19" s="1"/>
  <c r="T322" i="19"/>
  <c r="GR322" i="35"/>
  <c r="FX322" i="35"/>
  <c r="FW322" i="35"/>
  <c r="FZ322" i="35" s="1"/>
  <c r="GB322" i="35" s="1"/>
  <c r="BY359" i="35"/>
  <c r="BZ359" i="35" s="1"/>
  <c r="CF359" i="35" s="1"/>
  <c r="CG359" i="35" s="1"/>
  <c r="R325" i="19"/>
  <c r="HH306" i="35"/>
  <c r="HG306" i="35"/>
  <c r="HE306" i="35"/>
  <c r="HF306" i="35"/>
  <c r="Q299" i="19"/>
  <c r="AC299" i="19" s="1"/>
  <c r="GN299" i="35"/>
  <c r="HJ299" i="35" s="1"/>
  <c r="FP309" i="35"/>
  <c r="FR309" i="35" s="1"/>
  <c r="FV309" i="35"/>
  <c r="CU337" i="35"/>
  <c r="T337" i="19" s="1"/>
  <c r="T330" i="19"/>
  <c r="GR330" i="35"/>
  <c r="M325" i="19"/>
  <c r="BY372" i="35"/>
  <c r="BZ372" i="35" s="1"/>
  <c r="CF372" i="35" s="1"/>
  <c r="CG372" i="35" s="1"/>
  <c r="J340" i="19"/>
  <c r="CK340" i="35"/>
  <c r="GQ322" i="35"/>
  <c r="S322" i="19"/>
  <c r="V330" i="19"/>
  <c r="GT330" i="35"/>
  <c r="R309" i="19"/>
  <c r="CV309" i="35"/>
  <c r="CU309" i="35"/>
  <c r="GP309" i="35"/>
  <c r="CW309" i="35"/>
  <c r="CT309" i="35"/>
  <c r="DT337" i="35"/>
  <c r="GS322" i="35"/>
  <c r="U322" i="19"/>
  <c r="CA351" i="35"/>
  <c r="GN275" i="35"/>
  <c r="HJ275" i="35" s="1"/>
  <c r="Q275" i="19"/>
  <c r="AC275" i="19" s="1"/>
  <c r="GL322" i="35"/>
  <c r="GZ322" i="35" s="1"/>
  <c r="HB322" i="35" s="1"/>
  <c r="O322" i="19"/>
  <c r="CQ322" i="35"/>
  <c r="BY352" i="35"/>
  <c r="BZ352" i="35" s="1"/>
  <c r="CF352" i="35" s="1"/>
  <c r="CG352" i="35" s="1"/>
  <c r="DR352" i="35" s="1"/>
  <c r="DT352" i="35" s="1"/>
  <c r="CO325" i="35"/>
  <c r="GL325" i="35" s="1"/>
  <c r="GZ325" i="35" s="1"/>
  <c r="HB325" i="35" s="1"/>
  <c r="CT325" i="35"/>
  <c r="S325" i="19" s="1"/>
  <c r="T308" i="19"/>
  <c r="DA337" i="35"/>
  <c r="Z337" i="19" s="1"/>
  <c r="CT304" i="35"/>
  <c r="GP304" i="35"/>
  <c r="CU304" i="35"/>
  <c r="CV304" i="35"/>
  <c r="CW304" i="35"/>
  <c r="R304" i="19"/>
  <c r="J338" i="19"/>
  <c r="CK338" i="35"/>
  <c r="GT322" i="35"/>
  <c r="V322" i="19"/>
  <c r="GT347" i="35"/>
  <c r="BZ378" i="35"/>
  <c r="CU325" i="35"/>
  <c r="T325" i="19" s="1"/>
  <c r="FN337" i="35"/>
  <c r="FV337" i="35" s="1"/>
  <c r="FX337" i="35" s="1"/>
  <c r="GH337" i="35"/>
  <c r="GV337" i="35" s="1"/>
  <c r="HD337" i="35" s="1"/>
  <c r="HH337" i="35" s="1"/>
  <c r="CY337" i="35"/>
  <c r="X337" i="19" s="1"/>
  <c r="GS306" i="35"/>
  <c r="U306" i="19"/>
  <c r="GS308" i="35"/>
  <c r="GP337" i="35"/>
  <c r="K337" i="19"/>
  <c r="GT297" i="35"/>
  <c r="GS337" i="35"/>
  <c r="CM337" i="35"/>
  <c r="CO337" i="35" s="1"/>
  <c r="O337" i="19" s="1"/>
  <c r="CT337" i="35"/>
  <c r="GQ337" i="35" s="1"/>
  <c r="CW337" i="35"/>
  <c r="GT337" i="35" s="1"/>
  <c r="CZ337" i="35"/>
  <c r="Y337" i="19" s="1"/>
  <c r="CW325" i="35"/>
  <c r="V325" i="19" s="1"/>
  <c r="S347" i="19"/>
  <c r="GR297" i="35"/>
  <c r="GQ308" i="35"/>
  <c r="EW348" i="35"/>
  <c r="H348" i="19"/>
  <c r="DV348" i="35"/>
  <c r="CI350" i="35"/>
  <c r="CI348" i="35"/>
  <c r="CJ348" i="35"/>
  <c r="FW297" i="35"/>
  <c r="FZ297" i="35" s="1"/>
  <c r="GB297" i="35" s="1"/>
  <c r="Q339" i="19"/>
  <c r="AC339" i="19" s="1"/>
  <c r="FW353" i="35"/>
  <c r="FZ353" i="35" s="1"/>
  <c r="GB353" i="35" s="1"/>
  <c r="M341" i="19"/>
  <c r="DA318" i="35"/>
  <c r="Z318" i="19" s="1"/>
  <c r="CX318" i="35"/>
  <c r="W318" i="19" s="1"/>
  <c r="EW355" i="35"/>
  <c r="GH318" i="35"/>
  <c r="GV318" i="35" s="1"/>
  <c r="HD318" i="35" s="1"/>
  <c r="HE318" i="35" s="1"/>
  <c r="I362" i="19"/>
  <c r="CJ355" i="35"/>
  <c r="R349" i="19"/>
  <c r="CU349" i="35"/>
  <c r="CT349" i="35"/>
  <c r="CV349" i="35"/>
  <c r="GP349" i="35"/>
  <c r="CW349" i="35"/>
  <c r="CI355" i="35"/>
  <c r="K318" i="19"/>
  <c r="CM318" i="35"/>
  <c r="CO318" i="35" s="1"/>
  <c r="O318" i="19" s="1"/>
  <c r="Q285" i="19"/>
  <c r="AC285" i="19" s="1"/>
  <c r="GN285" i="35"/>
  <c r="HJ285" i="35" s="1"/>
  <c r="T296" i="19"/>
  <c r="GR296" i="35"/>
  <c r="HG349" i="35"/>
  <c r="HH349" i="35"/>
  <c r="HE349" i="35"/>
  <c r="HF349" i="35"/>
  <c r="M349" i="19"/>
  <c r="CO349" i="35"/>
  <c r="GJ349" i="35"/>
  <c r="GX349" i="35" s="1"/>
  <c r="GS296" i="35"/>
  <c r="U296" i="19"/>
  <c r="FV349" i="35"/>
  <c r="FP349" i="35"/>
  <c r="FR349" i="35" s="1"/>
  <c r="GT296" i="35"/>
  <c r="V296" i="19"/>
  <c r="CY318" i="35"/>
  <c r="X318" i="19" s="1"/>
  <c r="GQ296" i="35"/>
  <c r="S296" i="19"/>
  <c r="GL296" i="35"/>
  <c r="GZ296" i="35" s="1"/>
  <c r="HB296" i="35" s="1"/>
  <c r="CQ296" i="35"/>
  <c r="O296" i="19"/>
  <c r="DT374" i="35"/>
  <c r="DV374" i="35"/>
  <c r="DR355" i="35"/>
  <c r="DV355" i="35" s="1"/>
  <c r="CS318" i="35"/>
  <c r="CT318" i="35" s="1"/>
  <c r="GQ318" i="35" s="1"/>
  <c r="FN318" i="35"/>
  <c r="FV318" i="35" s="1"/>
  <c r="FW318" i="35" s="1"/>
  <c r="FZ318" i="35" s="1"/>
  <c r="GB318" i="35" s="1"/>
  <c r="FW296" i="35"/>
  <c r="FZ296" i="35" s="1"/>
  <c r="GB296" i="35" s="1"/>
  <c r="FX296" i="35"/>
  <c r="S361" i="19"/>
  <c r="CQ361" i="35"/>
  <c r="GN361" i="35" s="1"/>
  <c r="GN347" i="35"/>
  <c r="HJ347" i="35" s="1"/>
  <c r="HJ295" i="35"/>
  <c r="GL361" i="35"/>
  <c r="GZ361" i="35" s="1"/>
  <c r="HB361" i="35" s="1"/>
  <c r="DT362" i="35"/>
  <c r="DV362" i="35"/>
  <c r="GN307" i="35"/>
  <c r="HJ307" i="35" s="1"/>
  <c r="GP344" i="35"/>
  <c r="GS344" i="35"/>
  <c r="CU344" i="35"/>
  <c r="GR344" i="35" s="1"/>
  <c r="CW344" i="35"/>
  <c r="V344" i="19" s="1"/>
  <c r="R344" i="19"/>
  <c r="CT344" i="35"/>
  <c r="GQ344" i="35" s="1"/>
  <c r="HF344" i="35"/>
  <c r="CO323" i="35"/>
  <c r="O323" i="19" s="1"/>
  <c r="V353" i="19"/>
  <c r="FP323" i="35"/>
  <c r="FR323" i="35" s="1"/>
  <c r="V361" i="19"/>
  <c r="GT361" i="35"/>
  <c r="HH323" i="35"/>
  <c r="HG323" i="35"/>
  <c r="O341" i="19"/>
  <c r="HF323" i="35"/>
  <c r="GL341" i="35"/>
  <c r="GZ341" i="35" s="1"/>
  <c r="HB341" i="35" s="1"/>
  <c r="FV344" i="35"/>
  <c r="FX344" i="35" s="1"/>
  <c r="GJ323" i="35"/>
  <c r="GX323" i="35" s="1"/>
  <c r="CX329" i="35"/>
  <c r="W329" i="19" s="1"/>
  <c r="CO344" i="35"/>
  <c r="O344" i="19" s="1"/>
  <c r="M344" i="19"/>
  <c r="GN308" i="35"/>
  <c r="HJ308" i="35" s="1"/>
  <c r="V336" i="19"/>
  <c r="GN315" i="35"/>
  <c r="HJ315" i="35" s="1"/>
  <c r="HE344" i="35"/>
  <c r="O336" i="19"/>
  <c r="CU341" i="35"/>
  <c r="GR341" i="35" s="1"/>
  <c r="T361" i="19"/>
  <c r="HG344" i="35"/>
  <c r="R323" i="19"/>
  <c r="GN336" i="35"/>
  <c r="GT341" i="35"/>
  <c r="GJ341" i="35"/>
  <c r="GX341" i="35" s="1"/>
  <c r="AE47" i="5"/>
  <c r="AE39" i="5"/>
  <c r="AE23" i="5"/>
  <c r="AE31" i="5"/>
  <c r="CV323" i="35"/>
  <c r="U323" i="19" s="1"/>
  <c r="GT369" i="35"/>
  <c r="CU323" i="35"/>
  <c r="GR323" i="35" s="1"/>
  <c r="R346" i="19"/>
  <c r="GP341" i="35"/>
  <c r="CV341" i="35"/>
  <c r="GS341" i="35" s="1"/>
  <c r="DA320" i="35"/>
  <c r="Z320" i="19" s="1"/>
  <c r="CT341" i="35"/>
  <c r="GQ341" i="35" s="1"/>
  <c r="S333" i="19"/>
  <c r="R341" i="19"/>
  <c r="GL353" i="35"/>
  <c r="GZ353" i="35" s="1"/>
  <c r="HB353" i="35" s="1"/>
  <c r="O353" i="19"/>
  <c r="U353" i="19"/>
  <c r="S353" i="19"/>
  <c r="GQ353" i="35"/>
  <c r="S336" i="19"/>
  <c r="CS329" i="35"/>
  <c r="CW329" i="35" s="1"/>
  <c r="V329" i="19" s="1"/>
  <c r="K329" i="19"/>
  <c r="DA329" i="35"/>
  <c r="Z329" i="19" s="1"/>
  <c r="GL336" i="35"/>
  <c r="GZ336" i="35" s="1"/>
  <c r="HB336" i="35" s="1"/>
  <c r="GH329" i="35"/>
  <c r="GV329" i="35" s="1"/>
  <c r="HD329" i="35" s="1"/>
  <c r="HG329" i="35" s="1"/>
  <c r="CM329" i="35"/>
  <c r="GJ329" i="35" s="1"/>
  <c r="GX329" i="35" s="1"/>
  <c r="FN329" i="35"/>
  <c r="CZ329" i="35"/>
  <c r="Y329" i="19" s="1"/>
  <c r="CY320" i="35"/>
  <c r="X320" i="19" s="1"/>
  <c r="CY346" i="35"/>
  <c r="X346" i="19" s="1"/>
  <c r="CZ320" i="35"/>
  <c r="Y320" i="19" s="1"/>
  <c r="GP346" i="35"/>
  <c r="CX320" i="35"/>
  <c r="W320" i="19" s="1"/>
  <c r="FN320" i="35"/>
  <c r="FP320" i="35" s="1"/>
  <c r="FR320" i="35" s="1"/>
  <c r="GS346" i="35"/>
  <c r="CS320" i="35"/>
  <c r="R320" i="19" s="1"/>
  <c r="CM320" i="35"/>
  <c r="GJ320" i="35" s="1"/>
  <c r="GX320" i="35" s="1"/>
  <c r="GH320" i="35"/>
  <c r="GV320" i="35" s="1"/>
  <c r="HD320" i="35" s="1"/>
  <c r="HE320" i="35" s="1"/>
  <c r="GS336" i="35"/>
  <c r="HF341" i="35"/>
  <c r="FW301" i="35"/>
  <c r="FZ301" i="35" s="1"/>
  <c r="GB301" i="35" s="1"/>
  <c r="S369" i="19"/>
  <c r="GT333" i="35"/>
  <c r="HG341" i="35"/>
  <c r="HH341" i="35"/>
  <c r="GR336" i="35"/>
  <c r="CU346" i="35"/>
  <c r="T346" i="19" s="1"/>
  <c r="HG333" i="35"/>
  <c r="I368" i="19"/>
  <c r="HH333" i="35"/>
  <c r="CX346" i="35"/>
  <c r="W346" i="19" s="1"/>
  <c r="HF333" i="35"/>
  <c r="Q290" i="19"/>
  <c r="AC290" i="19" s="1"/>
  <c r="GL301" i="35"/>
  <c r="GZ301" i="35" s="1"/>
  <c r="HB301" i="35" s="1"/>
  <c r="GP323" i="35"/>
  <c r="CZ346" i="35"/>
  <c r="Y346" i="19" s="1"/>
  <c r="CW346" i="35"/>
  <c r="V346" i="19" s="1"/>
  <c r="DA346" i="35"/>
  <c r="Z346" i="19" s="1"/>
  <c r="GH346" i="35"/>
  <c r="GV346" i="35" s="1"/>
  <c r="HD346" i="35" s="1"/>
  <c r="FN346" i="35"/>
  <c r="CM346" i="35"/>
  <c r="CO346" i="35" s="1"/>
  <c r="GL346" i="35" s="1"/>
  <c r="GZ346" i="35" s="1"/>
  <c r="HB346" i="35" s="1"/>
  <c r="S323" i="19"/>
  <c r="CW323" i="35"/>
  <c r="GT323" i="35" s="1"/>
  <c r="CQ301" i="35"/>
  <c r="GN301" i="35" s="1"/>
  <c r="FN357" i="35"/>
  <c r="K346" i="19"/>
  <c r="CT346" i="35"/>
  <c r="FP369" i="35"/>
  <c r="FR369" i="35" s="1"/>
  <c r="FV333" i="35"/>
  <c r="FX333" i="35" s="1"/>
  <c r="U333" i="19"/>
  <c r="FW369" i="35"/>
  <c r="FZ369" i="35" s="1"/>
  <c r="GB369" i="35" s="1"/>
  <c r="DV371" i="35"/>
  <c r="H370" i="19"/>
  <c r="DR370" i="35"/>
  <c r="DV370" i="35" s="1"/>
  <c r="GS369" i="35"/>
  <c r="EW370" i="35"/>
  <c r="CJ370" i="35"/>
  <c r="I370" i="19" s="1"/>
  <c r="DV351" i="35"/>
  <c r="GR369" i="35"/>
  <c r="HG369" i="35"/>
  <c r="HE369" i="35"/>
  <c r="HH369" i="35"/>
  <c r="HF369" i="35"/>
  <c r="FV341" i="35"/>
  <c r="FX341" i="35" s="1"/>
  <c r="GJ369" i="35"/>
  <c r="GX369" i="35" s="1"/>
  <c r="CO369" i="35"/>
  <c r="M369" i="19"/>
  <c r="CK371" i="35"/>
  <c r="K371" i="19" s="1"/>
  <c r="I371" i="19"/>
  <c r="GJ333" i="35"/>
  <c r="GX333" i="35" s="1"/>
  <c r="HE356" i="35"/>
  <c r="HG356" i="35"/>
  <c r="HF356" i="35"/>
  <c r="HH356" i="35"/>
  <c r="U365" i="19"/>
  <c r="GS365" i="35"/>
  <c r="U294" i="19"/>
  <c r="GS294" i="35"/>
  <c r="V367" i="19"/>
  <c r="GT367" i="35"/>
  <c r="GN331" i="35"/>
  <c r="HJ331" i="35" s="1"/>
  <c r="Q331" i="19"/>
  <c r="AC331" i="19" s="1"/>
  <c r="U367" i="19"/>
  <c r="GS367" i="35"/>
  <c r="FX367" i="35"/>
  <c r="FW367" i="35"/>
  <c r="FZ367" i="35" s="1"/>
  <c r="GB367" i="35" s="1"/>
  <c r="FX294" i="35"/>
  <c r="FW294" i="35"/>
  <c r="FZ294" i="35" s="1"/>
  <c r="GB294" i="35" s="1"/>
  <c r="S354" i="19"/>
  <c r="GQ354" i="35"/>
  <c r="CY342" i="35"/>
  <c r="X342" i="19" s="1"/>
  <c r="CM342" i="35"/>
  <c r="GH342" i="35"/>
  <c r="GV342" i="35" s="1"/>
  <c r="HD342" i="35" s="1"/>
  <c r="CX342" i="35"/>
  <c r="W342" i="19" s="1"/>
  <c r="DA342" i="35"/>
  <c r="Z342" i="19" s="1"/>
  <c r="CS342" i="35"/>
  <c r="CZ342" i="35"/>
  <c r="Y342" i="19" s="1"/>
  <c r="K342" i="19"/>
  <c r="FN342" i="35"/>
  <c r="V365" i="19"/>
  <c r="GT365" i="35"/>
  <c r="DC370" i="35"/>
  <c r="CH370" i="35"/>
  <c r="J370" i="19" s="1"/>
  <c r="T294" i="19"/>
  <c r="GR294" i="35"/>
  <c r="HG375" i="35"/>
  <c r="HH375" i="35"/>
  <c r="HF375" i="35"/>
  <c r="HE375" i="35"/>
  <c r="FP356" i="35"/>
  <c r="FR356" i="35" s="1"/>
  <c r="FV356" i="35"/>
  <c r="CQ294" i="35"/>
  <c r="O294" i="19"/>
  <c r="GL294" i="35"/>
  <c r="GZ294" i="35" s="1"/>
  <c r="HB294" i="35" s="1"/>
  <c r="GS354" i="35"/>
  <c r="U354" i="19"/>
  <c r="CQ354" i="35"/>
  <c r="O354" i="19"/>
  <c r="GL354" i="35"/>
  <c r="GZ354" i="35" s="1"/>
  <c r="HB354" i="35" s="1"/>
  <c r="S294" i="19"/>
  <c r="GQ294" i="35"/>
  <c r="O367" i="19"/>
  <c r="CQ367" i="35"/>
  <c r="GL367" i="35"/>
  <c r="GZ367" i="35" s="1"/>
  <c r="HB367" i="35" s="1"/>
  <c r="M356" i="19"/>
  <c r="GJ356" i="35"/>
  <c r="GX356" i="35" s="1"/>
  <c r="CO356" i="35"/>
  <c r="CO333" i="35"/>
  <c r="GL333" i="35" s="1"/>
  <c r="GZ333" i="35" s="1"/>
  <c r="HB333" i="35" s="1"/>
  <c r="GH345" i="35"/>
  <c r="GV345" i="35" s="1"/>
  <c r="HD345" i="35" s="1"/>
  <c r="CS345" i="35"/>
  <c r="CY345" i="35"/>
  <c r="X345" i="19" s="1"/>
  <c r="DA345" i="35"/>
  <c r="Z345" i="19" s="1"/>
  <c r="FN345" i="35"/>
  <c r="CX345" i="35"/>
  <c r="W345" i="19" s="1"/>
  <c r="CZ345" i="35"/>
  <c r="Y345" i="19" s="1"/>
  <c r="K345" i="19"/>
  <c r="CM345" i="35"/>
  <c r="CW375" i="35"/>
  <c r="CU375" i="35"/>
  <c r="CV375" i="35"/>
  <c r="CT375" i="35"/>
  <c r="R375" i="19"/>
  <c r="GP375" i="35"/>
  <c r="T354" i="19"/>
  <c r="GR354" i="35"/>
  <c r="GR365" i="35"/>
  <c r="T365" i="19"/>
  <c r="CQ365" i="35"/>
  <c r="GL365" i="35"/>
  <c r="GZ365" i="35" s="1"/>
  <c r="HB365" i="35" s="1"/>
  <c r="O365" i="19"/>
  <c r="V294" i="19"/>
  <c r="GT294" i="35"/>
  <c r="V354" i="19"/>
  <c r="GT354" i="35"/>
  <c r="GQ365" i="35"/>
  <c r="S365" i="19"/>
  <c r="GP356" i="35"/>
  <c r="R356" i="19"/>
  <c r="CV356" i="35"/>
  <c r="CU356" i="35"/>
  <c r="CT356" i="35"/>
  <c r="CW356" i="35"/>
  <c r="FX365" i="35"/>
  <c r="FW365" i="35"/>
  <c r="FZ365" i="35" s="1"/>
  <c r="GB365" i="35" s="1"/>
  <c r="GJ375" i="35"/>
  <c r="GX375" i="35" s="1"/>
  <c r="M375" i="19"/>
  <c r="CO375" i="35"/>
  <c r="GQ367" i="35"/>
  <c r="S367" i="19"/>
  <c r="FP375" i="35"/>
  <c r="FR375" i="35" s="1"/>
  <c r="FV375" i="35"/>
  <c r="T367" i="19"/>
  <c r="GR367" i="35"/>
  <c r="FX354" i="35"/>
  <c r="FW354" i="35"/>
  <c r="FZ354" i="35" s="1"/>
  <c r="GB354" i="35" s="1"/>
  <c r="CK362" i="35"/>
  <c r="GH362" i="35" s="1"/>
  <c r="GV362" i="35" s="1"/>
  <c r="HD362" i="35" s="1"/>
  <c r="HF362" i="35" s="1"/>
  <c r="BR379" i="35"/>
  <c r="BP379" i="35"/>
  <c r="FW325" i="35"/>
  <c r="FZ325" i="35" s="1"/>
  <c r="GB325" i="35" s="1"/>
  <c r="GS325" i="35"/>
  <c r="FW323" i="35"/>
  <c r="FZ323" i="35" s="1"/>
  <c r="GB323" i="35" s="1"/>
  <c r="FX323" i="35"/>
  <c r="BL379" i="35"/>
  <c r="Q341" i="19"/>
  <c r="AC341" i="19" s="1"/>
  <c r="GN341" i="35"/>
  <c r="BJ379" i="35"/>
  <c r="E39" i="24"/>
  <c r="F39" i="24" s="1"/>
  <c r="N76" i="24"/>
  <c r="E37" i="24"/>
  <c r="F37" i="24" s="1"/>
  <c r="E36" i="24"/>
  <c r="F36" i="24" s="1"/>
  <c r="E52" i="24"/>
  <c r="F52" i="24" s="1"/>
  <c r="E50" i="24"/>
  <c r="F50" i="24" s="1"/>
  <c r="E51" i="24"/>
  <c r="F51" i="24" s="1"/>
  <c r="E53" i="24"/>
  <c r="F53" i="24" s="1"/>
  <c r="F27" i="24"/>
  <c r="F29" i="24" s="1"/>
  <c r="N67" i="24" s="1"/>
  <c r="A114" i="32"/>
  <c r="F22" i="32"/>
  <c r="F49" i="32" s="1"/>
  <c r="F21" i="34"/>
  <c r="F16" i="34"/>
  <c r="F18" i="34" s="1"/>
  <c r="E18" i="5"/>
  <c r="F22" i="5"/>
  <c r="F15" i="39"/>
  <c r="F17" i="39" s="1"/>
  <c r="F17" i="38"/>
  <c r="C1" i="38"/>
  <c r="A239" i="38"/>
  <c r="FT282" i="35"/>
  <c r="FT143" i="35"/>
  <c r="I25" i="37"/>
  <c r="C26" i="37" s="1"/>
  <c r="H26" i="37" s="1"/>
  <c r="N26" i="37" s="1"/>
  <c r="D27" i="37"/>
  <c r="A28" i="37"/>
  <c r="BY29" i="37"/>
  <c r="BX29" i="37" s="1"/>
  <c r="BZ29" i="37" s="1"/>
  <c r="BY30" i="37" s="1"/>
  <c r="BX30" i="37" s="1"/>
  <c r="BZ30" i="37" s="1"/>
  <c r="BY31" i="37" s="1"/>
  <c r="BX31" i="37" s="1"/>
  <c r="BZ31" i="37" s="1"/>
  <c r="BY32" i="37" s="1"/>
  <c r="BX32" i="37" s="1"/>
  <c r="BZ32" i="37" s="1"/>
  <c r="BY33" i="37" s="1"/>
  <c r="BX33" i="37" s="1"/>
  <c r="BZ33" i="37" s="1"/>
  <c r="BY34" i="37" s="1"/>
  <c r="BX34" i="37" s="1"/>
  <c r="BZ34" i="37" s="1"/>
  <c r="BY35" i="37" s="1"/>
  <c r="BX35" i="37" s="1"/>
  <c r="BZ35" i="37" s="1"/>
  <c r="BY36" i="37" s="1"/>
  <c r="BX36" i="37" s="1"/>
  <c r="BZ36" i="37" s="1"/>
  <c r="BY37" i="37" s="1"/>
  <c r="BX37" i="37" s="1"/>
  <c r="BZ37" i="37" s="1"/>
  <c r="BY38" i="37" s="1"/>
  <c r="BX38" i="37" s="1"/>
  <c r="BZ38" i="37" s="1"/>
  <c r="M27" i="37"/>
  <c r="B71" i="37"/>
  <c r="BF21" i="37"/>
  <c r="E20" i="6"/>
  <c r="E19" i="20"/>
  <c r="P80" i="20"/>
  <c r="K80" i="20"/>
  <c r="F25" i="20"/>
  <c r="N17" i="20" s="1"/>
  <c r="E9" i="20"/>
  <c r="N9" i="20" s="1"/>
  <c r="E7" i="20"/>
  <c r="N7" i="20" s="1"/>
  <c r="E6" i="20"/>
  <c r="N6" i="20" s="1"/>
  <c r="C1" i="20"/>
  <c r="M17" i="20" s="1"/>
  <c r="V15" i="20" s="1"/>
  <c r="CY357" i="35" l="1"/>
  <c r="X357" i="19" s="1"/>
  <c r="GP366" i="35"/>
  <c r="CW366" i="35"/>
  <c r="R366" i="19"/>
  <c r="CT366" i="35"/>
  <c r="CU366" i="35"/>
  <c r="FP366" i="35"/>
  <c r="FR366" i="35" s="1"/>
  <c r="FV366" i="35"/>
  <c r="GR325" i="35"/>
  <c r="CJ350" i="35"/>
  <c r="CK368" i="35"/>
  <c r="CY368" i="35" s="1"/>
  <c r="X368" i="19" s="1"/>
  <c r="H350" i="19"/>
  <c r="DR350" i="35"/>
  <c r="DV350" i="35" s="1"/>
  <c r="GL366" i="35"/>
  <c r="GZ366" i="35" s="1"/>
  <c r="HB366" i="35" s="1"/>
  <c r="O366" i="19"/>
  <c r="CQ366" i="35"/>
  <c r="GN287" i="35"/>
  <c r="HJ287" i="35" s="1"/>
  <c r="Q287" i="19"/>
  <c r="AC287" i="19" s="1"/>
  <c r="CQ306" i="35"/>
  <c r="Q306" i="19" s="1"/>
  <c r="AC306" i="19" s="1"/>
  <c r="FN328" i="35"/>
  <c r="I374" i="19"/>
  <c r="S373" i="19"/>
  <c r="GQ373" i="35"/>
  <c r="GJ357" i="35"/>
  <c r="GX357" i="35" s="1"/>
  <c r="CS328" i="35"/>
  <c r="CT328" i="35" s="1"/>
  <c r="S328" i="19" s="1"/>
  <c r="GT373" i="35"/>
  <c r="V373" i="19"/>
  <c r="CZ328" i="35"/>
  <c r="Y328" i="19" s="1"/>
  <c r="CX328" i="35"/>
  <c r="W328" i="19" s="1"/>
  <c r="K328" i="19"/>
  <c r="GN332" i="35"/>
  <c r="HJ332" i="35" s="1"/>
  <c r="Q332" i="19"/>
  <c r="AC332" i="19" s="1"/>
  <c r="DA328" i="35"/>
  <c r="Z328" i="19" s="1"/>
  <c r="CJ364" i="35"/>
  <c r="DR364" i="35"/>
  <c r="DT364" i="35" s="1"/>
  <c r="CZ357" i="35"/>
  <c r="Y357" i="19" s="1"/>
  <c r="K357" i="19"/>
  <c r="CA372" i="35"/>
  <c r="CH372" i="35" s="1"/>
  <c r="J372" i="19" s="1"/>
  <c r="CM328" i="35"/>
  <c r="GR373" i="35"/>
  <c r="T373" i="19"/>
  <c r="FW358" i="35"/>
  <c r="FZ358" i="35" s="1"/>
  <c r="GB358" i="35" s="1"/>
  <c r="FX358" i="35"/>
  <c r="U366" i="19"/>
  <c r="GH357" i="35"/>
  <c r="GV357" i="35" s="1"/>
  <c r="HD357" i="35" s="1"/>
  <c r="CO357" i="35"/>
  <c r="CQ357" i="35" s="1"/>
  <c r="GN357" i="35" s="1"/>
  <c r="GN353" i="35"/>
  <c r="HJ353" i="35" s="1"/>
  <c r="GR358" i="35"/>
  <c r="T358" i="19"/>
  <c r="S358" i="19"/>
  <c r="GQ358" i="35"/>
  <c r="CQ358" i="35"/>
  <c r="O358" i="19"/>
  <c r="GL358" i="35"/>
  <c r="GZ358" i="35" s="1"/>
  <c r="HB358" i="35" s="1"/>
  <c r="V358" i="19"/>
  <c r="GT358" i="35"/>
  <c r="FW373" i="35"/>
  <c r="FZ373" i="35" s="1"/>
  <c r="GB373" i="35" s="1"/>
  <c r="FX373" i="35"/>
  <c r="CI364" i="35"/>
  <c r="DA357" i="35"/>
  <c r="Z357" i="19" s="1"/>
  <c r="EW364" i="35"/>
  <c r="O373" i="19"/>
  <c r="CQ373" i="35"/>
  <c r="GL373" i="35"/>
  <c r="GZ373" i="35" s="1"/>
  <c r="HB373" i="35" s="1"/>
  <c r="U373" i="19"/>
  <c r="GS373" i="35"/>
  <c r="GL306" i="35"/>
  <c r="GZ306" i="35" s="1"/>
  <c r="HB306" i="35" s="1"/>
  <c r="CY328" i="35"/>
  <c r="X328" i="19" s="1"/>
  <c r="GS358" i="35"/>
  <c r="U358" i="19"/>
  <c r="CS357" i="35"/>
  <c r="GP357" i="35" s="1"/>
  <c r="CX357" i="35"/>
  <c r="W357" i="19" s="1"/>
  <c r="CV328" i="35"/>
  <c r="U328" i="19" s="1"/>
  <c r="HF376" i="35"/>
  <c r="HH376" i="35"/>
  <c r="HG376" i="35"/>
  <c r="HE376" i="35"/>
  <c r="HE328" i="35"/>
  <c r="V337" i="19"/>
  <c r="GJ376" i="35"/>
  <c r="GX376" i="35" s="1"/>
  <c r="M376" i="19"/>
  <c r="CO376" i="35"/>
  <c r="HF337" i="35"/>
  <c r="GR360" i="35"/>
  <c r="T360" i="19"/>
  <c r="FV376" i="35"/>
  <c r="FP376" i="35"/>
  <c r="FR376" i="35" s="1"/>
  <c r="FW360" i="35"/>
  <c r="FZ360" i="35" s="1"/>
  <c r="GB360" i="35" s="1"/>
  <c r="FX360" i="35"/>
  <c r="HH328" i="35"/>
  <c r="CV376" i="35"/>
  <c r="CU376" i="35"/>
  <c r="GP376" i="35"/>
  <c r="CT376" i="35"/>
  <c r="R376" i="19"/>
  <c r="CW376" i="35"/>
  <c r="GP328" i="35"/>
  <c r="CA359" i="35"/>
  <c r="HE337" i="35"/>
  <c r="U360" i="19"/>
  <c r="GS360" i="35"/>
  <c r="HG337" i="35"/>
  <c r="GT360" i="35"/>
  <c r="V360" i="19"/>
  <c r="GL360" i="35"/>
  <c r="GZ360" i="35" s="1"/>
  <c r="HB360" i="35" s="1"/>
  <c r="CQ360" i="35"/>
  <c r="O360" i="19"/>
  <c r="GR337" i="35"/>
  <c r="CA364" i="35"/>
  <c r="GQ360" i="35"/>
  <c r="S360" i="19"/>
  <c r="HF328" i="35"/>
  <c r="EW372" i="35"/>
  <c r="CJ372" i="35"/>
  <c r="DR372" i="35"/>
  <c r="DV372" i="35" s="1"/>
  <c r="CI372" i="35"/>
  <c r="I372" i="19" s="1"/>
  <c r="H372" i="19"/>
  <c r="CJ363" i="35"/>
  <c r="EW363" i="35"/>
  <c r="H363" i="19"/>
  <c r="DR363" i="35"/>
  <c r="DT363" i="35" s="1"/>
  <c r="CI363" i="35"/>
  <c r="H359" i="19"/>
  <c r="CI359" i="35"/>
  <c r="CJ359" i="35"/>
  <c r="DR359" i="35"/>
  <c r="DV359" i="35" s="1"/>
  <c r="EW359" i="35"/>
  <c r="O325" i="19"/>
  <c r="V309" i="19"/>
  <c r="GT309" i="35"/>
  <c r="CQ325" i="35"/>
  <c r="Q325" i="19" s="1"/>
  <c r="AC325" i="19" s="1"/>
  <c r="FP337" i="35"/>
  <c r="FR337" i="35" s="1"/>
  <c r="J319" i="19"/>
  <c r="CK319" i="35"/>
  <c r="CZ338" i="35"/>
  <c r="Y338" i="19" s="1"/>
  <c r="CM338" i="35"/>
  <c r="GH338" i="35"/>
  <c r="GV338" i="35" s="1"/>
  <c r="HD338" i="35" s="1"/>
  <c r="CS338" i="35"/>
  <c r="FN338" i="35"/>
  <c r="CX338" i="35"/>
  <c r="W338" i="19" s="1"/>
  <c r="CY338" i="35"/>
  <c r="X338" i="19" s="1"/>
  <c r="K338" i="19"/>
  <c r="DA338" i="35"/>
  <c r="Z338" i="19" s="1"/>
  <c r="CH374" i="35"/>
  <c r="DC374" i="35"/>
  <c r="CA352" i="35"/>
  <c r="CA363" i="35"/>
  <c r="DC363" i="35" s="1"/>
  <c r="V304" i="19"/>
  <c r="GT304" i="35"/>
  <c r="GN322" i="35"/>
  <c r="HJ322" i="35" s="1"/>
  <c r="Q322" i="19"/>
  <c r="AC322" i="19" s="1"/>
  <c r="T309" i="19"/>
  <c r="GR309" i="35"/>
  <c r="GS304" i="35"/>
  <c r="U304" i="19"/>
  <c r="GS309" i="35"/>
  <c r="U309" i="19"/>
  <c r="FW304" i="35"/>
  <c r="FZ304" i="35" s="1"/>
  <c r="GB304" i="35" s="1"/>
  <c r="FX304" i="35"/>
  <c r="GR304" i="35"/>
  <c r="T304" i="19"/>
  <c r="HF377" i="35"/>
  <c r="HE377" i="35"/>
  <c r="HH377" i="35"/>
  <c r="HG377" i="35"/>
  <c r="S309" i="19"/>
  <c r="GQ309" i="35"/>
  <c r="GL304" i="35"/>
  <c r="GZ304" i="35" s="1"/>
  <c r="HB304" i="35" s="1"/>
  <c r="O304" i="19"/>
  <c r="CQ304" i="35"/>
  <c r="I348" i="19"/>
  <c r="BY379" i="35"/>
  <c r="FP377" i="35"/>
  <c r="FR377" i="35" s="1"/>
  <c r="FV377" i="35"/>
  <c r="GQ325" i="35"/>
  <c r="FW337" i="35"/>
  <c r="FZ337" i="35" s="1"/>
  <c r="GB337" i="35" s="1"/>
  <c r="S304" i="19"/>
  <c r="GQ304" i="35"/>
  <c r="FX309" i="35"/>
  <c r="FW309" i="35"/>
  <c r="FZ309" i="35" s="1"/>
  <c r="GB309" i="35" s="1"/>
  <c r="CO377" i="35"/>
  <c r="M377" i="19"/>
  <c r="GJ377" i="35"/>
  <c r="GX377" i="35" s="1"/>
  <c r="Q330" i="19"/>
  <c r="AC330" i="19" s="1"/>
  <c r="GN330" i="35"/>
  <c r="HJ330" i="35" s="1"/>
  <c r="DC351" i="35"/>
  <c r="CH351" i="35"/>
  <c r="CW377" i="35"/>
  <c r="GP377" i="35"/>
  <c r="CV377" i="35"/>
  <c r="CU377" i="35"/>
  <c r="CT377" i="35"/>
  <c r="R377" i="19"/>
  <c r="DA340" i="35"/>
  <c r="Z340" i="19" s="1"/>
  <c r="CM340" i="35"/>
  <c r="FN340" i="35"/>
  <c r="CX340" i="35"/>
  <c r="W340" i="19" s="1"/>
  <c r="CZ340" i="35"/>
  <c r="Y340" i="19" s="1"/>
  <c r="CS340" i="35"/>
  <c r="K340" i="19"/>
  <c r="GH340" i="35"/>
  <c r="GV340" i="35" s="1"/>
  <c r="HD340" i="35" s="1"/>
  <c r="CY340" i="35"/>
  <c r="X340" i="19" s="1"/>
  <c r="S337" i="19"/>
  <c r="CQ309" i="35"/>
  <c r="O309" i="19"/>
  <c r="GL309" i="35"/>
  <c r="GZ309" i="35" s="1"/>
  <c r="HB309" i="35" s="1"/>
  <c r="GT325" i="35"/>
  <c r="GL337" i="35"/>
  <c r="GZ337" i="35" s="1"/>
  <c r="HB337" i="35" s="1"/>
  <c r="CQ337" i="35"/>
  <c r="Q337" i="19" s="1"/>
  <c r="AC337" i="19" s="1"/>
  <c r="M337" i="19"/>
  <c r="DT350" i="35"/>
  <c r="GJ337" i="35"/>
  <c r="GX337" i="35" s="1"/>
  <c r="CK348" i="35"/>
  <c r="DA348" i="35" s="1"/>
  <c r="Z348" i="19" s="1"/>
  <c r="I350" i="19"/>
  <c r="CK350" i="35"/>
  <c r="GH350" i="35" s="1"/>
  <c r="GV350" i="35" s="1"/>
  <c r="HD350" i="35" s="1"/>
  <c r="HH350" i="35" s="1"/>
  <c r="S318" i="19"/>
  <c r="CQ323" i="35"/>
  <c r="Q323" i="19" s="1"/>
  <c r="AC323" i="19" s="1"/>
  <c r="CJ352" i="35"/>
  <c r="EW352" i="35"/>
  <c r="H352" i="19"/>
  <c r="DV352" i="35"/>
  <c r="CI352" i="35"/>
  <c r="GP318" i="35"/>
  <c r="HG318" i="35"/>
  <c r="K368" i="19"/>
  <c r="HF318" i="35"/>
  <c r="DT355" i="35"/>
  <c r="CW318" i="35"/>
  <c r="GT318" i="35" s="1"/>
  <c r="CV318" i="35"/>
  <c r="GS318" i="35" s="1"/>
  <c r="FX318" i="35"/>
  <c r="HH318" i="35"/>
  <c r="CK355" i="35"/>
  <c r="CZ355" i="35" s="1"/>
  <c r="Y355" i="19" s="1"/>
  <c r="R318" i="19"/>
  <c r="T344" i="19"/>
  <c r="I355" i="19"/>
  <c r="FP318" i="35"/>
  <c r="FR318" i="35" s="1"/>
  <c r="CU318" i="35"/>
  <c r="GR318" i="35" s="1"/>
  <c r="GL318" i="35"/>
  <c r="GZ318" i="35" s="1"/>
  <c r="HB318" i="35" s="1"/>
  <c r="HJ361" i="35"/>
  <c r="GJ318" i="35"/>
  <c r="GX318" i="35" s="1"/>
  <c r="Q296" i="19"/>
  <c r="AC296" i="19" s="1"/>
  <c r="GN296" i="35"/>
  <c r="HJ296" i="35" s="1"/>
  <c r="CQ349" i="35"/>
  <c r="GL349" i="35"/>
  <c r="GZ349" i="35" s="1"/>
  <c r="HB349" i="35" s="1"/>
  <c r="O349" i="19"/>
  <c r="M318" i="19"/>
  <c r="GT349" i="35"/>
  <c r="V349" i="19"/>
  <c r="CS371" i="35"/>
  <c r="GP371" i="35" s="1"/>
  <c r="Q361" i="19"/>
  <c r="AC361" i="19" s="1"/>
  <c r="CQ318" i="35"/>
  <c r="S349" i="19"/>
  <c r="GQ349" i="35"/>
  <c r="DC359" i="35"/>
  <c r="CH359" i="35"/>
  <c r="J359" i="19" s="1"/>
  <c r="GS349" i="35"/>
  <c r="U349" i="19"/>
  <c r="T349" i="19"/>
  <c r="GR349" i="35"/>
  <c r="FW349" i="35"/>
  <c r="FZ349" i="35" s="1"/>
  <c r="GB349" i="35" s="1"/>
  <c r="FX349" i="35"/>
  <c r="CT357" i="35"/>
  <c r="GQ357" i="35" s="1"/>
  <c r="DA368" i="35"/>
  <c r="Z368" i="19" s="1"/>
  <c r="T323" i="19"/>
  <c r="CT320" i="35"/>
  <c r="S320" i="19" s="1"/>
  <c r="HJ341" i="35"/>
  <c r="GP320" i="35"/>
  <c r="CW320" i="35"/>
  <c r="GT320" i="35" s="1"/>
  <c r="FV320" i="35"/>
  <c r="FW320" i="35" s="1"/>
  <c r="FZ320" i="35" s="1"/>
  <c r="GB320" i="35" s="1"/>
  <c r="CX368" i="35"/>
  <c r="W368" i="19" s="1"/>
  <c r="CV320" i="35"/>
  <c r="GS320" i="35" s="1"/>
  <c r="CZ368" i="35"/>
  <c r="Y368" i="19" s="1"/>
  <c r="GT344" i="35"/>
  <c r="HH320" i="35"/>
  <c r="HJ336" i="35"/>
  <c r="S344" i="19"/>
  <c r="CU320" i="35"/>
  <c r="GR320" i="35" s="1"/>
  <c r="GL323" i="35"/>
  <c r="GZ323" i="35" s="1"/>
  <c r="HB323" i="35" s="1"/>
  <c r="FW344" i="35"/>
  <c r="FZ344" i="35" s="1"/>
  <c r="GB344" i="35" s="1"/>
  <c r="GR346" i="35"/>
  <c r="O333" i="19"/>
  <c r="CO329" i="35"/>
  <c r="GL344" i="35"/>
  <c r="GZ344" i="35" s="1"/>
  <c r="HB344" i="35" s="1"/>
  <c r="M346" i="19"/>
  <c r="GL357" i="35"/>
  <c r="GZ357" i="35" s="1"/>
  <c r="HB357" i="35" s="1"/>
  <c r="CQ344" i="35"/>
  <c r="GN344" i="35" s="1"/>
  <c r="S341" i="19"/>
  <c r="GS323" i="35"/>
  <c r="HF329" i="35"/>
  <c r="HG320" i="35"/>
  <c r="GS328" i="35"/>
  <c r="GH368" i="35"/>
  <c r="GV368" i="35" s="1"/>
  <c r="HD368" i="35" s="1"/>
  <c r="HG368" i="35" s="1"/>
  <c r="FN368" i="35"/>
  <c r="FP368" i="35" s="1"/>
  <c r="FR368" i="35" s="1"/>
  <c r="CM368" i="35"/>
  <c r="GJ368" i="35" s="1"/>
  <c r="GX368" i="35" s="1"/>
  <c r="CS368" i="35"/>
  <c r="CT368" i="35" s="1"/>
  <c r="S368" i="19" s="1"/>
  <c r="T341" i="19"/>
  <c r="M329" i="19"/>
  <c r="R329" i="19"/>
  <c r="GT329" i="35"/>
  <c r="CU329" i="35"/>
  <c r="GR329" i="35" s="1"/>
  <c r="U341" i="19"/>
  <c r="F46" i="5"/>
  <c r="E52" i="5" s="1"/>
  <c r="F52" i="5" s="1"/>
  <c r="AH10" i="5"/>
  <c r="AG10" i="5"/>
  <c r="AI10" i="5"/>
  <c r="AE10" i="5"/>
  <c r="GT346" i="35"/>
  <c r="DT370" i="35"/>
  <c r="GP329" i="35"/>
  <c r="HH329" i="35"/>
  <c r="HE329" i="35"/>
  <c r="CT329" i="35"/>
  <c r="CV329" i="35"/>
  <c r="FP329" i="35"/>
  <c r="FR329" i="35" s="1"/>
  <c r="FV329" i="35"/>
  <c r="CO320" i="35"/>
  <c r="GL320" i="35" s="1"/>
  <c r="GZ320" i="35" s="1"/>
  <c r="HB320" i="35" s="1"/>
  <c r="HF320" i="35"/>
  <c r="M320" i="19"/>
  <c r="CK370" i="35"/>
  <c r="CY370" i="35" s="1"/>
  <c r="X370" i="19" s="1"/>
  <c r="HJ301" i="35"/>
  <c r="O346" i="19"/>
  <c r="HF357" i="35"/>
  <c r="HG357" i="35"/>
  <c r="HH357" i="35"/>
  <c r="HE357" i="35"/>
  <c r="Q301" i="19"/>
  <c r="AC301" i="19" s="1"/>
  <c r="DV364" i="35"/>
  <c r="GJ346" i="35"/>
  <c r="GX346" i="35" s="1"/>
  <c r="FP346" i="35"/>
  <c r="FR346" i="35" s="1"/>
  <c r="FV346" i="35"/>
  <c r="HG346" i="35"/>
  <c r="HE346" i="35"/>
  <c r="HF346" i="35"/>
  <c r="HH346" i="35"/>
  <c r="FW333" i="35"/>
  <c r="FZ333" i="35" s="1"/>
  <c r="GB333" i="35" s="1"/>
  <c r="V323" i="19"/>
  <c r="CQ346" i="35"/>
  <c r="Q346" i="19" s="1"/>
  <c r="AC346" i="19" s="1"/>
  <c r="GQ346" i="35"/>
  <c r="S346" i="19"/>
  <c r="FP357" i="35"/>
  <c r="FR357" i="35" s="1"/>
  <c r="FV357" i="35"/>
  <c r="HE362" i="35"/>
  <c r="K362" i="19"/>
  <c r="HG362" i="35"/>
  <c r="CZ362" i="35"/>
  <c r="Y362" i="19" s="1"/>
  <c r="I364" i="19"/>
  <c r="HH362" i="35"/>
  <c r="CM362" i="35"/>
  <c r="GJ362" i="35" s="1"/>
  <c r="GX362" i="35" s="1"/>
  <c r="CS362" i="35"/>
  <c r="R362" i="19" s="1"/>
  <c r="CY362" i="35"/>
  <c r="X362" i="19" s="1"/>
  <c r="CX371" i="35"/>
  <c r="W371" i="19" s="1"/>
  <c r="GH371" i="35"/>
  <c r="GV371" i="35" s="1"/>
  <c r="HD371" i="35" s="1"/>
  <c r="HG371" i="35" s="1"/>
  <c r="FN371" i="35"/>
  <c r="FV371" i="35" s="1"/>
  <c r="FW371" i="35" s="1"/>
  <c r="FZ371" i="35" s="1"/>
  <c r="GB371" i="35" s="1"/>
  <c r="CZ348" i="35"/>
  <c r="Y348" i="19" s="1"/>
  <c r="CZ371" i="35"/>
  <c r="Y371" i="19" s="1"/>
  <c r="CQ333" i="35"/>
  <c r="GN333" i="35" s="1"/>
  <c r="HJ333" i="35" s="1"/>
  <c r="DA371" i="35"/>
  <c r="Z371" i="19" s="1"/>
  <c r="CY371" i="35"/>
  <c r="X371" i="19" s="1"/>
  <c r="CM371" i="35"/>
  <c r="CO371" i="35" s="1"/>
  <c r="O371" i="19" s="1"/>
  <c r="CA378" i="35"/>
  <c r="BT379" i="35"/>
  <c r="GL369" i="35"/>
  <c r="GZ369" i="35" s="1"/>
  <c r="HB369" i="35" s="1"/>
  <c r="CQ369" i="35"/>
  <c r="O369" i="19"/>
  <c r="FW341" i="35"/>
  <c r="FZ341" i="35" s="1"/>
  <c r="GB341" i="35" s="1"/>
  <c r="CX362" i="35"/>
  <c r="W362" i="19" s="1"/>
  <c r="DA362" i="35"/>
  <c r="Z362" i="19" s="1"/>
  <c r="FP342" i="35"/>
  <c r="FR342" i="35" s="1"/>
  <c r="FV342" i="35"/>
  <c r="FX375" i="35"/>
  <c r="FW375" i="35"/>
  <c r="FZ375" i="35" s="1"/>
  <c r="GB375" i="35" s="1"/>
  <c r="Q367" i="19"/>
  <c r="AC367" i="19" s="1"/>
  <c r="GN367" i="35"/>
  <c r="HJ367" i="35" s="1"/>
  <c r="CU345" i="35"/>
  <c r="CW345" i="35"/>
  <c r="GP345" i="35"/>
  <c r="CV345" i="35"/>
  <c r="CT345" i="35"/>
  <c r="R345" i="19"/>
  <c r="R342" i="19"/>
  <c r="CV342" i="35"/>
  <c r="CU342" i="35"/>
  <c r="CT342" i="35"/>
  <c r="CW342" i="35"/>
  <c r="GP342" i="35"/>
  <c r="GN365" i="35"/>
  <c r="HJ365" i="35" s="1"/>
  <c r="Q365" i="19"/>
  <c r="AC365" i="19" s="1"/>
  <c r="GQ375" i="35"/>
  <c r="S375" i="19"/>
  <c r="HF345" i="35"/>
  <c r="HG345" i="35"/>
  <c r="HE345" i="35"/>
  <c r="HH345" i="35"/>
  <c r="FP345" i="35"/>
  <c r="FR345" i="35" s="1"/>
  <c r="FV345" i="35"/>
  <c r="GS375" i="35"/>
  <c r="U375" i="19"/>
  <c r="GN354" i="35"/>
  <c r="HJ354" i="35" s="1"/>
  <c r="Q354" i="19"/>
  <c r="AC354" i="19" s="1"/>
  <c r="FW356" i="35"/>
  <c r="FZ356" i="35" s="1"/>
  <c r="GB356" i="35" s="1"/>
  <c r="FX356" i="35"/>
  <c r="GT356" i="35"/>
  <c r="V356" i="19"/>
  <c r="T375" i="19"/>
  <c r="GR375" i="35"/>
  <c r="HF342" i="35"/>
  <c r="HG342" i="35"/>
  <c r="HE342" i="35"/>
  <c r="HH342" i="35"/>
  <c r="U356" i="19"/>
  <c r="GS356" i="35"/>
  <c r="GN294" i="35"/>
  <c r="HJ294" i="35" s="1"/>
  <c r="Q294" i="19"/>
  <c r="AC294" i="19" s="1"/>
  <c r="GQ356" i="35"/>
  <c r="S356" i="19"/>
  <c r="V375" i="19"/>
  <c r="GT375" i="35"/>
  <c r="GL356" i="35"/>
  <c r="GZ356" i="35" s="1"/>
  <c r="HB356" i="35" s="1"/>
  <c r="O356" i="19"/>
  <c r="CQ356" i="35"/>
  <c r="M342" i="19"/>
  <c r="GJ342" i="35"/>
  <c r="GX342" i="35" s="1"/>
  <c r="CO342" i="35"/>
  <c r="GL375" i="35"/>
  <c r="GZ375" i="35" s="1"/>
  <c r="HB375" i="35" s="1"/>
  <c r="O375" i="19"/>
  <c r="CQ375" i="35"/>
  <c r="T356" i="19"/>
  <c r="GR356" i="35"/>
  <c r="CO345" i="35"/>
  <c r="GJ345" i="35"/>
  <c r="GX345" i="35" s="1"/>
  <c r="M345" i="19"/>
  <c r="FN362" i="35"/>
  <c r="FV362" i="35" s="1"/>
  <c r="FW362" i="35" s="1"/>
  <c r="FZ362" i="35" s="1"/>
  <c r="GB362" i="35" s="1"/>
  <c r="N44" i="24"/>
  <c r="K44" i="24" s="1"/>
  <c r="N53" i="24"/>
  <c r="K53" i="24" s="1"/>
  <c r="N50" i="24"/>
  <c r="K50" i="24" s="1"/>
  <c r="N45" i="24"/>
  <c r="M45" i="24" s="1"/>
  <c r="N54" i="24"/>
  <c r="M54" i="24" s="1"/>
  <c r="N60" i="24"/>
  <c r="M60" i="24" s="1"/>
  <c r="N23" i="24"/>
  <c r="M23" i="24" s="1"/>
  <c r="N57" i="24"/>
  <c r="M57" i="24" s="1"/>
  <c r="N55" i="24"/>
  <c r="M55" i="24" s="1"/>
  <c r="N19" i="24"/>
  <c r="K19" i="24" s="1"/>
  <c r="N40" i="24"/>
  <c r="K40" i="24" s="1"/>
  <c r="N24" i="24"/>
  <c r="K24" i="24" s="1"/>
  <c r="N32" i="24"/>
  <c r="M32" i="24" s="1"/>
  <c r="N66" i="24"/>
  <c r="K66" i="24" s="1"/>
  <c r="N61" i="24"/>
  <c r="K61" i="24" s="1"/>
  <c r="N21" i="24"/>
  <c r="K21" i="24" s="1"/>
  <c r="N27" i="24"/>
  <c r="K27" i="24" s="1"/>
  <c r="N42" i="24"/>
  <c r="K42" i="24" s="1"/>
  <c r="E52" i="32"/>
  <c r="F52" i="32" s="1"/>
  <c r="E53" i="32"/>
  <c r="F53" i="32" s="1"/>
  <c r="E55" i="32"/>
  <c r="F55" i="32" s="1"/>
  <c r="E54" i="32"/>
  <c r="F54" i="32" s="1"/>
  <c r="N59" i="24"/>
  <c r="M59" i="24" s="1"/>
  <c r="N63" i="24"/>
  <c r="K63" i="24" s="1"/>
  <c r="N37" i="24"/>
  <c r="K37" i="24" s="1"/>
  <c r="N47" i="24"/>
  <c r="M47" i="24" s="1"/>
  <c r="N22" i="24"/>
  <c r="M22" i="24" s="1"/>
  <c r="N35" i="24"/>
  <c r="M35" i="24" s="1"/>
  <c r="N56" i="24"/>
  <c r="K56" i="24" s="1"/>
  <c r="N51" i="24"/>
  <c r="M51" i="24" s="1"/>
  <c r="N46" i="24"/>
  <c r="M46" i="24" s="1"/>
  <c r="N36" i="24"/>
  <c r="M36" i="24" s="1"/>
  <c r="N33" i="24"/>
  <c r="M33" i="24" s="1"/>
  <c r="N25" i="24"/>
  <c r="M25" i="24" s="1"/>
  <c r="N49" i="24"/>
  <c r="M49" i="24" s="1"/>
  <c r="N62" i="24"/>
  <c r="K62" i="24" s="1"/>
  <c r="N30" i="24"/>
  <c r="M30" i="24" s="1"/>
  <c r="N52" i="24"/>
  <c r="M52" i="24" s="1"/>
  <c r="N26" i="24"/>
  <c r="M26" i="24" s="1"/>
  <c r="N34" i="24"/>
  <c r="K34" i="24" s="1"/>
  <c r="N48" i="24"/>
  <c r="M48" i="24" s="1"/>
  <c r="N29" i="24"/>
  <c r="M29" i="24" s="1"/>
  <c r="N31" i="24"/>
  <c r="K31" i="24" s="1"/>
  <c r="N28" i="24"/>
  <c r="M28" i="24" s="1"/>
  <c r="N64" i="24"/>
  <c r="K64" i="24" s="1"/>
  <c r="N39" i="24"/>
  <c r="K39" i="24" s="1"/>
  <c r="N18" i="24"/>
  <c r="K18" i="24" s="1"/>
  <c r="N43" i="24"/>
  <c r="K43" i="24" s="1"/>
  <c r="N20" i="24"/>
  <c r="K20" i="24" s="1"/>
  <c r="N41" i="24"/>
  <c r="M41" i="24" s="1"/>
  <c r="N58" i="24"/>
  <c r="M58" i="24" s="1"/>
  <c r="F24" i="5"/>
  <c r="F24" i="32"/>
  <c r="A57" i="34"/>
  <c r="A55" i="34"/>
  <c r="F19" i="34"/>
  <c r="E18" i="38"/>
  <c r="F22" i="38"/>
  <c r="F23" i="34"/>
  <c r="F25" i="34" s="1"/>
  <c r="A114" i="39"/>
  <c r="F22" i="39"/>
  <c r="K67" i="24"/>
  <c r="M67" i="24"/>
  <c r="FT145" i="35"/>
  <c r="FT284" i="35"/>
  <c r="F26" i="37"/>
  <c r="G26" i="37" s="1"/>
  <c r="N25" i="37" s="1"/>
  <c r="N27" i="37" s="1"/>
  <c r="BY39" i="37"/>
  <c r="BX39" i="37" s="1"/>
  <c r="BZ39" i="37" s="1"/>
  <c r="BY40" i="37" s="1"/>
  <c r="BX40" i="37" s="1"/>
  <c r="BZ40" i="37" s="1"/>
  <c r="BY41" i="37" s="1"/>
  <c r="BX41" i="37" s="1"/>
  <c r="BZ41" i="37" s="1"/>
  <c r="BY42" i="37" s="1"/>
  <c r="BX42" i="37" s="1"/>
  <c r="BZ42" i="37" s="1"/>
  <c r="BY43" i="37" s="1"/>
  <c r="BX43" i="37" s="1"/>
  <c r="BZ43" i="37" s="1"/>
  <c r="D28" i="37"/>
  <c r="A29" i="37"/>
  <c r="B72" i="37"/>
  <c r="BG21" i="37"/>
  <c r="X19" i="20"/>
  <c r="Z19" i="20"/>
  <c r="L1" i="20"/>
  <c r="AE11" i="5" l="1" a="1"/>
  <c r="AE11" i="5" s="1"/>
  <c r="Q357" i="19"/>
  <c r="AC357" i="19" s="1"/>
  <c r="DC372" i="35"/>
  <c r="FX366" i="35"/>
  <c r="FW366" i="35"/>
  <c r="FZ366" i="35" s="1"/>
  <c r="GB366" i="35" s="1"/>
  <c r="T366" i="19"/>
  <c r="GR366" i="35"/>
  <c r="GQ366" i="35"/>
  <c r="S366" i="19"/>
  <c r="O357" i="19"/>
  <c r="GT366" i="35"/>
  <c r="V366" i="19"/>
  <c r="DT359" i="35"/>
  <c r="GN366" i="35"/>
  <c r="HJ366" i="35" s="1"/>
  <c r="Q366" i="19"/>
  <c r="AC366" i="19" s="1"/>
  <c r="HG350" i="35"/>
  <c r="HE350" i="35"/>
  <c r="CM350" i="35"/>
  <c r="CO350" i="35" s="1"/>
  <c r="GL350" i="35" s="1"/>
  <c r="GZ350" i="35" s="1"/>
  <c r="HB350" i="35" s="1"/>
  <c r="CW357" i="35"/>
  <c r="GT357" i="35" s="1"/>
  <c r="CU357" i="35"/>
  <c r="T357" i="19" s="1"/>
  <c r="I363" i="19"/>
  <c r="GN325" i="35"/>
  <c r="HJ325" i="35" s="1"/>
  <c r="GN337" i="35"/>
  <c r="HJ337" i="35" s="1"/>
  <c r="Q358" i="19"/>
  <c r="AC358" i="19" s="1"/>
  <c r="GN358" i="35"/>
  <c r="HJ358" i="35" s="1"/>
  <c r="Q373" i="19"/>
  <c r="AC373" i="19" s="1"/>
  <c r="GN373" i="35"/>
  <c r="HJ373" i="35" s="1"/>
  <c r="GJ328" i="35"/>
  <c r="GX328" i="35" s="1"/>
  <c r="CO328" i="35"/>
  <c r="M328" i="19"/>
  <c r="GN306" i="35"/>
  <c r="HJ306" i="35" s="1"/>
  <c r="K348" i="19"/>
  <c r="CV357" i="35"/>
  <c r="U357" i="19" s="1"/>
  <c r="R357" i="19"/>
  <c r="R328" i="19"/>
  <c r="CU328" i="35"/>
  <c r="CW328" i="35"/>
  <c r="FV328" i="35"/>
  <c r="FP328" i="35"/>
  <c r="FR328" i="35" s="1"/>
  <c r="DT372" i="35"/>
  <c r="Q360" i="19"/>
  <c r="AC360" i="19" s="1"/>
  <c r="GN360" i="35"/>
  <c r="HJ360" i="35" s="1"/>
  <c r="S376" i="19"/>
  <c r="GQ376" i="35"/>
  <c r="O376" i="19"/>
  <c r="GL376" i="35"/>
  <c r="GZ376" i="35" s="1"/>
  <c r="HB376" i="35" s="1"/>
  <c r="CQ376" i="35"/>
  <c r="U376" i="19"/>
  <c r="GS376" i="35"/>
  <c r="GR376" i="35"/>
  <c r="T376" i="19"/>
  <c r="I359" i="19"/>
  <c r="GH348" i="35"/>
  <c r="GV348" i="35" s="1"/>
  <c r="HD348" i="35" s="1"/>
  <c r="HE348" i="35" s="1"/>
  <c r="CK372" i="35"/>
  <c r="K372" i="19" s="1"/>
  <c r="GQ328" i="35"/>
  <c r="FX376" i="35"/>
  <c r="FW376" i="35"/>
  <c r="FZ376" i="35" s="1"/>
  <c r="GB376" i="35" s="1"/>
  <c r="CY348" i="35"/>
  <c r="X348" i="19" s="1"/>
  <c r="CH364" i="35"/>
  <c r="DC364" i="35"/>
  <c r="GT376" i="35"/>
  <c r="V376" i="19"/>
  <c r="CH363" i="35"/>
  <c r="J363" i="19" s="1"/>
  <c r="GR377" i="35"/>
  <c r="T377" i="19"/>
  <c r="U377" i="19"/>
  <c r="GS377" i="35"/>
  <c r="M340" i="19"/>
  <c r="GJ340" i="35"/>
  <c r="GX340" i="35" s="1"/>
  <c r="CO340" i="35"/>
  <c r="HG340" i="35"/>
  <c r="HH340" i="35"/>
  <c r="HF340" i="35"/>
  <c r="HE340" i="35"/>
  <c r="O377" i="19"/>
  <c r="GL377" i="35"/>
  <c r="GZ377" i="35" s="1"/>
  <c r="HB377" i="35" s="1"/>
  <c r="CQ377" i="35"/>
  <c r="DV363" i="35"/>
  <c r="GT377" i="35"/>
  <c r="V377" i="19"/>
  <c r="GJ338" i="35"/>
  <c r="GX338" i="35" s="1"/>
  <c r="CO338" i="35"/>
  <c r="M338" i="19"/>
  <c r="CM319" i="35"/>
  <c r="CS319" i="35"/>
  <c r="FN319" i="35"/>
  <c r="CZ319" i="35"/>
  <c r="Y319" i="19" s="1"/>
  <c r="CX319" i="35"/>
  <c r="W319" i="19" s="1"/>
  <c r="DA319" i="35"/>
  <c r="Z319" i="19" s="1"/>
  <c r="GH319" i="35"/>
  <c r="GV319" i="35" s="1"/>
  <c r="HD319" i="35" s="1"/>
  <c r="K319" i="19"/>
  <c r="CY319" i="35"/>
  <c r="X319" i="19" s="1"/>
  <c r="J374" i="19"/>
  <c r="CK374" i="35"/>
  <c r="CV340" i="35"/>
  <c r="GP340" i="35"/>
  <c r="CU340" i="35"/>
  <c r="CW340" i="35"/>
  <c r="R340" i="19"/>
  <c r="CT340" i="35"/>
  <c r="J351" i="19"/>
  <c r="CK351" i="35"/>
  <c r="Q309" i="19"/>
  <c r="AC309" i="19" s="1"/>
  <c r="GN309" i="35"/>
  <c r="HJ309" i="35" s="1"/>
  <c r="FV338" i="35"/>
  <c r="FP338" i="35"/>
  <c r="FR338" i="35" s="1"/>
  <c r="DC352" i="35"/>
  <c r="CH352" i="35"/>
  <c r="J352" i="19" s="1"/>
  <c r="FX377" i="35"/>
  <c r="FW377" i="35"/>
  <c r="FZ377" i="35" s="1"/>
  <c r="GB377" i="35" s="1"/>
  <c r="CW338" i="35"/>
  <c r="CU338" i="35"/>
  <c r="CT338" i="35"/>
  <c r="R338" i="19"/>
  <c r="GP338" i="35"/>
  <c r="CV338" i="35"/>
  <c r="GN304" i="35"/>
  <c r="HJ304" i="35" s="1"/>
  <c r="Q304" i="19"/>
  <c r="AC304" i="19" s="1"/>
  <c r="GQ377" i="35"/>
  <c r="S377" i="19"/>
  <c r="FP340" i="35"/>
  <c r="FR340" i="35" s="1"/>
  <c r="FV340" i="35"/>
  <c r="HH338" i="35"/>
  <c r="HF338" i="35"/>
  <c r="HE338" i="35"/>
  <c r="HG338" i="35"/>
  <c r="FN348" i="35"/>
  <c r="FV348" i="35" s="1"/>
  <c r="FW348" i="35" s="1"/>
  <c r="FZ348" i="35" s="1"/>
  <c r="GB348" i="35" s="1"/>
  <c r="CM348" i="35"/>
  <c r="M348" i="19" s="1"/>
  <c r="CX348" i="35"/>
  <c r="W348" i="19" s="1"/>
  <c r="CS348" i="35"/>
  <c r="GP348" i="35" s="1"/>
  <c r="K350" i="19"/>
  <c r="DA350" i="35"/>
  <c r="Z350" i="19" s="1"/>
  <c r="U318" i="19"/>
  <c r="HF368" i="35"/>
  <c r="CS350" i="35"/>
  <c r="CT350" i="35" s="1"/>
  <c r="GQ350" i="35" s="1"/>
  <c r="CZ350" i="35"/>
  <c r="Y350" i="19" s="1"/>
  <c r="GN323" i="35"/>
  <c r="HJ323" i="35" s="1"/>
  <c r="HF350" i="35"/>
  <c r="CX350" i="35"/>
  <c r="W350" i="19" s="1"/>
  <c r="GQ368" i="35"/>
  <c r="CY350" i="35"/>
  <c r="X350" i="19" s="1"/>
  <c r="FN350" i="35"/>
  <c r="FP350" i="35" s="1"/>
  <c r="FR350" i="35" s="1"/>
  <c r="HE368" i="35"/>
  <c r="U320" i="19"/>
  <c r="S357" i="19"/>
  <c r="I352" i="19"/>
  <c r="GQ320" i="35"/>
  <c r="CW371" i="35"/>
  <c r="V371" i="19" s="1"/>
  <c r="CV371" i="35"/>
  <c r="GS371" i="35" s="1"/>
  <c r="CU371" i="35"/>
  <c r="T371" i="19" s="1"/>
  <c r="CM355" i="35"/>
  <c r="CO355" i="35" s="1"/>
  <c r="GL355" i="35" s="1"/>
  <c r="GZ355" i="35" s="1"/>
  <c r="HB355" i="35" s="1"/>
  <c r="CS355" i="35"/>
  <c r="GP355" i="35" s="1"/>
  <c r="R371" i="19"/>
  <c r="CT371" i="35"/>
  <c r="GQ371" i="35" s="1"/>
  <c r="O350" i="19"/>
  <c r="DA355" i="35"/>
  <c r="Z355" i="19" s="1"/>
  <c r="CY355" i="35"/>
  <c r="X355" i="19" s="1"/>
  <c r="CX355" i="35"/>
  <c r="W355" i="19" s="1"/>
  <c r="M350" i="19"/>
  <c r="K355" i="19"/>
  <c r="V318" i="19"/>
  <c r="FN355" i="35"/>
  <c r="FV355" i="35" s="1"/>
  <c r="FX355" i="35" s="1"/>
  <c r="T318" i="19"/>
  <c r="GH355" i="35"/>
  <c r="GV355" i="35" s="1"/>
  <c r="HD355" i="35" s="1"/>
  <c r="HG355" i="35" s="1"/>
  <c r="Q318" i="19"/>
  <c r="AC318" i="19" s="1"/>
  <c r="GN318" i="35"/>
  <c r="HJ318" i="35" s="1"/>
  <c r="CK359" i="35"/>
  <c r="FN359" i="35" s="1"/>
  <c r="FP359" i="35" s="1"/>
  <c r="FR359" i="35" s="1"/>
  <c r="GN349" i="35"/>
  <c r="HJ349" i="35" s="1"/>
  <c r="Q349" i="19"/>
  <c r="AC349" i="19" s="1"/>
  <c r="CU368" i="35"/>
  <c r="GR368" i="35" s="1"/>
  <c r="CQ350" i="35"/>
  <c r="Q350" i="19" s="1"/>
  <c r="AC350" i="19" s="1"/>
  <c r="V320" i="19"/>
  <c r="GJ350" i="35"/>
  <c r="GX350" i="35" s="1"/>
  <c r="GR357" i="35"/>
  <c r="V357" i="19"/>
  <c r="FX320" i="35"/>
  <c r="M368" i="19"/>
  <c r="T320" i="19"/>
  <c r="CO368" i="35"/>
  <c r="CQ368" i="35" s="1"/>
  <c r="GN368" i="35" s="1"/>
  <c r="M362" i="19"/>
  <c r="HJ344" i="35"/>
  <c r="E51" i="5"/>
  <c r="F51" i="5" s="1"/>
  <c r="E49" i="5"/>
  <c r="F49" i="5" s="1"/>
  <c r="Q344" i="19"/>
  <c r="AC344" i="19" s="1"/>
  <c r="CM370" i="35"/>
  <c r="GJ370" i="35" s="1"/>
  <c r="GX370" i="35" s="1"/>
  <c r="HJ357" i="35"/>
  <c r="CQ329" i="35"/>
  <c r="O329" i="19"/>
  <c r="GL329" i="35"/>
  <c r="GZ329" i="35" s="1"/>
  <c r="HB329" i="35" s="1"/>
  <c r="FX371" i="35"/>
  <c r="FP371" i="35"/>
  <c r="FR371" i="35" s="1"/>
  <c r="R368" i="19"/>
  <c r="T329" i="19"/>
  <c r="FV368" i="35"/>
  <c r="FX368" i="35" s="1"/>
  <c r="CV368" i="35"/>
  <c r="GS368" i="35" s="1"/>
  <c r="CW368" i="35"/>
  <c r="GT368" i="35" s="1"/>
  <c r="K370" i="19"/>
  <c r="HH368" i="35"/>
  <c r="GP368" i="35"/>
  <c r="O320" i="19"/>
  <c r="E50" i="5"/>
  <c r="F50" i="5" s="1"/>
  <c r="FN370" i="35"/>
  <c r="FP370" i="35" s="1"/>
  <c r="FR370" i="35" s="1"/>
  <c r="CZ370" i="35"/>
  <c r="Y370" i="19" s="1"/>
  <c r="CS370" i="35"/>
  <c r="CT370" i="35" s="1"/>
  <c r="S370" i="19" s="1"/>
  <c r="GH370" i="35"/>
  <c r="GV370" i="35" s="1"/>
  <c r="HD370" i="35" s="1"/>
  <c r="HH370" i="35" s="1"/>
  <c r="CQ320" i="35"/>
  <c r="Q320" i="19" s="1"/>
  <c r="AC320" i="19" s="1"/>
  <c r="CX370" i="35"/>
  <c r="W370" i="19" s="1"/>
  <c r="DA370" i="35"/>
  <c r="Z370" i="19" s="1"/>
  <c r="U329" i="19"/>
  <c r="GS329" i="35"/>
  <c r="GN346" i="35"/>
  <c r="HJ346" i="35" s="1"/>
  <c r="GQ329" i="35"/>
  <c r="S329" i="19"/>
  <c r="FX329" i="35"/>
  <c r="FW329" i="35"/>
  <c r="FZ329" i="35" s="1"/>
  <c r="GB329" i="35" s="1"/>
  <c r="CT362" i="35"/>
  <c r="GQ362" i="35" s="1"/>
  <c r="Q333" i="19"/>
  <c r="AC333" i="19" s="1"/>
  <c r="HE371" i="35"/>
  <c r="CU362" i="35"/>
  <c r="T362" i="19" s="1"/>
  <c r="CV362" i="35"/>
  <c r="U362" i="19" s="1"/>
  <c r="M371" i="19"/>
  <c r="FX346" i="35"/>
  <c r="FW346" i="35"/>
  <c r="FZ346" i="35" s="1"/>
  <c r="GB346" i="35" s="1"/>
  <c r="CW362" i="35"/>
  <c r="V362" i="19" s="1"/>
  <c r="GP362" i="35"/>
  <c r="CO362" i="35"/>
  <c r="GL362" i="35" s="1"/>
  <c r="GZ362" i="35" s="1"/>
  <c r="HB362" i="35" s="1"/>
  <c r="FW357" i="35"/>
  <c r="FZ357" i="35" s="1"/>
  <c r="GB357" i="35" s="1"/>
  <c r="FX357" i="35"/>
  <c r="CQ371" i="35"/>
  <c r="GN371" i="35" s="1"/>
  <c r="GJ371" i="35"/>
  <c r="GX371" i="35" s="1"/>
  <c r="GL371" i="35"/>
  <c r="GZ371" i="35" s="1"/>
  <c r="HB371" i="35" s="1"/>
  <c r="HH371" i="35"/>
  <c r="HF371" i="35"/>
  <c r="BZ379" i="35"/>
  <c r="CF378" i="35"/>
  <c r="CG378" i="35" s="1"/>
  <c r="Q369" i="19"/>
  <c r="AC369" i="19" s="1"/>
  <c r="GN369" i="35"/>
  <c r="HJ369" i="35" s="1"/>
  <c r="T345" i="19"/>
  <c r="GR345" i="35"/>
  <c r="V342" i="19"/>
  <c r="GT342" i="35"/>
  <c r="Q375" i="19"/>
  <c r="AC375" i="19" s="1"/>
  <c r="GN375" i="35"/>
  <c r="HJ375" i="35" s="1"/>
  <c r="FX345" i="35"/>
  <c r="FW345" i="35"/>
  <c r="FZ345" i="35" s="1"/>
  <c r="GB345" i="35" s="1"/>
  <c r="S342" i="19"/>
  <c r="GQ342" i="35"/>
  <c r="V345" i="19"/>
  <c r="GT345" i="35"/>
  <c r="FX362" i="35"/>
  <c r="FP362" i="35"/>
  <c r="FR362" i="35" s="1"/>
  <c r="GR342" i="35"/>
  <c r="T342" i="19"/>
  <c r="GS342" i="35"/>
  <c r="U342" i="19"/>
  <c r="U345" i="19"/>
  <c r="GS345" i="35"/>
  <c r="CQ342" i="35"/>
  <c r="O342" i="19"/>
  <c r="GL342" i="35"/>
  <c r="GZ342" i="35" s="1"/>
  <c r="HB342" i="35" s="1"/>
  <c r="GN356" i="35"/>
  <c r="HJ356" i="35" s="1"/>
  <c r="Q356" i="19"/>
  <c r="AC356" i="19" s="1"/>
  <c r="O345" i="19"/>
  <c r="GL345" i="35"/>
  <c r="GZ345" i="35" s="1"/>
  <c r="HB345" i="35" s="1"/>
  <c r="CQ345" i="35"/>
  <c r="FX342" i="35"/>
  <c r="FW342" i="35"/>
  <c r="FZ342" i="35" s="1"/>
  <c r="GB342" i="35" s="1"/>
  <c r="S345" i="19"/>
  <c r="GQ345" i="35"/>
  <c r="DC378" i="35"/>
  <c r="CA379" i="35"/>
  <c r="CH378" i="35"/>
  <c r="J378" i="19" s="1"/>
  <c r="K47" i="24"/>
  <c r="M37" i="24"/>
  <c r="K32" i="24"/>
  <c r="M66" i="24"/>
  <c r="K55" i="24"/>
  <c r="M34" i="24"/>
  <c r="M44" i="24"/>
  <c r="M63" i="24"/>
  <c r="M27" i="24"/>
  <c r="M19" i="24"/>
  <c r="M53" i="24"/>
  <c r="M42" i="24"/>
  <c r="K29" i="24"/>
  <c r="K60" i="24"/>
  <c r="K54" i="24"/>
  <c r="M62" i="24"/>
  <c r="K48" i="24"/>
  <c r="M21" i="24"/>
  <c r="K28" i="24"/>
  <c r="K57" i="24"/>
  <c r="M40" i="24"/>
  <c r="M50" i="24"/>
  <c r="K46" i="24"/>
  <c r="M24" i="24"/>
  <c r="M43" i="24"/>
  <c r="K59" i="24"/>
  <c r="K26" i="24"/>
  <c r="K36" i="24"/>
  <c r="K45" i="24"/>
  <c r="K23" i="24"/>
  <c r="M61" i="24"/>
  <c r="M56" i="24"/>
  <c r="K30" i="24"/>
  <c r="M64" i="24"/>
  <c r="K52" i="24"/>
  <c r="K51" i="24"/>
  <c r="M39" i="24"/>
  <c r="M31" i="24"/>
  <c r="K58" i="24"/>
  <c r="K49" i="24"/>
  <c r="N38" i="24"/>
  <c r="K38" i="24" s="1"/>
  <c r="K22" i="24"/>
  <c r="K33" i="24"/>
  <c r="K35" i="24"/>
  <c r="K41" i="24"/>
  <c r="K25" i="24"/>
  <c r="M20" i="24"/>
  <c r="M18" i="24"/>
  <c r="F24" i="39"/>
  <c r="F26" i="39"/>
  <c r="G33" i="39" s="1"/>
  <c r="F35" i="39"/>
  <c r="F26" i="38"/>
  <c r="F30" i="38" s="1"/>
  <c r="F24" i="38"/>
  <c r="F32" i="38"/>
  <c r="FT286" i="35"/>
  <c r="FT147" i="35"/>
  <c r="I26" i="37"/>
  <c r="C27" i="37" s="1"/>
  <c r="H27" i="37" s="1"/>
  <c r="O26" i="37" s="1"/>
  <c r="BY44" i="37"/>
  <c r="BX44" i="37" s="1"/>
  <c r="BZ44" i="37" s="1"/>
  <c r="BY45" i="37" s="1"/>
  <c r="BX45" i="37" s="1"/>
  <c r="BZ45" i="37" s="1"/>
  <c r="D29" i="37"/>
  <c r="A30" i="37"/>
  <c r="BH21" i="37"/>
  <c r="B73" i="37"/>
  <c r="V19" i="20"/>
  <c r="V20" i="20" s="1"/>
  <c r="V21" i="20" s="1"/>
  <c r="V22" i="20" s="1"/>
  <c r="V23" i="20" s="1"/>
  <c r="V24" i="20" s="1"/>
  <c r="V25" i="20" s="1"/>
  <c r="V26" i="20" s="1"/>
  <c r="V27" i="20" s="1"/>
  <c r="V28" i="20" s="1"/>
  <c r="V29" i="20" s="1"/>
  <c r="V30" i="20" s="1"/>
  <c r="V31" i="20" s="1"/>
  <c r="V32" i="20" s="1"/>
  <c r="V33" i="20" s="1"/>
  <c r="V34" i="20" s="1"/>
  <c r="V35" i="20" s="1"/>
  <c r="V36" i="20" s="1"/>
  <c r="V37" i="20" s="1"/>
  <c r="V38" i="20" s="1"/>
  <c r="V39" i="20" s="1"/>
  <c r="V40" i="20" s="1"/>
  <c r="V41" i="20" s="1"/>
  <c r="V42" i="20" s="1"/>
  <c r="V43" i="20" s="1"/>
  <c r="V44" i="20" s="1"/>
  <c r="V45" i="20" s="1"/>
  <c r="V46" i="20" s="1"/>
  <c r="V47" i="20" s="1"/>
  <c r="V48" i="20" s="1"/>
  <c r="V49" i="20" s="1"/>
  <c r="V50" i="20" s="1"/>
  <c r="V51" i="20" s="1"/>
  <c r="V52" i="20" s="1"/>
  <c r="V53" i="20" s="1"/>
  <c r="V54" i="20" s="1"/>
  <c r="V55" i="20" s="1"/>
  <c r="V56" i="20" s="1"/>
  <c r="V57" i="20" s="1"/>
  <c r="V58" i="20" s="1"/>
  <c r="V59" i="20" s="1"/>
  <c r="V60" i="20" s="1"/>
  <c r="V61" i="20" s="1"/>
  <c r="V62" i="20" s="1"/>
  <c r="V63" i="20" s="1"/>
  <c r="V64" i="20" s="1"/>
  <c r="V65" i="20" s="1"/>
  <c r="V66" i="20" s="1"/>
  <c r="V67" i="20" s="1"/>
  <c r="V68" i="20" s="1"/>
  <c r="V69" i="20" s="1"/>
  <c r="V70" i="20" s="1"/>
  <c r="V71" i="20" s="1"/>
  <c r="V72" i="20" s="1"/>
  <c r="V73" i="20" s="1"/>
  <c r="E9" i="10"/>
  <c r="P18" i="7"/>
  <c r="M17" i="6"/>
  <c r="HF348" i="35" l="1"/>
  <c r="S350" i="19"/>
  <c r="CK363" i="35"/>
  <c r="GH372" i="35"/>
  <c r="GV372" i="35" s="1"/>
  <c r="HD372" i="35" s="1"/>
  <c r="HE372" i="35" s="1"/>
  <c r="FN372" i="35"/>
  <c r="FP372" i="35" s="1"/>
  <c r="FR372" i="35" s="1"/>
  <c r="HG348" i="35"/>
  <c r="HH348" i="35"/>
  <c r="DA372" i="35"/>
  <c r="Z372" i="19" s="1"/>
  <c r="FV350" i="35"/>
  <c r="FW350" i="35" s="1"/>
  <c r="FZ350" i="35" s="1"/>
  <c r="GB350" i="35" s="1"/>
  <c r="CT348" i="35"/>
  <c r="S348" i="19" s="1"/>
  <c r="CX372" i="35"/>
  <c r="W372" i="19" s="1"/>
  <c r="GL328" i="35"/>
  <c r="GZ328" i="35" s="1"/>
  <c r="HB328" i="35" s="1"/>
  <c r="O328" i="19"/>
  <c r="CQ328" i="35"/>
  <c r="FP348" i="35"/>
  <c r="FR348" i="35" s="1"/>
  <c r="GS357" i="35"/>
  <c r="FW328" i="35"/>
  <c r="FZ328" i="35" s="1"/>
  <c r="GB328" i="35" s="1"/>
  <c r="FX328" i="35"/>
  <c r="FX348" i="35"/>
  <c r="CY372" i="35"/>
  <c r="X372" i="19" s="1"/>
  <c r="CS372" i="35"/>
  <c r="CW372" i="35" s="1"/>
  <c r="V372" i="19" s="1"/>
  <c r="CM372" i="35"/>
  <c r="M372" i="19" s="1"/>
  <c r="CZ372" i="35"/>
  <c r="Y372" i="19" s="1"/>
  <c r="GT328" i="35"/>
  <c r="V328" i="19"/>
  <c r="T328" i="19"/>
  <c r="GR328" i="35"/>
  <c r="J364" i="19"/>
  <c r="CK364" i="35"/>
  <c r="Q376" i="19"/>
  <c r="AC376" i="19" s="1"/>
  <c r="GN376" i="35"/>
  <c r="HJ376" i="35" s="1"/>
  <c r="CM374" i="35"/>
  <c r="CX374" i="35"/>
  <c r="W374" i="19" s="1"/>
  <c r="GH374" i="35"/>
  <c r="GV374" i="35" s="1"/>
  <c r="HD374" i="35" s="1"/>
  <c r="DA374" i="35"/>
  <c r="Z374" i="19" s="1"/>
  <c r="CY374" i="35"/>
  <c r="X374" i="19" s="1"/>
  <c r="CS374" i="35"/>
  <c r="CZ374" i="35"/>
  <c r="Y374" i="19" s="1"/>
  <c r="FN374" i="35"/>
  <c r="K374" i="19"/>
  <c r="CV348" i="35"/>
  <c r="U348" i="19" s="1"/>
  <c r="GJ348" i="35"/>
  <c r="GX348" i="35" s="1"/>
  <c r="FW338" i="35"/>
  <c r="FZ338" i="35" s="1"/>
  <c r="GB338" i="35" s="1"/>
  <c r="FX338" i="35"/>
  <c r="FP319" i="35"/>
  <c r="FR319" i="35" s="1"/>
  <c r="FV319" i="35"/>
  <c r="CW319" i="35"/>
  <c r="GP319" i="35"/>
  <c r="R319" i="19"/>
  <c r="CU319" i="35"/>
  <c r="CT319" i="35"/>
  <c r="CV319" i="35"/>
  <c r="CO348" i="35"/>
  <c r="CQ348" i="35" s="1"/>
  <c r="GN348" i="35" s="1"/>
  <c r="U338" i="19"/>
  <c r="GS338" i="35"/>
  <c r="U340" i="19"/>
  <c r="GS340" i="35"/>
  <c r="CS351" i="35"/>
  <c r="CZ351" i="35"/>
  <c r="Y351" i="19" s="1"/>
  <c r="CX351" i="35"/>
  <c r="W351" i="19" s="1"/>
  <c r="CM351" i="35"/>
  <c r="FN351" i="35"/>
  <c r="CY351" i="35"/>
  <c r="X351" i="19" s="1"/>
  <c r="GH351" i="35"/>
  <c r="GV351" i="35" s="1"/>
  <c r="HD351" i="35" s="1"/>
  <c r="K351" i="19"/>
  <c r="DA351" i="35"/>
  <c r="Z351" i="19" s="1"/>
  <c r="HE319" i="35"/>
  <c r="HH319" i="35"/>
  <c r="HG319" i="35"/>
  <c r="HF319" i="35"/>
  <c r="GT340" i="35"/>
  <c r="V340" i="19"/>
  <c r="CO319" i="35"/>
  <c r="M319" i="19"/>
  <c r="GJ319" i="35"/>
  <c r="GX319" i="35" s="1"/>
  <c r="O338" i="19"/>
  <c r="GL338" i="35"/>
  <c r="GZ338" i="35" s="1"/>
  <c r="HB338" i="35" s="1"/>
  <c r="CQ338" i="35"/>
  <c r="R348" i="19"/>
  <c r="S338" i="19"/>
  <c r="GQ338" i="35"/>
  <c r="Q377" i="19"/>
  <c r="AC377" i="19" s="1"/>
  <c r="GN377" i="35"/>
  <c r="HJ377" i="35" s="1"/>
  <c r="T340" i="19"/>
  <c r="GR340" i="35"/>
  <c r="CQ340" i="35"/>
  <c r="O340" i="19"/>
  <c r="GL340" i="35"/>
  <c r="GZ340" i="35" s="1"/>
  <c r="HB340" i="35" s="1"/>
  <c r="T338" i="19"/>
  <c r="GR338" i="35"/>
  <c r="S340" i="19"/>
  <c r="GQ340" i="35"/>
  <c r="CK352" i="35"/>
  <c r="DA352" i="35" s="1"/>
  <c r="Z352" i="19" s="1"/>
  <c r="FX340" i="35"/>
  <c r="FW340" i="35"/>
  <c r="FZ340" i="35" s="1"/>
  <c r="GB340" i="35" s="1"/>
  <c r="V338" i="19"/>
  <c r="GT338" i="35"/>
  <c r="GP350" i="35"/>
  <c r="CV350" i="35"/>
  <c r="U350" i="19" s="1"/>
  <c r="CW350" i="35"/>
  <c r="GT350" i="35" s="1"/>
  <c r="R372" i="19"/>
  <c r="R350" i="19"/>
  <c r="CU350" i="35"/>
  <c r="GR350" i="35" s="1"/>
  <c r="CU348" i="35"/>
  <c r="GR348" i="35" s="1"/>
  <c r="CV372" i="35"/>
  <c r="U372" i="19" s="1"/>
  <c r="CW348" i="35"/>
  <c r="V348" i="19" s="1"/>
  <c r="CT372" i="35"/>
  <c r="GQ372" i="35" s="1"/>
  <c r="CM359" i="35"/>
  <c r="CO359" i="35" s="1"/>
  <c r="GL359" i="35" s="1"/>
  <c r="GZ359" i="35" s="1"/>
  <c r="HB359" i="35" s="1"/>
  <c r="FV372" i="35"/>
  <c r="FW372" i="35" s="1"/>
  <c r="FZ372" i="35" s="1"/>
  <c r="GB372" i="35" s="1"/>
  <c r="GT371" i="35"/>
  <c r="HF372" i="35"/>
  <c r="HH372" i="35"/>
  <c r="U371" i="19"/>
  <c r="CX359" i="35"/>
  <c r="W359" i="19" s="1"/>
  <c r="M355" i="19"/>
  <c r="GR371" i="35"/>
  <c r="HG372" i="35"/>
  <c r="CZ359" i="35"/>
  <c r="Y359" i="19" s="1"/>
  <c r="CS359" i="35"/>
  <c r="CT359" i="35" s="1"/>
  <c r="S359" i="19" s="1"/>
  <c r="CU372" i="35"/>
  <c r="T372" i="19" s="1"/>
  <c r="GP372" i="35"/>
  <c r="CT355" i="35"/>
  <c r="S355" i="19" s="1"/>
  <c r="S371" i="19"/>
  <c r="GN350" i="35"/>
  <c r="HJ350" i="35" s="1"/>
  <c r="CQ355" i="35"/>
  <c r="Q355" i="19" s="1"/>
  <c r="AC355" i="19" s="1"/>
  <c r="FP355" i="35"/>
  <c r="FR355" i="35" s="1"/>
  <c r="GJ355" i="35"/>
  <c r="GX355" i="35" s="1"/>
  <c r="CU355" i="35"/>
  <c r="HE355" i="35"/>
  <c r="O355" i="19"/>
  <c r="CW355" i="35"/>
  <c r="GT355" i="35" s="1"/>
  <c r="R355" i="19"/>
  <c r="CV355" i="35"/>
  <c r="U355" i="19" s="1"/>
  <c r="CV370" i="35"/>
  <c r="GS370" i="35" s="1"/>
  <c r="FW355" i="35"/>
  <c r="FZ355" i="35" s="1"/>
  <c r="GB355" i="35" s="1"/>
  <c r="HH355" i="35"/>
  <c r="HF355" i="35"/>
  <c r="GH359" i="35"/>
  <c r="GV359" i="35" s="1"/>
  <c r="HD359" i="35" s="1"/>
  <c r="HE359" i="35" s="1"/>
  <c r="DA363" i="35"/>
  <c r="Z363" i="19" s="1"/>
  <c r="CX363" i="35"/>
  <c r="W363" i="19" s="1"/>
  <c r="CZ363" i="35"/>
  <c r="Y363" i="19" s="1"/>
  <c r="CY363" i="35"/>
  <c r="X363" i="19" s="1"/>
  <c r="GH363" i="35"/>
  <c r="GV363" i="35" s="1"/>
  <c r="HD363" i="35" s="1"/>
  <c r="FN363" i="35"/>
  <c r="K363" i="19"/>
  <c r="CM363" i="35"/>
  <c r="CS363" i="35"/>
  <c r="GN320" i="35"/>
  <c r="HJ320" i="35" s="1"/>
  <c r="FV359" i="35"/>
  <c r="FX359" i="35" s="1"/>
  <c r="T368" i="19"/>
  <c r="CY359" i="35"/>
  <c r="X359" i="19" s="1"/>
  <c r="HE370" i="35"/>
  <c r="K359" i="19"/>
  <c r="HF370" i="35"/>
  <c r="DA359" i="35"/>
  <c r="Z359" i="19" s="1"/>
  <c r="V368" i="19"/>
  <c r="HG370" i="35"/>
  <c r="O368" i="19"/>
  <c r="GL368" i="35"/>
  <c r="GZ368" i="35" s="1"/>
  <c r="HB368" i="35" s="1"/>
  <c r="HJ368" i="35" s="1"/>
  <c r="Q371" i="19"/>
  <c r="AC371" i="19" s="1"/>
  <c r="CO370" i="35"/>
  <c r="GL370" i="35" s="1"/>
  <c r="GZ370" i="35" s="1"/>
  <c r="HB370" i="35" s="1"/>
  <c r="M370" i="19"/>
  <c r="Q368" i="19"/>
  <c r="AC368" i="19" s="1"/>
  <c r="R370" i="19"/>
  <c r="GN329" i="35"/>
  <c r="HJ329" i="35" s="1"/>
  <c r="Q329" i="19"/>
  <c r="AC329" i="19" s="1"/>
  <c r="U368" i="19"/>
  <c r="CF379" i="35"/>
  <c r="CU370" i="35"/>
  <c r="T370" i="19" s="1"/>
  <c r="GP370" i="35"/>
  <c r="GQ370" i="35"/>
  <c r="CW370" i="35"/>
  <c r="V370" i="19" s="1"/>
  <c r="FW368" i="35"/>
  <c r="FZ368" i="35" s="1"/>
  <c r="GB368" i="35" s="1"/>
  <c r="FV370" i="35"/>
  <c r="FX370" i="35" s="1"/>
  <c r="S362" i="19"/>
  <c r="GS362" i="35"/>
  <c r="GT362" i="35"/>
  <c r="O362" i="19"/>
  <c r="CQ362" i="35"/>
  <c r="Q362" i="19" s="1"/>
  <c r="AC362" i="19" s="1"/>
  <c r="GR362" i="35"/>
  <c r="HJ371" i="35"/>
  <c r="Q345" i="19"/>
  <c r="AC345" i="19" s="1"/>
  <c r="GN345" i="35"/>
  <c r="HJ345" i="35" s="1"/>
  <c r="Q342" i="19"/>
  <c r="AC342" i="19" s="1"/>
  <c r="GN342" i="35"/>
  <c r="HJ342" i="35" s="1"/>
  <c r="FX372" i="35"/>
  <c r="CG384" i="35"/>
  <c r="CG379" i="35"/>
  <c r="CI378" i="35"/>
  <c r="H378" i="19"/>
  <c r="CJ378" i="35"/>
  <c r="CJ379" i="35" s="1"/>
  <c r="EW378" i="35"/>
  <c r="DR378" i="35"/>
  <c r="M38" i="24"/>
  <c r="N75" i="38"/>
  <c r="E40" i="38"/>
  <c r="F40" i="38" s="1"/>
  <c r="E37" i="38"/>
  <c r="F37" i="38" s="1"/>
  <c r="E39" i="38"/>
  <c r="F39" i="38" s="1"/>
  <c r="E38" i="38"/>
  <c r="F38" i="38" s="1"/>
  <c r="F43" i="39"/>
  <c r="G43" i="39" s="1"/>
  <c r="N76" i="39"/>
  <c r="F42" i="39"/>
  <c r="G42" i="39" s="1"/>
  <c r="F40" i="39"/>
  <c r="G40" i="39" s="1"/>
  <c r="F41" i="39"/>
  <c r="G41" i="39" s="1"/>
  <c r="FT149" i="35"/>
  <c r="FT288" i="35"/>
  <c r="F27" i="37"/>
  <c r="G27" i="37" s="1"/>
  <c r="O25" i="37" s="1"/>
  <c r="O27" i="37" s="1"/>
  <c r="D30" i="37"/>
  <c r="A31" i="37"/>
  <c r="BY46" i="37"/>
  <c r="BX46" i="37" s="1"/>
  <c r="BZ46" i="37" s="1"/>
  <c r="BY47" i="37" s="1"/>
  <c r="BX47" i="37" s="1"/>
  <c r="BZ47" i="37" s="1"/>
  <c r="BY48" i="37" s="1"/>
  <c r="BX48" i="37" s="1"/>
  <c r="BZ48" i="37" s="1"/>
  <c r="BY49" i="37" s="1"/>
  <c r="BX49" i="37" s="1"/>
  <c r="BZ49" i="37" s="1"/>
  <c r="BY50" i="37" s="1"/>
  <c r="BX50" i="37" s="1"/>
  <c r="BZ50" i="37" s="1"/>
  <c r="BY51" i="37" s="1"/>
  <c r="BX51" i="37" s="1"/>
  <c r="BZ51" i="37" s="1"/>
  <c r="BY52" i="37" s="1"/>
  <c r="BX52" i="37" s="1"/>
  <c r="BZ52" i="37" s="1"/>
  <c r="BY53" i="37" s="1"/>
  <c r="BX53" i="37" s="1"/>
  <c r="BZ53" i="37" s="1"/>
  <c r="BY54" i="37" s="1"/>
  <c r="BX54" i="37" s="1"/>
  <c r="BZ54" i="37" s="1"/>
  <c r="BY55" i="37" s="1"/>
  <c r="BX55" i="37" s="1"/>
  <c r="BZ55" i="37" s="1"/>
  <c r="BY56" i="37" s="1"/>
  <c r="BX56" i="37" s="1"/>
  <c r="BZ56" i="37" s="1"/>
  <c r="BY57" i="37" s="1"/>
  <c r="BX57" i="37" s="1"/>
  <c r="BZ57" i="37" s="1"/>
  <c r="BY58" i="37" s="1"/>
  <c r="BX58" i="37" s="1"/>
  <c r="BZ58" i="37" s="1"/>
  <c r="BY59" i="37" s="1"/>
  <c r="BX59" i="37" s="1"/>
  <c r="BZ59" i="37" s="1"/>
  <c r="BY60" i="37" s="1"/>
  <c r="BX60" i="37" s="1"/>
  <c r="BZ60" i="37" s="1"/>
  <c r="BY61" i="37" s="1"/>
  <c r="BX61" i="37" s="1"/>
  <c r="BZ61" i="37" s="1"/>
  <c r="BY62" i="37" s="1"/>
  <c r="BX62" i="37" s="1"/>
  <c r="BZ62" i="37" s="1"/>
  <c r="B74" i="37"/>
  <c r="BI21" i="37"/>
  <c r="E9" i="9"/>
  <c r="E10" i="8"/>
  <c r="E10" i="7"/>
  <c r="E9" i="6"/>
  <c r="GJ372" i="35" l="1"/>
  <c r="GX372" i="35" s="1"/>
  <c r="R359" i="19"/>
  <c r="T348" i="19"/>
  <c r="FX350" i="35"/>
  <c r="CX352" i="35"/>
  <c r="W352" i="19" s="1"/>
  <c r="GT372" i="35"/>
  <c r="GN328" i="35"/>
  <c r="HJ328" i="35" s="1"/>
  <c r="Q328" i="19"/>
  <c r="AC328" i="19" s="1"/>
  <c r="CY352" i="35"/>
  <c r="X352" i="19" s="1"/>
  <c r="GQ348" i="35"/>
  <c r="CO372" i="35"/>
  <c r="M359" i="19"/>
  <c r="GJ359" i="35"/>
  <c r="GX359" i="35" s="1"/>
  <c r="S372" i="19"/>
  <c r="CY364" i="35"/>
  <c r="X364" i="19" s="1"/>
  <c r="DA364" i="35"/>
  <c r="Z364" i="19" s="1"/>
  <c r="CS364" i="35"/>
  <c r="CM364" i="35"/>
  <c r="CX364" i="35"/>
  <c r="W364" i="19" s="1"/>
  <c r="K364" i="19"/>
  <c r="GH364" i="35"/>
  <c r="GV364" i="35" s="1"/>
  <c r="HD364" i="35" s="1"/>
  <c r="FN364" i="35"/>
  <c r="CZ364" i="35"/>
  <c r="Y364" i="19" s="1"/>
  <c r="GN340" i="35"/>
  <c r="HJ340" i="35" s="1"/>
  <c r="Q340" i="19"/>
  <c r="AC340" i="19" s="1"/>
  <c r="FP351" i="35"/>
  <c r="FR351" i="35" s="1"/>
  <c r="FV351" i="35"/>
  <c r="GR319" i="35"/>
  <c r="T319" i="19"/>
  <c r="O348" i="19"/>
  <c r="FP374" i="35"/>
  <c r="FR374" i="35" s="1"/>
  <c r="FV374" i="35"/>
  <c r="Q348" i="19"/>
  <c r="AC348" i="19" s="1"/>
  <c r="CQ319" i="35"/>
  <c r="GL319" i="35"/>
  <c r="GZ319" i="35" s="1"/>
  <c r="HB319" i="35" s="1"/>
  <c r="O319" i="19"/>
  <c r="CO351" i="35"/>
  <c r="GJ351" i="35"/>
  <c r="GX351" i="35" s="1"/>
  <c r="M351" i="19"/>
  <c r="GP374" i="35"/>
  <c r="CT374" i="35"/>
  <c r="CV374" i="35"/>
  <c r="CW374" i="35"/>
  <c r="R374" i="19"/>
  <c r="CU374" i="35"/>
  <c r="V350" i="19"/>
  <c r="CQ359" i="35"/>
  <c r="Q359" i="19" s="1"/>
  <c r="AC359" i="19" s="1"/>
  <c r="GS350" i="35"/>
  <c r="GS319" i="35"/>
  <c r="U319" i="19"/>
  <c r="S319" i="19"/>
  <c r="GQ319" i="35"/>
  <c r="O359" i="19"/>
  <c r="GT319" i="35"/>
  <c r="V319" i="19"/>
  <c r="HE351" i="35"/>
  <c r="HF351" i="35"/>
  <c r="HG351" i="35"/>
  <c r="HH351" i="35"/>
  <c r="GS348" i="35"/>
  <c r="CW351" i="35"/>
  <c r="CV351" i="35"/>
  <c r="GP351" i="35"/>
  <c r="CT351" i="35"/>
  <c r="CU351" i="35"/>
  <c r="R351" i="19"/>
  <c r="FX319" i="35"/>
  <c r="FW319" i="35"/>
  <c r="FZ319" i="35" s="1"/>
  <c r="GB319" i="35" s="1"/>
  <c r="HE374" i="35"/>
  <c r="HH374" i="35"/>
  <c r="HF374" i="35"/>
  <c r="HG374" i="35"/>
  <c r="GN338" i="35"/>
  <c r="HJ338" i="35" s="1"/>
  <c r="Q338" i="19"/>
  <c r="AC338" i="19" s="1"/>
  <c r="GL348" i="35"/>
  <c r="GZ348" i="35" s="1"/>
  <c r="HB348" i="35" s="1"/>
  <c r="HJ348" i="35" s="1"/>
  <c r="CV359" i="35"/>
  <c r="U359" i="19" s="1"/>
  <c r="K352" i="19"/>
  <c r="GH352" i="35"/>
  <c r="GV352" i="35" s="1"/>
  <c r="HD352" i="35" s="1"/>
  <c r="CS352" i="35"/>
  <c r="FN352" i="35"/>
  <c r="CZ352" i="35"/>
  <c r="Y352" i="19" s="1"/>
  <c r="CM352" i="35"/>
  <c r="CO374" i="35"/>
  <c r="M374" i="19"/>
  <c r="GJ374" i="35"/>
  <c r="GX374" i="35" s="1"/>
  <c r="GT348" i="35"/>
  <c r="GS372" i="35"/>
  <c r="T350" i="19"/>
  <c r="CU359" i="35"/>
  <c r="T359" i="19" s="1"/>
  <c r="HH359" i="35"/>
  <c r="GS355" i="35"/>
  <c r="GR372" i="35"/>
  <c r="GQ359" i="35"/>
  <c r="GQ355" i="35"/>
  <c r="U370" i="19"/>
  <c r="CQ370" i="35"/>
  <c r="GN370" i="35" s="1"/>
  <c r="HJ370" i="35" s="1"/>
  <c r="GT370" i="35"/>
  <c r="CW359" i="35"/>
  <c r="GT359" i="35" s="1"/>
  <c r="GP359" i="35"/>
  <c r="GN355" i="35"/>
  <c r="HJ355" i="35" s="1"/>
  <c r="HG359" i="35"/>
  <c r="FW359" i="35"/>
  <c r="FZ359" i="35" s="1"/>
  <c r="GB359" i="35" s="1"/>
  <c r="T355" i="19"/>
  <c r="GR355" i="35"/>
  <c r="V355" i="19"/>
  <c r="HF359" i="35"/>
  <c r="CO363" i="35"/>
  <c r="M363" i="19"/>
  <c r="GJ363" i="35"/>
  <c r="GX363" i="35" s="1"/>
  <c r="HF363" i="35"/>
  <c r="HG363" i="35"/>
  <c r="HE363" i="35"/>
  <c r="HH363" i="35"/>
  <c r="CV363" i="35"/>
  <c r="CU363" i="35"/>
  <c r="CW363" i="35"/>
  <c r="R363" i="19"/>
  <c r="GP363" i="35"/>
  <c r="CT363" i="35"/>
  <c r="FV363" i="35"/>
  <c r="FP363" i="35"/>
  <c r="FR363" i="35" s="1"/>
  <c r="O370" i="19"/>
  <c r="GR370" i="35"/>
  <c r="FW370" i="35"/>
  <c r="FZ370" i="35" s="1"/>
  <c r="GB370" i="35" s="1"/>
  <c r="GN362" i="35"/>
  <c r="HJ362" i="35" s="1"/>
  <c r="CK378" i="35"/>
  <c r="CZ378" i="35" s="1"/>
  <c r="DV378" i="35"/>
  <c r="DT378" i="35"/>
  <c r="CI379" i="35"/>
  <c r="I378" i="19"/>
  <c r="FT290" i="35"/>
  <c r="FT151" i="35"/>
  <c r="I27" i="37"/>
  <c r="C28" i="37" s="1"/>
  <c r="H28" i="37" s="1"/>
  <c r="P26" i="37" s="1"/>
  <c r="BY63" i="37"/>
  <c r="BX63" i="37" s="1"/>
  <c r="BZ63" i="37" s="1"/>
  <c r="BY64" i="37" s="1"/>
  <c r="BX64" i="37" s="1"/>
  <c r="BZ64" i="37" s="1"/>
  <c r="BY65" i="37" s="1"/>
  <c r="BX65" i="37" s="1"/>
  <c r="BZ65" i="37" s="1"/>
  <c r="BY66" i="37" s="1"/>
  <c r="BX66" i="37" s="1"/>
  <c r="BZ66" i="37" s="1"/>
  <c r="BY67" i="37" s="1"/>
  <c r="BX67" i="37" s="1"/>
  <c r="BZ67" i="37" s="1"/>
  <c r="BY68" i="37" s="1"/>
  <c r="BX68" i="37" s="1"/>
  <c r="BZ68" i="37" s="1"/>
  <c r="BY69" i="37" s="1"/>
  <c r="BX69" i="37" s="1"/>
  <c r="BZ69" i="37" s="1"/>
  <c r="BY70" i="37" s="1"/>
  <c r="BX70" i="37" s="1"/>
  <c r="BZ70" i="37" s="1"/>
  <c r="BY71" i="37" s="1"/>
  <c r="BX71" i="37" s="1"/>
  <c r="BZ71" i="37" s="1"/>
  <c r="BY72" i="37" s="1"/>
  <c r="BX72" i="37" s="1"/>
  <c r="BZ72" i="37" s="1"/>
  <c r="BY73" i="37" s="1"/>
  <c r="BX73" i="37" s="1"/>
  <c r="BZ73" i="37" s="1"/>
  <c r="D31" i="37"/>
  <c r="A32" i="37"/>
  <c r="BJ21" i="37"/>
  <c r="B75" i="37"/>
  <c r="F25" i="5"/>
  <c r="F25" i="39" s="1"/>
  <c r="V359" i="19" l="1"/>
  <c r="Q370" i="19"/>
  <c r="AC370" i="19" s="1"/>
  <c r="GS359" i="35"/>
  <c r="CQ372" i="35"/>
  <c r="O372" i="19"/>
  <c r="GL372" i="35"/>
  <c r="GZ372" i="35" s="1"/>
  <c r="HB372" i="35" s="1"/>
  <c r="FP364" i="35"/>
  <c r="FR364" i="35" s="1"/>
  <c r="FV364" i="35"/>
  <c r="HH364" i="35"/>
  <c r="HF364" i="35"/>
  <c r="HE364" i="35"/>
  <c r="HG364" i="35"/>
  <c r="CU364" i="35"/>
  <c r="R364" i="19"/>
  <c r="CT364" i="35"/>
  <c r="CW364" i="35"/>
  <c r="CV364" i="35"/>
  <c r="GP364" i="35"/>
  <c r="CO364" i="35"/>
  <c r="M364" i="19"/>
  <c r="GJ364" i="35"/>
  <c r="GX364" i="35" s="1"/>
  <c r="GN359" i="35"/>
  <c r="HJ359" i="35" s="1"/>
  <c r="GR374" i="35"/>
  <c r="T374" i="19"/>
  <c r="FP352" i="35"/>
  <c r="FR352" i="35" s="1"/>
  <c r="FV352" i="35"/>
  <c r="V374" i="19"/>
  <c r="GT374" i="35"/>
  <c r="GR351" i="35"/>
  <c r="T351" i="19"/>
  <c r="S374" i="19"/>
  <c r="GQ374" i="35"/>
  <c r="GQ351" i="35"/>
  <c r="S351" i="19"/>
  <c r="GN319" i="35"/>
  <c r="HJ319" i="35" s="1"/>
  <c r="Q319" i="19"/>
  <c r="AC319" i="19" s="1"/>
  <c r="HH352" i="35"/>
  <c r="HE352" i="35"/>
  <c r="HF352" i="35"/>
  <c r="HG352" i="35"/>
  <c r="FX351" i="35"/>
  <c r="FW351" i="35"/>
  <c r="FZ351" i="35" s="1"/>
  <c r="GB351" i="35" s="1"/>
  <c r="GS351" i="35"/>
  <c r="U351" i="19"/>
  <c r="FW374" i="35"/>
  <c r="FZ374" i="35" s="1"/>
  <c r="GB374" i="35" s="1"/>
  <c r="FX374" i="35"/>
  <c r="GT351" i="35"/>
  <c r="V351" i="19"/>
  <c r="O351" i="19"/>
  <c r="GL351" i="35"/>
  <c r="GZ351" i="35" s="1"/>
  <c r="HB351" i="35" s="1"/>
  <c r="CQ351" i="35"/>
  <c r="CO352" i="35"/>
  <c r="GJ352" i="35"/>
  <c r="GX352" i="35" s="1"/>
  <c r="M352" i="19"/>
  <c r="CV352" i="35"/>
  <c r="CT352" i="35"/>
  <c r="GP352" i="35"/>
  <c r="CW352" i="35"/>
  <c r="CU352" i="35"/>
  <c r="R352" i="19"/>
  <c r="GS374" i="35"/>
  <c r="U374" i="19"/>
  <c r="CQ374" i="35"/>
  <c r="O374" i="19"/>
  <c r="GL374" i="35"/>
  <c r="GZ374" i="35" s="1"/>
  <c r="HB374" i="35" s="1"/>
  <c r="GR359" i="35"/>
  <c r="FX363" i="35"/>
  <c r="FW363" i="35"/>
  <c r="FZ363" i="35" s="1"/>
  <c r="GB363" i="35" s="1"/>
  <c r="GT363" i="35"/>
  <c r="V363" i="19"/>
  <c r="T363" i="19"/>
  <c r="GR363" i="35"/>
  <c r="U363" i="19"/>
  <c r="GS363" i="35"/>
  <c r="S363" i="19"/>
  <c r="GQ363" i="35"/>
  <c r="GL363" i="35"/>
  <c r="GZ363" i="35" s="1"/>
  <c r="HB363" i="35" s="1"/>
  <c r="CQ363" i="35"/>
  <c r="O363" i="19"/>
  <c r="CK379" i="35"/>
  <c r="GH378" i="35"/>
  <c r="GV378" i="35" s="1"/>
  <c r="HD378" i="35" s="1"/>
  <c r="HF378" i="35" s="1"/>
  <c r="CY378" i="35"/>
  <c r="X378" i="19" s="1"/>
  <c r="FN378" i="35"/>
  <c r="FP378" i="35" s="1"/>
  <c r="FR378" i="35" s="1"/>
  <c r="K378" i="19"/>
  <c r="DA378" i="35"/>
  <c r="Z378" i="19" s="1"/>
  <c r="CM378" i="35"/>
  <c r="M378" i="19" s="1"/>
  <c r="CX378" i="35"/>
  <c r="W378" i="19" s="1"/>
  <c r="CS378" i="35"/>
  <c r="CT378" i="35" s="1"/>
  <c r="Y378" i="19"/>
  <c r="CZ379" i="35"/>
  <c r="N17" i="39"/>
  <c r="F27" i="39"/>
  <c r="F26" i="5"/>
  <c r="F28" i="5" s="1"/>
  <c r="N62" i="5" s="1"/>
  <c r="F25" i="38"/>
  <c r="N67" i="5"/>
  <c r="FT153" i="35"/>
  <c r="FT292" i="35"/>
  <c r="F28" i="37"/>
  <c r="G28" i="37" s="1"/>
  <c r="D32" i="37"/>
  <c r="A33" i="37"/>
  <c r="BY74" i="37"/>
  <c r="BX74" i="37" s="1"/>
  <c r="BZ74" i="37" s="1"/>
  <c r="B76" i="37"/>
  <c r="BK21" i="37"/>
  <c r="F26" i="34"/>
  <c r="F27" i="34" s="1"/>
  <c r="F26" i="10"/>
  <c r="F25" i="32"/>
  <c r="F26" i="9"/>
  <c r="O17" i="9" s="1"/>
  <c r="F25" i="23"/>
  <c r="N17" i="23" s="1"/>
  <c r="Q28" i="9"/>
  <c r="L28" i="9"/>
  <c r="GN372" i="35" l="1"/>
  <c r="HJ372" i="35" s="1"/>
  <c r="Q372" i="19"/>
  <c r="AC372" i="19" s="1"/>
  <c r="GS364" i="35"/>
  <c r="U364" i="19"/>
  <c r="V364" i="19"/>
  <c r="GT364" i="35"/>
  <c r="S364" i="19"/>
  <c r="GQ364" i="35"/>
  <c r="T364" i="19"/>
  <c r="GR364" i="35"/>
  <c r="FW364" i="35"/>
  <c r="FZ364" i="35" s="1"/>
  <c r="GB364" i="35" s="1"/>
  <c r="FX364" i="35"/>
  <c r="O364" i="19"/>
  <c r="GL364" i="35"/>
  <c r="GZ364" i="35" s="1"/>
  <c r="HB364" i="35" s="1"/>
  <c r="CQ364" i="35"/>
  <c r="S352" i="19"/>
  <c r="GQ352" i="35"/>
  <c r="O352" i="19"/>
  <c r="GL352" i="35"/>
  <c r="GZ352" i="35" s="1"/>
  <c r="HB352" i="35" s="1"/>
  <c r="CQ352" i="35"/>
  <c r="V352" i="19"/>
  <c r="GT352" i="35"/>
  <c r="Q374" i="19"/>
  <c r="AC374" i="19" s="1"/>
  <c r="GN374" i="35"/>
  <c r="HJ374" i="35" s="1"/>
  <c r="GN351" i="35"/>
  <c r="HJ351" i="35" s="1"/>
  <c r="Q351" i="19"/>
  <c r="AC351" i="19" s="1"/>
  <c r="FX352" i="35"/>
  <c r="FW352" i="35"/>
  <c r="FZ352" i="35" s="1"/>
  <c r="GB352" i="35" s="1"/>
  <c r="U352" i="19"/>
  <c r="GS352" i="35"/>
  <c r="GR352" i="35"/>
  <c r="T352" i="19"/>
  <c r="GN363" i="35"/>
  <c r="HJ363" i="35" s="1"/>
  <c r="Q363" i="19"/>
  <c r="AC363" i="19" s="1"/>
  <c r="CY379" i="35"/>
  <c r="DA379" i="35"/>
  <c r="CS379" i="35"/>
  <c r="CX379" i="35"/>
  <c r="FV378" i="35"/>
  <c r="FW378" i="35" s="1"/>
  <c r="FZ378" i="35" s="1"/>
  <c r="GB378" i="35" s="1"/>
  <c r="CM379" i="35"/>
  <c r="HG378" i="35"/>
  <c r="HH378" i="35"/>
  <c r="HE378" i="35"/>
  <c r="GJ378" i="35"/>
  <c r="GX378" i="35" s="1"/>
  <c r="CW378" i="35"/>
  <c r="GT378" i="35" s="1"/>
  <c r="CO378" i="35"/>
  <c r="O378" i="19" s="1"/>
  <c r="GP378" i="35"/>
  <c r="CU378" i="35"/>
  <c r="T378" i="19" s="1"/>
  <c r="CV378" i="35"/>
  <c r="U378" i="19" s="1"/>
  <c r="R378" i="19"/>
  <c r="GQ378" i="35"/>
  <c r="CT379" i="35"/>
  <c r="S378" i="19"/>
  <c r="N63" i="5"/>
  <c r="N65" i="5"/>
  <c r="K65" i="5" s="1"/>
  <c r="N66" i="5"/>
  <c r="K66" i="5" s="1"/>
  <c r="N64" i="5"/>
  <c r="K64" i="5" s="1"/>
  <c r="G31" i="39"/>
  <c r="G30" i="39"/>
  <c r="G32" i="39"/>
  <c r="N17" i="38"/>
  <c r="F27" i="38"/>
  <c r="F29" i="38" s="1"/>
  <c r="K67" i="5"/>
  <c r="FT294" i="35"/>
  <c r="FT155" i="35"/>
  <c r="P25" i="37"/>
  <c r="P27" i="37" s="1"/>
  <c r="I28" i="37"/>
  <c r="C29" i="37" s="1"/>
  <c r="F29" i="37" s="1"/>
  <c r="D33" i="37"/>
  <c r="A34" i="37"/>
  <c r="BY75" i="37"/>
  <c r="BX75" i="37" s="1"/>
  <c r="BZ75" i="37" s="1"/>
  <c r="B77" i="37"/>
  <c r="BL21" i="37"/>
  <c r="O17" i="34"/>
  <c r="F28" i="34"/>
  <c r="O19" i="34" s="1"/>
  <c r="O18" i="34"/>
  <c r="N17" i="32"/>
  <c r="F26" i="32"/>
  <c r="N9" i="10"/>
  <c r="X9" i="10" s="1"/>
  <c r="GN364" i="35" l="1"/>
  <c r="HJ364" i="35" s="1"/>
  <c r="Q364" i="19"/>
  <c r="AC364" i="19" s="1"/>
  <c r="GN352" i="35"/>
  <c r="HJ352" i="35" s="1"/>
  <c r="Q352" i="19"/>
  <c r="AC352" i="19" s="1"/>
  <c r="CO379" i="35"/>
  <c r="CW379" i="35"/>
  <c r="FX378" i="35"/>
  <c r="V378" i="19"/>
  <c r="GL378" i="35"/>
  <c r="GZ378" i="35" s="1"/>
  <c r="HB378" i="35" s="1"/>
  <c r="CQ378" i="35"/>
  <c r="GN378" i="35" s="1"/>
  <c r="GR378" i="35"/>
  <c r="CV379" i="35"/>
  <c r="CU379" i="35"/>
  <c r="GS378" i="35"/>
  <c r="CQ379" i="35"/>
  <c r="K67" i="38"/>
  <c r="K67" i="39" s="1"/>
  <c r="N65" i="38"/>
  <c r="N42" i="38"/>
  <c r="N43" i="38" s="1"/>
  <c r="N18" i="38"/>
  <c r="N19" i="38" s="1"/>
  <c r="N20" i="38" s="1"/>
  <c r="N21" i="38" s="1"/>
  <c r="N22" i="38" s="1"/>
  <c r="N23" i="38" s="1"/>
  <c r="N24" i="38" s="1"/>
  <c r="N25" i="38" s="1"/>
  <c r="N26" i="38" s="1"/>
  <c r="N27" i="38" s="1"/>
  <c r="N28" i="38" s="1"/>
  <c r="N29" i="38" s="1"/>
  <c r="N54" i="38"/>
  <c r="N30" i="38"/>
  <c r="N31" i="38" s="1"/>
  <c r="N51" i="39"/>
  <c r="N52" i="39" s="1"/>
  <c r="N65" i="39"/>
  <c r="N54" i="39"/>
  <c r="N55" i="39" s="1"/>
  <c r="N56" i="39" s="1"/>
  <c r="N57" i="39" s="1"/>
  <c r="N58" i="39" s="1"/>
  <c r="N59" i="39" s="1"/>
  <c r="N60" i="39" s="1"/>
  <c r="N61" i="39" s="1"/>
  <c r="N62" i="39" s="1"/>
  <c r="N63" i="39" s="1"/>
  <c r="N64" i="39" s="1"/>
  <c r="N53" i="39"/>
  <c r="N18" i="39"/>
  <c r="N19" i="39" s="1"/>
  <c r="N20" i="39" s="1"/>
  <c r="N21" i="39" s="1"/>
  <c r="N22" i="39" s="1"/>
  <c r="N23" i="39" s="1"/>
  <c r="N24" i="39" s="1"/>
  <c r="N25" i="39" s="1"/>
  <c r="N26" i="39" s="1"/>
  <c r="N27" i="39" s="1"/>
  <c r="N28" i="39" s="1"/>
  <c r="N29" i="39"/>
  <c r="N30" i="39"/>
  <c r="N31" i="39" s="1"/>
  <c r="N32" i="39" s="1"/>
  <c r="N33" i="39" s="1"/>
  <c r="N42" i="39"/>
  <c r="N43" i="39" s="1"/>
  <c r="N44" i="39" s="1"/>
  <c r="N45" i="39" s="1"/>
  <c r="N46" i="39" s="1"/>
  <c r="N47" i="39" s="1"/>
  <c r="N48" i="39" s="1"/>
  <c r="N49" i="39" s="1"/>
  <c r="N50" i="39" s="1"/>
  <c r="N41" i="39"/>
  <c r="N34" i="39"/>
  <c r="N35" i="39" s="1"/>
  <c r="N36" i="39" s="1"/>
  <c r="N37" i="39" s="1"/>
  <c r="N38" i="39" s="1"/>
  <c r="N39" i="39" s="1"/>
  <c r="N40" i="39" s="1"/>
  <c r="FT157" i="35"/>
  <c r="FT296" i="35"/>
  <c r="H29" i="37"/>
  <c r="Q26" i="37" s="1"/>
  <c r="D34" i="37"/>
  <c r="A35" i="37"/>
  <c r="BY76" i="37"/>
  <c r="BX76" i="37" s="1"/>
  <c r="BZ76" i="37" s="1"/>
  <c r="B78" i="37"/>
  <c r="BM21" i="37"/>
  <c r="G29" i="32"/>
  <c r="G30" i="32"/>
  <c r="G31" i="32"/>
  <c r="E9" i="5"/>
  <c r="Q378" i="19" l="1"/>
  <c r="AC378" i="19" s="1"/>
  <c r="HJ378" i="35"/>
  <c r="K31" i="38"/>
  <c r="K31" i="39" s="1"/>
  <c r="N32" i="38"/>
  <c r="K54" i="38"/>
  <c r="K54" i="39" s="1"/>
  <c r="N55" i="38"/>
  <c r="N56" i="38" s="1"/>
  <c r="N57" i="38" s="1"/>
  <c r="N58" i="38" s="1"/>
  <c r="N59" i="38" s="1"/>
  <c r="N60" i="38" s="1"/>
  <c r="N61" i="38" s="1"/>
  <c r="N62" i="38" s="1"/>
  <c r="N63" i="38" s="1"/>
  <c r="N64" i="38" s="1"/>
  <c r="K43" i="38"/>
  <c r="K43" i="39" s="1"/>
  <c r="N44" i="38"/>
  <c r="K18" i="38"/>
  <c r="K18" i="39" s="1"/>
  <c r="FT298" i="35"/>
  <c r="FT159" i="35"/>
  <c r="G29" i="37"/>
  <c r="Q25" i="37" s="1"/>
  <c r="Q27" i="37" s="1"/>
  <c r="D35" i="37"/>
  <c r="A36" i="37"/>
  <c r="BY77" i="37"/>
  <c r="BX77" i="37" s="1"/>
  <c r="BZ77" i="37" s="1"/>
  <c r="B79" i="37"/>
  <c r="BN21" i="37"/>
  <c r="K40" i="32"/>
  <c r="M40" i="32"/>
  <c r="M38" i="32"/>
  <c r="E9" i="23"/>
  <c r="E9" i="32"/>
  <c r="E24" i="23"/>
  <c r="E34" i="23" s="1"/>
  <c r="C2" i="7"/>
  <c r="N45" i="38" l="1"/>
  <c r="K44" i="38"/>
  <c r="K44" i="39" s="1"/>
  <c r="K32" i="38"/>
  <c r="K32" i="39" s="1"/>
  <c r="N33" i="38"/>
  <c r="K19" i="38"/>
  <c r="K19" i="39" s="1"/>
  <c r="FT161" i="35"/>
  <c r="FT300" i="35"/>
  <c r="I29" i="37"/>
  <c r="C30" i="37" s="1"/>
  <c r="H30" i="37" s="1"/>
  <c r="R26" i="37" s="1"/>
  <c r="D36" i="37"/>
  <c r="A37" i="37"/>
  <c r="BY78" i="37"/>
  <c r="BX78" i="37" s="1"/>
  <c r="BZ78" i="37" s="1"/>
  <c r="B80" i="37"/>
  <c r="BO21" i="37"/>
  <c r="K39" i="32"/>
  <c r="M39" i="32"/>
  <c r="K41" i="32"/>
  <c r="M41" i="32"/>
  <c r="E8" i="23"/>
  <c r="N8" i="23" s="1"/>
  <c r="D39" i="4"/>
  <c r="E12" i="23"/>
  <c r="N12" i="23" s="1"/>
  <c r="E11" i="23"/>
  <c r="N11" i="23" s="1"/>
  <c r="E10" i="23"/>
  <c r="N10" i="23" s="1"/>
  <c r="E13" i="23"/>
  <c r="N13" i="23" s="1"/>
  <c r="E9" i="8"/>
  <c r="E8" i="6"/>
  <c r="E8" i="20"/>
  <c r="N8" i="20" s="1"/>
  <c r="E9" i="7"/>
  <c r="E8" i="10"/>
  <c r="E8" i="9"/>
  <c r="E7" i="5"/>
  <c r="E7" i="32" l="1"/>
  <c r="N7" i="32" s="1"/>
  <c r="E7" i="38"/>
  <c r="N7" i="38" s="1"/>
  <c r="N34" i="38"/>
  <c r="K33" i="38"/>
  <c r="K33" i="39" s="1"/>
  <c r="N46" i="38"/>
  <c r="K45" i="38"/>
  <c r="K45" i="39" s="1"/>
  <c r="K20" i="38"/>
  <c r="K20" i="39" s="1"/>
  <c r="FT302" i="35"/>
  <c r="FT163" i="35"/>
  <c r="F30" i="37"/>
  <c r="G30" i="37" s="1"/>
  <c r="R25" i="37" s="1"/>
  <c r="R27" i="37" s="1"/>
  <c r="D37" i="37"/>
  <c r="A38" i="37"/>
  <c r="BY79" i="37"/>
  <c r="BX79" i="37" s="1"/>
  <c r="BZ79" i="37" s="1"/>
  <c r="B81" i="37"/>
  <c r="BP21" i="37"/>
  <c r="K42" i="32"/>
  <c r="M42" i="32"/>
  <c r="E7" i="23"/>
  <c r="N7" i="23" s="1"/>
  <c r="I29" i="26"/>
  <c r="F15" i="23"/>
  <c r="F17" i="23" s="1"/>
  <c r="E7" i="9"/>
  <c r="E6" i="9"/>
  <c r="K46" i="38" l="1"/>
  <c r="K46" i="39" s="1"/>
  <c r="N47" i="38"/>
  <c r="K34" i="38"/>
  <c r="K34" i="39" s="1"/>
  <c r="N35" i="38"/>
  <c r="K21" i="38"/>
  <c r="K21" i="39" s="1"/>
  <c r="FT165" i="35"/>
  <c r="FT304" i="35"/>
  <c r="I30" i="37"/>
  <c r="C31" i="37" s="1"/>
  <c r="F31" i="37" s="1"/>
  <c r="D38" i="37"/>
  <c r="A39" i="37"/>
  <c r="BY80" i="37"/>
  <c r="BX80" i="37" s="1"/>
  <c r="BZ80" i="37" s="1"/>
  <c r="B82" i="37"/>
  <c r="BQ21" i="37"/>
  <c r="K43" i="32"/>
  <c r="M43" i="32"/>
  <c r="I27" i="25"/>
  <c r="F22" i="23"/>
  <c r="F50" i="23" s="1"/>
  <c r="I30" i="31"/>
  <c r="I30" i="26"/>
  <c r="I31" i="26"/>
  <c r="I30" i="25"/>
  <c r="D1" i="5"/>
  <c r="R28" i="7"/>
  <c r="M28" i="7"/>
  <c r="C1" i="10"/>
  <c r="L1" i="10" s="1"/>
  <c r="U1" i="10" s="1"/>
  <c r="P83" i="10"/>
  <c r="K83" i="10"/>
  <c r="C2" i="8"/>
  <c r="C1" i="9"/>
  <c r="N17" i="9" s="1"/>
  <c r="N18" i="9" s="1"/>
  <c r="Q28" i="8"/>
  <c r="L28" i="8"/>
  <c r="E8" i="8"/>
  <c r="E7" i="8"/>
  <c r="E8" i="7"/>
  <c r="E7" i="7"/>
  <c r="O28" i="6"/>
  <c r="J28" i="6"/>
  <c r="E54" i="23" l="1"/>
  <c r="F54" i="23" s="1"/>
  <c r="E56" i="23"/>
  <c r="F56" i="23" s="1"/>
  <c r="E55" i="23"/>
  <c r="F55" i="23" s="1"/>
  <c r="E53" i="23"/>
  <c r="F53" i="23" s="1"/>
  <c r="K35" i="38"/>
  <c r="K35" i="39" s="1"/>
  <c r="N36" i="38"/>
  <c r="N48" i="38"/>
  <c r="K47" i="38"/>
  <c r="K47" i="39" s="1"/>
  <c r="K55" i="38"/>
  <c r="K55" i="39" s="1"/>
  <c r="K22" i="38"/>
  <c r="K22" i="39" s="1"/>
  <c r="FT306" i="35"/>
  <c r="FT167" i="35"/>
  <c r="H31" i="37"/>
  <c r="S26" i="37" s="1"/>
  <c r="D39" i="37"/>
  <c r="A40" i="37"/>
  <c r="BY81" i="37"/>
  <c r="BX81" i="37" s="1"/>
  <c r="BZ81" i="37" s="1"/>
  <c r="B83" i="37"/>
  <c r="BR21" i="37"/>
  <c r="K44" i="32"/>
  <c r="M44" i="32"/>
  <c r="F26" i="23"/>
  <c r="N73" i="23" s="1"/>
  <c r="F24" i="23"/>
  <c r="I31" i="25"/>
  <c r="I29" i="25"/>
  <c r="F33" i="32"/>
  <c r="A114" i="23"/>
  <c r="C1" i="5"/>
  <c r="E11" i="20"/>
  <c r="N11" i="20" s="1"/>
  <c r="E12" i="20"/>
  <c r="N12" i="20" s="1"/>
  <c r="N17" i="10"/>
  <c r="M17" i="10"/>
  <c r="C2" i="5"/>
  <c r="C2" i="6"/>
  <c r="L17" i="6" s="1"/>
  <c r="E7" i="6"/>
  <c r="E6" i="6"/>
  <c r="E6" i="5"/>
  <c r="E6" i="38" s="1"/>
  <c r="N6" i="38" s="1"/>
  <c r="O79" i="5"/>
  <c r="K79" i="5"/>
  <c r="M17" i="5" l="1"/>
  <c r="W17" i="5" s="1"/>
  <c r="X17" i="5" s="1"/>
  <c r="C2" i="38"/>
  <c r="N49" i="38"/>
  <c r="K48" i="38"/>
  <c r="K48" i="39" s="1"/>
  <c r="N37" i="38"/>
  <c r="K36" i="38"/>
  <c r="K36" i="39" s="1"/>
  <c r="K23" i="38"/>
  <c r="K23" i="39" s="1"/>
  <c r="K56" i="38"/>
  <c r="K56" i="39" s="1"/>
  <c r="FT169" i="35"/>
  <c r="FT308" i="35"/>
  <c r="G31" i="37"/>
  <c r="I31" i="37" s="1"/>
  <c r="C32" i="37" s="1"/>
  <c r="F32" i="37" s="1"/>
  <c r="D40" i="37"/>
  <c r="A41" i="37"/>
  <c r="BY82" i="37"/>
  <c r="BX82" i="37" s="1"/>
  <c r="BZ82" i="37" s="1"/>
  <c r="B84" i="37"/>
  <c r="BS21" i="37"/>
  <c r="K45" i="32"/>
  <c r="M45" i="32"/>
  <c r="F27" i="23"/>
  <c r="G32" i="23" s="1"/>
  <c r="E6" i="23"/>
  <c r="N6" i="23" s="1"/>
  <c r="E6" i="32"/>
  <c r="N6" i="32" s="1"/>
  <c r="F38" i="32"/>
  <c r="G38" i="32" s="1"/>
  <c r="F40" i="32"/>
  <c r="G40" i="32" s="1"/>
  <c r="N74" i="32"/>
  <c r="F39" i="32"/>
  <c r="G39" i="32" s="1"/>
  <c r="F41" i="32"/>
  <c r="G41" i="32" s="1"/>
  <c r="L18" i="6"/>
  <c r="E26" i="7"/>
  <c r="F17" i="7" s="1"/>
  <c r="E25" i="6"/>
  <c r="E30" i="5"/>
  <c r="F30" i="5" s="1"/>
  <c r="E10" i="10"/>
  <c r="E10" i="9"/>
  <c r="E11" i="7"/>
  <c r="K13" i="13"/>
  <c r="D25" i="13" s="1"/>
  <c r="E10" i="20"/>
  <c r="N10" i="20" s="1"/>
  <c r="E11" i="8"/>
  <c r="E10" i="6"/>
  <c r="D24" i="13"/>
  <c r="F15" i="20"/>
  <c r="A239" i="5"/>
  <c r="E13" i="20"/>
  <c r="N13" i="20" s="1"/>
  <c r="F26" i="6"/>
  <c r="F27" i="8"/>
  <c r="F27" i="7"/>
  <c r="E14" i="8"/>
  <c r="E13" i="6"/>
  <c r="E13" i="10"/>
  <c r="E13" i="9"/>
  <c r="E14" i="7"/>
  <c r="E11" i="10"/>
  <c r="E11" i="9"/>
  <c r="E12" i="7"/>
  <c r="E11" i="6"/>
  <c r="E12" i="8"/>
  <c r="O12" i="8" s="1"/>
  <c r="E13" i="8"/>
  <c r="E12" i="6"/>
  <c r="E12" i="10"/>
  <c r="E12" i="9"/>
  <c r="E13" i="7"/>
  <c r="E7" i="10"/>
  <c r="E6" i="10"/>
  <c r="L2" i="38" l="1"/>
  <c r="M17" i="38"/>
  <c r="W17" i="38" s="1"/>
  <c r="N38" i="38"/>
  <c r="K37" i="38"/>
  <c r="K37" i="39" s="1"/>
  <c r="K49" i="38"/>
  <c r="K49" i="39" s="1"/>
  <c r="N50" i="38"/>
  <c r="K57" i="38"/>
  <c r="K57" i="39" s="1"/>
  <c r="K24" i="38"/>
  <c r="K24" i="39" s="1"/>
  <c r="FT310" i="35"/>
  <c r="FT171" i="35"/>
  <c r="H32" i="37"/>
  <c r="G32" i="37" s="1"/>
  <c r="T25" i="37" s="1"/>
  <c r="S25" i="37"/>
  <c r="S27" i="37" s="1"/>
  <c r="D41" i="37"/>
  <c r="A42" i="37"/>
  <c r="BY83" i="37"/>
  <c r="BX83" i="37" s="1"/>
  <c r="BZ83" i="37" s="1"/>
  <c r="B85" i="37"/>
  <c r="B86" i="37" s="1"/>
  <c r="B87" i="37" s="1"/>
  <c r="B88" i="37" s="1"/>
  <c r="B89" i="37" s="1"/>
  <c r="B90" i="37" s="1"/>
  <c r="B91" i="37" s="1"/>
  <c r="B92" i="37" s="1"/>
  <c r="B93" i="37" s="1"/>
  <c r="B94" i="37" s="1"/>
  <c r="B95" i="37" s="1"/>
  <c r="B96" i="37" s="1"/>
  <c r="B97" i="37" s="1"/>
  <c r="B98" i="37" s="1"/>
  <c r="B99" i="37" s="1"/>
  <c r="B100" i="37" s="1"/>
  <c r="B101" i="37" s="1"/>
  <c r="B102" i="37" s="1"/>
  <c r="B103" i="37" s="1"/>
  <c r="B104" i="37" s="1"/>
  <c r="B105" i="37" s="1"/>
  <c r="B106" i="37" s="1"/>
  <c r="B107" i="37" s="1"/>
  <c r="B108" i="37" s="1"/>
  <c r="B109" i="37" s="1"/>
  <c r="B110" i="37" s="1"/>
  <c r="B111" i="37" s="1"/>
  <c r="B112" i="37" s="1"/>
  <c r="B113" i="37" s="1"/>
  <c r="B114" i="37" s="1"/>
  <c r="B115" i="37" s="1"/>
  <c r="B116" i="37" s="1"/>
  <c r="B117" i="37" s="1"/>
  <c r="B118" i="37" s="1"/>
  <c r="B119" i="37" s="1"/>
  <c r="B120" i="37" s="1"/>
  <c r="B121" i="37" s="1"/>
  <c r="B122" i="37" s="1"/>
  <c r="B123" i="37" s="1"/>
  <c r="B124" i="37" s="1"/>
  <c r="B125" i="37" s="1"/>
  <c r="B126" i="37" s="1"/>
  <c r="B127" i="37" s="1"/>
  <c r="B128" i="37" s="1"/>
  <c r="B129" i="37" s="1"/>
  <c r="B130" i="37" s="1"/>
  <c r="B131" i="37" s="1"/>
  <c r="B132" i="37" s="1"/>
  <c r="B133" i="37" s="1"/>
  <c r="B134" i="37" s="1"/>
  <c r="B135" i="37" s="1"/>
  <c r="B136" i="37" s="1"/>
  <c r="B137" i="37" s="1"/>
  <c r="B138" i="37" s="1"/>
  <c r="B139" i="37" s="1"/>
  <c r="B140" i="37" s="1"/>
  <c r="B141" i="37" s="1"/>
  <c r="B142" i="37" s="1"/>
  <c r="B143" i="37" s="1"/>
  <c r="B144" i="37" s="1"/>
  <c r="BT21" i="37"/>
  <c r="K46" i="32"/>
  <c r="M46" i="32"/>
  <c r="F19" i="7"/>
  <c r="I29" i="27" s="1"/>
  <c r="I28" i="27"/>
  <c r="F20" i="20"/>
  <c r="I30" i="30" s="1"/>
  <c r="F17" i="20"/>
  <c r="G30" i="23"/>
  <c r="G31" i="23"/>
  <c r="K20" i="32"/>
  <c r="M20" i="32"/>
  <c r="K31" i="32"/>
  <c r="M31" i="32"/>
  <c r="K24" i="32"/>
  <c r="M24" i="32"/>
  <c r="K18" i="32"/>
  <c r="M18" i="32"/>
  <c r="E30" i="7"/>
  <c r="I32" i="25"/>
  <c r="I27" i="30"/>
  <c r="F34" i="23"/>
  <c r="F39" i="23" s="1"/>
  <c r="G39" i="23" s="1"/>
  <c r="I32" i="26"/>
  <c r="D43" i="10"/>
  <c r="D42" i="10"/>
  <c r="D41" i="10"/>
  <c r="D40" i="10"/>
  <c r="N8" i="10"/>
  <c r="X8" i="10" s="1"/>
  <c r="N7" i="10"/>
  <c r="X7" i="10" s="1"/>
  <c r="N6" i="10"/>
  <c r="X6" i="10" s="1"/>
  <c r="O13" i="9"/>
  <c r="O12" i="9"/>
  <c r="O11" i="9"/>
  <c r="O10" i="9"/>
  <c r="O9" i="9"/>
  <c r="O8" i="9"/>
  <c r="O7" i="9"/>
  <c r="O6" i="9"/>
  <c r="M1" i="9"/>
  <c r="O18" i="8"/>
  <c r="O14" i="8"/>
  <c r="O13" i="8"/>
  <c r="O10" i="8"/>
  <c r="O9" i="8"/>
  <c r="O8" i="8"/>
  <c r="O7" i="8"/>
  <c r="Q2" i="8"/>
  <c r="M2" i="8"/>
  <c r="D38" i="7"/>
  <c r="D37" i="7"/>
  <c r="D36" i="7"/>
  <c r="P14" i="7"/>
  <c r="P13" i="7"/>
  <c r="P12" i="7"/>
  <c r="P10" i="7"/>
  <c r="P9" i="7"/>
  <c r="P8" i="7"/>
  <c r="P7" i="7"/>
  <c r="Q2" i="7"/>
  <c r="K2" i="6"/>
  <c r="M6" i="6"/>
  <c r="M7" i="6"/>
  <c r="M8" i="6"/>
  <c r="M9" i="6"/>
  <c r="M11" i="6"/>
  <c r="M12" i="6"/>
  <c r="M13" i="6"/>
  <c r="E29" i="6"/>
  <c r="D35" i="6"/>
  <c r="D36" i="6"/>
  <c r="D37" i="6"/>
  <c r="D37" i="5"/>
  <c r="D36" i="5"/>
  <c r="D35" i="5"/>
  <c r="N13" i="5"/>
  <c r="N12" i="5"/>
  <c r="N11" i="5"/>
  <c r="N9" i="5"/>
  <c r="N7" i="5"/>
  <c r="N6" i="5"/>
  <c r="L2" i="5"/>
  <c r="N17" i="5"/>
  <c r="AG17" i="5" s="1"/>
  <c r="AI17" i="5" s="1"/>
  <c r="Y19" i="38" l="1"/>
  <c r="AA20" i="38"/>
  <c r="W18" i="38" s="1"/>
  <c r="Y20" i="38"/>
  <c r="X17" i="38"/>
  <c r="AA19" i="38" s="1"/>
  <c r="M75" i="38" s="1"/>
  <c r="N51" i="38"/>
  <c r="K50" i="38"/>
  <c r="K50" i="39" s="1"/>
  <c r="N39" i="38"/>
  <c r="K38" i="38"/>
  <c r="K38" i="39" s="1"/>
  <c r="K25" i="38"/>
  <c r="K25" i="39" s="1"/>
  <c r="K58" i="38"/>
  <c r="K58" i="39" s="1"/>
  <c r="FT173" i="35"/>
  <c r="FT312" i="35"/>
  <c r="T26" i="37"/>
  <c r="T27" i="37" s="1"/>
  <c r="I32" i="37"/>
  <c r="C33" i="37" s="1"/>
  <c r="F33" i="37" s="1"/>
  <c r="D42" i="37"/>
  <c r="A43" i="37"/>
  <c r="BY84" i="37"/>
  <c r="BX84" i="37" s="1"/>
  <c r="BZ84" i="37" s="1"/>
  <c r="M47" i="32"/>
  <c r="K47" i="32"/>
  <c r="E20" i="7"/>
  <c r="F24" i="7" s="1"/>
  <c r="F47" i="7" s="1"/>
  <c r="F22" i="20"/>
  <c r="F24" i="20" s="1"/>
  <c r="F26" i="20" s="1"/>
  <c r="G18" i="20"/>
  <c r="AA19" i="5"/>
  <c r="K32" i="32"/>
  <c r="M32" i="32"/>
  <c r="K25" i="32"/>
  <c r="M25" i="32"/>
  <c r="M21" i="32"/>
  <c r="K21" i="32"/>
  <c r="K19" i="32"/>
  <c r="M19" i="32"/>
  <c r="I29" i="30"/>
  <c r="F41" i="23"/>
  <c r="G41" i="23" s="1"/>
  <c r="F42" i="23"/>
  <c r="G42" i="23" s="1"/>
  <c r="N74" i="23"/>
  <c r="F40" i="23"/>
  <c r="G40" i="23" s="1"/>
  <c r="AA20" i="5"/>
  <c r="W18" i="5" s="1"/>
  <c r="W19" i="5" s="1"/>
  <c r="W20" i="5" s="1"/>
  <c r="W21" i="5" s="1"/>
  <c r="W22" i="5" s="1"/>
  <c r="W23" i="5" s="1"/>
  <c r="W24" i="5" s="1"/>
  <c r="W25" i="5" s="1"/>
  <c r="W26" i="5" s="1"/>
  <c r="W27" i="5" s="1"/>
  <c r="W28" i="5" s="1"/>
  <c r="W29" i="5" s="1"/>
  <c r="W30" i="5" s="1"/>
  <c r="W31" i="5" s="1"/>
  <c r="W32" i="5" s="1"/>
  <c r="W33" i="5" s="1"/>
  <c r="W34" i="5" s="1"/>
  <c r="W35" i="5" s="1"/>
  <c r="W36" i="5" s="1"/>
  <c r="W37" i="5" s="1"/>
  <c r="W38" i="5" s="1"/>
  <c r="W39" i="5" s="1"/>
  <c r="W40" i="5" s="1"/>
  <c r="W41" i="5" s="1"/>
  <c r="W42" i="5" s="1"/>
  <c r="W43" i="5" s="1"/>
  <c r="W44" i="5" s="1"/>
  <c r="W45" i="5" s="1"/>
  <c r="W46" i="5" s="1"/>
  <c r="W47" i="5" s="1"/>
  <c r="W48" i="5" s="1"/>
  <c r="W49" i="5" s="1"/>
  <c r="W50" i="5" s="1"/>
  <c r="W51" i="5" s="1"/>
  <c r="W52" i="5" s="1"/>
  <c r="W53" i="5" s="1"/>
  <c r="W54" i="5" s="1"/>
  <c r="Y20" i="5"/>
  <c r="N2" i="7"/>
  <c r="O18" i="7"/>
  <c r="N18" i="8"/>
  <c r="N19" i="8" s="1"/>
  <c r="E53" i="7" l="1"/>
  <c r="F53" i="7" s="1"/>
  <c r="E52" i="7"/>
  <c r="F52" i="7" s="1"/>
  <c r="E51" i="7"/>
  <c r="F51" i="7" s="1"/>
  <c r="E50" i="7"/>
  <c r="F50" i="7" s="1"/>
  <c r="I32" i="27"/>
  <c r="W19" i="38"/>
  <c r="M18" i="38"/>
  <c r="M18" i="39" s="1"/>
  <c r="N40" i="38"/>
  <c r="K39" i="38"/>
  <c r="K39" i="39" s="1"/>
  <c r="K51" i="38"/>
  <c r="K51" i="39" s="1"/>
  <c r="N52" i="38"/>
  <c r="K59" i="38"/>
  <c r="K59" i="39" s="1"/>
  <c r="K42" i="38"/>
  <c r="K42" i="39" s="1"/>
  <c r="K26" i="38"/>
  <c r="K26" i="39" s="1"/>
  <c r="FT314" i="35"/>
  <c r="FT175" i="35"/>
  <c r="H33" i="37"/>
  <c r="G33" i="37" s="1"/>
  <c r="U25" i="37" s="1"/>
  <c r="D43" i="37"/>
  <c r="A44" i="37"/>
  <c r="M48" i="32"/>
  <c r="K48" i="32"/>
  <c r="I31" i="27"/>
  <c r="F26" i="7"/>
  <c r="F28" i="7" s="1"/>
  <c r="F30" i="7"/>
  <c r="M22" i="32"/>
  <c r="K22" i="32"/>
  <c r="K26" i="32"/>
  <c r="M26" i="32"/>
  <c r="M33" i="32"/>
  <c r="K33" i="32"/>
  <c r="I31" i="30"/>
  <c r="K30" i="23"/>
  <c r="M42" i="23"/>
  <c r="K42" i="23"/>
  <c r="M50" i="23"/>
  <c r="K50" i="23"/>
  <c r="M31" i="23"/>
  <c r="K31" i="23"/>
  <c r="M36" i="23"/>
  <c r="K36" i="23"/>
  <c r="M43" i="23"/>
  <c r="K43" i="23"/>
  <c r="M46" i="23"/>
  <c r="K46" i="23"/>
  <c r="M39" i="23"/>
  <c r="K39" i="23"/>
  <c r="M37" i="23"/>
  <c r="K37" i="23"/>
  <c r="M40" i="23"/>
  <c r="K40" i="23"/>
  <c r="M49" i="23"/>
  <c r="K49" i="23"/>
  <c r="M44" i="23"/>
  <c r="K44" i="23"/>
  <c r="M52" i="23"/>
  <c r="K52" i="23"/>
  <c r="K33" i="23"/>
  <c r="M33" i="23"/>
  <c r="M34" i="23"/>
  <c r="K34" i="23"/>
  <c r="M48" i="23"/>
  <c r="K48" i="23"/>
  <c r="M45" i="23"/>
  <c r="K45" i="23"/>
  <c r="M35" i="23"/>
  <c r="K35" i="23"/>
  <c r="M32" i="23"/>
  <c r="K32" i="23"/>
  <c r="M38" i="23"/>
  <c r="K38" i="23"/>
  <c r="M41" i="23"/>
  <c r="K41" i="23"/>
  <c r="M47" i="23"/>
  <c r="K47" i="23"/>
  <c r="A51" i="20"/>
  <c r="O19" i="7"/>
  <c r="F15" i="9"/>
  <c r="F16" i="8"/>
  <c r="F22" i="8" s="1"/>
  <c r="F15" i="6"/>
  <c r="F15" i="10"/>
  <c r="N10" i="10"/>
  <c r="X10" i="10" s="1"/>
  <c r="N10" i="5"/>
  <c r="N11" i="10"/>
  <c r="X11" i="10" s="1"/>
  <c r="W20" i="38" l="1"/>
  <c r="M19" i="38"/>
  <c r="M19" i="39" s="1"/>
  <c r="N53" i="38"/>
  <c r="K52" i="38"/>
  <c r="K52" i="39" s="1"/>
  <c r="N41" i="38"/>
  <c r="K40" i="38"/>
  <c r="K40" i="39" s="1"/>
  <c r="K27" i="38"/>
  <c r="K27" i="39" s="1"/>
  <c r="K60" i="38"/>
  <c r="K60" i="39" s="1"/>
  <c r="FT177" i="35"/>
  <c r="FT316" i="35"/>
  <c r="CJ32" i="37"/>
  <c r="FC2" i="35" s="1"/>
  <c r="FC4" i="35" s="1"/>
  <c r="U26" i="37"/>
  <c r="U27" i="37" s="1"/>
  <c r="I33" i="37"/>
  <c r="C34" i="37" s="1"/>
  <c r="H34" i="37" s="1"/>
  <c r="V26" i="37" s="1"/>
  <c r="D44" i="37"/>
  <c r="A45" i="37"/>
  <c r="M49" i="32"/>
  <c r="K49" i="32"/>
  <c r="F16" i="6"/>
  <c r="I28" i="13" s="1"/>
  <c r="F16" i="9"/>
  <c r="F18" i="9" s="1"/>
  <c r="F20" i="9" s="1"/>
  <c r="F21" i="9"/>
  <c r="F17" i="8"/>
  <c r="F19" i="8" s="1"/>
  <c r="F16" i="10"/>
  <c r="F18" i="10" s="1"/>
  <c r="F23" i="10" s="1"/>
  <c r="M26" i="23"/>
  <c r="K26" i="23"/>
  <c r="K25" i="23"/>
  <c r="M25" i="23"/>
  <c r="K28" i="23"/>
  <c r="M29" i="23"/>
  <c r="M28" i="23"/>
  <c r="K29" i="23"/>
  <c r="M34" i="32"/>
  <c r="K34" i="32"/>
  <c r="K18" i="23"/>
  <c r="K27" i="32"/>
  <c r="M27" i="32"/>
  <c r="K27" i="23"/>
  <c r="M24" i="23"/>
  <c r="M30" i="23"/>
  <c r="M27" i="23"/>
  <c r="K24" i="23"/>
  <c r="K23" i="32"/>
  <c r="M23" i="32"/>
  <c r="M18" i="23"/>
  <c r="I27" i="31"/>
  <c r="I27" i="28"/>
  <c r="I27" i="29"/>
  <c r="I30" i="13"/>
  <c r="I27" i="13"/>
  <c r="I30" i="27"/>
  <c r="O11" i="8"/>
  <c r="M10" i="6"/>
  <c r="P11" i="7"/>
  <c r="N13" i="10"/>
  <c r="X13" i="10" s="1"/>
  <c r="N12" i="10"/>
  <c r="X12" i="10" s="1"/>
  <c r="W21" i="38" l="1"/>
  <c r="M20" i="38"/>
  <c r="M20" i="39" s="1"/>
  <c r="K61" i="38"/>
  <c r="K61" i="39" s="1"/>
  <c r="K28" i="38"/>
  <c r="K28" i="39" s="1"/>
  <c r="FT318" i="35"/>
  <c r="FT179" i="35"/>
  <c r="FC3" i="35"/>
  <c r="FC5" i="35" s="1"/>
  <c r="F34" i="37"/>
  <c r="G34" i="37" s="1"/>
  <c r="V25" i="37" s="1"/>
  <c r="V27" i="37" s="1"/>
  <c r="D45" i="37"/>
  <c r="A46" i="37"/>
  <c r="K50" i="32"/>
  <c r="M50" i="32"/>
  <c r="F18" i="6"/>
  <c r="I28" i="29"/>
  <c r="I28" i="31"/>
  <c r="F23" i="9"/>
  <c r="F25" i="9" s="1"/>
  <c r="F27" i="9" s="1"/>
  <c r="F24" i="8"/>
  <c r="F26" i="8" s="1"/>
  <c r="F28" i="8" s="1"/>
  <c r="F27" i="10"/>
  <c r="N75" i="10" s="1"/>
  <c r="F25" i="10"/>
  <c r="F35" i="10"/>
  <c r="M28" i="32"/>
  <c r="K28" i="32"/>
  <c r="M19" i="23"/>
  <c r="K19" i="23"/>
  <c r="M35" i="32"/>
  <c r="K35" i="32"/>
  <c r="I28" i="28"/>
  <c r="I29" i="31"/>
  <c r="I32" i="30"/>
  <c r="I30" i="28"/>
  <c r="I30" i="29"/>
  <c r="N73" i="5"/>
  <c r="E38" i="5"/>
  <c r="F38" i="5" s="1"/>
  <c r="A50" i="7"/>
  <c r="A114" i="10"/>
  <c r="W22" i="38" l="1"/>
  <c r="M21" i="38"/>
  <c r="M21" i="39" s="1"/>
  <c r="K62" i="38"/>
  <c r="K62" i="39" s="1"/>
  <c r="FT181" i="35"/>
  <c r="FT320" i="35"/>
  <c r="I34" i="37"/>
  <c r="C35" i="37" s="1"/>
  <c r="F35" i="37" s="1"/>
  <c r="D46" i="37"/>
  <c r="A47" i="37"/>
  <c r="E19" i="6"/>
  <c r="F28" i="10"/>
  <c r="G31" i="10" s="1"/>
  <c r="M36" i="32"/>
  <c r="K36" i="32"/>
  <c r="M20" i="23"/>
  <c r="K20" i="23"/>
  <c r="K29" i="32"/>
  <c r="M29" i="32"/>
  <c r="I29" i="13"/>
  <c r="I31" i="31"/>
  <c r="F19" i="9"/>
  <c r="I31" i="29" s="1"/>
  <c r="I29" i="29"/>
  <c r="F20" i="8"/>
  <c r="I31" i="28" s="1"/>
  <c r="I29" i="28"/>
  <c r="I32" i="31"/>
  <c r="A72" i="8"/>
  <c r="A74" i="8"/>
  <c r="A57" i="9"/>
  <c r="A55" i="9"/>
  <c r="W23" i="38" l="1"/>
  <c r="M22" i="38"/>
  <c r="M22" i="39" s="1"/>
  <c r="K63" i="38"/>
  <c r="K63" i="39" s="1"/>
  <c r="K30" i="38"/>
  <c r="K30" i="39" s="1"/>
  <c r="FT322" i="35"/>
  <c r="FT183" i="35"/>
  <c r="H35" i="37"/>
  <c r="W26" i="37" s="1"/>
  <c r="D47" i="37"/>
  <c r="A48" i="37"/>
  <c r="F23" i="6"/>
  <c r="F46" i="6" s="1"/>
  <c r="G32" i="10"/>
  <c r="G33" i="10"/>
  <c r="K21" i="23"/>
  <c r="M21" i="23"/>
  <c r="K30" i="32"/>
  <c r="M30" i="32"/>
  <c r="M37" i="32"/>
  <c r="K37" i="32"/>
  <c r="K38" i="32" s="1"/>
  <c r="E37" i="5"/>
  <c r="F37" i="5" s="1"/>
  <c r="E39" i="7"/>
  <c r="F39" i="7" s="1"/>
  <c r="I32" i="29"/>
  <c r="I32" i="28"/>
  <c r="E36" i="5"/>
  <c r="F36" i="5" s="1"/>
  <c r="E35" i="5"/>
  <c r="F35" i="5" s="1"/>
  <c r="E50" i="6" l="1"/>
  <c r="F50" i="6" s="1"/>
  <c r="E49" i="6"/>
  <c r="F49" i="6" s="1"/>
  <c r="E52" i="6"/>
  <c r="F52" i="6" s="1"/>
  <c r="E51" i="6"/>
  <c r="F51" i="6" s="1"/>
  <c r="W24" i="38"/>
  <c r="M23" i="38"/>
  <c r="M23" i="39" s="1"/>
  <c r="K64" i="38"/>
  <c r="K64" i="39" s="1"/>
  <c r="FT185" i="35"/>
  <c r="FT324" i="35"/>
  <c r="G35" i="37"/>
  <c r="W25" i="37" s="1"/>
  <c r="W27" i="37" s="1"/>
  <c r="D48" i="37"/>
  <c r="A49" i="37"/>
  <c r="I32" i="13"/>
  <c r="F25" i="6"/>
  <c r="F27" i="6" s="1"/>
  <c r="F29" i="6"/>
  <c r="K22" i="23"/>
  <c r="M22" i="23"/>
  <c r="F42" i="10"/>
  <c r="G42" i="10" s="1"/>
  <c r="N76" i="10"/>
  <c r="E36" i="7"/>
  <c r="F36" i="7" s="1"/>
  <c r="P20" i="7"/>
  <c r="O18" i="9"/>
  <c r="F43" i="10"/>
  <c r="G43" i="10" s="1"/>
  <c r="F40" i="10"/>
  <c r="G40" i="10" s="1"/>
  <c r="F41" i="10"/>
  <c r="G41" i="10" s="1"/>
  <c r="E37" i="7"/>
  <c r="F37" i="7" s="1"/>
  <c r="E38" i="7"/>
  <c r="F38" i="7" s="1"/>
  <c r="O19" i="8"/>
  <c r="W25" i="38" l="1"/>
  <c r="M24" i="38"/>
  <c r="M24" i="39" s="1"/>
  <c r="FT326" i="35"/>
  <c r="FT187" i="35"/>
  <c r="I35" i="37"/>
  <c r="C36" i="37" s="1"/>
  <c r="H36" i="37" s="1"/>
  <c r="X26" i="37" s="1"/>
  <c r="D49" i="37"/>
  <c r="A50" i="37"/>
  <c r="M23" i="23"/>
  <c r="K23" i="23"/>
  <c r="P19" i="7"/>
  <c r="A53" i="6"/>
  <c r="I31" i="13" s="1"/>
  <c r="W26" i="38" l="1"/>
  <c r="M25" i="38"/>
  <c r="M25" i="39" s="1"/>
  <c r="K66" i="38"/>
  <c r="K66" i="39" s="1"/>
  <c r="F36" i="37"/>
  <c r="G36" i="37" s="1"/>
  <c r="FT189" i="35"/>
  <c r="FT328" i="35"/>
  <c r="D50" i="37"/>
  <c r="A51" i="37"/>
  <c r="W27" i="38" l="1"/>
  <c r="M26" i="38"/>
  <c r="M26" i="39" s="1"/>
  <c r="N77" i="38"/>
  <c r="FT330" i="35"/>
  <c r="FT191" i="35"/>
  <c r="X25" i="37"/>
  <c r="X27" i="37" s="1"/>
  <c r="I36" i="37"/>
  <c r="C37" i="37" s="1"/>
  <c r="D51" i="37"/>
  <c r="A52" i="37"/>
  <c r="W28" i="38" l="1"/>
  <c r="M27" i="38"/>
  <c r="M27" i="39" s="1"/>
  <c r="FT193" i="35"/>
  <c r="FT332" i="35"/>
  <c r="H37" i="37"/>
  <c r="Y26" i="37" s="1"/>
  <c r="F37" i="37"/>
  <c r="D52" i="37"/>
  <c r="A53" i="37"/>
  <c r="M19" i="6"/>
  <c r="E38" i="6"/>
  <c r="F38" i="6" s="1"/>
  <c r="E36" i="6"/>
  <c r="F36" i="6" s="1"/>
  <c r="E35" i="6"/>
  <c r="F35" i="6" s="1"/>
  <c r="E37" i="6"/>
  <c r="F37" i="6" s="1"/>
  <c r="W29" i="38" l="1"/>
  <c r="M28" i="38"/>
  <c r="M28" i="39" s="1"/>
  <c r="FT334" i="35"/>
  <c r="FT195" i="35"/>
  <c r="G37" i="37"/>
  <c r="Y25" i="37" s="1"/>
  <c r="Y27" i="37" s="1"/>
  <c r="D53" i="37"/>
  <c r="A54" i="37"/>
  <c r="M18" i="6"/>
  <c r="W30" i="38" l="1"/>
  <c r="M29" i="38"/>
  <c r="M29" i="39" s="1"/>
  <c r="FT197" i="35"/>
  <c r="FT336" i="35"/>
  <c r="I37" i="37"/>
  <c r="C38" i="37" s="1"/>
  <c r="F38" i="37" s="1"/>
  <c r="D54" i="37"/>
  <c r="A55" i="37"/>
  <c r="W31" i="38" l="1"/>
  <c r="M30" i="38"/>
  <c r="M30" i="39" s="1"/>
  <c r="FT338" i="35"/>
  <c r="FT199" i="35"/>
  <c r="H38" i="37"/>
  <c r="Z26" i="37" s="1"/>
  <c r="D55" i="37"/>
  <c r="A56" i="37"/>
  <c r="W32" i="38" l="1"/>
  <c r="M31" i="38"/>
  <c r="M31" i="39" s="1"/>
  <c r="FT201" i="35"/>
  <c r="FT340" i="35"/>
  <c r="G38" i="37"/>
  <c r="Z25" i="37" s="1"/>
  <c r="Z27" i="37" s="1"/>
  <c r="D56" i="37"/>
  <c r="A57" i="37"/>
  <c r="W33" i="38" l="1"/>
  <c r="M32" i="38"/>
  <c r="M32" i="39" s="1"/>
  <c r="I38" i="37"/>
  <c r="C39" i="37" s="1"/>
  <c r="F39" i="37" s="1"/>
  <c r="FT342" i="35"/>
  <c r="FT203" i="35"/>
  <c r="D57" i="37"/>
  <c r="A58" i="37"/>
  <c r="W34" i="38" l="1"/>
  <c r="M33" i="38"/>
  <c r="M33" i="39" s="1"/>
  <c r="H39" i="37"/>
  <c r="AA26" i="37" s="1"/>
  <c r="FT205" i="35"/>
  <c r="FT344" i="35"/>
  <c r="D58" i="37"/>
  <c r="A59" i="37"/>
  <c r="W35" i="38" l="1"/>
  <c r="M34" i="38"/>
  <c r="M34" i="39" s="1"/>
  <c r="G39" i="37"/>
  <c r="AA25" i="37" s="1"/>
  <c r="AA27" i="37" s="1"/>
  <c r="FT346" i="35"/>
  <c r="FT207" i="35"/>
  <c r="D59" i="37"/>
  <c r="A60" i="37"/>
  <c r="I39" i="37" l="1"/>
  <c r="C40" i="37" s="1"/>
  <c r="H40" i="37" s="1"/>
  <c r="AB26" i="37" s="1"/>
  <c r="W36" i="38"/>
  <c r="M35" i="38"/>
  <c r="M35" i="39" s="1"/>
  <c r="FT209" i="35"/>
  <c r="FT348" i="35"/>
  <c r="D60" i="37"/>
  <c r="A61" i="37"/>
  <c r="F40" i="37" l="1"/>
  <c r="G40" i="37" s="1"/>
  <c r="AB25" i="37" s="1"/>
  <c r="AB27" i="37" s="1"/>
  <c r="W37" i="38"/>
  <c r="M36" i="38"/>
  <c r="M36" i="39" s="1"/>
  <c r="FT350" i="35"/>
  <c r="FT211" i="35"/>
  <c r="D61" i="37"/>
  <c r="A62" i="37"/>
  <c r="W38" i="38" l="1"/>
  <c r="M37" i="38"/>
  <c r="M37" i="39" s="1"/>
  <c r="FT213" i="35"/>
  <c r="FT352" i="35"/>
  <c r="I40" i="37"/>
  <c r="C41" i="37" s="1"/>
  <c r="H41" i="37" s="1"/>
  <c r="AC26" i="37" s="1"/>
  <c r="D62" i="37"/>
  <c r="A63" i="37"/>
  <c r="W39" i="38" l="1"/>
  <c r="M38" i="38"/>
  <c r="M38" i="39" s="1"/>
  <c r="FT354" i="35"/>
  <c r="FT215" i="35"/>
  <c r="F41" i="37"/>
  <c r="G41" i="37" s="1"/>
  <c r="AC25" i="37" s="1"/>
  <c r="AC27" i="37" s="1"/>
  <c r="D63" i="37"/>
  <c r="A64" i="37"/>
  <c r="W40" i="38" l="1"/>
  <c r="M39" i="38"/>
  <c r="M39" i="39" s="1"/>
  <c r="FT217" i="35"/>
  <c r="FT356" i="35"/>
  <c r="I41" i="37"/>
  <c r="C42" i="37" s="1"/>
  <c r="H42" i="37" s="1"/>
  <c r="AD26" i="37" s="1"/>
  <c r="D64" i="37"/>
  <c r="A65" i="37"/>
  <c r="W41" i="38" l="1"/>
  <c r="M40" i="38"/>
  <c r="M40" i="39" s="1"/>
  <c r="FT358" i="35"/>
  <c r="FT219" i="35"/>
  <c r="F42" i="37"/>
  <c r="G42" i="37" s="1"/>
  <c r="AD25" i="37" s="1"/>
  <c r="AD27" i="37" s="1"/>
  <c r="D65" i="37"/>
  <c r="A66" i="37"/>
  <c r="W42" i="38" l="1"/>
  <c r="M41" i="38"/>
  <c r="M41" i="39" s="1"/>
  <c r="FT221" i="35"/>
  <c r="FT360" i="35"/>
  <c r="I42" i="37"/>
  <c r="C43" i="37" s="1"/>
  <c r="H43" i="37" s="1"/>
  <c r="AE26" i="37" s="1"/>
  <c r="D66" i="37"/>
  <c r="A67" i="37"/>
  <c r="W43" i="38" l="1"/>
  <c r="M42" i="38"/>
  <c r="M42" i="39" s="1"/>
  <c r="FT362" i="35"/>
  <c r="FT223" i="35"/>
  <c r="F43" i="37"/>
  <c r="G43" i="37" s="1"/>
  <c r="AE25" i="37" s="1"/>
  <c r="AE27" i="37" s="1"/>
  <c r="D67" i="37"/>
  <c r="A68" i="37"/>
  <c r="W44" i="38" l="1"/>
  <c r="M43" i="38"/>
  <c r="M43" i="39" s="1"/>
  <c r="FT225" i="35"/>
  <c r="FT364" i="35"/>
  <c r="I43" i="37"/>
  <c r="C44" i="37" s="1"/>
  <c r="F44" i="37" s="1"/>
  <c r="A69" i="37"/>
  <c r="D68" i="37"/>
  <c r="W45" i="38" l="1"/>
  <c r="M44" i="38"/>
  <c r="M44" i="39" s="1"/>
  <c r="FT366" i="35"/>
  <c r="FT227" i="35"/>
  <c r="H44" i="37"/>
  <c r="AF26" i="37" s="1"/>
  <c r="D69" i="37"/>
  <c r="A70" i="37"/>
  <c r="W46" i="38" l="1"/>
  <c r="M45" i="38"/>
  <c r="M45" i="39" s="1"/>
  <c r="FT229" i="35"/>
  <c r="FT368" i="35"/>
  <c r="G44" i="37"/>
  <c r="AF25" i="37" s="1"/>
  <c r="AF27" i="37" s="1"/>
  <c r="D70" i="37"/>
  <c r="A71" i="37"/>
  <c r="W47" i="38" l="1"/>
  <c r="M46" i="38"/>
  <c r="M46" i="39" s="1"/>
  <c r="I44" i="37"/>
  <c r="C45" i="37" s="1"/>
  <c r="F45" i="37" s="1"/>
  <c r="FT370" i="35"/>
  <c r="FT231" i="35"/>
  <c r="D71" i="37"/>
  <c r="A72" i="37"/>
  <c r="W48" i="38" l="1"/>
  <c r="M47" i="38"/>
  <c r="M47" i="39" s="1"/>
  <c r="H45" i="37"/>
  <c r="AG26" i="37" s="1"/>
  <c r="FT233" i="35"/>
  <c r="FT372" i="35"/>
  <c r="A73" i="37"/>
  <c r="D72" i="37"/>
  <c r="W49" i="38" l="1"/>
  <c r="M48" i="38"/>
  <c r="M48" i="39" s="1"/>
  <c r="G45" i="37"/>
  <c r="AG25" i="37" s="1"/>
  <c r="AG27" i="37" s="1"/>
  <c r="FT374" i="35"/>
  <c r="FT235" i="35"/>
  <c r="D73" i="37"/>
  <c r="A74" i="37"/>
  <c r="W50" i="38" l="1"/>
  <c r="M49" i="38"/>
  <c r="M49" i="39" s="1"/>
  <c r="I45" i="37"/>
  <c r="C46" i="37" s="1"/>
  <c r="F46" i="37" s="1"/>
  <c r="FT237" i="35"/>
  <c r="FT378" i="35"/>
  <c r="FT376" i="35"/>
  <c r="A75" i="37"/>
  <c r="D74" i="37"/>
  <c r="W51" i="38" l="1"/>
  <c r="M50" i="38"/>
  <c r="M50" i="39" s="1"/>
  <c r="H46" i="37"/>
  <c r="AH26" i="37" s="1"/>
  <c r="FT239" i="35"/>
  <c r="D75" i="37"/>
  <c r="A76" i="37"/>
  <c r="W52" i="38" l="1"/>
  <c r="M51" i="38"/>
  <c r="M51" i="39" s="1"/>
  <c r="G46" i="37"/>
  <c r="AH25" i="37" s="1"/>
  <c r="AH27" i="37" s="1"/>
  <c r="FT241" i="35"/>
  <c r="D76" i="37"/>
  <c r="A77" i="37"/>
  <c r="W53" i="38" l="1"/>
  <c r="M52" i="38"/>
  <c r="M52" i="39" s="1"/>
  <c r="I46" i="37"/>
  <c r="C47" i="37" s="1"/>
  <c r="H47" i="37" s="1"/>
  <c r="AI26" i="37" s="1"/>
  <c r="FT243" i="35"/>
  <c r="A78" i="37"/>
  <c r="D77" i="37"/>
  <c r="W54" i="38" l="1"/>
  <c r="M53" i="38"/>
  <c r="M53" i="39" s="1"/>
  <c r="F47" i="37"/>
  <c r="G47" i="37" s="1"/>
  <c r="AI25" i="37" s="1"/>
  <c r="AI27" i="37" s="1"/>
  <c r="FT245" i="35"/>
  <c r="A79" i="37"/>
  <c r="D78" i="37"/>
  <c r="W55" i="38" l="1"/>
  <c r="M54" i="38"/>
  <c r="M54" i="39" s="1"/>
  <c r="I47" i="37"/>
  <c r="C48" i="37" s="1"/>
  <c r="H48" i="37" s="1"/>
  <c r="AJ26" i="37" s="1"/>
  <c r="FT247" i="35"/>
  <c r="D79" i="37"/>
  <c r="A80" i="37"/>
  <c r="W55" i="5"/>
  <c r="W56" i="38" l="1"/>
  <c r="M55" i="38"/>
  <c r="M55" i="39" s="1"/>
  <c r="F48" i="37"/>
  <c r="G48" i="37" s="1"/>
  <c r="AJ25" i="37" s="1"/>
  <c r="AJ27" i="37" s="1"/>
  <c r="FT249" i="35"/>
  <c r="D80" i="37"/>
  <c r="A81" i="37"/>
  <c r="W56" i="5"/>
  <c r="W57" i="38" l="1"/>
  <c r="M56" i="38"/>
  <c r="M56" i="39" s="1"/>
  <c r="FT251" i="35"/>
  <c r="I48" i="37"/>
  <c r="C49" i="37" s="1"/>
  <c r="F49" i="37" s="1"/>
  <c r="D81" i="37"/>
  <c r="A82" i="37"/>
  <c r="W57" i="5"/>
  <c r="W58" i="38" l="1"/>
  <c r="M57" i="38"/>
  <c r="M57" i="39" s="1"/>
  <c r="FT253" i="35"/>
  <c r="H49" i="37"/>
  <c r="AK26" i="37" s="1"/>
  <c r="D82" i="37"/>
  <c r="A83" i="37"/>
  <c r="W58" i="5"/>
  <c r="W59" i="38" l="1"/>
  <c r="M58" i="38"/>
  <c r="M58" i="39" s="1"/>
  <c r="G49" i="37"/>
  <c r="FT255" i="35"/>
  <c r="A84" i="37"/>
  <c r="D83" i="37"/>
  <c r="W59" i="5"/>
  <c r="W60" i="38" l="1"/>
  <c r="M59" i="38"/>
  <c r="M59" i="39" s="1"/>
  <c r="AK25" i="37"/>
  <c r="AK27" i="37" s="1"/>
  <c r="I49" i="37"/>
  <c r="C50" i="37" s="1"/>
  <c r="FT257" i="35"/>
  <c r="D84" i="37"/>
  <c r="A85" i="37"/>
  <c r="W60" i="5"/>
  <c r="W61" i="38" l="1"/>
  <c r="M60" i="38"/>
  <c r="M60" i="39" s="1"/>
  <c r="H50" i="37"/>
  <c r="AL26" i="37" s="1"/>
  <c r="F50" i="37"/>
  <c r="FT259" i="35"/>
  <c r="A86" i="37"/>
  <c r="D85" i="37"/>
  <c r="W61" i="5"/>
  <c r="W62" i="38" l="1"/>
  <c r="M61" i="38"/>
  <c r="M61" i="39" s="1"/>
  <c r="G50" i="37"/>
  <c r="AL25" i="37" s="1"/>
  <c r="AL27" i="37" s="1"/>
  <c r="FT261" i="35"/>
  <c r="D86" i="37"/>
  <c r="A87" i="37"/>
  <c r="W62" i="5"/>
  <c r="W63" i="5" l="1"/>
  <c r="M62" i="5"/>
  <c r="M62" i="10" s="1"/>
  <c r="W63" i="38"/>
  <c r="M62" i="38"/>
  <c r="M62" i="39" s="1"/>
  <c r="I50" i="37"/>
  <c r="C51" i="37" s="1"/>
  <c r="H51" i="37" s="1"/>
  <c r="AM26" i="37" s="1"/>
  <c r="FT263" i="35"/>
  <c r="D87" i="37"/>
  <c r="A88" i="37"/>
  <c r="E28" i="20"/>
  <c r="R1" i="6"/>
  <c r="L19" i="6" s="1"/>
  <c r="U1" i="7"/>
  <c r="O20" i="7" s="1"/>
  <c r="N58" i="5"/>
  <c r="M58" i="5" s="1"/>
  <c r="M58" i="10" s="1"/>
  <c r="N55" i="5"/>
  <c r="M55" i="5" s="1"/>
  <c r="N56" i="5"/>
  <c r="M56" i="5" s="1"/>
  <c r="N61" i="5"/>
  <c r="M61" i="5" s="1"/>
  <c r="M61" i="10" s="1"/>
  <c r="N54" i="5"/>
  <c r="N60" i="5"/>
  <c r="M60" i="5" s="1"/>
  <c r="M60" i="10" s="1"/>
  <c r="N59" i="5"/>
  <c r="M59" i="5" s="1"/>
  <c r="M59" i="10" s="1"/>
  <c r="M54" i="5" l="1"/>
  <c r="M54" i="10" s="1"/>
  <c r="AG54" i="5"/>
  <c r="W64" i="38"/>
  <c r="M63" i="38"/>
  <c r="M63" i="39" s="1"/>
  <c r="W64" i="5"/>
  <c r="M63" i="5"/>
  <c r="M63" i="10" s="1"/>
  <c r="F28" i="20"/>
  <c r="N65" i="20" s="1"/>
  <c r="N75" i="20"/>
  <c r="N73" i="20"/>
  <c r="N74" i="20"/>
  <c r="N72" i="20"/>
  <c r="N69" i="20"/>
  <c r="N71" i="20"/>
  <c r="N68" i="20"/>
  <c r="N70" i="20"/>
  <c r="N76" i="20"/>
  <c r="F51" i="37"/>
  <c r="G51" i="37" s="1"/>
  <c r="AM25" i="37" s="1"/>
  <c r="AM27" i="37" s="1"/>
  <c r="FT265" i="35"/>
  <c r="D88" i="37"/>
  <c r="A89" i="37"/>
  <c r="Y19" i="5"/>
  <c r="N46" i="5"/>
  <c r="N36" i="5"/>
  <c r="N53" i="5"/>
  <c r="AG53" i="5" s="1"/>
  <c r="N30" i="5"/>
  <c r="N37" i="5"/>
  <c r="N22" i="5"/>
  <c r="N29" i="5"/>
  <c r="N48" i="5"/>
  <c r="N51" i="5"/>
  <c r="AG51" i="5" s="1"/>
  <c r="N40" i="5"/>
  <c r="N32" i="5"/>
  <c r="N34" i="5"/>
  <c r="N52" i="5"/>
  <c r="AG52" i="5" s="1"/>
  <c r="N35" i="5"/>
  <c r="N25" i="5"/>
  <c r="N21" i="5"/>
  <c r="N23" i="5"/>
  <c r="N27" i="5"/>
  <c r="N38" i="5"/>
  <c r="N39" i="5"/>
  <c r="N45" i="5"/>
  <c r="N33" i="5"/>
  <c r="N18" i="5"/>
  <c r="N42" i="5"/>
  <c r="N19" i="5"/>
  <c r="N47" i="5"/>
  <c r="N50" i="5"/>
  <c r="AG50" i="5" s="1"/>
  <c r="N26" i="5"/>
  <c r="N28" i="5"/>
  <c r="N24" i="5"/>
  <c r="N44" i="5"/>
  <c r="K63" i="5"/>
  <c r="K55" i="5"/>
  <c r="M55" i="10"/>
  <c r="N20" i="5"/>
  <c r="AG20" i="5" s="1"/>
  <c r="K59" i="5"/>
  <c r="K61" i="5"/>
  <c r="N49" i="5"/>
  <c r="AG49" i="5" s="1"/>
  <c r="K56" i="5"/>
  <c r="M56" i="10"/>
  <c r="N41" i="5"/>
  <c r="AG41" i="5" s="1"/>
  <c r="N57" i="5"/>
  <c r="M57" i="5" s="1"/>
  <c r="M57" i="10" s="1"/>
  <c r="K54" i="5"/>
  <c r="K62" i="5"/>
  <c r="K60" i="5"/>
  <c r="N43" i="5"/>
  <c r="AG43" i="5" s="1"/>
  <c r="N31" i="5"/>
  <c r="AG31" i="5" s="1"/>
  <c r="K58" i="5"/>
  <c r="K47" i="5" l="1"/>
  <c r="AG47" i="5"/>
  <c r="K19" i="5"/>
  <c r="AG19" i="5"/>
  <c r="K46" i="5"/>
  <c r="AG46" i="5"/>
  <c r="K34" i="5"/>
  <c r="AG34" i="5"/>
  <c r="K33" i="5"/>
  <c r="AG33" i="5"/>
  <c r="K40" i="5"/>
  <c r="AG40" i="5"/>
  <c r="M36" i="5"/>
  <c r="M36" i="10" s="1"/>
  <c r="AG36" i="5"/>
  <c r="K39" i="5"/>
  <c r="AG39" i="5"/>
  <c r="K25" i="5"/>
  <c r="AG25" i="5"/>
  <c r="K35" i="5"/>
  <c r="AG35" i="5"/>
  <c r="M45" i="5"/>
  <c r="M45" i="10" s="1"/>
  <c r="AG45" i="5"/>
  <c r="K48" i="5"/>
  <c r="AG48" i="5"/>
  <c r="K44" i="5"/>
  <c r="AG44" i="5"/>
  <c r="K38" i="5"/>
  <c r="AG38" i="5"/>
  <c r="K29" i="5"/>
  <c r="AG29" i="5"/>
  <c r="K42" i="5"/>
  <c r="AG42" i="5"/>
  <c r="M18" i="5"/>
  <c r="M18" i="10" s="1"/>
  <c r="AG18" i="5"/>
  <c r="AI18" i="5" s="1"/>
  <c r="M24" i="5"/>
  <c r="M24" i="10" s="1"/>
  <c r="AG24" i="5"/>
  <c r="M22" i="5"/>
  <c r="M22" i="10" s="1"/>
  <c r="AG22" i="5"/>
  <c r="K28" i="5"/>
  <c r="AG28" i="5"/>
  <c r="K23" i="5"/>
  <c r="AG23" i="5"/>
  <c r="K37" i="5"/>
  <c r="AG37" i="5"/>
  <c r="K32" i="5"/>
  <c r="AG32" i="5"/>
  <c r="K27" i="5"/>
  <c r="AG27" i="5"/>
  <c r="K26" i="5"/>
  <c r="AG26" i="5"/>
  <c r="K21" i="5"/>
  <c r="AG21" i="5"/>
  <c r="M30" i="5"/>
  <c r="M30" i="10" s="1"/>
  <c r="AG30" i="5"/>
  <c r="N23" i="20"/>
  <c r="M23" i="20" s="1"/>
  <c r="N61" i="20"/>
  <c r="M61" i="20" s="1"/>
  <c r="N63" i="20"/>
  <c r="K63" i="20" s="1"/>
  <c r="N55" i="20"/>
  <c r="N58" i="20"/>
  <c r="M58" i="20" s="1"/>
  <c r="N66" i="20"/>
  <c r="M66" i="20" s="1"/>
  <c r="W65" i="5"/>
  <c r="M64" i="5"/>
  <c r="M64" i="10" s="1"/>
  <c r="W65" i="38"/>
  <c r="M64" i="38"/>
  <c r="M64" i="39" s="1"/>
  <c r="N60" i="20"/>
  <c r="M60" i="20" s="1"/>
  <c r="N57" i="20"/>
  <c r="M57" i="20" s="1"/>
  <c r="N56" i="20"/>
  <c r="K56" i="20" s="1"/>
  <c r="N62" i="20"/>
  <c r="M62" i="20" s="1"/>
  <c r="N64" i="20"/>
  <c r="M64" i="20" s="1"/>
  <c r="N59" i="20"/>
  <c r="K59" i="20" s="1"/>
  <c r="N67" i="20"/>
  <c r="M67" i="20" s="1"/>
  <c r="K50" i="5"/>
  <c r="M50" i="5"/>
  <c r="M50" i="10" s="1"/>
  <c r="K53" i="5"/>
  <c r="M53" i="5"/>
  <c r="M53" i="10" s="1"/>
  <c r="K74" i="20"/>
  <c r="M74" i="20"/>
  <c r="M76" i="20"/>
  <c r="K76" i="20"/>
  <c r="K69" i="20"/>
  <c r="M69" i="20"/>
  <c r="K71" i="20"/>
  <c r="M71" i="20"/>
  <c r="M51" i="5"/>
  <c r="M51" i="10" s="1"/>
  <c r="M73" i="20"/>
  <c r="K73" i="20"/>
  <c r="K70" i="20"/>
  <c r="M70" i="20"/>
  <c r="K72" i="20"/>
  <c r="M72" i="20"/>
  <c r="M68" i="20"/>
  <c r="K68" i="20"/>
  <c r="M65" i="20"/>
  <c r="K65" i="20"/>
  <c r="M75" i="20"/>
  <c r="K75" i="20"/>
  <c r="M52" i="5"/>
  <c r="M52" i="10" s="1"/>
  <c r="I51" i="37"/>
  <c r="C52" i="37" s="1"/>
  <c r="H52" i="37" s="1"/>
  <c r="AN26" i="37" s="1"/>
  <c r="FT267" i="35"/>
  <c r="D89" i="37"/>
  <c r="A90" i="37"/>
  <c r="M73" i="5"/>
  <c r="K36" i="5"/>
  <c r="M46" i="5"/>
  <c r="M46" i="10" s="1"/>
  <c r="K30" i="5"/>
  <c r="K22" i="5"/>
  <c r="M37" i="5"/>
  <c r="M37" i="10" s="1"/>
  <c r="M27" i="5"/>
  <c r="M27" i="10" s="1"/>
  <c r="M40" i="5"/>
  <c r="M40" i="10" s="1"/>
  <c r="M32" i="5"/>
  <c r="M32" i="10" s="1"/>
  <c r="K51" i="5"/>
  <c r="M29" i="5"/>
  <c r="M29" i="10" s="1"/>
  <c r="M34" i="5"/>
  <c r="M34" i="10" s="1"/>
  <c r="M48" i="5"/>
  <c r="M48" i="10" s="1"/>
  <c r="M47" i="5"/>
  <c r="M47" i="10" s="1"/>
  <c r="M33" i="5"/>
  <c r="M33" i="10" s="1"/>
  <c r="M35" i="5"/>
  <c r="M35" i="10" s="1"/>
  <c r="K52" i="5"/>
  <c r="M19" i="5"/>
  <c r="M19" i="10" s="1"/>
  <c r="K18" i="5"/>
  <c r="M21" i="5"/>
  <c r="M21" i="10" s="1"/>
  <c r="M26" i="5"/>
  <c r="M26" i="10" s="1"/>
  <c r="M39" i="5"/>
  <c r="M39" i="10" s="1"/>
  <c r="K45" i="5"/>
  <c r="M23" i="5"/>
  <c r="M23" i="10" s="1"/>
  <c r="M38" i="5"/>
  <c r="M38" i="10" s="1"/>
  <c r="M42" i="5"/>
  <c r="M42" i="10" s="1"/>
  <c r="M25" i="5"/>
  <c r="M25" i="10" s="1"/>
  <c r="K24" i="5"/>
  <c r="M28" i="5"/>
  <c r="M28" i="10" s="1"/>
  <c r="M44" i="5"/>
  <c r="M44" i="10" s="1"/>
  <c r="N52" i="20"/>
  <c r="K52" i="20" s="1"/>
  <c r="N32" i="20"/>
  <c r="K32" i="20" s="1"/>
  <c r="N26" i="20"/>
  <c r="K26" i="20" s="1"/>
  <c r="N29" i="20"/>
  <c r="K29" i="20" s="1"/>
  <c r="N45" i="20"/>
  <c r="M45" i="20" s="1"/>
  <c r="N22" i="20"/>
  <c r="M22" i="20" s="1"/>
  <c r="N53" i="20"/>
  <c r="M53" i="20" s="1"/>
  <c r="N19" i="20"/>
  <c r="M19" i="20" s="1"/>
  <c r="N31" i="20"/>
  <c r="M31" i="20" s="1"/>
  <c r="N54" i="20"/>
  <c r="K54" i="20" s="1"/>
  <c r="N24" i="20"/>
  <c r="M24" i="20" s="1"/>
  <c r="N47" i="20"/>
  <c r="K47" i="20" s="1"/>
  <c r="N25" i="20"/>
  <c r="M25" i="20" s="1"/>
  <c r="N30" i="20"/>
  <c r="K30" i="20" s="1"/>
  <c r="N27" i="20"/>
  <c r="K27" i="20" s="1"/>
  <c r="N42" i="20"/>
  <c r="K42" i="20" s="1"/>
  <c r="N49" i="20"/>
  <c r="M49" i="20" s="1"/>
  <c r="N35" i="20"/>
  <c r="M35" i="20" s="1"/>
  <c r="N36" i="20"/>
  <c r="K36" i="20" s="1"/>
  <c r="N48" i="20"/>
  <c r="M48" i="20" s="1"/>
  <c r="N43" i="20"/>
  <c r="M43" i="20" s="1"/>
  <c r="N50" i="20"/>
  <c r="M50" i="20" s="1"/>
  <c r="N21" i="20"/>
  <c r="K21" i="20" s="1"/>
  <c r="N38" i="20"/>
  <c r="K38" i="20" s="1"/>
  <c r="N37" i="20"/>
  <c r="K37" i="20" s="1"/>
  <c r="N34" i="20"/>
  <c r="M34" i="20" s="1"/>
  <c r="N46" i="20"/>
  <c r="M46" i="20" s="1"/>
  <c r="N28" i="20"/>
  <c r="K28" i="20" s="1"/>
  <c r="N39" i="20"/>
  <c r="M39" i="20" s="1"/>
  <c r="N41" i="20"/>
  <c r="N40" i="20"/>
  <c r="N44" i="20"/>
  <c r="K49" i="5"/>
  <c r="M49" i="5"/>
  <c r="M49" i="10" s="1"/>
  <c r="M20" i="5"/>
  <c r="M20" i="10" s="1"/>
  <c r="K20" i="5"/>
  <c r="N20" i="20"/>
  <c r="N51" i="20"/>
  <c r="N18" i="20"/>
  <c r="N33" i="20"/>
  <c r="K31" i="5"/>
  <c r="M31" i="5"/>
  <c r="M31" i="10" s="1"/>
  <c r="K43" i="5"/>
  <c r="M43" i="5"/>
  <c r="M43" i="10" s="1"/>
  <c r="K57" i="5"/>
  <c r="K41" i="5"/>
  <c r="M41" i="5"/>
  <c r="M41" i="10" s="1"/>
  <c r="AI19" i="5" l="1"/>
  <c r="AI20" i="5" s="1"/>
  <c r="AI21" i="5" s="1"/>
  <c r="AI22" i="5" s="1"/>
  <c r="AI23" i="5" s="1"/>
  <c r="AI24" i="5" s="1"/>
  <c r="AI25" i="5" s="1"/>
  <c r="AI26" i="5" s="1"/>
  <c r="AI27" i="5" s="1"/>
  <c r="AI28" i="5" s="1"/>
  <c r="AI29" i="5" s="1"/>
  <c r="AI30" i="5" s="1"/>
  <c r="AI31" i="5" s="1"/>
  <c r="AI32" i="5" s="1"/>
  <c r="AI33" i="5" s="1"/>
  <c r="AI34" i="5" s="1"/>
  <c r="AI35" i="5" s="1"/>
  <c r="AI36" i="5" s="1"/>
  <c r="AI37" i="5" s="1"/>
  <c r="AI38" i="5" s="1"/>
  <c r="AI39" i="5" s="1"/>
  <c r="AI40" i="5" s="1"/>
  <c r="AI41" i="5" s="1"/>
  <c r="AI42" i="5" s="1"/>
  <c r="AI43" i="5" s="1"/>
  <c r="AI44" i="5" s="1"/>
  <c r="AI45" i="5" s="1"/>
  <c r="AI46" i="5" s="1"/>
  <c r="AI47" i="5" s="1"/>
  <c r="AI48" i="5" s="1"/>
  <c r="AI49" i="5" s="1"/>
  <c r="AI50" i="5" s="1"/>
  <c r="AI51" i="5" s="1"/>
  <c r="AI52" i="5" s="1"/>
  <c r="AI53" i="5" s="1"/>
  <c r="AI54" i="5" s="1"/>
  <c r="K23" i="20"/>
  <c r="K57" i="20"/>
  <c r="M63" i="20"/>
  <c r="K58" i="20"/>
  <c r="M56" i="20"/>
  <c r="K61" i="20"/>
  <c r="K66" i="20"/>
  <c r="K64" i="20"/>
  <c r="K62" i="20"/>
  <c r="M59" i="20"/>
  <c r="K60" i="20"/>
  <c r="W66" i="38"/>
  <c r="M65" i="38"/>
  <c r="M65" i="39" s="1"/>
  <c r="W66" i="5"/>
  <c r="M65" i="5"/>
  <c r="M65" i="10" s="1"/>
  <c r="K67" i="20"/>
  <c r="M76" i="10"/>
  <c r="M75" i="10" s="1"/>
  <c r="M76" i="39"/>
  <c r="F52" i="37"/>
  <c r="G52" i="37" s="1"/>
  <c r="AN25" i="37" s="1"/>
  <c r="AN27" i="37" s="1"/>
  <c r="FT269" i="35"/>
  <c r="D90" i="37"/>
  <c r="A91" i="37"/>
  <c r="M27" i="20"/>
  <c r="M26" i="20"/>
  <c r="M32" i="20"/>
  <c r="M29" i="20"/>
  <c r="M42" i="20"/>
  <c r="K50" i="20"/>
  <c r="M36" i="20"/>
  <c r="M37" i="20"/>
  <c r="M21" i="20"/>
  <c r="K49" i="20"/>
  <c r="K45" i="20"/>
  <c r="M52" i="20"/>
  <c r="M30" i="20"/>
  <c r="K39" i="20"/>
  <c r="K53" i="20"/>
  <c r="K24" i="20"/>
  <c r="K43" i="20"/>
  <c r="K19" i="20"/>
  <c r="K22" i="20"/>
  <c r="M28" i="20"/>
  <c r="K46" i="20"/>
  <c r="K31" i="20"/>
  <c r="K34" i="20"/>
  <c r="K48" i="20"/>
  <c r="M47" i="20"/>
  <c r="K35" i="20"/>
  <c r="M38" i="20"/>
  <c r="K25" i="20"/>
  <c r="M54" i="20"/>
  <c r="K51" i="20"/>
  <c r="M51" i="20"/>
  <c r="M40" i="20"/>
  <c r="K40" i="20"/>
  <c r="M20" i="20"/>
  <c r="K20" i="20"/>
  <c r="M41" i="20"/>
  <c r="K41" i="20"/>
  <c r="M33" i="20"/>
  <c r="K33" i="20"/>
  <c r="K55" i="20"/>
  <c r="M55" i="20"/>
  <c r="K18" i="20"/>
  <c r="M18" i="20"/>
  <c r="M44" i="20"/>
  <c r="K44" i="20"/>
  <c r="W67" i="5" l="1"/>
  <c r="M66" i="5"/>
  <c r="M66" i="10" s="1"/>
  <c r="W67" i="38"/>
  <c r="M66" i="38"/>
  <c r="M66" i="39" s="1"/>
  <c r="FT271" i="35"/>
  <c r="I52" i="37"/>
  <c r="C53" i="37" s="1"/>
  <c r="H53" i="37" s="1"/>
  <c r="AO26" i="37" s="1"/>
  <c r="D91" i="37"/>
  <c r="A92" i="37"/>
  <c r="W68" i="38" l="1"/>
  <c r="W69" i="38" s="1"/>
  <c r="W70" i="38" s="1"/>
  <c r="W71" i="38" s="1"/>
  <c r="W72" i="38" s="1"/>
  <c r="M67" i="38"/>
  <c r="M67" i="39" s="1"/>
  <c r="W68" i="5"/>
  <c r="W69" i="5" s="1"/>
  <c r="W70" i="5" s="1"/>
  <c r="W71" i="5" s="1"/>
  <c r="W72" i="5" s="1"/>
  <c r="M67" i="5"/>
  <c r="M67" i="10" s="1"/>
  <c r="FT273" i="35"/>
  <c r="F53" i="37"/>
  <c r="G53" i="37" s="1"/>
  <c r="D92" i="37"/>
  <c r="A93" i="37"/>
  <c r="FT275" i="35" l="1"/>
  <c r="I53" i="37"/>
  <c r="C54" i="37" s="1"/>
  <c r="AO25" i="37"/>
  <c r="AO27" i="37" s="1"/>
  <c r="D93" i="37"/>
  <c r="A94" i="37"/>
  <c r="FT277" i="35" l="1"/>
  <c r="F54" i="37"/>
  <c r="H54" i="37"/>
  <c r="AP26" i="37" s="1"/>
  <c r="D94" i="37"/>
  <c r="A95" i="37"/>
  <c r="FT279" i="35" l="1"/>
  <c r="G54" i="37"/>
  <c r="AP25" i="37" s="1"/>
  <c r="AP27" i="37" s="1"/>
  <c r="D95" i="37"/>
  <c r="A96" i="37"/>
  <c r="FT281" i="35" l="1"/>
  <c r="I54" i="37"/>
  <c r="C55" i="37" s="1"/>
  <c r="F55" i="37" s="1"/>
  <c r="D96" i="37"/>
  <c r="A97" i="37"/>
  <c r="FT283" i="35" l="1"/>
  <c r="H55" i="37"/>
  <c r="AQ26" i="37" s="1"/>
  <c r="A98" i="37"/>
  <c r="D97" i="37"/>
  <c r="FT285" i="35" l="1"/>
  <c r="G55" i="37"/>
  <c r="I55" i="37" s="1"/>
  <c r="C56" i="37" s="1"/>
  <c r="D98" i="37"/>
  <c r="A99" i="37"/>
  <c r="AQ25" i="37" l="1"/>
  <c r="AQ27" i="37" s="1"/>
  <c r="FT287" i="35"/>
  <c r="F56" i="37"/>
  <c r="H56" i="37"/>
  <c r="AR26" i="37" s="1"/>
  <c r="A100" i="37"/>
  <c r="D99" i="37"/>
  <c r="FT289" i="35" l="1"/>
  <c r="G56" i="37"/>
  <c r="D100" i="37"/>
  <c r="A101" i="37"/>
  <c r="FT291" i="35" l="1"/>
  <c r="AR25" i="37"/>
  <c r="AR27" i="37" s="1"/>
  <c r="I56" i="37"/>
  <c r="C57" i="37" s="1"/>
  <c r="A102" i="37"/>
  <c r="D101" i="37"/>
  <c r="FT293" i="35" l="1"/>
  <c r="H57" i="37"/>
  <c r="AS26" i="37" s="1"/>
  <c r="F57" i="37"/>
  <c r="A103" i="37"/>
  <c r="D102" i="37"/>
  <c r="FT295" i="35" l="1"/>
  <c r="G57" i="37"/>
  <c r="I57" i="37" s="1"/>
  <c r="C58" i="37" s="1"/>
  <c r="D103" i="37"/>
  <c r="A104" i="37"/>
  <c r="FT297" i="35" l="1"/>
  <c r="AS25" i="37"/>
  <c r="AS27" i="37" s="1"/>
  <c r="H58" i="37"/>
  <c r="AT26" i="37" s="1"/>
  <c r="F58" i="37"/>
  <c r="D104" i="37"/>
  <c r="A105" i="37"/>
  <c r="G58" i="37" l="1"/>
  <c r="I58" i="37" s="1"/>
  <c r="C59" i="37" s="1"/>
  <c r="FT299" i="35"/>
  <c r="D105" i="37"/>
  <c r="A106" i="37"/>
  <c r="AT25" i="37" l="1"/>
  <c r="AT27" i="37" s="1"/>
  <c r="FT301" i="35"/>
  <c r="H59" i="37"/>
  <c r="AU26" i="37" s="1"/>
  <c r="F59" i="37"/>
  <c r="A107" i="37"/>
  <c r="D106" i="37"/>
  <c r="FT303" i="35" l="1"/>
  <c r="G59" i="37"/>
  <c r="AU25" i="37" s="1"/>
  <c r="AU27" i="37" s="1"/>
  <c r="A108" i="37"/>
  <c r="D107" i="37"/>
  <c r="FT305" i="35" l="1"/>
  <c r="I59" i="37"/>
  <c r="C60" i="37" s="1"/>
  <c r="F60" i="37" s="1"/>
  <c r="D108" i="37"/>
  <c r="A109" i="37"/>
  <c r="FT307" i="35" l="1"/>
  <c r="H60" i="37"/>
  <c r="AV26" i="37" s="1"/>
  <c r="D109" i="37"/>
  <c r="A110" i="37"/>
  <c r="FT309" i="35" l="1"/>
  <c r="G60" i="37"/>
  <c r="AV25" i="37" s="1"/>
  <c r="AV27" i="37" s="1"/>
  <c r="A111" i="37"/>
  <c r="D110" i="37"/>
  <c r="FT311" i="35" l="1"/>
  <c r="I60" i="37"/>
  <c r="C61" i="37" s="1"/>
  <c r="F61" i="37" s="1"/>
  <c r="D111" i="37"/>
  <c r="A112" i="37"/>
  <c r="FT313" i="35" l="1"/>
  <c r="H61" i="37"/>
  <c r="AW26" i="37" s="1"/>
  <c r="A113" i="37"/>
  <c r="D112" i="37"/>
  <c r="FT315" i="35" l="1"/>
  <c r="G61" i="37"/>
  <c r="AW25" i="37" s="1"/>
  <c r="AW27" i="37" s="1"/>
  <c r="D113" i="37"/>
  <c r="A114" i="37"/>
  <c r="FT317" i="35" l="1"/>
  <c r="I61" i="37"/>
  <c r="C62" i="37" s="1"/>
  <c r="F62" i="37" s="1"/>
  <c r="D114" i="37"/>
  <c r="A115" i="37"/>
  <c r="FT319" i="35" l="1"/>
  <c r="H62" i="37"/>
  <c r="AX26" i="37" s="1"/>
  <c r="A116" i="37"/>
  <c r="D115" i="37"/>
  <c r="FT321" i="35" l="1"/>
  <c r="G62" i="37"/>
  <c r="D116" i="37"/>
  <c r="A117" i="37"/>
  <c r="FT323" i="35" l="1"/>
  <c r="AX25" i="37"/>
  <c r="AX27" i="37" s="1"/>
  <c r="I62" i="37"/>
  <c r="C63" i="37" s="1"/>
  <c r="A118" i="37"/>
  <c r="D117" i="37"/>
  <c r="FT325" i="35" l="1"/>
  <c r="H63" i="37"/>
  <c r="AY26" i="37" s="1"/>
  <c r="F63" i="37"/>
  <c r="A119" i="37"/>
  <c r="D118" i="37"/>
  <c r="G63" i="37" l="1"/>
  <c r="AY25" i="37" s="1"/>
  <c r="AY27" i="37" s="1"/>
  <c r="FT327" i="35"/>
  <c r="D119" i="37"/>
  <c r="A120" i="37"/>
  <c r="I63" i="37" l="1"/>
  <c r="C64" i="37" s="1"/>
  <c r="H64" i="37" s="1"/>
  <c r="AZ26" i="37" s="1"/>
  <c r="FT329" i="35"/>
  <c r="D120" i="37"/>
  <c r="A121" i="37"/>
  <c r="F64" i="37" l="1"/>
  <c r="G64" i="37" s="1"/>
  <c r="FT331" i="35"/>
  <c r="A122" i="37"/>
  <c r="D121" i="37"/>
  <c r="FT333" i="35" l="1"/>
  <c r="AZ25" i="37"/>
  <c r="AZ27" i="37" s="1"/>
  <c r="I64" i="37"/>
  <c r="C65" i="37" s="1"/>
  <c r="D122" i="37"/>
  <c r="A123" i="37"/>
  <c r="FT335" i="35" l="1"/>
  <c r="F65" i="37"/>
  <c r="H65" i="37"/>
  <c r="BA26" i="37" s="1"/>
  <c r="D123" i="37"/>
  <c r="A124" i="37"/>
  <c r="FT337" i="35" l="1"/>
  <c r="G65" i="37"/>
  <c r="I65" i="37" s="1"/>
  <c r="C66" i="37" s="1"/>
  <c r="H66" i="37" s="1"/>
  <c r="BB26" i="37" s="1"/>
  <c r="A125" i="37"/>
  <c r="D124" i="37"/>
  <c r="BA25" i="37" l="1"/>
  <c r="BA27" i="37" s="1"/>
  <c r="FT339" i="35"/>
  <c r="F66" i="37"/>
  <c r="G66" i="37" s="1"/>
  <c r="BB25" i="37" s="1"/>
  <c r="BB27" i="37" s="1"/>
  <c r="A126" i="37"/>
  <c r="D125" i="37"/>
  <c r="I66" i="37" l="1"/>
  <c r="C67" i="37" s="1"/>
  <c r="F67" i="37" s="1"/>
  <c r="FT341" i="35"/>
  <c r="D126" i="37"/>
  <c r="A127" i="37"/>
  <c r="H67" i="37" l="1"/>
  <c r="BC26" i="37" s="1"/>
  <c r="FT343" i="35"/>
  <c r="A128" i="37"/>
  <c r="D127" i="37"/>
  <c r="G67" i="37" l="1"/>
  <c r="I67" i="37" s="1"/>
  <c r="C68" i="37" s="1"/>
  <c r="H68" i="37" s="1"/>
  <c r="BD26" i="37" s="1"/>
  <c r="FT345" i="35"/>
  <c r="D128" i="37"/>
  <c r="A129" i="37"/>
  <c r="F68" i="37" l="1"/>
  <c r="G68" i="37" s="1"/>
  <c r="BC25" i="37"/>
  <c r="BC27" i="37" s="1"/>
  <c r="FT347" i="35"/>
  <c r="D129" i="37"/>
  <c r="A130" i="37"/>
  <c r="FT349" i="35" l="1"/>
  <c r="BD25" i="37"/>
  <c r="BD27" i="37" s="1"/>
  <c r="I68" i="37"/>
  <c r="C69" i="37" s="1"/>
  <c r="A131" i="37"/>
  <c r="D130" i="37"/>
  <c r="FT351" i="35" l="1"/>
  <c r="H69" i="37"/>
  <c r="BE26" i="37" s="1"/>
  <c r="F69" i="37"/>
  <c r="A132" i="37"/>
  <c r="D131" i="37"/>
  <c r="FT353" i="35" l="1"/>
  <c r="G69" i="37"/>
  <c r="BE25" i="37" s="1"/>
  <c r="BE27" i="37" s="1"/>
  <c r="A133" i="37"/>
  <c r="D132" i="37"/>
  <c r="FT355" i="35" l="1"/>
  <c r="I69" i="37"/>
  <c r="C70" i="37" s="1"/>
  <c r="F70" i="37" s="1"/>
  <c r="A134" i="37"/>
  <c r="D133" i="37"/>
  <c r="FT357" i="35" l="1"/>
  <c r="H70" i="37"/>
  <c r="BF26" i="37" s="1"/>
  <c r="D134" i="37"/>
  <c r="A135" i="37"/>
  <c r="FT359" i="35" l="1"/>
  <c r="G70" i="37"/>
  <c r="BF25" i="37" s="1"/>
  <c r="BF27" i="37" s="1"/>
  <c r="D135" i="37"/>
  <c r="A136" i="37"/>
  <c r="I70" i="37" l="1"/>
  <c r="C71" i="37" s="1"/>
  <c r="F71" i="37" s="1"/>
  <c r="FT361" i="35"/>
  <c r="D136" i="37"/>
  <c r="A137" i="37"/>
  <c r="H71" i="37" l="1"/>
  <c r="BG26" i="37" s="1"/>
  <c r="FT363" i="35"/>
  <c r="D137" i="37"/>
  <c r="A138" i="37"/>
  <c r="G71" i="37" l="1"/>
  <c r="BG25" i="37" s="1"/>
  <c r="BG27" i="37" s="1"/>
  <c r="FT365" i="35"/>
  <c r="D138" i="37"/>
  <c r="A139" i="37"/>
  <c r="I71" i="37" l="1"/>
  <c r="C72" i="37" s="1"/>
  <c r="F72" i="37" s="1"/>
  <c r="FT367" i="35"/>
  <c r="A140" i="37"/>
  <c r="D139" i="37"/>
  <c r="H72" i="37" l="1"/>
  <c r="BH26" i="37" s="1"/>
  <c r="FT369" i="35"/>
  <c r="D140" i="37"/>
  <c r="A141" i="37"/>
  <c r="G72" i="37" l="1"/>
  <c r="FT371" i="35"/>
  <c r="A142" i="37"/>
  <c r="D141" i="37"/>
  <c r="BH25" i="37" l="1"/>
  <c r="BH27" i="37" s="1"/>
  <c r="I72" i="37"/>
  <c r="C73" i="37" s="1"/>
  <c r="FT373" i="35"/>
  <c r="D142" i="37"/>
  <c r="A143" i="37"/>
  <c r="F73" i="37" l="1"/>
  <c r="H73" i="37"/>
  <c r="BI26" i="37" s="1"/>
  <c r="FT377" i="35"/>
  <c r="FT375" i="35"/>
  <c r="D143" i="37"/>
  <c r="A144" i="37"/>
  <c r="G73" i="37" l="1"/>
  <c r="D144" i="37"/>
  <c r="A145" i="37"/>
  <c r="BI25" i="37" l="1"/>
  <c r="BI27" i="37" s="1"/>
  <c r="I73" i="37"/>
  <c r="C74" i="37" s="1"/>
  <c r="A146" i="37"/>
  <c r="D145" i="37"/>
  <c r="H74" i="37" l="1"/>
  <c r="BJ26" i="37" s="1"/>
  <c r="F74" i="37"/>
  <c r="B146" i="37"/>
  <c r="D146" i="37"/>
  <c r="A147" i="37"/>
  <c r="G74" i="37" l="1"/>
  <c r="BJ25" i="37" s="1"/>
  <c r="BJ27" i="37" s="1"/>
  <c r="A148" i="37"/>
  <c r="D147" i="37"/>
  <c r="B147" i="37"/>
  <c r="I74" i="37" l="1"/>
  <c r="C75" i="37" s="1"/>
  <c r="H75" i="37" s="1"/>
  <c r="BK26" i="37" s="1"/>
  <c r="A149" i="37"/>
  <c r="D148" i="37"/>
  <c r="B148" i="37"/>
  <c r="F75" i="37" l="1"/>
  <c r="G75" i="37" s="1"/>
  <c r="BK25" i="37" s="1"/>
  <c r="BK27" i="37" s="1"/>
  <c r="A150" i="37"/>
  <c r="B149" i="37"/>
  <c r="D149" i="37"/>
  <c r="I75" i="37" l="1"/>
  <c r="C76" i="37" s="1"/>
  <c r="F76" i="37" s="1"/>
  <c r="D150" i="37"/>
  <c r="A151" i="37"/>
  <c r="B150" i="37"/>
  <c r="H76" i="37" l="1"/>
  <c r="BL26" i="37" s="1"/>
  <c r="D151" i="37"/>
  <c r="A152" i="37"/>
  <c r="B151" i="37"/>
  <c r="G76" i="37" l="1"/>
  <c r="BL25" i="37" s="1"/>
  <c r="BL27" i="37" s="1"/>
  <c r="D152" i="37"/>
  <c r="A153" i="37"/>
  <c r="B152" i="37"/>
  <c r="I76" i="37" l="1"/>
  <c r="C77" i="37" s="1"/>
  <c r="F77" i="37" s="1"/>
  <c r="D153" i="37"/>
  <c r="A154" i="37"/>
  <c r="B153" i="37"/>
  <c r="H77" i="37" l="1"/>
  <c r="BM26" i="37" s="1"/>
  <c r="B154" i="37"/>
  <c r="D154" i="37"/>
  <c r="A155" i="37"/>
  <c r="G77" i="37" l="1"/>
  <c r="I77" i="37" s="1"/>
  <c r="C78" i="37" s="1"/>
  <c r="A156" i="37"/>
  <c r="D155" i="37"/>
  <c r="B155" i="37"/>
  <c r="BM25" i="37" l="1"/>
  <c r="BM27" i="37" s="1"/>
  <c r="F78" i="37"/>
  <c r="H78" i="37"/>
  <c r="BN26" i="37" s="1"/>
  <c r="D156" i="37"/>
  <c r="B156" i="37"/>
  <c r="A157" i="37"/>
  <c r="G78" i="37" l="1"/>
  <c r="I78" i="37" s="1"/>
  <c r="C79" i="37" s="1"/>
  <c r="A158" i="37"/>
  <c r="D157" i="37"/>
  <c r="B157" i="37"/>
  <c r="BN25" i="37" l="1"/>
  <c r="BN27" i="37" s="1"/>
  <c r="F79" i="37"/>
  <c r="H79" i="37"/>
  <c r="BO26" i="37" s="1"/>
  <c r="A159" i="37"/>
  <c r="D158" i="37"/>
  <c r="B158" i="37"/>
  <c r="G79" i="37" l="1"/>
  <c r="B159" i="37"/>
  <c r="D159" i="37"/>
  <c r="A160" i="37"/>
  <c r="BO25" i="37" l="1"/>
  <c r="BO27" i="37" s="1"/>
  <c r="I79" i="37"/>
  <c r="C80" i="37" s="1"/>
  <c r="D160" i="37"/>
  <c r="B160" i="37"/>
  <c r="A161" i="37"/>
  <c r="H80" i="37" l="1"/>
  <c r="BP26" i="37" s="1"/>
  <c r="F80" i="37"/>
  <c r="A162" i="37"/>
  <c r="B161" i="37"/>
  <c r="D161" i="37"/>
  <c r="G80" i="37" l="1"/>
  <c r="BP25" i="37" s="1"/>
  <c r="BP27" i="37" s="1"/>
  <c r="D162" i="37"/>
  <c r="B162" i="37"/>
  <c r="A163" i="37"/>
  <c r="I80" i="37" l="1"/>
  <c r="C81" i="37" s="1"/>
  <c r="H81" i="37" s="1"/>
  <c r="BQ26" i="37" s="1"/>
  <c r="A164" i="37"/>
  <c r="B163" i="37"/>
  <c r="D163" i="37"/>
  <c r="F81" i="37" l="1"/>
  <c r="G81" i="37" s="1"/>
  <c r="BQ25" i="37" s="1"/>
  <c r="BQ27" i="37" s="1"/>
  <c r="B164" i="37"/>
  <c r="A165" i="37"/>
  <c r="D164" i="37"/>
  <c r="I81" i="37" l="1"/>
  <c r="C82" i="37" s="1"/>
  <c r="F82" i="37" s="1"/>
  <c r="D165" i="37"/>
  <c r="A166" i="37"/>
  <c r="B165" i="37"/>
  <c r="H82" i="37" l="1"/>
  <c r="BR26" i="37" s="1"/>
  <c r="B166" i="37"/>
  <c r="D166" i="37"/>
  <c r="A167" i="37"/>
  <c r="G82" i="37" l="1"/>
  <c r="B167" i="37"/>
  <c r="A168" i="37"/>
  <c r="D167" i="37"/>
  <c r="BR25" i="37" l="1"/>
  <c r="BR27" i="37" s="1"/>
  <c r="I82" i="37"/>
  <c r="C83" i="37" s="1"/>
  <c r="D168" i="37"/>
  <c r="A169" i="37"/>
  <c r="B168" i="37"/>
  <c r="H83" i="37" l="1"/>
  <c r="BS26" i="37" s="1"/>
  <c r="F83" i="37"/>
  <c r="B169" i="37"/>
  <c r="A170" i="37"/>
  <c r="D169" i="37"/>
  <c r="G83" i="37" l="1"/>
  <c r="BS25" i="37" s="1"/>
  <c r="BS27" i="37" s="1"/>
  <c r="B170" i="37"/>
  <c r="D170" i="37"/>
  <c r="A171" i="37"/>
  <c r="I83" i="37" l="1"/>
  <c r="C84" i="37" s="1"/>
  <c r="F84" i="37" s="1"/>
  <c r="G87" i="37" s="1"/>
  <c r="A172" i="37"/>
  <c r="D171" i="37"/>
  <c r="B171" i="37"/>
  <c r="H84" i="37" l="1"/>
  <c r="BT26" i="37" s="1"/>
  <c r="L36" i="37"/>
  <c r="B172" i="37"/>
  <c r="A173" i="37"/>
  <c r="D172" i="37"/>
  <c r="G84" i="37" l="1"/>
  <c r="I84" i="37" s="1"/>
  <c r="C85" i="37" s="1"/>
  <c r="F85" i="37" s="1"/>
  <c r="D173" i="37"/>
  <c r="B173" i="37"/>
  <c r="A174" i="37"/>
  <c r="BT25" i="37" l="1"/>
  <c r="BT27" i="37" s="1"/>
  <c r="H85" i="37"/>
  <c r="G85" i="37" s="1"/>
  <c r="I85" i="37" s="1"/>
  <c r="C86" i="37" s="1"/>
  <c r="H86" i="37" s="1"/>
  <c r="B174" i="37"/>
  <c r="D174" i="37"/>
  <c r="A175" i="37"/>
  <c r="F86" i="37" l="1"/>
  <c r="G86" i="37" s="1"/>
  <c r="I86" i="37" s="1"/>
  <c r="C87" i="37" s="1"/>
  <c r="F87" i="37" s="1"/>
  <c r="D175" i="37"/>
  <c r="B175" i="37"/>
  <c r="A176" i="37"/>
  <c r="H87" i="37" l="1"/>
  <c r="I87" i="37"/>
  <c r="C88" i="37" s="1"/>
  <c r="H88" i="37" s="1"/>
  <c r="A177" i="37"/>
  <c r="D176" i="37"/>
  <c r="B176" i="37"/>
  <c r="F88" i="37" l="1"/>
  <c r="G88" i="37" s="1"/>
  <c r="I88" i="37" s="1"/>
  <c r="C89" i="37" s="1"/>
  <c r="A178" i="37"/>
  <c r="B177" i="37"/>
  <c r="D177" i="37"/>
  <c r="F89" i="37" l="1"/>
  <c r="H89" i="37"/>
  <c r="A179" i="37"/>
  <c r="B178" i="37"/>
  <c r="D178" i="37"/>
  <c r="G89" i="37" l="1"/>
  <c r="I89" i="37" s="1"/>
  <c r="C90" i="37" s="1"/>
  <c r="H90" i="37" s="1"/>
  <c r="A180" i="37"/>
  <c r="B179" i="37"/>
  <c r="D179" i="37"/>
  <c r="F90" i="37" l="1"/>
  <c r="G90" i="37" s="1"/>
  <c r="I90" i="37" s="1"/>
  <c r="C91" i="37" s="1"/>
  <c r="F91" i="37" s="1"/>
  <c r="A181" i="37"/>
  <c r="B180" i="37"/>
  <c r="D180" i="37"/>
  <c r="H91" i="37" l="1"/>
  <c r="G91" i="37" s="1"/>
  <c r="I91" i="37" s="1"/>
  <c r="C92" i="37" s="1"/>
  <c r="H92" i="37" s="1"/>
  <c r="B181" i="37"/>
  <c r="D181" i="37"/>
  <c r="A182" i="37"/>
  <c r="F92" i="37" l="1"/>
  <c r="G92" i="37" s="1"/>
  <c r="I92" i="37" s="1"/>
  <c r="C93" i="37" s="1"/>
  <c r="A183" i="37"/>
  <c r="B182" i="37"/>
  <c r="D182" i="37"/>
  <c r="F93" i="37" l="1"/>
  <c r="H93" i="37"/>
  <c r="D183" i="37"/>
  <c r="B183" i="37"/>
  <c r="A184" i="37"/>
  <c r="G93" i="37" l="1"/>
  <c r="I93" i="37" s="1"/>
  <c r="C94" i="37" s="1"/>
  <c r="A185" i="37"/>
  <c r="D184" i="37"/>
  <c r="B184" i="37"/>
  <c r="F94" i="37" l="1"/>
  <c r="H94" i="37"/>
  <c r="B185" i="37"/>
  <c r="A186" i="37"/>
  <c r="D185" i="37"/>
  <c r="G94" i="37" l="1"/>
  <c r="I94" i="37" s="1"/>
  <c r="C95" i="37" s="1"/>
  <c r="F95" i="37" s="1"/>
  <c r="A187" i="37"/>
  <c r="B186" i="37"/>
  <c r="D186" i="37"/>
  <c r="H95" i="37" l="1"/>
  <c r="G95" i="37" s="1"/>
  <c r="I95" i="37" s="1"/>
  <c r="C96" i="37" s="1"/>
  <c r="F96" i="37" s="1"/>
  <c r="A188" i="37"/>
  <c r="B187" i="37"/>
  <c r="D187" i="37"/>
  <c r="H96" i="37" l="1"/>
  <c r="G96" i="37" s="1"/>
  <c r="I96" i="37" s="1"/>
  <c r="C97" i="37" s="1"/>
  <c r="B188" i="37"/>
  <c r="D188" i="37"/>
  <c r="A189" i="37"/>
  <c r="F97" i="37" l="1"/>
  <c r="H97" i="37"/>
  <c r="B189" i="37"/>
  <c r="D189" i="37"/>
  <c r="A190" i="37"/>
  <c r="G97" i="37" l="1"/>
  <c r="I97" i="37" s="1"/>
  <c r="C98" i="37" s="1"/>
  <c r="F98" i="37" s="1"/>
  <c r="B190" i="37"/>
  <c r="D190" i="37"/>
  <c r="A191" i="37"/>
  <c r="H98" i="37" l="1"/>
  <c r="G98" i="37" s="1"/>
  <c r="I98" i="37" s="1"/>
  <c r="C99" i="37" s="1"/>
  <c r="D191" i="37"/>
  <c r="B191" i="37"/>
  <c r="A192" i="37"/>
  <c r="F99" i="37" l="1"/>
  <c r="H99" i="37"/>
  <c r="A193" i="37"/>
  <c r="B192" i="37"/>
  <c r="D192" i="37"/>
  <c r="G99" i="37" l="1"/>
  <c r="I99" i="37" s="1"/>
  <c r="C100" i="37" s="1"/>
  <c r="A194" i="37"/>
  <c r="D193" i="37"/>
  <c r="B193" i="37"/>
  <c r="H100" i="37" l="1"/>
  <c r="F100" i="37"/>
  <c r="B194" i="37"/>
  <c r="A195" i="37"/>
  <c r="D194" i="37"/>
  <c r="G100" i="37" l="1"/>
  <c r="I100" i="37" s="1"/>
  <c r="C101" i="37" s="1"/>
  <c r="H101" i="37" s="1"/>
  <c r="D195" i="37"/>
  <c r="B195" i="37"/>
  <c r="A196" i="37"/>
  <c r="F101" i="37" l="1"/>
  <c r="G101" i="37" s="1"/>
  <c r="I101" i="37" s="1"/>
  <c r="C102" i="37" s="1"/>
  <c r="A197" i="37"/>
  <c r="D196" i="37"/>
  <c r="B196" i="37"/>
  <c r="F102" i="37" l="1"/>
  <c r="H102" i="37"/>
  <c r="D197" i="37"/>
  <c r="A198" i="37"/>
  <c r="B197" i="37"/>
  <c r="G102" i="37" l="1"/>
  <c r="I102" i="37" s="1"/>
  <c r="C103" i="37" s="1"/>
  <c r="H103" i="37" s="1"/>
  <c r="A199" i="37"/>
  <c r="B198" i="37"/>
  <c r="D198" i="37"/>
  <c r="F103" i="37" l="1"/>
  <c r="G103" i="37" s="1"/>
  <c r="I103" i="37" s="1"/>
  <c r="C104" i="37" s="1"/>
  <c r="A200" i="37"/>
  <c r="B199" i="37"/>
  <c r="D199" i="37"/>
  <c r="F104" i="37" l="1"/>
  <c r="H104" i="37"/>
  <c r="B200" i="37"/>
  <c r="D200" i="37"/>
  <c r="A201" i="37"/>
  <c r="G104" i="37" l="1"/>
  <c r="I104" i="37" s="1"/>
  <c r="C105" i="37" s="1"/>
  <c r="A202" i="37"/>
  <c r="D201" i="37"/>
  <c r="B201" i="37"/>
  <c r="F105" i="37" l="1"/>
  <c r="H105" i="37"/>
  <c r="B202" i="37"/>
  <c r="D202" i="37"/>
  <c r="A203" i="37"/>
  <c r="G105" i="37" l="1"/>
  <c r="I105" i="37" s="1"/>
  <c r="C106" i="37" s="1"/>
  <c r="D203" i="37"/>
  <c r="B203" i="37"/>
  <c r="A204" i="37"/>
  <c r="H106" i="37" l="1"/>
  <c r="F106" i="37"/>
  <c r="D204" i="37"/>
  <c r="B204" i="37"/>
  <c r="A205" i="37"/>
  <c r="G106" i="37" l="1"/>
  <c r="I106" i="37" s="1"/>
  <c r="C107" i="37" s="1"/>
  <c r="F107" i="37" s="1"/>
  <c r="B205" i="37"/>
  <c r="D205" i="37"/>
  <c r="A206" i="37"/>
  <c r="H107" i="37" l="1"/>
  <c r="G107" i="37" s="1"/>
  <c r="I107" i="37" s="1"/>
  <c r="C108" i="37" s="1"/>
  <c r="A207" i="37"/>
  <c r="D206" i="37"/>
  <c r="B206" i="37"/>
  <c r="H108" i="37" l="1"/>
  <c r="F108" i="37"/>
  <c r="B207" i="37"/>
  <c r="D207" i="37"/>
  <c r="A208" i="37"/>
  <c r="G108" i="37" l="1"/>
  <c r="I108" i="37" s="1"/>
  <c r="C109" i="37" s="1"/>
  <c r="F109" i="37" s="1"/>
  <c r="D208" i="37"/>
  <c r="B208" i="37"/>
  <c r="A209" i="37"/>
  <c r="H109" i="37" l="1"/>
  <c r="G109" i="37" s="1"/>
  <c r="I109" i="37" s="1"/>
  <c r="C110" i="37" s="1"/>
  <c r="B209" i="37"/>
  <c r="A210" i="37"/>
  <c r="D209" i="37"/>
  <c r="F110" i="37" l="1"/>
  <c r="H110" i="37"/>
  <c r="D210" i="37"/>
  <c r="B210" i="37"/>
  <c r="A211" i="37"/>
  <c r="G110" i="37" l="1"/>
  <c r="I110" i="37" s="1"/>
  <c r="C111" i="37" s="1"/>
  <c r="F111" i="37" s="1"/>
  <c r="D211" i="37"/>
  <c r="B211" i="37"/>
  <c r="A212" i="37"/>
  <c r="H111" i="37" l="1"/>
  <c r="G111" i="37" s="1"/>
  <c r="I111" i="37" s="1"/>
  <c r="C112" i="37" s="1"/>
  <c r="F112" i="37" s="1"/>
  <c r="D212" i="37"/>
  <c r="B212" i="37"/>
  <c r="A213" i="37"/>
  <c r="H112" i="37" l="1"/>
  <c r="G112" i="37" s="1"/>
  <c r="I112" i="37" s="1"/>
  <c r="C113" i="37" s="1"/>
  <c r="B213" i="37"/>
  <c r="D213" i="37"/>
  <c r="A214" i="37"/>
  <c r="H113" i="37" l="1"/>
  <c r="F113" i="37"/>
  <c r="B214" i="37"/>
  <c r="A215" i="37"/>
  <c r="D214" i="37"/>
  <c r="G113" i="37" l="1"/>
  <c r="I113" i="37" s="1"/>
  <c r="C114" i="37" s="1"/>
  <c r="H114" i="37" s="1"/>
  <c r="B215" i="37"/>
  <c r="D215" i="37"/>
  <c r="A216" i="37"/>
  <c r="F114" i="37" l="1"/>
  <c r="G114" i="37" s="1"/>
  <c r="I114" i="37" s="1"/>
  <c r="C115" i="37" s="1"/>
  <c r="B216" i="37"/>
  <c r="A217" i="37"/>
  <c r="D216" i="37"/>
  <c r="H115" i="37" l="1"/>
  <c r="F115" i="37"/>
  <c r="A218" i="37"/>
  <c r="B217" i="37"/>
  <c r="D217" i="37"/>
  <c r="G115" i="37" l="1"/>
  <c r="I115" i="37" s="1"/>
  <c r="C116" i="37" s="1"/>
  <c r="D218" i="37"/>
  <c r="A219" i="37"/>
  <c r="B218" i="37"/>
  <c r="H116" i="37" l="1"/>
  <c r="F116" i="37"/>
  <c r="D219" i="37"/>
  <c r="A220" i="37"/>
  <c r="B219" i="37"/>
  <c r="G116" i="37" l="1"/>
  <c r="I116" i="37" s="1"/>
  <c r="C117" i="37" s="1"/>
  <c r="F117" i="37" s="1"/>
  <c r="B220" i="37"/>
  <c r="D220" i="37"/>
  <c r="A221" i="37"/>
  <c r="H117" i="37" l="1"/>
  <c r="G117" i="37" s="1"/>
  <c r="I117" i="37" s="1"/>
  <c r="C118" i="37" s="1"/>
  <c r="H118" i="37" s="1"/>
  <c r="A222" i="37"/>
  <c r="B221" i="37"/>
  <c r="D221" i="37"/>
  <c r="F118" i="37" l="1"/>
  <c r="G118" i="37" s="1"/>
  <c r="I118" i="37" s="1"/>
  <c r="C119" i="37" s="1"/>
  <c r="A223" i="37"/>
  <c r="D222" i="37"/>
  <c r="B222" i="37"/>
  <c r="F119" i="37" l="1"/>
  <c r="H119" i="37"/>
  <c r="B223" i="37"/>
  <c r="A224" i="37"/>
  <c r="D223" i="37"/>
  <c r="G119" i="37" l="1"/>
  <c r="I119" i="37" s="1"/>
  <c r="C120" i="37" s="1"/>
  <c r="H120" i="37" s="1"/>
  <c r="B224" i="37"/>
  <c r="D224" i="37"/>
  <c r="A225" i="37"/>
  <c r="F120" i="37" l="1"/>
  <c r="G120" i="37" s="1"/>
  <c r="I120" i="37" s="1"/>
  <c r="C121" i="37" s="1"/>
  <c r="H121" i="37" s="1"/>
  <c r="D225" i="37"/>
  <c r="B225" i="37"/>
  <c r="A226" i="37"/>
  <c r="F121" i="37" l="1"/>
  <c r="G121" i="37" s="1"/>
  <c r="I121" i="37" s="1"/>
  <c r="C122" i="37" s="1"/>
  <c r="D226" i="37"/>
  <c r="A227" i="37"/>
  <c r="B226" i="37"/>
  <c r="H122" i="37" l="1"/>
  <c r="F122" i="37"/>
  <c r="A228" i="37"/>
  <c r="B227" i="37"/>
  <c r="D227" i="37"/>
  <c r="G122" i="37" l="1"/>
  <c r="I122" i="37" s="1"/>
  <c r="C123" i="37" s="1"/>
  <c r="F123" i="37" s="1"/>
  <c r="A229" i="37"/>
  <c r="B228" i="37"/>
  <c r="D228" i="37"/>
  <c r="H123" i="37" l="1"/>
  <c r="G123" i="37" s="1"/>
  <c r="I123" i="37" s="1"/>
  <c r="C124" i="37" s="1"/>
  <c r="H124" i="37" s="1"/>
  <c r="D229" i="37"/>
  <c r="B229" i="37"/>
  <c r="A230" i="37"/>
  <c r="F124" i="37" l="1"/>
  <c r="G124" i="37" s="1"/>
  <c r="I124" i="37" s="1"/>
  <c r="C125" i="37" s="1"/>
  <c r="H125" i="37" s="1"/>
  <c r="B230" i="37"/>
  <c r="D230" i="37"/>
  <c r="A231" i="37"/>
  <c r="F125" i="37" l="1"/>
  <c r="G125" i="37" s="1"/>
  <c r="I125" i="37" s="1"/>
  <c r="C126" i="37" s="1"/>
  <c r="H126" i="37" s="1"/>
  <c r="A232" i="37"/>
  <c r="B231" i="37"/>
  <c r="D231" i="37"/>
  <c r="F126" i="37" l="1"/>
  <c r="G126" i="37" s="1"/>
  <c r="I126" i="37" s="1"/>
  <c r="C127" i="37" s="1"/>
  <c r="H127" i="37" s="1"/>
  <c r="D232" i="37"/>
  <c r="B232" i="37"/>
  <c r="A233" i="37"/>
  <c r="F127" i="37" l="1"/>
  <c r="G127" i="37" s="1"/>
  <c r="I127" i="37" s="1"/>
  <c r="C128" i="37" s="1"/>
  <c r="H128" i="37" s="1"/>
  <c r="B233" i="37"/>
  <c r="D233" i="37"/>
  <c r="A234" i="37"/>
  <c r="F128" i="37" l="1"/>
  <c r="G128" i="37" s="1"/>
  <c r="I128" i="37" s="1"/>
  <c r="C129" i="37" s="1"/>
  <c r="H129" i="37" s="1"/>
  <c r="A235" i="37"/>
  <c r="D234" i="37"/>
  <c r="B234" i="37"/>
  <c r="F129" i="37" l="1"/>
  <c r="G129" i="37" s="1"/>
  <c r="I129" i="37" s="1"/>
  <c r="C130" i="37" s="1"/>
  <c r="F130" i="37" s="1"/>
  <c r="B235" i="37"/>
  <c r="D235" i="37"/>
  <c r="A236" i="37"/>
  <c r="H130" i="37" l="1"/>
  <c r="G130" i="37" s="1"/>
  <c r="I130" i="37" s="1"/>
  <c r="C131" i="37" s="1"/>
  <c r="H131" i="37" s="1"/>
  <c r="B236" i="37"/>
  <c r="D236" i="37"/>
  <c r="A237" i="37"/>
  <c r="F131" i="37" l="1"/>
  <c r="G131" i="37" s="1"/>
  <c r="I131" i="37" s="1"/>
  <c r="C132" i="37" s="1"/>
  <c r="F132" i="37" s="1"/>
  <c r="D237" i="37"/>
  <c r="B237" i="37"/>
  <c r="A238" i="37"/>
  <c r="H132" i="37" l="1"/>
  <c r="G132" i="37" s="1"/>
  <c r="I132" i="37" s="1"/>
  <c r="C133" i="37" s="1"/>
  <c r="H133" i="37" s="1"/>
  <c r="D238" i="37"/>
  <c r="B238" i="37"/>
  <c r="A239" i="37"/>
  <c r="F133" i="37" l="1"/>
  <c r="G133" i="37" s="1"/>
  <c r="I133" i="37" s="1"/>
  <c r="C134" i="37" s="1"/>
  <c r="H134" i="37" s="1"/>
  <c r="A240" i="37"/>
  <c r="B239" i="37"/>
  <c r="D239" i="37"/>
  <c r="F134" i="37" l="1"/>
  <c r="G134" i="37" s="1"/>
  <c r="I134" i="37" s="1"/>
  <c r="C135" i="37" s="1"/>
  <c r="F135" i="37" s="1"/>
  <c r="D240" i="37"/>
  <c r="B240" i="37"/>
  <c r="A241" i="37"/>
  <c r="H135" i="37" l="1"/>
  <c r="G135" i="37" s="1"/>
  <c r="I135" i="37" s="1"/>
  <c r="C136" i="37" s="1"/>
  <c r="H136" i="37" s="1"/>
  <c r="B241" i="37"/>
  <c r="D241" i="37"/>
  <c r="A242" i="37"/>
  <c r="F136" i="37" l="1"/>
  <c r="G136" i="37" s="1"/>
  <c r="I136" i="37" s="1"/>
  <c r="C137" i="37" s="1"/>
  <c r="H137" i="37" s="1"/>
  <c r="B242" i="37"/>
  <c r="D242" i="37"/>
  <c r="A243" i="37"/>
  <c r="F137" i="37" l="1"/>
  <c r="G137" i="37" s="1"/>
  <c r="I137" i="37" s="1"/>
  <c r="C138" i="37" s="1"/>
  <c r="F138" i="37" s="1"/>
  <c r="A244" i="37"/>
  <c r="B243" i="37"/>
  <c r="D243" i="37"/>
  <c r="H138" i="37" l="1"/>
  <c r="G138" i="37" s="1"/>
  <c r="I138" i="37" s="1"/>
  <c r="C139" i="37" s="1"/>
  <c r="F139" i="37" s="1"/>
  <c r="B244" i="37"/>
  <c r="D244" i="37"/>
  <c r="A245" i="37"/>
  <c r="H139" i="37" l="1"/>
  <c r="G139" i="37" s="1"/>
  <c r="I139" i="37" s="1"/>
  <c r="C140" i="37" s="1"/>
  <c r="H140" i="37" s="1"/>
  <c r="A246" i="37"/>
  <c r="B245" i="37"/>
  <c r="D245" i="37"/>
  <c r="F140" i="37" l="1"/>
  <c r="G140" i="37" s="1"/>
  <c r="I140" i="37" s="1"/>
  <c r="C141" i="37" s="1"/>
  <c r="H141" i="37" s="1"/>
  <c r="B246" i="37"/>
  <c r="A247" i="37"/>
  <c r="D246" i="37"/>
  <c r="F141" i="37" l="1"/>
  <c r="G141" i="37" s="1"/>
  <c r="I141" i="37" s="1"/>
  <c r="C142" i="37" s="1"/>
  <c r="H142" i="37" s="1"/>
  <c r="B247" i="37"/>
  <c r="A248" i="37"/>
  <c r="D247" i="37"/>
  <c r="F142" i="37" l="1"/>
  <c r="G142" i="37" s="1"/>
  <c r="I142" i="37" s="1"/>
  <c r="C143" i="37" s="1"/>
  <c r="H143" i="37" s="1"/>
  <c r="B248" i="37"/>
  <c r="D248" i="37"/>
  <c r="A249" i="37"/>
  <c r="F143" i="37" l="1"/>
  <c r="G143" i="37" s="1"/>
  <c r="I143" i="37" s="1"/>
  <c r="C144" i="37" s="1"/>
  <c r="H144" i="37" s="1"/>
  <c r="A250" i="37"/>
  <c r="B249" i="37"/>
  <c r="D249" i="37"/>
  <c r="I144" i="37" l="1"/>
  <c r="C145" i="37" s="1"/>
  <c r="I145" i="37" s="1"/>
  <c r="C146" i="37" s="1"/>
  <c r="E146" i="37" s="1"/>
  <c r="I146" i="37" s="1"/>
  <c r="C147" i="37" s="1"/>
  <c r="H147" i="37" s="1"/>
  <c r="F144" i="37"/>
  <c r="G144" i="37" s="1"/>
  <c r="B250" i="37"/>
  <c r="A251" i="37"/>
  <c r="D250" i="37"/>
  <c r="H145" i="37" l="1"/>
  <c r="H146" i="37"/>
  <c r="F145" i="37"/>
  <c r="E147" i="37"/>
  <c r="I147" i="37" s="1"/>
  <c r="C148" i="37" s="1"/>
  <c r="F146" i="37"/>
  <c r="G146" i="37" s="1"/>
  <c r="B251" i="37"/>
  <c r="A252" i="37"/>
  <c r="D251" i="37"/>
  <c r="G145" i="37" l="1"/>
  <c r="F147" i="37"/>
  <c r="G147" i="37" s="1"/>
  <c r="H148" i="37"/>
  <c r="E148" i="37"/>
  <c r="D252" i="37"/>
  <c r="B252" i="37"/>
  <c r="A253" i="37"/>
  <c r="F148" i="37" l="1"/>
  <c r="G148" i="37" s="1"/>
  <c r="I148" i="37"/>
  <c r="C149" i="37" s="1"/>
  <c r="B253" i="37"/>
  <c r="D253" i="37"/>
  <c r="A254" i="37"/>
  <c r="E149" i="37" l="1"/>
  <c r="H149" i="37"/>
  <c r="D254" i="37"/>
  <c r="B254" i="37"/>
  <c r="A255" i="37"/>
  <c r="F149" i="37" l="1"/>
  <c r="G149" i="37" s="1"/>
  <c r="I149" i="37"/>
  <c r="C150" i="37" s="1"/>
  <c r="D255" i="37"/>
  <c r="B255" i="37"/>
  <c r="A256" i="37"/>
  <c r="H150" i="37" l="1"/>
  <c r="E150" i="37"/>
  <c r="B256" i="37"/>
  <c r="D256" i="37"/>
  <c r="A257" i="37"/>
  <c r="I150" i="37" l="1"/>
  <c r="C151" i="37" s="1"/>
  <c r="F150" i="37"/>
  <c r="G150" i="37" s="1"/>
  <c r="B257" i="37"/>
  <c r="D257" i="37"/>
  <c r="A258" i="37"/>
  <c r="E151" i="37" l="1"/>
  <c r="H151" i="37"/>
  <c r="A259" i="37"/>
  <c r="B258" i="37"/>
  <c r="D258" i="37"/>
  <c r="F151" i="37" l="1"/>
  <c r="G151" i="37" s="1"/>
  <c r="I151" i="37"/>
  <c r="C152" i="37" s="1"/>
  <c r="A260" i="37"/>
  <c r="B259" i="37"/>
  <c r="D259" i="37"/>
  <c r="H152" i="37" l="1"/>
  <c r="E152" i="37"/>
  <c r="A261" i="37"/>
  <c r="D260" i="37"/>
  <c r="B260" i="37"/>
  <c r="I152" i="37" l="1"/>
  <c r="C153" i="37" s="1"/>
  <c r="F152" i="37"/>
  <c r="G152" i="37" s="1"/>
  <c r="D261" i="37"/>
  <c r="B261" i="37"/>
  <c r="A262" i="37"/>
  <c r="E153" i="37" l="1"/>
  <c r="H153" i="37"/>
  <c r="A263" i="37"/>
  <c r="B262" i="37"/>
  <c r="D262" i="37"/>
  <c r="I153" i="37" l="1"/>
  <c r="C154" i="37" s="1"/>
  <c r="F153" i="37"/>
  <c r="G153" i="37" s="1"/>
  <c r="D263" i="37"/>
  <c r="B263" i="37"/>
  <c r="A264" i="37"/>
  <c r="H154" i="37" l="1"/>
  <c r="E154" i="37"/>
  <c r="B264" i="37"/>
  <c r="D264" i="37"/>
  <c r="A265" i="37"/>
  <c r="F154" i="37" l="1"/>
  <c r="G154" i="37" s="1"/>
  <c r="I154" i="37"/>
  <c r="C155" i="37" s="1"/>
  <c r="A266" i="37"/>
  <c r="B265" i="37"/>
  <c r="D265" i="37"/>
  <c r="E155" i="37" l="1"/>
  <c r="H155" i="37"/>
  <c r="A267" i="37"/>
  <c r="B266" i="37"/>
  <c r="D266" i="37"/>
  <c r="F155" i="37" l="1"/>
  <c r="G155" i="37" s="1"/>
  <c r="I155" i="37"/>
  <c r="C156" i="37" s="1"/>
  <c r="B267" i="37"/>
  <c r="D267" i="37"/>
  <c r="A268" i="37"/>
  <c r="H156" i="37" l="1"/>
  <c r="E156" i="37"/>
  <c r="B268" i="37"/>
  <c r="D268" i="37"/>
  <c r="A269" i="37"/>
  <c r="I156" i="37" l="1"/>
  <c r="C157" i="37" s="1"/>
  <c r="F156" i="37"/>
  <c r="G156" i="37" s="1"/>
  <c r="D269" i="37"/>
  <c r="B269" i="37"/>
  <c r="A270" i="37"/>
  <c r="H157" i="37" l="1"/>
  <c r="E157" i="37"/>
  <c r="B270" i="37"/>
  <c r="A271" i="37"/>
  <c r="D270" i="37"/>
  <c r="I157" i="37" l="1"/>
  <c r="C158" i="37" s="1"/>
  <c r="F157" i="37"/>
  <c r="G157" i="37" s="1"/>
  <c r="B271" i="37"/>
  <c r="D271" i="37"/>
  <c r="A272" i="37"/>
  <c r="E158" i="37" l="1"/>
  <c r="H158" i="37"/>
  <c r="B272" i="37"/>
  <c r="D272" i="37"/>
  <c r="A273" i="37"/>
  <c r="F158" i="37" l="1"/>
  <c r="G158" i="37" s="1"/>
  <c r="I158" i="37"/>
  <c r="C159" i="37" s="1"/>
  <c r="A274" i="37"/>
  <c r="B273" i="37"/>
  <c r="D273" i="37"/>
  <c r="H159" i="37" l="1"/>
  <c r="E159" i="37"/>
  <c r="B274" i="37"/>
  <c r="A275" i="37"/>
  <c r="D274" i="37"/>
  <c r="I159" i="37" l="1"/>
  <c r="C160" i="37" s="1"/>
  <c r="F159" i="37"/>
  <c r="G159" i="37" s="1"/>
  <c r="B275" i="37"/>
  <c r="D275" i="37"/>
  <c r="A276" i="37"/>
  <c r="H160" i="37" l="1"/>
  <c r="E160" i="37"/>
  <c r="D276" i="37"/>
  <c r="B276" i="37"/>
  <c r="A277" i="37"/>
  <c r="F160" i="37" l="1"/>
  <c r="G160" i="37" s="1"/>
  <c r="I160" i="37"/>
  <c r="C161" i="37" s="1"/>
  <c r="D277" i="37"/>
  <c r="A278" i="37"/>
  <c r="B277" i="37"/>
  <c r="H161" i="37" l="1"/>
  <c r="E161" i="37"/>
  <c r="A279" i="37"/>
  <c r="B278" i="37"/>
  <c r="D278" i="37"/>
  <c r="F161" i="37" l="1"/>
  <c r="G161" i="37" s="1"/>
  <c r="I161" i="37"/>
  <c r="C162" i="37" s="1"/>
  <c r="D279" i="37"/>
  <c r="B279" i="37"/>
  <c r="A280" i="37"/>
  <c r="E162" i="37" l="1"/>
  <c r="H162" i="37"/>
  <c r="B280" i="37"/>
  <c r="D280" i="37"/>
  <c r="A281" i="37"/>
  <c r="I162" i="37" l="1"/>
  <c r="C163" i="37" s="1"/>
  <c r="F162" i="37"/>
  <c r="G162" i="37" s="1"/>
  <c r="B281" i="37"/>
  <c r="A282" i="37"/>
  <c r="D281" i="37"/>
  <c r="H163" i="37" l="1"/>
  <c r="E163" i="37"/>
  <c r="A283" i="37"/>
  <c r="B282" i="37"/>
  <c r="D282" i="37"/>
  <c r="F163" i="37" l="1"/>
  <c r="G163" i="37" s="1"/>
  <c r="I163" i="37"/>
  <c r="C164" i="37" s="1"/>
  <c r="B283" i="37"/>
  <c r="D283" i="37"/>
  <c r="A284" i="37"/>
  <c r="H164" i="37" l="1"/>
  <c r="E164" i="37"/>
  <c r="B284" i="37"/>
  <c r="D284" i="37"/>
  <c r="A285" i="37"/>
  <c r="I164" i="37" l="1"/>
  <c r="C165" i="37" s="1"/>
  <c r="F164" i="37"/>
  <c r="G164" i="37" s="1"/>
  <c r="A286" i="37"/>
  <c r="B285" i="37"/>
  <c r="D285" i="37"/>
  <c r="H165" i="37" l="1"/>
  <c r="E165" i="37"/>
  <c r="B286" i="37"/>
  <c r="D286" i="37"/>
  <c r="A287" i="37"/>
  <c r="F165" i="37" l="1"/>
  <c r="G165" i="37" s="1"/>
  <c r="I165" i="37"/>
  <c r="C166" i="37" s="1"/>
  <c r="D287" i="37"/>
  <c r="A288" i="37"/>
  <c r="B287" i="37"/>
  <c r="H166" i="37" l="1"/>
  <c r="E166" i="37"/>
  <c r="B288" i="37"/>
  <c r="D288" i="37"/>
  <c r="A289" i="37"/>
  <c r="I166" i="37" l="1"/>
  <c r="C167" i="37" s="1"/>
  <c r="F166" i="37"/>
  <c r="G166" i="37" s="1"/>
  <c r="A290" i="37"/>
  <c r="D289" i="37"/>
  <c r="B289" i="37"/>
  <c r="H167" i="37" l="1"/>
  <c r="E167" i="37"/>
  <c r="A291" i="37"/>
  <c r="B290" i="37"/>
  <c r="D290" i="37"/>
  <c r="F167" i="37" l="1"/>
  <c r="G167" i="37" s="1"/>
  <c r="I167" i="37"/>
  <c r="C168" i="37" s="1"/>
  <c r="B291" i="37"/>
  <c r="D291" i="37"/>
  <c r="A292" i="37"/>
  <c r="H168" i="37" l="1"/>
  <c r="E168" i="37"/>
  <c r="B292" i="37"/>
  <c r="D292" i="37"/>
  <c r="A293" i="37"/>
  <c r="I168" i="37" l="1"/>
  <c r="C169" i="37" s="1"/>
  <c r="F168" i="37"/>
  <c r="G168" i="37" s="1"/>
  <c r="A294" i="37"/>
  <c r="D293" i="37"/>
  <c r="B293" i="37"/>
  <c r="H169" i="37" l="1"/>
  <c r="E169" i="37"/>
  <c r="B294" i="37"/>
  <c r="A295" i="37"/>
  <c r="D294" i="37"/>
  <c r="F169" i="37" l="1"/>
  <c r="G169" i="37" s="1"/>
  <c r="I169" i="37"/>
  <c r="C170" i="37" s="1"/>
  <c r="A296" i="37"/>
  <c r="B295" i="37"/>
  <c r="D295" i="37"/>
  <c r="H170" i="37" l="1"/>
  <c r="E170" i="37"/>
  <c r="B296" i="37"/>
  <c r="D296" i="37"/>
  <c r="A297" i="37"/>
  <c r="F170" i="37" l="1"/>
  <c r="G170" i="37" s="1"/>
  <c r="I170" i="37"/>
  <c r="C171" i="37" s="1"/>
  <c r="A298" i="37"/>
  <c r="B297" i="37"/>
  <c r="D297" i="37"/>
  <c r="E171" i="37" l="1"/>
  <c r="H171" i="37"/>
  <c r="B298" i="37"/>
  <c r="A299" i="37"/>
  <c r="D298" i="37"/>
  <c r="F171" i="37" l="1"/>
  <c r="G171" i="37" s="1"/>
  <c r="I171" i="37"/>
  <c r="C172" i="37" s="1"/>
  <c r="B299" i="37"/>
  <c r="D299" i="37"/>
  <c r="A300" i="37"/>
  <c r="E172" i="37" l="1"/>
  <c r="H172" i="37"/>
  <c r="B300" i="37"/>
  <c r="D300" i="37"/>
  <c r="A301" i="37"/>
  <c r="F172" i="37" l="1"/>
  <c r="G172" i="37" s="1"/>
  <c r="I172" i="37"/>
  <c r="C173" i="37" s="1"/>
  <c r="A302" i="37"/>
  <c r="B301" i="37"/>
  <c r="D301" i="37"/>
  <c r="H173" i="37" l="1"/>
  <c r="E173" i="37"/>
  <c r="A303" i="37"/>
  <c r="B302" i="37"/>
  <c r="D302" i="37"/>
  <c r="F173" i="37" l="1"/>
  <c r="G173" i="37" s="1"/>
  <c r="I173" i="37"/>
  <c r="C174" i="37" s="1"/>
  <c r="A304" i="37"/>
  <c r="D303" i="37"/>
  <c r="B303" i="37"/>
  <c r="H174" i="37" l="1"/>
  <c r="E174" i="37"/>
  <c r="B304" i="37"/>
  <c r="D304" i="37"/>
  <c r="A305" i="37"/>
  <c r="F174" i="37" l="1"/>
  <c r="G174" i="37" s="1"/>
  <c r="I174" i="37"/>
  <c r="C175" i="37" s="1"/>
  <c r="A306" i="37"/>
  <c r="B305" i="37"/>
  <c r="D305" i="37"/>
  <c r="E175" i="37" l="1"/>
  <c r="H175" i="37"/>
  <c r="B306" i="37"/>
  <c r="A307" i="37"/>
  <c r="D306" i="37"/>
  <c r="I175" i="37" l="1"/>
  <c r="C176" i="37" s="1"/>
  <c r="F175" i="37"/>
  <c r="G175" i="37" s="1"/>
  <c r="B307" i="37"/>
  <c r="D307" i="37"/>
  <c r="A308" i="37"/>
  <c r="E176" i="37" l="1"/>
  <c r="H176" i="37"/>
  <c r="B308" i="37"/>
  <c r="D308" i="37"/>
  <c r="A309" i="37"/>
  <c r="F176" i="37" l="1"/>
  <c r="G176" i="37" s="1"/>
  <c r="I176" i="37"/>
  <c r="C177" i="37" s="1"/>
  <c r="B309" i="37"/>
  <c r="D309" i="37"/>
  <c r="A310" i="37"/>
  <c r="E177" i="37" l="1"/>
  <c r="H177" i="37"/>
  <c r="B310" i="37"/>
  <c r="D310" i="37"/>
  <c r="A311" i="37"/>
  <c r="I177" i="37" l="1"/>
  <c r="C178" i="37" s="1"/>
  <c r="F177" i="37"/>
  <c r="G177" i="37" s="1"/>
  <c r="B311" i="37"/>
  <c r="A312" i="37"/>
  <c r="D311" i="37"/>
  <c r="H178" i="37" l="1"/>
  <c r="E178" i="37"/>
  <c r="B312" i="37"/>
  <c r="A313" i="37"/>
  <c r="D312" i="37"/>
  <c r="I178" i="37" l="1"/>
  <c r="C179" i="37" s="1"/>
  <c r="F178" i="37"/>
  <c r="G178" i="37" s="1"/>
  <c r="A314" i="37"/>
  <c r="B313" i="37"/>
  <c r="D313" i="37"/>
  <c r="E179" i="37" l="1"/>
  <c r="H179" i="37"/>
  <c r="B314" i="37"/>
  <c r="A315" i="37"/>
  <c r="D314" i="37"/>
  <c r="F179" i="37" l="1"/>
  <c r="G179" i="37" s="1"/>
  <c r="I179" i="37"/>
  <c r="C180" i="37" s="1"/>
  <c r="B315" i="37"/>
  <c r="D315" i="37"/>
  <c r="A316" i="37"/>
  <c r="H180" i="37" l="1"/>
  <c r="E180" i="37"/>
  <c r="A317" i="37"/>
  <c r="B316" i="37"/>
  <c r="D316" i="37"/>
  <c r="I180" i="37" l="1"/>
  <c r="C181" i="37" s="1"/>
  <c r="F180" i="37"/>
  <c r="G180" i="37" s="1"/>
  <c r="A318" i="37"/>
  <c r="D317" i="37"/>
  <c r="B317" i="37"/>
  <c r="E181" i="37" l="1"/>
  <c r="H181" i="37"/>
  <c r="B318" i="37"/>
  <c r="D318" i="37"/>
  <c r="A319" i="37"/>
  <c r="I181" i="37" l="1"/>
  <c r="C182" i="37" s="1"/>
  <c r="F181" i="37"/>
  <c r="G181" i="37" s="1"/>
  <c r="A320" i="37"/>
  <c r="D319" i="37"/>
  <c r="B319" i="37"/>
  <c r="H182" i="37" l="1"/>
  <c r="E182" i="37"/>
  <c r="A321" i="37"/>
  <c r="B320" i="37"/>
  <c r="D320" i="37"/>
  <c r="I182" i="37" l="1"/>
  <c r="C183" i="37" s="1"/>
  <c r="F182" i="37"/>
  <c r="G182" i="37" s="1"/>
  <c r="A322" i="37"/>
  <c r="B321" i="37"/>
  <c r="D321" i="37"/>
  <c r="H183" i="37" l="1"/>
  <c r="E183" i="37"/>
  <c r="B322" i="37"/>
  <c r="D322" i="37"/>
  <c r="A323" i="37"/>
  <c r="I183" i="37" l="1"/>
  <c r="C184" i="37" s="1"/>
  <c r="F183" i="37"/>
  <c r="G183" i="37" s="1"/>
  <c r="B323" i="37"/>
  <c r="D323" i="37"/>
  <c r="A324" i="37"/>
  <c r="H184" i="37" l="1"/>
  <c r="E184" i="37"/>
  <c r="B324" i="37"/>
  <c r="A325" i="37"/>
  <c r="D324" i="37"/>
  <c r="I184" i="37" l="1"/>
  <c r="C185" i="37" s="1"/>
  <c r="F184" i="37"/>
  <c r="G184" i="37" s="1"/>
  <c r="B325" i="37"/>
  <c r="D325" i="37"/>
  <c r="A326" i="37"/>
  <c r="H185" i="37" l="1"/>
  <c r="E185" i="37"/>
  <c r="B326" i="37"/>
  <c r="D326" i="37"/>
  <c r="A327" i="37"/>
  <c r="I185" i="37" l="1"/>
  <c r="C186" i="37" s="1"/>
  <c r="F185" i="37"/>
  <c r="G185" i="37" s="1"/>
  <c r="B327" i="37"/>
  <c r="A328" i="37"/>
  <c r="D327" i="37"/>
  <c r="H186" i="37" l="1"/>
  <c r="E186" i="37"/>
  <c r="D328" i="37"/>
  <c r="A329" i="37"/>
  <c r="B328" i="37"/>
  <c r="F186" i="37" l="1"/>
  <c r="G186" i="37" s="1"/>
  <c r="I186" i="37"/>
  <c r="C187" i="37" s="1"/>
  <c r="A330" i="37"/>
  <c r="B329" i="37"/>
  <c r="D329" i="37"/>
  <c r="H187" i="37" l="1"/>
  <c r="E187" i="37"/>
  <c r="D330" i="37"/>
  <c r="B330" i="37"/>
  <c r="A331" i="37"/>
  <c r="F187" i="37" l="1"/>
  <c r="G187" i="37" s="1"/>
  <c r="I187" i="37"/>
  <c r="C188" i="37" s="1"/>
  <c r="A332" i="37"/>
  <c r="B331" i="37"/>
  <c r="D331" i="37"/>
  <c r="E188" i="37" l="1"/>
  <c r="H188" i="37"/>
  <c r="A333" i="37"/>
  <c r="B332" i="37"/>
  <c r="D332" i="37"/>
  <c r="I188" i="37" l="1"/>
  <c r="C189" i="37" s="1"/>
  <c r="F188" i="37"/>
  <c r="G188" i="37" s="1"/>
  <c r="B333" i="37"/>
  <c r="D333" i="37"/>
  <c r="A334" i="37"/>
  <c r="E189" i="37" l="1"/>
  <c r="H189" i="37"/>
  <c r="B334" i="37"/>
  <c r="D334" i="37"/>
  <c r="A335" i="37"/>
  <c r="F189" i="37" l="1"/>
  <c r="G189" i="37" s="1"/>
  <c r="I189" i="37"/>
  <c r="C190" i="37" s="1"/>
  <c r="A336" i="37"/>
  <c r="B335" i="37"/>
  <c r="D335" i="37"/>
  <c r="H190" i="37" l="1"/>
  <c r="E190" i="37"/>
  <c r="A337" i="37"/>
  <c r="B336" i="37"/>
  <c r="D336" i="37"/>
  <c r="F190" i="37" l="1"/>
  <c r="G190" i="37" s="1"/>
  <c r="I190" i="37"/>
  <c r="C191" i="37" s="1"/>
  <c r="A338" i="37"/>
  <c r="D337" i="37"/>
  <c r="B337" i="37"/>
  <c r="H191" i="37" l="1"/>
  <c r="E191" i="37"/>
  <c r="B338" i="37"/>
  <c r="A339" i="37"/>
  <c r="D338" i="37"/>
  <c r="I191" i="37" l="1"/>
  <c r="C192" i="37" s="1"/>
  <c r="F191" i="37"/>
  <c r="G191" i="37" s="1"/>
  <c r="A340" i="37"/>
  <c r="D339" i="37"/>
  <c r="B339" i="37"/>
  <c r="H192" i="37" l="1"/>
  <c r="E192" i="37"/>
  <c r="B340" i="37"/>
  <c r="A341" i="37"/>
  <c r="D340" i="37"/>
  <c r="I192" i="37" l="1"/>
  <c r="C193" i="37" s="1"/>
  <c r="F192" i="37"/>
  <c r="G192" i="37" s="1"/>
  <c r="B341" i="37"/>
  <c r="D341" i="37"/>
  <c r="A342" i="37"/>
  <c r="H193" i="37" l="1"/>
  <c r="E193" i="37"/>
  <c r="D342" i="37"/>
  <c r="B342" i="37"/>
  <c r="A343" i="37"/>
  <c r="I193" i="37" l="1"/>
  <c r="C194" i="37" s="1"/>
  <c r="F193" i="37"/>
  <c r="G193" i="37" s="1"/>
  <c r="D343" i="37"/>
  <c r="B343" i="37"/>
  <c r="A344" i="37"/>
  <c r="H194" i="37" l="1"/>
  <c r="E194" i="37"/>
  <c r="D344" i="37"/>
  <c r="A345" i="37"/>
  <c r="B344" i="37"/>
  <c r="I194" i="37" l="1"/>
  <c r="C195" i="37" s="1"/>
  <c r="F194" i="37"/>
  <c r="G194" i="37" s="1"/>
  <c r="A346" i="37"/>
  <c r="D345" i="37"/>
  <c r="B345" i="37"/>
  <c r="E195" i="37" l="1"/>
  <c r="H195" i="37"/>
  <c r="B346" i="37"/>
  <c r="D346" i="37"/>
  <c r="A347" i="37"/>
  <c r="I195" i="37" l="1"/>
  <c r="C196" i="37" s="1"/>
  <c r="F195" i="37"/>
  <c r="G195" i="37" s="1"/>
  <c r="A348" i="37"/>
  <c r="B347" i="37"/>
  <c r="D347" i="37"/>
  <c r="E196" i="37" l="1"/>
  <c r="H196" i="37"/>
  <c r="A349" i="37"/>
  <c r="B348" i="37"/>
  <c r="D348" i="37"/>
  <c r="I196" i="37" l="1"/>
  <c r="C197" i="37" s="1"/>
  <c r="F196" i="37"/>
  <c r="G196" i="37" s="1"/>
  <c r="A350" i="37"/>
  <c r="B349" i="37"/>
  <c r="D349" i="37"/>
  <c r="E197" i="37" l="1"/>
  <c r="H197" i="37"/>
  <c r="B350" i="37"/>
  <c r="D350" i="37"/>
  <c r="A351" i="37"/>
  <c r="I197" i="37" l="1"/>
  <c r="C198" i="37" s="1"/>
  <c r="F197" i="37"/>
  <c r="G197" i="37" s="1"/>
  <c r="D351" i="37"/>
  <c r="A352" i="37"/>
  <c r="B351" i="37"/>
  <c r="E198" i="37" l="1"/>
  <c r="H198" i="37"/>
  <c r="B352" i="37"/>
  <c r="A353" i="37"/>
  <c r="D352" i="37"/>
  <c r="F198" i="37" l="1"/>
  <c r="G198" i="37" s="1"/>
  <c r="I198" i="37"/>
  <c r="C199" i="37" s="1"/>
  <c r="A354" i="37"/>
  <c r="B353" i="37"/>
  <c r="D353" i="37"/>
  <c r="H199" i="37" l="1"/>
  <c r="E199" i="37"/>
  <c r="B354" i="37"/>
  <c r="D354" i="37"/>
  <c r="A355" i="37"/>
  <c r="F199" i="37" l="1"/>
  <c r="G199" i="37" s="1"/>
  <c r="I199" i="37"/>
  <c r="C200" i="37" s="1"/>
  <c r="A356" i="37"/>
  <c r="B355" i="37"/>
  <c r="D355" i="37"/>
  <c r="H200" i="37" l="1"/>
  <c r="E200" i="37"/>
  <c r="B356" i="37"/>
  <c r="A357" i="37"/>
  <c r="D356" i="37"/>
  <c r="I200" i="37" l="1"/>
  <c r="C201" i="37" s="1"/>
  <c r="F200" i="37"/>
  <c r="G200" i="37" s="1"/>
  <c r="A358" i="37"/>
  <c r="B357" i="37"/>
  <c r="D357" i="37"/>
  <c r="H201" i="37" l="1"/>
  <c r="E201" i="37"/>
  <c r="B358" i="37"/>
  <c r="D358" i="37"/>
  <c r="A359" i="37"/>
  <c r="I201" i="37" l="1"/>
  <c r="C202" i="37" s="1"/>
  <c r="F201" i="37"/>
  <c r="G201" i="37" s="1"/>
  <c r="B359" i="37"/>
  <c r="D359" i="37"/>
  <c r="A360" i="37"/>
  <c r="H202" i="37" l="1"/>
  <c r="E202" i="37"/>
  <c r="B360" i="37"/>
  <c r="D360" i="37"/>
  <c r="A361" i="37"/>
  <c r="F202" i="37" l="1"/>
  <c r="G202" i="37" s="1"/>
  <c r="I202" i="37"/>
  <c r="C203" i="37" s="1"/>
  <c r="A362" i="37"/>
  <c r="B361" i="37"/>
  <c r="D361" i="37"/>
  <c r="E203" i="37" l="1"/>
  <c r="H203" i="37"/>
  <c r="B362" i="37"/>
  <c r="D362" i="37"/>
  <c r="A363" i="37"/>
  <c r="F203" i="37" l="1"/>
  <c r="G203" i="37" s="1"/>
  <c r="I203" i="37"/>
  <c r="C204" i="37" s="1"/>
  <c r="A364" i="37"/>
  <c r="B363" i="37"/>
  <c r="D363" i="37"/>
  <c r="E204" i="37" l="1"/>
  <c r="H204" i="37"/>
  <c r="A365" i="37"/>
  <c r="B364" i="37"/>
  <c r="D364" i="37"/>
  <c r="F204" i="37" l="1"/>
  <c r="G204" i="37" s="1"/>
  <c r="I204" i="37"/>
  <c r="C205" i="37" s="1"/>
  <c r="A366" i="37"/>
  <c r="B365" i="37"/>
  <c r="D365" i="37"/>
  <c r="H205" i="37" l="1"/>
  <c r="E205" i="37"/>
  <c r="B366" i="37"/>
  <c r="D366" i="37"/>
  <c r="A367" i="37"/>
  <c r="F205" i="37" l="1"/>
  <c r="G205" i="37" s="1"/>
  <c r="I205" i="37"/>
  <c r="C206" i="37" s="1"/>
  <c r="B367" i="37"/>
  <c r="D367" i="37"/>
  <c r="A368" i="37"/>
  <c r="E206" i="37" l="1"/>
  <c r="H206" i="37"/>
  <c r="A369" i="37"/>
  <c r="B368" i="37"/>
  <c r="D368" i="37"/>
  <c r="I206" i="37" l="1"/>
  <c r="C207" i="37" s="1"/>
  <c r="F206" i="37"/>
  <c r="G206" i="37" s="1"/>
  <c r="A370" i="37"/>
  <c r="D369" i="37"/>
  <c r="B369" i="37"/>
  <c r="E207" i="37" l="1"/>
  <c r="H207" i="37"/>
  <c r="B370" i="37"/>
  <c r="D370" i="37"/>
  <c r="A371" i="37"/>
  <c r="I207" i="37" l="1"/>
  <c r="C208" i="37" s="1"/>
  <c r="F207" i="37"/>
  <c r="G207" i="37" s="1"/>
  <c r="A372" i="37"/>
  <c r="D371" i="37"/>
  <c r="B371" i="37"/>
  <c r="H208" i="37" l="1"/>
  <c r="E208" i="37"/>
  <c r="A373" i="37"/>
  <c r="B372" i="37"/>
  <c r="D372" i="37"/>
  <c r="I208" i="37" l="1"/>
  <c r="C209" i="37" s="1"/>
  <c r="F208" i="37"/>
  <c r="G208" i="37" s="1"/>
  <c r="A374" i="37"/>
  <c r="B373" i="37"/>
  <c r="D373" i="37"/>
  <c r="H209" i="37" l="1"/>
  <c r="E209" i="37"/>
  <c r="B374" i="37"/>
  <c r="D374" i="37"/>
  <c r="A375" i="37"/>
  <c r="I209" i="37" l="1"/>
  <c r="C210" i="37" s="1"/>
  <c r="F209" i="37"/>
  <c r="G209" i="37" s="1"/>
  <c r="B375" i="37"/>
  <c r="A376" i="37"/>
  <c r="D375" i="37"/>
  <c r="E210" i="37" l="1"/>
  <c r="H210" i="37"/>
  <c r="A377" i="37"/>
  <c r="B376" i="37"/>
  <c r="D376" i="37"/>
  <c r="F210" i="37" l="1"/>
  <c r="G210" i="37" s="1"/>
  <c r="I210" i="37"/>
  <c r="C211" i="37" s="1"/>
  <c r="A378" i="37"/>
  <c r="B377" i="37"/>
  <c r="D377" i="37"/>
  <c r="H211" i="37" l="1"/>
  <c r="E211" i="37"/>
  <c r="B378" i="37"/>
  <c r="D378" i="37"/>
  <c r="A379" i="37"/>
  <c r="I211" i="37" l="1"/>
  <c r="C212" i="37" s="1"/>
  <c r="F211" i="37"/>
  <c r="G211" i="37" s="1"/>
  <c r="A380" i="37"/>
  <c r="B379" i="37"/>
  <c r="D379" i="37"/>
  <c r="H212" i="37" l="1"/>
  <c r="E212" i="37"/>
  <c r="A381" i="37"/>
  <c r="B380" i="37"/>
  <c r="D380" i="37"/>
  <c r="F212" i="37" l="1"/>
  <c r="G212" i="37" s="1"/>
  <c r="I212" i="37"/>
  <c r="C213" i="37" s="1"/>
  <c r="A382" i="37"/>
  <c r="B381" i="37"/>
  <c r="D381" i="37"/>
  <c r="E213" i="37" l="1"/>
  <c r="H213" i="37"/>
  <c r="B382" i="37"/>
  <c r="D382" i="37"/>
  <c r="A383" i="37"/>
  <c r="F213" i="37" l="1"/>
  <c r="G213" i="37" s="1"/>
  <c r="I213" i="37"/>
  <c r="C214" i="37" s="1"/>
  <c r="B383" i="37"/>
  <c r="D383" i="37"/>
  <c r="A384" i="37"/>
  <c r="H214" i="37" l="1"/>
  <c r="E214" i="37"/>
  <c r="B384" i="37"/>
  <c r="D384" i="37"/>
  <c r="I214" i="37" l="1"/>
  <c r="C215" i="37" s="1"/>
  <c r="F214" i="37"/>
  <c r="G214" i="37" s="1"/>
  <c r="H215" i="37" l="1"/>
  <c r="E215" i="37"/>
  <c r="F215" i="37" l="1"/>
  <c r="G215" i="37" s="1"/>
  <c r="I215" i="37"/>
  <c r="C216" i="37" s="1"/>
  <c r="H216" i="37" l="1"/>
  <c r="E216" i="37"/>
  <c r="F216" i="37" l="1"/>
  <c r="G216" i="37" s="1"/>
  <c r="I216" i="37"/>
  <c r="C217" i="37" s="1"/>
  <c r="H217" i="37" l="1"/>
  <c r="E217" i="37"/>
  <c r="I217" i="37" l="1"/>
  <c r="C218" i="37" s="1"/>
  <c r="F217" i="37"/>
  <c r="G217" i="37" s="1"/>
  <c r="H218" i="37" l="1"/>
  <c r="E218" i="37"/>
  <c r="F218" i="37" l="1"/>
  <c r="G218" i="37" s="1"/>
  <c r="I218" i="37"/>
  <c r="C219" i="37" s="1"/>
  <c r="H219" i="37" l="1"/>
  <c r="E219" i="37"/>
  <c r="I219" i="37" l="1"/>
  <c r="C220" i="37" s="1"/>
  <c r="F219" i="37"/>
  <c r="G219" i="37" s="1"/>
  <c r="H220" i="37" l="1"/>
  <c r="E220" i="37"/>
  <c r="F220" i="37" l="1"/>
  <c r="G220" i="37" s="1"/>
  <c r="I220" i="37"/>
  <c r="C221" i="37" s="1"/>
  <c r="H221" i="37" l="1"/>
  <c r="E221" i="37"/>
  <c r="I221" i="37" l="1"/>
  <c r="C222" i="37" s="1"/>
  <c r="F221" i="37"/>
  <c r="G221" i="37" s="1"/>
  <c r="H222" i="37" l="1"/>
  <c r="E222" i="37"/>
  <c r="I222" i="37" l="1"/>
  <c r="C223" i="37" s="1"/>
  <c r="F222" i="37"/>
  <c r="G222" i="37" s="1"/>
  <c r="E223" i="37" l="1"/>
  <c r="H223" i="37"/>
  <c r="I223" i="37" l="1"/>
  <c r="C224" i="37" s="1"/>
  <c r="F223" i="37"/>
  <c r="G223" i="37" s="1"/>
  <c r="H224" i="37" l="1"/>
  <c r="E224" i="37"/>
  <c r="I224" i="37" l="1"/>
  <c r="C225" i="37" s="1"/>
  <c r="F224" i="37"/>
  <c r="G224" i="37" s="1"/>
  <c r="H225" i="37" l="1"/>
  <c r="E225" i="37"/>
  <c r="F225" i="37" l="1"/>
  <c r="G225" i="37" s="1"/>
  <c r="I225" i="37"/>
  <c r="C226" i="37" s="1"/>
  <c r="H226" i="37" l="1"/>
  <c r="E226" i="37"/>
  <c r="F226" i="37" l="1"/>
  <c r="G226" i="37" s="1"/>
  <c r="I226" i="37"/>
  <c r="C227" i="37" s="1"/>
  <c r="H227" i="37" l="1"/>
  <c r="E227" i="37"/>
  <c r="I227" i="37" l="1"/>
  <c r="C228" i="37" s="1"/>
  <c r="F227" i="37"/>
  <c r="G227" i="37" s="1"/>
  <c r="H228" i="37" l="1"/>
  <c r="E228" i="37"/>
  <c r="F228" i="37" l="1"/>
  <c r="G228" i="37" s="1"/>
  <c r="I228" i="37"/>
  <c r="C229" i="37" s="1"/>
  <c r="H229" i="37" l="1"/>
  <c r="E229" i="37"/>
  <c r="I229" i="37" l="1"/>
  <c r="C230" i="37" s="1"/>
  <c r="F229" i="37"/>
  <c r="G229" i="37" s="1"/>
  <c r="E230" i="37" l="1"/>
  <c r="H230" i="37"/>
  <c r="I230" i="37" l="1"/>
  <c r="C231" i="37" s="1"/>
  <c r="F230" i="37"/>
  <c r="G230" i="37" s="1"/>
  <c r="H231" i="37" l="1"/>
  <c r="E231" i="37"/>
  <c r="F231" i="37" l="1"/>
  <c r="G231" i="37" s="1"/>
  <c r="I231" i="37"/>
  <c r="C232" i="37" s="1"/>
  <c r="H232" i="37" l="1"/>
  <c r="E232" i="37"/>
  <c r="I232" i="37" l="1"/>
  <c r="C233" i="37" s="1"/>
  <c r="F232" i="37"/>
  <c r="G232" i="37" s="1"/>
  <c r="H233" i="37" l="1"/>
  <c r="E233" i="37"/>
  <c r="F233" i="37" l="1"/>
  <c r="G233" i="37" s="1"/>
  <c r="I233" i="37"/>
  <c r="C234" i="37" s="1"/>
  <c r="E234" i="37" l="1"/>
  <c r="H234" i="37"/>
  <c r="F234" i="37" l="1"/>
  <c r="G234" i="37" s="1"/>
  <c r="I234" i="37"/>
  <c r="C235" i="37" s="1"/>
  <c r="E235" i="37" l="1"/>
  <c r="H235" i="37"/>
  <c r="F235" i="37" l="1"/>
  <c r="G235" i="37" s="1"/>
  <c r="I235" i="37"/>
  <c r="C236" i="37" s="1"/>
  <c r="E236" i="37" l="1"/>
  <c r="H236" i="37"/>
  <c r="F236" i="37" l="1"/>
  <c r="G236" i="37" s="1"/>
  <c r="I236" i="37"/>
  <c r="C237" i="37" s="1"/>
  <c r="H237" i="37" l="1"/>
  <c r="E237" i="37"/>
  <c r="I237" i="37" l="1"/>
  <c r="C238" i="37" s="1"/>
  <c r="F237" i="37"/>
  <c r="G237" i="37" s="1"/>
  <c r="H238" i="37" l="1"/>
  <c r="E238" i="37"/>
  <c r="F238" i="37" l="1"/>
  <c r="G238" i="37" s="1"/>
  <c r="I238" i="37"/>
  <c r="C239" i="37" s="1"/>
  <c r="H239" i="37" l="1"/>
  <c r="E239" i="37"/>
  <c r="F239" i="37" l="1"/>
  <c r="G239" i="37" s="1"/>
  <c r="I239" i="37"/>
  <c r="C240" i="37" s="1"/>
  <c r="H240" i="37" l="1"/>
  <c r="E240" i="37"/>
  <c r="F240" i="37" l="1"/>
  <c r="G240" i="37" s="1"/>
  <c r="I240" i="37"/>
  <c r="C241" i="37" s="1"/>
  <c r="E241" i="37" l="1"/>
  <c r="H241" i="37"/>
  <c r="I241" i="37" l="1"/>
  <c r="C242" i="37" s="1"/>
  <c r="F241" i="37"/>
  <c r="G241" i="37" s="1"/>
  <c r="E242" i="37" l="1"/>
  <c r="H242" i="37"/>
  <c r="I242" i="37" l="1"/>
  <c r="C243" i="37" s="1"/>
  <c r="F242" i="37"/>
  <c r="G242" i="37" s="1"/>
  <c r="H243" i="37" l="1"/>
  <c r="E243" i="37"/>
  <c r="I243" i="37" l="1"/>
  <c r="C244" i="37" s="1"/>
  <c r="F243" i="37"/>
  <c r="G243" i="37" s="1"/>
  <c r="H244" i="37" l="1"/>
  <c r="E244" i="37"/>
  <c r="I244" i="37" l="1"/>
  <c r="C245" i="37" s="1"/>
  <c r="F244" i="37"/>
  <c r="G244" i="37" s="1"/>
  <c r="H245" i="37" l="1"/>
  <c r="E245" i="37"/>
  <c r="F245" i="37" l="1"/>
  <c r="G245" i="37" s="1"/>
  <c r="I245" i="37"/>
  <c r="C246" i="37" s="1"/>
  <c r="E246" i="37" l="1"/>
  <c r="H246" i="37"/>
  <c r="F246" i="37" l="1"/>
  <c r="G246" i="37" s="1"/>
  <c r="I246" i="37"/>
  <c r="C247" i="37" s="1"/>
  <c r="E247" i="37" l="1"/>
  <c r="H247" i="37"/>
  <c r="I247" i="37" l="1"/>
  <c r="C248" i="37" s="1"/>
  <c r="F247" i="37"/>
  <c r="G247" i="37" s="1"/>
  <c r="E248" i="37" l="1"/>
  <c r="H248" i="37"/>
  <c r="F248" i="37" l="1"/>
  <c r="G248" i="37" s="1"/>
  <c r="I248" i="37"/>
  <c r="C249" i="37" s="1"/>
  <c r="H249" i="37" l="1"/>
  <c r="E249" i="37"/>
  <c r="F249" i="37" l="1"/>
  <c r="G249" i="37" s="1"/>
  <c r="I249" i="37"/>
  <c r="C250" i="37" s="1"/>
  <c r="E250" i="37" l="1"/>
  <c r="H250" i="37"/>
  <c r="I250" i="37" l="1"/>
  <c r="C251" i="37" s="1"/>
  <c r="F250" i="37"/>
  <c r="G250" i="37" s="1"/>
  <c r="E251" i="37" l="1"/>
  <c r="H251" i="37"/>
  <c r="I251" i="37" l="1"/>
  <c r="C252" i="37" s="1"/>
  <c r="F251" i="37"/>
  <c r="G251" i="37" s="1"/>
  <c r="E252" i="37" l="1"/>
  <c r="H252" i="37"/>
  <c r="I252" i="37" l="1"/>
  <c r="C253" i="37" s="1"/>
  <c r="F252" i="37"/>
  <c r="G252" i="37" s="1"/>
  <c r="E253" i="37" l="1"/>
  <c r="H253" i="37"/>
  <c r="I253" i="37" l="1"/>
  <c r="C254" i="37" s="1"/>
  <c r="F253" i="37"/>
  <c r="G253" i="37" s="1"/>
  <c r="H254" i="37" l="1"/>
  <c r="E254" i="37"/>
  <c r="F254" i="37" l="1"/>
  <c r="G254" i="37" s="1"/>
  <c r="I254" i="37"/>
  <c r="C255" i="37" s="1"/>
  <c r="H255" i="37" l="1"/>
  <c r="E255" i="37"/>
  <c r="F255" i="37" l="1"/>
  <c r="G255" i="37" s="1"/>
  <c r="I255" i="37"/>
  <c r="C256" i="37" s="1"/>
  <c r="H256" i="37" l="1"/>
  <c r="E256" i="37"/>
  <c r="F256" i="37" l="1"/>
  <c r="G256" i="37" s="1"/>
  <c r="I256" i="37"/>
  <c r="C257" i="37" s="1"/>
  <c r="H257" i="37" l="1"/>
  <c r="E257" i="37"/>
  <c r="F257" i="37" l="1"/>
  <c r="G257" i="37" s="1"/>
  <c r="I257" i="37"/>
  <c r="C258" i="37" s="1"/>
  <c r="E258" i="37" l="1"/>
  <c r="H258" i="37"/>
  <c r="F258" i="37" l="1"/>
  <c r="G258" i="37" s="1"/>
  <c r="I258" i="37"/>
  <c r="C259" i="37" s="1"/>
  <c r="E259" i="37" l="1"/>
  <c r="H259" i="37"/>
  <c r="F259" i="37" l="1"/>
  <c r="G259" i="37" s="1"/>
  <c r="I259" i="37"/>
  <c r="C260" i="37" s="1"/>
  <c r="H260" i="37" l="1"/>
  <c r="E260" i="37"/>
  <c r="F260" i="37" l="1"/>
  <c r="G260" i="37" s="1"/>
  <c r="I260" i="37"/>
  <c r="C261" i="37" s="1"/>
  <c r="H261" i="37" l="1"/>
  <c r="E261" i="37"/>
  <c r="I261" i="37" l="1"/>
  <c r="C262" i="37" s="1"/>
  <c r="F261" i="37"/>
  <c r="G261" i="37" s="1"/>
  <c r="E262" i="37" l="1"/>
  <c r="H262" i="37"/>
  <c r="I262" i="37" l="1"/>
  <c r="C263" i="37" s="1"/>
  <c r="F262" i="37"/>
  <c r="G262" i="37" s="1"/>
  <c r="E263" i="37" l="1"/>
  <c r="H263" i="37"/>
  <c r="F263" i="37" l="1"/>
  <c r="G263" i="37" s="1"/>
  <c r="I263" i="37"/>
  <c r="C264" i="37" s="1"/>
  <c r="E264" i="37" l="1"/>
  <c r="H264" i="37"/>
  <c r="F264" i="37" l="1"/>
  <c r="G264" i="37" s="1"/>
  <c r="I264" i="37"/>
  <c r="C265" i="37" s="1"/>
  <c r="E265" i="37" l="1"/>
  <c r="H265" i="37"/>
  <c r="I265" i="37" l="1"/>
  <c r="C266" i="37" s="1"/>
  <c r="F265" i="37"/>
  <c r="G265" i="37" s="1"/>
  <c r="E266" i="37" l="1"/>
  <c r="H266" i="37"/>
  <c r="F266" i="37" l="1"/>
  <c r="G266" i="37" s="1"/>
  <c r="I266" i="37"/>
  <c r="C267" i="37" s="1"/>
  <c r="H267" i="37" l="1"/>
  <c r="E267" i="37"/>
  <c r="I267" i="37" l="1"/>
  <c r="C268" i="37" s="1"/>
  <c r="F267" i="37"/>
  <c r="G267" i="37" s="1"/>
  <c r="H268" i="37" l="1"/>
  <c r="E268" i="37"/>
  <c r="I268" i="37" l="1"/>
  <c r="C269" i="37" s="1"/>
  <c r="F268" i="37"/>
  <c r="G268" i="37" s="1"/>
  <c r="E269" i="37" l="1"/>
  <c r="H269" i="37"/>
  <c r="F269" i="37" l="1"/>
  <c r="G269" i="37" s="1"/>
  <c r="I269" i="37"/>
  <c r="C270" i="37" s="1"/>
  <c r="H270" i="37" l="1"/>
  <c r="E270" i="37"/>
  <c r="F270" i="37" l="1"/>
  <c r="G270" i="37" s="1"/>
  <c r="I270" i="37"/>
  <c r="C271" i="37" s="1"/>
  <c r="E271" i="37" l="1"/>
  <c r="H271" i="37"/>
  <c r="I271" i="37" l="1"/>
  <c r="C272" i="37" s="1"/>
  <c r="F271" i="37"/>
  <c r="G271" i="37" s="1"/>
  <c r="E272" i="37" l="1"/>
  <c r="H272" i="37"/>
  <c r="I272" i="37" l="1"/>
  <c r="C273" i="37" s="1"/>
  <c r="F272" i="37"/>
  <c r="G272" i="37" s="1"/>
  <c r="E273" i="37" l="1"/>
  <c r="H273" i="37"/>
  <c r="I273" i="37" l="1"/>
  <c r="C274" i="37" s="1"/>
  <c r="F273" i="37"/>
  <c r="G273" i="37" s="1"/>
  <c r="E274" i="37" l="1"/>
  <c r="H274" i="37"/>
  <c r="F274" i="37" l="1"/>
  <c r="G274" i="37" s="1"/>
  <c r="I274" i="37"/>
  <c r="C275" i="37" s="1"/>
  <c r="E275" i="37" l="1"/>
  <c r="H275" i="37"/>
  <c r="I275" i="37" l="1"/>
  <c r="C276" i="37" s="1"/>
  <c r="F275" i="37"/>
  <c r="G275" i="37" s="1"/>
  <c r="E276" i="37" l="1"/>
  <c r="H276" i="37"/>
  <c r="I276" i="37" l="1"/>
  <c r="C277" i="37" s="1"/>
  <c r="F276" i="37"/>
  <c r="G276" i="37" s="1"/>
  <c r="H277" i="37" l="1"/>
  <c r="E277" i="37"/>
  <c r="I277" i="37" l="1"/>
  <c r="C278" i="37" s="1"/>
  <c r="F277" i="37"/>
  <c r="G277" i="37" s="1"/>
  <c r="E278" i="37" l="1"/>
  <c r="H278" i="37"/>
  <c r="F278" i="37" l="1"/>
  <c r="G278" i="37" s="1"/>
  <c r="I278" i="37"/>
  <c r="C279" i="37" s="1"/>
  <c r="H279" i="37" l="1"/>
  <c r="E279" i="37"/>
  <c r="F279" i="37" l="1"/>
  <c r="G279" i="37" s="1"/>
  <c r="I279" i="37"/>
  <c r="C280" i="37" s="1"/>
  <c r="E280" i="37" l="1"/>
  <c r="H280" i="37"/>
  <c r="F280" i="37" l="1"/>
  <c r="G280" i="37" s="1"/>
  <c r="I280" i="37"/>
  <c r="C281" i="37" s="1"/>
  <c r="E281" i="37" l="1"/>
  <c r="H281" i="37"/>
  <c r="I281" i="37" l="1"/>
  <c r="C282" i="37" s="1"/>
  <c r="F281" i="37"/>
  <c r="G281" i="37" s="1"/>
  <c r="E282" i="37" l="1"/>
  <c r="H282" i="37"/>
  <c r="I282" i="37" l="1"/>
  <c r="C283" i="37" s="1"/>
  <c r="F282" i="37"/>
  <c r="G282" i="37" s="1"/>
  <c r="E283" i="37" l="1"/>
  <c r="H283" i="37"/>
  <c r="F283" i="37" l="1"/>
  <c r="G283" i="37" s="1"/>
  <c r="I283" i="37"/>
  <c r="C284" i="37" s="1"/>
  <c r="H284" i="37" l="1"/>
  <c r="E284" i="37"/>
  <c r="I284" i="37" l="1"/>
  <c r="C285" i="37" s="1"/>
  <c r="F284" i="37"/>
  <c r="G284" i="37" s="1"/>
  <c r="H285" i="37" l="1"/>
  <c r="E285" i="37"/>
  <c r="I285" i="37" l="1"/>
  <c r="C286" i="37" s="1"/>
  <c r="F285" i="37"/>
  <c r="G285" i="37" s="1"/>
  <c r="E286" i="37" l="1"/>
  <c r="H286" i="37"/>
  <c r="I286" i="37" l="1"/>
  <c r="C287" i="37" s="1"/>
  <c r="F286" i="37"/>
  <c r="G286" i="37" s="1"/>
  <c r="E287" i="37" l="1"/>
  <c r="H287" i="37"/>
  <c r="I287" i="37" l="1"/>
  <c r="C288" i="37" s="1"/>
  <c r="F287" i="37"/>
  <c r="G287" i="37" s="1"/>
  <c r="E288" i="37" l="1"/>
  <c r="H288" i="37"/>
  <c r="F288" i="37" l="1"/>
  <c r="G288" i="37" s="1"/>
  <c r="I288" i="37"/>
  <c r="C289" i="37" s="1"/>
  <c r="H289" i="37" l="1"/>
  <c r="E289" i="37"/>
  <c r="I289" i="37" l="1"/>
  <c r="C290" i="37" s="1"/>
  <c r="F289" i="37"/>
  <c r="G289" i="37" s="1"/>
  <c r="H290" i="37" l="1"/>
  <c r="E290" i="37"/>
  <c r="I290" i="37" l="1"/>
  <c r="C291" i="37" s="1"/>
  <c r="F290" i="37"/>
  <c r="G290" i="37" s="1"/>
  <c r="H291" i="37" l="1"/>
  <c r="E291" i="37"/>
  <c r="I291" i="37" l="1"/>
  <c r="C292" i="37" s="1"/>
  <c r="F291" i="37"/>
  <c r="G291" i="37" s="1"/>
  <c r="G292" i="37" s="1"/>
  <c r="H292" i="37" l="1"/>
  <c r="E292" i="37"/>
  <c r="F292" i="37" l="1"/>
  <c r="I292" i="37"/>
  <c r="C293" i="37" s="1"/>
  <c r="H293" i="37" l="1"/>
  <c r="E293" i="37"/>
  <c r="F293" i="37" l="1"/>
  <c r="G293" i="37" s="1"/>
  <c r="I293" i="37"/>
  <c r="C294" i="37" s="1"/>
  <c r="E294" i="37" l="1"/>
  <c r="H294" i="37"/>
  <c r="F294" i="37" l="1"/>
  <c r="G294" i="37" s="1"/>
  <c r="I294" i="37"/>
  <c r="C295" i="37" s="1"/>
  <c r="E295" i="37" l="1"/>
  <c r="H295" i="37"/>
  <c r="F295" i="37" l="1"/>
  <c r="G295" i="37" s="1"/>
  <c r="I295" i="37"/>
  <c r="C296" i="37" s="1"/>
  <c r="H296" i="37" l="1"/>
  <c r="E296" i="37"/>
  <c r="F296" i="37" l="1"/>
  <c r="G296" i="37" s="1"/>
  <c r="I296" i="37"/>
  <c r="C297" i="37" s="1"/>
  <c r="H297" i="37" l="1"/>
  <c r="E297" i="37"/>
  <c r="F297" i="37" l="1"/>
  <c r="G297" i="37" s="1"/>
  <c r="I297" i="37"/>
  <c r="C298" i="37" s="1"/>
  <c r="H298" i="37" l="1"/>
  <c r="E298" i="37"/>
  <c r="I298" i="37" l="1"/>
  <c r="C299" i="37" s="1"/>
  <c r="F298" i="37"/>
  <c r="G298" i="37" s="1"/>
  <c r="E299" i="37" l="1"/>
  <c r="H299" i="37"/>
  <c r="I299" i="37" l="1"/>
  <c r="C300" i="37" s="1"/>
  <c r="F299" i="37"/>
  <c r="G299" i="37" s="1"/>
  <c r="H300" i="37" l="1"/>
  <c r="E300" i="37"/>
  <c r="I300" i="37" l="1"/>
  <c r="C301" i="37" s="1"/>
  <c r="F300" i="37"/>
  <c r="G300" i="37" s="1"/>
  <c r="H301" i="37" l="1"/>
  <c r="E301" i="37"/>
  <c r="I301" i="37" l="1"/>
  <c r="C302" i="37" s="1"/>
  <c r="F301" i="37"/>
  <c r="G301" i="37" s="1"/>
  <c r="H302" i="37" l="1"/>
  <c r="E302" i="37"/>
  <c r="F302" i="37" l="1"/>
  <c r="G302" i="37" s="1"/>
  <c r="I302" i="37"/>
  <c r="C303" i="37" s="1"/>
  <c r="E303" i="37" l="1"/>
  <c r="H303" i="37"/>
  <c r="F303" i="37" l="1"/>
  <c r="G303" i="37" s="1"/>
  <c r="I303" i="37"/>
  <c r="C304" i="37" s="1"/>
  <c r="E304" i="37" l="1"/>
  <c r="H304" i="37"/>
  <c r="I304" i="37" l="1"/>
  <c r="C305" i="37" s="1"/>
  <c r="F304" i="37"/>
  <c r="G304" i="37" s="1"/>
  <c r="H305" i="37" l="1"/>
  <c r="E305" i="37"/>
  <c r="I305" i="37" l="1"/>
  <c r="C306" i="37" s="1"/>
  <c r="F305" i="37"/>
  <c r="G305" i="37" s="1"/>
  <c r="E306" i="37" l="1"/>
  <c r="H306" i="37"/>
  <c r="F306" i="37" l="1"/>
  <c r="G306" i="37" s="1"/>
  <c r="I306" i="37"/>
  <c r="C307" i="37" s="1"/>
  <c r="H307" i="37" l="1"/>
  <c r="E307" i="37"/>
  <c r="F307" i="37" l="1"/>
  <c r="G307" i="37" s="1"/>
  <c r="I307" i="37"/>
  <c r="C308" i="37" s="1"/>
  <c r="H308" i="37" l="1"/>
  <c r="E308" i="37"/>
  <c r="I308" i="37" l="1"/>
  <c r="C309" i="37" s="1"/>
  <c r="F308" i="37"/>
  <c r="G308" i="37" s="1"/>
  <c r="E309" i="37" l="1"/>
  <c r="H309" i="37"/>
  <c r="I309" i="37" l="1"/>
  <c r="C310" i="37" s="1"/>
  <c r="F309" i="37"/>
  <c r="G309" i="37" s="1"/>
  <c r="H310" i="37" l="1"/>
  <c r="E310" i="37"/>
  <c r="F310" i="37" l="1"/>
  <c r="G310" i="37" s="1"/>
  <c r="I310" i="37"/>
  <c r="C311" i="37" s="1"/>
  <c r="E311" i="37" l="1"/>
  <c r="H311" i="37"/>
  <c r="I311" i="37" l="1"/>
  <c r="C312" i="37" s="1"/>
  <c r="F311" i="37"/>
  <c r="G311" i="37" s="1"/>
  <c r="E312" i="37" l="1"/>
  <c r="H312" i="37"/>
  <c r="F312" i="37" l="1"/>
  <c r="G312" i="37" s="1"/>
  <c r="I312" i="37"/>
  <c r="C313" i="37" s="1"/>
  <c r="H313" i="37" l="1"/>
  <c r="E313" i="37"/>
  <c r="F313" i="37" l="1"/>
  <c r="G313" i="37" s="1"/>
  <c r="I313" i="37"/>
  <c r="C314" i="37" s="1"/>
  <c r="E314" i="37" l="1"/>
  <c r="H314" i="37"/>
  <c r="I314" i="37" l="1"/>
  <c r="C315" i="37" s="1"/>
  <c r="F314" i="37"/>
  <c r="G314" i="37" s="1"/>
  <c r="H315" i="37" l="1"/>
  <c r="E315" i="37"/>
  <c r="I315" i="37" l="1"/>
  <c r="C316" i="37" s="1"/>
  <c r="F315" i="37"/>
  <c r="G315" i="37" s="1"/>
  <c r="E316" i="37" l="1"/>
  <c r="H316" i="37"/>
  <c r="I316" i="37" l="1"/>
  <c r="C317" i="37" s="1"/>
  <c r="F316" i="37"/>
  <c r="G316" i="37" s="1"/>
  <c r="H317" i="37" l="1"/>
  <c r="E317" i="37"/>
  <c r="I317" i="37" l="1"/>
  <c r="C318" i="37" s="1"/>
  <c r="F317" i="37"/>
  <c r="G317" i="37" s="1"/>
  <c r="H318" i="37" l="1"/>
  <c r="E318" i="37"/>
  <c r="I318" i="37" l="1"/>
  <c r="C319" i="37" s="1"/>
  <c r="F318" i="37"/>
  <c r="G318" i="37" s="1"/>
  <c r="H319" i="37" l="1"/>
  <c r="E319" i="37"/>
  <c r="F319" i="37" l="1"/>
  <c r="G319" i="37" s="1"/>
  <c r="I319" i="37"/>
  <c r="C320" i="37" s="1"/>
  <c r="E320" i="37" l="1"/>
  <c r="H320" i="37"/>
  <c r="F320" i="37" l="1"/>
  <c r="G320" i="37" s="1"/>
  <c r="I320" i="37"/>
  <c r="C321" i="37" s="1"/>
  <c r="H321" i="37" l="1"/>
  <c r="E321" i="37"/>
  <c r="I321" i="37" l="1"/>
  <c r="C322" i="37" s="1"/>
  <c r="F321" i="37"/>
  <c r="G321" i="37" s="1"/>
  <c r="E322" i="37" l="1"/>
  <c r="H322" i="37"/>
  <c r="F322" i="37" l="1"/>
  <c r="G322" i="37" s="1"/>
  <c r="I322" i="37"/>
  <c r="C323" i="37" s="1"/>
  <c r="H323" i="37" l="1"/>
  <c r="E323" i="37"/>
  <c r="I323" i="37" l="1"/>
  <c r="C324" i="37" s="1"/>
  <c r="F323" i="37"/>
  <c r="G323" i="37" s="1"/>
  <c r="E324" i="37" l="1"/>
  <c r="H324" i="37"/>
  <c r="F324" i="37" l="1"/>
  <c r="G324" i="37" s="1"/>
  <c r="I324" i="37"/>
  <c r="C325" i="37" s="1"/>
  <c r="E325" i="37" l="1"/>
  <c r="H325" i="37"/>
  <c r="I325" i="37" l="1"/>
  <c r="C326" i="37" s="1"/>
  <c r="F325" i="37"/>
  <c r="G325" i="37" s="1"/>
  <c r="H326" i="37" l="1"/>
  <c r="E326" i="37"/>
  <c r="I326" i="37" l="1"/>
  <c r="C327" i="37" s="1"/>
  <c r="F326" i="37"/>
  <c r="G326" i="37" s="1"/>
  <c r="H327" i="37" l="1"/>
  <c r="E327" i="37"/>
  <c r="F327" i="37" l="1"/>
  <c r="G327" i="37" s="1"/>
  <c r="I327" i="37"/>
  <c r="C328" i="37" s="1"/>
  <c r="H328" i="37" l="1"/>
  <c r="E328" i="37"/>
  <c r="F328" i="37" l="1"/>
  <c r="G328" i="37" s="1"/>
  <c r="I328" i="37"/>
  <c r="C329" i="37" s="1"/>
  <c r="H329" i="37" l="1"/>
  <c r="E329" i="37"/>
  <c r="F329" i="37" l="1"/>
  <c r="G329" i="37" s="1"/>
  <c r="I329" i="37"/>
  <c r="C330" i="37" s="1"/>
  <c r="H330" i="37" l="1"/>
  <c r="E330" i="37"/>
  <c r="I330" i="37" l="1"/>
  <c r="C331" i="37" s="1"/>
  <c r="F330" i="37"/>
  <c r="G330" i="37" s="1"/>
  <c r="H331" i="37" l="1"/>
  <c r="E331" i="37"/>
  <c r="F331" i="37" l="1"/>
  <c r="G331" i="37" s="1"/>
  <c r="I331" i="37"/>
  <c r="C332" i="37" s="1"/>
  <c r="E332" i="37" l="1"/>
  <c r="H332" i="37"/>
  <c r="F332" i="37" l="1"/>
  <c r="G332" i="37" s="1"/>
  <c r="I332" i="37"/>
  <c r="C333" i="37" s="1"/>
  <c r="H333" i="37" l="1"/>
  <c r="E333" i="37"/>
  <c r="I333" i="37" l="1"/>
  <c r="C334" i="37" s="1"/>
  <c r="F333" i="37"/>
  <c r="G333" i="37" s="1"/>
  <c r="H334" i="37" l="1"/>
  <c r="E334" i="37"/>
  <c r="I334" i="37" l="1"/>
  <c r="C335" i="37" s="1"/>
  <c r="F334" i="37"/>
  <c r="G334" i="37" s="1"/>
  <c r="H335" i="37" l="1"/>
  <c r="E335" i="37"/>
  <c r="I335" i="37" l="1"/>
  <c r="C336" i="37" s="1"/>
  <c r="F335" i="37"/>
  <c r="G335" i="37" s="1"/>
  <c r="H336" i="37" l="1"/>
  <c r="E336" i="37"/>
  <c r="F336" i="37" l="1"/>
  <c r="G336" i="37" s="1"/>
  <c r="I336" i="37"/>
  <c r="C337" i="37" s="1"/>
  <c r="E337" i="37" l="1"/>
  <c r="H337" i="37"/>
  <c r="I337" i="37" l="1"/>
  <c r="C338" i="37" s="1"/>
  <c r="F337" i="37"/>
  <c r="G337" i="37" s="1"/>
  <c r="E338" i="37" l="1"/>
  <c r="H338" i="37"/>
  <c r="I338" i="37" l="1"/>
  <c r="C339" i="37" s="1"/>
  <c r="F338" i="37"/>
  <c r="G338" i="37" s="1"/>
  <c r="E339" i="37" l="1"/>
  <c r="H339" i="37"/>
  <c r="F339" i="37" l="1"/>
  <c r="G339" i="37" s="1"/>
  <c r="I339" i="37"/>
  <c r="C340" i="37" s="1"/>
  <c r="E340" i="37" l="1"/>
  <c r="H340" i="37"/>
  <c r="F340" i="37" l="1"/>
  <c r="G340" i="37" s="1"/>
  <c r="I340" i="37"/>
  <c r="C341" i="37" s="1"/>
  <c r="E341" i="37" l="1"/>
  <c r="H341" i="37"/>
  <c r="F341" i="37" l="1"/>
  <c r="G341" i="37" s="1"/>
  <c r="I341" i="37"/>
  <c r="C342" i="37" s="1"/>
  <c r="H342" i="37" l="1"/>
  <c r="E342" i="37"/>
  <c r="F342" i="37" l="1"/>
  <c r="G342" i="37" s="1"/>
  <c r="I342" i="37"/>
  <c r="C343" i="37" s="1"/>
  <c r="H343" i="37" l="1"/>
  <c r="E343" i="37"/>
  <c r="I343" i="37" l="1"/>
  <c r="C344" i="37" s="1"/>
  <c r="F343" i="37"/>
  <c r="G343" i="37" s="1"/>
  <c r="E344" i="37" l="1"/>
  <c r="H344" i="37"/>
  <c r="F344" i="37" l="1"/>
  <c r="G344" i="37" s="1"/>
  <c r="I344" i="37"/>
  <c r="C345" i="37" s="1"/>
  <c r="E345" i="37" l="1"/>
  <c r="H345" i="37"/>
  <c r="I345" i="37" l="1"/>
  <c r="C346" i="37" s="1"/>
  <c r="F345" i="37"/>
  <c r="G345" i="37" s="1"/>
  <c r="E346" i="37" l="1"/>
  <c r="H346" i="37"/>
  <c r="F346" i="37" l="1"/>
  <c r="G346" i="37" s="1"/>
  <c r="I346" i="37"/>
  <c r="C347" i="37" s="1"/>
  <c r="H347" i="37" l="1"/>
  <c r="E347" i="37"/>
  <c r="F347" i="37" l="1"/>
  <c r="G347" i="37" s="1"/>
  <c r="I347" i="37"/>
  <c r="C348" i="37" s="1"/>
  <c r="H348" i="37" l="1"/>
  <c r="E348" i="37"/>
  <c r="I348" i="37" l="1"/>
  <c r="C349" i="37" s="1"/>
  <c r="F348" i="37"/>
  <c r="G348" i="37" s="1"/>
  <c r="E349" i="37" l="1"/>
  <c r="H349" i="37"/>
  <c r="I349" i="37" l="1"/>
  <c r="C350" i="37" s="1"/>
  <c r="F349" i="37"/>
  <c r="G349" i="37" s="1"/>
  <c r="H350" i="37" l="1"/>
  <c r="E350" i="37"/>
  <c r="F350" i="37" l="1"/>
  <c r="G350" i="37" s="1"/>
  <c r="I350" i="37"/>
  <c r="C351" i="37" s="1"/>
  <c r="H351" i="37" l="1"/>
  <c r="E351" i="37"/>
  <c r="F351" i="37" l="1"/>
  <c r="G351" i="37" s="1"/>
  <c r="I351" i="37"/>
  <c r="C352" i="37" s="1"/>
  <c r="E352" i="37" l="1"/>
  <c r="H352" i="37"/>
  <c r="F352" i="37" l="1"/>
  <c r="G352" i="37" s="1"/>
  <c r="I352" i="37"/>
  <c r="C353" i="37" s="1"/>
  <c r="H353" i="37" l="1"/>
  <c r="E353" i="37"/>
  <c r="F353" i="37" l="1"/>
  <c r="G353" i="37" s="1"/>
  <c r="I353" i="37"/>
  <c r="C354" i="37" s="1"/>
  <c r="H354" i="37" l="1"/>
  <c r="E354" i="37"/>
  <c r="I354" i="37" l="1"/>
  <c r="C355" i="37" s="1"/>
  <c r="F354" i="37"/>
  <c r="G354" i="37" s="1"/>
  <c r="E355" i="37" l="1"/>
  <c r="H355" i="37"/>
  <c r="I355" i="37" l="1"/>
  <c r="C356" i="37" s="1"/>
  <c r="F355" i="37"/>
  <c r="G355" i="37" s="1"/>
  <c r="E356" i="37" l="1"/>
  <c r="H356" i="37"/>
  <c r="F356" i="37" l="1"/>
  <c r="G356" i="37" s="1"/>
  <c r="I356" i="37"/>
  <c r="C357" i="37" s="1"/>
  <c r="E357" i="37" l="1"/>
  <c r="H357" i="37"/>
  <c r="F357" i="37" l="1"/>
  <c r="G357" i="37" s="1"/>
  <c r="I357" i="37"/>
  <c r="C358" i="37" s="1"/>
  <c r="E358" i="37" l="1"/>
  <c r="H358" i="37"/>
  <c r="I358" i="37" l="1"/>
  <c r="C359" i="37" s="1"/>
  <c r="F358" i="37"/>
  <c r="G358" i="37" s="1"/>
  <c r="E359" i="37" l="1"/>
  <c r="H359" i="37"/>
  <c r="F359" i="37" l="1"/>
  <c r="G359" i="37" s="1"/>
  <c r="I359" i="37"/>
  <c r="C360" i="37" s="1"/>
  <c r="E360" i="37" l="1"/>
  <c r="H360" i="37"/>
  <c r="F360" i="37" l="1"/>
  <c r="G360" i="37" s="1"/>
  <c r="I360" i="37"/>
  <c r="C361" i="37" s="1"/>
  <c r="H361" i="37" l="1"/>
  <c r="E361" i="37"/>
  <c r="F361" i="37" l="1"/>
  <c r="G361" i="37" s="1"/>
  <c r="I361" i="37"/>
  <c r="C362" i="37" s="1"/>
  <c r="H362" i="37" l="1"/>
  <c r="E362" i="37"/>
  <c r="I362" i="37" l="1"/>
  <c r="C363" i="37" s="1"/>
  <c r="F362" i="37"/>
  <c r="G362" i="37" s="1"/>
  <c r="E363" i="37" l="1"/>
  <c r="H363" i="37"/>
  <c r="F363" i="37" l="1"/>
  <c r="G363" i="37" s="1"/>
  <c r="I363" i="37"/>
  <c r="C364" i="37" s="1"/>
  <c r="E364" i="37" l="1"/>
  <c r="H364" i="37"/>
  <c r="F364" i="37" l="1"/>
  <c r="G364" i="37" s="1"/>
  <c r="I364" i="37"/>
  <c r="C365" i="37" s="1"/>
  <c r="E365" i="37" l="1"/>
  <c r="H365" i="37"/>
  <c r="I365" i="37" l="1"/>
  <c r="C366" i="37" s="1"/>
  <c r="F365" i="37"/>
  <c r="G365" i="37" s="1"/>
  <c r="E366" i="37" l="1"/>
  <c r="H366" i="37"/>
  <c r="F366" i="37" l="1"/>
  <c r="G366" i="37" s="1"/>
  <c r="I366" i="37"/>
  <c r="C367" i="37" s="1"/>
  <c r="H367" i="37" l="1"/>
  <c r="E367" i="37"/>
  <c r="I367" i="37" l="1"/>
  <c r="C368" i="37" s="1"/>
  <c r="F367" i="37"/>
  <c r="G367" i="37" s="1"/>
  <c r="H368" i="37" l="1"/>
  <c r="E368" i="37"/>
  <c r="F368" i="37" l="1"/>
  <c r="G368" i="37" s="1"/>
  <c r="I368" i="37"/>
  <c r="C369" i="37" s="1"/>
  <c r="E369" i="37" l="1"/>
  <c r="H369" i="37"/>
  <c r="F369" i="37" l="1"/>
  <c r="G369" i="37" s="1"/>
  <c r="I369" i="37"/>
  <c r="C370" i="37" s="1"/>
  <c r="H370" i="37" l="1"/>
  <c r="E370" i="37"/>
  <c r="I370" i="37" l="1"/>
  <c r="C371" i="37" s="1"/>
  <c r="F370" i="37"/>
  <c r="G370" i="37" s="1"/>
  <c r="H371" i="37" l="1"/>
  <c r="E371" i="37"/>
  <c r="F371" i="37" l="1"/>
  <c r="G371" i="37" s="1"/>
  <c r="I371" i="37"/>
  <c r="C372" i="37" s="1"/>
  <c r="H372" i="37" l="1"/>
  <c r="E372" i="37"/>
  <c r="I372" i="37" l="1"/>
  <c r="C373" i="37" s="1"/>
  <c r="F372" i="37"/>
  <c r="G372" i="37" s="1"/>
  <c r="E373" i="37" l="1"/>
  <c r="H373" i="37"/>
  <c r="I373" i="37" l="1"/>
  <c r="C374" i="37" s="1"/>
  <c r="F373" i="37"/>
  <c r="G373" i="37" s="1"/>
  <c r="H374" i="37" l="1"/>
  <c r="E374" i="37"/>
  <c r="F374" i="37" l="1"/>
  <c r="G374" i="37" s="1"/>
  <c r="I374" i="37"/>
  <c r="C375" i="37" s="1"/>
  <c r="H375" i="37" l="1"/>
  <c r="E375" i="37"/>
  <c r="F375" i="37" l="1"/>
  <c r="G375" i="37" s="1"/>
  <c r="I375" i="37"/>
  <c r="C376" i="37" s="1"/>
  <c r="H376" i="37" l="1"/>
  <c r="E376" i="37"/>
  <c r="I376" i="37" l="1"/>
  <c r="C377" i="37" s="1"/>
  <c r="F376" i="37"/>
  <c r="G376" i="37" s="1"/>
  <c r="E377" i="37" l="1"/>
  <c r="H377" i="37"/>
  <c r="F377" i="37" l="1"/>
  <c r="G377" i="37" s="1"/>
  <c r="I377" i="37"/>
  <c r="C378" i="37" s="1"/>
  <c r="E378" i="37" l="1"/>
  <c r="H378" i="37"/>
  <c r="F378" i="37" l="1"/>
  <c r="G378" i="37" s="1"/>
  <c r="I378" i="37"/>
  <c r="C379" i="37" s="1"/>
  <c r="H379" i="37" l="1"/>
  <c r="E379" i="37"/>
  <c r="F379" i="37" l="1"/>
  <c r="G379" i="37" s="1"/>
  <c r="I379" i="37"/>
  <c r="C380" i="37" s="1"/>
  <c r="H380" i="37" l="1"/>
  <c r="E380" i="37"/>
  <c r="I380" i="37" l="1"/>
  <c r="C381" i="37" s="1"/>
  <c r="F380" i="37"/>
  <c r="G380" i="37" s="1"/>
  <c r="E381" i="37" l="1"/>
  <c r="H381" i="37"/>
  <c r="I381" i="37" l="1"/>
  <c r="C382" i="37" s="1"/>
  <c r="F381" i="37"/>
  <c r="G381" i="37" s="1"/>
  <c r="H382" i="37" l="1"/>
  <c r="E382" i="37"/>
  <c r="I382" i="37" l="1"/>
  <c r="C383" i="37" s="1"/>
  <c r="F382" i="37"/>
  <c r="G382" i="37" s="1"/>
  <c r="E383" i="37" l="1"/>
  <c r="H383" i="37"/>
  <c r="I383" i="37" l="1"/>
  <c r="C384" i="37" s="1"/>
  <c r="F383" i="37"/>
  <c r="G383" i="37" s="1"/>
  <c r="E384" i="37" l="1"/>
  <c r="H384" i="37"/>
  <c r="H18" i="37" s="1"/>
  <c r="F384" i="37" l="1"/>
  <c r="G384" i="37" s="1"/>
  <c r="I384" i="37"/>
  <c r="H16" i="37" s="1"/>
  <c r="ER353" i="35" l="1"/>
  <c r="ER204" i="35" l="1"/>
  <c r="ER287" i="35" l="1"/>
  <c r="ER208" i="35" l="1"/>
  <c r="ER207" i="35"/>
  <c r="ER220" i="35"/>
  <c r="ER234" i="35" l="1"/>
  <c r="ER288" i="35" l="1"/>
  <c r="ER369" i="35" l="1"/>
  <c r="ER203" i="35" l="1"/>
  <c r="ER172" i="35" l="1"/>
  <c r="ER223" i="35" l="1"/>
  <c r="ER249" i="35"/>
  <c r="ER316" i="35" l="1"/>
  <c r="ER350" i="35" l="1"/>
  <c r="ER349" i="35"/>
  <c r="ER336" i="35" l="1"/>
  <c r="ER192" i="35" l="1"/>
  <c r="ER191" i="35"/>
  <c r="ER190" i="35" l="1"/>
  <c r="ER222" i="35" l="1"/>
  <c r="ER221" i="35"/>
  <c r="ER365" i="35"/>
  <c r="ER57" i="35" l="1"/>
  <c r="ER338" i="35"/>
  <c r="ER339" i="35" l="1"/>
  <c r="ER175" i="35" l="1"/>
  <c r="ER160" i="35" l="1"/>
  <c r="ER333" i="35" l="1"/>
  <c r="ER371" i="35" l="1"/>
  <c r="ER157" i="35"/>
  <c r="ER141" i="35"/>
  <c r="ER335" i="35" l="1"/>
  <c r="ER176" i="35" l="1"/>
  <c r="ER173" i="35"/>
  <c r="ER364" i="35"/>
  <c r="ER337" i="35" l="1"/>
  <c r="ER294" i="35"/>
  <c r="ER171" i="35"/>
  <c r="ER320" i="35" l="1"/>
  <c r="ER177" i="35" l="1"/>
  <c r="ER174" i="35"/>
  <c r="ER310" i="35" l="1"/>
  <c r="ER318" i="35"/>
  <c r="ER263" i="35"/>
  <c r="ER219" i="35" l="1"/>
  <c r="ER218" i="35"/>
  <c r="ER261" i="35" l="1"/>
  <c r="ER271" i="35" l="1"/>
  <c r="ER32" i="35" l="1"/>
  <c r="ER317" i="35" l="1"/>
  <c r="ER280" i="35" l="1"/>
  <c r="ER277" i="35" l="1"/>
  <c r="ER322" i="35" l="1"/>
  <c r="ER321" i="35"/>
  <c r="ER279" i="35" l="1"/>
  <c r="ER161" i="35" l="1"/>
  <c r="ER146" i="35"/>
  <c r="ER145" i="35"/>
  <c r="ER112" i="35"/>
  <c r="ER142" i="35" l="1"/>
  <c r="ER232" i="35" l="1"/>
  <c r="ER255" i="35" l="1"/>
  <c r="ER188" i="35" l="1"/>
  <c r="ER231" i="35" l="1"/>
  <c r="ER256" i="35"/>
  <c r="ER113" i="35" l="1"/>
  <c r="ER126" i="35" l="1"/>
  <c r="ER341" i="35"/>
  <c r="ER340" i="35"/>
  <c r="ER274" i="35" l="1"/>
  <c r="ER240" i="35" l="1"/>
  <c r="ER230" i="35" l="1"/>
  <c r="ER225" i="35" l="1"/>
  <c r="ER224" i="35" l="1"/>
  <c r="ER238" i="35"/>
  <c r="ER239" i="35" l="1"/>
  <c r="ER241" i="35" l="1"/>
  <c r="ER348" i="35" l="1"/>
  <c r="ER162" i="35" l="1"/>
  <c r="ER226" i="35" l="1"/>
  <c r="ER286" i="35" l="1"/>
  <c r="ER99" i="35" l="1"/>
  <c r="ER186" i="35" l="1"/>
  <c r="ER130" i="35" l="1"/>
  <c r="ER114" i="35" l="1"/>
  <c r="ER242" i="35" l="1"/>
  <c r="ER243" i="35" l="1"/>
  <c r="ER302" i="35"/>
  <c r="ER211" i="35" l="1"/>
  <c r="ER200" i="35" l="1"/>
  <c r="ER272" i="35" l="1"/>
  <c r="ER8" i="35"/>
  <c r="ER44" i="35"/>
  <c r="ER55" i="35" l="1"/>
  <c r="ER199" i="35" l="1"/>
  <c r="ER194" i="35" l="1"/>
  <c r="ER193" i="35"/>
  <c r="ER275" i="35" l="1"/>
  <c r="ER11" i="35" l="1"/>
  <c r="ER159" i="35" l="1"/>
  <c r="ER87" i="35" l="1"/>
  <c r="ER217" i="35"/>
  <c r="ER309" i="35" l="1"/>
  <c r="ER163" i="35" l="1"/>
  <c r="ER247" i="35" l="1"/>
  <c r="ER147" i="35" l="1"/>
  <c r="ER216" i="35" l="1"/>
  <c r="ER155" i="35" l="1"/>
  <c r="ER131" i="35" l="1"/>
  <c r="ER100" i="35"/>
  <c r="ER248" i="35"/>
  <c r="ER108" i="35" l="1"/>
  <c r="ER185" i="35" l="1"/>
  <c r="ER101" i="35"/>
  <c r="ER110" i="35" l="1"/>
  <c r="ER229" i="35" l="1"/>
  <c r="ER228" i="35" l="1"/>
  <c r="ER304" i="35" l="1"/>
  <c r="ER273" i="35"/>
  <c r="ER291" i="35"/>
  <c r="ER303" i="35"/>
  <c r="ER306" i="35"/>
  <c r="ER289" i="35"/>
  <c r="ER299" i="35"/>
  <c r="ER314" i="35"/>
  <c r="ER293" i="35"/>
  <c r="ER305" i="35"/>
  <c r="ER227" i="35"/>
  <c r="ER97" i="35" l="1"/>
  <c r="ER128" i="35"/>
  <c r="ER104" i="35"/>
  <c r="ER148" i="35"/>
  <c r="ER122" i="35"/>
  <c r="ER213" i="35"/>
  <c r="ER65" i="35"/>
  <c r="ER88" i="35"/>
  <c r="ER184" i="35"/>
  <c r="ER152" i="35"/>
  <c r="ER90" i="35"/>
  <c r="ER120" i="35"/>
  <c r="ER182" i="35"/>
  <c r="ER85" i="35"/>
  <c r="ER258" i="35"/>
  <c r="ER123" i="35"/>
  <c r="ER149" i="35"/>
  <c r="ER77" i="35"/>
  <c r="ER121" i="35"/>
  <c r="ER180" i="35"/>
  <c r="ER96" i="35"/>
  <c r="ER156" i="35"/>
  <c r="ER164" i="35"/>
  <c r="ER244" i="35"/>
  <c r="ER37" i="35" l="1"/>
  <c r="ER31" i="35"/>
  <c r="ER36" i="35"/>
  <c r="ER42" i="35"/>
  <c r="ER64" i="35"/>
  <c r="ER30" i="35"/>
  <c r="ER59" i="35"/>
  <c r="ER63" i="35"/>
  <c r="ER34" i="35"/>
  <c r="ER7" i="35" l="1"/>
  <c r="ER25" i="35"/>
  <c r="ER23" i="35"/>
  <c r="ER28" i="35"/>
  <c r="ER140" i="35" l="1"/>
  <c r="ER198" i="35" l="1"/>
  <c r="ER136" i="35"/>
  <c r="ER80" i="35"/>
  <c r="ER48" i="35"/>
  <c r="ER13" i="35"/>
  <c r="ER290" i="35"/>
  <c r="ER245" i="35"/>
  <c r="ER197" i="35"/>
  <c r="ER178" i="35"/>
  <c r="ER135" i="35"/>
  <c r="ER118" i="35"/>
  <c r="ER105" i="35"/>
  <c r="ER91" i="35"/>
  <c r="ER79" i="35"/>
  <c r="ER70" i="35"/>
  <c r="ER47" i="35"/>
  <c r="ER35" i="35"/>
  <c r="ER20" i="35"/>
  <c r="ER12" i="35"/>
  <c r="ER246" i="35"/>
  <c r="ER119" i="35"/>
  <c r="ER71" i="35"/>
  <c r="ER38" i="35"/>
  <c r="ER278" i="35"/>
  <c r="ER196" i="35"/>
  <c r="ER170" i="35"/>
  <c r="ER153" i="35"/>
  <c r="ER134" i="35"/>
  <c r="ER117" i="35"/>
  <c r="ER103" i="35"/>
  <c r="ER89" i="35"/>
  <c r="ER78" i="35"/>
  <c r="ER69" i="35"/>
  <c r="ER54" i="35"/>
  <c r="ER46" i="35"/>
  <c r="ER33" i="35"/>
  <c r="ER19" i="35"/>
  <c r="ER10" i="35"/>
  <c r="ER179" i="35"/>
  <c r="ER92" i="35"/>
  <c r="ER276" i="35"/>
  <c r="ER215" i="35"/>
  <c r="ER195" i="35"/>
  <c r="ER169" i="35"/>
  <c r="ER151" i="35"/>
  <c r="ER133" i="35"/>
  <c r="ER116" i="35"/>
  <c r="ER102" i="35"/>
  <c r="ER86" i="35"/>
  <c r="ER76" i="35"/>
  <c r="ER68" i="35"/>
  <c r="ER53" i="35"/>
  <c r="ER45" i="35"/>
  <c r="ER29" i="35"/>
  <c r="ER18" i="35"/>
  <c r="ER292" i="35"/>
  <c r="ER158" i="35"/>
  <c r="ER106" i="35"/>
  <c r="ER58" i="35"/>
  <c r="ER21" i="35"/>
  <c r="ER260" i="35"/>
  <c r="ER212" i="35"/>
  <c r="ER189" i="35"/>
  <c r="ER168" i="35"/>
  <c r="ER150" i="35"/>
  <c r="ER129" i="35"/>
  <c r="ER115" i="35"/>
  <c r="ER98" i="35"/>
  <c r="ER84" i="35"/>
  <c r="ER75" i="35"/>
  <c r="ER67" i="35"/>
  <c r="ER52" i="35"/>
  <c r="ER43" i="35"/>
  <c r="ER27" i="35"/>
  <c r="ER17" i="35"/>
  <c r="ER259" i="35"/>
  <c r="ER210" i="35"/>
  <c r="ER187" i="35"/>
  <c r="ER167" i="35"/>
  <c r="ER127" i="35"/>
  <c r="ER111" i="35"/>
  <c r="ER95" i="35"/>
  <c r="ER83" i="35"/>
  <c r="ER74" i="35"/>
  <c r="ER66" i="35"/>
  <c r="ER51" i="35"/>
  <c r="ER41" i="35"/>
  <c r="ER26" i="35"/>
  <c r="ER16" i="35"/>
  <c r="ER257" i="35"/>
  <c r="ER209" i="35"/>
  <c r="ER183" i="35"/>
  <c r="ER166" i="35"/>
  <c r="ER138" i="35"/>
  <c r="ER125" i="35"/>
  <c r="ER109" i="35"/>
  <c r="ER94" i="35"/>
  <c r="ER82" i="35"/>
  <c r="ER73" i="35"/>
  <c r="ER62" i="35"/>
  <c r="ER50" i="35"/>
  <c r="ER40" i="35"/>
  <c r="ER24" i="35"/>
  <c r="ER15" i="35"/>
  <c r="ER307" i="35"/>
  <c r="ER254" i="35"/>
  <c r="ER201" i="35"/>
  <c r="ER181" i="35"/>
  <c r="ER165" i="35"/>
  <c r="ER137" i="35"/>
  <c r="ER124" i="35"/>
  <c r="ER107" i="35"/>
  <c r="ER93" i="35"/>
  <c r="ER81" i="35"/>
  <c r="ER72" i="35"/>
  <c r="ER61" i="35"/>
  <c r="ER49" i="35"/>
  <c r="ER39" i="35"/>
  <c r="ER22" i="35"/>
  <c r="ER14" i="35"/>
  <c r="ER9" i="35" l="1"/>
  <c r="ER313" i="35" l="1"/>
  <c r="ER319" i="35"/>
  <c r="ER308" i="35"/>
  <c r="FF34" i="35" l="1"/>
  <c r="FF35" i="3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Shiela Oaman</author>
  </authors>
  <commentList>
    <comment ref="G9" authorId="0" shapeId="0" xr:uid="{00000000-0006-0000-0100-000001000000}">
      <text>
        <r>
          <rPr>
            <b/>
            <sz val="9"/>
            <color indexed="81"/>
            <rFont val="Tahoma"/>
            <family val="2"/>
          </rPr>
          <t>Shiela Oaman:</t>
        </r>
        <r>
          <rPr>
            <sz val="9"/>
            <color indexed="81"/>
            <rFont val="Tahoma"/>
            <family val="2"/>
          </rPr>
          <t xml:space="preserve">
INHS (Long Term)
INHS (EOB)
LOAN DIFF.</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Acer</author>
    <author>HP</author>
  </authors>
  <commentList>
    <comment ref="DK3" authorId="0" shapeId="0" xr:uid="{00000000-0006-0000-0200-000001000000}">
      <text>
        <r>
          <rPr>
            <b/>
            <sz val="9"/>
            <color indexed="81"/>
            <rFont val="Tahoma"/>
            <family val="2"/>
          </rPr>
          <t>Aug. 2023-
added 3 months</t>
        </r>
      </text>
    </comment>
    <comment ref="AJ5" authorId="0" shapeId="0" xr:uid="{00000000-0006-0000-0200-000002000000}">
      <text>
        <r>
          <rPr>
            <b/>
            <sz val="9"/>
            <color indexed="81"/>
            <rFont val="Tahoma"/>
            <family val="2"/>
          </rPr>
          <t>*Applied 7.5% increase last Jan. 1,2023
*Feb. 2023 Pricelist-adjusted to 5% increase+additional 2.75% in LMF</t>
        </r>
      </text>
    </comment>
    <comment ref="CI5" authorId="0" shapeId="0" xr:uid="{00000000-0006-0000-0200-000003000000}">
      <text>
        <r>
          <rPr>
            <b/>
            <sz val="9"/>
            <color indexed="81"/>
            <rFont val="Tahoma"/>
            <family val="2"/>
          </rPr>
          <t>*Feb. 2023-added additional 2.75% in LMF</t>
        </r>
      </text>
    </comment>
    <comment ref="CL5" authorId="0" shapeId="0" xr:uid="{00000000-0006-0000-0200-000004000000}">
      <text>
        <r>
          <rPr>
            <b/>
            <sz val="9"/>
            <color indexed="81"/>
            <rFont val="Tahoma"/>
            <family val="2"/>
          </rPr>
          <t>50 units only</t>
        </r>
      </text>
    </comment>
    <comment ref="FD5" authorId="0" shapeId="0" xr:uid="{00000000-0006-0000-0200-000005000000}">
      <text>
        <r>
          <rPr>
            <b/>
            <sz val="9"/>
            <color indexed="81"/>
            <rFont val="Tahoma"/>
            <family val="2"/>
          </rPr>
          <t>RS date: May 2023</t>
        </r>
      </text>
    </comment>
    <comment ref="FF5" authorId="0" shapeId="0" xr:uid="{00000000-0006-0000-0200-000006000000}">
      <text>
        <r>
          <rPr>
            <b/>
            <sz val="9"/>
            <color indexed="81"/>
            <rFont val="Tahoma"/>
            <family val="2"/>
          </rPr>
          <t>Revised</t>
        </r>
      </text>
    </comment>
    <comment ref="A399" authorId="1" shapeId="0" xr:uid="{00000000-0006-0000-0200-000007000000}">
      <text>
        <r>
          <rPr>
            <b/>
            <sz val="9"/>
            <color indexed="81"/>
            <rFont val="Tahoma"/>
            <family val="2"/>
          </rPr>
          <t>HP:</t>
        </r>
        <r>
          <rPr>
            <sz val="9"/>
            <color indexed="81"/>
            <rFont val="Tahoma"/>
            <family val="2"/>
          </rPr>
          <t xml:space="preserve">
variance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AD5" authorId="0" shapeId="0" xr:uid="{00000000-0006-0000-0300-000001000000}">
      <text>
        <r>
          <rPr>
            <b/>
            <sz val="9"/>
            <color indexed="81"/>
            <rFont val="Tahoma"/>
            <family val="2"/>
          </rPr>
          <t>20 yrs @ 7%</t>
        </r>
      </text>
    </comment>
    <comment ref="AE5" authorId="0" shapeId="0" xr:uid="{00000000-0006-0000-0300-000002000000}">
      <text>
        <r>
          <rPr>
            <b/>
            <sz val="9"/>
            <color indexed="81"/>
            <rFont val="Tahoma"/>
            <family val="2"/>
          </rPr>
          <t>based on 15 yrs at 7% interest rate</t>
        </r>
      </text>
    </comment>
    <comment ref="AF5" authorId="0" shapeId="0" xr:uid="{00000000-0006-0000-0300-000003000000}">
      <text>
        <r>
          <rPr>
            <b/>
            <sz val="9"/>
            <color indexed="81"/>
            <rFont val="Tahoma"/>
            <family val="2"/>
          </rPr>
          <t>based on 10 yrs</t>
        </r>
      </text>
    </comment>
    <comment ref="AG5" authorId="0" shapeId="0" xr:uid="{00000000-0006-0000-0300-000004000000}">
      <text>
        <r>
          <rPr>
            <b/>
            <sz val="9"/>
            <color indexed="81"/>
            <rFont val="Tahoma"/>
            <family val="2"/>
          </rPr>
          <t xml:space="preserve">based on 5 yrs
</t>
        </r>
      </text>
    </comment>
    <comment ref="O6" authorId="0" shapeId="0" xr:uid="{00000000-0006-0000-0300-000005000000}">
      <text>
        <r>
          <rPr>
            <b/>
            <sz val="9"/>
            <color indexed="81"/>
            <rFont val="Tahoma"/>
            <family val="2"/>
          </rPr>
          <t xml:space="preserve">Applicable May 23,2022
</t>
        </r>
        <r>
          <rPr>
            <sz val="9"/>
            <color indexed="81"/>
            <rFont val="Tahoma"/>
            <family val="2"/>
          </rPr>
          <t>2M+HIC Amount+Smart home &amp; recovery+increase) X 3% price increase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Wee Comm Developers</author>
  </authors>
  <commentList>
    <comment ref="B6" authorId="0" shapeId="0" xr:uid="{00000000-0006-0000-0500-000001000000}">
      <text>
        <r>
          <rPr>
            <b/>
            <sz val="9"/>
            <color indexed="81"/>
            <rFont val="Tahoma"/>
            <family val="2"/>
          </rPr>
          <t>Wee Comm Developers:</t>
        </r>
        <r>
          <rPr>
            <sz val="9"/>
            <color indexed="81"/>
            <rFont val="Tahoma"/>
            <family val="2"/>
          </rPr>
          <t xml:space="preserve">
Please update; these status are for vloook up testing only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6" authorId="0" shapeId="0" xr:uid="{00000000-0006-0000-0900-000001000000}">
      <text>
        <r>
          <rPr>
            <b/>
            <sz val="9"/>
            <color indexed="81"/>
            <rFont val="Tahoma"/>
            <family val="2"/>
          </rPr>
          <t>link lumpsum to payment schedule</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6" authorId="0" shapeId="0" xr:uid="{00000000-0006-0000-0A00-000001000000}">
      <text>
        <r>
          <rPr>
            <b/>
            <sz val="9"/>
            <color indexed="81"/>
            <rFont val="Tahoma"/>
            <family val="2"/>
          </rPr>
          <t>link lumpsum to payment schedule</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6" authorId="0" shapeId="0" xr:uid="{00000000-0006-0000-1900-000001000000}">
      <text>
        <r>
          <rPr>
            <b/>
            <sz val="9"/>
            <color indexed="81"/>
            <rFont val="Tahoma"/>
            <family val="2"/>
          </rPr>
          <t>link lumpsum to payment schedule</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Acer</author>
  </authors>
  <commentList>
    <comment ref="C27" authorId="0" shapeId="0" xr:uid="{00000000-0006-0000-1A00-000001000000}">
      <text>
        <r>
          <rPr>
            <b/>
            <sz val="9"/>
            <color indexed="81"/>
            <rFont val="Tahoma"/>
            <family val="2"/>
          </rPr>
          <t>link lumpsum to payment schedule</t>
        </r>
      </text>
    </comment>
  </commentList>
</comments>
</file>

<file path=xl/sharedStrings.xml><?xml version="1.0" encoding="utf-8"?>
<sst xmlns="http://schemas.openxmlformats.org/spreadsheetml/2006/main" count="9909" uniqueCount="1299">
  <si>
    <t>*Internal applied to Equity term plus 2 months buffer</t>
  </si>
  <si>
    <t>Aug. 2023</t>
  </si>
  <si>
    <t>Current term</t>
  </si>
  <si>
    <t>New Term</t>
  </si>
  <si>
    <t>B1</t>
  </si>
  <si>
    <t>B2</t>
  </si>
  <si>
    <t>B3</t>
  </si>
  <si>
    <t>NEW</t>
  </si>
  <si>
    <t>as of Sept. 28,2023</t>
  </si>
  <si>
    <t>ANNEX "A"</t>
  </si>
  <si>
    <t>ILOILO SOUTHPRIME DEVELOPERS INC.</t>
  </si>
  <si>
    <t>Date and Time Printed:</t>
  </si>
  <si>
    <t>Buyer's Name:</t>
  </si>
  <si>
    <t>Project Name:</t>
  </si>
  <si>
    <t>EMERALD ESTATES</t>
  </si>
  <si>
    <t>Unit No.:</t>
  </si>
  <si>
    <t>BLOCK LOT</t>
  </si>
  <si>
    <t>Financing:</t>
  </si>
  <si>
    <t>Payment Schedule</t>
  </si>
  <si>
    <t>Outstanding Balance Summary</t>
  </si>
  <si>
    <t>Loan Amount</t>
  </si>
  <si>
    <t>Scheduled Payment</t>
  </si>
  <si>
    <t>Annual Interest Rate</t>
  </si>
  <si>
    <t>Scheduled Number of Payments</t>
  </si>
  <si>
    <t>Loan Period in Years</t>
  </si>
  <si>
    <t>Actual Number of Payments</t>
  </si>
  <si>
    <t>Number of Payments Per Year</t>
  </si>
  <si>
    <t>Total Early Payments</t>
  </si>
  <si>
    <t>Start Date of Loan</t>
  </si>
  <si>
    <t>Total Interest</t>
  </si>
  <si>
    <t>PROJECTION</t>
  </si>
  <si>
    <t>Optional Extra Payments</t>
  </si>
  <si>
    <t>LINK GOING TO LD OR INHS MASTERLIST</t>
  </si>
  <si>
    <t>MONTH</t>
  </si>
  <si>
    <t>amount</t>
  </si>
  <si>
    <t>prin cipal</t>
  </si>
  <si>
    <t>interest</t>
  </si>
  <si>
    <t>balance</t>
  </si>
  <si>
    <t>PmtNo.</t>
  </si>
  <si>
    <t>Payment Date</t>
  </si>
  <si>
    <t>Beginning Balance</t>
  </si>
  <si>
    <t>Extra Payment</t>
  </si>
  <si>
    <t>Total Payment</t>
  </si>
  <si>
    <t>Principal</t>
  </si>
  <si>
    <t>Interest</t>
  </si>
  <si>
    <t>Ending Balance</t>
  </si>
  <si>
    <t>Paid/Credited</t>
  </si>
  <si>
    <t>TRANCHES</t>
  </si>
  <si>
    <t>TOTAL</t>
  </si>
  <si>
    <t>Total Interest for 9 months</t>
  </si>
  <si>
    <t>TOTAL AMOUNT</t>
  </si>
  <si>
    <t>The Southprime Flats</t>
  </si>
  <si>
    <t>offer 12.5%</t>
  </si>
  <si>
    <t>Term</t>
  </si>
  <si>
    <t>Interest Rate</t>
  </si>
  <si>
    <t>Factor Rate</t>
  </si>
  <si>
    <t>Ave. 90% Loanable</t>
  </si>
  <si>
    <t>Interest for 9 months</t>
  </si>
  <si>
    <t>ORIGINAL</t>
  </si>
  <si>
    <t>SIMULATION</t>
  </si>
  <si>
    <t xml:space="preserve"> </t>
  </si>
  <si>
    <t>Mandurriao, Iloilo</t>
  </si>
  <si>
    <t>VAT THRESHOLD</t>
  </si>
  <si>
    <t>Top up Incentive</t>
  </si>
  <si>
    <t>(Linked to Computation - pls update value if needed)</t>
  </si>
  <si>
    <t>AUG. 2023</t>
  </si>
  <si>
    <t>10% Equity w/ 2.5% lumpsum</t>
  </si>
  <si>
    <t>Building 3 Pricelist (Ver.02)</t>
  </si>
  <si>
    <t>Inner</t>
  </si>
  <si>
    <t>North</t>
  </si>
  <si>
    <t>6th</t>
  </si>
  <si>
    <t>10th</t>
  </si>
  <si>
    <t>HIDE</t>
  </si>
  <si>
    <t>Doc Incentive</t>
  </si>
  <si>
    <t>VAT threshold</t>
  </si>
  <si>
    <t>OLD</t>
  </si>
  <si>
    <t>Lower Floors</t>
  </si>
  <si>
    <t>East</t>
  </si>
  <si>
    <t>3rd</t>
  </si>
  <si>
    <t>9th</t>
  </si>
  <si>
    <t>CTS BARE</t>
  </si>
  <si>
    <t>mark up for comm</t>
  </si>
  <si>
    <t>BOI THRESHOLD</t>
  </si>
  <si>
    <t>Past Incentive</t>
  </si>
  <si>
    <t>IN HOUSE LOAN MONTHLY AMORT @80% TCP BALANCE</t>
  </si>
  <si>
    <t>Based on Construction</t>
  </si>
  <si>
    <t>etc</t>
  </si>
  <si>
    <t>( = ) TOTAL ADDITIVES</t>
  </si>
  <si>
    <t>END OF CONSTRUCTION</t>
  </si>
  <si>
    <t>SHOULD BE EQUITY IN PRICELIST</t>
  </si>
  <si>
    <t>WITH ADDITIVES</t>
  </si>
  <si>
    <t>NO DISCOUNT APPLICATION</t>
  </si>
  <si>
    <t>CNC REMARKS</t>
  </si>
  <si>
    <t>FROM SIR JESSON(Jan. 1-15,2022)</t>
  </si>
  <si>
    <t>Total</t>
  </si>
  <si>
    <t xml:space="preserve">CURRENT </t>
  </si>
  <si>
    <t>UPDATED</t>
  </si>
  <si>
    <t>Inventory Count</t>
  </si>
  <si>
    <t>SALE STATUS</t>
  </si>
  <si>
    <t>Inventory Count/Floor</t>
  </si>
  <si>
    <t>Physical Floor</t>
  </si>
  <si>
    <t>Level</t>
  </si>
  <si>
    <t>Tagging</t>
  </si>
  <si>
    <t>Unit</t>
  </si>
  <si>
    <t>Unit Letter</t>
  </si>
  <si>
    <t>Unit Type</t>
  </si>
  <si>
    <t>Area (sqm)</t>
  </si>
  <si>
    <t>Orientation</t>
  </si>
  <si>
    <t>View</t>
  </si>
  <si>
    <t>Classification</t>
  </si>
  <si>
    <t>Typical Selling Price/Sqm.</t>
  </si>
  <si>
    <t>Total Typical Selling Prie</t>
  </si>
  <si>
    <t>Smart Home</t>
  </si>
  <si>
    <t>RECOVERY PROGRAM</t>
  </si>
  <si>
    <t>( + ) LOFTED</t>
  </si>
  <si>
    <t>( + ) NEAR AMENITIES</t>
  </si>
  <si>
    <t>( + ) PREMIUM 8TH FLOOR</t>
  </si>
  <si>
    <t>( + ) EAST VIEW</t>
  </si>
  <si>
    <t>( + ) CORNER</t>
  </si>
  <si>
    <t>( + ) END UNIT</t>
  </si>
  <si>
    <t>( + ) FACING AMENITIES</t>
  </si>
  <si>
    <t>( + ) LEVEL ADDITIVES (@5th Floor)</t>
  </si>
  <si>
    <t>LMF INCREASE</t>
  </si>
  <si>
    <t>EXPOSURE RECOVERY</t>
  </si>
  <si>
    <t>RENOVATION</t>
  </si>
  <si>
    <t>REFUND</t>
  </si>
  <si>
    <t>NEW SELLING PRICE</t>
  </si>
  <si>
    <t>1ST INCREASE</t>
  </si>
  <si>
    <t>2ND INCREASE</t>
  </si>
  <si>
    <t>3RD INCREASE</t>
  </si>
  <si>
    <t>INCREASE</t>
  </si>
  <si>
    <t>RECOVERY AMOUNT</t>
  </si>
  <si>
    <t>INTEREST</t>
  </si>
  <si>
    <t>PRICE INCREASE_OCT. 1,2023</t>
  </si>
  <si>
    <t>CTS BARE/DOAS</t>
  </si>
  <si>
    <t>HIC/SQM</t>
  </si>
  <si>
    <t>HIC</t>
  </si>
  <si>
    <t>HIC VAT</t>
  </si>
  <si>
    <t>( = ) TOTAL HIC</t>
  </si>
  <si>
    <t>Price Increase (July 2024)</t>
  </si>
  <si>
    <t>INCIDENTAL RECOVERIES (OCT 2024)</t>
  </si>
  <si>
    <t>Price Increase 
(Oct 16, 2024)</t>
  </si>
  <si>
    <t>INCIDENTAL RECOVERIES 
(OCT 16, 2024)</t>
  </si>
  <si>
    <t>INCENTIVE RECOVERY 
(OCT 16, 2024)</t>
  </si>
  <si>
    <t>NEW SELLING PRICE (Nov 2024)</t>
  </si>
  <si>
    <t>INCIDENTAL RECOVERIES 
(DEC 2024)</t>
  </si>
  <si>
    <t>NEW SELLING PRICE (DEC 2024)</t>
  </si>
  <si>
    <t>INCIDENTAL RECOVERIES 
(JAN 2025)</t>
  </si>
  <si>
    <t>NEW SELLING PRICE 
(JAN 2025)</t>
  </si>
  <si>
    <t>INCIDENTAL RECOVERIES 
(FEB 2025)</t>
  </si>
  <si>
    <t>NEW SELLING PRICE 
(FEB 2025)</t>
  </si>
  <si>
    <t>INCIDENTAL RECOVERIES 
(MAR 2025)</t>
  </si>
  <si>
    <t>NEW SELLING PRICE 
(MAR 2025)</t>
  </si>
  <si>
    <t>INCIDENTAL RECOVERIES 
(APR 2025)</t>
  </si>
  <si>
    <t>NEW SELLING PRICE 
(APR 2025)</t>
  </si>
  <si>
    <t>INCIDENTAL RECOVERIES 
(MAY 2025)</t>
  </si>
  <si>
    <t>NEW SELLING PRICE 
(MAY 2025)</t>
  </si>
  <si>
    <t>INCIDENTAL RECOVERIES 
(JUNE 2025)</t>
  </si>
  <si>
    <t>NEW SELLING PRICE 
(JUNE 2025)</t>
  </si>
  <si>
    <t>INCIDENTAL RECOVERIES 
(JULY 2025)</t>
  </si>
  <si>
    <t>NEW SELLING PRICE 
(JULY 2025)</t>
  </si>
  <si>
    <t>INCIDENTAL RECOVERIES 
(August 2025)</t>
  </si>
  <si>
    <t xml:space="preserve">Top-up Incentive + Documentrary Incentive - Past Cash Incentive
</t>
  </si>
  <si>
    <t>New Selling Price
(Aug 2025)</t>
  </si>
  <si>
    <t>INCIDENTAL RECOVERIES 
(SEP 2025)</t>
  </si>
  <si>
    <t>NEW SELLING PRICE 
(SEP 2025)</t>
  </si>
  <si>
    <t>New Selling Price</t>
  </si>
  <si>
    <t>12% VAT</t>
  </si>
  <si>
    <t>LMF</t>
  </si>
  <si>
    <t>BF</t>
  </si>
  <si>
    <t>Total Contract Price</t>
  </si>
  <si>
    <t>Equity Rate</t>
  </si>
  <si>
    <t>Equity</t>
  </si>
  <si>
    <t>Reservation Fee</t>
  </si>
  <si>
    <t>Net Equity</t>
  </si>
  <si>
    <t>Equity Term (Months)</t>
  </si>
  <si>
    <t>Monthly Equity</t>
  </si>
  <si>
    <t>Balance %</t>
  </si>
  <si>
    <t>Loanable Amount</t>
  </si>
  <si>
    <t>Monthly Amort. 20 years @ 7% fixed 3 yrs only</t>
  </si>
  <si>
    <t>Monthly Amort. 15 years @ 7% fixed 3 yrs only</t>
  </si>
  <si>
    <t>Monthly Amort. 10 years @ 7% fixed 3 yrs only</t>
  </si>
  <si>
    <t>Monthly Amort. 5 years @ 7% fixed 3 yrs only</t>
  </si>
  <si>
    <t>IN HOUSE MONTHLY AMORT 1YR. @12%</t>
  </si>
  <si>
    <t>IN HOUSE MONTHLY AMORT 3YRS. @16%</t>
  </si>
  <si>
    <t>IN HOUSE MONTHLY AMORT 5YRS. @18%</t>
  </si>
  <si>
    <t>IN HOUSE MONTHLY AMORT 10YRS. @20%</t>
  </si>
  <si>
    <t>HIC% (old)</t>
  </si>
  <si>
    <t>HIC% (new)</t>
  </si>
  <si>
    <t>REMARKS (NEW)</t>
  </si>
  <si>
    <t>TURN OVER DATE</t>
  </si>
  <si>
    <t>REMAINING EQUITY</t>
  </si>
  <si>
    <t>( + ) 2 MONTHS FOR PMD TURN OVER TO BUYER</t>
  </si>
  <si>
    <t>MAXIMIZE EQUITY DP MONTHS</t>
  </si>
  <si>
    <t>BOI STATUS</t>
  </si>
  <si>
    <t>DOCS STATUS</t>
  </si>
  <si>
    <t>HIC / SQM.             (INCLUSIVE OF VAT)</t>
  </si>
  <si>
    <t>TOTAL HIC AMOUNT</t>
  </si>
  <si>
    <t>HIC PERCENTAGE</t>
  </si>
  <si>
    <t>CURRENT PRICE STUDY</t>
  </si>
  <si>
    <t>ORIGINAL NSP</t>
  </si>
  <si>
    <t>VARIANCE</t>
  </si>
  <si>
    <t>NSP/SQM                (CURRENT SP)</t>
  </si>
  <si>
    <t>FROM AREA TAB</t>
  </si>
  <si>
    <t>NEW PLAN</t>
  </si>
  <si>
    <t>CLIENTS NAME</t>
  </si>
  <si>
    <t>REMARKS</t>
  </si>
  <si>
    <t>Step-Up Computation</t>
  </si>
  <si>
    <t>SALES STATUS</t>
  </si>
  <si>
    <t>MASTERLIST</t>
  </si>
  <si>
    <t>CHECKING</t>
  </si>
  <si>
    <t>NSP</t>
  </si>
  <si>
    <t>90% of TCP</t>
  </si>
  <si>
    <t>TERM</t>
  </si>
  <si>
    <t>END EQUITY</t>
  </si>
  <si>
    <t>TERM (w/ additional buffer)</t>
  </si>
  <si>
    <t>For the month of</t>
  </si>
  <si>
    <t>Equity %</t>
  </si>
  <si>
    <t>@ 38 MONTHS TERM</t>
  </si>
  <si>
    <t>@ 37 MONTHS TERM</t>
  </si>
  <si>
    <t>Required Equity</t>
  </si>
  <si>
    <t>10% Equity</t>
  </si>
  <si>
    <t>2.5% Lumpsum</t>
  </si>
  <si>
    <t>VARIANCE ON MONTHLY EQUITY</t>
  </si>
  <si>
    <t>Floor</t>
  </si>
  <si>
    <t>Takeout / Client Move In</t>
  </si>
  <si>
    <t>Equity Term</t>
  </si>
  <si>
    <t>3rd Floor</t>
  </si>
  <si>
    <t>W-3A</t>
  </si>
  <si>
    <t>Studio</t>
  </si>
  <si>
    <t>Corner</t>
  </si>
  <si>
    <t>0</t>
  </si>
  <si>
    <t>BOI W/ HIC</t>
  </si>
  <si>
    <t>BOI</t>
  </si>
  <si>
    <t>CTS BARE WITH HIC</t>
  </si>
  <si>
    <t>UNIT A</t>
  </si>
  <si>
    <t>SOLD</t>
  </si>
  <si>
    <t>W-3B</t>
  </si>
  <si>
    <t>UNIT B</t>
  </si>
  <si>
    <t>Months Covered</t>
  </si>
  <si>
    <t>Months</t>
  </si>
  <si>
    <t>%</t>
  </si>
  <si>
    <t>Monthly</t>
  </si>
  <si>
    <t>2nd Floor</t>
  </si>
  <si>
    <t>W-3C</t>
  </si>
  <si>
    <t>UNIT C</t>
  </si>
  <si>
    <t>NICO BERENACER  DOSANO</t>
  </si>
  <si>
    <t>FROM UG TO 3F</t>
  </si>
  <si>
    <t>Step Up 1</t>
  </si>
  <si>
    <t>W-3D</t>
  </si>
  <si>
    <t>UNIT D</t>
  </si>
  <si>
    <t>MARYCELLE GOMEZ CONSTANTINO</t>
  </si>
  <si>
    <t>Step Up 2</t>
  </si>
  <si>
    <t>4th Floor</t>
  </si>
  <si>
    <t>W-3E</t>
  </si>
  <si>
    <t>UNIT E</t>
  </si>
  <si>
    <t>JANELLE GOMEZ CONSTANTINO</t>
  </si>
  <si>
    <t>Step Up 3</t>
  </si>
  <si>
    <t>UNSOLD</t>
  </si>
  <si>
    <t>term from Sept 2023 less 1 plus 12 months</t>
  </si>
  <si>
    <t>5th Floor</t>
  </si>
  <si>
    <t>W-3F</t>
  </si>
  <si>
    <t>UNIT F</t>
  </si>
  <si>
    <t>ABBY GAYLE GACUMA LACHICA</t>
  </si>
  <si>
    <t>Nov. 1-14,2023</t>
  </si>
  <si>
    <t>6th Floor</t>
  </si>
  <si>
    <t>W-3G</t>
  </si>
  <si>
    <t>UNIT G</t>
  </si>
  <si>
    <t>Nov. 15-30,2023</t>
  </si>
  <si>
    <t>7th Floor</t>
  </si>
  <si>
    <t>W-3H</t>
  </si>
  <si>
    <t>UNIT H</t>
  </si>
  <si>
    <t>8th Floor</t>
  </si>
  <si>
    <t>W-3I</t>
  </si>
  <si>
    <t>UNIT I</t>
  </si>
  <si>
    <t>9th Floor</t>
  </si>
  <si>
    <t>W-3J</t>
  </si>
  <si>
    <t>South</t>
  </si>
  <si>
    <t>End</t>
  </si>
  <si>
    <t>UNIT J</t>
  </si>
  <si>
    <t>Edit every month</t>
  </si>
  <si>
    <t>10th Floor</t>
  </si>
  <si>
    <t>W-3K</t>
  </si>
  <si>
    <t>UNIT K</t>
  </si>
  <si>
    <t>11th Floor</t>
  </si>
  <si>
    <t>W-3L</t>
  </si>
  <si>
    <t>UNIT L</t>
  </si>
  <si>
    <t>12th Floor</t>
  </si>
  <si>
    <t>W-3M</t>
  </si>
  <si>
    <t>UNIT M</t>
  </si>
  <si>
    <t>Step Up:</t>
  </si>
  <si>
    <t>Step-up</t>
  </si>
  <si>
    <t>14th Floor</t>
  </si>
  <si>
    <t>W-3N</t>
  </si>
  <si>
    <t>UNIT N</t>
  </si>
  <si>
    <t>Step Up w/ 2.5%:</t>
  </si>
  <si>
    <t>12.5% Equity Step-up, 2.50% Lumpsum</t>
  </si>
  <si>
    <t>15th Floor</t>
  </si>
  <si>
    <t>W-3O</t>
  </si>
  <si>
    <t>UNIT O</t>
  </si>
  <si>
    <t>w/ 2.5% Lumpsum:</t>
  </si>
  <si>
    <t>12.5% Equity spread, 2.50% Lumpsum</t>
  </si>
  <si>
    <t>W-3P</t>
  </si>
  <si>
    <t>UNIT P</t>
  </si>
  <si>
    <t>E-3A</t>
  </si>
  <si>
    <t>UNIT Q</t>
  </si>
  <si>
    <t>VANESSA PALOMADO PALMARES</t>
  </si>
  <si>
    <t>E-3B</t>
  </si>
  <si>
    <t>LEEMAN JIGS CAPITPIT AMBATA</t>
  </si>
  <si>
    <t>E-3C</t>
  </si>
  <si>
    <t>TROY GUBAC BINAS</t>
  </si>
  <si>
    <t>based on updated sched. (April 2027+2 months PMD)</t>
  </si>
  <si>
    <t>E-3D</t>
  </si>
  <si>
    <t>ARIANE MAE ALDEA AMELLIAM</t>
  </si>
  <si>
    <t>E-3E</t>
  </si>
  <si>
    <t>NICEFELYN TAN JAJI</t>
  </si>
  <si>
    <t>E-3F</t>
  </si>
  <si>
    <t>LEA JOY CARMI DELA TORRE TALABAN</t>
  </si>
  <si>
    <t>(TECH JUNE 2027 +2 MONTHS PMD) FROM SIR TOFF</t>
  </si>
  <si>
    <t>E-3G</t>
  </si>
  <si>
    <t>E-3H</t>
  </si>
  <si>
    <t>IRVIN IAN MATUOD PONDOC</t>
  </si>
  <si>
    <t>April 1-9,2025</t>
  </si>
  <si>
    <t>E-3I</t>
  </si>
  <si>
    <t>NIÑO AGUINADA VALLEJO</t>
  </si>
  <si>
    <t>E-3J</t>
  </si>
  <si>
    <t>MARY CHARLYN MANEJERO TAMONAN</t>
  </si>
  <si>
    <t>E-3K</t>
  </si>
  <si>
    <t>E-3L</t>
  </si>
  <si>
    <t>MARIA EIMAN</t>
  </si>
  <si>
    <t>FOR RE-OPEN</t>
  </si>
  <si>
    <t>E-3M</t>
  </si>
  <si>
    <t>E-3N</t>
  </si>
  <si>
    <t>E-3O</t>
  </si>
  <si>
    <t>W-4A</t>
  </si>
  <si>
    <t>EDWARD TINGSON ALIMEN</t>
  </si>
  <si>
    <t>FROM 2F TO 4F</t>
  </si>
  <si>
    <t>W-4B</t>
  </si>
  <si>
    <t>RYAN ADRIAN DIAZ LAYOLA</t>
  </si>
  <si>
    <t>W-4C</t>
  </si>
  <si>
    <t>KRISTIE JOY SOLAS DIALA</t>
  </si>
  <si>
    <t>W-4D</t>
  </si>
  <si>
    <t>UNIT R</t>
  </si>
  <si>
    <t>MELANIE LAGUTANG PADILLA</t>
  </si>
  <si>
    <t>W-4E</t>
  </si>
  <si>
    <t>LIZA LAGUTANG LIM</t>
  </si>
  <si>
    <t>W-4F</t>
  </si>
  <si>
    <t>LEO D. VILLANUEVA JR.</t>
  </si>
  <si>
    <t>W-4G</t>
  </si>
  <si>
    <t>RUDANTE CRABANO COMODERO</t>
  </si>
  <si>
    <t>W-4H</t>
  </si>
  <si>
    <t>NIKE PABIONA PABILONA</t>
  </si>
  <si>
    <t>W-4I</t>
  </si>
  <si>
    <t>DENS VINCENT ERME ALMERIA</t>
  </si>
  <si>
    <t>W-4J</t>
  </si>
  <si>
    <t>ZANNETH CLAIRE TAPALES</t>
  </si>
  <si>
    <t>W-4K</t>
  </si>
  <si>
    <t>W-4L</t>
  </si>
  <si>
    <t>W-4M</t>
  </si>
  <si>
    <t>W-4N</t>
  </si>
  <si>
    <t>W-4O</t>
  </si>
  <si>
    <t>W-4P</t>
  </si>
  <si>
    <t>JULIAN PATIÑO SAAVEDRA</t>
  </si>
  <si>
    <t>E-4A</t>
  </si>
  <si>
    <t>DINAH SEBERIAS BAYONA</t>
  </si>
  <si>
    <t>E-4B</t>
  </si>
  <si>
    <t>RAZEL JANE PECTO PRODIGO</t>
  </si>
  <si>
    <t>E-4C</t>
  </si>
  <si>
    <t>CLIVE BENEDICT DA-ANAOY MUYCO</t>
  </si>
  <si>
    <t>E-4D</t>
  </si>
  <si>
    <t>ELMO PACLIBAR AGUILAR</t>
  </si>
  <si>
    <t>E-4E</t>
  </si>
  <si>
    <t>HAMID PENDON DIMAPORO</t>
  </si>
  <si>
    <t>E-4F</t>
  </si>
  <si>
    <t>VERNA JOAN GENODEPA</t>
  </si>
  <si>
    <t>E-4G</t>
  </si>
  <si>
    <t>KRIS ELISHA DEANON PAREDES</t>
  </si>
  <si>
    <t>E-4H</t>
  </si>
  <si>
    <t>MALOU LATUMBO BARNEUVO</t>
  </si>
  <si>
    <t>E-4I</t>
  </si>
  <si>
    <t>HAYDEE YUSAL CERRADA</t>
  </si>
  <si>
    <t>E-4J</t>
  </si>
  <si>
    <t>PRECIOSE ANN MONANA DABALUS</t>
  </si>
  <si>
    <t>E-4K</t>
  </si>
  <si>
    <t>BERMA JOY PASTOR TEOLOGO</t>
  </si>
  <si>
    <t>E-4L</t>
  </si>
  <si>
    <t>SHARMIN GALE SADDI DEL SOCORRO</t>
  </si>
  <si>
    <t>E-4M</t>
  </si>
  <si>
    <t>AGNES ICASAS ABAD</t>
  </si>
  <si>
    <t>E-4N</t>
  </si>
  <si>
    <t>HANNA LEE MONTECALVO</t>
  </si>
  <si>
    <t>E-4O</t>
  </si>
  <si>
    <t>W-5A</t>
  </si>
  <si>
    <t>NORMAE ALARCON BESA</t>
  </si>
  <si>
    <t>FROM 3F TO 5F</t>
  </si>
  <si>
    <t>W-5B</t>
  </si>
  <si>
    <t>JOY ARIOLA GABIONZA</t>
  </si>
  <si>
    <t>W-5C</t>
  </si>
  <si>
    <t>MARILOU ILDEFONSO VALENCIANO</t>
  </si>
  <si>
    <t>W-5D</t>
  </si>
  <si>
    <t>SHEM BAYHON DELA CANAL</t>
  </si>
  <si>
    <t>W-5E</t>
  </si>
  <si>
    <t>MARK ANTHONY MADAYAG HERVIAS</t>
  </si>
  <si>
    <t>W-5F</t>
  </si>
  <si>
    <t>JAY ANN MARIE BUARON BLANCAFLOR</t>
  </si>
  <si>
    <t>W-5G</t>
  </si>
  <si>
    <t>AILYN CARIQUE CANTO</t>
  </si>
  <si>
    <t>W-5H</t>
  </si>
  <si>
    <t>MICHELLE VERGAVERA DELOS REYES</t>
  </si>
  <si>
    <t>W-5I</t>
  </si>
  <si>
    <t>DEAN LEONIV VIEJON ANTONIO</t>
  </si>
  <si>
    <t>W-5J</t>
  </si>
  <si>
    <t>FEMY ROSE SOLAS DIALA</t>
  </si>
  <si>
    <t>W-5K</t>
  </si>
  <si>
    <t>ALOHA TUMANDAY OROCEO</t>
  </si>
  <si>
    <t>W-5L</t>
  </si>
  <si>
    <t>KYRL SARTORIO PALMA</t>
  </si>
  <si>
    <t>W-5M</t>
  </si>
  <si>
    <t>MARIA UNA PANES PADILLA</t>
  </si>
  <si>
    <t>W-5N</t>
  </si>
  <si>
    <t>RENANTE ALASKA AUMENTA</t>
  </si>
  <si>
    <t>W-5O</t>
  </si>
  <si>
    <t>NISHEL DELA LIÑA FABURADA</t>
  </si>
  <si>
    <t>W-5P</t>
  </si>
  <si>
    <t>JOB CELESTIAL DELA TORRE</t>
  </si>
  <si>
    <t>E-5A</t>
  </si>
  <si>
    <t>DARRIE JOYCE MADRONA</t>
  </si>
  <si>
    <t>E-5B</t>
  </si>
  <si>
    <t>CANDELARIA ABOILO CAMPAÑERO</t>
  </si>
  <si>
    <t>E-5C</t>
  </si>
  <si>
    <t>JOENICK LORBES ANONA</t>
  </si>
  <si>
    <t>E-5D</t>
  </si>
  <si>
    <t>LILIBETH AGUILAR FRENCH</t>
  </si>
  <si>
    <t>E-5E</t>
  </si>
  <si>
    <t>IREN PANAGUITON</t>
  </si>
  <si>
    <t>E-5F</t>
  </si>
  <si>
    <t>PETER JOHN JAYAON</t>
  </si>
  <si>
    <t>E-5G</t>
  </si>
  <si>
    <t>JOYCE CLAIRE CAMARIOSA FUNDAL</t>
  </si>
  <si>
    <t>E-5H</t>
  </si>
  <si>
    <t>E-5HI</t>
  </si>
  <si>
    <t>ANALYN CONSTANTINO JARANILLA</t>
  </si>
  <si>
    <t>E-5I</t>
  </si>
  <si>
    <t>MARY JANE ANDEN AGUILAR</t>
  </si>
  <si>
    <t>E-5J</t>
  </si>
  <si>
    <t>RALPH VINCENT FULLON GESTOSO</t>
  </si>
  <si>
    <t>E-5K</t>
  </si>
  <si>
    <t>STACY PENDON AURELIO</t>
  </si>
  <si>
    <t>E-5L</t>
  </si>
  <si>
    <t>FAISAL REHMAN</t>
  </si>
  <si>
    <t>E-5M</t>
  </si>
  <si>
    <t>E-5N</t>
  </si>
  <si>
    <t>HAROLD CATEQUISTA BALLE</t>
  </si>
  <si>
    <t>E-5O</t>
  </si>
  <si>
    <t>MIGUEL ANGELO PAPILOTA CARO</t>
  </si>
  <si>
    <t>APRIL ACCT FOR APPROVAL</t>
  </si>
  <si>
    <t>ON HOLD FOR APRIL</t>
  </si>
  <si>
    <t>W-6A</t>
  </si>
  <si>
    <t>JANICE MASIN DUNGANON</t>
  </si>
  <si>
    <t>FROM 4F TO 6F</t>
  </si>
  <si>
    <t>W-6B</t>
  </si>
  <si>
    <t>JOVELYN DUNGANON OLOAN</t>
  </si>
  <si>
    <t>W-6C</t>
  </si>
  <si>
    <t>JENNY MAE SELGA</t>
  </si>
  <si>
    <t>W-6D</t>
  </si>
  <si>
    <t>AFRYL ROSE INFANTE CAINGLET</t>
  </si>
  <si>
    <t>W-6E</t>
  </si>
  <si>
    <t>JANE OSANO</t>
  </si>
  <si>
    <t>W-6F</t>
  </si>
  <si>
    <t>ANNA FAITH CHIU</t>
  </si>
  <si>
    <t>W-6G</t>
  </si>
  <si>
    <t>MARK JOEZEL M. MARQUILLER</t>
  </si>
  <si>
    <t>W-6H</t>
  </si>
  <si>
    <t>HEIDI ZAMORA</t>
  </si>
  <si>
    <t>W-6I</t>
  </si>
  <si>
    <t>GERONIMO PADOR REFOL</t>
  </si>
  <si>
    <t>W-6J</t>
  </si>
  <si>
    <t>EARL C. SICAD</t>
  </si>
  <si>
    <t>W-6K</t>
  </si>
  <si>
    <t>W-6L</t>
  </si>
  <si>
    <t>W-6M</t>
  </si>
  <si>
    <t>W-6N</t>
  </si>
  <si>
    <t>W-6O</t>
  </si>
  <si>
    <t>W-6P</t>
  </si>
  <si>
    <t>BABBETTE HISUGAN</t>
  </si>
  <si>
    <t>E-6A</t>
  </si>
  <si>
    <t>LEONILO DE LOS REYES GALLO</t>
  </si>
  <si>
    <t>E-6B</t>
  </si>
  <si>
    <t>ALLEN G. MONTANO</t>
  </si>
  <si>
    <t>E-6C</t>
  </si>
  <si>
    <t>E-6D</t>
  </si>
  <si>
    <t>E-6E</t>
  </si>
  <si>
    <t>LEOLYN BRANA TORMON</t>
  </si>
  <si>
    <t>E-6F</t>
  </si>
  <si>
    <t>SARAH MAE RETIRADO</t>
  </si>
  <si>
    <t>E-6G</t>
  </si>
  <si>
    <t>RAYMOND DE GUZMAN NILMAO</t>
  </si>
  <si>
    <t>E-6H</t>
  </si>
  <si>
    <t>VICTOR BOJERES ZAPANTA</t>
  </si>
  <si>
    <t>E-6I</t>
  </si>
  <si>
    <t>DIAHAN JEYNE SUMAGAYSAY RELLES</t>
  </si>
  <si>
    <t>E-6J</t>
  </si>
  <si>
    <t>JOHNREV B. GUILARAN</t>
  </si>
  <si>
    <t>E-6K</t>
  </si>
  <si>
    <t>E-6L</t>
  </si>
  <si>
    <t>JUNE AURORA GRACE GALLEGO</t>
  </si>
  <si>
    <t>E-6M</t>
  </si>
  <si>
    <t>NACE CAMILLE DIGNA GALANG</t>
  </si>
  <si>
    <t>E-6N</t>
  </si>
  <si>
    <t>RHONA LAYNE ESLABON</t>
  </si>
  <si>
    <t>E-6O</t>
  </si>
  <si>
    <t>W-7A</t>
  </si>
  <si>
    <t>W-7B</t>
  </si>
  <si>
    <t>W-7C</t>
  </si>
  <si>
    <t>MARY THERESE GAIL BUGNA PASPE</t>
  </si>
  <si>
    <t>FROM 5F TO7F</t>
  </si>
  <si>
    <t>W-7D</t>
  </si>
  <si>
    <t>KIM NICOLE FUSHIMI</t>
  </si>
  <si>
    <t>W-7E</t>
  </si>
  <si>
    <t>DAISY MAE PEÑAVERDE REMORIN</t>
  </si>
  <si>
    <t>W-7F</t>
  </si>
  <si>
    <t>W-7G</t>
  </si>
  <si>
    <t>MARY JEAN SEPACIO</t>
  </si>
  <si>
    <t>W-7H</t>
  </si>
  <si>
    <t>JUDELYN ARTUAL</t>
  </si>
  <si>
    <t>W-7I</t>
  </si>
  <si>
    <t>W-7J</t>
  </si>
  <si>
    <t>SIERRALYN J. HABLADO</t>
  </si>
  <si>
    <t>W-7K</t>
  </si>
  <si>
    <t>SALVADOR ALEJAGA</t>
  </si>
  <si>
    <t>W-7L</t>
  </si>
  <si>
    <t>JAMES RAPISTA</t>
  </si>
  <si>
    <t>W-7M</t>
  </si>
  <si>
    <t>SHERWIN V. BELMONTE</t>
  </si>
  <si>
    <t>W-7N</t>
  </si>
  <si>
    <t>MARK VINCENT MILLARO</t>
  </si>
  <si>
    <t>W-7O</t>
  </si>
  <si>
    <t>W-7P</t>
  </si>
  <si>
    <t>CEDRIC IVANN MELENDEZ</t>
  </si>
  <si>
    <t>E-7A</t>
  </si>
  <si>
    <t>E-7B</t>
  </si>
  <si>
    <t>FRANCIS IAN LEYRITA LOPEZ</t>
  </si>
  <si>
    <t>E-7C</t>
  </si>
  <si>
    <t>JOHN VLADIMIR NAPALINGA</t>
  </si>
  <si>
    <t>E-7D</t>
  </si>
  <si>
    <t>JONALYN TRAYA TIRASOL</t>
  </si>
  <si>
    <t>E-7E</t>
  </si>
  <si>
    <t>MARY FAITH ABANDILLO ZAMBRA</t>
  </si>
  <si>
    <t>E-7F</t>
  </si>
  <si>
    <t>CHRIS RICHARD P. ESCUDERO</t>
  </si>
  <si>
    <t>E-7G</t>
  </si>
  <si>
    <t>NOEL ABELARDE JEMINO</t>
  </si>
  <si>
    <t>E-7H</t>
  </si>
  <si>
    <t>E-7I</t>
  </si>
  <si>
    <t>E-7J</t>
  </si>
  <si>
    <t>LOURDES TOLENTINO VELASCO</t>
  </si>
  <si>
    <t>E-7K</t>
  </si>
  <si>
    <t>DEOGRACIAS VILLAME</t>
  </si>
  <si>
    <t>E-7L</t>
  </si>
  <si>
    <t>E-7M</t>
  </si>
  <si>
    <t>PEARLY JOY SALO  MANGARAN</t>
  </si>
  <si>
    <t>E-7N</t>
  </si>
  <si>
    <t>E-7O</t>
  </si>
  <si>
    <t>W-8A</t>
  </si>
  <si>
    <t>W-8B</t>
  </si>
  <si>
    <t>W-8C</t>
  </si>
  <si>
    <t>IRIS GAY CRUZ</t>
  </si>
  <si>
    <t>FROM 6F TO 8F</t>
  </si>
  <si>
    <t>W-8D</t>
  </si>
  <si>
    <t>RAY CANETE JR.</t>
  </si>
  <si>
    <t>W-8E</t>
  </si>
  <si>
    <t>AARON CHRISTIAN SIOCO</t>
  </si>
  <si>
    <t>W-8F</t>
  </si>
  <si>
    <t>W-8G</t>
  </si>
  <si>
    <t>DARWIN G. GUZMAN</t>
  </si>
  <si>
    <t>W-8H</t>
  </si>
  <si>
    <t>MARICEL BOLIVAR</t>
  </si>
  <si>
    <t>W-8I</t>
  </si>
  <si>
    <t>W-8J</t>
  </si>
  <si>
    <t>W-8K</t>
  </si>
  <si>
    <t>W-8L</t>
  </si>
  <si>
    <t>JUFEL VIAJAR</t>
  </si>
  <si>
    <t>W-8M</t>
  </si>
  <si>
    <t>W-8N</t>
  </si>
  <si>
    <t>W-8O</t>
  </si>
  <si>
    <t>W-8P</t>
  </si>
  <si>
    <t>E-8A</t>
  </si>
  <si>
    <t>JAMES GEPULLANO</t>
  </si>
  <si>
    <t>E-8B</t>
  </si>
  <si>
    <t>ARIES BACHOCO</t>
  </si>
  <si>
    <t>E-8C</t>
  </si>
  <si>
    <t>FILAMER ELLERAN CALSAS</t>
  </si>
  <si>
    <t>E-8D</t>
  </si>
  <si>
    <t>FEMM STEVEN GRAVELA ESPISO</t>
  </si>
  <si>
    <t>E-8E</t>
  </si>
  <si>
    <t>MA. JELEZA EGARAN</t>
  </si>
  <si>
    <t>E-8F</t>
  </si>
  <si>
    <t>CYRIL DUJALI</t>
  </si>
  <si>
    <t>E-8G</t>
  </si>
  <si>
    <t>RHETT PAUL BOLIVAR</t>
  </si>
  <si>
    <t>E-8H</t>
  </si>
  <si>
    <t>E-8I</t>
  </si>
  <si>
    <t>E-8J</t>
  </si>
  <si>
    <t>E-8K</t>
  </si>
  <si>
    <t>E-8L</t>
  </si>
  <si>
    <t>E-8M</t>
  </si>
  <si>
    <t>E-8N</t>
  </si>
  <si>
    <t>E-8O</t>
  </si>
  <si>
    <t>W-9A</t>
  </si>
  <si>
    <t>W-9B</t>
  </si>
  <si>
    <t>W-9C</t>
  </si>
  <si>
    <t>JOHN REY DORADO DADIVAS</t>
  </si>
  <si>
    <t>FROM 7F TO 9F</t>
  </si>
  <si>
    <t>W-9D</t>
  </si>
  <si>
    <t>THOMAS JOSEPH SANSON PAYBA</t>
  </si>
  <si>
    <t>W-9E</t>
  </si>
  <si>
    <t>THEZA MAY LIM</t>
  </si>
  <si>
    <t>W-9F</t>
  </si>
  <si>
    <t>MELROSE REA JIMENEZ</t>
  </si>
  <si>
    <t>W-9G</t>
  </si>
  <si>
    <t>W-9H</t>
  </si>
  <si>
    <t>W-9I</t>
  </si>
  <si>
    <t>W-9J</t>
  </si>
  <si>
    <t>JOSEPH FORNAL SALIDO</t>
  </si>
  <si>
    <t>W-9K</t>
  </si>
  <si>
    <t>W-9L</t>
  </si>
  <si>
    <t>W-9M</t>
  </si>
  <si>
    <t>W-9N</t>
  </si>
  <si>
    <t>W-9O</t>
  </si>
  <si>
    <t>W-9P</t>
  </si>
  <si>
    <t>E-9A</t>
  </si>
  <si>
    <t>E-9B</t>
  </si>
  <si>
    <t>E-9C</t>
  </si>
  <si>
    <t>MA. CECILIA PALMA HISO</t>
  </si>
  <si>
    <t>E-9D</t>
  </si>
  <si>
    <t>E-9E</t>
  </si>
  <si>
    <t>CHERYLL GONE</t>
  </si>
  <si>
    <t>E-9F</t>
  </si>
  <si>
    <t>MARIBELLE ETINO</t>
  </si>
  <si>
    <t>E-9G</t>
  </si>
  <si>
    <t>ROMULO ALMIREZ YAO</t>
  </si>
  <si>
    <t>E-9H</t>
  </si>
  <si>
    <t>E-9I</t>
  </si>
  <si>
    <t>E-9J</t>
  </si>
  <si>
    <t>E-9K</t>
  </si>
  <si>
    <t>E-9L</t>
  </si>
  <si>
    <t>E-9M</t>
  </si>
  <si>
    <t>E-9N</t>
  </si>
  <si>
    <t>E-9O</t>
  </si>
  <si>
    <t>W-10A</t>
  </si>
  <si>
    <t>W-10B</t>
  </si>
  <si>
    <t>W-10C</t>
  </si>
  <si>
    <t>W-10D</t>
  </si>
  <si>
    <t>DIONELL DALIDA TEODOSIO</t>
  </si>
  <si>
    <t>FROM 8F TO 10F</t>
  </si>
  <si>
    <t>W-10E</t>
  </si>
  <si>
    <t>ELLA ROSE VALERIANO BAGAFORO</t>
  </si>
  <si>
    <t>W-10F</t>
  </si>
  <si>
    <t>GORGONIO MOLISIOM MALONES JR.</t>
  </si>
  <si>
    <t>W-10G</t>
  </si>
  <si>
    <t>JOHN PAUL TATEL</t>
  </si>
  <si>
    <t>W-10H</t>
  </si>
  <si>
    <t>NOMAVIEL GRACE ESCALO</t>
  </si>
  <si>
    <t>W-10I</t>
  </si>
  <si>
    <t>JOSHUA PAOLO GAMO</t>
  </si>
  <si>
    <t>W-10J</t>
  </si>
  <si>
    <t>W-10K</t>
  </si>
  <si>
    <t>W-10L</t>
  </si>
  <si>
    <t>W-10M</t>
  </si>
  <si>
    <t>W-10N</t>
  </si>
  <si>
    <t>W-10O</t>
  </si>
  <si>
    <t>W-10P</t>
  </si>
  <si>
    <t>E-10A</t>
  </si>
  <si>
    <t>E-10B</t>
  </si>
  <si>
    <t>E-10C</t>
  </si>
  <si>
    <t>MARK ANTHONY SODOY LAVIÑA</t>
  </si>
  <si>
    <t>E-10D</t>
  </si>
  <si>
    <t>DOMINIQUE PONSARAN MEDIODIA</t>
  </si>
  <si>
    <t>E-10E</t>
  </si>
  <si>
    <t>CHRISTIAN JOE CERENEO PENSADER</t>
  </si>
  <si>
    <t>E-10F</t>
  </si>
  <si>
    <t>KEY FRANCIS GARCES GRAJALES</t>
  </si>
  <si>
    <t>E-10G</t>
  </si>
  <si>
    <t>JOSE ROY HARDER LAGON</t>
  </si>
  <si>
    <t>E-10H</t>
  </si>
  <si>
    <t>E-10I</t>
  </si>
  <si>
    <t>E-10J</t>
  </si>
  <si>
    <t>E-10K</t>
  </si>
  <si>
    <t>E-10L</t>
  </si>
  <si>
    <t>JUDITH GOOSS</t>
  </si>
  <si>
    <t>E-10M</t>
  </si>
  <si>
    <t>E-10N</t>
  </si>
  <si>
    <t>E-10O</t>
  </si>
  <si>
    <t>W-11A</t>
  </si>
  <si>
    <t>W-11B</t>
  </si>
  <si>
    <t>W-11C</t>
  </si>
  <si>
    <t>VIVIAN JUSTINIANO TURIJA</t>
  </si>
  <si>
    <t>FROM 9F TO 11F</t>
  </si>
  <si>
    <t>W-11D</t>
  </si>
  <si>
    <t>W-11E</t>
  </si>
  <si>
    <t>MARIA RHEA SERRANO WATANABE</t>
  </si>
  <si>
    <t>W-11F</t>
  </si>
  <si>
    <t>W-11G</t>
  </si>
  <si>
    <t>W-11H</t>
  </si>
  <si>
    <t>W-11I</t>
  </si>
  <si>
    <t>LARISSA NAPOLIS</t>
  </si>
  <si>
    <t>W-11J</t>
  </si>
  <si>
    <t>W-11K</t>
  </si>
  <si>
    <t>W-11L</t>
  </si>
  <si>
    <t>W-11M</t>
  </si>
  <si>
    <t>W-11N</t>
  </si>
  <si>
    <t>W-11O</t>
  </si>
  <si>
    <t>W-11P</t>
  </si>
  <si>
    <t>E-11A</t>
  </si>
  <si>
    <t>SUELYN HABLADO PENEQUITO</t>
  </si>
  <si>
    <t>E-11B</t>
  </si>
  <si>
    <t>E-11C</t>
  </si>
  <si>
    <t>ALBERT PALADA</t>
  </si>
  <si>
    <t>E-11D</t>
  </si>
  <si>
    <t>MARCELINO UY</t>
  </si>
  <si>
    <t>E-11E</t>
  </si>
  <si>
    <t>E-11F</t>
  </si>
  <si>
    <t>JENNIFER NUNAL</t>
  </si>
  <si>
    <t>E-11G</t>
  </si>
  <si>
    <t>JO ANN MUTULLANO TOLOSA</t>
  </si>
  <si>
    <t>E-11H</t>
  </si>
  <si>
    <t>E-11I</t>
  </si>
  <si>
    <t>E-11J</t>
  </si>
  <si>
    <t>E-11K</t>
  </si>
  <si>
    <t>E-11L</t>
  </si>
  <si>
    <t>E-11M</t>
  </si>
  <si>
    <t>E-11N</t>
  </si>
  <si>
    <t>E-11O</t>
  </si>
  <si>
    <t>W-12A</t>
  </si>
  <si>
    <t>W-12B</t>
  </si>
  <si>
    <t>W-12C</t>
  </si>
  <si>
    <t>JOHANNE CHRISTY ALFARO SAJONIA</t>
  </si>
  <si>
    <t>FROM 10F TO 12F</t>
  </si>
  <si>
    <t>W-12D</t>
  </si>
  <si>
    <t>LEA LAGUTANG MILLER</t>
  </si>
  <si>
    <t>W-12E</t>
  </si>
  <si>
    <t>RAEMON KRIS HUDIEREZ</t>
  </si>
  <si>
    <t>W-12F</t>
  </si>
  <si>
    <t>JOSHUA RICARDER ODUCADO</t>
  </si>
  <si>
    <t>W-12G</t>
  </si>
  <si>
    <t>MARLON MONTALBAN MORANO</t>
  </si>
  <si>
    <t>W-12H</t>
  </si>
  <si>
    <t>JYZNARETH C. TAPIA</t>
  </si>
  <si>
    <t>W-12I</t>
  </si>
  <si>
    <t>ALLAINE GRACE T. CHAN</t>
  </si>
  <si>
    <t>W-12J</t>
  </si>
  <si>
    <t>W-12K</t>
  </si>
  <si>
    <t>W-12L</t>
  </si>
  <si>
    <t>W-12M</t>
  </si>
  <si>
    <t>W-12N</t>
  </si>
  <si>
    <t>KARL LEPURA BUÑAG</t>
  </si>
  <si>
    <t>W-12O</t>
  </si>
  <si>
    <t>W-12P</t>
  </si>
  <si>
    <t>E-12A</t>
  </si>
  <si>
    <t>MEGHAN MECHI SALVE M. MARQUEZ</t>
  </si>
  <si>
    <t>E-12B</t>
  </si>
  <si>
    <t>GERIKO EMIL L. CAUNIAN</t>
  </si>
  <si>
    <t>E-12C</t>
  </si>
  <si>
    <t>RENHART DE LA CRUZ</t>
  </si>
  <si>
    <t>E-12D</t>
  </si>
  <si>
    <t>IAN ARNOLD CELESTIAL DENOPOL</t>
  </si>
  <si>
    <t>E-12E</t>
  </si>
  <si>
    <t>E-12F</t>
  </si>
  <si>
    <t>CLYDE IAN DAYAG CARUMBA</t>
  </si>
  <si>
    <t>E-12G</t>
  </si>
  <si>
    <t>E-12H</t>
  </si>
  <si>
    <t>E-12I</t>
  </si>
  <si>
    <t>E-12J</t>
  </si>
  <si>
    <t>E-12K</t>
  </si>
  <si>
    <t>E-12L</t>
  </si>
  <si>
    <t>JOAN ALEMANIA CAPINDIT</t>
  </si>
  <si>
    <t>E-12M</t>
  </si>
  <si>
    <t>E-12N</t>
  </si>
  <si>
    <t>E-12O</t>
  </si>
  <si>
    <t>13th Floor</t>
  </si>
  <si>
    <t>W-14A</t>
  </si>
  <si>
    <t>W-14B</t>
  </si>
  <si>
    <t>W-14C</t>
  </si>
  <si>
    <t>W-14D</t>
  </si>
  <si>
    <t>W-14E</t>
  </si>
  <si>
    <t>W-14F</t>
  </si>
  <si>
    <t>W-14G</t>
  </si>
  <si>
    <t>W-14H</t>
  </si>
  <si>
    <t>W-14I</t>
  </si>
  <si>
    <t>W-14J</t>
  </si>
  <si>
    <t>W-14K</t>
  </si>
  <si>
    <t>W-14L</t>
  </si>
  <si>
    <t>W-14M</t>
  </si>
  <si>
    <t>W-14N</t>
  </si>
  <si>
    <t>W-14O</t>
  </si>
  <si>
    <t>W-14P</t>
  </si>
  <si>
    <t>E-14A</t>
  </si>
  <si>
    <t>E-14B</t>
  </si>
  <si>
    <t>E-14C</t>
  </si>
  <si>
    <t>E-14D</t>
  </si>
  <si>
    <t>E-14E</t>
  </si>
  <si>
    <t>E-14F</t>
  </si>
  <si>
    <t>E-14G</t>
  </si>
  <si>
    <t>E-14H</t>
  </si>
  <si>
    <t>E-14I</t>
  </si>
  <si>
    <t>E-14J</t>
  </si>
  <si>
    <t>E-14K</t>
  </si>
  <si>
    <t>E-14L</t>
  </si>
  <si>
    <t>E-14M</t>
  </si>
  <si>
    <t>E-14N</t>
  </si>
  <si>
    <t>E-14O</t>
  </si>
  <si>
    <t>W-15A</t>
  </si>
  <si>
    <t>BIR THRESHOLD W/ HIC</t>
  </si>
  <si>
    <t>NON-BOI</t>
  </si>
  <si>
    <t>W-15B</t>
  </si>
  <si>
    <t>W-15C</t>
  </si>
  <si>
    <t>W-15D</t>
  </si>
  <si>
    <t>W-15E</t>
  </si>
  <si>
    <t>W-15F</t>
  </si>
  <si>
    <t>W-15G</t>
  </si>
  <si>
    <t>W-15H</t>
  </si>
  <si>
    <t>W-15I</t>
  </si>
  <si>
    <t>W-15J</t>
  </si>
  <si>
    <t>W-15K</t>
  </si>
  <si>
    <t>W-15L</t>
  </si>
  <si>
    <t>W-15M</t>
  </si>
  <si>
    <t>W-15N</t>
  </si>
  <si>
    <t>W-15O</t>
  </si>
  <si>
    <t>W-15P</t>
  </si>
  <si>
    <t>E-15A</t>
  </si>
  <si>
    <t>E-15B</t>
  </si>
  <si>
    <t>E-15C</t>
  </si>
  <si>
    <t>E-15D</t>
  </si>
  <si>
    <t>E-15E</t>
  </si>
  <si>
    <t>E-15F</t>
  </si>
  <si>
    <t>E-15G</t>
  </si>
  <si>
    <t>E-15H</t>
  </si>
  <si>
    <t>E-15I</t>
  </si>
  <si>
    <t>E-15J</t>
  </si>
  <si>
    <t>E-15K</t>
  </si>
  <si>
    <t>E-15L</t>
  </si>
  <si>
    <t>E-15M</t>
  </si>
  <si>
    <t>E-15N</t>
  </si>
  <si>
    <t>E-15O</t>
  </si>
  <si>
    <t>HOLD (FOR REACTIVATION)</t>
  </si>
  <si>
    <t>BASED ON REVISED PPRICELIST-RESIDENTIAL</t>
  </si>
  <si>
    <t>BUILDING 1</t>
  </si>
  <si>
    <t>NSP VALUE</t>
  </si>
  <si>
    <t>HOLD (AO)</t>
  </si>
  <si>
    <t>( = ) TOTAL PRICE INCREASE</t>
  </si>
  <si>
    <t>HOLD-CRV</t>
  </si>
  <si>
    <t>ACTUAL SOLD</t>
  </si>
  <si>
    <t>RESIDENTIAL</t>
  </si>
  <si>
    <t>NET NSP</t>
  </si>
  <si>
    <t>PARKING</t>
  </si>
  <si>
    <t>Starting June 2023</t>
  </si>
  <si>
    <t>APPLY IN INTEREST RATES:</t>
  </si>
  <si>
    <t>AVERAGE ON NET INCENTORY</t>
  </si>
  <si>
    <t>12 months &amp; below-</t>
  </si>
  <si>
    <t>7% interest fixed for 3 yrs</t>
  </si>
  <si>
    <t>13 months &amp; below-</t>
  </si>
  <si>
    <t>7.5% interest fixed for 3 yrs</t>
  </si>
  <si>
    <t xml:space="preserve">For All Equity with 12months and below please use 7% Interest Rate, for all 13months and up please use 7.5% Interest Rate Fixed 3 years. </t>
  </si>
  <si>
    <t>CORNER UNIT</t>
  </si>
  <si>
    <t>AVE. SP</t>
  </si>
  <si>
    <t xml:space="preserve">Building 3 Pricelist </t>
  </si>
  <si>
    <t>July 2022</t>
  </si>
  <si>
    <t>Not Included</t>
  </si>
  <si>
    <t>Part of LMF</t>
  </si>
  <si>
    <t>*last 203 units +50,000</t>
  </si>
  <si>
    <t>HIC/Sqm</t>
  </si>
  <si>
    <t>Description</t>
  </si>
  <si>
    <t>Selling Price</t>
  </si>
  <si>
    <t>HIC AMOUNT</t>
  </si>
  <si>
    <t>Smart Home Cost + Recovery Program</t>
  </si>
  <si>
    <t>DISCOUNT (COMBINED UNITS)</t>
  </si>
  <si>
    <t>(+) PRICE INCREASE (STUDIO)</t>
  </si>
  <si>
    <t>(+) Price Increase</t>
  </si>
  <si>
    <t>(+)Smart Home Cost</t>
  </si>
  <si>
    <t>(+)Recovery Program</t>
  </si>
  <si>
    <t>VAT</t>
  </si>
  <si>
    <t>Monthly Amort.           20 years @ 7%</t>
  </si>
  <si>
    <t>Monthly Amort.           15 years @ 7%</t>
  </si>
  <si>
    <t>Monthly Amort.           10 years @ 7%</t>
  </si>
  <si>
    <t>Monthly Amort.           5 years @ 7%</t>
  </si>
  <si>
    <t>STATUS</t>
  </si>
  <si>
    <t>UPPER GROUND</t>
  </si>
  <si>
    <t>C1</t>
  </si>
  <si>
    <t>Commercial</t>
  </si>
  <si>
    <t>CLOSED</t>
  </si>
  <si>
    <t>C2</t>
  </si>
  <si>
    <t>C3</t>
  </si>
  <si>
    <t>1st to 10th month</t>
  </si>
  <si>
    <t>W-1A</t>
  </si>
  <si>
    <t>Studio Unit</t>
  </si>
  <si>
    <t>11th to 20th month</t>
  </si>
  <si>
    <t>W-1B</t>
  </si>
  <si>
    <t>21st to 30th month</t>
  </si>
  <si>
    <t>W-1C</t>
  </si>
  <si>
    <t>W-1D</t>
  </si>
  <si>
    <t>W-1E</t>
  </si>
  <si>
    <t>W-1F</t>
  </si>
  <si>
    <t>E-1A</t>
  </si>
  <si>
    <t>E-1B</t>
  </si>
  <si>
    <t>E-1C</t>
  </si>
  <si>
    <t>E-1D</t>
  </si>
  <si>
    <t>E-1E</t>
  </si>
  <si>
    <t>E-1F</t>
  </si>
  <si>
    <t>E-1G</t>
  </si>
  <si>
    <t>less: Lumpsum Payment (31st month)</t>
  </si>
  <si>
    <t>E-1H</t>
  </si>
  <si>
    <t>E-1I</t>
  </si>
  <si>
    <t>E-1J</t>
  </si>
  <si>
    <t>Step-up, 2.50% Lumpsum</t>
  </si>
  <si>
    <t>E-1K</t>
  </si>
  <si>
    <t>With Equity spread, 2.50% Lumpsum</t>
  </si>
  <si>
    <t>E-1L</t>
  </si>
  <si>
    <t>E-1M</t>
  </si>
  <si>
    <t>E-1N</t>
  </si>
  <si>
    <t>E-1O</t>
  </si>
  <si>
    <t>2ND FLOOR</t>
  </si>
  <si>
    <t>W-2A</t>
  </si>
  <si>
    <t>W-2B</t>
  </si>
  <si>
    <t>W-2C</t>
  </si>
  <si>
    <t>W-2D</t>
  </si>
  <si>
    <t>W-2E</t>
  </si>
  <si>
    <t>W-2F</t>
  </si>
  <si>
    <t>W-2G</t>
  </si>
  <si>
    <t>W-2H</t>
  </si>
  <si>
    <t>W-2I</t>
  </si>
  <si>
    <t>W-2J</t>
  </si>
  <si>
    <t>W-2K</t>
  </si>
  <si>
    <t>W-2L</t>
  </si>
  <si>
    <t>W-2M</t>
  </si>
  <si>
    <t>W-2N</t>
  </si>
  <si>
    <t>W-2O</t>
  </si>
  <si>
    <t>W-2P</t>
  </si>
  <si>
    <t>E-2A</t>
  </si>
  <si>
    <t>E-2B</t>
  </si>
  <si>
    <t>E-2C</t>
  </si>
  <si>
    <t>E-2D</t>
  </si>
  <si>
    <t>E-2E</t>
  </si>
  <si>
    <t>E-2F</t>
  </si>
  <si>
    <t>E-2G</t>
  </si>
  <si>
    <t>E-2H</t>
  </si>
  <si>
    <t>E-2I</t>
  </si>
  <si>
    <t>E-2J</t>
  </si>
  <si>
    <t>E-2K</t>
  </si>
  <si>
    <t>E-2L</t>
  </si>
  <si>
    <t>E-2M</t>
  </si>
  <si>
    <t>E-2N</t>
  </si>
  <si>
    <t>E-2O</t>
  </si>
  <si>
    <t>3RD FLOOR</t>
  </si>
  <si>
    <t>4TH FLOOR</t>
  </si>
  <si>
    <t>5TH FLOOR</t>
  </si>
  <si>
    <t>W-5AB</t>
  </si>
  <si>
    <t>Combined</t>
  </si>
  <si>
    <t>N/A</t>
  </si>
  <si>
    <t>6TH FLOOR</t>
  </si>
  <si>
    <t>W-6AB</t>
  </si>
  <si>
    <t>W-6OP</t>
  </si>
  <si>
    <t>E-6HI</t>
  </si>
  <si>
    <t>E-6JK</t>
  </si>
  <si>
    <t>7TH FLOOR</t>
  </si>
  <si>
    <t>W-7AB</t>
  </si>
  <si>
    <t>W-7OP</t>
  </si>
  <si>
    <t>E-7HI</t>
  </si>
  <si>
    <t>E-7JK</t>
  </si>
  <si>
    <t>8TH FLOOR</t>
  </si>
  <si>
    <t>W-8AB</t>
  </si>
  <si>
    <t>W-8OP</t>
  </si>
  <si>
    <t>E-8HI</t>
  </si>
  <si>
    <t>E-8JK</t>
  </si>
  <si>
    <t>9TH FLOOR</t>
  </si>
  <si>
    <t>W-9AB</t>
  </si>
  <si>
    <t>W-9OP</t>
  </si>
  <si>
    <t>E-9HI</t>
  </si>
  <si>
    <t>E-9JK</t>
  </si>
  <si>
    <t>10TH FLOOR</t>
  </si>
  <si>
    <t>W-10AB</t>
  </si>
  <si>
    <t>W-10OP</t>
  </si>
  <si>
    <t>E-10HI</t>
  </si>
  <si>
    <t>E-10JK</t>
  </si>
  <si>
    <t>COMMERCIAL</t>
  </si>
  <si>
    <t>COMBINED UNITS</t>
  </si>
  <si>
    <t>EQUITY %</t>
  </si>
  <si>
    <t>1ST-3RD FLOOR (STUDIO)</t>
  </si>
  <si>
    <t>4TH FLOOR-10TH FLOOR (STUDIO)</t>
  </si>
  <si>
    <t>rs</t>
  </si>
  <si>
    <t>DATE</t>
  </si>
  <si>
    <t>UNIT ID</t>
  </si>
  <si>
    <t>DESCRIPTION</t>
  </si>
  <si>
    <t>AMOUNT</t>
  </si>
  <si>
    <t>AMOUNT WITH MARGIN</t>
  </si>
  <si>
    <t>Refund exposure</t>
  </si>
  <si>
    <t>Oct. 29,2024</t>
  </si>
  <si>
    <t>31 unsold</t>
  </si>
  <si>
    <t>19-M</t>
  </si>
  <si>
    <t>Refund</t>
  </si>
  <si>
    <t>W-14i</t>
  </si>
  <si>
    <t>Change Orders from Adrian (Paid)</t>
  </si>
  <si>
    <t>Remaining Inv</t>
  </si>
  <si>
    <t>TOTAL FOR RECOVERY</t>
  </si>
  <si>
    <t>September 2025</t>
  </si>
  <si>
    <t>&lt;Hide&gt;</t>
  </si>
  <si>
    <t>IN HOUSE LOAN MONTHLY AMORT @ 80% TCP BALANCE</t>
  </si>
  <si>
    <t>CODE</t>
  </si>
  <si>
    <t>(+) Legal &amp; Miscs. Fees</t>
  </si>
  <si>
    <t>IN HOUSE MONTLY AMORT  1 YR. @ 12%</t>
  </si>
  <si>
    <t>IN HOUSE MONTLY AMORT 3 YRS. @ 16%</t>
  </si>
  <si>
    <t>IN HOUSE MONTLY AMORT 5 YRS. @ 18%</t>
  </si>
  <si>
    <t>IN HOUSE MONTLY AMORT 10 YRS. @ 20%</t>
  </si>
  <si>
    <t>RF</t>
  </si>
  <si>
    <t>MONTHLY</t>
  </si>
  <si>
    <t>PROJECT NAME</t>
  </si>
  <si>
    <t>:</t>
  </si>
  <si>
    <t>Developer Name</t>
  </si>
  <si>
    <t>Iloilo Southprime Developers Inc.</t>
  </si>
  <si>
    <t>Dev Address</t>
  </si>
  <si>
    <t>Avancena St Brgy. Avancena Molo Iloilo City</t>
  </si>
  <si>
    <t>Proj Address</t>
  </si>
  <si>
    <t>Abeto Street, Brgy. Abeto-Mirasol, Mandurriao, Iloilo City</t>
  </si>
  <si>
    <t>BUILDING</t>
  </si>
  <si>
    <t>LEVEL/FLOOR NO.</t>
  </si>
  <si>
    <t>APPLICABLE PROMOS AND DISCOUNTS</t>
  </si>
  <si>
    <t>DISCOUNT ON TSP</t>
  </si>
  <si>
    <t xml:space="preserve">UNIT NO. </t>
  </si>
  <si>
    <t>CIRCULAR NO.</t>
  </si>
  <si>
    <t xml:space="preserve">DESCRIPTION </t>
  </si>
  <si>
    <t xml:space="preserve">DISCOUNT AMOUNT </t>
  </si>
  <si>
    <t>DATE OF RESERVATION</t>
  </si>
  <si>
    <t>RESERVATION FEE</t>
  </si>
  <si>
    <t>DISCOUNT ON EQUITY</t>
  </si>
  <si>
    <r>
      <rPr>
        <b/>
        <sz val="14"/>
        <color rgb="FFFF0000"/>
        <rFont val="Cambria"/>
        <family val="1"/>
      </rPr>
      <t>REQUIRED</t>
    </r>
    <r>
      <rPr>
        <b/>
        <sz val="14"/>
        <color theme="0"/>
        <rFont val="Cambria"/>
        <family val="1"/>
      </rPr>
      <t xml:space="preserve"> EQUITY DOWNPAYMENT (%)</t>
    </r>
  </si>
  <si>
    <t>NAME OF BUYER</t>
  </si>
  <si>
    <t>buyer</t>
  </si>
  <si>
    <t>AGENT/SELLER</t>
  </si>
  <si>
    <t xml:space="preserve">agent </t>
  </si>
  <si>
    <t>OTHER PROMO</t>
  </si>
  <si>
    <t>BUYER'S COMPLETE ADDRESS</t>
  </si>
  <si>
    <t>address</t>
  </si>
  <si>
    <t>PROMO INCLUSION</t>
  </si>
  <si>
    <t>STEP UP TERMS</t>
  </si>
  <si>
    <t>UNIT #</t>
  </si>
  <si>
    <t>EQUITY TERM</t>
  </si>
  <si>
    <t>#</t>
  </si>
  <si>
    <t>No. of Months</t>
  </si>
  <si>
    <t>Percentage</t>
  </si>
  <si>
    <t>Tranche 1</t>
  </si>
  <si>
    <t>Tranche 2</t>
  </si>
  <si>
    <t>Tranche 3</t>
  </si>
  <si>
    <t>BROKER/AGENT’S NAME</t>
  </si>
  <si>
    <t>POSITION</t>
  </si>
  <si>
    <t>NAME</t>
  </si>
  <si>
    <t>PRC #/HLURB #</t>
  </si>
  <si>
    <t>Brokerage/Realty</t>
  </si>
  <si>
    <t>Broker Head/AVP</t>
  </si>
  <si>
    <t>Sales Manager</t>
  </si>
  <si>
    <t xml:space="preserve">Sales Agent/Property Consultant </t>
  </si>
  <si>
    <t>DATE :</t>
  </si>
  <si>
    <t>PAGE</t>
  </si>
  <si>
    <t>1 of 2</t>
  </si>
  <si>
    <t xml:space="preserve">PAGE </t>
  </si>
  <si>
    <t>2 of 2</t>
  </si>
  <si>
    <t>STANDARD PACKAGE COMPUTATION</t>
  </si>
  <si>
    <t>PAYMENT SCHEDULE</t>
  </si>
  <si>
    <t>CLIENT'S NAME</t>
  </si>
  <si>
    <t>Per Tranche</t>
  </si>
  <si>
    <t>UNIT NUMBER</t>
  </si>
  <si>
    <t>COMMISSION</t>
  </si>
  <si>
    <t>TOWER</t>
  </si>
  <si>
    <t>UNIT TYPE</t>
  </si>
  <si>
    <t>LIVEABLE AREA</t>
  </si>
  <si>
    <t>SQM.</t>
  </si>
  <si>
    <t>BALCONY AREA</t>
  </si>
  <si>
    <t>GROSS AREA</t>
  </si>
  <si>
    <t>Top Up : Promo Incentive (Amount add on NSP)</t>
  </si>
  <si>
    <t>Applicable for POST LTS Only</t>
  </si>
  <si>
    <t>TOTAL SELLING PRICE</t>
  </si>
  <si>
    <t>PARTICULARS</t>
  </si>
  <si>
    <t>Less: Promo Discount on TSP</t>
  </si>
  <si>
    <t>Top Up Incentive</t>
  </si>
  <si>
    <t>NET SELLING PRICE</t>
  </si>
  <si>
    <t>August</t>
  </si>
  <si>
    <t>1st EQUITY PAYMENT</t>
  </si>
  <si>
    <t>31st of the month</t>
  </si>
  <si>
    <t>September</t>
  </si>
  <si>
    <t>Add: VAT</t>
  </si>
  <si>
    <t>2nd EQUITY PAYMENT</t>
  </si>
  <si>
    <t>October</t>
  </si>
  <si>
    <t>Add: Legal &amp; Misc. Fees</t>
  </si>
  <si>
    <t>3rd EQUITY PAYMENT</t>
  </si>
  <si>
    <t>equity</t>
  </si>
  <si>
    <t>November</t>
  </si>
  <si>
    <t>4th EQUITY PAYMENT</t>
  </si>
  <si>
    <t>December</t>
  </si>
  <si>
    <t>TOTAL CONTRACT PRICE</t>
  </si>
  <si>
    <t>5th EQUITY PAYMENT</t>
  </si>
  <si>
    <t>6th EQUITY PAYMENT</t>
  </si>
  <si>
    <t>Equity down Payment</t>
  </si>
  <si>
    <t>7th EQUITY PAYMENT</t>
  </si>
  <si>
    <t>less: Reservation Fee</t>
  </si>
  <si>
    <t>8th EQUITY PAYMENT</t>
  </si>
  <si>
    <t>Net  Equity Payment</t>
  </si>
  <si>
    <t>9th EQUITY PAYMENT</t>
  </si>
  <si>
    <t>10th EQUITY PAYMENT</t>
  </si>
  <si>
    <t xml:space="preserve"> Monthly Equity</t>
  </si>
  <si>
    <t>11th EQUITY PAYMENT</t>
  </si>
  <si>
    <t>12th EQUITY PAYMENT</t>
  </si>
  <si>
    <t>FULL BALANCE (TCP)</t>
  </si>
  <si>
    <t>13th EQUITY PAYMENT</t>
  </si>
  <si>
    <t>14th EQUITY PAYMENT</t>
  </si>
  <si>
    <t>Estimated Monthly Amortization</t>
  </si>
  <si>
    <t>15th EQUITY PAYMENT</t>
  </si>
  <si>
    <t>16th EQUITY PAYMENT</t>
  </si>
  <si>
    <t>Amount</t>
  </si>
  <si>
    <t>Income Requirement</t>
  </si>
  <si>
    <t>17th EQUITY PAYMENT</t>
  </si>
  <si>
    <t>18th EQUITY PAYMENT</t>
  </si>
  <si>
    <t>19th EQUITY PAYMENT</t>
  </si>
  <si>
    <t>20th EQUITY PAYMENT</t>
  </si>
  <si>
    <t>21st EQUITY PAYMENT</t>
  </si>
  <si>
    <t>Fixed for three (3) years</t>
  </si>
  <si>
    <t>22nd EQUITY PAYMENT</t>
  </si>
  <si>
    <t>Sample Computation for Interest rate is at 7% fixed for three (3) years only</t>
  </si>
  <si>
    <t>23rd EQUITY PAYMENT</t>
  </si>
  <si>
    <t>A. Prices are subject to change without prior notice.</t>
  </si>
  <si>
    <t>24th EQUITY PAYMENT</t>
  </si>
  <si>
    <t>B. Bank Fees rates may vary per bank.</t>
  </si>
  <si>
    <t>25th EQUITY PAYMENT</t>
  </si>
  <si>
    <t>26th EQUITY PAYMENT</t>
  </si>
  <si>
    <t>In House Estimated Monthly Amortization</t>
  </si>
  <si>
    <t>27th EQUITY PAYMENT</t>
  </si>
  <si>
    <t>28th EQUITY PAYMENT</t>
  </si>
  <si>
    <t>80% TCP Balance</t>
  </si>
  <si>
    <t>29th EQUITY PAYMENT</t>
  </si>
  <si>
    <t>30th EQUITY PAYMENT</t>
  </si>
  <si>
    <t>31st EQUITY PAYMENT</t>
  </si>
  <si>
    <t>32nd EQUITY PAYMENT</t>
  </si>
  <si>
    <t>33rd EQUITY PAYMENT</t>
  </si>
  <si>
    <t>34th EQUITY PAYMENT</t>
  </si>
  <si>
    <t>35th EQUITY PAYMENT</t>
  </si>
  <si>
    <t>Required 20% downpayment of the TCP.</t>
  </si>
  <si>
    <t>36th EQUITY PAYMENT</t>
  </si>
  <si>
    <t>37th EQUITY PAYMENT</t>
  </si>
  <si>
    <t>38th EQUITY PAYMENT</t>
  </si>
  <si>
    <t>APPLICABLE PROMO/DISCOUNTS</t>
  </si>
  <si>
    <t>39th EQUITY PAYMENT</t>
  </si>
  <si>
    <t>40th EQUITY PAYMENT</t>
  </si>
  <si>
    <t xml:space="preserve">CIRCULAR NO. </t>
  </si>
  <si>
    <t>DISCOUNT  / PROMO INCLUSION</t>
  </si>
  <si>
    <t>41st EQUITY PAYMENT</t>
  </si>
  <si>
    <t>42nd EQUITY PAYMENT</t>
  </si>
  <si>
    <t>43rd EQUITY PAYMENT</t>
  </si>
  <si>
    <t>44th EQUITY PAYMENT</t>
  </si>
  <si>
    <t>45th EQUITY PAYMENT</t>
  </si>
  <si>
    <t>46th EQUITY PAYMENT</t>
  </si>
  <si>
    <t>47th EQUITY PAYMENT</t>
  </si>
  <si>
    <t>48th EQUITY PAYMENT</t>
  </si>
  <si>
    <t>49th EQUITY PAYMENT</t>
  </si>
  <si>
    <t>50th EQUITY PAYMENT</t>
  </si>
  <si>
    <t>51st EQUITY PAYMENT</t>
  </si>
  <si>
    <t>52nd EQUITY PAYMENT</t>
  </si>
  <si>
    <t>53rd EQUITY PAYMENT</t>
  </si>
  <si>
    <t>54th EQUITY PAYMENT</t>
  </si>
  <si>
    <t>**Combined Units:</t>
  </si>
  <si>
    <t>55th EQUITY PAYMENT</t>
  </si>
  <si>
    <t>BALANCE</t>
  </si>
  <si>
    <t>Prepared by:</t>
  </si>
  <si>
    <t>Conformed:</t>
  </si>
  <si>
    <t>Date</t>
  </si>
  <si>
    <t>Date:</t>
  </si>
  <si>
    <t xml:space="preserve">PAGE: </t>
  </si>
  <si>
    <t>PAGE:</t>
  </si>
  <si>
    <t>Reservation Date</t>
  </si>
  <si>
    <t>1ST EQUITY PAYMENT</t>
  </si>
  <si>
    <t>Net Equity Payment</t>
  </si>
  <si>
    <t>TERMS (STEP UP)</t>
  </si>
  <si>
    <t xml:space="preserve">Monthly Equity </t>
  </si>
  <si>
    <t>Income requirement</t>
  </si>
  <si>
    <t>56th EQUITY PAYMENT</t>
  </si>
  <si>
    <t>**Combined Units</t>
  </si>
  <si>
    <t>I/We</t>
  </si>
  <si>
    <t>of legal age, a resident of</t>
  </si>
  <si>
    <t xml:space="preserve">, and having the capacity </t>
  </si>
  <si>
    <t>and qualification to own and possess real estate properties in the Philippines, hereby manifest my/our intention to purchase the herein below described property.</t>
  </si>
  <si>
    <t xml:space="preserve">I/We hereby acknowledges that </t>
  </si>
  <si>
    <t xml:space="preserve">(hereinafter known as the “Developer/Company”) </t>
  </si>
  <si>
    <t xml:space="preserve">a corporation duly organized and existing by virtue and under the laws of the Republic of the Philippines, with office at </t>
  </si>
  <si>
    <t xml:space="preserve">is the owner and Developer of a </t>
  </si>
  <si>
    <t>CONDOMINIUM PROJECT known as</t>
  </si>
  <si>
    <t>(the “Project”), to be established and constructed along</t>
  </si>
  <si>
    <t xml:space="preserve">The Property subject to my/our reservation is a </t>
  </si>
  <si>
    <t>unit and is particularly described as follows:</t>
  </si>
  <si>
    <t xml:space="preserve">Project Name: </t>
  </si>
  <si>
    <t>Type:</t>
  </si>
  <si>
    <t xml:space="preserve">Residential Condominium                        </t>
  </si>
  <si>
    <t>Townhouse</t>
  </si>
  <si>
    <t>Parking Slot</t>
  </si>
  <si>
    <t xml:space="preserve">House and Lot    </t>
  </si>
  <si>
    <t>Commercial / Office</t>
  </si>
  <si>
    <t xml:space="preserve">Lot only </t>
  </si>
  <si>
    <t xml:space="preserve">Condominium </t>
  </si>
  <si>
    <t>Parking</t>
  </si>
  <si>
    <t>House &amp; Lot / Townhouse</t>
  </si>
  <si>
    <t>Tower</t>
  </si>
  <si>
    <t>Phase</t>
  </si>
  <si>
    <t>Floor No.</t>
  </si>
  <si>
    <t>Unit Reference</t>
  </si>
  <si>
    <t>Block No.</t>
  </si>
  <si>
    <t>Unit No.</t>
  </si>
  <si>
    <t>Slot No.</t>
  </si>
  <si>
    <t>Lot No.</t>
  </si>
  <si>
    <t>Size (sqm)</t>
  </si>
  <si>
    <t>Floor Area</t>
  </si>
  <si>
    <t>Lot/Floor Area</t>
  </si>
  <si>
    <t>Type of Business</t>
  </si>
  <si>
    <t>Unit Model</t>
  </si>
  <si>
    <t>Parking Model</t>
  </si>
  <si>
    <t>House Model</t>
  </si>
  <si>
    <t>Total Selling Price</t>
  </si>
  <si>
    <t xml:space="preserve">          Less: Discounts</t>
  </si>
  <si>
    <t>Net Selling Price</t>
  </si>
  <si>
    <t xml:space="preserve">           Add: Legal &amp; Miscellaneous Fees</t>
  </si>
  <si>
    <t xml:space="preserve">           Add: VAT</t>
  </si>
  <si>
    <t>BALANCE PAYMENT SCHEME:</t>
  </si>
  <si>
    <t>Cash</t>
  </si>
  <si>
    <t>Bank Financing</t>
  </si>
  <si>
    <t>Deferred</t>
  </si>
  <si>
    <t>TERMS AND CONDITIONS</t>
  </si>
  <si>
    <t>1.</t>
  </si>
  <si>
    <t xml:space="preserve">As proof of my interest to purchase the Property, I hereby tender the sum of PESOS: </t>
  </si>
  <si>
    <r>
      <t>(</t>
    </r>
    <r>
      <rPr>
        <b/>
        <sz val="7.5"/>
        <color theme="1"/>
        <rFont val="Calibri"/>
        <family val="2"/>
      </rPr>
      <t>₱</t>
    </r>
  </si>
  <si>
    <t>)</t>
  </si>
  <si>
    <t>In connection with my reservation and purchase of the Property, I/we would like the purchase to be registered as follows:</t>
  </si>
  <si>
    <r>
      <t>Solely in my name</t>
    </r>
    <r>
      <rPr>
        <sz val="7.5"/>
        <color theme="1"/>
        <rFont val="Century Gothic"/>
        <family val="2"/>
      </rPr>
      <t xml:space="preserve">                                     </t>
    </r>
  </si>
  <si>
    <r>
      <t>In our names</t>
    </r>
    <r>
      <rPr>
        <sz val="7.5"/>
        <color theme="1"/>
        <rFont val="Century Gothic"/>
        <family val="2"/>
      </rPr>
      <t xml:space="preserve">                                                 </t>
    </r>
  </si>
  <si>
    <t>In the name of</t>
  </si>
  <si>
    <t xml:space="preserve">Individual </t>
  </si>
  <si>
    <t xml:space="preserve">Spouses </t>
  </si>
  <si>
    <t xml:space="preserve">A Corporation </t>
  </si>
  <si>
    <t xml:space="preserve">Married to </t>
  </si>
  <si>
    <t xml:space="preserve">Co-Owner </t>
  </si>
  <si>
    <t xml:space="preserve">A Person </t>
  </si>
  <si>
    <t xml:space="preserve">Trust Account </t>
  </si>
  <si>
    <t>BROKER / AGENT'S NAME</t>
  </si>
  <si>
    <t xml:space="preserve">NAME </t>
  </si>
  <si>
    <t>DATA PRIVACY CONSENT</t>
  </si>
  <si>
    <t xml:space="preserve">Buyer's signature over printed name &amp; Date signed </t>
  </si>
  <si>
    <t>Confirmed / Accepted:</t>
  </si>
  <si>
    <t>Lumpsum</t>
  </si>
  <si>
    <t>LUMPSUM PAYMENT</t>
  </si>
  <si>
    <t>SPOT EQUITY_7 DAYS</t>
  </si>
  <si>
    <t>less: Spot Equity Discount</t>
  </si>
  <si>
    <t>SPOT EQUITY PAYMENT</t>
  </si>
  <si>
    <t>Spot Equity down Payment</t>
  </si>
  <si>
    <t>Net Spot Equity Payment</t>
  </si>
  <si>
    <t>**Combined unit:</t>
  </si>
  <si>
    <t>SPOT EQUITY_30 DAYS</t>
  </si>
  <si>
    <t>Spot Equity Payment</t>
  </si>
  <si>
    <t xml:space="preserve">Prepared by: </t>
  </si>
  <si>
    <t>DATE:</t>
  </si>
  <si>
    <t xml:space="preserve"> DATE : </t>
  </si>
  <si>
    <t>SPOT CASH_30 DAYS</t>
  </si>
  <si>
    <t>Less: Discount on TSP</t>
  </si>
  <si>
    <t>SPOT CASH PAYMENT</t>
  </si>
  <si>
    <t>Less: Reservation Fee</t>
  </si>
  <si>
    <t>NET SPOT CASH PAYMENT</t>
  </si>
  <si>
    <t>SPOT CASH_60 DAYS</t>
  </si>
  <si>
    <t>1ST SPOT CASH PAYMENT</t>
  </si>
  <si>
    <t>2ND SPOT CASH PAYMENT</t>
  </si>
  <si>
    <t>SPOT CASH PAYMENT AFTER 30 DAYS</t>
  </si>
  <si>
    <t>SPOT CASH PAYMENT AFTER 60 DAYS</t>
  </si>
  <si>
    <t>DEFERRED PAYMENT</t>
  </si>
  <si>
    <t>Equity Downpayment</t>
  </si>
  <si>
    <t>Montly Equity</t>
  </si>
  <si>
    <t>SPECIAL PACKAGE COMPUTATION: 10% Spread plus 5% Lumpsum</t>
  </si>
  <si>
    <t xml:space="preserve">Less: Lumpsum Payment </t>
  </si>
  <si>
    <t>12th EQUITY AND 1ST LUMPSUM</t>
  </si>
  <si>
    <t>Lumpsum payment of the 12th, 24th, 36th &amp; 48th month</t>
  </si>
  <si>
    <t>24th EQUITY AND 2ND LUMPSUM</t>
  </si>
  <si>
    <t>36th EQUITY AND 3RD LUMPSUM</t>
  </si>
  <si>
    <t>48th EQUITY AND 4TH LUMPSUM</t>
  </si>
  <si>
    <t>1 of 3</t>
  </si>
  <si>
    <t>2 of 3</t>
  </si>
  <si>
    <t>3 of 3</t>
  </si>
  <si>
    <t>SPECIAL PACKAGE COMPUTATION: 10% Step-up plus 5% Lumpsum</t>
  </si>
  <si>
    <t>SPECIAL PACKAGE APPROVAL</t>
  </si>
  <si>
    <r>
      <t xml:space="preserve">SIGNATURE OVER PRINTED NAME </t>
    </r>
    <r>
      <rPr>
        <b/>
        <i/>
        <sz val="10"/>
        <color theme="1"/>
        <rFont val="Century Gothic"/>
        <family val="2"/>
      </rPr>
      <t>(Please indicate date signed)</t>
    </r>
  </si>
  <si>
    <t>Recommended by:</t>
  </si>
  <si>
    <t>Remarks:</t>
  </si>
  <si>
    <t>Approved</t>
  </si>
  <si>
    <t>Disapproved</t>
  </si>
  <si>
    <t>C&amp;C Head</t>
  </si>
  <si>
    <t>Approved by:</t>
  </si>
  <si>
    <t xml:space="preserve">less: Lumpsum Payment </t>
  </si>
  <si>
    <t>Project Director</t>
  </si>
  <si>
    <t>COO/CEO</t>
  </si>
  <si>
    <t>SPECIAL PACKAGE COMPUTATION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</si>
</sst>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7">
    <numFmt numFmtId="44" formatCode="_(&quot;$&quot;* #,##0.00_);_(&quot;$&quot;* \(#,##0.00\);_(&quot;$&quot;* &quot;-&quot;??_);_(@_)"/>
    <numFmt numFmtId="43" formatCode="_(* #,##0.00_);_(* \(#,##0.00\);_(* &quot;-&quot;??_);_(@_)"/>
    <numFmt numFmtId="164" formatCode="&quot;₱&quot;#,##0.00;\-&quot;₱&quot;#,##0.00"/>
    <numFmt numFmtId="165" formatCode="&quot;₱&quot;#,##0.00;[Red]\-&quot;₱&quot;#,##0.00"/>
    <numFmt numFmtId="166" formatCode="_-&quot;₱&quot;* #,##0.00_-;\-&quot;₱&quot;* #,##0.00_-;_-&quot;₱&quot;* &quot;-&quot;??_-;_-@_-"/>
    <numFmt numFmtId="167" formatCode="_-* #,##0.00_-;\-* #,##0.00_-;_-* &quot;-&quot;??_-;_-@_-"/>
    <numFmt numFmtId="168" formatCode="_(* #,##0_);_(* \(#,##0\);_(* &quot;-&quot;??_);_(@_)"/>
    <numFmt numFmtId="169" formatCode="[$-409]mmmm\ d\,\ yyyy;@"/>
    <numFmt numFmtId="170" formatCode="0.00_ "/>
    <numFmt numFmtId="171" formatCode="[$Php-3409]#,##0.00"/>
    <numFmt numFmtId="172" formatCode="[$-409]d\-mmm\-yy;@"/>
    <numFmt numFmtId="173" formatCode="0.0%"/>
    <numFmt numFmtId="174" formatCode="_([$₱-3409]* #,##0.00_);_([$₱-3409]* \(#,##0.00\);_([$₱-3409]* &quot;-&quot;??_);_(@_)"/>
    <numFmt numFmtId="175" formatCode="&quot;$&quot;#,##0.00"/>
    <numFmt numFmtId="176" formatCode="#,##0.00000000"/>
    <numFmt numFmtId="177" formatCode="_(* #,##0.00_);_(* \(#,##0.00\);_(* &quot;-&quot;??.0_);_(@_)"/>
    <numFmt numFmtId="178" formatCode="#,##0.00;#,##0.00"/>
    <numFmt numFmtId="179" formatCode="mm/dd/yy;@"/>
    <numFmt numFmtId="180" formatCode="&quot;₱&quot;#,##0.00"/>
    <numFmt numFmtId="181" formatCode="[$₱-3409]#,##0.00;[Red][$₱-3409]#,##0.00"/>
    <numFmt numFmtId="182" formatCode="#,##0.00_ ;\-#,##0.00\ "/>
    <numFmt numFmtId="183" formatCode="[$-409]dd\-mmm\-yy;@"/>
    <numFmt numFmtId="184" formatCode="_-* #,##0.00_-;\-* #,##0.00_-;_-* &quot;-&quot;??_-;_-@"/>
    <numFmt numFmtId="185" formatCode="[$-3409]mmmm\ dd\,\ yyyy;@"/>
    <numFmt numFmtId="186" formatCode="0.00000000"/>
    <numFmt numFmtId="187" formatCode="_(* #,##0.00000000_);_(* \(#,##0.00000000\);_(* &quot;-&quot;??_);_(@_)"/>
    <numFmt numFmtId="188" formatCode="0.00000%"/>
    <numFmt numFmtId="189" formatCode="[$-3409]dd\-mmm\-yy;@"/>
    <numFmt numFmtId="190" formatCode="_-* #,##0.0000000_-;\-* #,##0.0000000_-;_-* &quot;-&quot;??_-;_-@"/>
    <numFmt numFmtId="191" formatCode="_(* #,##0.0000000000_);_(* \(#,##0.0000000000\);_(* &quot;-&quot;??_);_(@_)"/>
    <numFmt numFmtId="192" formatCode="[$₱-464]#,##0.00"/>
    <numFmt numFmtId="193" formatCode="0.00?%_)"/>
    <numFmt numFmtId="194" formatCode="0_)"/>
    <numFmt numFmtId="195" formatCode="_-[$₱-3409]* #,##0.00_-;\-[$₱-3409]* #,##0.00_-;_-[$₱-3409]* &quot;-&quot;??_-;_-@_-"/>
    <numFmt numFmtId="196" formatCode="m/d/yyyy;@"/>
    <numFmt numFmtId="197" formatCode="#,##0.000000000_ ;\-#,##0.000000000\ "/>
    <numFmt numFmtId="198" formatCode="[$-409]mmm\-yy;@"/>
  </numFmts>
  <fonts count="121">
    <font>
      <sz val="11"/>
      <color theme="1"/>
      <name val="Calibri"/>
      <family val="2"/>
      <scheme val="minor"/>
    </font>
    <font>
      <sz val="10"/>
      <color theme="1"/>
      <name val="Century Gothic"/>
      <family val="2"/>
    </font>
    <font>
      <b/>
      <sz val="11"/>
      <color theme="1"/>
      <name val="Calibri"/>
      <family val="2"/>
      <scheme val="minor"/>
    </font>
    <font>
      <sz val="11"/>
      <name val="Calibri"/>
      <family val="2"/>
      <scheme val="minor"/>
    </font>
    <font>
      <sz val="11"/>
      <color theme="1"/>
      <name val="Calibri"/>
      <family val="2"/>
      <scheme val="minor"/>
    </font>
    <font>
      <sz val="11"/>
      <color theme="0"/>
      <name val="Calibri"/>
      <family val="2"/>
      <scheme val="minor"/>
    </font>
    <font>
      <b/>
      <sz val="9"/>
      <color theme="0"/>
      <name val="Century Gothic"/>
      <family val="2"/>
    </font>
    <font>
      <sz val="9"/>
      <color theme="1"/>
      <name val="Century Gothic"/>
      <family val="2"/>
    </font>
    <font>
      <sz val="10"/>
      <color theme="1"/>
      <name val="Calibri"/>
      <family val="2"/>
      <scheme val="minor"/>
    </font>
    <font>
      <b/>
      <sz val="10"/>
      <color theme="0"/>
      <name val="Century Gothic"/>
      <family val="2"/>
    </font>
    <font>
      <b/>
      <sz val="12"/>
      <color theme="0"/>
      <name val="Century Gothic"/>
      <family val="2"/>
    </font>
    <font>
      <b/>
      <sz val="10"/>
      <color theme="1"/>
      <name val="Calibri"/>
      <family val="2"/>
      <scheme val="minor"/>
    </font>
    <font>
      <sz val="9"/>
      <color theme="0"/>
      <name val="Century Gothic"/>
      <family val="2"/>
    </font>
    <font>
      <sz val="10"/>
      <color theme="1"/>
      <name val="Century Gothic"/>
      <family val="2"/>
    </font>
    <font>
      <sz val="11"/>
      <color theme="1"/>
      <name val="Arial"/>
      <family val="2"/>
    </font>
    <font>
      <b/>
      <sz val="10"/>
      <color theme="1"/>
      <name val="Century Gothic"/>
      <family val="2"/>
    </font>
    <font>
      <b/>
      <sz val="9"/>
      <color theme="1"/>
      <name val="Century Gothic"/>
      <family val="2"/>
    </font>
    <font>
      <sz val="10"/>
      <color theme="0"/>
      <name val="Calibri"/>
      <family val="2"/>
      <scheme val="minor"/>
    </font>
    <font>
      <sz val="10"/>
      <name val="Century Gothic"/>
      <family val="2"/>
    </font>
    <font>
      <b/>
      <sz val="9"/>
      <name val="Century Gothic"/>
      <family val="2"/>
    </font>
    <font>
      <sz val="9"/>
      <name val="Century Gothic"/>
      <family val="2"/>
    </font>
    <font>
      <sz val="10"/>
      <color theme="0"/>
      <name val="Century Gothic"/>
      <family val="2"/>
    </font>
    <font>
      <sz val="11"/>
      <color rgb="FF000000"/>
      <name val="Calibri"/>
      <family val="2"/>
    </font>
    <font>
      <sz val="10"/>
      <name val="Calibri"/>
      <family val="2"/>
      <scheme val="minor"/>
    </font>
    <font>
      <sz val="8"/>
      <name val="Century Gothic"/>
      <family val="2"/>
    </font>
    <font>
      <sz val="8"/>
      <color theme="1"/>
      <name val="Century Gothic"/>
      <family val="2"/>
    </font>
    <font>
      <sz val="10"/>
      <name val="Arial"/>
      <family val="2"/>
    </font>
    <font>
      <sz val="8"/>
      <name val="Calibri"/>
      <family val="2"/>
      <scheme val="minor"/>
    </font>
    <font>
      <b/>
      <u/>
      <sz val="10"/>
      <name val="Calibri"/>
      <family val="2"/>
      <scheme val="minor"/>
    </font>
    <font>
      <sz val="10"/>
      <color rgb="FFFF0000"/>
      <name val="Calibri"/>
      <family val="2"/>
      <scheme val="minor"/>
    </font>
    <font>
      <b/>
      <i/>
      <sz val="9"/>
      <color rgb="FFFF0000"/>
      <name val="Century Gothic"/>
      <family val="2"/>
    </font>
    <font>
      <sz val="11"/>
      <color theme="1"/>
      <name val="Century Gothic"/>
      <family val="2"/>
    </font>
    <font>
      <b/>
      <sz val="10"/>
      <name val="Century Gothic"/>
      <family val="2"/>
    </font>
    <font>
      <b/>
      <u/>
      <sz val="12"/>
      <name val="Century Gothic"/>
      <family val="2"/>
    </font>
    <font>
      <sz val="12"/>
      <name val="Century Gothic"/>
      <family val="2"/>
    </font>
    <font>
      <sz val="10"/>
      <color rgb="FFFF0000"/>
      <name val="Century Gothic"/>
      <family val="2"/>
    </font>
    <font>
      <b/>
      <sz val="11"/>
      <color theme="1"/>
      <name val="Century Gothic"/>
      <family val="2"/>
    </font>
    <font>
      <sz val="11"/>
      <color theme="0"/>
      <name val="Century Gothic"/>
      <family val="2"/>
    </font>
    <font>
      <i/>
      <sz val="10"/>
      <color theme="1"/>
      <name val="Century Gothic"/>
      <family val="2"/>
    </font>
    <font>
      <i/>
      <sz val="9"/>
      <color theme="1"/>
      <name val="Century Gothic"/>
      <family val="2"/>
    </font>
    <font>
      <b/>
      <i/>
      <sz val="10"/>
      <color rgb="FFFF0000"/>
      <name val="Century Gothic"/>
      <family val="2"/>
    </font>
    <font>
      <b/>
      <u/>
      <sz val="11"/>
      <name val="Century Gothic"/>
      <family val="2"/>
    </font>
    <font>
      <sz val="11"/>
      <name val="Century Gothic"/>
      <family val="2"/>
    </font>
    <font>
      <sz val="11"/>
      <color rgb="FFFF0000"/>
      <name val="Century Gothic"/>
      <family val="2"/>
    </font>
    <font>
      <sz val="14"/>
      <name val="Cambria"/>
      <family val="1"/>
    </font>
    <font>
      <b/>
      <sz val="14"/>
      <name val="Cambria"/>
      <family val="1"/>
    </font>
    <font>
      <i/>
      <sz val="9"/>
      <name val="Century Gothic"/>
      <family val="2"/>
    </font>
    <font>
      <b/>
      <sz val="14"/>
      <color theme="0"/>
      <name val="Cambria"/>
      <family val="1"/>
    </font>
    <font>
      <sz val="11"/>
      <color rgb="FFFF0000"/>
      <name val="Calibri"/>
      <family val="2"/>
      <scheme val="minor"/>
    </font>
    <font>
      <sz val="10"/>
      <color rgb="FFFF0000"/>
      <name val="Arial"/>
      <family val="2"/>
    </font>
    <font>
      <b/>
      <sz val="10"/>
      <color rgb="FFFF0000"/>
      <name val="Calibri"/>
      <family val="2"/>
      <scheme val="minor"/>
    </font>
    <font>
      <sz val="8"/>
      <color theme="0"/>
      <name val="Century Gothic"/>
      <family val="2"/>
    </font>
    <font>
      <sz val="7.5"/>
      <color theme="1"/>
      <name val="Century Gothic"/>
      <family val="2"/>
    </font>
    <font>
      <b/>
      <sz val="7.5"/>
      <color theme="1"/>
      <name val="Century Gothic"/>
      <family val="2"/>
    </font>
    <font>
      <b/>
      <sz val="8"/>
      <color theme="0"/>
      <name val="Century Gothic"/>
      <family val="2"/>
    </font>
    <font>
      <sz val="9"/>
      <name val="Calibri"/>
      <family val="2"/>
      <scheme val="minor"/>
    </font>
    <font>
      <sz val="9"/>
      <name val="Arial"/>
      <family val="2"/>
    </font>
    <font>
      <b/>
      <sz val="7.5"/>
      <color theme="1"/>
      <name val="Calibri"/>
      <family val="2"/>
    </font>
    <font>
      <b/>
      <sz val="16"/>
      <color theme="0"/>
      <name val="Cambria"/>
      <family val="1"/>
    </font>
    <font>
      <b/>
      <sz val="7.5"/>
      <name val="Century Gothic"/>
      <family val="2"/>
    </font>
    <font>
      <i/>
      <sz val="10"/>
      <name val="Century Gothic"/>
      <family val="2"/>
    </font>
    <font>
      <b/>
      <sz val="10"/>
      <color rgb="FFFF0000"/>
      <name val="Century Gothic"/>
      <family val="2"/>
    </font>
    <font>
      <sz val="10"/>
      <color rgb="FF000000"/>
      <name val="Century Gothic"/>
      <family val="2"/>
    </font>
    <font>
      <sz val="14"/>
      <color theme="0"/>
      <name val="Cambria"/>
      <family val="1"/>
    </font>
    <font>
      <b/>
      <sz val="14"/>
      <color rgb="FFFF0000"/>
      <name val="Cambria"/>
      <family val="1"/>
    </font>
    <font>
      <b/>
      <u/>
      <sz val="11"/>
      <color theme="1"/>
      <name val="Century Gothic"/>
      <family val="2"/>
    </font>
    <font>
      <b/>
      <sz val="11"/>
      <name val="Century Gothic"/>
      <family val="2"/>
    </font>
    <font>
      <b/>
      <sz val="26"/>
      <name val="Century Gothic"/>
      <family val="2"/>
    </font>
    <font>
      <b/>
      <sz val="15"/>
      <color theme="0"/>
      <name val="Century Gothic"/>
      <family val="2"/>
    </font>
    <font>
      <sz val="15"/>
      <name val="Century Gothic"/>
      <family val="2"/>
    </font>
    <font>
      <b/>
      <sz val="16"/>
      <name val="Cambria"/>
      <family val="1"/>
    </font>
    <font>
      <b/>
      <sz val="10"/>
      <color theme="1"/>
      <name val="Calibri"/>
      <family val="2"/>
    </font>
    <font>
      <sz val="11"/>
      <color theme="1"/>
      <name val="Calibri"/>
      <family val="2"/>
    </font>
    <font>
      <b/>
      <sz val="8"/>
      <color theme="0"/>
      <name val="Calibri"/>
      <family val="2"/>
    </font>
    <font>
      <sz val="11"/>
      <color theme="0"/>
      <name val="Arial"/>
      <family val="2"/>
    </font>
    <font>
      <sz val="8"/>
      <color theme="0"/>
      <name val="Calibri"/>
      <family val="2"/>
    </font>
    <font>
      <b/>
      <sz val="11"/>
      <color theme="1"/>
      <name val="Calibri"/>
      <family val="2"/>
    </font>
    <font>
      <sz val="11"/>
      <name val="Calibri"/>
      <family val="2"/>
    </font>
    <font>
      <sz val="9"/>
      <color indexed="81"/>
      <name val="Tahoma"/>
      <family val="2"/>
    </font>
    <font>
      <b/>
      <sz val="9"/>
      <color indexed="81"/>
      <name val="Tahoma"/>
      <family val="2"/>
    </font>
    <font>
      <sz val="8"/>
      <color theme="1"/>
      <name val="Calibri"/>
      <family val="2"/>
    </font>
    <font>
      <sz val="8"/>
      <color theme="1"/>
      <name val="Calibri"/>
      <family val="2"/>
      <scheme val="minor"/>
    </font>
    <font>
      <sz val="8"/>
      <color rgb="FFFF0000"/>
      <name val="Calibri"/>
      <family val="2"/>
    </font>
    <font>
      <sz val="15"/>
      <color theme="1"/>
      <name val="Century Gothic"/>
      <family val="2"/>
    </font>
    <font>
      <sz val="14"/>
      <color theme="1"/>
      <name val="Cambria"/>
      <family val="1"/>
    </font>
    <font>
      <sz val="14"/>
      <color rgb="FF000000"/>
      <name val="Cambria"/>
      <family val="1"/>
    </font>
    <font>
      <b/>
      <sz val="10"/>
      <name val="Calibri"/>
      <family val="2"/>
    </font>
    <font>
      <b/>
      <sz val="11"/>
      <name val="Calibri"/>
      <family val="2"/>
    </font>
    <font>
      <sz val="10"/>
      <name val="Calibri"/>
      <family val="2"/>
    </font>
    <font>
      <b/>
      <sz val="11"/>
      <name val="Arial"/>
      <family val="2"/>
    </font>
    <font>
      <sz val="11"/>
      <color theme="0"/>
      <name val="Calibri"/>
      <family val="2"/>
    </font>
    <font>
      <b/>
      <i/>
      <sz val="11"/>
      <color rgb="FFFF0000"/>
      <name val="Calibri"/>
      <family val="2"/>
      <scheme val="minor"/>
    </font>
    <font>
      <i/>
      <sz val="10"/>
      <color rgb="FFFF0000"/>
      <name val="Century Gothic"/>
      <family val="2"/>
    </font>
    <font>
      <sz val="10"/>
      <color theme="1"/>
      <name val="Arial"/>
      <family val="2"/>
    </font>
    <font>
      <b/>
      <u/>
      <sz val="10"/>
      <name val="Century Gothic"/>
      <family val="2"/>
    </font>
    <font>
      <b/>
      <sz val="10"/>
      <name val="Calibri"/>
      <family val="2"/>
      <scheme val="minor"/>
    </font>
    <font>
      <b/>
      <i/>
      <sz val="10"/>
      <color theme="1"/>
      <name val="Century Gothic"/>
      <family val="2"/>
    </font>
    <font>
      <b/>
      <sz val="8"/>
      <color rgb="FFFF0000"/>
      <name val="Calibri"/>
      <family val="2"/>
    </font>
    <font>
      <sz val="11"/>
      <color rgb="FFFF0000"/>
      <name val="Calibri"/>
      <family val="2"/>
    </font>
    <font>
      <b/>
      <sz val="11"/>
      <color rgb="FFFF0000"/>
      <name val="Calibri"/>
      <family val="2"/>
    </font>
    <font>
      <sz val="8"/>
      <color rgb="FFFF0000"/>
      <name val="Calibri"/>
      <family val="2"/>
      <scheme val="minor"/>
    </font>
    <font>
      <b/>
      <sz val="11"/>
      <color rgb="FFFF0000"/>
      <name val="Calibri"/>
      <family val="2"/>
      <scheme val="minor"/>
    </font>
    <font>
      <b/>
      <sz val="9"/>
      <color rgb="FFFF0000"/>
      <name val="Calibri"/>
      <family val="2"/>
    </font>
    <font>
      <b/>
      <sz val="10"/>
      <color rgb="FFFF0000"/>
      <name val="Calibri"/>
      <family val="2"/>
    </font>
    <font>
      <sz val="10"/>
      <color rgb="FFFF0000"/>
      <name val="Calibri"/>
      <family val="2"/>
    </font>
    <font>
      <b/>
      <sz val="11"/>
      <color theme="1"/>
      <name val="Arial"/>
      <family val="2"/>
    </font>
    <font>
      <b/>
      <sz val="8"/>
      <color theme="1"/>
      <name val="Calibri"/>
      <family val="2"/>
    </font>
    <font>
      <b/>
      <sz val="10"/>
      <color theme="0"/>
      <name val="Calibri"/>
      <family val="2"/>
    </font>
    <font>
      <b/>
      <sz val="10"/>
      <name val="Arial"/>
      <family val="2"/>
    </font>
    <font>
      <sz val="10"/>
      <color theme="1"/>
      <name val="Calibri"/>
      <family val="2"/>
    </font>
    <font>
      <b/>
      <sz val="10"/>
      <color theme="0"/>
      <name val="Calibri"/>
      <family val="2"/>
      <scheme val="minor"/>
    </font>
    <font>
      <i/>
      <sz val="10"/>
      <color rgb="FFFF0000"/>
      <name val="Calibri"/>
      <family val="2"/>
      <scheme val="minor"/>
    </font>
    <font>
      <b/>
      <sz val="18"/>
      <name val="Arial"/>
      <family val="2"/>
    </font>
    <font>
      <b/>
      <sz val="14"/>
      <color theme="0"/>
      <name val="Arial"/>
      <family val="2"/>
    </font>
    <font>
      <b/>
      <sz val="9"/>
      <name val="Arial"/>
      <family val="2"/>
    </font>
    <font>
      <sz val="10"/>
      <color theme="0"/>
      <name val="Arial"/>
      <family val="2"/>
    </font>
    <font>
      <b/>
      <sz val="10"/>
      <color rgb="FFFF0000"/>
      <name val="Arial"/>
      <family val="2"/>
    </font>
    <font>
      <b/>
      <sz val="12"/>
      <name val="Calibri"/>
      <family val="2"/>
      <scheme val="minor"/>
    </font>
    <font>
      <u/>
      <sz val="10"/>
      <color theme="10"/>
      <name val="Arial"/>
      <family val="2"/>
    </font>
    <font>
      <sz val="12"/>
      <color theme="1"/>
      <name val="Century Gothic"/>
      <family val="2"/>
    </font>
    <font>
      <b/>
      <sz val="12"/>
      <color theme="1"/>
      <name val="Century Gothic"/>
      <family val="2"/>
    </font>
  </fonts>
  <fills count="2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1" tint="0.499984740745262"/>
        <bgColor indexed="64"/>
      </patternFill>
    </fill>
    <fill>
      <patternFill patternType="solid">
        <fgColor theme="1" tint="0.34998626667073579"/>
        <bgColor indexed="64"/>
      </patternFill>
    </fill>
    <fill>
      <patternFill patternType="solid">
        <fgColor theme="7" tint="0.79998168889431442"/>
        <bgColor rgb="FFFFC000"/>
      </patternFill>
    </fill>
    <fill>
      <patternFill patternType="solid">
        <fgColor theme="0"/>
        <bgColor indexed="51"/>
      </patternFill>
    </fill>
    <fill>
      <patternFill patternType="solid">
        <fgColor theme="6" tint="0.79998168889431442"/>
        <bgColor indexed="64"/>
      </patternFill>
    </fill>
    <fill>
      <patternFill patternType="solid">
        <fgColor theme="0" tint="-4.9989318521683403E-2"/>
        <bgColor indexed="64"/>
      </patternFill>
    </fill>
    <fill>
      <patternFill patternType="solid">
        <fgColor rgb="FF008000"/>
        <bgColor indexed="64"/>
      </patternFill>
    </fill>
    <fill>
      <patternFill patternType="solid">
        <fgColor rgb="FF92D050"/>
        <bgColor indexed="64"/>
      </patternFill>
    </fill>
    <fill>
      <patternFill patternType="solid">
        <fgColor rgb="FF33CC33"/>
        <bgColor indexed="64"/>
      </patternFill>
    </fill>
    <fill>
      <patternFill patternType="solid">
        <fgColor rgb="FF00660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5" tint="0.59999389629810485"/>
        <bgColor indexed="64"/>
      </patternFill>
    </fill>
    <fill>
      <patternFill patternType="solid">
        <fgColor rgb="FFFFC000"/>
        <bgColor indexed="64"/>
      </patternFill>
    </fill>
    <fill>
      <patternFill patternType="solid">
        <fgColor theme="7" tint="0.39997558519241921"/>
        <bgColor indexed="64"/>
      </patternFill>
    </fill>
    <fill>
      <patternFill patternType="solid">
        <fgColor indexed="9"/>
        <bgColor indexed="64"/>
      </patternFill>
    </fill>
    <fill>
      <patternFill patternType="solid">
        <fgColor theme="0" tint="-0.499984740745262"/>
        <bgColor indexed="64"/>
      </patternFill>
    </fill>
    <fill>
      <patternFill patternType="solid">
        <fgColor theme="7" tint="0.79998168889431442"/>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4"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8" tint="0.39997558519241921"/>
        <bgColor indexed="64"/>
      </patternFill>
    </fill>
  </fills>
  <borders count="172">
    <border>
      <left/>
      <right/>
      <top/>
      <bottom/>
      <diagonal/>
    </border>
    <border>
      <left style="thin">
        <color auto="1"/>
      </left>
      <right style="thin">
        <color auto="1"/>
      </right>
      <top style="thin">
        <color auto="1"/>
      </top>
      <bottom style="thin">
        <color auto="1"/>
      </bottom>
      <diagonal/>
    </border>
    <border>
      <left/>
      <right style="thin">
        <color theme="2" tint="-0.499984740745262"/>
      </right>
      <top/>
      <bottom/>
      <diagonal/>
    </border>
    <border>
      <left/>
      <right/>
      <top/>
      <bottom style="thin">
        <color theme="0"/>
      </bottom>
      <diagonal/>
    </border>
    <border>
      <left/>
      <right/>
      <top/>
      <bottom style="medium">
        <color theme="0"/>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right/>
      <top style="thin">
        <color theme="0"/>
      </top>
      <bottom style="thin">
        <color theme="0"/>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style="thin">
        <color theme="0"/>
      </right>
      <top style="thin">
        <color theme="1" tint="0.34998626667073579"/>
      </top>
      <bottom style="thin">
        <color theme="1" tint="0.34998626667073579"/>
      </bottom>
      <diagonal/>
    </border>
    <border>
      <left style="thin">
        <color theme="0"/>
      </left>
      <right style="thin">
        <color theme="0"/>
      </right>
      <top style="thin">
        <color theme="1" tint="0.34998626667073579"/>
      </top>
      <bottom style="thin">
        <color theme="1" tint="0.34998626667073579"/>
      </bottom>
      <diagonal/>
    </border>
    <border>
      <left style="thin">
        <color theme="0"/>
      </left>
      <right/>
      <top style="thin">
        <color theme="0"/>
      </top>
      <bottom style="thin">
        <color theme="0"/>
      </bottom>
      <diagonal/>
    </border>
    <border>
      <left style="thin">
        <color rgb="FF000000"/>
      </left>
      <right style="thin">
        <color rgb="FF000000"/>
      </right>
      <top style="thin">
        <color rgb="FF000000"/>
      </top>
      <bottom style="thin">
        <color rgb="FF000000"/>
      </bottom>
      <diagonal/>
    </border>
    <border>
      <left style="thin">
        <color theme="0"/>
      </left>
      <right/>
      <top/>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top style="thin">
        <color auto="1"/>
      </top>
      <bottom style="thin">
        <color auto="1"/>
      </bottom>
      <diagonal/>
    </border>
    <border>
      <left/>
      <right/>
      <top/>
      <bottom style="thin">
        <color theme="1" tint="0.34998626667073579"/>
      </bottom>
      <diagonal/>
    </border>
    <border>
      <left style="thin">
        <color auto="1"/>
      </left>
      <right/>
      <top style="thin">
        <color auto="1"/>
      </top>
      <bottom/>
      <diagonal/>
    </border>
    <border>
      <left/>
      <right style="thin">
        <color theme="0"/>
      </right>
      <top style="thin">
        <color theme="1" tint="0.34998626667073579"/>
      </top>
      <bottom style="thin">
        <color theme="1" tint="0.34998626667073579"/>
      </bottom>
      <diagonal/>
    </border>
    <border>
      <left/>
      <right style="thin">
        <color theme="1" tint="0.34998626667073579"/>
      </right>
      <top/>
      <bottom/>
      <diagonal/>
    </border>
    <border>
      <left/>
      <right style="thin">
        <color theme="0"/>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theme="1" tint="0.34998626667073579"/>
      </top>
      <bottom style="thin">
        <color auto="1"/>
      </bottom>
      <diagonal/>
    </border>
    <border>
      <left style="thin">
        <color theme="1" tint="0.34998626667073579"/>
      </left>
      <right/>
      <top/>
      <bottom/>
      <diagonal/>
    </border>
    <border>
      <left style="thin">
        <color theme="1" tint="0.34998626667073579"/>
      </left>
      <right/>
      <top style="thin">
        <color auto="1"/>
      </top>
      <bottom style="thin">
        <color auto="1"/>
      </bottom>
      <diagonal/>
    </border>
    <border>
      <left/>
      <right/>
      <top style="thin">
        <color auto="1"/>
      </top>
      <bottom style="thin">
        <color theme="1" tint="0.34998626667073579"/>
      </bottom>
      <diagonal/>
    </border>
    <border>
      <left style="thin">
        <color auto="1"/>
      </left>
      <right/>
      <top/>
      <bottom/>
      <diagonal/>
    </border>
    <border>
      <left/>
      <right style="thin">
        <color theme="0"/>
      </right>
      <top style="thin">
        <color auto="1"/>
      </top>
      <bottom style="thin">
        <color auto="1"/>
      </bottom>
      <diagonal/>
    </border>
    <border>
      <left/>
      <right/>
      <top style="thin">
        <color theme="1" tint="0.34998626667073579"/>
      </top>
      <bottom/>
      <diagonal/>
    </border>
    <border>
      <left style="thin">
        <color theme="1" tint="0.34998626667073579"/>
      </left>
      <right/>
      <top style="thin">
        <color theme="1" tint="0.34998626667073579"/>
      </top>
      <bottom/>
      <diagonal/>
    </border>
    <border>
      <left/>
      <right style="thin">
        <color theme="1" tint="0.34998626667073579"/>
      </right>
      <top style="thin">
        <color theme="1" tint="0.34998626667073579"/>
      </top>
      <bottom/>
      <diagonal/>
    </border>
    <border>
      <left/>
      <right style="thin">
        <color theme="1" tint="0.34998626667073579"/>
      </right>
      <top style="thin">
        <color theme="0"/>
      </top>
      <bottom style="thin">
        <color theme="0"/>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auto="1"/>
      </top>
      <bottom style="thin">
        <color theme="1" tint="0.34998626667073579"/>
      </bottom>
      <diagonal/>
    </border>
    <border>
      <left style="thin">
        <color theme="1" tint="0.34998626667073579"/>
      </left>
      <right/>
      <top/>
      <bottom style="thin">
        <color auto="1"/>
      </bottom>
      <diagonal/>
    </border>
    <border>
      <left/>
      <right style="thin">
        <color theme="0"/>
      </right>
      <top/>
      <bottom style="thin">
        <color auto="1"/>
      </bottom>
      <diagonal/>
    </border>
    <border>
      <left style="thin">
        <color theme="1" tint="0.34998626667073579"/>
      </left>
      <right style="thin">
        <color theme="1" tint="0.34998626667073579"/>
      </right>
      <top/>
      <bottom style="thin">
        <color theme="1" tint="0.34998626667073579"/>
      </bottom>
      <diagonal/>
    </border>
    <border>
      <left style="thin">
        <color auto="1"/>
      </left>
      <right/>
      <top/>
      <bottom style="thin">
        <color auto="1"/>
      </bottom>
      <diagonal/>
    </border>
    <border>
      <left/>
      <right style="thin">
        <color auto="1"/>
      </right>
      <top style="thin">
        <color auto="1"/>
      </top>
      <bottom/>
      <diagonal/>
    </border>
    <border>
      <left/>
      <right style="thin">
        <color theme="0"/>
      </right>
      <top style="thin">
        <color theme="1" tint="0.34998626667073579"/>
      </top>
      <bottom/>
      <diagonal/>
    </border>
    <border>
      <left style="thin">
        <color theme="0"/>
      </left>
      <right/>
      <top style="thin">
        <color theme="1" tint="0.34998626667073579"/>
      </top>
      <bottom style="thin">
        <color theme="1" tint="0.34998626667073579"/>
      </bottom>
      <diagonal/>
    </border>
    <border>
      <left style="thin">
        <color theme="1" tint="0.34998626667073579"/>
      </left>
      <right style="thin">
        <color theme="1" tint="0.34998626667073579"/>
      </right>
      <top/>
      <bottom/>
      <diagonal/>
    </border>
    <border>
      <left style="hair">
        <color auto="1"/>
      </left>
      <right/>
      <top style="hair">
        <color auto="1"/>
      </top>
      <bottom/>
      <diagonal/>
    </border>
    <border>
      <left/>
      <right/>
      <top style="hair">
        <color auto="1"/>
      </top>
      <bottom/>
      <diagonal/>
    </border>
    <border>
      <left/>
      <right style="hair">
        <color auto="1"/>
      </right>
      <top style="hair">
        <color auto="1"/>
      </top>
      <bottom/>
      <diagonal/>
    </border>
    <border>
      <left style="hair">
        <color auto="1"/>
      </left>
      <right/>
      <top/>
      <bottom style="hair">
        <color auto="1"/>
      </bottom>
      <diagonal/>
    </border>
    <border>
      <left/>
      <right/>
      <top/>
      <bottom style="hair">
        <color auto="1"/>
      </bottom>
      <diagonal/>
    </border>
    <border>
      <left/>
      <right style="hair">
        <color auto="1"/>
      </right>
      <top/>
      <bottom style="hair">
        <color auto="1"/>
      </bottom>
      <diagonal/>
    </border>
    <border>
      <left/>
      <right style="hair">
        <color auto="1"/>
      </right>
      <top/>
      <bottom/>
      <diagonal/>
    </border>
    <border>
      <left style="hair">
        <color auto="1"/>
      </left>
      <right style="hair">
        <color auto="1"/>
      </right>
      <top style="hair">
        <color auto="1"/>
      </top>
      <bottom style="hair">
        <color auto="1"/>
      </bottom>
      <diagonal/>
    </border>
    <border>
      <left style="hair">
        <color indexed="64"/>
      </left>
      <right/>
      <top style="hair">
        <color indexed="64"/>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
      <left style="thin">
        <color theme="0"/>
      </left>
      <right style="thin">
        <color theme="0"/>
      </right>
      <top/>
      <bottom/>
      <diagonal/>
    </border>
    <border>
      <left/>
      <right/>
      <top style="thin">
        <color theme="0"/>
      </top>
      <bottom/>
      <diagonal/>
    </border>
    <border>
      <left style="thin">
        <color auto="1"/>
      </left>
      <right style="thin">
        <color theme="1" tint="0.34998626667073579"/>
      </right>
      <top style="thin">
        <color theme="1" tint="0.34998626667073579"/>
      </top>
      <bottom style="thin">
        <color theme="1" tint="0.34998626667073579"/>
      </bottom>
      <diagonal/>
    </border>
    <border>
      <left style="hair">
        <color theme="1" tint="0.34998626667073579"/>
      </left>
      <right/>
      <top style="hair">
        <color theme="1" tint="0.34998626667073579"/>
      </top>
      <bottom/>
      <diagonal/>
    </border>
    <border>
      <left/>
      <right/>
      <top style="hair">
        <color theme="1" tint="0.34998626667073579"/>
      </top>
      <bottom/>
      <diagonal/>
    </border>
    <border>
      <left/>
      <right style="hair">
        <color theme="1" tint="0.34998626667073579"/>
      </right>
      <top style="hair">
        <color theme="1" tint="0.34998626667073579"/>
      </top>
      <bottom/>
      <diagonal/>
    </border>
    <border>
      <left style="hair">
        <color theme="1" tint="0.34998626667073579"/>
      </left>
      <right/>
      <top/>
      <bottom style="hair">
        <color theme="1" tint="0.34998626667073579"/>
      </bottom>
      <diagonal/>
    </border>
    <border>
      <left/>
      <right/>
      <top/>
      <bottom style="hair">
        <color theme="1" tint="0.34998626667073579"/>
      </bottom>
      <diagonal/>
    </border>
    <border>
      <left/>
      <right style="hair">
        <color theme="1" tint="0.34998626667073579"/>
      </right>
      <top/>
      <bottom style="hair">
        <color theme="1" tint="0.34998626667073579"/>
      </bottom>
      <diagonal/>
    </border>
    <border>
      <left style="thin">
        <color theme="0"/>
      </left>
      <right style="thin">
        <color theme="0"/>
      </right>
      <top style="thin">
        <color indexed="64"/>
      </top>
      <bottom style="thin">
        <color indexed="64"/>
      </bottom>
      <diagonal/>
    </border>
    <border>
      <left style="thin">
        <color theme="0"/>
      </left>
      <right style="thin">
        <color indexed="64"/>
      </right>
      <top style="thin">
        <color indexed="64"/>
      </top>
      <bottom style="thin">
        <color indexed="64"/>
      </bottom>
      <diagonal/>
    </border>
    <border>
      <left/>
      <right style="thin">
        <color theme="2" tint="-0.499984740745262"/>
      </right>
      <top style="thin">
        <color theme="1" tint="0.34998626667073579"/>
      </top>
      <bottom/>
      <diagonal/>
    </border>
    <border>
      <left/>
      <right/>
      <top style="thin">
        <color indexed="64"/>
      </top>
      <bottom/>
      <diagonal/>
    </border>
    <border>
      <left/>
      <right style="thin">
        <color indexed="64"/>
      </right>
      <top/>
      <bottom style="thin">
        <color indexed="64"/>
      </bottom>
      <diagonal/>
    </border>
    <border>
      <left/>
      <right style="thin">
        <color indexed="64"/>
      </right>
      <top/>
      <bottom/>
      <diagonal/>
    </border>
    <border>
      <left/>
      <right style="thin">
        <color theme="0"/>
      </right>
      <top style="thin">
        <color theme="0"/>
      </top>
      <bottom style="thin">
        <color theme="0"/>
      </bottom>
      <diagonal/>
    </border>
    <border>
      <left style="thin">
        <color indexed="64"/>
      </left>
      <right style="thin">
        <color theme="1" tint="0.34998626667073579"/>
      </right>
      <top style="thin">
        <color indexed="64"/>
      </top>
      <bottom style="thin">
        <color theme="1" tint="0.34998626667073579"/>
      </bottom>
      <diagonal/>
    </border>
    <border>
      <left/>
      <right style="thin">
        <color indexed="64"/>
      </right>
      <top style="thin">
        <color indexed="64"/>
      </top>
      <bottom style="thin">
        <color theme="1" tint="0.34998626667073579"/>
      </bottom>
      <diagonal/>
    </border>
    <border>
      <left style="thin">
        <color indexed="64"/>
      </left>
      <right style="thin">
        <color theme="1" tint="0.34998626667073579"/>
      </right>
      <top style="thin">
        <color theme="1" tint="0.34998626667073579"/>
      </top>
      <bottom style="thin">
        <color indexed="64"/>
      </bottom>
      <diagonal/>
    </border>
    <border>
      <left style="thin">
        <color indexed="64"/>
      </left>
      <right style="thin">
        <color theme="1" tint="0.34998626667073579"/>
      </right>
      <top style="thin">
        <color indexed="64"/>
      </top>
      <bottom style="thin">
        <color indexed="64"/>
      </bottom>
      <diagonal/>
    </border>
    <border>
      <left style="thin">
        <color theme="0"/>
      </left>
      <right style="thin">
        <color theme="0"/>
      </right>
      <top style="thin">
        <color theme="0"/>
      </top>
      <bottom style="thin">
        <color theme="0"/>
      </bottom>
      <diagonal/>
    </border>
    <border>
      <left style="thin">
        <color theme="0"/>
      </left>
      <right/>
      <top style="thin">
        <color indexed="64"/>
      </top>
      <bottom style="thin">
        <color indexed="64"/>
      </bottom>
      <diagonal/>
    </border>
    <border>
      <left style="thin">
        <color theme="1" tint="0.249977111117893"/>
      </left>
      <right style="thin">
        <color theme="1" tint="0.249977111117893"/>
      </right>
      <top style="thin">
        <color theme="1" tint="0.249977111117893"/>
      </top>
      <bottom style="thin">
        <color theme="1" tint="0.249977111117893"/>
      </bottom>
      <diagonal/>
    </border>
    <border>
      <left/>
      <right style="thin">
        <color theme="1" tint="0.249977111117893"/>
      </right>
      <top style="thin">
        <color theme="1" tint="0.249977111117893"/>
      </top>
      <bottom style="thin">
        <color theme="1" tint="0.249977111117893"/>
      </bottom>
      <diagonal/>
    </border>
    <border>
      <left/>
      <right/>
      <top/>
      <bottom style="thin">
        <color theme="1"/>
      </bottom>
      <diagonal/>
    </border>
    <border>
      <left/>
      <right/>
      <top style="thin">
        <color theme="1" tint="0.249977111117893"/>
      </top>
      <bottom style="thin">
        <color indexed="64"/>
      </bottom>
      <diagonal/>
    </border>
    <border>
      <left style="thin">
        <color theme="0"/>
      </left>
      <right style="thin">
        <color theme="0"/>
      </right>
      <top style="thin">
        <color theme="0"/>
      </top>
      <bottom/>
      <diagonal/>
    </border>
    <border>
      <left/>
      <right/>
      <top/>
      <bottom style="thin">
        <color theme="5" tint="-0.499984740745262"/>
      </bottom>
      <diagonal/>
    </border>
    <border>
      <left/>
      <right/>
      <top style="thin">
        <color theme="5" tint="-0.499984740745262"/>
      </top>
      <bottom style="thin">
        <color theme="5" tint="-0.499984740745262"/>
      </bottom>
      <diagonal/>
    </border>
    <border>
      <left style="thin">
        <color theme="1" tint="4.9989318521683403E-2"/>
      </left>
      <right style="thin">
        <color theme="1" tint="4.9989318521683403E-2"/>
      </right>
      <top style="thin">
        <color theme="1" tint="4.9989318521683403E-2"/>
      </top>
      <bottom style="thin">
        <color theme="1" tint="4.9989318521683403E-2"/>
      </bottom>
      <diagonal/>
    </border>
    <border>
      <left style="thin">
        <color rgb="FF006600"/>
      </left>
      <right style="thin">
        <color rgb="FF006600"/>
      </right>
      <top style="thin">
        <color rgb="FF006600"/>
      </top>
      <bottom style="thin">
        <color rgb="FF006600"/>
      </bottom>
      <diagonal/>
    </border>
    <border>
      <left style="medium">
        <color rgb="FF006600"/>
      </left>
      <right style="thin">
        <color rgb="FF006600"/>
      </right>
      <top style="medium">
        <color rgb="FF006600"/>
      </top>
      <bottom style="thin">
        <color rgb="FF006600"/>
      </bottom>
      <diagonal/>
    </border>
    <border>
      <left style="thin">
        <color rgb="FF006600"/>
      </left>
      <right style="thin">
        <color rgb="FF006600"/>
      </right>
      <top style="medium">
        <color rgb="FF006600"/>
      </top>
      <bottom style="thin">
        <color rgb="FF006600"/>
      </bottom>
      <diagonal/>
    </border>
    <border>
      <left style="thin">
        <color rgb="FF006600"/>
      </left>
      <right style="medium">
        <color rgb="FF006600"/>
      </right>
      <top style="medium">
        <color rgb="FF006600"/>
      </top>
      <bottom style="thin">
        <color rgb="FF006600"/>
      </bottom>
      <diagonal/>
    </border>
    <border>
      <left style="medium">
        <color rgb="FF006600"/>
      </left>
      <right style="thin">
        <color rgb="FF006600"/>
      </right>
      <top style="thin">
        <color rgb="FF006600"/>
      </top>
      <bottom style="thin">
        <color rgb="FF006600"/>
      </bottom>
      <diagonal/>
    </border>
    <border>
      <left style="thin">
        <color rgb="FF006600"/>
      </left>
      <right style="medium">
        <color rgb="FF006600"/>
      </right>
      <top style="thin">
        <color rgb="FF006600"/>
      </top>
      <bottom style="thin">
        <color rgb="FF006600"/>
      </bottom>
      <diagonal/>
    </border>
    <border>
      <left style="medium">
        <color rgb="FF006600"/>
      </left>
      <right style="thin">
        <color rgb="FF006600"/>
      </right>
      <top style="thin">
        <color rgb="FF006600"/>
      </top>
      <bottom style="medium">
        <color rgb="FF006600"/>
      </bottom>
      <diagonal/>
    </border>
    <border>
      <left style="thin">
        <color rgb="FF006600"/>
      </left>
      <right style="thin">
        <color rgb="FF006600"/>
      </right>
      <top style="thin">
        <color rgb="FF006600"/>
      </top>
      <bottom style="medium">
        <color rgb="FF006600"/>
      </bottom>
      <diagonal/>
    </border>
    <border>
      <left style="thin">
        <color rgb="FF006600"/>
      </left>
      <right style="medium">
        <color rgb="FF006600"/>
      </right>
      <top style="thin">
        <color rgb="FF006600"/>
      </top>
      <bottom style="medium">
        <color rgb="FF006600"/>
      </bottom>
      <diagonal/>
    </border>
    <border>
      <left style="dotted">
        <color indexed="64"/>
      </left>
      <right style="dotted">
        <color indexed="64"/>
      </right>
      <top style="dotted">
        <color indexed="64"/>
      </top>
      <bottom style="dotted">
        <color indexed="64"/>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diagonal/>
    </border>
    <border>
      <left/>
      <right style="medium">
        <color rgb="FF000000"/>
      </right>
      <top/>
      <bottom/>
      <diagonal/>
    </border>
    <border>
      <left style="thin">
        <color rgb="FF000000"/>
      </left>
      <right style="thin">
        <color rgb="FF000000"/>
      </right>
      <top/>
      <bottom style="thin">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style="medium">
        <color rgb="FF000000"/>
      </bottom>
      <diagonal/>
    </border>
    <border>
      <left/>
      <right style="thin">
        <color rgb="FF000000"/>
      </right>
      <top style="thin">
        <color rgb="FF000000"/>
      </top>
      <bottom/>
      <diagonal/>
    </border>
    <border>
      <left/>
      <right style="thin">
        <color rgb="FF000000"/>
      </right>
      <top style="medium">
        <color indexed="64"/>
      </top>
      <bottom style="thin">
        <color rgb="FF000000"/>
      </bottom>
      <diagonal/>
    </border>
    <border>
      <left/>
      <right style="thin">
        <color rgb="FF000000"/>
      </right>
      <top style="thin">
        <color rgb="FF000000"/>
      </top>
      <bottom style="medium">
        <color indexed="64"/>
      </bottom>
      <diagonal/>
    </border>
    <border>
      <left/>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rgb="FF000000"/>
      </left>
      <right/>
      <top style="medium">
        <color indexed="64"/>
      </top>
      <bottom style="thin">
        <color rgb="FF000000"/>
      </bottom>
      <diagonal/>
    </border>
    <border>
      <left style="thin">
        <color rgb="FF000000"/>
      </left>
      <right/>
      <top style="thin">
        <color rgb="FF000000"/>
      </top>
      <bottom style="medium">
        <color indexed="64"/>
      </bottom>
      <diagonal/>
    </border>
    <border>
      <left/>
      <right style="thin">
        <color rgb="FF000000"/>
      </right>
      <top/>
      <bottom/>
      <diagonal/>
    </border>
    <border>
      <left style="thin">
        <color rgb="FF000000"/>
      </left>
      <right style="medium">
        <color indexed="64"/>
      </right>
      <top style="medium">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top/>
      <bottom style="thin">
        <color rgb="FF000000"/>
      </bottom>
      <diagonal/>
    </border>
    <border>
      <left style="thin">
        <color auto="1"/>
      </left>
      <right/>
      <top style="thin">
        <color theme="1" tint="0.34998626667073579"/>
      </top>
      <bottom style="thin">
        <color theme="1" tint="0.34998626667073579"/>
      </bottom>
      <diagonal/>
    </border>
    <border>
      <left/>
      <right style="thin">
        <color rgb="FF000000"/>
      </right>
      <top/>
      <bottom style="medium">
        <color indexed="64"/>
      </bottom>
      <diagonal/>
    </border>
    <border>
      <left style="thin">
        <color rgb="FF000000"/>
      </left>
      <right/>
      <top style="medium">
        <color indexed="64"/>
      </top>
      <bottom style="medium">
        <color indexed="64"/>
      </bottom>
      <diagonal/>
    </border>
    <border>
      <left/>
      <right style="thin">
        <color rgb="FF000000"/>
      </right>
      <top style="medium">
        <color indexed="64"/>
      </top>
      <bottom style="medium">
        <color indexed="64"/>
      </bottom>
      <diagonal/>
    </border>
    <border>
      <left/>
      <right/>
      <top/>
      <bottom style="thin">
        <color rgb="FF000000"/>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style="thin">
        <color indexed="64"/>
      </bottom>
      <diagonal/>
    </border>
    <border>
      <left/>
      <right/>
      <top style="thin">
        <color rgb="FF000000"/>
      </top>
      <bottom style="thin">
        <color rgb="FF000000"/>
      </bottom>
      <diagonal/>
    </border>
    <border>
      <left/>
      <right/>
      <top style="thin">
        <color rgb="FF000000"/>
      </top>
      <bottom/>
      <diagonal/>
    </border>
    <border>
      <left/>
      <right/>
      <top style="thin">
        <color rgb="FF000000"/>
      </top>
      <bottom style="medium">
        <color indexed="64"/>
      </bottom>
      <diagonal/>
    </border>
    <border>
      <left/>
      <right/>
      <top style="medium">
        <color indexed="64"/>
      </top>
      <bottom style="thin">
        <color rgb="FF000000"/>
      </bottom>
      <diagonal/>
    </border>
    <border>
      <left style="thin">
        <color rgb="FF000000"/>
      </left>
      <right/>
      <top style="medium">
        <color indexed="64"/>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style="thin">
        <color rgb="FF000000"/>
      </left>
      <right style="medium">
        <color indexed="64"/>
      </right>
      <top style="medium">
        <color indexed="64"/>
      </top>
      <bottom/>
      <diagonal/>
    </border>
    <border>
      <left/>
      <right/>
      <top style="thin">
        <color auto="1"/>
      </top>
      <bottom style="medium">
        <color indexed="64"/>
      </bottom>
      <diagonal/>
    </border>
    <border>
      <left/>
      <right/>
      <top/>
      <bottom style="medium">
        <color rgb="FFFF0000"/>
      </bottom>
      <diagonal/>
    </border>
    <border>
      <left/>
      <right/>
      <top/>
      <bottom style="hair">
        <color indexed="16"/>
      </bottom>
      <diagonal/>
    </border>
    <border>
      <left/>
      <right/>
      <top style="medium">
        <color rgb="FFFF0000"/>
      </top>
      <bottom style="hair">
        <color indexed="16"/>
      </bottom>
      <diagonal/>
    </border>
    <border>
      <left/>
      <right/>
      <top style="hair">
        <color indexed="16"/>
      </top>
      <bottom/>
      <diagonal/>
    </border>
    <border>
      <left style="hair">
        <color indexed="16"/>
      </left>
      <right/>
      <top style="hair">
        <color indexed="16"/>
      </top>
      <bottom style="hair">
        <color indexed="16"/>
      </bottom>
      <diagonal/>
    </border>
    <border>
      <left/>
      <right/>
      <top style="hair">
        <color indexed="16"/>
      </top>
      <bottom style="hair">
        <color indexed="16"/>
      </bottom>
      <diagonal/>
    </border>
    <border>
      <left/>
      <right style="hair">
        <color indexed="16"/>
      </right>
      <top style="hair">
        <color indexed="16"/>
      </top>
      <bottom style="hair">
        <color indexed="16"/>
      </bottom>
      <diagonal/>
    </border>
    <border>
      <left style="hair">
        <color indexed="16"/>
      </left>
      <right/>
      <top/>
      <bottom/>
      <diagonal/>
    </border>
    <border>
      <left style="hair">
        <color indexed="16"/>
      </left>
      <right style="hair">
        <color indexed="16"/>
      </right>
      <top style="hair">
        <color indexed="16"/>
      </top>
      <bottom style="hair">
        <color indexed="16"/>
      </bottom>
      <diagonal/>
    </border>
    <border>
      <left style="hair">
        <color indexed="16"/>
      </left>
      <right/>
      <top/>
      <bottom style="hair">
        <color indexed="16"/>
      </bottom>
      <diagonal/>
    </border>
    <border>
      <left/>
      <right/>
      <top style="hair">
        <color indexed="16"/>
      </top>
      <bottom style="medium">
        <color rgb="FFFF0000"/>
      </bottom>
      <diagonal/>
    </border>
    <border>
      <left/>
      <right/>
      <top style="medium">
        <color rgb="FFFF0000"/>
      </top>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theme="1" tint="0.34998626667073579"/>
      </left>
      <right style="thin">
        <color theme="1" tint="0.34998626667073579"/>
      </right>
      <top style="thin">
        <color theme="1" tint="0.34998626667073579"/>
      </top>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thin">
        <color auto="1"/>
      </left>
      <right style="thin">
        <color auto="1"/>
      </right>
      <top style="thin">
        <color indexed="64"/>
      </top>
      <bottom style="double">
        <color indexed="64"/>
      </bottom>
      <diagonal/>
    </border>
  </borders>
  <cellStyleXfs count="32">
    <xf numFmtId="0" fontId="0" fillId="0" borderId="0"/>
    <xf numFmtId="167" fontId="4" fillId="0" borderId="0" applyFont="0" applyFill="0" applyBorder="0" applyAlignment="0" applyProtection="0"/>
    <xf numFmtId="9" fontId="4" fillId="0" borderId="0" applyFont="0" applyFill="0" applyBorder="0" applyAlignment="0" applyProtection="0"/>
    <xf numFmtId="0" fontId="22" fillId="0" borderId="0"/>
    <xf numFmtId="43" fontId="26" fillId="0" borderId="0" applyFont="0" applyFill="0" applyBorder="0" applyAlignment="0" applyProtection="0"/>
    <xf numFmtId="166" fontId="4" fillId="0" borderId="0" applyFont="0" applyFill="0" applyBorder="0" applyAlignment="0" applyProtection="0"/>
    <xf numFmtId="43" fontId="4" fillId="0" borderId="0" applyFont="0" applyFill="0" applyBorder="0" applyAlignment="0" applyProtection="0"/>
    <xf numFmtId="0" fontId="14" fillId="0" borderId="0"/>
    <xf numFmtId="167" fontId="4" fillId="0" borderId="0" applyFont="0" applyFill="0" applyBorder="0" applyAlignment="0" applyProtection="0"/>
    <xf numFmtId="167" fontId="4" fillId="0" borderId="0" applyFont="0" applyFill="0" applyBorder="0" applyAlignment="0" applyProtection="0"/>
    <xf numFmtId="0" fontId="26" fillId="0" borderId="0"/>
    <xf numFmtId="43" fontId="26" fillId="0" borderId="0" applyFont="0" applyFill="0" applyBorder="0" applyAlignment="0" applyProtection="0"/>
    <xf numFmtId="44" fontId="26" fillId="0" borderId="0" applyFont="0" applyFill="0" applyBorder="0" applyAlignment="0" applyProtection="0"/>
    <xf numFmtId="167" fontId="4" fillId="0" borderId="0" applyFont="0" applyFill="0" applyBorder="0" applyAlignment="0" applyProtection="0"/>
    <xf numFmtId="167" fontId="26" fillId="0" borderId="0" applyFont="0" applyFill="0" applyBorder="0" applyAlignment="0" applyProtection="0"/>
    <xf numFmtId="166"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4" fillId="0" borderId="0" applyFont="0" applyFill="0" applyBorder="0" applyAlignment="0" applyProtection="0"/>
    <xf numFmtId="167" fontId="26"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9" fontId="26" fillId="0" borderId="0" applyFont="0" applyFill="0" applyBorder="0" applyAlignment="0" applyProtection="0"/>
    <xf numFmtId="0" fontId="118" fillId="0" borderId="0" applyNumberFormat="0" applyFill="0" applyBorder="0" applyAlignment="0" applyProtection="0"/>
    <xf numFmtId="9" fontId="26" fillId="0" borderId="0" applyFont="0" applyFill="0" applyBorder="0" applyAlignment="0" applyProtection="0"/>
    <xf numFmtId="43" fontId="4" fillId="0" borderId="0" applyFont="0" applyFill="0" applyBorder="0" applyAlignment="0" applyProtection="0"/>
    <xf numFmtId="9" fontId="4" fillId="0" borderId="0" applyFont="0" applyFill="0" applyBorder="0" applyAlignment="0" applyProtection="0"/>
    <xf numFmtId="0" fontId="4" fillId="0" borderId="0"/>
    <xf numFmtId="0" fontId="4" fillId="0" borderId="0"/>
    <xf numFmtId="0" fontId="4" fillId="0" borderId="0"/>
    <xf numFmtId="43" fontId="4" fillId="0" borderId="0" applyFont="0" applyFill="0" applyBorder="0" applyAlignment="0" applyProtection="0"/>
  </cellStyleXfs>
  <cellXfs count="1944">
    <xf numFmtId="0" fontId="0" fillId="0" borderId="0" xfId="0"/>
    <xf numFmtId="0" fontId="26" fillId="0" borderId="0" xfId="0" applyFont="1"/>
    <xf numFmtId="0" fontId="31" fillId="0" borderId="0" xfId="0" applyFont="1"/>
    <xf numFmtId="0" fontId="15" fillId="0" borderId="0" xfId="0" applyFont="1"/>
    <xf numFmtId="0" fontId="15" fillId="0" borderId="0" xfId="0" applyFont="1" applyAlignment="1" applyProtection="1">
      <alignment horizontal="center" vertical="center"/>
      <protection locked="0"/>
    </xf>
    <xf numFmtId="0" fontId="31" fillId="0" borderId="17" xfId="0" applyFont="1" applyBorder="1"/>
    <xf numFmtId="0" fontId="44" fillId="0" borderId="0" xfId="0" applyFont="1"/>
    <xf numFmtId="0" fontId="44" fillId="0" borderId="0" xfId="0" applyFont="1" applyAlignment="1">
      <alignment vertical="center"/>
    </xf>
    <xf numFmtId="0" fontId="45" fillId="0" borderId="0" xfId="0" applyFont="1" applyAlignment="1">
      <alignment vertical="center"/>
    </xf>
    <xf numFmtId="169" fontId="45" fillId="0" borderId="0" xfId="0" applyNumberFormat="1" applyFont="1" applyAlignment="1">
      <alignment vertical="center"/>
    </xf>
    <xf numFmtId="169" fontId="45" fillId="0" borderId="0" xfId="0" applyNumberFormat="1" applyFont="1" applyAlignment="1">
      <alignment horizontal="center" vertical="center"/>
    </xf>
    <xf numFmtId="169" fontId="45" fillId="0" borderId="51" xfId="0" applyNumberFormat="1" applyFont="1" applyBorder="1" applyAlignment="1">
      <alignment horizontal="center" vertical="center"/>
    </xf>
    <xf numFmtId="0" fontId="45" fillId="0" borderId="0" xfId="0" applyFont="1" applyAlignment="1">
      <alignment horizontal="right"/>
    </xf>
    <xf numFmtId="0" fontId="45" fillId="0" borderId="0" xfId="0" applyFont="1" applyAlignment="1">
      <alignment horizontal="center" vertical="center"/>
    </xf>
    <xf numFmtId="0" fontId="31" fillId="0" borderId="0" xfId="0" applyFont="1" applyProtection="1">
      <protection locked="0"/>
    </xf>
    <xf numFmtId="0" fontId="18" fillId="0" borderId="0" xfId="0" applyFont="1" applyAlignment="1" applyProtection="1">
      <alignment vertical="center"/>
      <protection locked="0"/>
    </xf>
    <xf numFmtId="0" fontId="13" fillId="0" borderId="0" xfId="0" applyFont="1" applyProtection="1">
      <protection locked="0"/>
    </xf>
    <xf numFmtId="0" fontId="18" fillId="0" borderId="0" xfId="0" applyFont="1" applyProtection="1">
      <protection locked="0"/>
    </xf>
    <xf numFmtId="0" fontId="25" fillId="0" borderId="0" xfId="0" applyFont="1"/>
    <xf numFmtId="0" fontId="31" fillId="0" borderId="0" xfId="0" applyFont="1" applyAlignment="1" applyProtection="1">
      <alignment horizontal="center"/>
      <protection locked="0"/>
    </xf>
    <xf numFmtId="0" fontId="44" fillId="0" borderId="0" xfId="0" applyFont="1" applyAlignment="1">
      <alignment horizontal="center" vertical="center"/>
    </xf>
    <xf numFmtId="0" fontId="45" fillId="0" borderId="0" xfId="0" applyFont="1" applyAlignment="1">
      <alignment horizontal="center" vertical="center" wrapText="1"/>
    </xf>
    <xf numFmtId="0" fontId="7" fillId="0" borderId="0" xfId="0" applyFont="1"/>
    <xf numFmtId="0" fontId="7" fillId="0" borderId="17" xfId="0" applyFont="1" applyBorder="1"/>
    <xf numFmtId="0" fontId="7" fillId="0" borderId="0" xfId="0" applyFont="1" applyAlignment="1">
      <alignment horizontal="right"/>
    </xf>
    <xf numFmtId="0" fontId="7" fillId="0" borderId="18" xfId="0" applyFont="1" applyBorder="1"/>
    <xf numFmtId="0" fontId="16" fillId="0" borderId="15" xfId="0" applyFont="1" applyBorder="1"/>
    <xf numFmtId="0" fontId="16" fillId="0" borderId="18" xfId="0" applyFont="1" applyBorder="1"/>
    <xf numFmtId="0" fontId="16" fillId="0" borderId="20" xfId="0" applyFont="1" applyBorder="1"/>
    <xf numFmtId="0" fontId="16" fillId="0" borderId="70" xfId="0" applyFont="1" applyBorder="1"/>
    <xf numFmtId="0" fontId="31" fillId="0" borderId="70" xfId="0" applyFont="1" applyBorder="1"/>
    <xf numFmtId="0" fontId="25" fillId="0" borderId="70" xfId="0" applyFont="1" applyBorder="1"/>
    <xf numFmtId="0" fontId="31" fillId="0" borderId="42" xfId="0" applyFont="1" applyBorder="1"/>
    <xf numFmtId="0" fontId="25" fillId="0" borderId="17" xfId="0" applyFont="1" applyBorder="1"/>
    <xf numFmtId="0" fontId="31" fillId="0" borderId="71" xfId="0" applyFont="1" applyBorder="1"/>
    <xf numFmtId="0" fontId="25" fillId="0" borderId="30" xfId="0" applyFont="1" applyBorder="1"/>
    <xf numFmtId="0" fontId="25" fillId="0" borderId="72" xfId="0" applyFont="1" applyBorder="1"/>
    <xf numFmtId="0" fontId="51" fillId="5" borderId="30" xfId="0" applyFont="1" applyFill="1" applyBorder="1"/>
    <xf numFmtId="0" fontId="51" fillId="5" borderId="0" xfId="0" applyFont="1" applyFill="1"/>
    <xf numFmtId="0" fontId="51" fillId="5" borderId="15" xfId="0" applyFont="1" applyFill="1" applyBorder="1"/>
    <xf numFmtId="0" fontId="51" fillId="5" borderId="18" xfId="0" applyFont="1" applyFill="1" applyBorder="1"/>
    <xf numFmtId="0" fontId="51" fillId="5" borderId="24" xfId="0" applyFont="1" applyFill="1" applyBorder="1"/>
    <xf numFmtId="0" fontId="37" fillId="5" borderId="18" xfId="0" applyFont="1" applyFill="1" applyBorder="1"/>
    <xf numFmtId="0" fontId="37" fillId="5" borderId="24" xfId="0" applyFont="1" applyFill="1" applyBorder="1"/>
    <xf numFmtId="0" fontId="6" fillId="5" borderId="70" xfId="0" applyFont="1" applyFill="1" applyBorder="1" applyAlignment="1">
      <alignment horizontal="left"/>
    </xf>
    <xf numFmtId="0" fontId="31" fillId="5" borderId="70" xfId="0" applyFont="1" applyFill="1" applyBorder="1" applyAlignment="1">
      <alignment horizontal="left"/>
    </xf>
    <xf numFmtId="0" fontId="31" fillId="5" borderId="43" xfId="0" applyFont="1" applyFill="1" applyBorder="1" applyAlignment="1">
      <alignment horizontal="left"/>
    </xf>
    <xf numFmtId="0" fontId="25" fillId="0" borderId="0" xfId="0" applyFont="1" applyAlignment="1">
      <alignment wrapText="1"/>
    </xf>
    <xf numFmtId="0" fontId="37" fillId="5" borderId="43" xfId="0" applyFont="1" applyFill="1" applyBorder="1"/>
    <xf numFmtId="0" fontId="51" fillId="5" borderId="20" xfId="0" applyFont="1" applyFill="1" applyBorder="1"/>
    <xf numFmtId="0" fontId="51" fillId="5" borderId="70" xfId="0" applyFont="1" applyFill="1" applyBorder="1"/>
    <xf numFmtId="0" fontId="37" fillId="5" borderId="70" xfId="0" applyFont="1" applyFill="1" applyBorder="1"/>
    <xf numFmtId="0" fontId="43" fillId="0" borderId="0" xfId="0" applyFont="1"/>
    <xf numFmtId="0" fontId="31" fillId="0" borderId="0" xfId="0" applyFont="1" applyAlignment="1">
      <alignment vertical="center" wrapText="1"/>
    </xf>
    <xf numFmtId="0" fontId="7" fillId="0" borderId="0" xfId="0" applyFont="1" applyAlignment="1">
      <alignment horizontal="justify" vertical="center"/>
    </xf>
    <xf numFmtId="0" fontId="31" fillId="0" borderId="43" xfId="0" applyFont="1" applyBorder="1"/>
    <xf numFmtId="0" fontId="24" fillId="0" borderId="70" xfId="0" applyFont="1" applyBorder="1"/>
    <xf numFmtId="0" fontId="52" fillId="0" borderId="0" xfId="0" applyFont="1" applyAlignment="1">
      <alignment horizontal="right" vertical="top" wrapText="1"/>
    </xf>
    <xf numFmtId="0" fontId="7" fillId="0" borderId="24" xfId="0" applyFont="1" applyBorder="1"/>
    <xf numFmtId="0" fontId="52" fillId="0" borderId="0" xfId="0" applyFont="1"/>
    <xf numFmtId="0" fontId="52" fillId="0" borderId="20" xfId="0" applyFont="1" applyBorder="1" applyAlignment="1">
      <alignment wrapText="1"/>
    </xf>
    <xf numFmtId="0" fontId="53" fillId="0" borderId="70" xfId="0" applyFont="1" applyBorder="1" applyAlignment="1">
      <alignment vertical="center"/>
    </xf>
    <xf numFmtId="0" fontId="52" fillId="0" borderId="70" xfId="0" applyFont="1" applyBorder="1" applyAlignment="1">
      <alignment wrapText="1"/>
    </xf>
    <xf numFmtId="0" fontId="52" fillId="0" borderId="43" xfId="0" applyFont="1" applyBorder="1" applyAlignment="1">
      <alignment wrapText="1"/>
    </xf>
    <xf numFmtId="0" fontId="52" fillId="0" borderId="30" xfId="0" applyFont="1" applyBorder="1"/>
    <xf numFmtId="0" fontId="52" fillId="0" borderId="72" xfId="0" applyFont="1" applyBorder="1"/>
    <xf numFmtId="0" fontId="53" fillId="0" borderId="0" xfId="0" applyFont="1"/>
    <xf numFmtId="0" fontId="52" fillId="0" borderId="42" xfId="0" applyFont="1" applyBorder="1"/>
    <xf numFmtId="0" fontId="52" fillId="0" borderId="17" xfId="0" applyFont="1" applyBorder="1"/>
    <xf numFmtId="0" fontId="52" fillId="0" borderId="71" xfId="0" applyFont="1" applyBorder="1"/>
    <xf numFmtId="0" fontId="54" fillId="5" borderId="20" xfId="0" applyFont="1" applyFill="1" applyBorder="1" applyAlignment="1">
      <alignment horizontal="left"/>
    </xf>
    <xf numFmtId="0" fontId="25" fillId="0" borderId="42" xfId="0" applyFont="1" applyBorder="1"/>
    <xf numFmtId="0" fontId="25" fillId="0" borderId="71" xfId="0" applyFont="1" applyBorder="1"/>
    <xf numFmtId="0" fontId="52" fillId="0" borderId="0" xfId="0" quotePrefix="1" applyFont="1" applyAlignment="1">
      <alignment horizontal="center" vertical="top"/>
    </xf>
    <xf numFmtId="0" fontId="52" fillId="0" borderId="0" xfId="0" applyFont="1" applyAlignment="1">
      <alignment horizontal="left" vertical="center" wrapText="1"/>
    </xf>
    <xf numFmtId="0" fontId="52" fillId="0" borderId="0" xfId="0" quotePrefix="1" applyFont="1" applyAlignment="1">
      <alignment horizontal="right" vertical="center"/>
    </xf>
    <xf numFmtId="0" fontId="20" fillId="0" borderId="0" xfId="0" applyFont="1"/>
    <xf numFmtId="0" fontId="52" fillId="0" borderId="0" xfId="0" applyFont="1" applyAlignment="1">
      <alignment horizontal="center" vertical="top" wrapText="1"/>
    </xf>
    <xf numFmtId="182" fontId="52" fillId="0" borderId="0" xfId="1" applyNumberFormat="1" applyFont="1" applyBorder="1" applyAlignment="1">
      <alignment horizontal="center" vertical="top" wrapText="1"/>
    </xf>
    <xf numFmtId="0" fontId="53" fillId="0" borderId="0" xfId="0" applyFont="1" applyAlignment="1">
      <alignment horizontal="right" vertical="top" wrapText="1"/>
    </xf>
    <xf numFmtId="0" fontId="51" fillId="5" borderId="15" xfId="0" applyFont="1" applyFill="1" applyBorder="1" applyAlignment="1">
      <alignment horizontal="left"/>
    </xf>
    <xf numFmtId="0" fontId="51" fillId="5" borderId="24" xfId="0" applyFont="1" applyFill="1" applyBorder="1" applyAlignment="1">
      <alignment horizontal="left"/>
    </xf>
    <xf numFmtId="0" fontId="53" fillId="0" borderId="0" xfId="0" applyFont="1" applyAlignment="1">
      <alignment horizontal="center" vertical="top" wrapText="1"/>
    </xf>
    <xf numFmtId="0" fontId="31" fillId="0" borderId="0" xfId="0" applyFont="1" applyAlignment="1">
      <alignment horizontal="center"/>
    </xf>
    <xf numFmtId="0" fontId="9" fillId="5" borderId="0" xfId="0" applyFont="1" applyFill="1"/>
    <xf numFmtId="0" fontId="9" fillId="5" borderId="0" xfId="0" applyFont="1" applyFill="1" applyAlignment="1">
      <alignment horizontal="center"/>
    </xf>
    <xf numFmtId="0" fontId="18" fillId="0" borderId="0" xfId="0" applyFont="1"/>
    <xf numFmtId="0" fontId="18" fillId="0" borderId="0" xfId="0" applyFont="1" applyAlignment="1">
      <alignment horizontal="center"/>
    </xf>
    <xf numFmtId="0" fontId="18" fillId="0" borderId="0" xfId="0" applyFont="1" applyAlignment="1">
      <alignment vertical="center"/>
    </xf>
    <xf numFmtId="0" fontId="18" fillId="0" borderId="19" xfId="0" applyFont="1" applyBorder="1"/>
    <xf numFmtId="0" fontId="18" fillId="0" borderId="19" xfId="0" applyFont="1" applyBorder="1" applyAlignment="1">
      <alignment horizontal="center"/>
    </xf>
    <xf numFmtId="172" fontId="18" fillId="0" borderId="19" xfId="0" applyNumberFormat="1" applyFont="1" applyBorder="1" applyAlignment="1">
      <alignment horizontal="center"/>
    </xf>
    <xf numFmtId="0" fontId="18" fillId="0" borderId="0" xfId="0" applyFont="1" applyAlignment="1">
      <alignment horizontal="center" vertical="center"/>
    </xf>
    <xf numFmtId="167" fontId="18" fillId="0" borderId="0" xfId="1" applyFont="1" applyAlignment="1" applyProtection="1">
      <alignment vertical="center"/>
    </xf>
    <xf numFmtId="0" fontId="21" fillId="0" borderId="0" xfId="0" applyFont="1" applyAlignment="1">
      <alignment vertical="center"/>
    </xf>
    <xf numFmtId="172" fontId="35" fillId="0" borderId="0" xfId="1" applyNumberFormat="1" applyFont="1" applyAlignment="1" applyProtection="1">
      <alignment vertical="center"/>
    </xf>
    <xf numFmtId="167" fontId="35" fillId="0" borderId="0" xfId="1" applyFont="1" applyAlignment="1" applyProtection="1">
      <alignment vertical="center"/>
    </xf>
    <xf numFmtId="0" fontId="20" fillId="0" borderId="0" xfId="0" applyFont="1" applyAlignment="1">
      <alignment vertical="center"/>
    </xf>
    <xf numFmtId="0" fontId="7" fillId="0" borderId="0" xfId="0" applyFont="1" applyAlignment="1">
      <alignment vertical="center"/>
    </xf>
    <xf numFmtId="0" fontId="13" fillId="0" borderId="0" xfId="0" applyFont="1"/>
    <xf numFmtId="0" fontId="15" fillId="0" borderId="0" xfId="0" applyFont="1" applyAlignment="1">
      <alignment vertical="center"/>
    </xf>
    <xf numFmtId="0" fontId="9" fillId="5" borderId="0" xfId="0" applyFont="1" applyFill="1" applyAlignment="1">
      <alignment vertical="center"/>
    </xf>
    <xf numFmtId="0" fontId="31" fillId="0" borderId="0" xfId="0" applyFont="1" applyAlignment="1">
      <alignment vertical="center"/>
    </xf>
    <xf numFmtId="0" fontId="0" fillId="0" borderId="0" xfId="0" applyAlignment="1">
      <alignment horizontal="center"/>
    </xf>
    <xf numFmtId="167" fontId="0" fillId="0" borderId="0" xfId="1" applyFont="1" applyProtection="1"/>
    <xf numFmtId="0" fontId="48" fillId="0" borderId="0" xfId="0" applyFont="1"/>
    <xf numFmtId="0" fontId="26" fillId="0" borderId="0" xfId="0" applyFont="1" applyAlignment="1">
      <alignment horizontal="center"/>
    </xf>
    <xf numFmtId="0" fontId="26" fillId="0" borderId="0" xfId="0" applyFont="1" applyAlignment="1">
      <alignment vertical="center"/>
    </xf>
    <xf numFmtId="0" fontId="26" fillId="0" borderId="0" xfId="0" applyFont="1" applyAlignment="1">
      <alignment horizontal="center" vertical="center"/>
    </xf>
    <xf numFmtId="0" fontId="49" fillId="0" borderId="0" xfId="0" applyFont="1"/>
    <xf numFmtId="0" fontId="28" fillId="0" borderId="0" xfId="0" applyFont="1" applyAlignment="1">
      <alignment horizontal="center" vertical="center"/>
    </xf>
    <xf numFmtId="0" fontId="23" fillId="0" borderId="0" xfId="0" applyFont="1"/>
    <xf numFmtId="0" fontId="29" fillId="0" borderId="0" xfId="0" applyFont="1"/>
    <xf numFmtId="0" fontId="23" fillId="0" borderId="0" xfId="0" applyFont="1" applyAlignment="1">
      <alignment vertical="center"/>
    </xf>
    <xf numFmtId="0" fontId="23" fillId="0" borderId="0" xfId="0" applyFont="1" applyAlignment="1">
      <alignment horizontal="center" vertical="center"/>
    </xf>
    <xf numFmtId="167" fontId="23" fillId="0" borderId="0" xfId="1" applyFont="1" applyAlignment="1" applyProtection="1">
      <alignment vertical="center"/>
    </xf>
    <xf numFmtId="0" fontId="17" fillId="0" borderId="0" xfId="0" applyFont="1" applyAlignment="1">
      <alignment vertical="center"/>
    </xf>
    <xf numFmtId="167" fontId="29" fillId="0" borderId="0" xfId="1" applyFont="1" applyAlignment="1" applyProtection="1">
      <alignment vertical="center"/>
    </xf>
    <xf numFmtId="0" fontId="8" fillId="0" borderId="0" xfId="0" applyFont="1" applyAlignment="1">
      <alignment vertical="center"/>
    </xf>
    <xf numFmtId="0" fontId="8" fillId="0" borderId="0" xfId="0" applyFont="1"/>
    <xf numFmtId="0" fontId="11" fillId="0" borderId="0" xfId="0" applyFont="1" applyAlignment="1">
      <alignment vertical="center"/>
    </xf>
    <xf numFmtId="0" fontId="11" fillId="0" borderId="0" xfId="0" applyFont="1"/>
    <xf numFmtId="0" fontId="50" fillId="0" borderId="0" xfId="0" applyFont="1"/>
    <xf numFmtId="0" fontId="23" fillId="0" borderId="0" xfId="0" applyFont="1" applyAlignment="1">
      <alignment horizontal="left" vertical="center"/>
    </xf>
    <xf numFmtId="0" fontId="8" fillId="0" borderId="0" xfId="0" applyFont="1" applyAlignment="1">
      <alignment horizontal="center" vertical="center"/>
    </xf>
    <xf numFmtId="180" fontId="8" fillId="0" borderId="0" xfId="0" applyNumberFormat="1" applyFont="1" applyAlignment="1">
      <alignment vertical="center"/>
    </xf>
    <xf numFmtId="0" fontId="21" fillId="5" borderId="0" xfId="0" applyFont="1" applyFill="1" applyAlignment="1">
      <alignment vertical="center"/>
    </xf>
    <xf numFmtId="0" fontId="21" fillId="0" borderId="0" xfId="0" applyFont="1" applyAlignment="1">
      <alignment horizontal="center" vertical="center"/>
    </xf>
    <xf numFmtId="0" fontId="23" fillId="0" borderId="0" xfId="3" applyFont="1" applyAlignment="1">
      <alignment vertical="center"/>
    </xf>
    <xf numFmtId="0" fontId="9" fillId="5" borderId="0" xfId="0" applyFont="1" applyFill="1" applyAlignment="1">
      <alignment horizontal="left" vertical="center"/>
    </xf>
    <xf numFmtId="180" fontId="8" fillId="0" borderId="0" xfId="0" applyNumberFormat="1" applyFont="1"/>
    <xf numFmtId="0" fontId="13" fillId="0" borderId="0" xfId="0" applyFont="1" applyAlignment="1">
      <alignment horizontal="center"/>
    </xf>
    <xf numFmtId="0" fontId="9" fillId="5" borderId="80" xfId="0" applyFont="1" applyFill="1" applyBorder="1" applyAlignment="1">
      <alignment horizontal="center" vertical="center"/>
    </xf>
    <xf numFmtId="169" fontId="15" fillId="0" borderId="0" xfId="0" applyNumberFormat="1" applyFont="1"/>
    <xf numFmtId="0" fontId="9" fillId="5" borderId="80" xfId="0" applyFont="1" applyFill="1" applyBorder="1"/>
    <xf numFmtId="0" fontId="9" fillId="5" borderId="0" xfId="0" applyFont="1" applyFill="1" applyAlignment="1">
      <alignment horizontal="center" vertical="center"/>
    </xf>
    <xf numFmtId="169" fontId="15" fillId="0" borderId="0" xfId="0" applyNumberFormat="1" applyFont="1" applyAlignment="1">
      <alignment vertical="center"/>
    </xf>
    <xf numFmtId="0" fontId="33" fillId="0" borderId="0" xfId="0" applyFont="1" applyAlignment="1">
      <alignment vertical="center"/>
    </xf>
    <xf numFmtId="0" fontId="33" fillId="0" borderId="0" xfId="0" applyFont="1" applyAlignment="1">
      <alignment horizontal="center" vertical="center"/>
    </xf>
    <xf numFmtId="0" fontId="34" fillId="0" borderId="0" xfId="0" applyFont="1" applyAlignment="1">
      <alignment vertical="center"/>
    </xf>
    <xf numFmtId="0" fontId="34" fillId="0" borderId="0" xfId="0" applyFont="1" applyAlignment="1">
      <alignment horizontal="center" vertical="center"/>
    </xf>
    <xf numFmtId="0" fontId="9" fillId="5" borderId="3" xfId="0" applyFont="1" applyFill="1" applyBorder="1" applyAlignment="1">
      <alignment horizontal="left" vertical="center"/>
    </xf>
    <xf numFmtId="0" fontId="15" fillId="0" borderId="0" xfId="0" applyFont="1" applyAlignment="1">
      <alignment horizontal="center" vertical="center"/>
    </xf>
    <xf numFmtId="0" fontId="15" fillId="0" borderId="9" xfId="0" applyFont="1" applyBorder="1" applyAlignment="1">
      <alignment vertical="center"/>
    </xf>
    <xf numFmtId="0" fontId="21" fillId="5" borderId="6" xfId="0" applyFont="1" applyFill="1" applyBorder="1" applyAlignment="1">
      <alignment horizontal="left" vertical="center"/>
    </xf>
    <xf numFmtId="9" fontId="18" fillId="0" borderId="5" xfId="2" applyFont="1" applyBorder="1" applyAlignment="1" applyProtection="1">
      <alignment horizontal="center" vertical="center"/>
    </xf>
    <xf numFmtId="9" fontId="32" fillId="0" borderId="5" xfId="2" applyFont="1" applyBorder="1" applyAlignment="1" applyProtection="1">
      <alignment horizontal="center" vertical="center"/>
    </xf>
    <xf numFmtId="0" fontId="18" fillId="0" borderId="0" xfId="0" applyFont="1" applyAlignment="1">
      <alignment horizontal="left" vertical="center"/>
    </xf>
    <xf numFmtId="0" fontId="21" fillId="5" borderId="6" xfId="0" applyFont="1" applyFill="1" applyBorder="1" applyAlignment="1">
      <alignment vertical="center"/>
    </xf>
    <xf numFmtId="0" fontId="21" fillId="5" borderId="59" xfId="0" applyFont="1" applyFill="1" applyBorder="1" applyAlignment="1">
      <alignment vertical="center"/>
    </xf>
    <xf numFmtId="0" fontId="21" fillId="5" borderId="59" xfId="0" applyFont="1" applyFill="1" applyBorder="1" applyAlignment="1">
      <alignment horizontal="left" vertical="center"/>
    </xf>
    <xf numFmtId="0" fontId="18" fillId="0" borderId="59" xfId="0" applyFont="1" applyBorder="1" applyAlignment="1">
      <alignment horizontal="left" vertical="center"/>
    </xf>
    <xf numFmtId="0" fontId="15" fillId="0" borderId="10" xfId="0" applyFont="1" applyBorder="1" applyAlignment="1">
      <alignment vertical="center"/>
    </xf>
    <xf numFmtId="9" fontId="15" fillId="0" borderId="7" xfId="0" applyNumberFormat="1" applyFont="1" applyBorder="1" applyAlignment="1">
      <alignment horizontal="center" vertical="center"/>
    </xf>
    <xf numFmtId="0" fontId="15" fillId="0" borderId="5" xfId="0" applyFont="1" applyBorder="1" applyAlignment="1">
      <alignment vertical="center"/>
    </xf>
    <xf numFmtId="0" fontId="31" fillId="0" borderId="0" xfId="0" applyFont="1" applyAlignment="1">
      <alignment horizontal="center" vertical="center"/>
    </xf>
    <xf numFmtId="0" fontId="40" fillId="0" borderId="0" xfId="0" applyFont="1" applyAlignment="1">
      <alignment vertical="center"/>
    </xf>
    <xf numFmtId="167" fontId="31" fillId="0" borderId="0" xfId="1" applyFont="1" applyProtection="1"/>
    <xf numFmtId="175" fontId="5" fillId="0" borderId="0" xfId="0" applyNumberFormat="1" applyFont="1"/>
    <xf numFmtId="167" fontId="3" fillId="0" borderId="0" xfId="1" applyFont="1" applyProtection="1"/>
    <xf numFmtId="0" fontId="9" fillId="5" borderId="80" xfId="0" applyFont="1" applyFill="1" applyBorder="1" applyAlignment="1">
      <alignment vertical="center"/>
    </xf>
    <xf numFmtId="0" fontId="38" fillId="0" borderId="0" xfId="0" applyFont="1" applyAlignment="1">
      <alignment vertical="center"/>
    </xf>
    <xf numFmtId="0" fontId="8" fillId="0" borderId="0" xfId="0" applyFont="1" applyAlignment="1">
      <alignment horizontal="center"/>
    </xf>
    <xf numFmtId="0" fontId="15" fillId="5" borderId="0" xfId="0" applyFont="1" applyFill="1" applyAlignment="1">
      <alignment vertical="center"/>
    </xf>
    <xf numFmtId="180" fontId="15" fillId="0" borderId="0" xfId="0" applyNumberFormat="1" applyFont="1" applyAlignment="1">
      <alignment vertical="center"/>
    </xf>
    <xf numFmtId="0" fontId="9" fillId="5" borderId="81" xfId="0" applyFont="1" applyFill="1" applyBorder="1" applyAlignment="1">
      <alignment vertical="center"/>
    </xf>
    <xf numFmtId="0" fontId="46" fillId="0" borderId="0" xfId="3" applyFont="1" applyAlignment="1">
      <alignment vertical="center"/>
    </xf>
    <xf numFmtId="167" fontId="15" fillId="0" borderId="0" xfId="1" applyFont="1" applyBorder="1" applyAlignment="1" applyProtection="1">
      <alignment vertical="center"/>
    </xf>
    <xf numFmtId="172" fontId="12" fillId="0" borderId="16" xfId="1" applyNumberFormat="1" applyFont="1" applyBorder="1" applyAlignment="1" applyProtection="1">
      <alignment horizontal="center" vertical="center"/>
    </xf>
    <xf numFmtId="180" fontId="44" fillId="0" borderId="0" xfId="0" applyNumberFormat="1" applyFont="1"/>
    <xf numFmtId="0" fontId="32" fillId="0" borderId="0" xfId="0" applyFont="1" applyAlignment="1">
      <alignment vertical="center"/>
    </xf>
    <xf numFmtId="0" fontId="7" fillId="0" borderId="0" xfId="0" applyFont="1" applyAlignment="1">
      <alignment horizontal="center" vertical="center"/>
    </xf>
    <xf numFmtId="173" fontId="18" fillId="0" borderId="0" xfId="2" applyNumberFormat="1" applyFont="1" applyBorder="1" applyAlignment="1" applyProtection="1">
      <alignment horizontal="center" vertical="center"/>
    </xf>
    <xf numFmtId="176" fontId="18" fillId="7" borderId="0" xfId="3" applyNumberFormat="1" applyFont="1" applyFill="1" applyAlignment="1">
      <alignment horizontal="center" vertical="center"/>
    </xf>
    <xf numFmtId="0" fontId="42" fillId="0" borderId="0" xfId="0" applyFont="1" applyAlignment="1">
      <alignment vertical="center"/>
    </xf>
    <xf numFmtId="0" fontId="9" fillId="0" borderId="0" xfId="0" applyFont="1" applyAlignment="1">
      <alignment vertical="center"/>
    </xf>
    <xf numFmtId="0" fontId="15" fillId="0" borderId="2" xfId="0" applyFont="1" applyBorder="1" applyAlignment="1">
      <alignment vertical="center"/>
    </xf>
    <xf numFmtId="43" fontId="15" fillId="0" borderId="0" xfId="0" applyNumberFormat="1" applyFont="1" applyAlignment="1">
      <alignment vertical="center"/>
    </xf>
    <xf numFmtId="0" fontId="15" fillId="0" borderId="0" xfId="0" applyFont="1" applyAlignment="1">
      <alignment horizontal="left" vertical="center"/>
    </xf>
    <xf numFmtId="0" fontId="9" fillId="0" borderId="0" xfId="0" applyFont="1" applyAlignment="1">
      <alignment horizontal="center" vertical="center"/>
    </xf>
    <xf numFmtId="17" fontId="18" fillId="0" borderId="0" xfId="0" applyNumberFormat="1" applyFont="1" applyAlignment="1">
      <alignment vertical="center"/>
    </xf>
    <xf numFmtId="43" fontId="21" fillId="0" borderId="0" xfId="0" applyNumberFormat="1" applyFont="1" applyAlignment="1">
      <alignment vertical="center"/>
    </xf>
    <xf numFmtId="0" fontId="32" fillId="0" borderId="0" xfId="0" applyFont="1" applyAlignment="1">
      <alignment horizontal="center" vertical="center"/>
    </xf>
    <xf numFmtId="17" fontId="18" fillId="0" borderId="0" xfId="0" applyNumberFormat="1" applyFont="1"/>
    <xf numFmtId="43" fontId="21" fillId="0" borderId="0" xfId="0" applyNumberFormat="1" applyFont="1"/>
    <xf numFmtId="0" fontId="21" fillId="0" borderId="0" xfId="0" applyFont="1"/>
    <xf numFmtId="0" fontId="21" fillId="0" borderId="0" xfId="0" applyFont="1" applyAlignment="1">
      <alignment horizontal="center"/>
    </xf>
    <xf numFmtId="0" fontId="52" fillId="0" borderId="30" xfId="0" applyFont="1" applyBorder="1" applyProtection="1">
      <protection locked="0"/>
    </xf>
    <xf numFmtId="0" fontId="52" fillId="0" borderId="0" xfId="0" applyFont="1" applyAlignment="1" applyProtection="1">
      <alignment horizontal="right"/>
      <protection locked="0"/>
    </xf>
    <xf numFmtId="0" fontId="52" fillId="0" borderId="0" xfId="0" applyFont="1" applyProtection="1">
      <protection locked="0"/>
    </xf>
    <xf numFmtId="0" fontId="33" fillId="0" borderId="0" xfId="0" applyFont="1" applyAlignment="1" applyProtection="1">
      <alignment vertical="center"/>
      <protection locked="0"/>
    </xf>
    <xf numFmtId="0" fontId="41" fillId="0" borderId="0" xfId="0" applyFont="1" applyAlignment="1" applyProtection="1">
      <alignment horizontal="center" vertical="center"/>
      <protection locked="0"/>
    </xf>
    <xf numFmtId="0" fontId="42" fillId="0" borderId="0" xfId="0" applyFont="1" applyAlignment="1" applyProtection="1">
      <alignment vertical="center"/>
      <protection locked="0"/>
    </xf>
    <xf numFmtId="167" fontId="42" fillId="0" borderId="0" xfId="1" applyFont="1" applyProtection="1">
      <protection locked="0"/>
    </xf>
    <xf numFmtId="0" fontId="37" fillId="0" borderId="0" xfId="0" applyFont="1" applyProtection="1">
      <protection locked="0"/>
    </xf>
    <xf numFmtId="167" fontId="43" fillId="0" borderId="0" xfId="1" applyFont="1" applyProtection="1">
      <protection locked="0"/>
    </xf>
    <xf numFmtId="0" fontId="21" fillId="5" borderId="3" xfId="0" applyFont="1" applyFill="1" applyBorder="1" applyAlignment="1" applyProtection="1">
      <alignment horizontal="left" vertical="center"/>
      <protection locked="0"/>
    </xf>
    <xf numFmtId="0" fontId="21" fillId="5" borderId="3" xfId="0" applyFont="1" applyFill="1" applyBorder="1" applyAlignment="1" applyProtection="1">
      <alignment vertical="center"/>
      <protection locked="0"/>
    </xf>
    <xf numFmtId="0" fontId="21" fillId="5" borderId="6" xfId="0" applyFont="1" applyFill="1" applyBorder="1" applyAlignment="1" applyProtection="1">
      <alignment horizontal="left" vertical="center"/>
      <protection locked="0"/>
    </xf>
    <xf numFmtId="0" fontId="21" fillId="5" borderId="6" xfId="0" applyFont="1" applyFill="1" applyBorder="1" applyAlignment="1" applyProtection="1">
      <alignment vertical="center"/>
      <protection locked="0"/>
    </xf>
    <xf numFmtId="0" fontId="21" fillId="5" borderId="0" xfId="0" applyFont="1" applyFill="1" applyAlignment="1" applyProtection="1">
      <alignment horizontal="left" vertical="center"/>
      <protection locked="0"/>
    </xf>
    <xf numFmtId="0" fontId="21" fillId="5" borderId="0" xfId="0" applyFont="1" applyFill="1" applyAlignment="1" applyProtection="1">
      <alignment vertical="center"/>
      <protection locked="0"/>
    </xf>
    <xf numFmtId="167" fontId="31" fillId="0" borderId="0" xfId="1" applyFont="1" applyProtection="1">
      <protection locked="0"/>
    </xf>
    <xf numFmtId="0" fontId="15" fillId="0" borderId="0" xfId="0" applyFont="1" applyProtection="1">
      <protection locked="0"/>
    </xf>
    <xf numFmtId="0" fontId="9" fillId="5" borderId="7" xfId="0" applyFont="1" applyFill="1" applyBorder="1" applyAlignment="1" applyProtection="1">
      <alignment vertical="center"/>
      <protection locked="0"/>
    </xf>
    <xf numFmtId="0" fontId="9" fillId="5" borderId="8" xfId="0" applyFont="1" applyFill="1" applyBorder="1" applyAlignment="1" applyProtection="1">
      <alignment vertical="center"/>
      <protection locked="0"/>
    </xf>
    <xf numFmtId="180" fontId="31" fillId="0" borderId="0" xfId="0" applyNumberFormat="1" applyFont="1" applyProtection="1">
      <protection locked="0"/>
    </xf>
    <xf numFmtId="0" fontId="42" fillId="0" borderId="0" xfId="0" applyFont="1" applyAlignment="1">
      <alignment horizontal="center" vertical="center"/>
    </xf>
    <xf numFmtId="0" fontId="9" fillId="5" borderId="1" xfId="0" applyFont="1" applyFill="1" applyBorder="1" applyAlignment="1">
      <alignment horizontal="center" vertical="center"/>
    </xf>
    <xf numFmtId="0" fontId="9" fillId="5" borderId="78" xfId="0" applyFont="1" applyFill="1" applyBorder="1" applyAlignment="1">
      <alignment horizontal="left" vertical="center"/>
    </xf>
    <xf numFmtId="171" fontId="18" fillId="0" borderId="21" xfId="0" applyNumberFormat="1" applyFont="1" applyBorder="1" applyAlignment="1">
      <alignment horizontal="left" vertical="center"/>
    </xf>
    <xf numFmtId="0" fontId="21" fillId="5" borderId="78" xfId="0" applyFont="1" applyFill="1" applyBorder="1" applyAlignment="1">
      <alignment horizontal="left" vertical="center"/>
    </xf>
    <xf numFmtId="0" fontId="9" fillId="0" borderId="0" xfId="0" applyFont="1" applyAlignment="1">
      <alignment horizontal="center"/>
    </xf>
    <xf numFmtId="180" fontId="9" fillId="0" borderId="0" xfId="0" applyNumberFormat="1" applyFont="1" applyAlignment="1">
      <alignment horizontal="center"/>
    </xf>
    <xf numFmtId="0" fontId="9" fillId="0" borderId="0" xfId="0" applyFont="1"/>
    <xf numFmtId="168" fontId="9" fillId="0" borderId="0" xfId="1" applyNumberFormat="1" applyFont="1" applyAlignment="1" applyProtection="1">
      <alignment horizontal="center"/>
    </xf>
    <xf numFmtId="9" fontId="9" fillId="0" borderId="0" xfId="0" applyNumberFormat="1" applyFont="1"/>
    <xf numFmtId="169" fontId="21" fillId="0" borderId="0" xfId="0" applyNumberFormat="1" applyFont="1"/>
    <xf numFmtId="0" fontId="13" fillId="4" borderId="0" xfId="0" applyFont="1" applyFill="1"/>
    <xf numFmtId="170" fontId="13" fillId="0" borderId="0" xfId="0" applyNumberFormat="1" applyFont="1" applyAlignment="1">
      <alignment horizontal="center"/>
    </xf>
    <xf numFmtId="10" fontId="13" fillId="0" borderId="0" xfId="0" applyNumberFormat="1" applyFont="1" applyAlignment="1">
      <alignment horizontal="center"/>
    </xf>
    <xf numFmtId="49" fontId="13" fillId="0" borderId="0" xfId="0" applyNumberFormat="1" applyFont="1" applyAlignment="1">
      <alignment horizontal="center"/>
    </xf>
    <xf numFmtId="0" fontId="15" fillId="0" borderId="19" xfId="0" applyFont="1" applyBorder="1" applyAlignment="1">
      <alignment horizontal="center" vertical="center"/>
    </xf>
    <xf numFmtId="0" fontId="15" fillId="0" borderId="19" xfId="0" applyFont="1" applyBorder="1" applyAlignment="1">
      <alignment horizontal="center"/>
    </xf>
    <xf numFmtId="43" fontId="15" fillId="0" borderId="19" xfId="0" applyNumberFormat="1" applyFont="1" applyBorder="1"/>
    <xf numFmtId="0" fontId="21" fillId="5" borderId="3" xfId="0" applyFont="1" applyFill="1" applyBorder="1" applyAlignment="1">
      <alignment horizontal="left" vertical="center"/>
    </xf>
    <xf numFmtId="0" fontId="9" fillId="5" borderId="3" xfId="0" applyFont="1" applyFill="1" applyBorder="1" applyAlignment="1">
      <alignment vertical="center"/>
    </xf>
    <xf numFmtId="0" fontId="9" fillId="5" borderId="6" xfId="0" applyFont="1" applyFill="1" applyBorder="1" applyAlignment="1">
      <alignment vertical="center"/>
    </xf>
    <xf numFmtId="0" fontId="21" fillId="5" borderId="3" xfId="0" applyFont="1" applyFill="1" applyBorder="1" applyAlignment="1">
      <alignment vertical="center"/>
    </xf>
    <xf numFmtId="0" fontId="15" fillId="0" borderId="0" xfId="1" applyNumberFormat="1" applyFont="1" applyAlignment="1" applyProtection="1">
      <alignment vertical="center"/>
    </xf>
    <xf numFmtId="0" fontId="15" fillId="0" borderId="0" xfId="1" applyNumberFormat="1" applyFont="1" applyBorder="1" applyAlignment="1" applyProtection="1">
      <alignment vertical="center"/>
    </xf>
    <xf numFmtId="0" fontId="15" fillId="0" borderId="0" xfId="1" applyNumberFormat="1" applyFont="1" applyBorder="1" applyAlignment="1" applyProtection="1">
      <alignment horizontal="right" vertical="center"/>
    </xf>
    <xf numFmtId="0" fontId="15" fillId="0" borderId="3" xfId="0" applyFont="1" applyBorder="1" applyAlignment="1">
      <alignment horizontal="center" vertical="center"/>
    </xf>
    <xf numFmtId="0" fontId="15" fillId="0" borderId="7" xfId="0" applyFont="1" applyBorder="1" applyAlignment="1">
      <alignment horizontal="center" vertical="center"/>
    </xf>
    <xf numFmtId="9" fontId="15" fillId="0" borderId="7" xfId="2" applyFont="1" applyBorder="1" applyAlignment="1" applyProtection="1">
      <alignment horizontal="center" vertical="center"/>
    </xf>
    <xf numFmtId="171" fontId="15" fillId="0" borderId="0" xfId="0" applyNumberFormat="1" applyFont="1" applyAlignment="1">
      <alignment horizontal="left" vertical="center"/>
    </xf>
    <xf numFmtId="171" fontId="15" fillId="0" borderId="0" xfId="1" applyNumberFormat="1" applyFont="1" applyAlignment="1" applyProtection="1">
      <alignment vertical="center"/>
    </xf>
    <xf numFmtId="171" fontId="15" fillId="0" borderId="0" xfId="1" applyNumberFormat="1" applyFont="1" applyBorder="1" applyAlignment="1" applyProtection="1">
      <alignment vertical="center"/>
    </xf>
    <xf numFmtId="0" fontId="21" fillId="5" borderId="0" xfId="0" applyFont="1" applyFill="1" applyAlignment="1">
      <alignment horizontal="left" vertical="center"/>
    </xf>
    <xf numFmtId="0" fontId="15" fillId="0" borderId="5" xfId="0" applyFont="1" applyBorder="1" applyAlignment="1">
      <alignment horizontal="center" vertical="center"/>
    </xf>
    <xf numFmtId="171" fontId="15" fillId="0" borderId="0" xfId="0" applyNumberFormat="1" applyFont="1" applyAlignment="1">
      <alignment vertical="center"/>
    </xf>
    <xf numFmtId="173" fontId="15" fillId="0" borderId="5" xfId="2" applyNumberFormat="1" applyFont="1" applyBorder="1" applyAlignment="1" applyProtection="1">
      <alignment horizontal="center" vertical="center"/>
    </xf>
    <xf numFmtId="3" fontId="32" fillId="0" borderId="5" xfId="1" applyNumberFormat="1" applyFont="1" applyBorder="1" applyAlignment="1" applyProtection="1">
      <alignment horizontal="center" vertical="center"/>
    </xf>
    <xf numFmtId="17" fontId="15" fillId="0" borderId="0" xfId="0" applyNumberFormat="1" applyFont="1" applyAlignment="1">
      <alignment horizontal="center" vertical="center"/>
    </xf>
    <xf numFmtId="167" fontId="15" fillId="0" borderId="0" xfId="1" applyFont="1" applyAlignment="1" applyProtection="1">
      <alignment vertical="center"/>
    </xf>
    <xf numFmtId="0" fontId="21" fillId="0" borderId="0" xfId="0" applyFont="1" applyAlignment="1">
      <alignment horizontal="left" vertical="center"/>
    </xf>
    <xf numFmtId="0" fontId="18" fillId="0" borderId="1" xfId="0" applyFont="1" applyBorder="1" applyAlignment="1">
      <alignment horizontal="center" vertical="center"/>
    </xf>
    <xf numFmtId="173" fontId="18" fillId="0" borderId="1" xfId="2" applyNumberFormat="1" applyFont="1" applyBorder="1" applyAlignment="1" applyProtection="1">
      <alignment horizontal="center" vertical="center"/>
    </xf>
    <xf numFmtId="176" fontId="18" fillId="7" borderId="1" xfId="3" applyNumberFormat="1" applyFont="1" applyFill="1" applyBorder="1" applyAlignment="1">
      <alignment horizontal="center" vertical="center"/>
    </xf>
    <xf numFmtId="0" fontId="18" fillId="0" borderId="0" xfId="3" applyFont="1" applyAlignment="1">
      <alignment vertical="center"/>
    </xf>
    <xf numFmtId="0" fontId="60" fillId="0" borderId="0" xfId="0" applyFont="1" applyAlignment="1">
      <alignment vertical="center"/>
    </xf>
    <xf numFmtId="172" fontId="15" fillId="9" borderId="1" xfId="0" applyNumberFormat="1" applyFont="1" applyFill="1" applyBorder="1" applyAlignment="1">
      <alignment horizontal="center" vertical="center"/>
    </xf>
    <xf numFmtId="172" fontId="15" fillId="0" borderId="0" xfId="0" applyNumberFormat="1" applyFont="1" applyAlignment="1">
      <alignment horizontal="center" vertical="center"/>
    </xf>
    <xf numFmtId="180" fontId="61" fillId="0" borderId="0" xfId="0" applyNumberFormat="1" applyFont="1" applyAlignment="1">
      <alignment vertical="center"/>
    </xf>
    <xf numFmtId="167" fontId="21" fillId="0" borderId="0" xfId="1" applyFont="1" applyAlignment="1" applyProtection="1">
      <alignment horizontal="center"/>
    </xf>
    <xf numFmtId="167" fontId="18" fillId="0" borderId="0" xfId="1" applyFont="1" applyProtection="1"/>
    <xf numFmtId="178" fontId="62" fillId="0" borderId="0" xfId="3" applyNumberFormat="1" applyFont="1" applyAlignment="1">
      <alignment vertical="top" wrapText="1"/>
    </xf>
    <xf numFmtId="43" fontId="18" fillId="0" borderId="16" xfId="4" applyFont="1" applyBorder="1" applyProtection="1"/>
    <xf numFmtId="178" fontId="18" fillId="0" borderId="13" xfId="0" applyNumberFormat="1" applyFont="1" applyBorder="1" applyAlignment="1">
      <alignment vertical="top" wrapText="1"/>
    </xf>
    <xf numFmtId="178" fontId="18" fillId="0" borderId="0" xfId="0" applyNumberFormat="1" applyFont="1" applyAlignment="1">
      <alignment vertical="top" wrapText="1"/>
    </xf>
    <xf numFmtId="172" fontId="13" fillId="0" borderId="0" xfId="1" applyNumberFormat="1" applyFont="1" applyProtection="1"/>
    <xf numFmtId="172" fontId="21" fillId="0" borderId="16" xfId="1" applyNumberFormat="1" applyFont="1" applyBorder="1" applyAlignment="1" applyProtection="1">
      <alignment horizontal="center" vertical="center"/>
    </xf>
    <xf numFmtId="172" fontId="15" fillId="9" borderId="1" xfId="1" applyNumberFormat="1" applyFont="1" applyFill="1" applyBorder="1" applyAlignment="1" applyProtection="1">
      <alignment horizontal="center" vertical="center"/>
    </xf>
    <xf numFmtId="172" fontId="15" fillId="0" borderId="0" xfId="0" applyNumberFormat="1" applyFont="1" applyAlignment="1">
      <alignment vertical="center"/>
    </xf>
    <xf numFmtId="173" fontId="32" fillId="0" borderId="74" xfId="0" applyNumberFormat="1" applyFont="1" applyBorder="1" applyAlignment="1">
      <alignment horizontal="center" vertical="center"/>
    </xf>
    <xf numFmtId="0" fontId="18" fillId="0" borderId="60" xfId="0" applyFont="1" applyBorder="1" applyAlignment="1">
      <alignment vertical="center"/>
    </xf>
    <xf numFmtId="171" fontId="32" fillId="0" borderId="76" xfId="0" applyNumberFormat="1" applyFont="1" applyBorder="1" applyAlignment="1">
      <alignment horizontal="left" vertical="center"/>
    </xf>
    <xf numFmtId="173" fontId="32" fillId="0" borderId="77" xfId="0" applyNumberFormat="1" applyFont="1" applyBorder="1" applyAlignment="1">
      <alignment horizontal="center" vertical="center"/>
    </xf>
    <xf numFmtId="180" fontId="21" fillId="0" borderId="0" xfId="0" applyNumberFormat="1" applyFont="1"/>
    <xf numFmtId="0" fontId="9" fillId="5" borderId="35" xfId="0" applyFont="1" applyFill="1" applyBorder="1" applyAlignment="1">
      <alignment vertical="center"/>
    </xf>
    <xf numFmtId="173" fontId="15" fillId="0" borderId="5" xfId="0" applyNumberFormat="1" applyFont="1" applyBorder="1" applyAlignment="1">
      <alignment horizontal="center" vertical="center"/>
    </xf>
    <xf numFmtId="0" fontId="15" fillId="0" borderId="8" xfId="0" applyFont="1" applyBorder="1" applyAlignment="1">
      <alignment vertical="center"/>
    </xf>
    <xf numFmtId="0" fontId="15" fillId="0" borderId="41" xfId="0" applyFont="1" applyBorder="1" applyAlignment="1">
      <alignment horizontal="center" vertical="center"/>
    </xf>
    <xf numFmtId="173" fontId="15" fillId="0" borderId="7" xfId="0" applyNumberFormat="1" applyFont="1" applyBorder="1" applyAlignment="1">
      <alignment horizontal="center" vertical="center"/>
    </xf>
    <xf numFmtId="172" fontId="15" fillId="0" borderId="0" xfId="1" applyNumberFormat="1" applyFont="1" applyFill="1" applyBorder="1" applyAlignment="1" applyProtection="1">
      <alignment horizontal="center" vertical="center"/>
    </xf>
    <xf numFmtId="172" fontId="18" fillId="0" borderId="1" xfId="0" applyNumberFormat="1" applyFont="1" applyBorder="1" applyAlignment="1" applyProtection="1">
      <alignment horizontal="center" vertical="center"/>
      <protection locked="0"/>
    </xf>
    <xf numFmtId="0" fontId="38" fillId="0" borderId="0" xfId="0" applyFont="1"/>
    <xf numFmtId="167" fontId="5" fillId="0" borderId="0" xfId="1" applyFont="1" applyProtection="1"/>
    <xf numFmtId="0" fontId="63" fillId="0" borderId="0" xfId="0" applyFont="1"/>
    <xf numFmtId="0" fontId="21" fillId="5" borderId="12" xfId="0" applyFont="1" applyFill="1" applyBorder="1" applyAlignment="1">
      <alignment vertical="center"/>
    </xf>
    <xf numFmtId="0" fontId="21" fillId="5" borderId="73" xfId="0" applyFont="1" applyFill="1" applyBorder="1" applyAlignment="1">
      <alignment vertical="center"/>
    </xf>
    <xf numFmtId="10" fontId="15" fillId="0" borderId="5" xfId="2" applyNumberFormat="1" applyFont="1" applyBorder="1" applyAlignment="1" applyProtection="1">
      <alignment horizontal="center" vertical="center"/>
    </xf>
    <xf numFmtId="0" fontId="47" fillId="0" borderId="0" xfId="0" applyFont="1" applyAlignment="1">
      <alignment horizontal="center" vertical="center"/>
    </xf>
    <xf numFmtId="173" fontId="18" fillId="0" borderId="5" xfId="0" applyNumberFormat="1" applyFont="1" applyBorder="1" applyAlignment="1">
      <alignment horizontal="center" vertical="center"/>
    </xf>
    <xf numFmtId="183" fontId="18" fillId="0" borderId="0" xfId="0" applyNumberFormat="1" applyFont="1"/>
    <xf numFmtId="0" fontId="41" fillId="0" borderId="0" xfId="0" applyFont="1" applyAlignment="1">
      <alignment horizontal="center" vertical="center"/>
    </xf>
    <xf numFmtId="167" fontId="42" fillId="0" borderId="0" xfId="1" applyFont="1" applyProtection="1"/>
    <xf numFmtId="0" fontId="37" fillId="0" borderId="0" xfId="0" applyFont="1"/>
    <xf numFmtId="167" fontId="43" fillId="0" borderId="0" xfId="1" applyFont="1" applyProtection="1"/>
    <xf numFmtId="183" fontId="31" fillId="0" borderId="0" xfId="0" applyNumberFormat="1" applyFont="1"/>
    <xf numFmtId="0" fontId="42" fillId="0" borderId="0" xfId="0" applyFont="1"/>
    <xf numFmtId="170" fontId="31" fillId="0" borderId="0" xfId="0" applyNumberFormat="1" applyFont="1" applyAlignment="1">
      <alignment horizontal="center"/>
    </xf>
    <xf numFmtId="10" fontId="31" fillId="0" borderId="0" xfId="0" applyNumberFormat="1" applyFont="1" applyAlignment="1">
      <alignment horizontal="center"/>
    </xf>
    <xf numFmtId="49" fontId="31" fillId="0" borderId="0" xfId="0" applyNumberFormat="1" applyFont="1" applyAlignment="1">
      <alignment horizontal="center"/>
    </xf>
    <xf numFmtId="0" fontId="6" fillId="5" borderId="0" xfId="0" applyFont="1" applyFill="1" applyAlignment="1">
      <alignment vertical="center"/>
    </xf>
    <xf numFmtId="0" fontId="16" fillId="0" borderId="0" xfId="0" applyFont="1" applyAlignment="1">
      <alignment horizontal="center" vertical="center"/>
    </xf>
    <xf numFmtId="0" fontId="36" fillId="0" borderId="0" xfId="0" applyFont="1"/>
    <xf numFmtId="183" fontId="36" fillId="0" borderId="0" xfId="0" applyNumberFormat="1" applyFont="1"/>
    <xf numFmtId="0" fontId="66" fillId="0" borderId="0" xfId="0" applyFont="1"/>
    <xf numFmtId="0" fontId="16" fillId="0" borderId="0" xfId="0" applyFont="1"/>
    <xf numFmtId="183" fontId="7" fillId="0" borderId="1" xfId="0" applyNumberFormat="1" applyFont="1" applyBorder="1" applyAlignment="1">
      <alignment horizontal="center" vertical="center"/>
    </xf>
    <xf numFmtId="183" fontId="7" fillId="0" borderId="0" xfId="0" applyNumberFormat="1" applyFont="1"/>
    <xf numFmtId="172" fontId="20" fillId="0" borderId="1" xfId="0" applyNumberFormat="1" applyFont="1" applyBorder="1" applyAlignment="1">
      <alignment horizontal="center" vertical="center"/>
    </xf>
    <xf numFmtId="183" fontId="16" fillId="0" borderId="1" xfId="0" applyNumberFormat="1" applyFont="1" applyBorder="1" applyAlignment="1">
      <alignment horizontal="center"/>
    </xf>
    <xf numFmtId="0" fontId="56" fillId="0" borderId="0" xfId="0" applyFont="1"/>
    <xf numFmtId="183" fontId="7" fillId="0" borderId="1" xfId="0" applyNumberFormat="1" applyFont="1" applyBorder="1" applyAlignment="1">
      <alignment horizontal="center"/>
    </xf>
    <xf numFmtId="183" fontId="7" fillId="0" borderId="1" xfId="0" applyNumberFormat="1" applyFont="1" applyBorder="1"/>
    <xf numFmtId="0" fontId="16" fillId="0" borderId="27" xfId="0" applyFont="1" applyBorder="1"/>
    <xf numFmtId="0" fontId="6" fillId="0" borderId="0" xfId="0" applyFont="1" applyAlignment="1">
      <alignment vertical="center"/>
    </xf>
    <xf numFmtId="0" fontId="20" fillId="0" borderId="0" xfId="3" applyFont="1"/>
    <xf numFmtId="0" fontId="46" fillId="0" borderId="0" xfId="3" applyFont="1"/>
    <xf numFmtId="0" fontId="16" fillId="5" borderId="0" xfId="0" applyFont="1" applyFill="1" applyAlignment="1">
      <alignment vertical="center"/>
    </xf>
    <xf numFmtId="172" fontId="18" fillId="0" borderId="1" xfId="0" applyNumberFormat="1" applyFont="1" applyBorder="1" applyAlignment="1">
      <alignment horizontal="center" vertical="center"/>
    </xf>
    <xf numFmtId="0" fontId="30" fillId="0" borderId="0" xfId="0" applyFont="1"/>
    <xf numFmtId="167" fontId="7" fillId="0" borderId="0" xfId="1" applyFont="1" applyProtection="1"/>
    <xf numFmtId="180" fontId="31" fillId="0" borderId="0" xfId="0" applyNumberFormat="1" applyFont="1"/>
    <xf numFmtId="0" fontId="44" fillId="0" borderId="0" xfId="0" applyFont="1" applyAlignment="1" applyProtection="1">
      <alignment horizontal="center" vertical="center"/>
      <protection locked="0"/>
    </xf>
    <xf numFmtId="0" fontId="44" fillId="0" borderId="0" xfId="5" applyNumberFormat="1" applyFont="1" applyBorder="1" applyAlignment="1" applyProtection="1">
      <alignment horizontal="center" vertical="center" wrapText="1"/>
      <protection locked="0"/>
    </xf>
    <xf numFmtId="0" fontId="71" fillId="0" borderId="0" xfId="0" applyFont="1"/>
    <xf numFmtId="0" fontId="72" fillId="0" borderId="0" xfId="0" applyFont="1" applyAlignment="1">
      <alignment horizontal="center"/>
    </xf>
    <xf numFmtId="184" fontId="73" fillId="0" borderId="0" xfId="0" applyNumberFormat="1" applyFont="1"/>
    <xf numFmtId="0" fontId="74" fillId="0" borderId="0" xfId="0" applyFont="1"/>
    <xf numFmtId="184" fontId="73" fillId="0" borderId="0" xfId="0" applyNumberFormat="1" applyFont="1" applyAlignment="1">
      <alignment horizontal="center"/>
    </xf>
    <xf numFmtId="0" fontId="76" fillId="0" borderId="0" xfId="0" applyFont="1" applyAlignment="1">
      <alignment vertical="center"/>
    </xf>
    <xf numFmtId="0" fontId="76" fillId="0" borderId="101" xfId="0" applyFont="1" applyBorder="1"/>
    <xf numFmtId="184" fontId="76" fillId="0" borderId="102" xfId="0" applyNumberFormat="1" applyFont="1" applyBorder="1"/>
    <xf numFmtId="0" fontId="72" fillId="0" borderId="102" xfId="0" applyFont="1" applyBorder="1"/>
    <xf numFmtId="0" fontId="72" fillId="0" borderId="103" xfId="0" applyFont="1" applyBorder="1"/>
    <xf numFmtId="184" fontId="72" fillId="0" borderId="13" xfId="0" applyNumberFormat="1" applyFont="1" applyBorder="1"/>
    <xf numFmtId="9" fontId="72" fillId="0" borderId="13" xfId="0" applyNumberFormat="1" applyFont="1" applyBorder="1" applyAlignment="1">
      <alignment horizontal="center"/>
    </xf>
    <xf numFmtId="0" fontId="72" fillId="0" borderId="13" xfId="0" applyFont="1" applyBorder="1" applyAlignment="1">
      <alignment horizontal="center"/>
    </xf>
    <xf numFmtId="184" fontId="72" fillId="0" borderId="105" xfId="0" applyNumberFormat="1" applyFont="1" applyBorder="1"/>
    <xf numFmtId="0" fontId="72" fillId="0" borderId="104" xfId="0" applyFont="1" applyBorder="1"/>
    <xf numFmtId="0" fontId="76" fillId="0" borderId="13" xfId="0" applyFont="1" applyBorder="1" applyAlignment="1">
      <alignment horizontal="center"/>
    </xf>
    <xf numFmtId="0" fontId="76" fillId="0" borderId="105" xfId="0" applyFont="1" applyBorder="1" applyAlignment="1">
      <alignment horizontal="center"/>
    </xf>
    <xf numFmtId="0" fontId="76" fillId="0" borderId="109" xfId="0" applyFont="1" applyBorder="1"/>
    <xf numFmtId="0" fontId="76" fillId="0" borderId="110" xfId="0" applyFont="1" applyBorder="1" applyAlignment="1">
      <alignment horizontal="center"/>
    </xf>
    <xf numFmtId="9" fontId="76" fillId="0" borderId="110" xfId="0" applyNumberFormat="1" applyFont="1" applyBorder="1" applyAlignment="1">
      <alignment horizontal="center"/>
    </xf>
    <xf numFmtId="184" fontId="76" fillId="0" borderId="110" xfId="0" applyNumberFormat="1" applyFont="1" applyBorder="1"/>
    <xf numFmtId="0" fontId="76" fillId="0" borderId="111" xfId="0" applyFont="1" applyBorder="1"/>
    <xf numFmtId="0" fontId="72" fillId="0" borderId="112" xfId="0" applyFont="1" applyBorder="1"/>
    <xf numFmtId="0" fontId="72" fillId="0" borderId="0" xfId="0" applyFont="1"/>
    <xf numFmtId="0" fontId="72" fillId="0" borderId="113" xfId="0" applyFont="1" applyBorder="1"/>
    <xf numFmtId="0" fontId="72" fillId="0" borderId="115" xfId="0" applyFont="1" applyBorder="1"/>
    <xf numFmtId="0" fontId="72" fillId="0" borderId="116" xfId="0" applyFont="1" applyBorder="1"/>
    <xf numFmtId="0" fontId="72" fillId="0" borderId="117" xfId="0" applyFont="1" applyBorder="1"/>
    <xf numFmtId="0" fontId="72" fillId="0" borderId="0" xfId="0" applyFont="1" applyAlignment="1">
      <alignment horizontal="left"/>
    </xf>
    <xf numFmtId="184" fontId="72" fillId="0" borderId="0" xfId="0" applyNumberFormat="1" applyFont="1"/>
    <xf numFmtId="10" fontId="72" fillId="0" borderId="0" xfId="2" applyNumberFormat="1" applyFont="1" applyAlignment="1">
      <alignment horizontal="center"/>
    </xf>
    <xf numFmtId="10" fontId="0" fillId="0" borderId="0" xfId="2" applyNumberFormat="1" applyFont="1"/>
    <xf numFmtId="10" fontId="80" fillId="0" borderId="0" xfId="2" applyNumberFormat="1" applyFont="1" applyAlignment="1">
      <alignment horizontal="center"/>
    </xf>
    <xf numFmtId="0" fontId="81" fillId="0" borderId="0" xfId="0" applyFont="1"/>
    <xf numFmtId="0" fontId="80" fillId="0" borderId="0" xfId="0" applyFont="1" applyAlignment="1">
      <alignment horizontal="center"/>
    </xf>
    <xf numFmtId="0" fontId="82" fillId="0" borderId="0" xfId="0" applyFont="1" applyAlignment="1">
      <alignment horizontal="center"/>
    </xf>
    <xf numFmtId="184" fontId="77" fillId="0" borderId="1" xfId="0" applyNumberFormat="1" applyFont="1" applyBorder="1"/>
    <xf numFmtId="0" fontId="14" fillId="0" borderId="1" xfId="0" applyFont="1" applyBorder="1" applyAlignment="1">
      <alignment horizontal="center"/>
    </xf>
    <xf numFmtId="173" fontId="18" fillId="0" borderId="1" xfId="0" applyNumberFormat="1" applyFont="1" applyBorder="1" applyAlignment="1">
      <alignment horizontal="center" vertical="center"/>
    </xf>
    <xf numFmtId="0" fontId="15" fillId="0" borderId="1" xfId="0" applyFont="1" applyBorder="1"/>
    <xf numFmtId="167" fontId="25" fillId="0" borderId="17" xfId="1" applyFont="1" applyBorder="1" applyAlignment="1"/>
    <xf numFmtId="0" fontId="70" fillId="0" borderId="0" xfId="0" applyFont="1" applyAlignment="1">
      <alignment horizontal="center" vertical="center"/>
    </xf>
    <xf numFmtId="9" fontId="70" fillId="0" borderId="0" xfId="0" applyNumberFormat="1" applyFont="1" applyAlignment="1">
      <alignment horizontal="center" vertical="center"/>
    </xf>
    <xf numFmtId="0" fontId="3" fillId="0" borderId="0" xfId="0" applyFont="1"/>
    <xf numFmtId="0" fontId="84" fillId="3" borderId="0" xfId="0" applyFont="1" applyFill="1" applyAlignment="1">
      <alignment vertical="center"/>
    </xf>
    <xf numFmtId="0" fontId="85" fillId="3" borderId="0" xfId="0" applyFont="1" applyFill="1" applyAlignment="1">
      <alignment vertical="center"/>
    </xf>
    <xf numFmtId="167" fontId="72" fillId="0" borderId="0" xfId="0" applyNumberFormat="1" applyFont="1" applyAlignment="1">
      <alignment horizontal="center"/>
    </xf>
    <xf numFmtId="0" fontId="77" fillId="0" borderId="114" xfId="0" applyFont="1" applyBorder="1" applyAlignment="1">
      <alignment horizontal="center"/>
    </xf>
    <xf numFmtId="0" fontId="77" fillId="0" borderId="13" xfId="0" applyFont="1" applyBorder="1" applyAlignment="1">
      <alignment horizontal="center"/>
    </xf>
    <xf numFmtId="0" fontId="88" fillId="0" borderId="1" xfId="0" applyFont="1" applyBorder="1" applyAlignment="1">
      <alignment horizontal="center"/>
    </xf>
    <xf numFmtId="184" fontId="77" fillId="0" borderId="13" xfId="0" applyNumberFormat="1" applyFont="1" applyBorder="1"/>
    <xf numFmtId="184" fontId="77" fillId="0" borderId="107" xfId="0" applyNumberFormat="1" applyFont="1" applyBorder="1"/>
    <xf numFmtId="10" fontId="77" fillId="0" borderId="106" xfId="2" applyNumberFormat="1" applyFont="1" applyFill="1" applyBorder="1" applyAlignment="1">
      <alignment horizontal="center"/>
    </xf>
    <xf numFmtId="184" fontId="77" fillId="0" borderId="108" xfId="0" applyNumberFormat="1" applyFont="1" applyBorder="1"/>
    <xf numFmtId="0" fontId="88" fillId="0" borderId="107" xfId="0" applyFont="1" applyBorder="1" applyAlignment="1">
      <alignment horizontal="center"/>
    </xf>
    <xf numFmtId="184" fontId="77" fillId="0" borderId="24" xfId="0" applyNumberFormat="1" applyFont="1" applyBorder="1"/>
    <xf numFmtId="184" fontId="77" fillId="0" borderId="121" xfId="0" applyNumberFormat="1" applyFont="1" applyBorder="1"/>
    <xf numFmtId="184" fontId="77" fillId="0" borderId="118" xfId="0" applyNumberFormat="1" applyFont="1" applyBorder="1"/>
    <xf numFmtId="184" fontId="77" fillId="0" borderId="114" xfId="0" applyNumberFormat="1" applyFont="1" applyBorder="1"/>
    <xf numFmtId="0" fontId="88" fillId="0" borderId="119" xfId="0" applyFont="1" applyBorder="1" applyAlignment="1">
      <alignment horizontal="center"/>
    </xf>
    <xf numFmtId="184" fontId="77" fillId="0" borderId="130" xfId="0" applyNumberFormat="1" applyFont="1" applyBorder="1"/>
    <xf numFmtId="0" fontId="88" fillId="0" borderId="128" xfId="0" applyFont="1" applyBorder="1" applyAlignment="1">
      <alignment horizontal="center"/>
    </xf>
    <xf numFmtId="184" fontId="77" fillId="0" borderId="122" xfId="0" applyNumberFormat="1" applyFont="1" applyBorder="1"/>
    <xf numFmtId="0" fontId="88" fillId="0" borderId="129" xfId="0" applyFont="1" applyBorder="1" applyAlignment="1">
      <alignment horizontal="center"/>
    </xf>
    <xf numFmtId="0" fontId="2" fillId="0" borderId="1" xfId="0" applyFont="1" applyBorder="1" applyAlignment="1">
      <alignment horizontal="center"/>
    </xf>
    <xf numFmtId="0" fontId="2" fillId="0" borderId="0" xfId="0" applyFont="1"/>
    <xf numFmtId="0" fontId="90" fillId="0" borderId="0" xfId="0" applyFont="1" applyAlignment="1">
      <alignment horizontal="center"/>
    </xf>
    <xf numFmtId="10" fontId="75" fillId="0" borderId="0" xfId="2" applyNumberFormat="1" applyFont="1" applyAlignment="1">
      <alignment horizontal="center"/>
    </xf>
    <xf numFmtId="0" fontId="88" fillId="0" borderId="108" xfId="0" quotePrefix="1" applyFont="1" applyBorder="1" applyAlignment="1">
      <alignment horizontal="center"/>
    </xf>
    <xf numFmtId="0" fontId="88" fillId="0" borderId="108" xfId="0" applyFont="1" applyBorder="1" applyAlignment="1">
      <alignment horizontal="center"/>
    </xf>
    <xf numFmtId="0" fontId="88" fillId="0" borderId="121" xfId="0" applyFont="1" applyBorder="1" applyAlignment="1">
      <alignment horizontal="center"/>
    </xf>
    <xf numFmtId="0" fontId="88" fillId="0" borderId="122" xfId="0" applyFont="1" applyBorder="1" applyAlignment="1">
      <alignment horizontal="center"/>
    </xf>
    <xf numFmtId="0" fontId="88" fillId="0" borderId="123" xfId="0" applyFont="1" applyBorder="1" applyAlignment="1">
      <alignment horizontal="center"/>
    </xf>
    <xf numFmtId="167" fontId="88" fillId="0" borderId="1" xfId="1" quotePrefix="1" applyFont="1" applyFill="1" applyBorder="1" applyAlignment="1">
      <alignment horizontal="center"/>
    </xf>
    <xf numFmtId="167" fontId="88" fillId="0" borderId="25" xfId="1" quotePrefix="1" applyFont="1" applyFill="1" applyBorder="1" applyAlignment="1">
      <alignment horizontal="center"/>
    </xf>
    <xf numFmtId="0" fontId="88" fillId="0" borderId="118" xfId="0" quotePrefix="1" applyFont="1" applyBorder="1" applyAlignment="1">
      <alignment horizontal="center"/>
    </xf>
    <xf numFmtId="10" fontId="77" fillId="0" borderId="114" xfId="2" applyNumberFormat="1" applyFont="1" applyFill="1" applyBorder="1" applyAlignment="1">
      <alignment horizontal="center"/>
    </xf>
    <xf numFmtId="167" fontId="86" fillId="0" borderId="133" xfId="1" applyFont="1" applyFill="1" applyBorder="1" applyAlignment="1">
      <alignment horizontal="center" vertical="center"/>
    </xf>
    <xf numFmtId="0" fontId="86" fillId="0" borderId="133" xfId="0" applyFont="1" applyBorder="1" applyAlignment="1">
      <alignment horizontal="center" vertical="center"/>
    </xf>
    <xf numFmtId="0" fontId="87" fillId="0" borderId="133" xfId="0" applyFont="1" applyBorder="1" applyAlignment="1">
      <alignment horizontal="center" vertical="center"/>
    </xf>
    <xf numFmtId="0" fontId="87" fillId="0" borderId="133" xfId="0" applyFont="1" applyBorder="1" applyAlignment="1">
      <alignment horizontal="center" vertical="center" wrapText="1"/>
    </xf>
    <xf numFmtId="10" fontId="87" fillId="0" borderId="133" xfId="2" applyNumberFormat="1" applyFont="1" applyFill="1" applyBorder="1" applyAlignment="1">
      <alignment horizontal="center" vertical="center"/>
    </xf>
    <xf numFmtId="167" fontId="88" fillId="0" borderId="127" xfId="1" quotePrefix="1" applyFont="1" applyFill="1" applyBorder="1" applyAlignment="1">
      <alignment horizontal="center"/>
    </xf>
    <xf numFmtId="0" fontId="88" fillId="0" borderId="25" xfId="0" applyFont="1" applyBorder="1" applyAlignment="1">
      <alignment horizontal="center"/>
    </xf>
    <xf numFmtId="167" fontId="0" fillId="0" borderId="0" xfId="1" applyFont="1"/>
    <xf numFmtId="0" fontId="76" fillId="0" borderId="102" xfId="0" applyFont="1" applyBorder="1"/>
    <xf numFmtId="0" fontId="72" fillId="0" borderId="108" xfId="0" applyFont="1" applyBorder="1"/>
    <xf numFmtId="0" fontId="76" fillId="0" borderId="120" xfId="0" applyFont="1" applyBorder="1"/>
    <xf numFmtId="0" fontId="72" fillId="3" borderId="108" xfId="0" applyFont="1" applyFill="1" applyBorder="1" applyAlignment="1">
      <alignment horizontal="center"/>
    </xf>
    <xf numFmtId="171" fontId="9" fillId="0" borderId="0" xfId="0" applyNumberFormat="1" applyFont="1" applyAlignment="1">
      <alignment horizontal="left" vertical="center"/>
    </xf>
    <xf numFmtId="180" fontId="21" fillId="0" borderId="0" xfId="0" applyNumberFormat="1" applyFont="1" applyAlignment="1">
      <alignment vertical="center"/>
    </xf>
    <xf numFmtId="0" fontId="7" fillId="0" borderId="0" xfId="0" applyFont="1" applyAlignment="1">
      <alignment horizontal="center"/>
    </xf>
    <xf numFmtId="171" fontId="32" fillId="0" borderId="1" xfId="0" applyNumberFormat="1" applyFont="1" applyBorder="1" applyAlignment="1">
      <alignment vertical="center"/>
    </xf>
    <xf numFmtId="9" fontId="18" fillId="0" borderId="1" xfId="2" applyFont="1" applyBorder="1" applyAlignment="1" applyProtection="1">
      <alignment horizontal="center" vertical="center"/>
    </xf>
    <xf numFmtId="0" fontId="0" fillId="3" borderId="0" xfId="0" applyFill="1"/>
    <xf numFmtId="0" fontId="91" fillId="0" borderId="0" xfId="0" applyFont="1"/>
    <xf numFmtId="0" fontId="88" fillId="0" borderId="134" xfId="0" applyFont="1" applyBorder="1" applyAlignment="1">
      <alignment horizontal="center"/>
    </xf>
    <xf numFmtId="167" fontId="88" fillId="0" borderId="126" xfId="1" quotePrefix="1" applyFont="1" applyFill="1" applyBorder="1" applyAlignment="1">
      <alignment horizontal="center"/>
    </xf>
    <xf numFmtId="167" fontId="88" fillId="0" borderId="16" xfId="1" quotePrefix="1" applyFont="1" applyFill="1" applyBorder="1" applyAlignment="1">
      <alignment horizontal="center"/>
    </xf>
    <xf numFmtId="0" fontId="88" fillId="0" borderId="121" xfId="0" quotePrefix="1" applyFont="1" applyBorder="1" applyAlignment="1">
      <alignment horizontal="center"/>
    </xf>
    <xf numFmtId="0" fontId="88" fillId="0" borderId="118" xfId="0" applyFont="1" applyBorder="1" applyAlignment="1">
      <alignment horizontal="center"/>
    </xf>
    <xf numFmtId="184" fontId="77" fillId="0" borderId="136" xfId="0" applyNumberFormat="1" applyFont="1" applyBorder="1"/>
    <xf numFmtId="0" fontId="87" fillId="0" borderId="137" xfId="0" applyFont="1" applyBorder="1" applyAlignment="1">
      <alignment horizontal="center" vertical="center"/>
    </xf>
    <xf numFmtId="0" fontId="87" fillId="0" borderId="125" xfId="0" applyFont="1" applyBorder="1" applyAlignment="1">
      <alignment horizontal="center" vertical="center"/>
    </xf>
    <xf numFmtId="0" fontId="87" fillId="0" borderId="138" xfId="0" applyFont="1" applyBorder="1" applyAlignment="1">
      <alignment horizontal="center" vertical="center"/>
    </xf>
    <xf numFmtId="185" fontId="0" fillId="0" borderId="0" xfId="0" applyNumberFormat="1"/>
    <xf numFmtId="185" fontId="0" fillId="3" borderId="0" xfId="0" applyNumberFormat="1" applyFill="1"/>
    <xf numFmtId="0" fontId="0" fillId="0" borderId="1" xfId="0" applyBorder="1"/>
    <xf numFmtId="0" fontId="21" fillId="5" borderId="12" xfId="0" applyFont="1" applyFill="1" applyBorder="1" applyAlignment="1">
      <alignment horizontal="left" vertical="center"/>
    </xf>
    <xf numFmtId="171" fontId="15" fillId="0" borderId="0" xfId="0" applyNumberFormat="1" applyFont="1" applyAlignment="1">
      <alignment horizontal="center" vertical="center"/>
    </xf>
    <xf numFmtId="0" fontId="16" fillId="0" borderId="1" xfId="0" applyFont="1" applyBorder="1" applyAlignment="1">
      <alignment horizontal="center" vertical="center"/>
    </xf>
    <xf numFmtId="171" fontId="32" fillId="0" borderId="5" xfId="0" applyNumberFormat="1" applyFont="1" applyBorder="1" applyAlignment="1">
      <alignment vertical="center"/>
    </xf>
    <xf numFmtId="171" fontId="18" fillId="0" borderId="5" xfId="0" applyNumberFormat="1" applyFont="1" applyBorder="1" applyAlignment="1">
      <alignment vertical="center"/>
    </xf>
    <xf numFmtId="171" fontId="32" fillId="0" borderId="27" xfId="0" applyNumberFormat="1" applyFont="1" applyBorder="1" applyAlignment="1">
      <alignment vertical="center"/>
    </xf>
    <xf numFmtId="173" fontId="15" fillId="0" borderId="87" xfId="0" applyNumberFormat="1" applyFont="1" applyBorder="1" applyAlignment="1">
      <alignment horizontal="center" vertical="center"/>
    </xf>
    <xf numFmtId="171" fontId="32" fillId="0" borderId="87" xfId="0" applyNumberFormat="1" applyFont="1" applyBorder="1" applyAlignment="1">
      <alignment horizontal="center" vertical="center"/>
    </xf>
    <xf numFmtId="0" fontId="18" fillId="0" borderId="87" xfId="0" applyFont="1" applyBorder="1" applyAlignment="1">
      <alignment horizontal="center" vertical="center"/>
    </xf>
    <xf numFmtId="0" fontId="17" fillId="0" borderId="0" xfId="0" applyFont="1"/>
    <xf numFmtId="0" fontId="18" fillId="0" borderId="5" xfId="0" applyFont="1" applyBorder="1" applyAlignment="1">
      <alignment horizontal="center" vertical="center"/>
    </xf>
    <xf numFmtId="173" fontId="18" fillId="0" borderId="5" xfId="2" applyNumberFormat="1" applyFont="1" applyBorder="1" applyAlignment="1" applyProtection="1">
      <alignment horizontal="center" vertical="center"/>
    </xf>
    <xf numFmtId="0" fontId="40" fillId="0" borderId="0" xfId="0" applyFont="1"/>
    <xf numFmtId="0" fontId="92" fillId="0" borderId="0" xfId="0" applyFont="1" applyAlignment="1">
      <alignment vertical="center"/>
    </xf>
    <xf numFmtId="169" fontId="15" fillId="0" borderId="0" xfId="0" applyNumberFormat="1" applyFont="1" applyAlignment="1">
      <alignment horizontal="center" vertical="center"/>
    </xf>
    <xf numFmtId="167" fontId="35" fillId="0" borderId="0" xfId="1" applyFont="1" applyProtection="1"/>
    <xf numFmtId="183" fontId="15" fillId="0" borderId="0" xfId="0" applyNumberFormat="1" applyFont="1"/>
    <xf numFmtId="0" fontId="32" fillId="0" borderId="0" xfId="0" applyFont="1"/>
    <xf numFmtId="183" fontId="15" fillId="0" borderId="1" xfId="0" applyNumberFormat="1" applyFont="1" applyBorder="1" applyAlignment="1">
      <alignment horizontal="center"/>
    </xf>
    <xf numFmtId="0" fontId="21" fillId="5" borderId="6" xfId="0" applyFont="1" applyFill="1" applyBorder="1" applyAlignment="1" applyProtection="1">
      <alignment horizontal="right" vertical="center"/>
      <protection locked="0"/>
    </xf>
    <xf numFmtId="171" fontId="18" fillId="0" borderId="7" xfId="0" applyNumberFormat="1" applyFont="1" applyBorder="1" applyAlignment="1">
      <alignment horizontal="left" vertical="center"/>
    </xf>
    <xf numFmtId="171" fontId="18" fillId="0" borderId="8" xfId="0" applyNumberFormat="1" applyFont="1" applyBorder="1" applyAlignment="1">
      <alignment horizontal="left" vertical="center"/>
    </xf>
    <xf numFmtId="171" fontId="18" fillId="0" borderId="9" xfId="0" applyNumberFormat="1" applyFont="1" applyBorder="1" applyAlignment="1">
      <alignment horizontal="left" vertical="center"/>
    </xf>
    <xf numFmtId="0" fontId="15" fillId="0" borderId="27" xfId="0" applyFont="1" applyBorder="1"/>
    <xf numFmtId="0" fontId="18" fillId="0" borderId="0" xfId="3" applyFont="1"/>
    <xf numFmtId="0" fontId="60" fillId="0" borderId="0" xfId="3" applyFont="1" applyAlignment="1">
      <alignment vertical="center"/>
    </xf>
    <xf numFmtId="179" fontId="8" fillId="0" borderId="0" xfId="0" applyNumberFormat="1" applyFont="1"/>
    <xf numFmtId="0" fontId="15" fillId="0" borderId="1" xfId="0" applyFont="1" applyBorder="1" applyAlignment="1">
      <alignment horizontal="center" vertical="center"/>
    </xf>
    <xf numFmtId="167" fontId="8" fillId="0" borderId="0" xfId="1" applyFont="1" applyProtection="1"/>
    <xf numFmtId="180" fontId="17" fillId="0" borderId="0" xfId="0" applyNumberFormat="1" applyFont="1"/>
    <xf numFmtId="0" fontId="9" fillId="5" borderId="80" xfId="0" applyFont="1" applyFill="1" applyBorder="1" applyAlignment="1">
      <alignment horizontal="center"/>
    </xf>
    <xf numFmtId="0" fontId="93" fillId="0" borderId="0" xfId="0" applyFont="1" applyAlignment="1">
      <alignment vertical="center"/>
    </xf>
    <xf numFmtId="0" fontId="93" fillId="0" borderId="0" xfId="0" applyFont="1"/>
    <xf numFmtId="170" fontId="93" fillId="0" borderId="0" xfId="0" applyNumberFormat="1" applyFont="1" applyAlignment="1">
      <alignment horizontal="center"/>
    </xf>
    <xf numFmtId="10" fontId="93" fillId="0" borderId="0" xfId="0" applyNumberFormat="1" applyFont="1" applyAlignment="1">
      <alignment horizontal="center"/>
    </xf>
    <xf numFmtId="49" fontId="93" fillId="0" borderId="0" xfId="0" applyNumberFormat="1" applyFont="1" applyAlignment="1">
      <alignment horizontal="center"/>
    </xf>
    <xf numFmtId="0" fontId="15" fillId="0" borderId="9" xfId="0" applyFont="1" applyBorder="1" applyAlignment="1">
      <alignment horizontal="center" vertical="center"/>
    </xf>
    <xf numFmtId="43" fontId="32" fillId="0" borderId="34" xfId="0" applyNumberFormat="1" applyFont="1" applyBorder="1" applyAlignment="1">
      <alignment horizontal="center" vertical="center"/>
    </xf>
    <xf numFmtId="43" fontId="32" fillId="0" borderId="9" xfId="0" applyNumberFormat="1" applyFont="1" applyBorder="1" applyAlignment="1">
      <alignment horizontal="center" vertical="center"/>
    </xf>
    <xf numFmtId="167" fontId="15" fillId="0" borderId="0" xfId="1" applyFont="1" applyFill="1" applyBorder="1" applyAlignment="1" applyProtection="1">
      <alignment vertical="center"/>
    </xf>
    <xf numFmtId="174" fontId="15" fillId="0" borderId="0" xfId="0" applyNumberFormat="1" applyFont="1" applyAlignment="1">
      <alignment horizontal="center" vertical="center"/>
    </xf>
    <xf numFmtId="9" fontId="32" fillId="0" borderId="1" xfId="2" applyFont="1" applyBorder="1" applyAlignment="1" applyProtection="1">
      <alignment horizontal="center" vertical="center"/>
    </xf>
    <xf numFmtId="171" fontId="21" fillId="0" borderId="0" xfId="0" applyNumberFormat="1" applyFont="1" applyAlignment="1">
      <alignment horizontal="left" vertical="center"/>
    </xf>
    <xf numFmtId="173" fontId="21" fillId="0" borderId="1" xfId="0" applyNumberFormat="1" applyFont="1" applyBorder="1" applyAlignment="1">
      <alignment horizontal="center" vertical="center"/>
    </xf>
    <xf numFmtId="175" fontId="17" fillId="0" borderId="0" xfId="0" applyNumberFormat="1" applyFont="1"/>
    <xf numFmtId="0" fontId="0" fillId="2" borderId="0" xfId="0" applyFill="1"/>
    <xf numFmtId="0" fontId="23" fillId="2" borderId="0" xfId="0" applyFont="1" applyFill="1" applyAlignment="1">
      <alignment vertical="center"/>
    </xf>
    <xf numFmtId="167" fontId="15" fillId="2" borderId="0" xfId="1" applyFont="1" applyFill="1" applyBorder="1" applyAlignment="1" applyProtection="1">
      <alignment vertical="center"/>
    </xf>
    <xf numFmtId="0" fontId="15" fillId="2" borderId="0" xfId="0" applyFont="1" applyFill="1" applyAlignment="1">
      <alignment vertical="center"/>
    </xf>
    <xf numFmtId="0" fontId="15" fillId="2" borderId="0" xfId="0" applyFont="1" applyFill="1" applyAlignment="1">
      <alignment horizontal="center" vertical="center"/>
    </xf>
    <xf numFmtId="167" fontId="0" fillId="2" borderId="0" xfId="1" applyFont="1" applyFill="1" applyProtection="1"/>
    <xf numFmtId="0" fontId="3" fillId="2" borderId="0" xfId="0" applyFont="1" applyFill="1"/>
    <xf numFmtId="0" fontId="18" fillId="2" borderId="0" xfId="0" applyFont="1" applyFill="1"/>
    <xf numFmtId="0" fontId="18" fillId="2" borderId="0" xfId="0" applyFont="1" applyFill="1" applyAlignment="1">
      <alignment horizontal="center"/>
    </xf>
    <xf numFmtId="0" fontId="18" fillId="2" borderId="0" xfId="0" applyFont="1" applyFill="1" applyAlignment="1">
      <alignment vertical="center"/>
    </xf>
    <xf numFmtId="0" fontId="34" fillId="2" borderId="0" xfId="0" applyFont="1" applyFill="1" applyAlignment="1">
      <alignment vertical="center"/>
    </xf>
    <xf numFmtId="0" fontId="34" fillId="2" borderId="0" xfId="0" applyFont="1" applyFill="1" applyAlignment="1">
      <alignment horizontal="center" vertical="center"/>
    </xf>
    <xf numFmtId="167" fontId="18" fillId="2" borderId="0" xfId="1" applyFont="1" applyFill="1" applyAlignment="1" applyProtection="1">
      <alignment vertical="center"/>
    </xf>
    <xf numFmtId="171" fontId="32" fillId="2" borderId="1" xfId="0" applyNumberFormat="1" applyFont="1" applyFill="1" applyBorder="1" applyAlignment="1">
      <alignment horizontal="center" vertical="center"/>
    </xf>
    <xf numFmtId="0" fontId="42" fillId="2" borderId="0" xfId="0" applyFont="1" applyFill="1"/>
    <xf numFmtId="183" fontId="18" fillId="2" borderId="80" xfId="0" applyNumberFormat="1" applyFont="1" applyFill="1" applyBorder="1" applyAlignment="1">
      <alignment horizontal="center" vertical="center"/>
    </xf>
    <xf numFmtId="169" fontId="18" fillId="2" borderId="0" xfId="0" applyNumberFormat="1" applyFont="1" applyFill="1" applyAlignment="1">
      <alignment vertical="center"/>
    </xf>
    <xf numFmtId="169" fontId="18" fillId="2" borderId="80" xfId="0" applyNumberFormat="1" applyFont="1" applyFill="1" applyBorder="1" applyAlignment="1">
      <alignment horizontal="center" vertical="center"/>
    </xf>
    <xf numFmtId="183" fontId="20" fillId="2" borderId="80" xfId="0" applyNumberFormat="1" applyFont="1" applyFill="1" applyBorder="1" applyAlignment="1">
      <alignment horizontal="center" vertical="center"/>
    </xf>
    <xf numFmtId="169" fontId="42" fillId="2" borderId="0" xfId="0" applyNumberFormat="1" applyFont="1" applyFill="1"/>
    <xf numFmtId="0" fontId="32" fillId="2" borderId="0" xfId="0" applyFont="1" applyFill="1" applyAlignment="1">
      <alignment vertical="center"/>
    </xf>
    <xf numFmtId="0" fontId="18" fillId="2" borderId="0" xfId="0" applyFont="1" applyFill="1" applyAlignment="1">
      <alignment horizontal="center" vertical="center"/>
    </xf>
    <xf numFmtId="0" fontId="26" fillId="2" borderId="0" xfId="0" applyFont="1" applyFill="1"/>
    <xf numFmtId="0" fontId="18" fillId="2" borderId="18" xfId="0" applyFont="1" applyFill="1" applyBorder="1" applyAlignment="1">
      <alignment vertical="center"/>
    </xf>
    <xf numFmtId="0" fontId="18" fillId="2" borderId="24" xfId="0" applyFont="1" applyFill="1" applyBorder="1" applyAlignment="1">
      <alignment vertical="center"/>
    </xf>
    <xf numFmtId="0" fontId="94" fillId="2" borderId="0" xfId="0" applyFont="1" applyFill="1" applyAlignment="1">
      <alignment vertical="center"/>
    </xf>
    <xf numFmtId="0" fontId="23" fillId="2" borderId="0" xfId="0" applyFont="1" applyFill="1"/>
    <xf numFmtId="170" fontId="26" fillId="2" borderId="0" xfId="0" applyNumberFormat="1" applyFont="1" applyFill="1" applyAlignment="1">
      <alignment horizontal="center"/>
    </xf>
    <xf numFmtId="10" fontId="26" fillId="2" borderId="0" xfId="0" applyNumberFormat="1" applyFont="1" applyFill="1" applyAlignment="1">
      <alignment horizontal="center"/>
    </xf>
    <xf numFmtId="49" fontId="26" fillId="2" borderId="0" xfId="0" applyNumberFormat="1" applyFont="1" applyFill="1" applyAlignment="1">
      <alignment horizontal="center"/>
    </xf>
    <xf numFmtId="0" fontId="18" fillId="2" borderId="0" xfId="0" applyFont="1" applyFill="1" applyAlignment="1">
      <alignment horizontal="left" vertical="center"/>
    </xf>
    <xf numFmtId="0" fontId="32" fillId="2" borderId="0" xfId="0" applyFont="1" applyFill="1" applyAlignment="1">
      <alignment horizontal="center" vertical="center"/>
    </xf>
    <xf numFmtId="172" fontId="26" fillId="2" borderId="0" xfId="0" applyNumberFormat="1" applyFont="1" applyFill="1" applyAlignment="1">
      <alignment horizontal="center"/>
    </xf>
    <xf numFmtId="9" fontId="18" fillId="2" borderId="1" xfId="2" applyFont="1" applyFill="1" applyBorder="1" applyAlignment="1" applyProtection="1">
      <alignment horizontal="center" vertical="center"/>
    </xf>
    <xf numFmtId="172" fontId="18" fillId="2" borderId="1" xfId="1" applyNumberFormat="1" applyFont="1" applyFill="1" applyBorder="1" applyAlignment="1" applyProtection="1">
      <alignment horizontal="center" vertical="center"/>
    </xf>
    <xf numFmtId="9" fontId="32" fillId="2" borderId="1" xfId="2" applyFont="1" applyFill="1" applyBorder="1" applyAlignment="1" applyProtection="1">
      <alignment horizontal="center" vertical="center"/>
    </xf>
    <xf numFmtId="171" fontId="18" fillId="2" borderId="0" xfId="0" applyNumberFormat="1" applyFont="1" applyFill="1" applyAlignment="1">
      <alignment horizontal="left" vertical="center"/>
    </xf>
    <xf numFmtId="172" fontId="18" fillId="2" borderId="0" xfId="1" applyNumberFormat="1" applyFont="1" applyFill="1" applyBorder="1" applyAlignment="1" applyProtection="1">
      <alignment horizontal="center" vertical="center"/>
    </xf>
    <xf numFmtId="0" fontId="32" fillId="2" borderId="24" xfId="0" applyFont="1" applyFill="1" applyBorder="1"/>
    <xf numFmtId="183" fontId="18" fillId="2" borderId="1" xfId="0" applyNumberFormat="1" applyFont="1" applyFill="1" applyBorder="1"/>
    <xf numFmtId="173" fontId="18" fillId="2" borderId="1" xfId="0" applyNumberFormat="1" applyFont="1" applyFill="1" applyBorder="1" applyAlignment="1">
      <alignment horizontal="center" vertical="center"/>
    </xf>
    <xf numFmtId="0" fontId="95" fillId="2" borderId="0" xfId="0" applyFont="1" applyFill="1"/>
    <xf numFmtId="0" fontId="32" fillId="2" borderId="1" xfId="0" applyFont="1" applyFill="1" applyBorder="1" applyAlignment="1">
      <alignment horizontal="center" vertical="center"/>
    </xf>
    <xf numFmtId="0" fontId="18" fillId="2" borderId="1" xfId="0" applyFont="1" applyFill="1" applyBorder="1" applyAlignment="1">
      <alignment horizontal="center" vertical="center"/>
    </xf>
    <xf numFmtId="0" fontId="9" fillId="5" borderId="6" xfId="0" applyFont="1" applyFill="1" applyBorder="1" applyAlignment="1">
      <alignment horizontal="left" vertical="center"/>
    </xf>
    <xf numFmtId="0" fontId="32" fillId="2" borderId="59" xfId="0" applyFont="1" applyFill="1" applyBorder="1" applyAlignment="1">
      <alignment horizontal="left" vertical="center"/>
    </xf>
    <xf numFmtId="0" fontId="32" fillId="2" borderId="59" xfId="0" applyFont="1" applyFill="1" applyBorder="1" applyAlignment="1">
      <alignment vertical="center"/>
    </xf>
    <xf numFmtId="171" fontId="32" fillId="2" borderId="0" xfId="0" applyNumberFormat="1" applyFont="1" applyFill="1" applyAlignment="1">
      <alignment horizontal="left" vertical="center"/>
    </xf>
    <xf numFmtId="0" fontId="60" fillId="2" borderId="0" xfId="3" applyFont="1" applyFill="1" applyAlignment="1">
      <alignment vertical="center"/>
    </xf>
    <xf numFmtId="0" fontId="23" fillId="2" borderId="0" xfId="0" applyFont="1" applyFill="1" applyAlignment="1">
      <alignment horizontal="center"/>
    </xf>
    <xf numFmtId="0" fontId="8" fillId="2" borderId="0" xfId="0" applyFont="1" applyFill="1"/>
    <xf numFmtId="0" fontId="8" fillId="2" borderId="0" xfId="0" applyFont="1" applyFill="1" applyAlignment="1">
      <alignment horizontal="center"/>
    </xf>
    <xf numFmtId="167" fontId="23" fillId="2" borderId="0" xfId="1" applyFont="1" applyFill="1" applyProtection="1"/>
    <xf numFmtId="0" fontId="60" fillId="2" borderId="0" xfId="0" applyFont="1" applyFill="1" applyAlignment="1">
      <alignment vertical="center"/>
    </xf>
    <xf numFmtId="167" fontId="8" fillId="2" borderId="0" xfId="1" applyFont="1" applyFill="1" applyProtection="1"/>
    <xf numFmtId="0" fontId="21" fillId="2" borderId="0" xfId="0" applyFont="1" applyFill="1" applyAlignment="1">
      <alignment horizontal="center" vertical="center"/>
    </xf>
    <xf numFmtId="171" fontId="21" fillId="2" borderId="0" xfId="0" applyNumberFormat="1" applyFont="1" applyFill="1" applyAlignment="1">
      <alignment horizontal="left" vertical="center"/>
    </xf>
    <xf numFmtId="0" fontId="5" fillId="0" borderId="0" xfId="0" applyFont="1"/>
    <xf numFmtId="0" fontId="5" fillId="0" borderId="0" xfId="0" applyFont="1" applyAlignment="1">
      <alignment horizontal="center"/>
    </xf>
    <xf numFmtId="0" fontId="5" fillId="2" borderId="0" xfId="0" applyFont="1" applyFill="1"/>
    <xf numFmtId="0" fontId="5" fillId="2" borderId="0" xfId="0" applyFont="1" applyFill="1" applyAlignment="1">
      <alignment horizontal="center"/>
    </xf>
    <xf numFmtId="167" fontId="5" fillId="2" borderId="0" xfId="1" applyFont="1" applyFill="1" applyProtection="1"/>
    <xf numFmtId="0" fontId="9" fillId="5" borderId="3" xfId="0" applyFont="1" applyFill="1" applyBorder="1" applyAlignment="1" applyProtection="1">
      <alignment horizontal="left" vertical="center"/>
      <protection locked="0"/>
    </xf>
    <xf numFmtId="0" fontId="9" fillId="5" borderId="3" xfId="0" applyFont="1" applyFill="1" applyBorder="1" applyAlignment="1" applyProtection="1">
      <alignment vertical="center"/>
      <protection locked="0"/>
    </xf>
    <xf numFmtId="171" fontId="32" fillId="0" borderId="5" xfId="0" applyNumberFormat="1" applyFont="1" applyBorder="1" applyAlignment="1" applyProtection="1">
      <alignment vertical="center"/>
      <protection locked="0"/>
    </xf>
    <xf numFmtId="9" fontId="18" fillId="0" borderId="5" xfId="2" applyFont="1" applyBorder="1" applyAlignment="1" applyProtection="1">
      <alignment horizontal="center" vertical="center"/>
      <protection locked="0"/>
    </xf>
    <xf numFmtId="0" fontId="9" fillId="5" borderId="8" xfId="0" applyFont="1" applyFill="1" applyBorder="1" applyProtection="1">
      <protection locked="0"/>
    </xf>
    <xf numFmtId="0" fontId="9" fillId="5" borderId="9" xfId="0" applyFont="1" applyFill="1" applyBorder="1" applyProtection="1">
      <protection locked="0"/>
    </xf>
    <xf numFmtId="171" fontId="18" fillId="0" borderId="5" xfId="0" applyNumberFormat="1" applyFont="1" applyBorder="1" applyAlignment="1" applyProtection="1">
      <alignment vertical="center"/>
      <protection locked="0"/>
    </xf>
    <xf numFmtId="171" fontId="18" fillId="0" borderId="8" xfId="0" applyNumberFormat="1" applyFont="1" applyBorder="1" applyAlignment="1" applyProtection="1">
      <alignment horizontal="left" vertical="center"/>
      <protection locked="0"/>
    </xf>
    <xf numFmtId="171" fontId="18" fillId="0" borderId="9" xfId="0" applyNumberFormat="1" applyFont="1" applyBorder="1" applyAlignment="1" applyProtection="1">
      <alignment horizontal="left" vertical="center"/>
      <protection locked="0"/>
    </xf>
    <xf numFmtId="0" fontId="9" fillId="5" borderId="0" xfId="0" applyFont="1" applyFill="1" applyAlignment="1" applyProtection="1">
      <alignment horizontal="left" vertical="center"/>
      <protection locked="0"/>
    </xf>
    <xf numFmtId="0" fontId="9" fillId="5" borderId="0" xfId="0" applyFont="1" applyFill="1" applyAlignment="1" applyProtection="1">
      <alignment vertical="center"/>
      <protection locked="0"/>
    </xf>
    <xf numFmtId="0" fontId="93" fillId="0" borderId="0" xfId="0" applyFont="1" applyProtection="1">
      <protection locked="0"/>
    </xf>
    <xf numFmtId="0" fontId="18" fillId="0" borderId="0" xfId="0" applyFont="1" applyAlignment="1" applyProtection="1">
      <alignment horizontal="left" vertical="center"/>
      <protection locked="0"/>
    </xf>
    <xf numFmtId="0" fontId="15" fillId="0" borderId="18" xfId="0" applyFont="1" applyBorder="1" applyProtection="1">
      <protection locked="0"/>
    </xf>
    <xf numFmtId="0" fontId="15" fillId="0" borderId="27" xfId="0" applyFont="1" applyBorder="1" applyProtection="1">
      <protection locked="0"/>
    </xf>
    <xf numFmtId="0" fontId="15" fillId="0" borderId="0" xfId="0" applyFont="1" applyAlignment="1" applyProtection="1">
      <alignment horizontal="center"/>
      <protection locked="0"/>
    </xf>
    <xf numFmtId="0" fontId="15" fillId="0" borderId="22" xfId="0" applyFont="1" applyBorder="1" applyProtection="1">
      <protection locked="0"/>
    </xf>
    <xf numFmtId="0" fontId="9" fillId="5" borderId="7" xfId="0" applyFont="1" applyFill="1" applyBorder="1" applyAlignment="1" applyProtection="1">
      <alignment horizontal="left"/>
      <protection locked="0"/>
    </xf>
    <xf numFmtId="0" fontId="9" fillId="5" borderId="8" xfId="0" applyFont="1" applyFill="1" applyBorder="1" applyAlignment="1" applyProtection="1">
      <alignment horizontal="left"/>
      <protection locked="0"/>
    </xf>
    <xf numFmtId="0" fontId="9" fillId="5" borderId="8" xfId="0" applyFont="1" applyFill="1" applyBorder="1" applyAlignment="1" applyProtection="1">
      <alignment horizontal="center"/>
      <protection locked="0"/>
    </xf>
    <xf numFmtId="0" fontId="15" fillId="0" borderId="41" xfId="0" applyFont="1" applyBorder="1" applyAlignment="1" applyProtection="1">
      <alignment horizontal="center" vertical="center"/>
      <protection locked="0"/>
    </xf>
    <xf numFmtId="173" fontId="15" fillId="0" borderId="5" xfId="0" applyNumberFormat="1" applyFont="1" applyBorder="1" applyAlignment="1" applyProtection="1">
      <alignment horizontal="center" vertical="center"/>
      <protection locked="0"/>
    </xf>
    <xf numFmtId="171" fontId="18" fillId="0" borderId="7" xfId="0" applyNumberFormat="1" applyFont="1" applyBorder="1" applyAlignment="1" applyProtection="1">
      <alignment horizontal="left" vertical="center"/>
      <protection locked="0"/>
    </xf>
    <xf numFmtId="0" fontId="15" fillId="0" borderId="36" xfId="0" applyFont="1" applyBorder="1" applyProtection="1">
      <protection locked="0"/>
    </xf>
    <xf numFmtId="0" fontId="15" fillId="0" borderId="19" xfId="0" applyFont="1" applyBorder="1" applyAlignment="1" applyProtection="1">
      <alignment horizontal="center"/>
      <protection locked="0"/>
    </xf>
    <xf numFmtId="0" fontId="15" fillId="0" borderId="5" xfId="0" applyFont="1" applyBorder="1" applyAlignment="1" applyProtection="1">
      <alignment horizontal="center" vertical="center"/>
      <protection locked="0"/>
    </xf>
    <xf numFmtId="0" fontId="15" fillId="0" borderId="0" xfId="0" applyFont="1" applyAlignment="1" applyProtection="1">
      <alignment vertical="center"/>
      <protection locked="0"/>
    </xf>
    <xf numFmtId="173" fontId="15" fillId="0" borderId="87" xfId="0" applyNumberFormat="1" applyFont="1" applyBorder="1" applyAlignment="1" applyProtection="1">
      <alignment horizontal="center" vertical="center"/>
      <protection locked="0"/>
    </xf>
    <xf numFmtId="171" fontId="32" fillId="0" borderId="87" xfId="0" applyNumberFormat="1" applyFont="1" applyBorder="1" applyAlignment="1" applyProtection="1">
      <alignment horizontal="center" vertical="center"/>
      <protection locked="0"/>
    </xf>
    <xf numFmtId="0" fontId="18" fillId="0" borderId="87" xfId="0" applyFont="1" applyBorder="1" applyAlignment="1" applyProtection="1">
      <alignment horizontal="center" vertical="center"/>
      <protection locked="0"/>
    </xf>
    <xf numFmtId="0" fontId="9" fillId="0" borderId="0" xfId="0" applyFont="1" applyAlignment="1" applyProtection="1">
      <alignment vertical="center"/>
      <protection locked="0"/>
    </xf>
    <xf numFmtId="0" fontId="18" fillId="0" borderId="5" xfId="0" applyFont="1" applyBorder="1" applyAlignment="1" applyProtection="1">
      <alignment horizontal="center" vertical="center"/>
      <protection locked="0"/>
    </xf>
    <xf numFmtId="0" fontId="38" fillId="0" borderId="0" xfId="0" applyFont="1" applyProtection="1">
      <protection locked="0"/>
    </xf>
    <xf numFmtId="0" fontId="18" fillId="0" borderId="0" xfId="3" applyFont="1" applyProtection="1">
      <protection locked="0"/>
    </xf>
    <xf numFmtId="0" fontId="60" fillId="0" borderId="0" xfId="3" applyFont="1" applyProtection="1">
      <protection locked="0"/>
    </xf>
    <xf numFmtId="0" fontId="15" fillId="5" borderId="0" xfId="0" applyFont="1" applyFill="1" applyAlignment="1" applyProtection="1">
      <alignment vertical="center"/>
      <protection locked="0"/>
    </xf>
    <xf numFmtId="0" fontId="40" fillId="0" borderId="0" xfId="0" applyFont="1" applyProtection="1">
      <protection locked="0"/>
    </xf>
    <xf numFmtId="0" fontId="60" fillId="0" borderId="0" xfId="0" applyFont="1" applyAlignment="1" applyProtection="1">
      <alignment vertical="center"/>
      <protection locked="0"/>
    </xf>
    <xf numFmtId="0" fontId="38" fillId="0" borderId="0" xfId="0" applyFont="1" applyAlignment="1" applyProtection="1">
      <alignment vertical="center"/>
      <protection locked="0"/>
    </xf>
    <xf numFmtId="0" fontId="92" fillId="0" borderId="0" xfId="0" applyFont="1" applyAlignment="1" applyProtection="1">
      <alignment vertical="center"/>
      <protection locked="0"/>
    </xf>
    <xf numFmtId="0" fontId="9" fillId="5" borderId="80" xfId="0" applyFont="1" applyFill="1" applyBorder="1" applyAlignment="1" applyProtection="1">
      <alignment vertical="center"/>
      <protection locked="0"/>
    </xf>
    <xf numFmtId="169" fontId="15" fillId="0" borderId="0" xfId="0" applyNumberFormat="1" applyFont="1" applyAlignment="1" applyProtection="1">
      <alignment horizontal="center" vertical="center"/>
      <protection locked="0"/>
    </xf>
    <xf numFmtId="0" fontId="9" fillId="5" borderId="80" xfId="0" applyFont="1" applyFill="1" applyBorder="1" applyAlignment="1" applyProtection="1">
      <alignment horizontal="center" vertical="center"/>
      <protection locked="0"/>
    </xf>
    <xf numFmtId="0" fontId="9" fillId="5" borderId="1" xfId="0" applyFont="1" applyFill="1" applyBorder="1" applyAlignment="1" applyProtection="1">
      <alignment horizontal="center" vertical="center"/>
      <protection locked="0"/>
    </xf>
    <xf numFmtId="0" fontId="9" fillId="5" borderId="5" xfId="0" applyFont="1" applyFill="1" applyBorder="1" applyAlignment="1">
      <alignment horizontal="center" vertical="center"/>
    </xf>
    <xf numFmtId="0" fontId="9" fillId="2" borderId="0" xfId="0" applyFont="1" applyFill="1" applyAlignment="1">
      <alignment vertical="center"/>
    </xf>
    <xf numFmtId="0" fontId="18" fillId="0" borderId="41" xfId="0" applyFont="1" applyBorder="1" applyAlignment="1" applyProtection="1">
      <alignment horizontal="center" vertical="center"/>
      <protection locked="0"/>
    </xf>
    <xf numFmtId="173" fontId="18" fillId="0" borderId="41" xfId="2" applyNumberFormat="1" applyFont="1" applyBorder="1" applyAlignment="1" applyProtection="1">
      <alignment horizontal="center" vertical="center"/>
      <protection locked="0"/>
    </xf>
    <xf numFmtId="184" fontId="97" fillId="0" borderId="0" xfId="0" applyNumberFormat="1" applyFont="1" applyAlignment="1">
      <alignment horizontal="center"/>
    </xf>
    <xf numFmtId="0" fontId="87" fillId="0" borderId="137" xfId="0" applyFont="1" applyBorder="1" applyAlignment="1">
      <alignment horizontal="center" vertical="center" wrapText="1"/>
    </xf>
    <xf numFmtId="167" fontId="48" fillId="0" borderId="0" xfId="1" applyFont="1"/>
    <xf numFmtId="167" fontId="98" fillId="0" borderId="0" xfId="1" applyFont="1" applyAlignment="1">
      <alignment horizontal="center"/>
    </xf>
    <xf numFmtId="167" fontId="99" fillId="0" borderId="137" xfId="1" applyFont="1" applyFill="1" applyBorder="1" applyAlignment="1">
      <alignment horizontal="center" vertical="center" wrapText="1"/>
    </xf>
    <xf numFmtId="0" fontId="99" fillId="0" borderId="140" xfId="0" applyFont="1" applyBorder="1" applyAlignment="1">
      <alignment horizontal="center" vertical="center"/>
    </xf>
    <xf numFmtId="167" fontId="98" fillId="0" borderId="139" xfId="1" applyFont="1" applyFill="1" applyBorder="1"/>
    <xf numFmtId="184" fontId="98" fillId="0" borderId="139" xfId="0" applyNumberFormat="1" applyFont="1" applyBorder="1"/>
    <xf numFmtId="167" fontId="100" fillId="0" borderId="0" xfId="1" applyFont="1" applyAlignment="1">
      <alignment horizontal="center"/>
    </xf>
    <xf numFmtId="0" fontId="101" fillId="0" borderId="0" xfId="0" applyFont="1"/>
    <xf numFmtId="9" fontId="97" fillId="0" borderId="0" xfId="2" applyFont="1" applyAlignment="1">
      <alignment horizontal="center"/>
    </xf>
    <xf numFmtId="0" fontId="99" fillId="0" borderId="137" xfId="0" applyFont="1" applyBorder="1" applyAlignment="1">
      <alignment horizontal="center" vertical="center" wrapText="1"/>
    </xf>
    <xf numFmtId="184" fontId="98" fillId="0" borderId="1" xfId="0" applyNumberFormat="1" applyFont="1" applyBorder="1"/>
    <xf numFmtId="10" fontId="97" fillId="0" borderId="0" xfId="2" applyNumberFormat="1" applyFont="1" applyAlignment="1">
      <alignment horizontal="center"/>
    </xf>
    <xf numFmtId="10" fontId="102" fillId="0" borderId="0" xfId="2" applyNumberFormat="1" applyFont="1" applyAlignment="1">
      <alignment horizontal="center"/>
    </xf>
    <xf numFmtId="0" fontId="88" fillId="0" borderId="25" xfId="0" quotePrefix="1" applyFont="1" applyBorder="1" applyAlignment="1">
      <alignment horizontal="center"/>
    </xf>
    <xf numFmtId="0" fontId="65" fillId="0" borderId="0" xfId="0" applyFont="1" applyAlignment="1">
      <alignment horizontal="center"/>
    </xf>
    <xf numFmtId="0" fontId="9" fillId="0" borderId="5" xfId="0" applyFont="1" applyBorder="1" applyAlignment="1">
      <alignment vertical="center"/>
    </xf>
    <xf numFmtId="0" fontId="9" fillId="0" borderId="1" xfId="0" applyFont="1" applyBorder="1" applyAlignment="1">
      <alignment horizontal="center" vertical="center"/>
    </xf>
    <xf numFmtId="43" fontId="8" fillId="0" borderId="1" xfId="6" applyFont="1" applyBorder="1"/>
    <xf numFmtId="43" fontId="8" fillId="0" borderId="25" xfId="6" applyFont="1" applyBorder="1"/>
    <xf numFmtId="0" fontId="87" fillId="0" borderId="142" xfId="0" applyFont="1" applyBorder="1" applyAlignment="1">
      <alignment horizontal="center" vertical="center" wrapText="1"/>
    </xf>
    <xf numFmtId="43" fontId="8" fillId="15" borderId="1" xfId="6" applyFont="1" applyFill="1" applyBorder="1"/>
    <xf numFmtId="43" fontId="8" fillId="0" borderId="1" xfId="6" applyFont="1" applyFill="1" applyBorder="1"/>
    <xf numFmtId="43" fontId="88" fillId="0" borderId="25" xfId="6" applyFont="1" applyBorder="1"/>
    <xf numFmtId="184" fontId="77" fillId="0" borderId="118" xfId="0" applyNumberFormat="1" applyFont="1" applyBorder="1" applyAlignment="1">
      <alignment horizontal="center"/>
    </xf>
    <xf numFmtId="43" fontId="88" fillId="0" borderId="1" xfId="6" applyFont="1" applyBorder="1"/>
    <xf numFmtId="167" fontId="88" fillId="15" borderId="1" xfId="1" quotePrefix="1" applyFont="1" applyFill="1" applyBorder="1" applyAlignment="1">
      <alignment horizontal="center"/>
    </xf>
    <xf numFmtId="0" fontId="88" fillId="15" borderId="108" xfId="0" quotePrefix="1" applyFont="1" applyFill="1" applyBorder="1" applyAlignment="1">
      <alignment horizontal="center"/>
    </xf>
    <xf numFmtId="0" fontId="88" fillId="15" borderId="107" xfId="0" applyFont="1" applyFill="1" applyBorder="1" applyAlignment="1">
      <alignment horizontal="center"/>
    </xf>
    <xf numFmtId="0" fontId="88" fillId="15" borderId="1" xfId="0" applyFont="1" applyFill="1" applyBorder="1" applyAlignment="1">
      <alignment horizontal="center"/>
    </xf>
    <xf numFmtId="184" fontId="77" fillId="15" borderId="24" xfId="0" applyNumberFormat="1" applyFont="1" applyFill="1" applyBorder="1"/>
    <xf numFmtId="167" fontId="98" fillId="15" borderId="139" xfId="1" applyFont="1" applyFill="1" applyBorder="1"/>
    <xf numFmtId="184" fontId="77" fillId="15" borderId="13" xfId="0" applyNumberFormat="1" applyFont="1" applyFill="1" applyBorder="1"/>
    <xf numFmtId="0" fontId="0" fillId="15" borderId="0" xfId="0" applyFill="1"/>
    <xf numFmtId="0" fontId="14" fillId="15" borderId="1" xfId="0" applyFont="1" applyFill="1" applyBorder="1" applyAlignment="1">
      <alignment horizontal="center"/>
    </xf>
    <xf numFmtId="184" fontId="77" fillId="15" borderId="1" xfId="0" applyNumberFormat="1" applyFont="1" applyFill="1" applyBorder="1"/>
    <xf numFmtId="184" fontId="77" fillId="15" borderId="108" xfId="0" applyNumberFormat="1" applyFont="1" applyFill="1" applyBorder="1"/>
    <xf numFmtId="0" fontId="88" fillId="15" borderId="108" xfId="0" applyFont="1" applyFill="1" applyBorder="1" applyAlignment="1">
      <alignment horizontal="center"/>
    </xf>
    <xf numFmtId="0" fontId="77" fillId="15" borderId="13" xfId="0" applyFont="1" applyFill="1" applyBorder="1" applyAlignment="1">
      <alignment horizontal="center"/>
    </xf>
    <xf numFmtId="0" fontId="87" fillId="0" borderId="140" xfId="0" applyFont="1" applyBorder="1" applyAlignment="1">
      <alignment horizontal="center" vertical="center"/>
    </xf>
    <xf numFmtId="0" fontId="87" fillId="0" borderId="1" xfId="0" applyFont="1" applyBorder="1" applyAlignment="1">
      <alignment horizontal="center" vertical="center"/>
    </xf>
    <xf numFmtId="167" fontId="82" fillId="0" borderId="0" xfId="1" applyFont="1" applyAlignment="1">
      <alignment horizontal="center"/>
    </xf>
    <xf numFmtId="43" fontId="8" fillId="0" borderId="0" xfId="6" applyFont="1"/>
    <xf numFmtId="17" fontId="71" fillId="0" borderId="0" xfId="0" quotePrefix="1" applyNumberFormat="1" applyFont="1" applyAlignment="1">
      <alignment horizontal="left"/>
    </xf>
    <xf numFmtId="10" fontId="77" fillId="15" borderId="106" xfId="2" applyNumberFormat="1" applyFont="1" applyFill="1" applyBorder="1" applyAlignment="1">
      <alignment horizontal="center"/>
    </xf>
    <xf numFmtId="0" fontId="0" fillId="3" borderId="30" xfId="0" applyFill="1" applyBorder="1"/>
    <xf numFmtId="0" fontId="88" fillId="3" borderId="25" xfId="0" quotePrefix="1" applyFont="1" applyFill="1" applyBorder="1" applyAlignment="1">
      <alignment horizontal="center"/>
    </xf>
    <xf numFmtId="0" fontId="11" fillId="3" borderId="141" xfId="0" applyFont="1" applyFill="1" applyBorder="1" applyAlignment="1">
      <alignment horizontal="center"/>
    </xf>
    <xf numFmtId="0" fontId="11" fillId="3" borderId="140" xfId="0" applyFont="1" applyFill="1" applyBorder="1" applyAlignment="1">
      <alignment horizontal="center" wrapText="1"/>
    </xf>
    <xf numFmtId="0" fontId="8" fillId="3" borderId="25" xfId="0" applyFont="1" applyFill="1" applyBorder="1" applyAlignment="1">
      <alignment horizontal="center"/>
    </xf>
    <xf numFmtId="0" fontId="8" fillId="3" borderId="42" xfId="0" applyFont="1" applyFill="1" applyBorder="1" applyAlignment="1">
      <alignment horizontal="center"/>
    </xf>
    <xf numFmtId="184" fontId="88" fillId="0" borderId="25" xfId="0" applyNumberFormat="1" applyFont="1" applyBorder="1"/>
    <xf numFmtId="10" fontId="88" fillId="0" borderId="25" xfId="2" applyNumberFormat="1" applyFont="1" applyFill="1" applyBorder="1" applyAlignment="1">
      <alignment horizontal="center"/>
    </xf>
    <xf numFmtId="167" fontId="88" fillId="0" borderId="25" xfId="1" applyFont="1" applyFill="1" applyBorder="1"/>
    <xf numFmtId="167" fontId="23" fillId="0" borderId="25" xfId="1" applyFont="1" applyFill="1" applyBorder="1"/>
    <xf numFmtId="0" fontId="86" fillId="0" borderId="138" xfId="0" applyFont="1" applyBorder="1" applyAlignment="1">
      <alignment horizontal="center" vertical="center"/>
    </xf>
    <xf numFmtId="0" fontId="88" fillId="0" borderId="139" xfId="0" applyFont="1" applyBorder="1"/>
    <xf numFmtId="0" fontId="88" fillId="0" borderId="143" xfId="0" applyFont="1" applyBorder="1"/>
    <xf numFmtId="0" fontId="88" fillId="0" borderId="144" xfId="0" applyFont="1" applyBorder="1"/>
    <xf numFmtId="0" fontId="88" fillId="0" borderId="24" xfId="0" applyFont="1" applyBorder="1"/>
    <xf numFmtId="0" fontId="88" fillId="0" borderId="71" xfId="0" applyFont="1" applyBorder="1"/>
    <xf numFmtId="0" fontId="88" fillId="0" borderId="43" xfId="0" applyFont="1" applyBorder="1"/>
    <xf numFmtId="0" fontId="88" fillId="15" borderId="143" xfId="0" applyFont="1" applyFill="1" applyBorder="1"/>
    <xf numFmtId="0" fontId="88" fillId="15" borderId="24" xfId="0" applyFont="1" applyFill="1" applyBorder="1"/>
    <xf numFmtId="0" fontId="88" fillId="15" borderId="43" xfId="0" applyFont="1" applyFill="1" applyBorder="1"/>
    <xf numFmtId="0" fontId="88" fillId="15" borderId="144" xfId="0" applyFont="1" applyFill="1" applyBorder="1"/>
    <xf numFmtId="0" fontId="88" fillId="0" borderId="145" xfId="0" applyFont="1" applyBorder="1"/>
    <xf numFmtId="0" fontId="88" fillId="0" borderId="146" xfId="0" applyFont="1" applyBorder="1"/>
    <xf numFmtId="167" fontId="2" fillId="0" borderId="1" xfId="1" applyFont="1" applyBorder="1"/>
    <xf numFmtId="167" fontId="0" fillId="0" borderId="1" xfId="1" applyFont="1" applyBorder="1"/>
    <xf numFmtId="167" fontId="0" fillId="15" borderId="1" xfId="1" applyFont="1" applyFill="1" applyBorder="1"/>
    <xf numFmtId="184" fontId="98" fillId="0" borderId="25" xfId="0" applyNumberFormat="1" applyFont="1" applyBorder="1"/>
    <xf numFmtId="0" fontId="103" fillId="0" borderId="137" xfId="0" applyFont="1" applyBorder="1" applyAlignment="1">
      <alignment horizontal="center" vertical="center" wrapText="1"/>
    </xf>
    <xf numFmtId="43" fontId="0" fillId="0" borderId="1" xfId="6" applyFont="1" applyBorder="1"/>
    <xf numFmtId="43" fontId="0" fillId="15" borderId="1" xfId="6" applyFont="1" applyFill="1" applyBorder="1"/>
    <xf numFmtId="0" fontId="98" fillId="0" borderId="0" xfId="0" applyFont="1" applyAlignment="1">
      <alignment horizontal="center"/>
    </xf>
    <xf numFmtId="184" fontId="77" fillId="0" borderId="134" xfId="0" applyNumberFormat="1" applyFont="1" applyBorder="1"/>
    <xf numFmtId="0" fontId="87" fillId="0" borderId="147" xfId="0" applyFont="1" applyBorder="1" applyAlignment="1">
      <alignment horizontal="center" vertical="center"/>
    </xf>
    <xf numFmtId="0" fontId="86" fillId="0" borderId="148" xfId="0" applyFont="1" applyBorder="1" applyAlignment="1">
      <alignment horizontal="center" vertical="center" wrapText="1"/>
    </xf>
    <xf numFmtId="0" fontId="86" fillId="0" borderId="149" xfId="0" applyFont="1" applyBorder="1" applyAlignment="1">
      <alignment horizontal="center" vertical="center" wrapText="1"/>
    </xf>
    <xf numFmtId="0" fontId="86" fillId="0" borderId="150" xfId="0" applyFont="1" applyBorder="1" applyAlignment="1">
      <alignment horizontal="center" vertical="center" wrapText="1"/>
    </xf>
    <xf numFmtId="187" fontId="104" fillId="0" borderId="0" xfId="6" applyNumberFormat="1" applyFont="1" applyAlignment="1">
      <alignment horizontal="center"/>
    </xf>
    <xf numFmtId="187" fontId="29" fillId="0" borderId="0" xfId="6" applyNumberFormat="1" applyFont="1" applyFill="1"/>
    <xf numFmtId="188" fontId="97" fillId="0" borderId="0" xfId="2" applyNumberFormat="1" applyFont="1" applyAlignment="1">
      <alignment horizontal="center"/>
    </xf>
    <xf numFmtId="43" fontId="8" fillId="0" borderId="25" xfId="6" applyFont="1" applyFill="1" applyBorder="1"/>
    <xf numFmtId="0" fontId="102" fillId="0" borderId="137" xfId="0" applyFont="1" applyBorder="1" applyAlignment="1">
      <alignment horizontal="center" vertical="center" wrapText="1"/>
    </xf>
    <xf numFmtId="10" fontId="76" fillId="17" borderId="1" xfId="2" applyNumberFormat="1" applyFont="1" applyFill="1" applyBorder="1" applyAlignment="1">
      <alignment horizontal="center"/>
    </xf>
    <xf numFmtId="43" fontId="29" fillId="16" borderId="1" xfId="6" applyFont="1" applyFill="1" applyBorder="1"/>
    <xf numFmtId="0" fontId="48" fillId="16" borderId="0" xfId="0" applyFont="1" applyFill="1"/>
    <xf numFmtId="0" fontId="101" fillId="16" borderId="0" xfId="0" applyFont="1" applyFill="1"/>
    <xf numFmtId="184" fontId="97" fillId="16" borderId="0" xfId="0" applyNumberFormat="1" applyFont="1" applyFill="1"/>
    <xf numFmtId="184" fontId="97" fillId="16" borderId="0" xfId="0" applyNumberFormat="1" applyFont="1" applyFill="1" applyAlignment="1">
      <alignment horizontal="center"/>
    </xf>
    <xf numFmtId="43" fontId="101" fillId="16" borderId="0" xfId="6" applyFont="1" applyFill="1"/>
    <xf numFmtId="0" fontId="99" fillId="16" borderId="142" xfId="0" applyFont="1" applyFill="1" applyBorder="1" applyAlignment="1">
      <alignment horizontal="center" vertical="center" wrapText="1"/>
    </xf>
    <xf numFmtId="43" fontId="29" fillId="16" borderId="25" xfId="6" applyFont="1" applyFill="1" applyBorder="1"/>
    <xf numFmtId="0" fontId="17" fillId="2" borderId="0" xfId="0" applyFont="1" applyFill="1"/>
    <xf numFmtId="167" fontId="17" fillId="2" borderId="0" xfId="0" applyNumberFormat="1" applyFont="1" applyFill="1"/>
    <xf numFmtId="0" fontId="105" fillId="0" borderId="1" xfId="0" applyFont="1" applyBorder="1" applyAlignment="1">
      <alignment horizontal="center"/>
    </xf>
    <xf numFmtId="167" fontId="100" fillId="16" borderId="0" xfId="1" applyFont="1" applyFill="1" applyAlignment="1">
      <alignment horizontal="center"/>
    </xf>
    <xf numFmtId="0" fontId="102" fillId="16" borderId="137" xfId="0" applyFont="1" applyFill="1" applyBorder="1" applyAlignment="1">
      <alignment horizontal="center" vertical="center" wrapText="1"/>
    </xf>
    <xf numFmtId="184" fontId="98" fillId="16" borderId="25" xfId="0" applyNumberFormat="1" applyFont="1" applyFill="1" applyBorder="1"/>
    <xf numFmtId="43" fontId="8" fillId="16" borderId="25" xfId="6" applyFont="1" applyFill="1" applyBorder="1"/>
    <xf numFmtId="43" fontId="8" fillId="16" borderId="0" xfId="6" applyFont="1" applyFill="1"/>
    <xf numFmtId="0" fontId="48" fillId="18" borderId="0" xfId="0" applyFont="1" applyFill="1"/>
    <xf numFmtId="0" fontId="101" fillId="18" borderId="0" xfId="0" applyFont="1" applyFill="1"/>
    <xf numFmtId="167" fontId="100" fillId="18" borderId="0" xfId="1" applyFont="1" applyFill="1" applyAlignment="1">
      <alignment horizontal="center"/>
    </xf>
    <xf numFmtId="43" fontId="8" fillId="18" borderId="25" xfId="6" applyFont="1" applyFill="1" applyBorder="1"/>
    <xf numFmtId="0" fontId="99" fillId="18" borderId="140" xfId="0" applyFont="1" applyFill="1" applyBorder="1" applyAlignment="1">
      <alignment horizontal="center" vertical="center" wrapText="1"/>
    </xf>
    <xf numFmtId="9" fontId="97" fillId="16" borderId="0" xfId="2" applyFont="1" applyFill="1" applyAlignment="1">
      <alignment horizontal="center"/>
    </xf>
    <xf numFmtId="9" fontId="97" fillId="18" borderId="0" xfId="2" applyFont="1" applyFill="1" applyAlignment="1">
      <alignment horizontal="center"/>
    </xf>
    <xf numFmtId="167" fontId="101" fillId="16" borderId="0" xfId="0" applyNumberFormat="1" applyFont="1" applyFill="1"/>
    <xf numFmtId="43" fontId="8" fillId="15" borderId="25" xfId="6" applyFont="1" applyFill="1" applyBorder="1"/>
    <xf numFmtId="43" fontId="29" fillId="15" borderId="1" xfId="6" applyFont="1" applyFill="1" applyBorder="1"/>
    <xf numFmtId="184" fontId="77" fillId="15" borderId="118" xfId="0" applyNumberFormat="1" applyFont="1" applyFill="1" applyBorder="1" applyAlignment="1">
      <alignment horizontal="center"/>
    </xf>
    <xf numFmtId="0" fontId="106" fillId="0" borderId="0" xfId="0" applyFont="1" applyAlignment="1">
      <alignment vertical="center"/>
    </xf>
    <xf numFmtId="0" fontId="86" fillId="2" borderId="0" xfId="0" applyFont="1" applyFill="1"/>
    <xf numFmtId="0" fontId="103" fillId="2" borderId="0" xfId="0" applyFont="1" applyFill="1"/>
    <xf numFmtId="167" fontId="29" fillId="2" borderId="0" xfId="1" applyFont="1" applyFill="1"/>
    <xf numFmtId="0" fontId="88" fillId="2" borderId="0" xfId="0" applyFont="1" applyFill="1" applyAlignment="1">
      <alignment horizontal="center"/>
    </xf>
    <xf numFmtId="0" fontId="104" fillId="2" borderId="0" xfId="0" applyFont="1" applyFill="1" applyAlignment="1">
      <alignment horizontal="center"/>
    </xf>
    <xf numFmtId="0" fontId="29" fillId="2" borderId="0" xfId="0" applyFont="1" applyFill="1"/>
    <xf numFmtId="0" fontId="88" fillId="2" borderId="0" xfId="0" applyFont="1" applyFill="1"/>
    <xf numFmtId="167" fontId="103" fillId="2" borderId="0" xfId="1" applyFont="1" applyFill="1"/>
    <xf numFmtId="167" fontId="23" fillId="2" borderId="0" xfId="1" applyFont="1" applyFill="1"/>
    <xf numFmtId="10" fontId="88" fillId="2" borderId="0" xfId="2" applyNumberFormat="1" applyFont="1" applyFill="1" applyAlignment="1">
      <alignment horizontal="center"/>
    </xf>
    <xf numFmtId="10" fontId="86" fillId="2" borderId="0" xfId="2" applyNumberFormat="1" applyFont="1" applyFill="1" applyBorder="1" applyAlignment="1">
      <alignment horizontal="center"/>
    </xf>
    <xf numFmtId="0" fontId="29" fillId="2" borderId="0" xfId="0" applyFont="1" applyFill="1" applyAlignment="1">
      <alignment horizontal="center"/>
    </xf>
    <xf numFmtId="167" fontId="29" fillId="2" borderId="0" xfId="1" applyFont="1" applyFill="1" applyAlignment="1">
      <alignment horizontal="center"/>
    </xf>
    <xf numFmtId="0" fontId="50" fillId="2" borderId="0" xfId="0" applyFont="1" applyFill="1"/>
    <xf numFmtId="17" fontId="86" fillId="2" borderId="0" xfId="0" quotePrefix="1" applyNumberFormat="1" applyFont="1" applyFill="1" applyAlignment="1">
      <alignment horizontal="left"/>
    </xf>
    <xf numFmtId="17" fontId="103" fillId="2" borderId="0" xfId="0" quotePrefix="1" applyNumberFormat="1" applyFont="1" applyFill="1" applyAlignment="1">
      <alignment horizontal="left"/>
    </xf>
    <xf numFmtId="167" fontId="104" fillId="2" borderId="0" xfId="1" applyFont="1" applyFill="1" applyAlignment="1">
      <alignment horizontal="center"/>
    </xf>
    <xf numFmtId="167" fontId="23" fillId="2" borderId="0" xfId="1" applyFont="1" applyFill="1" applyAlignment="1">
      <alignment horizontal="center"/>
    </xf>
    <xf numFmtId="184" fontId="86" fillId="2" borderId="0" xfId="0" applyNumberFormat="1" applyFont="1" applyFill="1"/>
    <xf numFmtId="184" fontId="103" fillId="2" borderId="0" xfId="0" applyNumberFormat="1" applyFont="1" applyFill="1"/>
    <xf numFmtId="167" fontId="104" fillId="2" borderId="1" xfId="1" applyFont="1" applyFill="1" applyBorder="1" applyAlignment="1">
      <alignment horizontal="center"/>
    </xf>
    <xf numFmtId="167" fontId="104" fillId="2" borderId="16" xfId="1" applyFont="1" applyFill="1" applyBorder="1" applyAlignment="1">
      <alignment horizontal="center"/>
    </xf>
    <xf numFmtId="167" fontId="103" fillId="2" borderId="16" xfId="8" applyFont="1" applyFill="1" applyBorder="1" applyAlignment="1">
      <alignment horizontal="center" vertical="center" wrapText="1"/>
    </xf>
    <xf numFmtId="167" fontId="50" fillId="2" borderId="16" xfId="8" applyFont="1" applyFill="1" applyBorder="1" applyAlignment="1">
      <alignment vertical="center" wrapText="1"/>
    </xf>
    <xf numFmtId="189" fontId="95" fillId="2" borderId="15" xfId="8" applyNumberFormat="1" applyFont="1" applyFill="1" applyBorder="1" applyAlignment="1">
      <alignment horizontal="center" vertical="center" wrapText="1"/>
    </xf>
    <xf numFmtId="173" fontId="50" fillId="2" borderId="1" xfId="2" applyNumberFormat="1" applyFont="1" applyFill="1" applyBorder="1" applyAlignment="1">
      <alignment horizontal="center" vertical="center" wrapText="1"/>
    </xf>
    <xf numFmtId="189" fontId="50" fillId="2" borderId="1" xfId="8" applyNumberFormat="1" applyFont="1" applyFill="1" applyBorder="1" applyAlignment="1">
      <alignment horizontal="center" vertical="center" wrapText="1"/>
    </xf>
    <xf numFmtId="189" fontId="95" fillId="2" borderId="1" xfId="8" applyNumberFormat="1" applyFont="1" applyFill="1" applyBorder="1" applyAlignment="1">
      <alignment horizontal="center" vertical="center" wrapText="1"/>
    </xf>
    <xf numFmtId="184" fontId="86" fillId="2" borderId="0" xfId="0" applyNumberFormat="1" applyFont="1" applyFill="1" applyAlignment="1">
      <alignment horizontal="center"/>
    </xf>
    <xf numFmtId="184" fontId="103" fillId="2" borderId="0" xfId="0" applyNumberFormat="1" applyFont="1" applyFill="1" applyAlignment="1">
      <alignment horizontal="center"/>
    </xf>
    <xf numFmtId="10" fontId="86" fillId="2" borderId="0" xfId="2" applyNumberFormat="1" applyFont="1" applyFill="1" applyAlignment="1">
      <alignment horizontal="center"/>
    </xf>
    <xf numFmtId="167" fontId="88" fillId="2" borderId="0" xfId="1" applyFont="1" applyFill="1" applyAlignment="1">
      <alignment horizontal="center"/>
    </xf>
    <xf numFmtId="190" fontId="88" fillId="2" borderId="0" xfId="0" applyNumberFormat="1" applyFont="1" applyFill="1" applyAlignment="1">
      <alignment horizontal="center"/>
    </xf>
    <xf numFmtId="191" fontId="23" fillId="2" borderId="0" xfId="1" applyNumberFormat="1" applyFont="1" applyFill="1"/>
    <xf numFmtId="0" fontId="86" fillId="2" borderId="0" xfId="0" applyFont="1" applyFill="1" applyAlignment="1">
      <alignment horizontal="center"/>
    </xf>
    <xf numFmtId="0" fontId="88" fillId="2" borderId="0" xfId="0" applyFont="1" applyFill="1" applyAlignment="1">
      <alignment horizontal="center" wrapText="1"/>
    </xf>
    <xf numFmtId="167" fontId="103" fillId="2" borderId="1" xfId="1" applyFont="1" applyFill="1" applyBorder="1" applyAlignment="1">
      <alignment horizontal="center" vertical="center" wrapText="1"/>
    </xf>
    <xf numFmtId="0" fontId="103" fillId="2" borderId="1" xfId="1" applyNumberFormat="1" applyFont="1" applyFill="1" applyBorder="1" applyAlignment="1">
      <alignment horizontal="center" vertical="center" wrapText="1"/>
    </xf>
    <xf numFmtId="167" fontId="103" fillId="2" borderId="1" xfId="1" applyFont="1" applyFill="1" applyBorder="1" applyAlignment="1">
      <alignment horizontal="center" vertical="center"/>
    </xf>
    <xf numFmtId="0" fontId="103" fillId="2" borderId="1" xfId="1" applyNumberFormat="1" applyFont="1" applyFill="1" applyBorder="1" applyAlignment="1">
      <alignment horizontal="center" vertical="center"/>
    </xf>
    <xf numFmtId="0" fontId="107" fillId="5" borderId="1" xfId="0" applyFont="1" applyFill="1" applyBorder="1" applyAlignment="1">
      <alignment horizontal="center" vertical="center"/>
    </xf>
    <xf numFmtId="0" fontId="103" fillId="2" borderId="1" xfId="0" applyFont="1" applyFill="1" applyBorder="1" applyAlignment="1">
      <alignment horizontal="center" vertical="center"/>
    </xf>
    <xf numFmtId="0" fontId="103" fillId="2" borderId="1" xfId="7" applyFont="1" applyFill="1" applyBorder="1" applyAlignment="1">
      <alignment horizontal="center" vertical="center" wrapText="1"/>
    </xf>
    <xf numFmtId="167" fontId="103" fillId="2" borderId="1" xfId="8" applyFont="1" applyFill="1" applyBorder="1" applyAlignment="1">
      <alignment horizontal="center" vertical="center" wrapText="1"/>
    </xf>
    <xf numFmtId="0" fontId="86" fillId="2" borderId="18" xfId="7" applyFont="1" applyFill="1" applyBorder="1" applyAlignment="1">
      <alignment horizontal="center" vertical="center" wrapText="1"/>
    </xf>
    <xf numFmtId="0" fontId="103" fillId="2" borderId="18" xfId="7" applyFont="1" applyFill="1" applyBorder="1" applyAlignment="1">
      <alignment horizontal="center" vertical="center" wrapText="1"/>
    </xf>
    <xf numFmtId="0" fontId="86" fillId="2" borderId="1" xfId="7" applyFont="1" applyFill="1" applyBorder="1" applyAlignment="1">
      <alignment horizontal="center" vertical="center" wrapText="1"/>
    </xf>
    <xf numFmtId="0" fontId="107" fillId="5" borderId="1" xfId="0" applyFont="1" applyFill="1" applyBorder="1" applyAlignment="1">
      <alignment horizontal="center" vertical="center" wrapText="1"/>
    </xf>
    <xf numFmtId="0" fontId="103" fillId="2" borderId="1" xfId="0" applyFont="1" applyFill="1" applyBorder="1" applyAlignment="1">
      <alignment horizontal="center" vertical="center" wrapText="1"/>
    </xf>
    <xf numFmtId="10" fontId="107" fillId="5" borderId="1" xfId="2" applyNumberFormat="1" applyFont="1" applyFill="1" applyBorder="1" applyAlignment="1">
      <alignment horizontal="center" vertical="center"/>
    </xf>
    <xf numFmtId="0" fontId="86" fillId="2" borderId="0" xfId="0" applyFont="1" applyFill="1" applyAlignment="1">
      <alignment vertical="center"/>
    </xf>
    <xf numFmtId="0" fontId="86" fillId="2" borderId="0" xfId="7" applyFont="1" applyFill="1" applyAlignment="1">
      <alignment horizontal="center" vertical="center" wrapText="1"/>
    </xf>
    <xf numFmtId="17" fontId="86" fillId="2" borderId="1" xfId="7" applyNumberFormat="1" applyFont="1" applyFill="1" applyBorder="1" applyAlignment="1">
      <alignment horizontal="center" vertical="center" wrapText="1"/>
    </xf>
    <xf numFmtId="167" fontId="86" fillId="2" borderId="1" xfId="1" applyFont="1" applyFill="1" applyBorder="1" applyAlignment="1">
      <alignment horizontal="center" vertical="center" wrapText="1"/>
    </xf>
    <xf numFmtId="0" fontId="95" fillId="2" borderId="1" xfId="0" applyFont="1" applyFill="1" applyBorder="1" applyAlignment="1">
      <alignment horizontal="center"/>
    </xf>
    <xf numFmtId="0" fontId="86" fillId="2" borderId="1" xfId="1" applyNumberFormat="1" applyFont="1" applyFill="1" applyBorder="1" applyAlignment="1">
      <alignment horizontal="center" vertical="center"/>
    </xf>
    <xf numFmtId="0" fontId="29" fillId="2" borderId="1" xfId="0" applyFont="1" applyFill="1" applyBorder="1" applyAlignment="1">
      <alignment horizontal="center"/>
    </xf>
    <xf numFmtId="0" fontId="104" fillId="2" borderId="1" xfId="1" quotePrefix="1" applyNumberFormat="1" applyFont="1" applyFill="1" applyBorder="1" applyAlignment="1">
      <alignment horizontal="center"/>
    </xf>
    <xf numFmtId="0" fontId="88" fillId="2" borderId="1" xfId="0" applyFont="1" applyFill="1" applyBorder="1" applyAlignment="1">
      <alignment horizontal="center"/>
    </xf>
    <xf numFmtId="0" fontId="104" fillId="2" borderId="1" xfId="0" applyFont="1" applyFill="1" applyBorder="1" applyAlignment="1">
      <alignment horizontal="center"/>
    </xf>
    <xf numFmtId="184" fontId="88" fillId="2" borderId="1" xfId="0" applyNumberFormat="1" applyFont="1" applyFill="1" applyBorder="1"/>
    <xf numFmtId="184" fontId="104" fillId="2" borderId="1" xfId="0" applyNumberFormat="1" applyFont="1" applyFill="1" applyBorder="1"/>
    <xf numFmtId="184" fontId="88" fillId="2" borderId="1" xfId="0" applyNumberFormat="1" applyFont="1" applyFill="1" applyBorder="1" applyAlignment="1">
      <alignment horizontal="center"/>
    </xf>
    <xf numFmtId="0" fontId="88" fillId="2" borderId="1" xfId="0" quotePrefix="1" applyFont="1" applyFill="1" applyBorder="1" applyAlignment="1">
      <alignment horizontal="center"/>
    </xf>
    <xf numFmtId="167" fontId="104" fillId="2" borderId="1" xfId="1" quotePrefix="1" applyFont="1" applyFill="1" applyBorder="1" applyAlignment="1">
      <alignment horizontal="center"/>
    </xf>
    <xf numFmtId="167" fontId="104" fillId="2" borderId="1" xfId="1" applyFont="1" applyFill="1" applyBorder="1"/>
    <xf numFmtId="167" fontId="88" fillId="2" borderId="1" xfId="1" applyFont="1" applyFill="1" applyBorder="1"/>
    <xf numFmtId="10" fontId="88" fillId="2" borderId="1" xfId="2" applyNumberFormat="1" applyFont="1" applyFill="1" applyBorder="1" applyAlignment="1">
      <alignment horizontal="center"/>
    </xf>
    <xf numFmtId="17" fontId="23" fillId="2" borderId="1" xfId="0" applyNumberFormat="1" applyFont="1" applyFill="1" applyBorder="1" applyAlignment="1">
      <alignment horizontal="center"/>
    </xf>
    <xf numFmtId="0" fontId="88" fillId="2" borderId="1" xfId="7" applyFont="1" applyFill="1" applyBorder="1" applyAlignment="1">
      <alignment horizontal="center" vertical="center" wrapText="1"/>
    </xf>
    <xf numFmtId="167" fontId="88" fillId="2" borderId="1" xfId="1" applyFont="1" applyFill="1" applyBorder="1" applyAlignment="1">
      <alignment vertical="center" wrapText="1"/>
    </xf>
    <xf numFmtId="9" fontId="88" fillId="2" borderId="1" xfId="2" applyFont="1" applyFill="1" applyBorder="1" applyAlignment="1">
      <alignment horizontal="center" vertical="center" wrapText="1"/>
    </xf>
    <xf numFmtId="17" fontId="86" fillId="2" borderId="0" xfId="7" applyNumberFormat="1" applyFont="1" applyFill="1" applyAlignment="1">
      <alignment horizontal="center" vertical="center" wrapText="1"/>
    </xf>
    <xf numFmtId="167" fontId="23" fillId="2" borderId="1" xfId="1" applyFont="1" applyFill="1" applyBorder="1"/>
    <xf numFmtId="0" fontId="23" fillId="2" borderId="1" xfId="0" applyFont="1" applyFill="1" applyBorder="1" applyAlignment="1">
      <alignment horizontal="center"/>
    </xf>
    <xf numFmtId="0" fontId="88" fillId="2" borderId="1" xfId="3" applyFont="1" applyFill="1" applyBorder="1" applyAlignment="1">
      <alignment horizontal="center"/>
    </xf>
    <xf numFmtId="0" fontId="88" fillId="2" borderId="1" xfId="3" applyFont="1" applyFill="1" applyBorder="1" applyAlignment="1">
      <alignment horizontal="center" wrapText="1"/>
    </xf>
    <xf numFmtId="2" fontId="88" fillId="2" borderId="1" xfId="3" applyNumberFormat="1" applyFont="1" applyFill="1" applyBorder="1" applyAlignment="1">
      <alignment horizontal="center" wrapText="1"/>
    </xf>
    <xf numFmtId="167" fontId="23" fillId="2" borderId="0" xfId="0" applyNumberFormat="1" applyFont="1" applyFill="1"/>
    <xf numFmtId="0" fontId="86" fillId="3" borderId="1" xfId="0" applyFont="1" applyFill="1" applyBorder="1" applyAlignment="1">
      <alignment horizontal="center"/>
    </xf>
    <xf numFmtId="0" fontId="23" fillId="2" borderId="1" xfId="0" applyFont="1" applyFill="1" applyBorder="1"/>
    <xf numFmtId="189" fontId="23" fillId="2" borderId="0" xfId="0" applyNumberFormat="1" applyFont="1" applyFill="1"/>
    <xf numFmtId="184" fontId="88" fillId="3" borderId="1" xfId="0" applyNumberFormat="1" applyFont="1" applyFill="1" applyBorder="1"/>
    <xf numFmtId="0" fontId="95" fillId="2" borderId="0" xfId="0" applyFont="1" applyFill="1" applyAlignment="1">
      <alignment horizontal="center"/>
    </xf>
    <xf numFmtId="0" fontId="88" fillId="2" borderId="0" xfId="3" applyFont="1" applyFill="1" applyAlignment="1">
      <alignment horizontal="center"/>
    </xf>
    <xf numFmtId="0" fontId="88" fillId="2" borderId="0" xfId="3" applyFont="1" applyFill="1" applyAlignment="1">
      <alignment horizontal="center" wrapText="1"/>
    </xf>
    <xf numFmtId="167" fontId="50" fillId="2" borderId="124" xfId="1" applyFont="1" applyFill="1" applyBorder="1"/>
    <xf numFmtId="167" fontId="95" fillId="2" borderId="124" xfId="1" applyFont="1" applyFill="1" applyBorder="1"/>
    <xf numFmtId="167" fontId="95" fillId="2" borderId="124" xfId="1" applyFont="1" applyFill="1" applyBorder="1" applyAlignment="1">
      <alignment horizontal="center"/>
    </xf>
    <xf numFmtId="184" fontId="88" fillId="2" borderId="0" xfId="0" applyNumberFormat="1" applyFont="1" applyFill="1"/>
    <xf numFmtId="0" fontId="23" fillId="2" borderId="151" xfId="0" applyFont="1" applyFill="1" applyBorder="1" applyAlignment="1">
      <alignment horizontal="center"/>
    </xf>
    <xf numFmtId="0" fontId="23" fillId="2" borderId="151" xfId="0" applyFont="1" applyFill="1" applyBorder="1"/>
    <xf numFmtId="167" fontId="95" fillId="2" borderId="151" xfId="1" applyFont="1" applyFill="1" applyBorder="1"/>
    <xf numFmtId="167" fontId="110" fillId="5" borderId="0" xfId="1" applyFont="1" applyFill="1" applyAlignment="1">
      <alignment horizontal="center"/>
    </xf>
    <xf numFmtId="167" fontId="50" fillId="2" borderId="0" xfId="1" applyFont="1" applyFill="1"/>
    <xf numFmtId="167" fontId="95" fillId="2" borderId="0" xfId="1" applyFont="1" applyFill="1" applyAlignment="1">
      <alignment horizontal="center"/>
    </xf>
    <xf numFmtId="167" fontId="50" fillId="2" borderId="0" xfId="1" applyFont="1" applyFill="1" applyAlignment="1">
      <alignment horizontal="center"/>
    </xf>
    <xf numFmtId="167" fontId="29" fillId="2" borderId="1" xfId="1" applyFont="1" applyFill="1" applyBorder="1"/>
    <xf numFmtId="17" fontId="23" fillId="2" borderId="15" xfId="0" applyNumberFormat="1" applyFont="1" applyFill="1" applyBorder="1" applyAlignment="1">
      <alignment wrapText="1"/>
    </xf>
    <xf numFmtId="167" fontId="23" fillId="2" borderId="24" xfId="1" applyFont="1" applyFill="1" applyBorder="1"/>
    <xf numFmtId="17" fontId="23" fillId="2" borderId="15" xfId="0" applyNumberFormat="1" applyFont="1" applyFill="1" applyBorder="1"/>
    <xf numFmtId="167" fontId="23" fillId="2" borderId="0" xfId="1" applyFont="1" applyFill="1" applyBorder="1"/>
    <xf numFmtId="0" fontId="95" fillId="2" borderId="151" xfId="0" applyFont="1" applyFill="1" applyBorder="1"/>
    <xf numFmtId="189" fontId="29" fillId="2" borderId="0" xfId="0" applyNumberFormat="1" applyFont="1" applyFill="1" applyAlignment="1">
      <alignment horizontal="center"/>
    </xf>
    <xf numFmtId="167" fontId="95" fillId="2" borderId="1" xfId="1" applyFont="1" applyFill="1" applyBorder="1"/>
    <xf numFmtId="167" fontId="50" fillId="2" borderId="1" xfId="1" applyFont="1" applyFill="1" applyBorder="1" applyAlignment="1">
      <alignment horizontal="center" vertical="center" wrapText="1"/>
    </xf>
    <xf numFmtId="167" fontId="104" fillId="2" borderId="0" xfId="1" applyFont="1" applyFill="1" applyBorder="1" applyAlignment="1">
      <alignment horizontal="center"/>
    </xf>
    <xf numFmtId="167" fontId="29" fillId="2" borderId="1" xfId="1" applyFont="1" applyFill="1" applyBorder="1" applyAlignment="1">
      <alignment horizontal="left" vertical="center"/>
    </xf>
    <xf numFmtId="167" fontId="50" fillId="2" borderId="1" xfId="1" applyFont="1" applyFill="1" applyBorder="1" applyAlignment="1">
      <alignment horizontal="center" vertical="center"/>
    </xf>
    <xf numFmtId="167" fontId="29" fillId="2" borderId="0" xfId="9" applyFont="1" applyFill="1" applyBorder="1"/>
    <xf numFmtId="167" fontId="29" fillId="2" borderId="1" xfId="9" applyFont="1" applyFill="1" applyBorder="1" applyAlignment="1">
      <alignment horizontal="left" indent="2"/>
    </xf>
    <xf numFmtId="167" fontId="29" fillId="2" borderId="1" xfId="9" applyFont="1" applyFill="1" applyBorder="1"/>
    <xf numFmtId="167" fontId="29" fillId="2" borderId="0" xfId="9" applyFont="1" applyFill="1" applyBorder="1" applyAlignment="1">
      <alignment horizontal="left" indent="2"/>
    </xf>
    <xf numFmtId="167" fontId="95" fillId="2" borderId="1" xfId="1" applyFont="1" applyFill="1" applyBorder="1" applyAlignment="1">
      <alignment horizontal="center" vertical="center" wrapText="1"/>
    </xf>
    <xf numFmtId="167" fontId="95" fillId="2" borderId="1" xfId="1" applyFont="1" applyFill="1" applyBorder="1" applyAlignment="1">
      <alignment horizontal="center" vertical="center"/>
    </xf>
    <xf numFmtId="167" fontId="50" fillId="2" borderId="0" xfId="9" applyFont="1" applyFill="1" applyBorder="1" applyAlignment="1">
      <alignment horizontal="center"/>
    </xf>
    <xf numFmtId="167" fontId="111" fillId="2" borderId="0" xfId="9" applyFont="1" applyFill="1" applyBorder="1" applyAlignment="1">
      <alignment horizontal="center"/>
    </xf>
    <xf numFmtId="0" fontId="50" fillId="2" borderId="0" xfId="0" applyFont="1" applyFill="1" applyAlignment="1">
      <alignment horizontal="center"/>
    </xf>
    <xf numFmtId="0" fontId="29" fillId="3" borderId="0" xfId="0" applyFont="1" applyFill="1" applyAlignment="1">
      <alignment horizontal="center"/>
    </xf>
    <xf numFmtId="167" fontId="29" fillId="2" borderId="0" xfId="9" applyFont="1" applyFill="1" applyBorder="1" applyAlignment="1"/>
    <xf numFmtId="167" fontId="29" fillId="2" borderId="0" xfId="9" applyFont="1" applyFill="1" applyBorder="1" applyAlignment="1">
      <alignment horizontal="left" indent="1"/>
    </xf>
    <xf numFmtId="167" fontId="29" fillId="2" borderId="0" xfId="1" applyFont="1" applyFill="1" applyBorder="1"/>
    <xf numFmtId="10" fontId="23" fillId="2" borderId="0" xfId="2" applyNumberFormat="1" applyFont="1" applyFill="1"/>
    <xf numFmtId="167" fontId="88" fillId="0" borderId="25" xfId="0" applyNumberFormat="1" applyFont="1" applyBorder="1" applyAlignment="1">
      <alignment horizontal="center"/>
    </xf>
    <xf numFmtId="10" fontId="17" fillId="2" borderId="0" xfId="0" applyNumberFormat="1" applyFont="1" applyFill="1"/>
    <xf numFmtId="43" fontId="23" fillId="0" borderId="1" xfId="4" applyFont="1" applyFill="1" applyBorder="1"/>
    <xf numFmtId="0" fontId="50" fillId="2" borderId="1" xfId="0" applyFont="1" applyFill="1" applyBorder="1" applyAlignment="1">
      <alignment horizontal="center"/>
    </xf>
    <xf numFmtId="10" fontId="8" fillId="2" borderId="0" xfId="2" applyNumberFormat="1" applyFont="1" applyFill="1"/>
    <xf numFmtId="10" fontId="8" fillId="2" borderId="0" xfId="2" applyNumberFormat="1" applyFont="1" applyFill="1" applyAlignment="1">
      <alignment horizontal="center"/>
    </xf>
    <xf numFmtId="0" fontId="17" fillId="2" borderId="0" xfId="0" applyFont="1" applyFill="1" applyAlignment="1">
      <alignment horizontal="center"/>
    </xf>
    <xf numFmtId="10" fontId="8" fillId="0" borderId="0" xfId="2" applyNumberFormat="1" applyFont="1"/>
    <xf numFmtId="0" fontId="2" fillId="2" borderId="0" xfId="0" applyFont="1" applyFill="1"/>
    <xf numFmtId="0" fontId="95" fillId="2" borderId="1" xfId="0" applyFont="1" applyFill="1" applyBorder="1"/>
    <xf numFmtId="173" fontId="95" fillId="2" borderId="1" xfId="2" applyNumberFormat="1" applyFont="1" applyFill="1" applyBorder="1" applyAlignment="1">
      <alignment horizontal="center" vertical="center" wrapText="1"/>
    </xf>
    <xf numFmtId="10" fontId="21" fillId="2" borderId="1" xfId="0" applyNumberFormat="1" applyFont="1" applyFill="1" applyBorder="1" applyAlignment="1">
      <alignment horizontal="center" vertical="center"/>
    </xf>
    <xf numFmtId="10" fontId="21" fillId="0" borderId="1" xfId="0" applyNumberFormat="1" applyFont="1" applyBorder="1" applyAlignment="1">
      <alignment horizontal="center" vertical="center"/>
    </xf>
    <xf numFmtId="10" fontId="21" fillId="0" borderId="5" xfId="0" applyNumberFormat="1" applyFont="1" applyBorder="1" applyAlignment="1">
      <alignment horizontal="center" vertical="center"/>
    </xf>
    <xf numFmtId="0" fontId="112" fillId="19" borderId="0" xfId="10" applyFont="1" applyFill="1" applyAlignment="1">
      <alignment horizontal="left"/>
    </xf>
    <xf numFmtId="0" fontId="26" fillId="19" borderId="0" xfId="10" applyFill="1" applyAlignment="1">
      <alignment horizontal="left"/>
    </xf>
    <xf numFmtId="0" fontId="26" fillId="19" borderId="0" xfId="10" applyFill="1"/>
    <xf numFmtId="0" fontId="108" fillId="19" borderId="0" xfId="10" applyFont="1" applyFill="1" applyAlignment="1">
      <alignment horizontal="center"/>
    </xf>
    <xf numFmtId="0" fontId="26" fillId="2" borderId="0" xfId="10" applyFill="1"/>
    <xf numFmtId="0" fontId="26" fillId="0" borderId="0" xfId="10" applyAlignment="1">
      <alignment horizontal="center"/>
    </xf>
    <xf numFmtId="0" fontId="26" fillId="0" borderId="0" xfId="10"/>
    <xf numFmtId="0" fontId="108" fillId="0" borderId="0" xfId="10" applyFont="1" applyAlignment="1">
      <alignment horizontal="center"/>
    </xf>
    <xf numFmtId="43" fontId="108" fillId="0" borderId="0" xfId="11" applyFont="1" applyBorder="1" applyAlignment="1">
      <alignment horizontal="left"/>
    </xf>
    <xf numFmtId="0" fontId="56" fillId="0" borderId="0" xfId="10" applyFont="1" applyAlignment="1">
      <alignment horizontal="center"/>
    </xf>
    <xf numFmtId="22" fontId="26" fillId="0" borderId="0" xfId="10" applyNumberFormat="1" applyAlignment="1">
      <alignment horizontal="center"/>
    </xf>
    <xf numFmtId="22" fontId="108" fillId="0" borderId="0" xfId="10" applyNumberFormat="1" applyFont="1" applyAlignment="1">
      <alignment horizontal="center"/>
    </xf>
    <xf numFmtId="0" fontId="26" fillId="19" borderId="152" xfId="10" applyFill="1" applyBorder="1" applyAlignment="1">
      <alignment horizontal="left"/>
    </xf>
    <xf numFmtId="0" fontId="26" fillId="19" borderId="152" xfId="10" applyFill="1" applyBorder="1"/>
    <xf numFmtId="0" fontId="108" fillId="2" borderId="0" xfId="10" applyFont="1" applyFill="1"/>
    <xf numFmtId="0" fontId="26" fillId="19" borderId="153" xfId="10" applyFill="1" applyBorder="1"/>
    <xf numFmtId="0" fontId="26" fillId="19" borderId="154" xfId="10" applyFill="1" applyBorder="1"/>
    <xf numFmtId="0" fontId="108" fillId="19" borderId="154" xfId="10" applyFont="1" applyFill="1" applyBorder="1"/>
    <xf numFmtId="43" fontId="26" fillId="0" borderId="0" xfId="11" applyFont="1" applyBorder="1" applyAlignment="1">
      <alignment horizontal="left"/>
    </xf>
    <xf numFmtId="0" fontId="87" fillId="0" borderId="0" xfId="10" applyFont="1"/>
    <xf numFmtId="0" fontId="108" fillId="0" borderId="0" xfId="10" applyFont="1" applyAlignment="1">
      <alignment horizontal="left"/>
    </xf>
    <xf numFmtId="43" fontId="26" fillId="19" borderId="0" xfId="11" applyFont="1" applyFill="1" applyBorder="1" applyAlignment="1">
      <alignment horizontal="left"/>
    </xf>
    <xf numFmtId="0" fontId="114" fillId="19" borderId="0" xfId="10" applyFont="1" applyFill="1" applyAlignment="1">
      <alignment horizontal="left" wrapText="1"/>
    </xf>
    <xf numFmtId="0" fontId="108" fillId="19" borderId="0" xfId="10" applyFont="1" applyFill="1" applyAlignment="1">
      <alignment horizontal="left"/>
    </xf>
    <xf numFmtId="43" fontId="26" fillId="19" borderId="152" xfId="11" applyFont="1" applyFill="1" applyBorder="1" applyAlignment="1">
      <alignment horizontal="left"/>
    </xf>
    <xf numFmtId="0" fontId="26" fillId="19" borderId="0" xfId="10" applyFill="1" applyAlignment="1">
      <alignment horizontal="center"/>
    </xf>
    <xf numFmtId="0" fontId="26" fillId="2" borderId="159" xfId="10" applyFill="1" applyBorder="1" applyAlignment="1">
      <alignment horizontal="left"/>
    </xf>
    <xf numFmtId="0" fontId="26" fillId="2" borderId="0" xfId="10" applyFill="1" applyAlignment="1">
      <alignment horizontal="right"/>
    </xf>
    <xf numFmtId="43" fontId="26" fillId="2" borderId="0" xfId="11" applyFont="1" applyFill="1"/>
    <xf numFmtId="192" fontId="26" fillId="2" borderId="0" xfId="12" applyNumberFormat="1" applyFont="1" applyFill="1" applyBorder="1" applyAlignment="1">
      <alignment horizontal="right"/>
    </xf>
    <xf numFmtId="0" fontId="26" fillId="19" borderId="159" xfId="10" applyFill="1" applyBorder="1" applyAlignment="1">
      <alignment horizontal="left"/>
    </xf>
    <xf numFmtId="0" fontId="26" fillId="19" borderId="0" xfId="10" applyFill="1" applyAlignment="1">
      <alignment horizontal="right"/>
    </xf>
    <xf numFmtId="193" fontId="26" fillId="19" borderId="160" xfId="10" applyNumberFormat="1" applyFill="1" applyBorder="1" applyAlignment="1" applyProtection="1">
      <alignment horizontal="right"/>
      <protection locked="0"/>
    </xf>
    <xf numFmtId="194" fontId="26" fillId="2" borderId="0" xfId="10" applyNumberFormat="1" applyFill="1" applyAlignment="1">
      <alignment horizontal="right"/>
    </xf>
    <xf numFmtId="194" fontId="26" fillId="19" borderId="160" xfId="10" applyNumberFormat="1" applyFill="1" applyBorder="1" applyAlignment="1" applyProtection="1">
      <alignment horizontal="right"/>
      <protection locked="0"/>
    </xf>
    <xf numFmtId="0" fontId="115" fillId="2" borderId="0" xfId="10" applyFont="1" applyFill="1"/>
    <xf numFmtId="0" fontId="115" fillId="2" borderId="0" xfId="10" applyFont="1" applyFill="1" applyAlignment="1">
      <alignment horizontal="right"/>
    </xf>
    <xf numFmtId="43" fontId="115" fillId="2" borderId="0" xfId="11" applyFont="1" applyFill="1" applyBorder="1" applyAlignment="1">
      <alignment horizontal="right"/>
    </xf>
    <xf numFmtId="0" fontId="115" fillId="19" borderId="0" xfId="10" applyFont="1" applyFill="1" applyAlignment="1">
      <alignment horizontal="left"/>
    </xf>
    <xf numFmtId="0" fontId="49" fillId="0" borderId="0" xfId="10" applyFont="1"/>
    <xf numFmtId="185" fontId="26" fillId="19" borderId="160" xfId="10" applyNumberFormat="1" applyFill="1" applyBorder="1" applyAlignment="1" applyProtection="1">
      <alignment horizontal="right"/>
      <protection locked="0"/>
    </xf>
    <xf numFmtId="195" fontId="115" fillId="2" borderId="0" xfId="12" applyNumberFormat="1" applyFont="1" applyFill="1" applyBorder="1" applyAlignment="1">
      <alignment horizontal="right"/>
    </xf>
    <xf numFmtId="0" fontId="26" fillId="19" borderId="161" xfId="10" applyFill="1" applyBorder="1" applyAlignment="1">
      <alignment horizontal="left"/>
    </xf>
    <xf numFmtId="0" fontId="26" fillId="19" borderId="153" xfId="10" applyFill="1" applyBorder="1" applyAlignment="1">
      <alignment horizontal="right"/>
    </xf>
    <xf numFmtId="44" fontId="26" fillId="19" borderId="160" xfId="12" applyFont="1" applyFill="1" applyBorder="1" applyAlignment="1" applyProtection="1">
      <alignment horizontal="right"/>
      <protection locked="0"/>
    </xf>
    <xf numFmtId="0" fontId="108" fillId="19" borderId="152" xfId="10" applyFont="1" applyFill="1" applyBorder="1"/>
    <xf numFmtId="0" fontId="26" fillId="19" borderId="162" xfId="10" applyFill="1" applyBorder="1"/>
    <xf numFmtId="0" fontId="26" fillId="19" borderId="155" xfId="10" applyFill="1" applyBorder="1"/>
    <xf numFmtId="0" fontId="108" fillId="19" borderId="152" xfId="10" applyFont="1" applyFill="1" applyBorder="1" applyAlignment="1">
      <alignment horizontal="center"/>
    </xf>
    <xf numFmtId="0" fontId="108" fillId="0" borderId="0" xfId="10" applyFont="1" applyAlignment="1">
      <alignment horizontal="center" vertical="center"/>
    </xf>
    <xf numFmtId="196" fontId="108" fillId="0" borderId="1" xfId="10" applyNumberFormat="1" applyFont="1" applyBorder="1" applyAlignment="1">
      <alignment horizontal="center" vertical="center" wrapText="1"/>
    </xf>
    <xf numFmtId="0" fontId="49" fillId="0" borderId="0" xfId="10" applyFont="1" applyAlignment="1">
      <alignment horizontal="center" wrapText="1"/>
    </xf>
    <xf numFmtId="0" fontId="26" fillId="19" borderId="163" xfId="10" applyFill="1" applyBorder="1"/>
    <xf numFmtId="0" fontId="108" fillId="19" borderId="1" xfId="10" applyFont="1" applyFill="1" applyBorder="1" applyAlignment="1">
      <alignment horizontal="center" vertical="center" wrapText="1"/>
    </xf>
    <xf numFmtId="0" fontId="108" fillId="2" borderId="0" xfId="10" applyFont="1" applyFill="1" applyAlignment="1">
      <alignment horizontal="center" wrapText="1"/>
    </xf>
    <xf numFmtId="197" fontId="26" fillId="0" borderId="0" xfId="10" applyNumberFormat="1" applyAlignment="1">
      <alignment horizontal="center" vertical="center" wrapText="1"/>
    </xf>
    <xf numFmtId="0" fontId="26" fillId="0" borderId="1" xfId="10" applyBorder="1" applyAlignment="1">
      <alignment horizontal="center" vertical="center" wrapText="1"/>
    </xf>
    <xf numFmtId="0" fontId="26" fillId="0" borderId="0" xfId="10" applyAlignment="1">
      <alignment horizontal="center" wrapText="1"/>
    </xf>
    <xf numFmtId="165" fontId="26" fillId="0" borderId="0" xfId="10" applyNumberFormat="1" applyAlignment="1">
      <alignment horizontal="center" wrapText="1"/>
    </xf>
    <xf numFmtId="0" fontId="108" fillId="19" borderId="153" xfId="10" applyFont="1" applyFill="1" applyBorder="1" applyAlignment="1">
      <alignment horizontal="left" wrapText="1" indent="2"/>
    </xf>
    <xf numFmtId="0" fontId="108" fillId="19" borderId="153" xfId="10" applyFont="1" applyFill="1" applyBorder="1" applyAlignment="1">
      <alignment wrapText="1"/>
    </xf>
    <xf numFmtId="0" fontId="108" fillId="19" borderId="153" xfId="10" applyFont="1" applyFill="1" applyBorder="1" applyAlignment="1">
      <alignment horizontal="left" wrapText="1" indent="3"/>
    </xf>
    <xf numFmtId="0" fontId="26" fillId="2" borderId="0" xfId="10" applyFill="1" applyAlignment="1">
      <alignment wrapText="1"/>
    </xf>
    <xf numFmtId="0" fontId="26" fillId="0" borderId="0" xfId="10" applyAlignment="1">
      <alignment wrapText="1"/>
    </xf>
    <xf numFmtId="0" fontId="49" fillId="0" borderId="0" xfId="10" applyFont="1" applyAlignment="1">
      <alignment wrapText="1"/>
    </xf>
    <xf numFmtId="189" fontId="26" fillId="19" borderId="0" xfId="10" applyNumberFormat="1" applyFill="1" applyAlignment="1">
      <alignment horizontal="center"/>
    </xf>
    <xf numFmtId="195" fontId="26" fillId="2" borderId="0" xfId="12" applyNumberFormat="1" applyFont="1" applyFill="1" applyBorder="1" applyAlignment="1">
      <alignment horizontal="right"/>
    </xf>
    <xf numFmtId="195" fontId="26" fillId="19" borderId="0" xfId="12" applyNumberFormat="1" applyFont="1" applyFill="1" applyBorder="1" applyAlignment="1" applyProtection="1">
      <alignment horizontal="right"/>
      <protection locked="0"/>
    </xf>
    <xf numFmtId="195" fontId="26" fillId="2" borderId="0" xfId="12" applyNumberFormat="1" applyFont="1" applyFill="1" applyBorder="1" applyAlignment="1"/>
    <xf numFmtId="195" fontId="49" fillId="15" borderId="0" xfId="12" applyNumberFormat="1" applyFont="1" applyFill="1" applyBorder="1" applyAlignment="1">
      <alignment horizontal="right"/>
    </xf>
    <xf numFmtId="43" fontId="108" fillId="19" borderId="0" xfId="6" applyFont="1" applyFill="1" applyBorder="1" applyAlignment="1">
      <alignment horizontal="center"/>
    </xf>
    <xf numFmtId="0" fontId="26" fillId="0" borderId="0" xfId="10" applyAlignment="1">
      <alignment horizontal="left" wrapText="1" indent="11"/>
    </xf>
    <xf numFmtId="195" fontId="26" fillId="0" borderId="1" xfId="10" applyNumberFormat="1" applyBorder="1" applyAlignment="1">
      <alignment wrapText="1"/>
    </xf>
    <xf numFmtId="43" fontId="49" fillId="0" borderId="0" xfId="6" applyFont="1" applyAlignment="1">
      <alignment wrapText="1"/>
    </xf>
    <xf numFmtId="167" fontId="49" fillId="0" borderId="0" xfId="10" applyNumberFormat="1" applyFont="1" applyAlignment="1">
      <alignment wrapText="1"/>
    </xf>
    <xf numFmtId="39" fontId="26" fillId="19" borderId="0" xfId="12" applyNumberFormat="1" applyFont="1" applyFill="1" applyBorder="1" applyAlignment="1">
      <alignment horizontal="right"/>
    </xf>
    <xf numFmtId="43" fontId="26" fillId="19" borderId="0" xfId="12" applyNumberFormat="1" applyFont="1" applyFill="1" applyBorder="1" applyAlignment="1" applyProtection="1">
      <alignment horizontal="right"/>
      <protection locked="0"/>
    </xf>
    <xf numFmtId="39" fontId="26" fillId="19" borderId="0" xfId="12" applyNumberFormat="1" applyFont="1" applyFill="1" applyBorder="1" applyAlignment="1"/>
    <xf numFmtId="39" fontId="49" fillId="15" borderId="0" xfId="12" applyNumberFormat="1" applyFont="1" applyFill="1" applyBorder="1" applyAlignment="1">
      <alignment horizontal="right"/>
    </xf>
    <xf numFmtId="43" fontId="49" fillId="0" borderId="0" xfId="11" applyFont="1" applyBorder="1" applyAlignment="1">
      <alignment horizontal="left" wrapText="1" indent="11"/>
    </xf>
    <xf numFmtId="195" fontId="116" fillId="0" borderId="1" xfId="10" applyNumberFormat="1" applyFont="1" applyBorder="1" applyAlignment="1">
      <alignment wrapText="1"/>
    </xf>
    <xf numFmtId="195" fontId="49" fillId="0" borderId="1" xfId="10" applyNumberFormat="1" applyFont="1" applyBorder="1" applyAlignment="1">
      <alignment wrapText="1"/>
    </xf>
    <xf numFmtId="39" fontId="26" fillId="3" borderId="0" xfId="12" applyNumberFormat="1" applyFont="1" applyFill="1" applyBorder="1" applyAlignment="1">
      <alignment horizontal="right"/>
    </xf>
    <xf numFmtId="0" fontId="26" fillId="3" borderId="0" xfId="10" applyFill="1" applyAlignment="1">
      <alignment horizontal="left" wrapText="1" indent="12"/>
    </xf>
    <xf numFmtId="195" fontId="26" fillId="3" borderId="151" xfId="10" applyNumberFormat="1" applyFill="1" applyBorder="1" applyAlignment="1">
      <alignment wrapText="1"/>
    </xf>
    <xf numFmtId="195" fontId="26" fillId="0" borderId="0" xfId="10" applyNumberFormat="1" applyAlignment="1">
      <alignment wrapText="1"/>
    </xf>
    <xf numFmtId="39" fontId="26" fillId="0" borderId="0" xfId="10" applyNumberFormat="1"/>
    <xf numFmtId="0" fontId="108" fillId="15" borderId="0" xfId="10" applyFont="1" applyFill="1"/>
    <xf numFmtId="0" fontId="26" fillId="15" borderId="0" xfId="10" applyFill="1"/>
    <xf numFmtId="195" fontId="108" fillId="15" borderId="0" xfId="10" applyNumberFormat="1" applyFont="1" applyFill="1"/>
    <xf numFmtId="43" fontId="26" fillId="2" borderId="0" xfId="10" applyNumberFormat="1" applyFill="1" applyAlignment="1">
      <alignment wrapText="1"/>
    </xf>
    <xf numFmtId="0" fontId="108" fillId="0" borderId="0" xfId="10" applyFont="1" applyAlignment="1">
      <alignment horizontal="center" wrapText="1"/>
    </xf>
    <xf numFmtId="0" fontId="26" fillId="3" borderId="0" xfId="10" applyFill="1" applyAlignment="1">
      <alignment horizontal="right"/>
    </xf>
    <xf numFmtId="39" fontId="26" fillId="3" borderId="0" xfId="12" applyNumberFormat="1" applyFont="1" applyFill="1" applyBorder="1" applyAlignment="1"/>
    <xf numFmtId="43" fontId="108" fillId="3" borderId="0" xfId="6" applyFont="1" applyFill="1" applyBorder="1" applyAlignment="1">
      <alignment horizontal="center"/>
    </xf>
    <xf numFmtId="0" fontId="26" fillId="3" borderId="0" xfId="10" applyFill="1" applyAlignment="1">
      <alignment wrapText="1"/>
    </xf>
    <xf numFmtId="39" fontId="26" fillId="3" borderId="0" xfId="10" applyNumberFormat="1" applyFill="1"/>
    <xf numFmtId="0" fontId="26" fillId="3" borderId="0" xfId="10" applyFill="1"/>
    <xf numFmtId="43" fontId="49" fillId="3" borderId="0" xfId="6" applyFont="1" applyFill="1" applyAlignment="1">
      <alignment wrapText="1"/>
    </xf>
    <xf numFmtId="167" fontId="49" fillId="3" borderId="0" xfId="10" applyNumberFormat="1" applyFont="1" applyFill="1" applyAlignment="1">
      <alignment wrapText="1"/>
    </xf>
    <xf numFmtId="195" fontId="26" fillId="0" borderId="0" xfId="10" applyNumberFormat="1"/>
    <xf numFmtId="39" fontId="108" fillId="19" borderId="0" xfId="12" applyNumberFormat="1" applyFont="1" applyFill="1" applyBorder="1" applyAlignment="1">
      <alignment horizontal="center"/>
    </xf>
    <xf numFmtId="14" fontId="26" fillId="19" borderId="0" xfId="10" applyNumberFormat="1" applyFill="1" applyAlignment="1">
      <alignment horizontal="center"/>
    </xf>
    <xf numFmtId="14" fontId="26" fillId="19" borderId="0" xfId="10" applyNumberFormat="1" applyFill="1" applyAlignment="1">
      <alignment horizontal="right"/>
    </xf>
    <xf numFmtId="39" fontId="108" fillId="3" borderId="0" xfId="12" applyNumberFormat="1" applyFont="1" applyFill="1" applyBorder="1" applyAlignment="1">
      <alignment horizontal="center"/>
    </xf>
    <xf numFmtId="43" fontId="89" fillId="19" borderId="0" xfId="11" applyFont="1" applyFill="1" applyBorder="1" applyAlignment="1">
      <alignment horizontal="right"/>
    </xf>
    <xf numFmtId="9" fontId="23" fillId="2" borderId="0" xfId="0" applyNumberFormat="1" applyFont="1" applyFill="1"/>
    <xf numFmtId="9" fontId="23" fillId="2" borderId="0" xfId="0" applyNumberFormat="1" applyFont="1" applyFill="1" applyAlignment="1">
      <alignment horizontal="center"/>
    </xf>
    <xf numFmtId="0" fontId="23" fillId="2" borderId="0" xfId="0" applyFont="1" applyFill="1" applyAlignment="1">
      <alignment horizontal="right"/>
    </xf>
    <xf numFmtId="167" fontId="95" fillId="2" borderId="0" xfId="0" applyNumberFormat="1" applyFont="1" applyFill="1"/>
    <xf numFmtId="0" fontId="95" fillId="2" borderId="0" xfId="0" applyFont="1" applyFill="1" applyAlignment="1">
      <alignment horizontal="center" wrapText="1"/>
    </xf>
    <xf numFmtId="167" fontId="95" fillId="2" borderId="0" xfId="1" applyFont="1" applyFill="1"/>
    <xf numFmtId="10" fontId="86" fillId="21" borderId="0" xfId="2" applyNumberFormat="1" applyFont="1" applyFill="1" applyBorder="1" applyAlignment="1">
      <alignment horizontal="center"/>
    </xf>
    <xf numFmtId="173" fontId="50" fillId="21" borderId="1" xfId="2" applyNumberFormat="1" applyFont="1" applyFill="1" applyBorder="1" applyAlignment="1">
      <alignment horizontal="center" vertical="center" wrapText="1"/>
    </xf>
    <xf numFmtId="167" fontId="50" fillId="21" borderId="1" xfId="1" applyFont="1" applyFill="1" applyBorder="1" applyAlignment="1">
      <alignment horizontal="center" vertical="center" wrapText="1"/>
    </xf>
    <xf numFmtId="10" fontId="88" fillId="2" borderId="0" xfId="0" applyNumberFormat="1" applyFont="1" applyFill="1" applyAlignment="1">
      <alignment horizontal="center"/>
    </xf>
    <xf numFmtId="0" fontId="86" fillId="2" borderId="15" xfId="0" applyFont="1" applyFill="1" applyBorder="1" applyAlignment="1">
      <alignment horizontal="center" vertical="center" wrapText="1"/>
    </xf>
    <xf numFmtId="167" fontId="23" fillId="2" borderId="15" xfId="1" applyFont="1" applyFill="1" applyBorder="1"/>
    <xf numFmtId="43" fontId="95" fillId="22" borderId="15" xfId="4" quotePrefix="1" applyFont="1" applyFill="1" applyBorder="1" applyAlignment="1">
      <alignment horizontal="center"/>
    </xf>
    <xf numFmtId="43" fontId="95" fillId="22" borderId="24" xfId="4" quotePrefix="1" applyFont="1" applyFill="1" applyBorder="1" applyAlignment="1">
      <alignment horizontal="center"/>
    </xf>
    <xf numFmtId="43" fontId="95" fillId="22" borderId="24" xfId="4" applyFont="1" applyFill="1" applyBorder="1" applyAlignment="1">
      <alignment horizontal="center"/>
    </xf>
    <xf numFmtId="43" fontId="95" fillId="22" borderId="15" xfId="4" applyFont="1" applyFill="1" applyBorder="1" applyAlignment="1">
      <alignment horizontal="center" vertical="center" wrapText="1"/>
    </xf>
    <xf numFmtId="43" fontId="95" fillId="22" borderId="1" xfId="4" quotePrefix="1" applyFont="1" applyFill="1" applyBorder="1" applyAlignment="1">
      <alignment horizontal="center" vertical="center"/>
    </xf>
    <xf numFmtId="43" fontId="95" fillId="22" borderId="1" xfId="4" quotePrefix="1" applyFont="1" applyFill="1" applyBorder="1" applyAlignment="1">
      <alignment horizontal="center" vertical="center" wrapText="1"/>
    </xf>
    <xf numFmtId="1" fontId="23" fillId="22" borderId="1" xfId="1" applyNumberFormat="1" applyFont="1" applyFill="1" applyBorder="1" applyAlignment="1">
      <alignment horizontal="center"/>
    </xf>
    <xf numFmtId="17" fontId="23" fillId="22" borderId="1" xfId="0" applyNumberFormat="1" applyFont="1" applyFill="1" applyBorder="1" applyAlignment="1">
      <alignment horizontal="center"/>
    </xf>
    <xf numFmtId="17" fontId="29" fillId="22" borderId="1" xfId="0" applyNumberFormat="1" applyFont="1" applyFill="1" applyBorder="1" applyAlignment="1">
      <alignment horizontal="center"/>
    </xf>
    <xf numFmtId="0" fontId="23" fillId="22" borderId="1" xfId="0" applyFont="1" applyFill="1" applyBorder="1" applyAlignment="1">
      <alignment horizontal="center"/>
    </xf>
    <xf numFmtId="0" fontId="110" fillId="5" borderId="125" xfId="0" applyFont="1" applyFill="1" applyBorder="1" applyAlignment="1">
      <alignment horizontal="center" vertical="center" wrapText="1"/>
    </xf>
    <xf numFmtId="0" fontId="110" fillId="5" borderId="164" xfId="0" applyFont="1" applyFill="1" applyBorder="1" applyAlignment="1">
      <alignment horizontal="center" vertical="center" wrapText="1"/>
    </xf>
    <xf numFmtId="0" fontId="11" fillId="2" borderId="0" xfId="0" applyFont="1" applyFill="1"/>
    <xf numFmtId="17" fontId="11" fillId="2" borderId="0" xfId="0" quotePrefix="1" applyNumberFormat="1" applyFont="1" applyFill="1" applyAlignment="1">
      <alignment horizontal="left"/>
    </xf>
    <xf numFmtId="0" fontId="110" fillId="5" borderId="132" xfId="0" applyFont="1" applyFill="1" applyBorder="1" applyAlignment="1">
      <alignment horizontal="center" vertical="center"/>
    </xf>
    <xf numFmtId="0" fontId="110" fillId="5" borderId="133" xfId="0" applyFont="1" applyFill="1" applyBorder="1" applyAlignment="1">
      <alignment horizontal="center" vertical="center" wrapText="1"/>
    </xf>
    <xf numFmtId="0" fontId="110" fillId="5" borderId="131" xfId="0" applyFont="1" applyFill="1" applyBorder="1" applyAlignment="1">
      <alignment horizontal="center" vertical="center"/>
    </xf>
    <xf numFmtId="0" fontId="110" fillId="5" borderId="140" xfId="0" applyFont="1" applyFill="1" applyBorder="1" applyAlignment="1">
      <alignment horizontal="center" vertical="center"/>
    </xf>
    <xf numFmtId="0" fontId="110" fillId="5" borderId="133" xfId="0" applyFont="1" applyFill="1" applyBorder="1" applyAlignment="1">
      <alignment horizontal="center" vertical="center"/>
    </xf>
    <xf numFmtId="10" fontId="110" fillId="5" borderId="133" xfId="2" applyNumberFormat="1" applyFont="1" applyFill="1" applyBorder="1" applyAlignment="1">
      <alignment horizontal="center" vertical="center"/>
    </xf>
    <xf numFmtId="0" fontId="110" fillId="5" borderId="137" xfId="0" applyFont="1" applyFill="1" applyBorder="1" applyAlignment="1">
      <alignment horizontal="center" vertical="center"/>
    </xf>
    <xf numFmtId="167" fontId="23" fillId="0" borderId="25" xfId="0" applyNumberFormat="1" applyFont="1" applyBorder="1" applyAlignment="1">
      <alignment horizontal="center"/>
    </xf>
    <xf numFmtId="0" fontId="23" fillId="3" borderId="25" xfId="0" quotePrefix="1" applyFont="1" applyFill="1" applyBorder="1" applyAlignment="1">
      <alignment horizontal="center"/>
    </xf>
    <xf numFmtId="0" fontId="23" fillId="0" borderId="25" xfId="0" quotePrefix="1" applyFont="1" applyBorder="1" applyAlignment="1">
      <alignment horizontal="center"/>
    </xf>
    <xf numFmtId="0" fontId="23" fillId="0" borderId="25" xfId="0" applyFont="1" applyBorder="1" applyAlignment="1">
      <alignment horizontal="center"/>
    </xf>
    <xf numFmtId="184" fontId="23" fillId="0" borderId="25" xfId="0" applyNumberFormat="1" applyFont="1" applyBorder="1"/>
    <xf numFmtId="10" fontId="23" fillId="0" borderId="25" xfId="2" applyNumberFormat="1" applyFont="1" applyFill="1" applyBorder="1" applyAlignment="1">
      <alignment horizontal="center"/>
    </xf>
    <xf numFmtId="0" fontId="39" fillId="0" borderId="0" xfId="0" applyFont="1" applyProtection="1">
      <protection locked="0"/>
    </xf>
    <xf numFmtId="0" fontId="95" fillId="2" borderId="1" xfId="0" applyFont="1" applyFill="1" applyBorder="1" applyAlignment="1">
      <alignment horizontal="center" vertical="center"/>
    </xf>
    <xf numFmtId="10" fontId="86" fillId="3" borderId="0" xfId="0" applyNumberFormat="1" applyFont="1" applyFill="1" applyAlignment="1">
      <alignment horizontal="center"/>
    </xf>
    <xf numFmtId="0" fontId="95" fillId="3" borderId="0" xfId="0" applyFont="1" applyFill="1" applyAlignment="1">
      <alignment horizontal="center"/>
    </xf>
    <xf numFmtId="43" fontId="23" fillId="3" borderId="0" xfId="4" applyFont="1" applyFill="1"/>
    <xf numFmtId="43" fontId="95" fillId="2" borderId="0" xfId="4" applyFont="1" applyFill="1"/>
    <xf numFmtId="43" fontId="23" fillId="2" borderId="0" xfId="4" applyFont="1" applyFill="1"/>
    <xf numFmtId="43" fontId="117" fillId="3" borderId="0" xfId="4" applyFont="1" applyFill="1"/>
    <xf numFmtId="43" fontId="95" fillId="3" borderId="0" xfId="4" applyFont="1" applyFill="1"/>
    <xf numFmtId="43" fontId="23" fillId="0" borderId="0" xfId="4" applyFont="1" applyFill="1"/>
    <xf numFmtId="17" fontId="95" fillId="23" borderId="0" xfId="0" applyNumberFormat="1" applyFont="1" applyFill="1" applyAlignment="1">
      <alignment horizontal="center"/>
    </xf>
    <xf numFmtId="0" fontId="95" fillId="23" borderId="0" xfId="0" quotePrefix="1" applyFont="1" applyFill="1" applyAlignment="1">
      <alignment horizontal="center"/>
    </xf>
    <xf numFmtId="0" fontId="95" fillId="2" borderId="0" xfId="0" applyFont="1" applyFill="1" applyAlignment="1">
      <alignment horizontal="center" vertical="center"/>
    </xf>
    <xf numFmtId="17" fontId="23" fillId="2" borderId="0" xfId="0" applyNumberFormat="1" applyFont="1" applyFill="1" applyAlignment="1">
      <alignment horizontal="center"/>
    </xf>
    <xf numFmtId="184" fontId="23" fillId="2" borderId="0" xfId="0" applyNumberFormat="1" applyFont="1" applyFill="1"/>
    <xf numFmtId="10" fontId="23" fillId="2" borderId="0" xfId="0" applyNumberFormat="1" applyFont="1" applyFill="1"/>
    <xf numFmtId="10" fontId="95" fillId="17" borderId="0" xfId="0" applyNumberFormat="1" applyFont="1" applyFill="1"/>
    <xf numFmtId="0" fontId="95" fillId="17" borderId="0" xfId="0" applyFont="1" applyFill="1"/>
    <xf numFmtId="0" fontId="95" fillId="2" borderId="0" xfId="0" applyFont="1" applyFill="1" applyAlignment="1">
      <alignment wrapText="1"/>
    </xf>
    <xf numFmtId="167" fontId="95" fillId="2" borderId="0" xfId="1" applyFont="1" applyFill="1" applyAlignment="1">
      <alignment wrapText="1"/>
    </xf>
    <xf numFmtId="0" fontId="23" fillId="5" borderId="0" xfId="0" applyFont="1" applyFill="1"/>
    <xf numFmtId="0" fontId="95" fillId="5" borderId="0" xfId="0" applyFont="1" applyFill="1"/>
    <xf numFmtId="0" fontId="0" fillId="5" borderId="0" xfId="0" applyFill="1"/>
    <xf numFmtId="17" fontId="0" fillId="0" borderId="0" xfId="0" applyNumberFormat="1"/>
    <xf numFmtId="0" fontId="86" fillId="17" borderId="0" xfId="0" applyFont="1" applyFill="1" applyAlignment="1">
      <alignment horizontal="center"/>
    </xf>
    <xf numFmtId="17" fontId="23" fillId="24" borderId="1" xfId="0" applyNumberFormat="1" applyFont="1" applyFill="1" applyBorder="1" applyAlignment="1">
      <alignment horizontal="center"/>
    </xf>
    <xf numFmtId="0" fontId="23" fillId="24" borderId="0" xfId="0" applyFont="1" applyFill="1"/>
    <xf numFmtId="0" fontId="23" fillId="24" borderId="0" xfId="0" applyFont="1" applyFill="1" applyAlignment="1">
      <alignment horizontal="center"/>
    </xf>
    <xf numFmtId="0" fontId="86" fillId="24" borderId="0" xfId="7" applyFont="1" applyFill="1" applyAlignment="1">
      <alignment horizontal="center" wrapText="1"/>
    </xf>
    <xf numFmtId="0" fontId="86" fillId="24" borderId="0" xfId="0" applyFont="1" applyFill="1" applyAlignment="1">
      <alignment horizontal="left" vertical="center" wrapText="1"/>
    </xf>
    <xf numFmtId="17" fontId="86" fillId="24" borderId="1" xfId="7" applyNumberFormat="1" applyFont="1" applyFill="1" applyBorder="1" applyAlignment="1">
      <alignment horizontal="center" vertical="center"/>
    </xf>
    <xf numFmtId="0" fontId="88" fillId="24" borderId="0" xfId="0" applyFont="1" applyFill="1" applyAlignment="1">
      <alignment horizontal="center"/>
    </xf>
    <xf numFmtId="0" fontId="86" fillId="24" borderId="1" xfId="0" applyFont="1" applyFill="1" applyBorder="1" applyAlignment="1">
      <alignment horizontal="center" wrapText="1"/>
    </xf>
    <xf numFmtId="0" fontId="86" fillId="24" borderId="1" xfId="7" applyFont="1" applyFill="1" applyBorder="1" applyAlignment="1">
      <alignment horizontal="center" vertical="center" wrapText="1"/>
    </xf>
    <xf numFmtId="0" fontId="86" fillId="24" borderId="0" xfId="0" applyFont="1" applyFill="1" applyAlignment="1">
      <alignment vertical="center"/>
    </xf>
    <xf numFmtId="2" fontId="86" fillId="24" borderId="1" xfId="7" applyNumberFormat="1" applyFont="1" applyFill="1" applyBorder="1" applyAlignment="1">
      <alignment horizontal="center" vertical="center" wrapText="1"/>
    </xf>
    <xf numFmtId="0" fontId="88" fillId="24" borderId="1" xfId="8" applyNumberFormat="1" applyFont="1" applyFill="1" applyBorder="1" applyAlignment="1">
      <alignment horizontal="center" vertical="center"/>
    </xf>
    <xf numFmtId="17" fontId="88" fillId="24" borderId="1" xfId="7" applyNumberFormat="1" applyFont="1" applyFill="1" applyBorder="1" applyAlignment="1">
      <alignment horizontal="center" vertical="center" wrapText="1"/>
    </xf>
    <xf numFmtId="0" fontId="7" fillId="0" borderId="15" xfId="0" applyFont="1" applyBorder="1" applyAlignment="1">
      <alignment horizontal="center" vertical="center"/>
    </xf>
    <xf numFmtId="0" fontId="7" fillId="0" borderId="24" xfId="0" applyFont="1" applyBorder="1" applyAlignment="1">
      <alignment horizontal="center" vertical="center"/>
    </xf>
    <xf numFmtId="171" fontId="18" fillId="0" borderId="1" xfId="0" applyNumberFormat="1" applyFont="1" applyBorder="1" applyAlignment="1" applyProtection="1">
      <alignment horizontal="center" vertical="center"/>
      <protection locked="0"/>
    </xf>
    <xf numFmtId="0" fontId="1" fillId="0" borderId="0" xfId="0" applyFont="1"/>
    <xf numFmtId="169" fontId="1" fillId="0" borderId="0" xfId="0" applyNumberFormat="1" applyFont="1"/>
    <xf numFmtId="183" fontId="1" fillId="0" borderId="80" xfId="0" applyNumberFormat="1" applyFont="1" applyBorder="1" applyAlignment="1">
      <alignment horizontal="center" vertical="center"/>
    </xf>
    <xf numFmtId="169" fontId="1" fillId="0" borderId="0" xfId="0" applyNumberFormat="1" applyFont="1" applyAlignment="1">
      <alignment vertical="center"/>
    </xf>
    <xf numFmtId="0" fontId="1" fillId="0" borderId="0" xfId="0" applyFont="1" applyAlignment="1">
      <alignment vertical="center"/>
    </xf>
    <xf numFmtId="169" fontId="1" fillId="0" borderId="80" xfId="0" applyNumberFormat="1" applyFont="1" applyBorder="1" applyAlignment="1">
      <alignment horizontal="center"/>
    </xf>
    <xf numFmtId="0" fontId="1" fillId="0" borderId="19" xfId="0" applyFont="1" applyBorder="1"/>
    <xf numFmtId="0" fontId="1" fillId="0" borderId="0" xfId="0" applyFont="1" applyAlignment="1">
      <alignment horizontal="center" vertical="center"/>
    </xf>
    <xf numFmtId="0" fontId="1" fillId="0" borderId="8" xfId="0" applyFont="1" applyBorder="1" applyAlignment="1">
      <alignment vertical="center"/>
    </xf>
    <xf numFmtId="0" fontId="1" fillId="0" borderId="9" xfId="0" applyFont="1" applyBorder="1" applyAlignment="1">
      <alignment vertical="center"/>
    </xf>
    <xf numFmtId="0" fontId="1" fillId="0" borderId="4" xfId="0" applyFont="1" applyBorder="1" applyAlignment="1">
      <alignment horizontal="center" vertical="center"/>
    </xf>
    <xf numFmtId="0" fontId="1" fillId="0" borderId="3" xfId="0" applyFont="1" applyBorder="1" applyAlignment="1">
      <alignment vertical="center"/>
    </xf>
    <xf numFmtId="0" fontId="1" fillId="0" borderId="6" xfId="0" applyFont="1" applyBorder="1" applyAlignment="1">
      <alignment vertical="center"/>
    </xf>
    <xf numFmtId="167" fontId="1" fillId="0" borderId="0" xfId="1" applyFont="1" applyAlignment="1" applyProtection="1">
      <alignment vertical="center"/>
    </xf>
    <xf numFmtId="0" fontId="1" fillId="0" borderId="6" xfId="0" applyFont="1" applyBorder="1" applyAlignment="1">
      <alignment horizontal="center" vertical="center"/>
    </xf>
    <xf numFmtId="172" fontId="1" fillId="0" borderId="1" xfId="0" applyNumberFormat="1" applyFont="1" applyBorder="1" applyAlignment="1">
      <alignment horizontal="center" vertical="center"/>
    </xf>
    <xf numFmtId="0" fontId="1" fillId="4" borderId="0" xfId="0" applyFont="1" applyFill="1"/>
    <xf numFmtId="172" fontId="1" fillId="0" borderId="0" xfId="0" applyNumberFormat="1" applyFont="1"/>
    <xf numFmtId="170" fontId="1" fillId="0" borderId="0" xfId="0" applyNumberFormat="1" applyFont="1" applyAlignment="1">
      <alignment horizontal="center"/>
    </xf>
    <xf numFmtId="10" fontId="1" fillId="0" borderId="0" xfId="0" applyNumberFormat="1" applyFont="1" applyAlignment="1">
      <alignment horizontal="center"/>
    </xf>
    <xf numFmtId="49" fontId="1" fillId="0" borderId="0" xfId="0" applyNumberFormat="1" applyFont="1" applyAlignment="1">
      <alignment horizontal="center"/>
    </xf>
    <xf numFmtId="173" fontId="1" fillId="0" borderId="5" xfId="0" applyNumberFormat="1" applyFont="1" applyBorder="1" applyAlignment="1">
      <alignment horizontal="center" vertical="center"/>
    </xf>
    <xf numFmtId="0" fontId="1" fillId="0" borderId="5" xfId="0" applyFont="1" applyBorder="1" applyAlignment="1">
      <alignment horizontal="center" vertical="center"/>
    </xf>
    <xf numFmtId="171" fontId="1" fillId="0" borderId="11" xfId="0" applyNumberFormat="1" applyFont="1" applyBorder="1" applyAlignment="1">
      <alignment horizontal="left" vertical="center"/>
    </xf>
    <xf numFmtId="171" fontId="1" fillId="0" borderId="45" xfId="0" applyNumberFormat="1" applyFont="1" applyBorder="1" applyAlignment="1">
      <alignment vertical="center"/>
    </xf>
    <xf numFmtId="171" fontId="1" fillId="0" borderId="9" xfId="0" applyNumberFormat="1" applyFont="1" applyBorder="1" applyAlignment="1">
      <alignment vertical="center"/>
    </xf>
    <xf numFmtId="0" fontId="9" fillId="5" borderId="59" xfId="0" applyFont="1" applyFill="1" applyBorder="1" applyAlignment="1">
      <alignment vertical="center"/>
    </xf>
    <xf numFmtId="171" fontId="1" fillId="0" borderId="8" xfId="0" applyNumberFormat="1" applyFont="1" applyBorder="1" applyAlignment="1">
      <alignment horizontal="left" vertical="center"/>
    </xf>
    <xf numFmtId="171" fontId="1" fillId="0" borderId="8" xfId="0" applyNumberFormat="1" applyFont="1" applyBorder="1" applyAlignment="1">
      <alignment vertical="center"/>
    </xf>
    <xf numFmtId="0" fontId="9" fillId="5" borderId="59" xfId="0" applyFont="1" applyFill="1" applyBorder="1" applyAlignment="1">
      <alignment horizontal="left" vertical="center"/>
    </xf>
    <xf numFmtId="0" fontId="15" fillId="0" borderId="59" xfId="0" applyFont="1" applyBorder="1" applyAlignment="1">
      <alignment vertical="center"/>
    </xf>
    <xf numFmtId="0" fontId="1" fillId="0" borderId="3" xfId="0" applyFont="1" applyBorder="1" applyAlignment="1">
      <alignment horizontal="center" vertical="center"/>
    </xf>
    <xf numFmtId="0" fontId="1" fillId="0" borderId="12" xfId="0" applyFont="1" applyBorder="1" applyAlignment="1">
      <alignment vertical="center"/>
    </xf>
    <xf numFmtId="3" fontId="32" fillId="0" borderId="167" xfId="1" applyNumberFormat="1" applyFont="1" applyBorder="1" applyAlignment="1" applyProtection="1">
      <alignment horizontal="center" vertical="center"/>
    </xf>
    <xf numFmtId="0" fontId="6" fillId="5" borderId="59" xfId="0" applyFont="1" applyFill="1" applyBorder="1" applyAlignment="1">
      <alignment horizontal="left" vertical="center"/>
    </xf>
    <xf numFmtId="0" fontId="54" fillId="5" borderId="59" xfId="0" applyFont="1" applyFill="1" applyBorder="1" applyAlignment="1">
      <alignment horizontal="left" vertical="center"/>
    </xf>
    <xf numFmtId="3" fontId="32" fillId="0" borderId="1" xfId="1" applyNumberFormat="1" applyFont="1" applyBorder="1" applyAlignment="1" applyProtection="1">
      <alignment horizontal="center" vertical="center"/>
    </xf>
    <xf numFmtId="167" fontId="1" fillId="0" borderId="0" xfId="1" applyFont="1" applyAlignment="1" applyProtection="1">
      <alignment horizontal="left" vertical="center"/>
    </xf>
    <xf numFmtId="167" fontId="1" fillId="0" borderId="0" xfId="1" applyFont="1" applyAlignment="1" applyProtection="1">
      <alignment horizontal="right" vertical="center"/>
    </xf>
    <xf numFmtId="0" fontId="1" fillId="0" borderId="0" xfId="0" applyFont="1" applyAlignment="1">
      <alignment horizontal="left" vertical="center"/>
    </xf>
    <xf numFmtId="171" fontId="1" fillId="0" borderId="1" xfId="1" applyNumberFormat="1" applyFont="1" applyBorder="1" applyAlignment="1" applyProtection="1">
      <alignment horizontal="center" vertical="center"/>
    </xf>
    <xf numFmtId="43" fontId="1" fillId="6" borderId="13" xfId="0" applyNumberFormat="1" applyFont="1" applyFill="1" applyBorder="1"/>
    <xf numFmtId="0" fontId="39" fillId="0" borderId="0" xfId="0" applyFont="1" applyAlignment="1">
      <alignment vertical="center"/>
    </xf>
    <xf numFmtId="167" fontId="1" fillId="0" borderId="0" xfId="1" applyFont="1" applyBorder="1" applyAlignment="1" applyProtection="1">
      <alignment vertical="center"/>
    </xf>
    <xf numFmtId="43" fontId="1" fillId="0" borderId="0" xfId="0" applyNumberFormat="1" applyFont="1" applyAlignment="1">
      <alignment horizontal="center" vertical="center"/>
    </xf>
    <xf numFmtId="0" fontId="1" fillId="0" borderId="0" xfId="0" applyFont="1" applyAlignment="1" applyProtection="1">
      <alignment horizontal="center" vertical="center"/>
      <protection locked="0"/>
    </xf>
    <xf numFmtId="0" fontId="1" fillId="0" borderId="0" xfId="0" applyFont="1" applyAlignment="1">
      <alignment horizontal="center"/>
    </xf>
    <xf numFmtId="180" fontId="1" fillId="0" borderId="0" xfId="0" applyNumberFormat="1" applyFont="1"/>
    <xf numFmtId="0" fontId="1" fillId="0" borderId="17" xfId="0" applyFont="1" applyBorder="1" applyAlignment="1">
      <alignment vertical="center"/>
    </xf>
    <xf numFmtId="0" fontId="1" fillId="0" borderId="18" xfId="0" applyFont="1" applyBorder="1" applyAlignment="1">
      <alignment vertical="center"/>
    </xf>
    <xf numFmtId="43" fontId="1" fillId="0" borderId="0" xfId="0" applyNumberFormat="1" applyFont="1"/>
    <xf numFmtId="17" fontId="1" fillId="0" borderId="0" xfId="0" applyNumberFormat="1" applyFont="1"/>
    <xf numFmtId="0" fontId="1" fillId="0" borderId="16" xfId="0" applyFont="1" applyBorder="1" applyAlignment="1">
      <alignment horizontal="center" vertical="center" wrapText="1"/>
    </xf>
    <xf numFmtId="0" fontId="1" fillId="0" borderId="16" xfId="0" applyFont="1" applyBorder="1" applyAlignment="1">
      <alignment horizontal="center"/>
    </xf>
    <xf numFmtId="0" fontId="1" fillId="0" borderId="1" xfId="0" applyFont="1" applyBorder="1" applyAlignment="1">
      <alignment horizontal="center"/>
    </xf>
    <xf numFmtId="170" fontId="1" fillId="0" borderId="16" xfId="0" applyNumberFormat="1" applyFont="1" applyBorder="1" applyAlignment="1">
      <alignment horizontal="right"/>
    </xf>
    <xf numFmtId="167" fontId="1" fillId="0" borderId="16" xfId="1" applyFont="1" applyBorder="1" applyProtection="1"/>
    <xf numFmtId="177" fontId="1" fillId="0" borderId="16" xfId="1" applyNumberFormat="1" applyFont="1" applyBorder="1" applyProtection="1"/>
    <xf numFmtId="173" fontId="1" fillId="0" borderId="16" xfId="2" applyNumberFormat="1" applyFont="1" applyBorder="1" applyAlignment="1" applyProtection="1">
      <alignment horizontal="center"/>
    </xf>
    <xf numFmtId="167" fontId="1" fillId="0" borderId="1" xfId="1" applyFont="1" applyBorder="1" applyProtection="1"/>
    <xf numFmtId="167" fontId="1" fillId="0" borderId="20" xfId="1" applyFont="1" applyBorder="1" applyProtection="1"/>
    <xf numFmtId="10" fontId="1" fillId="0" borderId="20" xfId="2" applyNumberFormat="1" applyFont="1" applyBorder="1" applyAlignment="1" applyProtection="1">
      <alignment horizontal="center"/>
    </xf>
    <xf numFmtId="170" fontId="1" fillId="0" borderId="1" xfId="0" applyNumberFormat="1" applyFont="1" applyBorder="1" applyAlignment="1">
      <alignment horizontal="right"/>
    </xf>
    <xf numFmtId="177" fontId="1" fillId="0" borderId="1" xfId="1" applyNumberFormat="1" applyFont="1" applyBorder="1" applyProtection="1"/>
    <xf numFmtId="173" fontId="1" fillId="0" borderId="1" xfId="2" applyNumberFormat="1" applyFont="1" applyBorder="1" applyAlignment="1" applyProtection="1">
      <alignment horizontal="center"/>
    </xf>
    <xf numFmtId="167" fontId="1" fillId="0" borderId="15" xfId="1" applyFont="1" applyBorder="1" applyProtection="1"/>
    <xf numFmtId="10" fontId="1" fillId="0" borderId="15" xfId="2" applyNumberFormat="1" applyFont="1" applyBorder="1" applyAlignment="1" applyProtection="1">
      <alignment horizontal="center"/>
    </xf>
    <xf numFmtId="170" fontId="1" fillId="0" borderId="0" xfId="0" applyNumberFormat="1" applyFont="1" applyAlignment="1">
      <alignment horizontal="right"/>
    </xf>
    <xf numFmtId="167" fontId="1" fillId="0" borderId="0" xfId="1" applyFont="1" applyProtection="1"/>
    <xf numFmtId="0" fontId="1" fillId="3" borderId="0" xfId="0" applyFont="1" applyFill="1"/>
    <xf numFmtId="0" fontId="1" fillId="0" borderId="15" xfId="0" applyFont="1" applyBorder="1" applyAlignment="1">
      <alignment vertical="center"/>
    </xf>
    <xf numFmtId="0" fontId="1" fillId="0" borderId="24" xfId="0" applyFont="1" applyBorder="1" applyAlignment="1">
      <alignment vertical="center"/>
    </xf>
    <xf numFmtId="0" fontId="54" fillId="5" borderId="0" xfId="0" applyFont="1" applyFill="1" applyAlignment="1">
      <alignment vertical="center"/>
    </xf>
    <xf numFmtId="0" fontId="95" fillId="5" borderId="0" xfId="0" applyFont="1" applyFill="1" applyAlignment="1">
      <alignment wrapText="1"/>
    </xf>
    <xf numFmtId="0" fontId="95" fillId="2" borderId="1" xfId="0" applyFont="1" applyFill="1" applyBorder="1" applyAlignment="1">
      <alignment horizontal="center" vertical="center" wrapText="1"/>
    </xf>
    <xf numFmtId="184" fontId="23" fillId="2" borderId="1" xfId="0" applyNumberFormat="1" applyFont="1" applyFill="1" applyBorder="1"/>
    <xf numFmtId="10" fontId="23" fillId="2" borderId="0" xfId="2" applyNumberFormat="1" applyFont="1" applyFill="1" applyAlignment="1">
      <alignment horizontal="center"/>
    </xf>
    <xf numFmtId="10" fontId="95" fillId="2" borderId="1" xfId="2" applyNumberFormat="1" applyFont="1" applyFill="1" applyBorder="1" applyAlignment="1">
      <alignment horizontal="center" vertical="center" wrapText="1"/>
    </xf>
    <xf numFmtId="10" fontId="23" fillId="2" borderId="1" xfId="2" applyNumberFormat="1" applyFont="1" applyFill="1" applyBorder="1" applyAlignment="1">
      <alignment horizontal="center"/>
    </xf>
    <xf numFmtId="0" fontId="95" fillId="2" borderId="0" xfId="0" applyFont="1" applyFill="1" applyAlignment="1">
      <alignment horizontal="center" vertical="center" wrapText="1"/>
    </xf>
    <xf numFmtId="0" fontId="95" fillId="5" borderId="0" xfId="0" applyFont="1" applyFill="1" applyAlignment="1">
      <alignment horizontal="center" vertical="center" wrapText="1"/>
    </xf>
    <xf numFmtId="43" fontId="23" fillId="2" borderId="1" xfId="4" applyFont="1" applyFill="1" applyBorder="1"/>
    <xf numFmtId="167" fontId="23" fillId="2" borderId="1" xfId="0" applyNumberFormat="1" applyFont="1" applyFill="1" applyBorder="1"/>
    <xf numFmtId="1" fontId="23" fillId="2" borderId="0" xfId="0" applyNumberFormat="1" applyFont="1" applyFill="1"/>
    <xf numFmtId="1" fontId="95" fillId="11" borderId="0" xfId="0" applyNumberFormat="1" applyFont="1" applyFill="1" applyAlignment="1">
      <alignment horizontal="center"/>
    </xf>
    <xf numFmtId="1" fontId="95" fillId="2" borderId="1" xfId="0" applyNumberFormat="1" applyFont="1" applyFill="1" applyBorder="1" applyAlignment="1">
      <alignment horizontal="center" vertical="center" wrapText="1"/>
    </xf>
    <xf numFmtId="1" fontId="23" fillId="2" borderId="1" xfId="1" applyNumberFormat="1" applyFont="1" applyFill="1" applyBorder="1" applyAlignment="1">
      <alignment horizontal="center"/>
    </xf>
    <xf numFmtId="17" fontId="23" fillId="2" borderId="0" xfId="0" applyNumberFormat="1" applyFont="1" applyFill="1"/>
    <xf numFmtId="167" fontId="29" fillId="2" borderId="1" xfId="0" applyNumberFormat="1" applyFont="1" applyFill="1" applyBorder="1"/>
    <xf numFmtId="184" fontId="95" fillId="2" borderId="151" xfId="0" applyNumberFormat="1" applyFont="1" applyFill="1" applyBorder="1"/>
    <xf numFmtId="9" fontId="29" fillId="2" borderId="0" xfId="0" applyNumberFormat="1" applyFont="1" applyFill="1" applyAlignment="1">
      <alignment horizontal="center"/>
    </xf>
    <xf numFmtId="167" fontId="23" fillId="2" borderId="0" xfId="0" applyNumberFormat="1" applyFont="1" applyFill="1" applyAlignment="1">
      <alignment horizontal="center"/>
    </xf>
    <xf numFmtId="167" fontId="95" fillId="2" borderId="0" xfId="0" applyNumberFormat="1" applyFont="1" applyFill="1" applyAlignment="1">
      <alignment horizontal="center"/>
    </xf>
    <xf numFmtId="10" fontId="95" fillId="16" borderId="1" xfId="2" applyNumberFormat="1" applyFont="1" applyFill="1" applyBorder="1" applyAlignment="1">
      <alignment horizontal="center" vertical="center" wrapText="1"/>
    </xf>
    <xf numFmtId="189" fontId="95" fillId="16" borderId="1" xfId="8" applyNumberFormat="1" applyFont="1" applyFill="1" applyBorder="1" applyAlignment="1">
      <alignment horizontal="center" vertical="center" wrapText="1"/>
    </xf>
    <xf numFmtId="0" fontId="86" fillId="16" borderId="1" xfId="7" applyFont="1" applyFill="1" applyBorder="1" applyAlignment="1">
      <alignment horizontal="center" vertical="center" wrapText="1"/>
    </xf>
    <xf numFmtId="0" fontId="88" fillId="2" borderId="1" xfId="8" applyNumberFormat="1" applyFont="1" applyFill="1" applyBorder="1" applyAlignment="1">
      <alignment horizontal="center" vertical="center"/>
    </xf>
    <xf numFmtId="17" fontId="88" fillId="2" borderId="1" xfId="7" applyNumberFormat="1" applyFont="1" applyFill="1" applyBorder="1" applyAlignment="1">
      <alignment horizontal="center" vertical="center" wrapText="1"/>
    </xf>
    <xf numFmtId="0" fontId="72" fillId="2" borderId="104" xfId="0" applyFont="1" applyFill="1" applyBorder="1"/>
    <xf numFmtId="0" fontId="72" fillId="2" borderId="108" xfId="0" applyFont="1" applyFill="1" applyBorder="1" applyAlignment="1">
      <alignment horizontal="center"/>
    </xf>
    <xf numFmtId="0" fontId="76" fillId="2" borderId="13" xfId="0" applyFont="1" applyFill="1" applyBorder="1" applyAlignment="1">
      <alignment horizontal="center"/>
    </xf>
    <xf numFmtId="0" fontId="76" fillId="2" borderId="105" xfId="0" applyFont="1" applyFill="1" applyBorder="1" applyAlignment="1">
      <alignment horizontal="center"/>
    </xf>
    <xf numFmtId="17" fontId="29" fillId="2" borderId="1" xfId="0" applyNumberFormat="1" applyFont="1" applyFill="1" applyBorder="1" applyAlignment="1">
      <alignment horizontal="center"/>
    </xf>
    <xf numFmtId="0" fontId="109" fillId="2" borderId="1" xfId="0" applyFont="1" applyFill="1" applyBorder="1"/>
    <xf numFmtId="184" fontId="72" fillId="2" borderId="13" xfId="0" applyNumberFormat="1" applyFont="1" applyFill="1" applyBorder="1"/>
    <xf numFmtId="184" fontId="72" fillId="2" borderId="105" xfId="0" applyNumberFormat="1" applyFont="1" applyFill="1" applyBorder="1"/>
    <xf numFmtId="0" fontId="76" fillId="2" borderId="109" xfId="0" applyFont="1" applyFill="1" applyBorder="1"/>
    <xf numFmtId="0" fontId="76" fillId="2" borderId="120" xfId="0" applyFont="1" applyFill="1" applyBorder="1"/>
    <xf numFmtId="0" fontId="76" fillId="2" borderId="110" xfId="0" applyFont="1" applyFill="1" applyBorder="1" applyAlignment="1">
      <alignment horizontal="center"/>
    </xf>
    <xf numFmtId="9" fontId="76" fillId="2" borderId="110" xfId="0" applyNumberFormat="1" applyFont="1" applyFill="1" applyBorder="1" applyAlignment="1">
      <alignment horizontal="center"/>
    </xf>
    <xf numFmtId="184" fontId="76" fillId="2" borderId="110" xfId="0" applyNumberFormat="1" applyFont="1" applyFill="1" applyBorder="1"/>
    <xf numFmtId="0" fontId="76" fillId="2" borderId="111" xfId="0" applyFont="1" applyFill="1" applyBorder="1"/>
    <xf numFmtId="0" fontId="91" fillId="2" borderId="0" xfId="0" applyFont="1" applyFill="1"/>
    <xf numFmtId="0" fontId="86" fillId="2" borderId="1" xfId="0" applyFont="1" applyFill="1" applyBorder="1" applyAlignment="1">
      <alignment horizontal="center"/>
    </xf>
    <xf numFmtId="0" fontId="23" fillId="2" borderId="25" xfId="0" quotePrefix="1" applyFont="1" applyFill="1" applyBorder="1" applyAlignment="1">
      <alignment horizontal="center"/>
    </xf>
    <xf numFmtId="0" fontId="86" fillId="2" borderId="0" xfId="0" applyFont="1" applyFill="1" applyAlignment="1">
      <alignment horizontal="center" vertical="center"/>
    </xf>
    <xf numFmtId="0" fontId="29" fillId="5" borderId="0" xfId="0" applyFont="1" applyFill="1" applyAlignment="1">
      <alignment horizontal="center"/>
    </xf>
    <xf numFmtId="0" fontId="50" fillId="5" borderId="0" xfId="0" applyFont="1" applyFill="1" applyAlignment="1">
      <alignment horizontal="center"/>
    </xf>
    <xf numFmtId="0" fontId="110" fillId="2" borderId="0" xfId="0" applyFont="1" applyFill="1" applyAlignment="1">
      <alignment horizontal="center" wrapText="1"/>
    </xf>
    <xf numFmtId="0" fontId="110" fillId="5" borderId="168" xfId="0" applyFont="1" applyFill="1" applyBorder="1" applyAlignment="1">
      <alignment horizontal="center" vertical="center" wrapText="1"/>
    </xf>
    <xf numFmtId="43" fontId="23" fillId="0" borderId="15" xfId="4" applyFont="1" applyFill="1" applyBorder="1"/>
    <xf numFmtId="43" fontId="23" fillId="2" borderId="15" xfId="4" applyFont="1" applyFill="1" applyBorder="1"/>
    <xf numFmtId="0" fontId="86" fillId="2" borderId="1" xfId="0" applyFont="1" applyFill="1" applyBorder="1" applyAlignment="1">
      <alignment horizontal="center" vertical="center"/>
    </xf>
    <xf numFmtId="10" fontId="23" fillId="2" borderId="1" xfId="2" applyNumberFormat="1" applyFont="1" applyFill="1" applyBorder="1"/>
    <xf numFmtId="167" fontId="23" fillId="2" borderId="0" xfId="2" applyNumberFormat="1" applyFont="1" applyFill="1"/>
    <xf numFmtId="0" fontId="29" fillId="3" borderId="1" xfId="0" applyFont="1" applyFill="1" applyBorder="1" applyAlignment="1">
      <alignment horizontal="center"/>
    </xf>
    <xf numFmtId="0" fontId="88" fillId="2" borderId="25" xfId="0" quotePrefix="1" applyFont="1" applyFill="1" applyBorder="1" applyAlignment="1">
      <alignment horizontal="center"/>
    </xf>
    <xf numFmtId="167" fontId="15" fillId="0" borderId="0" xfId="1" applyFont="1" applyBorder="1" applyAlignment="1" applyProtection="1">
      <alignment horizontal="center" vertical="center"/>
    </xf>
    <xf numFmtId="0" fontId="8" fillId="3" borderId="0" xfId="0" applyFont="1" applyFill="1"/>
    <xf numFmtId="43" fontId="23" fillId="2" borderId="0" xfId="4" applyFont="1" applyFill="1" applyBorder="1" applyAlignment="1">
      <alignment horizontal="center" vertical="center" wrapText="1"/>
    </xf>
    <xf numFmtId="191" fontId="23" fillId="0" borderId="1" xfId="4" applyNumberFormat="1" applyFont="1" applyFill="1" applyBorder="1" applyAlignment="1">
      <alignment horizontal="center" vertical="center"/>
    </xf>
    <xf numFmtId="43" fontId="95" fillId="3" borderId="1" xfId="4" applyFont="1" applyFill="1" applyBorder="1" applyAlignment="1">
      <alignment horizontal="center" vertical="center" wrapText="1"/>
    </xf>
    <xf numFmtId="43" fontId="23" fillId="3" borderId="15" xfId="4" applyFont="1" applyFill="1" applyBorder="1"/>
    <xf numFmtId="167" fontId="1" fillId="0" borderId="0" xfId="1" applyFont="1" applyBorder="1" applyAlignment="1" applyProtection="1">
      <alignment horizontal="left" vertical="center"/>
    </xf>
    <xf numFmtId="167" fontId="1" fillId="0" borderId="0" xfId="1" applyFont="1" applyFill="1" applyBorder="1" applyAlignment="1" applyProtection="1">
      <alignment horizontal="left" vertical="center"/>
    </xf>
    <xf numFmtId="167" fontId="15" fillId="0" borderId="0" xfId="1" applyFont="1" applyFill="1" applyBorder="1" applyAlignment="1" applyProtection="1">
      <alignment horizontal="center" vertical="center"/>
    </xf>
    <xf numFmtId="167" fontId="1" fillId="0" borderId="0" xfId="1" applyFont="1" applyBorder="1" applyAlignment="1" applyProtection="1">
      <alignment horizontal="right" vertical="center"/>
    </xf>
    <xf numFmtId="173" fontId="20" fillId="0" borderId="5" xfId="2" applyNumberFormat="1" applyFont="1" applyBorder="1" applyAlignment="1" applyProtection="1">
      <alignment horizontal="center" vertical="center"/>
    </xf>
    <xf numFmtId="0" fontId="30" fillId="0" borderId="124" xfId="0" applyFont="1" applyBorder="1" applyAlignment="1">
      <alignment vertical="center"/>
    </xf>
    <xf numFmtId="0" fontId="1" fillId="0" borderId="124" xfId="0" applyFont="1" applyBorder="1" applyAlignment="1">
      <alignment vertical="center"/>
    </xf>
    <xf numFmtId="0" fontId="95" fillId="3" borderId="1" xfId="0" applyFont="1" applyFill="1" applyBorder="1" applyAlignment="1">
      <alignment horizontal="center" vertical="center" wrapText="1"/>
    </xf>
    <xf numFmtId="167" fontId="88" fillId="2" borderId="25" xfId="0" applyNumberFormat="1" applyFont="1" applyFill="1" applyBorder="1" applyAlignment="1">
      <alignment horizontal="center"/>
    </xf>
    <xf numFmtId="0" fontId="88" fillId="2" borderId="25" xfId="0" applyFont="1" applyFill="1" applyBorder="1" applyAlignment="1">
      <alignment horizontal="center"/>
    </xf>
    <xf numFmtId="184" fontId="88" fillId="2" borderId="25" xfId="0" applyNumberFormat="1" applyFont="1" applyFill="1" applyBorder="1"/>
    <xf numFmtId="10" fontId="88" fillId="2" borderId="25" xfId="2" applyNumberFormat="1" applyFont="1" applyFill="1" applyBorder="1" applyAlignment="1">
      <alignment horizontal="center"/>
    </xf>
    <xf numFmtId="167" fontId="88" fillId="2" borderId="25" xfId="1" applyFont="1" applyFill="1" applyBorder="1"/>
    <xf numFmtId="167" fontId="23" fillId="2" borderId="25" xfId="1" applyFont="1" applyFill="1" applyBorder="1"/>
    <xf numFmtId="167" fontId="23" fillId="2" borderId="25" xfId="0" applyNumberFormat="1" applyFont="1" applyFill="1" applyBorder="1" applyAlignment="1">
      <alignment horizontal="center"/>
    </xf>
    <xf numFmtId="0" fontId="23" fillId="2" borderId="25" xfId="0" applyFont="1" applyFill="1" applyBorder="1" applyAlignment="1">
      <alignment horizontal="center"/>
    </xf>
    <xf numFmtId="184" fontId="23" fillId="2" borderId="25" xfId="0" applyNumberFormat="1" applyFont="1" applyFill="1" applyBorder="1"/>
    <xf numFmtId="10" fontId="23" fillId="2" borderId="25" xfId="2" applyNumberFormat="1" applyFont="1" applyFill="1" applyBorder="1" applyAlignment="1">
      <alignment horizontal="center"/>
    </xf>
    <xf numFmtId="167" fontId="29" fillId="2" borderId="0" xfId="0" applyNumberFormat="1" applyFont="1" applyFill="1"/>
    <xf numFmtId="167" fontId="29" fillId="25" borderId="0" xfId="1" applyFont="1" applyFill="1"/>
    <xf numFmtId="167" fontId="50" fillId="25" borderId="0" xfId="1" applyFont="1" applyFill="1"/>
    <xf numFmtId="167" fontId="29" fillId="25" borderId="0" xfId="1" applyFont="1" applyFill="1" applyAlignment="1">
      <alignment horizontal="center"/>
    </xf>
    <xf numFmtId="167" fontId="104" fillId="25" borderId="1" xfId="1" applyFont="1" applyFill="1" applyBorder="1" applyAlignment="1">
      <alignment horizontal="center"/>
    </xf>
    <xf numFmtId="9" fontId="104" fillId="25" borderId="1" xfId="1" applyNumberFormat="1" applyFont="1" applyFill="1" applyBorder="1" applyAlignment="1">
      <alignment horizontal="center"/>
    </xf>
    <xf numFmtId="167" fontId="103" fillId="25" borderId="1" xfId="1" applyFont="1" applyFill="1" applyBorder="1" applyAlignment="1">
      <alignment horizontal="center" vertical="center" wrapText="1"/>
    </xf>
    <xf numFmtId="167" fontId="104" fillId="25" borderId="1" xfId="1" applyFont="1" applyFill="1" applyBorder="1"/>
    <xf numFmtId="167" fontId="50" fillId="25" borderId="124" xfId="1" applyFont="1" applyFill="1" applyBorder="1"/>
    <xf numFmtId="0" fontId="86" fillId="25" borderId="1" xfId="7" applyFont="1" applyFill="1" applyBorder="1" applyAlignment="1">
      <alignment horizontal="center" vertical="center" wrapText="1"/>
    </xf>
    <xf numFmtId="0" fontId="86" fillId="26" borderId="1" xfId="0" applyFont="1" applyFill="1" applyBorder="1" applyAlignment="1">
      <alignment horizontal="center" vertical="center" wrapText="1"/>
    </xf>
    <xf numFmtId="10" fontId="86" fillId="26" borderId="1" xfId="1" applyNumberFormat="1" applyFont="1" applyFill="1" applyBorder="1" applyAlignment="1">
      <alignment horizontal="center" vertical="center"/>
    </xf>
    <xf numFmtId="167" fontId="29" fillId="27" borderId="0" xfId="1" applyFont="1" applyFill="1"/>
    <xf numFmtId="167" fontId="23" fillId="27" borderId="0" xfId="1" applyFont="1" applyFill="1"/>
    <xf numFmtId="167" fontId="50" fillId="27" borderId="0" xfId="1" applyFont="1" applyFill="1"/>
    <xf numFmtId="167" fontId="23" fillId="27" borderId="0" xfId="1" applyFont="1" applyFill="1" applyAlignment="1">
      <alignment horizontal="center"/>
    </xf>
    <xf numFmtId="167" fontId="29" fillId="27" borderId="0" xfId="1" applyFont="1" applyFill="1" applyAlignment="1">
      <alignment horizontal="center"/>
    </xf>
    <xf numFmtId="189" fontId="95" fillId="27" borderId="1" xfId="8" applyNumberFormat="1" applyFont="1" applyFill="1" applyBorder="1" applyAlignment="1">
      <alignment horizontal="center" vertical="center" wrapText="1"/>
    </xf>
    <xf numFmtId="167" fontId="104" fillId="27" borderId="1" xfId="1" applyFont="1" applyFill="1" applyBorder="1" applyAlignment="1">
      <alignment horizontal="center"/>
    </xf>
    <xf numFmtId="167" fontId="104" fillId="27" borderId="1" xfId="1" applyFont="1" applyFill="1" applyBorder="1" applyAlignment="1">
      <alignment horizontal="center" vertical="center"/>
    </xf>
    <xf numFmtId="9" fontId="104" fillId="27" borderId="1" xfId="1" applyNumberFormat="1" applyFont="1" applyFill="1" applyBorder="1" applyAlignment="1">
      <alignment horizontal="center" vertical="center"/>
    </xf>
    <xf numFmtId="0" fontId="86" fillId="27" borderId="1" xfId="7" applyFont="1" applyFill="1" applyBorder="1" applyAlignment="1">
      <alignment horizontal="center" vertical="center" wrapText="1"/>
    </xf>
    <xf numFmtId="167" fontId="103" fillId="27" borderId="1" xfId="1" applyFont="1" applyFill="1" applyBorder="1" applyAlignment="1">
      <alignment horizontal="center" vertical="center" wrapText="1"/>
    </xf>
    <xf numFmtId="167" fontId="104" fillId="27" borderId="1" xfId="1" applyFont="1" applyFill="1" applyBorder="1"/>
    <xf numFmtId="167" fontId="50" fillId="27" borderId="124" xfId="1" applyFont="1" applyFill="1" applyBorder="1"/>
    <xf numFmtId="167" fontId="29" fillId="14" borderId="0" xfId="1" applyFont="1" applyFill="1"/>
    <xf numFmtId="167" fontId="29" fillId="14" borderId="0" xfId="1" applyFont="1" applyFill="1" applyAlignment="1">
      <alignment horizontal="center"/>
    </xf>
    <xf numFmtId="167" fontId="104" fillId="14" borderId="0" xfId="1" applyFont="1" applyFill="1" applyBorder="1" applyAlignment="1">
      <alignment horizontal="center" vertical="center"/>
    </xf>
    <xf numFmtId="0" fontId="86" fillId="14" borderId="1" xfId="7" applyFont="1" applyFill="1" applyBorder="1" applyAlignment="1">
      <alignment horizontal="center" vertical="center" wrapText="1"/>
    </xf>
    <xf numFmtId="167" fontId="104" fillId="14" borderId="1" xfId="1" applyFont="1" applyFill="1" applyBorder="1"/>
    <xf numFmtId="167" fontId="50" fillId="14" borderId="124" xfId="1" applyFont="1" applyFill="1" applyBorder="1"/>
    <xf numFmtId="167" fontId="86" fillId="2" borderId="0" xfId="1" applyFont="1" applyFill="1" applyAlignment="1">
      <alignment horizontal="center" vertical="center"/>
    </xf>
    <xf numFmtId="43" fontId="29" fillId="2" borderId="0" xfId="0" applyNumberFormat="1" applyFont="1" applyFill="1" applyAlignment="1">
      <alignment horizontal="center"/>
    </xf>
    <xf numFmtId="0" fontId="2" fillId="0" borderId="0" xfId="0" applyFont="1" applyAlignment="1">
      <alignment horizontal="center"/>
    </xf>
    <xf numFmtId="167" fontId="2" fillId="0" borderId="0" xfId="0" applyNumberFormat="1" applyFont="1"/>
    <xf numFmtId="167" fontId="86" fillId="26" borderId="1" xfId="1" applyFont="1" applyFill="1" applyBorder="1" applyAlignment="1">
      <alignment horizontal="center" vertical="center"/>
    </xf>
    <xf numFmtId="17" fontId="0" fillId="0" borderId="1" xfId="0" applyNumberFormat="1" applyBorder="1"/>
    <xf numFmtId="167" fontId="0" fillId="0" borderId="0" xfId="0" applyNumberFormat="1"/>
    <xf numFmtId="167" fontId="104" fillId="2" borderId="1" xfId="18" applyFont="1" applyFill="1" applyBorder="1" applyAlignment="1">
      <alignment horizontal="center"/>
    </xf>
    <xf numFmtId="17" fontId="0" fillId="0" borderId="0" xfId="0" applyNumberFormat="1" applyAlignment="1">
      <alignment horizontal="center"/>
    </xf>
    <xf numFmtId="167" fontId="0" fillId="0" borderId="0" xfId="18" applyFont="1" applyAlignment="1">
      <alignment horizontal="center"/>
    </xf>
    <xf numFmtId="0" fontId="2" fillId="0" borderId="171" xfId="0" applyFont="1" applyBorder="1" applyAlignment="1">
      <alignment horizontal="center"/>
    </xf>
    <xf numFmtId="167" fontId="0" fillId="0" borderId="0" xfId="1" applyFont="1" applyAlignment="1">
      <alignment horizontal="center"/>
    </xf>
    <xf numFmtId="0" fontId="23" fillId="22" borderId="0" xfId="0" applyFont="1" applyFill="1"/>
    <xf numFmtId="17" fontId="23" fillId="22" borderId="0" xfId="0" applyNumberFormat="1" applyFont="1" applyFill="1"/>
    <xf numFmtId="10" fontId="23" fillId="17" borderId="0" xfId="0" applyNumberFormat="1" applyFont="1" applyFill="1"/>
    <xf numFmtId="184" fontId="23" fillId="17" borderId="0" xfId="0" applyNumberFormat="1" applyFont="1" applyFill="1"/>
    <xf numFmtId="0" fontId="23" fillId="17" borderId="0" xfId="0" applyFont="1" applyFill="1"/>
    <xf numFmtId="167" fontId="23" fillId="17" borderId="0" xfId="0" applyNumberFormat="1" applyFont="1" applyFill="1"/>
    <xf numFmtId="167" fontId="23" fillId="17" borderId="0" xfId="1" applyFont="1" applyFill="1"/>
    <xf numFmtId="0" fontId="72" fillId="28" borderId="108" xfId="0" applyFont="1" applyFill="1" applyBorder="1" applyAlignment="1">
      <alignment horizontal="center"/>
    </xf>
    <xf numFmtId="0" fontId="72" fillId="28" borderId="13" xfId="0" applyFont="1" applyFill="1" applyBorder="1" applyAlignment="1">
      <alignment horizontal="center"/>
    </xf>
    <xf numFmtId="9" fontId="72" fillId="28" borderId="13" xfId="0" applyNumberFormat="1" applyFont="1" applyFill="1" applyBorder="1" applyAlignment="1">
      <alignment horizontal="center"/>
    </xf>
    <xf numFmtId="0" fontId="0" fillId="28" borderId="30" xfId="0" applyFill="1" applyBorder="1"/>
    <xf numFmtId="0" fontId="23" fillId="28" borderId="0" xfId="0" applyFont="1" applyFill="1"/>
    <xf numFmtId="167" fontId="0" fillId="3" borderId="0" xfId="1" applyFont="1" applyFill="1" applyAlignment="1">
      <alignment horizontal="center"/>
    </xf>
    <xf numFmtId="167" fontId="0" fillId="3" borderId="0" xfId="18" applyFont="1" applyFill="1" applyAlignment="1">
      <alignment horizontal="center"/>
    </xf>
    <xf numFmtId="167" fontId="0" fillId="3" borderId="0" xfId="1" applyFont="1" applyFill="1"/>
    <xf numFmtId="167" fontId="0" fillId="3" borderId="0" xfId="0" applyNumberFormat="1" applyFill="1"/>
    <xf numFmtId="0" fontId="3" fillId="2" borderId="1" xfId="10" applyFont="1" applyFill="1" applyBorder="1" applyAlignment="1">
      <alignment horizontal="center"/>
    </xf>
    <xf numFmtId="43" fontId="3" fillId="2" borderId="1" xfId="11" applyFont="1" applyFill="1" applyBorder="1"/>
    <xf numFmtId="0" fontId="101" fillId="2" borderId="1" xfId="10" applyFont="1" applyFill="1" applyBorder="1" applyAlignment="1">
      <alignment horizontal="center"/>
    </xf>
    <xf numFmtId="0" fontId="48" fillId="2" borderId="1" xfId="10" applyFont="1" applyFill="1" applyBorder="1" applyAlignment="1">
      <alignment horizontal="center"/>
    </xf>
    <xf numFmtId="167" fontId="104" fillId="3" borderId="1" xfId="1" applyFont="1" applyFill="1" applyBorder="1" applyAlignment="1">
      <alignment horizontal="center"/>
    </xf>
    <xf numFmtId="167" fontId="103" fillId="2" borderId="1" xfId="1" applyFont="1" applyFill="1" applyBorder="1" applyAlignment="1">
      <alignment horizontal="center"/>
    </xf>
    <xf numFmtId="170" fontId="119" fillId="2" borderId="20" xfId="0" applyNumberFormat="1" applyFont="1" applyFill="1" applyBorder="1" applyAlignment="1">
      <alignment horizontal="center"/>
    </xf>
    <xf numFmtId="170" fontId="119" fillId="2" borderId="70" xfId="0" applyNumberFormat="1" applyFont="1" applyFill="1" applyBorder="1" applyAlignment="1">
      <alignment horizontal="center"/>
    </xf>
    <xf numFmtId="0" fontId="120" fillId="2" borderId="70" xfId="0" applyFont="1" applyFill="1" applyBorder="1"/>
    <xf numFmtId="0" fontId="119" fillId="2" borderId="70" xfId="0" applyFont="1" applyFill="1" applyBorder="1"/>
    <xf numFmtId="0" fontId="119" fillId="2" borderId="43" xfId="0" applyFont="1" applyFill="1" applyBorder="1"/>
    <xf numFmtId="170" fontId="119" fillId="2" borderId="30" xfId="0" applyNumberFormat="1" applyFont="1" applyFill="1" applyBorder="1" applyAlignment="1">
      <alignment horizontal="center"/>
    </xf>
    <xf numFmtId="170" fontId="119" fillId="2" borderId="0" xfId="0" applyNumberFormat="1" applyFont="1" applyFill="1" applyAlignment="1">
      <alignment horizontal="center"/>
    </xf>
    <xf numFmtId="0" fontId="120" fillId="2" borderId="0" xfId="0" applyFont="1" applyFill="1"/>
    <xf numFmtId="0" fontId="119" fillId="2" borderId="0" xfId="0" applyFont="1" applyFill="1"/>
    <xf numFmtId="0" fontId="119" fillId="2" borderId="72" xfId="0" applyFont="1" applyFill="1" applyBorder="1"/>
    <xf numFmtId="167" fontId="120" fillId="2" borderId="0" xfId="1" applyFont="1" applyFill="1" applyBorder="1" applyAlignment="1">
      <alignment horizontal="center"/>
    </xf>
    <xf numFmtId="170" fontId="120" fillId="2" borderId="42" xfId="0" applyNumberFormat="1" applyFont="1" applyFill="1" applyBorder="1" applyAlignment="1">
      <alignment horizontal="center"/>
    </xf>
    <xf numFmtId="170" fontId="119" fillId="2" borderId="17" xfId="0" applyNumberFormat="1" applyFont="1" applyFill="1" applyBorder="1" applyAlignment="1">
      <alignment horizontal="center"/>
    </xf>
    <xf numFmtId="167" fontId="120" fillId="2" borderId="17" xfId="1" applyFont="1" applyFill="1" applyBorder="1" applyAlignment="1">
      <alignment horizontal="center"/>
    </xf>
    <xf numFmtId="0" fontId="119" fillId="2" borderId="17" xfId="0" applyFont="1" applyFill="1" applyBorder="1"/>
    <xf numFmtId="0" fontId="119" fillId="2" borderId="71" xfId="0" applyFont="1" applyFill="1" applyBorder="1"/>
    <xf numFmtId="170" fontId="120" fillId="3" borderId="20" xfId="0" applyNumberFormat="1" applyFont="1" applyFill="1" applyBorder="1" applyAlignment="1">
      <alignment horizontal="center"/>
    </xf>
    <xf numFmtId="167" fontId="120" fillId="3" borderId="70" xfId="1" applyFont="1" applyFill="1" applyBorder="1" applyAlignment="1">
      <alignment horizontal="center"/>
    </xf>
    <xf numFmtId="171" fontId="120" fillId="3" borderId="70" xfId="0" applyNumberFormat="1" applyFont="1" applyFill="1" applyBorder="1"/>
    <xf numFmtId="0" fontId="120" fillId="3" borderId="70" xfId="0" applyFont="1" applyFill="1" applyBorder="1"/>
    <xf numFmtId="171" fontId="120" fillId="3" borderId="43" xfId="0" applyNumberFormat="1" applyFont="1" applyFill="1" applyBorder="1"/>
    <xf numFmtId="171" fontId="119" fillId="2" borderId="0" xfId="0" applyNumberFormat="1" applyFont="1" applyFill="1"/>
    <xf numFmtId="180" fontId="119" fillId="2" borderId="72" xfId="0" applyNumberFormat="1" applyFont="1" applyFill="1" applyBorder="1"/>
    <xf numFmtId="170" fontId="119" fillId="3" borderId="30" xfId="0" applyNumberFormat="1" applyFont="1" applyFill="1" applyBorder="1" applyAlignment="1">
      <alignment horizontal="center"/>
    </xf>
    <xf numFmtId="180" fontId="120" fillId="3" borderId="0" xfId="0" applyNumberFormat="1" applyFont="1" applyFill="1"/>
    <xf numFmtId="171" fontId="120" fillId="3" borderId="0" xfId="0" applyNumberFormat="1" applyFont="1" applyFill="1"/>
    <xf numFmtId="0" fontId="119" fillId="3" borderId="0" xfId="0" applyFont="1" applyFill="1"/>
    <xf numFmtId="180" fontId="120" fillId="3" borderId="72" xfId="0" applyNumberFormat="1" applyFont="1" applyFill="1" applyBorder="1"/>
    <xf numFmtId="170" fontId="119" fillId="2" borderId="42" xfId="0" applyNumberFormat="1" applyFont="1" applyFill="1" applyBorder="1" applyAlignment="1">
      <alignment horizontal="center"/>
    </xf>
    <xf numFmtId="171" fontId="119" fillId="2" borderId="17" xfId="0" applyNumberFormat="1" applyFont="1" applyFill="1" applyBorder="1"/>
    <xf numFmtId="180" fontId="119" fillId="2" borderId="71" xfId="0" applyNumberFormat="1" applyFont="1" applyFill="1" applyBorder="1"/>
    <xf numFmtId="171" fontId="119" fillId="3" borderId="0" xfId="0" applyNumberFormat="1" applyFont="1" applyFill="1"/>
    <xf numFmtId="167" fontId="119" fillId="2" borderId="0" xfId="1" applyFont="1" applyFill="1"/>
    <xf numFmtId="167" fontId="119" fillId="2" borderId="0" xfId="0" applyNumberFormat="1" applyFont="1" applyFill="1"/>
    <xf numFmtId="167" fontId="119" fillId="2" borderId="70" xfId="1" applyFont="1" applyFill="1" applyBorder="1"/>
    <xf numFmtId="0" fontId="119" fillId="2" borderId="43" xfId="0" applyFont="1" applyFill="1" applyBorder="1" applyAlignment="1">
      <alignment horizontal="center"/>
    </xf>
    <xf numFmtId="9" fontId="119" fillId="2" borderId="17" xfId="0" applyNumberFormat="1" applyFont="1" applyFill="1" applyBorder="1"/>
    <xf numFmtId="180" fontId="119" fillId="2" borderId="17" xfId="0" applyNumberFormat="1" applyFont="1" applyFill="1" applyBorder="1"/>
    <xf numFmtId="167" fontId="119" fillId="2" borderId="17" xfId="1" applyFont="1" applyFill="1" applyBorder="1"/>
    <xf numFmtId="170" fontId="119" fillId="2" borderId="42" xfId="0" applyNumberFormat="1" applyFont="1" applyFill="1" applyBorder="1" applyAlignment="1">
      <alignment horizontal="left"/>
    </xf>
    <xf numFmtId="198" fontId="23" fillId="2" borderId="0" xfId="0" applyNumberFormat="1" applyFont="1" applyFill="1" applyAlignment="1">
      <alignment vertical="center"/>
    </xf>
    <xf numFmtId="0" fontId="95" fillId="27" borderId="1" xfId="0" applyFont="1" applyFill="1" applyBorder="1" applyAlignment="1">
      <alignment vertical="center"/>
    </xf>
    <xf numFmtId="198" fontId="95" fillId="27" borderId="1" xfId="0" applyNumberFormat="1" applyFont="1" applyFill="1" applyBorder="1" applyAlignment="1">
      <alignment vertical="center"/>
    </xf>
    <xf numFmtId="0" fontId="23" fillId="27" borderId="1" xfId="0" applyFont="1" applyFill="1" applyBorder="1" applyAlignment="1">
      <alignment vertical="center"/>
    </xf>
    <xf numFmtId="198" fontId="23" fillId="27" borderId="1" xfId="0" applyNumberFormat="1" applyFont="1" applyFill="1" applyBorder="1" applyAlignment="1">
      <alignment vertical="center"/>
    </xf>
    <xf numFmtId="0" fontId="23" fillId="27" borderId="1" xfId="0" applyFont="1" applyFill="1" applyBorder="1" applyAlignment="1">
      <alignment horizontal="center" vertical="center"/>
    </xf>
    <xf numFmtId="43" fontId="0" fillId="0" borderId="0" xfId="0" applyNumberFormat="1"/>
    <xf numFmtId="0" fontId="1" fillId="0" borderId="1" xfId="0" applyFont="1" applyBorder="1" applyAlignment="1">
      <alignment horizontal="center" vertical="center"/>
    </xf>
    <xf numFmtId="0" fontId="1" fillId="0" borderId="15" xfId="0" applyFont="1" applyBorder="1" applyAlignment="1">
      <alignment horizontal="center" vertical="center"/>
    </xf>
    <xf numFmtId="0" fontId="1" fillId="0" borderId="24" xfId="0" applyFont="1" applyBorder="1" applyAlignment="1">
      <alignment horizontal="center" vertical="center"/>
    </xf>
    <xf numFmtId="0" fontId="1" fillId="0" borderId="8" xfId="0" applyFont="1" applyBorder="1" applyAlignment="1">
      <alignment horizontal="left"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8" xfId="0" applyFont="1" applyBorder="1" applyAlignment="1">
      <alignment horizontal="right" vertical="center"/>
    </xf>
    <xf numFmtId="169" fontId="1" fillId="0" borderId="80" xfId="0" applyNumberFormat="1" applyFont="1" applyBorder="1" applyAlignment="1">
      <alignment horizontal="center" vertical="center"/>
    </xf>
    <xf numFmtId="0" fontId="2" fillId="3" borderId="0" xfId="0" applyFont="1" applyFill="1"/>
    <xf numFmtId="43" fontId="2" fillId="3" borderId="0" xfId="0" applyNumberFormat="1" applyFont="1" applyFill="1"/>
    <xf numFmtId="167" fontId="2" fillId="3" borderId="0" xfId="0" applyNumberFormat="1" applyFont="1" applyFill="1"/>
    <xf numFmtId="167" fontId="2" fillId="17" borderId="0" xfId="0" applyNumberFormat="1" applyFont="1" applyFill="1"/>
    <xf numFmtId="0" fontId="113" fillId="20" borderId="0" xfId="10" applyFont="1" applyFill="1" applyAlignment="1">
      <alignment horizontal="center" vertical="center"/>
    </xf>
    <xf numFmtId="0" fontId="89" fillId="2" borderId="155" xfId="10" applyFont="1" applyFill="1" applyBorder="1" applyAlignment="1">
      <alignment horizontal="center" wrapText="1"/>
    </xf>
    <xf numFmtId="0" fontId="89" fillId="2" borderId="0" xfId="10" applyFont="1" applyFill="1" applyAlignment="1">
      <alignment horizontal="center" wrapText="1"/>
    </xf>
    <xf numFmtId="0" fontId="108" fillId="19" borderId="156" xfId="10" applyFont="1" applyFill="1" applyBorder="1" applyAlignment="1">
      <alignment horizontal="center"/>
    </xf>
    <xf numFmtId="0" fontId="108" fillId="19" borderId="157" xfId="10" applyFont="1" applyFill="1" applyBorder="1" applyAlignment="1">
      <alignment horizontal="center"/>
    </xf>
    <xf numFmtId="0" fontId="108" fillId="19" borderId="158" xfId="10" applyFont="1" applyFill="1" applyBorder="1" applyAlignment="1">
      <alignment horizontal="center"/>
    </xf>
    <xf numFmtId="0" fontId="108" fillId="2" borderId="0" xfId="10" applyFont="1" applyFill="1" applyAlignment="1">
      <alignment horizontal="center"/>
    </xf>
    <xf numFmtId="43" fontId="23" fillId="2" borderId="165" xfId="4" applyFont="1" applyFill="1" applyBorder="1" applyAlignment="1">
      <alignment horizontal="center" vertical="center" wrapText="1"/>
    </xf>
    <xf numFmtId="43" fontId="23" fillId="2" borderId="140" xfId="4" applyFont="1" applyFill="1" applyBorder="1" applyAlignment="1">
      <alignment horizontal="center" vertical="center" wrapText="1"/>
    </xf>
    <xf numFmtId="43" fontId="23" fillId="2" borderId="166" xfId="4" applyFont="1" applyFill="1" applyBorder="1" applyAlignment="1">
      <alignment horizontal="center" vertical="center" wrapText="1"/>
    </xf>
    <xf numFmtId="0" fontId="23" fillId="2" borderId="15" xfId="0" applyFont="1" applyFill="1" applyBorder="1" applyAlignment="1">
      <alignment horizontal="center"/>
    </xf>
    <xf numFmtId="0" fontId="23" fillId="2" borderId="24" xfId="0" applyFont="1" applyFill="1" applyBorder="1" applyAlignment="1">
      <alignment horizontal="center"/>
    </xf>
    <xf numFmtId="167" fontId="23" fillId="2" borderId="1" xfId="1" applyFont="1" applyFill="1" applyBorder="1" applyAlignment="1">
      <alignment horizontal="center" vertical="center"/>
    </xf>
    <xf numFmtId="0" fontId="76" fillId="0" borderId="98" xfId="0" applyFont="1" applyBorder="1" applyAlignment="1">
      <alignment horizontal="center" vertical="center"/>
    </xf>
    <xf numFmtId="0" fontId="76" fillId="0" borderId="99" xfId="0" applyFont="1" applyBorder="1" applyAlignment="1">
      <alignment horizontal="center" vertical="center"/>
    </xf>
    <xf numFmtId="0" fontId="95" fillId="17" borderId="0" xfId="0" applyFont="1" applyFill="1" applyAlignment="1">
      <alignment horizontal="center"/>
    </xf>
    <xf numFmtId="2" fontId="95" fillId="3" borderId="169" xfId="4" quotePrefix="1" applyNumberFormat="1" applyFont="1" applyFill="1" applyBorder="1" applyAlignment="1">
      <alignment horizontal="center" vertical="center"/>
    </xf>
    <xf numFmtId="2" fontId="95" fillId="3" borderId="170" xfId="4" quotePrefix="1" applyNumberFormat="1" applyFont="1" applyFill="1" applyBorder="1" applyAlignment="1">
      <alignment horizontal="center" vertical="center"/>
    </xf>
    <xf numFmtId="2" fontId="95" fillId="3" borderId="149" xfId="4" quotePrefix="1" applyNumberFormat="1" applyFont="1" applyFill="1" applyBorder="1" applyAlignment="1">
      <alignment horizontal="center" vertical="center"/>
    </xf>
    <xf numFmtId="0" fontId="95" fillId="11" borderId="0" xfId="0" applyFont="1" applyFill="1" applyAlignment="1">
      <alignment horizontal="center"/>
    </xf>
    <xf numFmtId="0" fontId="86" fillId="2" borderId="1" xfId="7" applyFont="1" applyFill="1" applyBorder="1" applyAlignment="1">
      <alignment horizontal="center" vertical="center" wrapText="1"/>
    </xf>
    <xf numFmtId="0" fontId="95" fillId="2" borderId="1" xfId="0" applyFont="1" applyFill="1" applyBorder="1" applyAlignment="1">
      <alignment horizontal="center"/>
    </xf>
    <xf numFmtId="167" fontId="95" fillId="2" borderId="1" xfId="1" applyFont="1" applyFill="1" applyBorder="1" applyAlignment="1">
      <alignment horizontal="center" vertical="center"/>
    </xf>
    <xf numFmtId="0" fontId="95" fillId="18" borderId="0" xfId="0" applyFont="1" applyFill="1" applyAlignment="1">
      <alignment horizontal="center"/>
    </xf>
    <xf numFmtId="0" fontId="11" fillId="3" borderId="124" xfId="0" applyFont="1" applyFill="1" applyBorder="1" applyAlignment="1">
      <alignment horizontal="center"/>
    </xf>
    <xf numFmtId="0" fontId="95" fillId="3" borderId="1" xfId="0" applyFont="1" applyFill="1" applyBorder="1" applyAlignment="1">
      <alignment horizontal="center"/>
    </xf>
    <xf numFmtId="0" fontId="52" fillId="0" borderId="1" xfId="0" applyFont="1" applyBorder="1" applyAlignment="1">
      <alignment horizontal="center"/>
    </xf>
    <xf numFmtId="0" fontId="52" fillId="0" borderId="1" xfId="0" applyFont="1" applyBorder="1" applyAlignment="1" applyProtection="1">
      <alignment horizontal="center"/>
      <protection locked="0"/>
    </xf>
    <xf numFmtId="0" fontId="83" fillId="0" borderId="15" xfId="0" applyFont="1" applyBorder="1" applyAlignment="1">
      <alignment horizontal="center" vertical="center"/>
    </xf>
    <xf numFmtId="0" fontId="83" fillId="0" borderId="18" xfId="0" applyFont="1" applyBorder="1" applyAlignment="1">
      <alignment horizontal="center" vertical="center"/>
    </xf>
    <xf numFmtId="0" fontId="83" fillId="0" borderId="24" xfId="0" applyFont="1" applyBorder="1" applyAlignment="1">
      <alignment horizontal="center" vertical="center"/>
    </xf>
    <xf numFmtId="0" fontId="83" fillId="0" borderId="15" xfId="0" applyFont="1" applyBorder="1" applyAlignment="1" applyProtection="1">
      <alignment horizontal="center" vertical="center"/>
      <protection locked="0"/>
    </xf>
    <xf numFmtId="0" fontId="83" fillId="0" borderId="18" xfId="0" applyFont="1" applyBorder="1" applyAlignment="1" applyProtection="1">
      <alignment horizontal="center" vertical="center"/>
      <protection locked="0"/>
    </xf>
    <xf numFmtId="0" fontId="83" fillId="0" borderId="24" xfId="0" applyFont="1" applyBorder="1" applyAlignment="1" applyProtection="1">
      <alignment horizontal="center" vertical="center"/>
      <protection locked="0"/>
    </xf>
    <xf numFmtId="0" fontId="45" fillId="14" borderId="54" xfId="0" applyFont="1" applyFill="1" applyBorder="1" applyAlignment="1">
      <alignment horizontal="center" vertical="center"/>
    </xf>
    <xf numFmtId="0" fontId="68" fillId="4" borderId="15" xfId="0" applyFont="1" applyFill="1" applyBorder="1" applyAlignment="1">
      <alignment horizontal="center" vertical="center"/>
    </xf>
    <xf numFmtId="0" fontId="68" fillId="4" borderId="18" xfId="0" applyFont="1" applyFill="1" applyBorder="1" applyAlignment="1">
      <alignment horizontal="center" vertical="center"/>
    </xf>
    <xf numFmtId="0" fontId="68" fillId="4" borderId="24" xfId="0" applyFont="1" applyFill="1" applyBorder="1" applyAlignment="1">
      <alignment horizontal="center" vertical="center"/>
    </xf>
    <xf numFmtId="0" fontId="58" fillId="4" borderId="15" xfId="0" applyFont="1" applyFill="1" applyBorder="1" applyAlignment="1">
      <alignment horizontal="center" vertical="center"/>
    </xf>
    <xf numFmtId="0" fontId="58" fillId="4" borderId="18" xfId="0" applyFont="1" applyFill="1" applyBorder="1" applyAlignment="1">
      <alignment horizontal="center" vertical="center"/>
    </xf>
    <xf numFmtId="0" fontId="58" fillId="4" borderId="24" xfId="0" applyFont="1" applyFill="1" applyBorder="1" applyAlignment="1">
      <alignment horizontal="center" vertical="center"/>
    </xf>
    <xf numFmtId="0" fontId="70" fillId="0" borderId="1" xfId="0" applyFont="1" applyBorder="1" applyAlignment="1">
      <alignment horizontal="center" vertical="center"/>
    </xf>
    <xf numFmtId="9" fontId="70" fillId="0" borderId="1" xfId="0" applyNumberFormat="1" applyFont="1" applyBorder="1" applyAlignment="1">
      <alignment horizontal="center" vertical="center"/>
    </xf>
    <xf numFmtId="0" fontId="68" fillId="4" borderId="1" xfId="0" applyFont="1" applyFill="1" applyBorder="1" applyAlignment="1">
      <alignment horizontal="center" vertical="center"/>
    </xf>
    <xf numFmtId="0" fontId="69" fillId="0" borderId="15" xfId="0" applyFont="1" applyBorder="1" applyAlignment="1" applyProtection="1">
      <alignment horizontal="center" vertical="center"/>
      <protection locked="0"/>
    </xf>
    <xf numFmtId="0" fontId="69" fillId="0" borderId="18" xfId="0" applyFont="1" applyBorder="1" applyAlignment="1" applyProtection="1">
      <alignment horizontal="center" vertical="center"/>
      <protection locked="0"/>
    </xf>
    <xf numFmtId="0" fontId="69" fillId="0" borderId="24" xfId="0" applyFont="1" applyBorder="1" applyAlignment="1" applyProtection="1">
      <alignment horizontal="center" vertical="center"/>
      <protection locked="0"/>
    </xf>
    <xf numFmtId="9" fontId="69" fillId="0" borderId="15" xfId="2" applyFont="1" applyBorder="1" applyAlignment="1" applyProtection="1">
      <alignment horizontal="center" vertical="center"/>
    </xf>
    <xf numFmtId="9" fontId="69" fillId="0" borderId="24" xfId="2" applyFont="1" applyBorder="1" applyAlignment="1" applyProtection="1">
      <alignment horizontal="center" vertical="center"/>
    </xf>
    <xf numFmtId="0" fontId="47" fillId="10" borderId="92" xfId="0" applyFont="1" applyFill="1" applyBorder="1" applyAlignment="1">
      <alignment horizontal="center" vertical="center"/>
    </xf>
    <xf numFmtId="0" fontId="47" fillId="10" borderId="88" xfId="0" applyFont="1" applyFill="1" applyBorder="1" applyAlignment="1">
      <alignment horizontal="center" vertical="center"/>
    </xf>
    <xf numFmtId="0" fontId="47" fillId="10" borderId="93" xfId="0" applyFont="1" applyFill="1" applyBorder="1" applyAlignment="1">
      <alignment horizontal="center" vertical="center"/>
    </xf>
    <xf numFmtId="0" fontId="58" fillId="13" borderId="89" xfId="0" applyFont="1" applyFill="1" applyBorder="1" applyAlignment="1">
      <alignment horizontal="center" vertical="center"/>
    </xf>
    <xf numFmtId="0" fontId="58" fillId="13" borderId="90" xfId="0" applyFont="1" applyFill="1" applyBorder="1" applyAlignment="1">
      <alignment horizontal="center" vertical="center"/>
    </xf>
    <xf numFmtId="0" fontId="58" fillId="13" borderId="91" xfId="0" applyFont="1" applyFill="1" applyBorder="1" applyAlignment="1">
      <alignment horizontal="center" vertical="center"/>
    </xf>
    <xf numFmtId="0" fontId="47" fillId="12" borderId="92" xfId="0" applyFont="1" applyFill="1" applyBorder="1" applyAlignment="1">
      <alignment horizontal="center" vertical="center"/>
    </xf>
    <xf numFmtId="0" fontId="47" fillId="12" borderId="88" xfId="0" applyFont="1" applyFill="1" applyBorder="1" applyAlignment="1">
      <alignment horizontal="center" vertical="center"/>
    </xf>
    <xf numFmtId="0" fontId="47" fillId="10" borderId="0" xfId="0" applyFont="1" applyFill="1" applyAlignment="1">
      <alignment horizontal="center" vertical="center" wrapText="1"/>
    </xf>
    <xf numFmtId="0" fontId="47" fillId="10" borderId="0" xfId="0" applyFont="1" applyFill="1" applyAlignment="1">
      <alignment horizontal="center" vertical="center"/>
    </xf>
    <xf numFmtId="0" fontId="67" fillId="3" borderId="97" xfId="0" applyFont="1" applyFill="1" applyBorder="1" applyAlignment="1">
      <alignment horizontal="center" vertical="center"/>
    </xf>
    <xf numFmtId="180" fontId="44" fillId="0" borderId="88" xfId="0" applyNumberFormat="1" applyFont="1" applyBorder="1" applyAlignment="1" applyProtection="1">
      <alignment horizontal="center" vertical="center"/>
      <protection locked="0"/>
    </xf>
    <xf numFmtId="180" fontId="44" fillId="0" borderId="93" xfId="0" applyNumberFormat="1" applyFont="1" applyBorder="1" applyAlignment="1" applyProtection="1">
      <alignment horizontal="center" vertical="center"/>
      <protection locked="0"/>
    </xf>
    <xf numFmtId="0" fontId="44" fillId="0" borderId="88" xfId="5" applyNumberFormat="1" applyFont="1" applyBorder="1" applyAlignment="1" applyProtection="1">
      <alignment horizontal="center" vertical="center" wrapText="1"/>
      <protection locked="0"/>
    </xf>
    <xf numFmtId="0" fontId="44" fillId="0" borderId="92" xfId="0" applyFont="1" applyBorder="1" applyAlignment="1" applyProtection="1">
      <alignment horizontal="center" vertical="center"/>
      <protection locked="0"/>
    </xf>
    <xf numFmtId="0" fontId="44" fillId="0" borderId="88" xfId="0" applyFont="1" applyBorder="1" applyAlignment="1" applyProtection="1">
      <alignment horizontal="center" vertical="center"/>
      <protection locked="0"/>
    </xf>
    <xf numFmtId="0" fontId="45" fillId="11" borderId="55" xfId="0" applyFont="1" applyFill="1" applyBorder="1" applyAlignment="1" applyProtection="1">
      <alignment horizontal="center" vertical="center"/>
      <protection locked="0"/>
    </xf>
    <xf numFmtId="0" fontId="45" fillId="11" borderId="56" xfId="0" applyFont="1" applyFill="1" applyBorder="1" applyAlignment="1" applyProtection="1">
      <alignment horizontal="center" vertical="center"/>
      <protection locked="0"/>
    </xf>
    <xf numFmtId="0" fontId="45" fillId="11" borderId="57" xfId="0" applyFont="1" applyFill="1" applyBorder="1" applyAlignment="1" applyProtection="1">
      <alignment horizontal="center" vertical="center"/>
      <protection locked="0"/>
    </xf>
    <xf numFmtId="0" fontId="45" fillId="11" borderId="61" xfId="0" applyFont="1" applyFill="1" applyBorder="1" applyAlignment="1" applyProtection="1">
      <alignment horizontal="center" vertical="center" wrapText="1"/>
      <protection locked="0"/>
    </xf>
    <xf numFmtId="0" fontId="45" fillId="11" borderId="62" xfId="0" applyFont="1" applyFill="1" applyBorder="1" applyAlignment="1" applyProtection="1">
      <alignment horizontal="center" vertical="center" wrapText="1"/>
      <protection locked="0"/>
    </xf>
    <xf numFmtId="0" fontId="45" fillId="11" borderId="63" xfId="0" applyFont="1" applyFill="1" applyBorder="1" applyAlignment="1" applyProtection="1">
      <alignment horizontal="center" vertical="center" wrapText="1"/>
      <protection locked="0"/>
    </xf>
    <xf numFmtId="0" fontId="45" fillId="11" borderId="64" xfId="0" applyFont="1" applyFill="1" applyBorder="1" applyAlignment="1" applyProtection="1">
      <alignment horizontal="center" vertical="center" wrapText="1"/>
      <protection locked="0"/>
    </xf>
    <xf numFmtId="0" fontId="45" fillId="11" borderId="65" xfId="0" applyFont="1" applyFill="1" applyBorder="1" applyAlignment="1" applyProtection="1">
      <alignment horizontal="center" vertical="center" wrapText="1"/>
      <protection locked="0"/>
    </xf>
    <xf numFmtId="0" fontId="45" fillId="11" borderId="66" xfId="0" applyFont="1" applyFill="1" applyBorder="1" applyAlignment="1" applyProtection="1">
      <alignment horizontal="center" vertical="center" wrapText="1"/>
      <protection locked="0"/>
    </xf>
    <xf numFmtId="0" fontId="44" fillId="0" borderId="93" xfId="0" applyFont="1" applyBorder="1" applyAlignment="1" applyProtection="1">
      <alignment horizontal="center" vertical="center"/>
      <protection locked="0"/>
    </xf>
    <xf numFmtId="0" fontId="44" fillId="0" borderId="95" xfId="0" applyFont="1" applyBorder="1" applyAlignment="1" applyProtection="1">
      <alignment horizontal="center" vertical="center"/>
      <protection locked="0"/>
    </xf>
    <xf numFmtId="0" fontId="44" fillId="0" borderId="96" xfId="0" applyFont="1" applyBorder="1" applyAlignment="1" applyProtection="1">
      <alignment horizontal="center" vertical="center"/>
      <protection locked="0"/>
    </xf>
    <xf numFmtId="0" fontId="44" fillId="0" borderId="95" xfId="5" applyNumberFormat="1" applyFont="1" applyBorder="1" applyAlignment="1" applyProtection="1">
      <alignment horizontal="center" vertical="center" wrapText="1"/>
      <protection locked="0"/>
    </xf>
    <xf numFmtId="0" fontId="44" fillId="0" borderId="94" xfId="0" applyFont="1" applyBorder="1" applyAlignment="1" applyProtection="1">
      <alignment horizontal="center" vertical="center"/>
      <protection locked="0"/>
    </xf>
    <xf numFmtId="0" fontId="47" fillId="12" borderId="93" xfId="0" applyFont="1" applyFill="1" applyBorder="1" applyAlignment="1">
      <alignment horizontal="center" vertical="center"/>
    </xf>
    <xf numFmtId="0" fontId="45" fillId="14" borderId="47" xfId="0" applyFont="1" applyFill="1" applyBorder="1" applyAlignment="1">
      <alignment horizontal="center" vertical="center"/>
    </xf>
    <xf numFmtId="0" fontId="45" fillId="14" borderId="48" xfId="0" applyFont="1" applyFill="1" applyBorder="1" applyAlignment="1">
      <alignment horizontal="center" vertical="center"/>
    </xf>
    <xf numFmtId="0" fontId="45" fillId="14" borderId="49" xfId="0" applyFont="1" applyFill="1" applyBorder="1" applyAlignment="1">
      <alignment horizontal="center" vertical="center"/>
    </xf>
    <xf numFmtId="0" fontId="45" fillId="14" borderId="50" xfId="0" applyFont="1" applyFill="1" applyBorder="1" applyAlignment="1">
      <alignment horizontal="center" vertical="center"/>
    </xf>
    <xf numFmtId="0" fontId="45" fillId="14" borderId="51" xfId="0" applyFont="1" applyFill="1" applyBorder="1" applyAlignment="1">
      <alignment horizontal="center" vertical="center"/>
    </xf>
    <xf numFmtId="0" fontId="45" fillId="14" borderId="52" xfId="0" applyFont="1" applyFill="1" applyBorder="1" applyAlignment="1">
      <alignment horizontal="center" vertical="center"/>
    </xf>
    <xf numFmtId="169" fontId="45" fillId="11" borderId="55" xfId="0" applyNumberFormat="1" applyFont="1" applyFill="1" applyBorder="1" applyAlignment="1" applyProtection="1">
      <alignment horizontal="center" vertical="center"/>
      <protection locked="0"/>
    </xf>
    <xf numFmtId="169" fontId="45" fillId="11" borderId="56" xfId="0" applyNumberFormat="1" applyFont="1" applyFill="1" applyBorder="1" applyAlignment="1" applyProtection="1">
      <alignment horizontal="center" vertical="center"/>
      <protection locked="0"/>
    </xf>
    <xf numFmtId="169" fontId="45" fillId="11" borderId="57" xfId="0" applyNumberFormat="1" applyFont="1" applyFill="1" applyBorder="1" applyAlignment="1" applyProtection="1">
      <alignment horizontal="center" vertical="center"/>
      <protection locked="0"/>
    </xf>
    <xf numFmtId="0" fontId="45" fillId="0" borderId="53" xfId="0" applyFont="1" applyBorder="1" applyAlignment="1">
      <alignment horizontal="center" vertical="center"/>
    </xf>
    <xf numFmtId="0" fontId="45" fillId="11" borderId="54" xfId="0" applyFont="1" applyFill="1" applyBorder="1" applyAlignment="1" applyProtection="1">
      <alignment horizontal="center" vertical="center"/>
      <protection locked="0"/>
    </xf>
    <xf numFmtId="181" fontId="45" fillId="14" borderId="55" xfId="0" applyNumberFormat="1" applyFont="1" applyFill="1" applyBorder="1" applyAlignment="1" applyProtection="1">
      <alignment horizontal="center" vertical="center"/>
      <protection locked="0"/>
    </xf>
    <xf numFmtId="181" fontId="45" fillId="14" borderId="56" xfId="0" applyNumberFormat="1" applyFont="1" applyFill="1" applyBorder="1" applyAlignment="1" applyProtection="1">
      <alignment horizontal="center" vertical="center"/>
      <protection locked="0"/>
    </xf>
    <xf numFmtId="181" fontId="45" fillId="14" borderId="57" xfId="0" applyNumberFormat="1" applyFont="1" applyFill="1" applyBorder="1" applyAlignment="1" applyProtection="1">
      <alignment horizontal="center" vertical="center"/>
      <protection locked="0"/>
    </xf>
    <xf numFmtId="10" fontId="45" fillId="14" borderId="55" xfId="2" applyNumberFormat="1" applyFont="1" applyFill="1" applyBorder="1" applyAlignment="1" applyProtection="1">
      <alignment horizontal="center" vertical="center"/>
      <protection locked="0"/>
    </xf>
    <xf numFmtId="10" fontId="45" fillId="14" borderId="56" xfId="2" applyNumberFormat="1" applyFont="1" applyFill="1" applyBorder="1" applyAlignment="1" applyProtection="1">
      <alignment horizontal="center" vertical="center"/>
      <protection locked="0"/>
    </xf>
    <xf numFmtId="10" fontId="45" fillId="14" borderId="57" xfId="2" applyNumberFormat="1" applyFont="1" applyFill="1" applyBorder="1" applyAlignment="1" applyProtection="1">
      <alignment horizontal="center" vertical="center"/>
      <protection locked="0"/>
    </xf>
    <xf numFmtId="0" fontId="47" fillId="4" borderId="1" xfId="0" applyFont="1" applyFill="1" applyBorder="1" applyAlignment="1">
      <alignment horizontal="center" vertical="center"/>
    </xf>
    <xf numFmtId="0" fontId="44" fillId="0" borderId="1" xfId="0" applyFont="1" applyBorder="1" applyAlignment="1">
      <alignment horizontal="center" vertical="center"/>
    </xf>
    <xf numFmtId="3" fontId="44" fillId="0" borderId="1" xfId="0" applyNumberFormat="1" applyFont="1" applyBorder="1" applyAlignment="1">
      <alignment horizontal="center" vertical="center"/>
    </xf>
    <xf numFmtId="171" fontId="32" fillId="0" borderId="8" xfId="1" applyNumberFormat="1" applyFont="1" applyBorder="1" applyAlignment="1" applyProtection="1">
      <alignment horizontal="left" vertical="center"/>
    </xf>
    <xf numFmtId="171" fontId="32" fillId="0" borderId="9" xfId="1" applyNumberFormat="1" applyFont="1" applyBorder="1" applyAlignment="1" applyProtection="1">
      <alignment horizontal="left" vertical="center"/>
    </xf>
    <xf numFmtId="171" fontId="15" fillId="0" borderId="8" xfId="1" applyNumberFormat="1" applyFont="1" applyBorder="1" applyAlignment="1" applyProtection="1">
      <alignment horizontal="left" vertical="center"/>
    </xf>
    <xf numFmtId="171" fontId="15" fillId="0" borderId="9" xfId="1" applyNumberFormat="1" applyFont="1" applyBorder="1" applyAlignment="1" applyProtection="1">
      <alignment horizontal="left" vertical="center"/>
    </xf>
    <xf numFmtId="171" fontId="15" fillId="0" borderId="7" xfId="0" applyNumberFormat="1" applyFont="1" applyBorder="1" applyAlignment="1">
      <alignment horizontal="left" vertical="center"/>
    </xf>
    <xf numFmtId="171" fontId="15" fillId="0" borderId="8" xfId="0" applyNumberFormat="1" applyFont="1" applyBorder="1" applyAlignment="1">
      <alignment horizontal="left" vertical="center"/>
    </xf>
    <xf numFmtId="171" fontId="15" fillId="0" borderId="9" xfId="0" applyNumberFormat="1" applyFont="1" applyBorder="1" applyAlignment="1">
      <alignment horizontal="left" vertical="center"/>
    </xf>
    <xf numFmtId="0" fontId="9" fillId="5" borderId="1" xfId="0" applyFont="1" applyFill="1" applyBorder="1" applyAlignment="1">
      <alignment horizontal="center" vertical="center"/>
    </xf>
    <xf numFmtId="171" fontId="1" fillId="0" borderId="1" xfId="0" applyNumberFormat="1" applyFont="1" applyBorder="1" applyAlignment="1">
      <alignment horizontal="center" vertical="center"/>
    </xf>
    <xf numFmtId="0" fontId="9" fillId="5" borderId="0" xfId="0" applyFont="1" applyFill="1" applyAlignment="1">
      <alignment horizontal="left" vertical="center"/>
    </xf>
    <xf numFmtId="0" fontId="21" fillId="4" borderId="0" xfId="0" applyFont="1" applyFill="1" applyAlignment="1">
      <alignment horizontal="center"/>
    </xf>
    <xf numFmtId="171" fontId="18" fillId="0" borderId="1" xfId="0" applyNumberFormat="1" applyFont="1" applyBorder="1" applyAlignment="1">
      <alignment horizontal="center" vertical="center"/>
    </xf>
    <xf numFmtId="180" fontId="61" fillId="9" borderId="15" xfId="0" applyNumberFormat="1" applyFont="1" applyFill="1" applyBorder="1" applyAlignment="1">
      <alignment horizontal="center" vertical="center"/>
    </xf>
    <xf numFmtId="180" fontId="61" fillId="9" borderId="24" xfId="0" applyNumberFormat="1" applyFont="1" applyFill="1" applyBorder="1" applyAlignment="1">
      <alignment horizontal="center" vertical="center"/>
    </xf>
    <xf numFmtId="0" fontId="15" fillId="0" borderId="0" xfId="0" applyFont="1" applyAlignment="1">
      <alignment horizontal="center" vertical="center"/>
    </xf>
    <xf numFmtId="171" fontId="15" fillId="0" borderId="0" xfId="1" applyNumberFormat="1" applyFont="1" applyFill="1" applyBorder="1" applyAlignment="1" applyProtection="1">
      <alignment horizontal="center" vertical="center"/>
    </xf>
    <xf numFmtId="0" fontId="15" fillId="9" borderId="1" xfId="0" applyFont="1" applyFill="1" applyBorder="1" applyAlignment="1">
      <alignment horizontal="center" vertical="center"/>
    </xf>
    <xf numFmtId="171" fontId="15" fillId="9" borderId="1" xfId="1" applyNumberFormat="1" applyFont="1" applyFill="1" applyBorder="1" applyAlignment="1" applyProtection="1">
      <alignment horizontal="center" vertical="center"/>
    </xf>
    <xf numFmtId="167" fontId="15" fillId="0" borderId="17" xfId="1" applyFont="1" applyBorder="1" applyAlignment="1" applyProtection="1">
      <alignment horizontal="center" vertical="center"/>
    </xf>
    <xf numFmtId="167" fontId="15" fillId="0" borderId="19" xfId="1" applyFont="1" applyBorder="1" applyAlignment="1" applyProtection="1">
      <alignment horizontal="center" vertical="center"/>
    </xf>
    <xf numFmtId="0" fontId="21" fillId="4" borderId="0" xfId="0" applyFont="1" applyFill="1" applyAlignment="1">
      <alignment horizontal="center" vertical="center"/>
    </xf>
    <xf numFmtId="14" fontId="9" fillId="5" borderId="1" xfId="0" applyNumberFormat="1" applyFont="1" applyFill="1" applyBorder="1" applyAlignment="1">
      <alignment horizontal="center" vertical="center"/>
    </xf>
    <xf numFmtId="0" fontId="9" fillId="5" borderId="20" xfId="0" applyFont="1" applyFill="1" applyBorder="1" applyAlignment="1">
      <alignment horizontal="center" vertical="center"/>
    </xf>
    <xf numFmtId="0" fontId="9" fillId="5" borderId="43" xfId="0" applyFont="1" applyFill="1" applyBorder="1" applyAlignment="1">
      <alignment horizontal="center" vertical="center"/>
    </xf>
    <xf numFmtId="0" fontId="9" fillId="5" borderId="42" xfId="0" applyFont="1" applyFill="1" applyBorder="1" applyAlignment="1">
      <alignment horizontal="center" vertical="center"/>
    </xf>
    <xf numFmtId="0" fontId="9" fillId="5" borderId="71" xfId="0" applyFont="1" applyFill="1" applyBorder="1" applyAlignment="1">
      <alignment horizontal="center" vertical="center"/>
    </xf>
    <xf numFmtId="2" fontId="18" fillId="0" borderId="7" xfId="0" applyNumberFormat="1" applyFont="1" applyBorder="1" applyAlignment="1">
      <alignment horizontal="center" vertical="center"/>
    </xf>
    <xf numFmtId="2" fontId="18" fillId="0" borderId="8" xfId="0" applyNumberFormat="1" applyFont="1" applyBorder="1" applyAlignment="1">
      <alignment horizontal="center" vertical="center"/>
    </xf>
    <xf numFmtId="2" fontId="18" fillId="0" borderId="7" xfId="1" applyNumberFormat="1" applyFont="1" applyBorder="1" applyAlignment="1" applyProtection="1">
      <alignment horizontal="center" vertical="center"/>
    </xf>
    <xf numFmtId="2" fontId="18" fillId="0" borderId="8" xfId="1" applyNumberFormat="1" applyFont="1" applyBorder="1" applyAlignment="1" applyProtection="1">
      <alignment horizontal="center" vertical="center"/>
    </xf>
    <xf numFmtId="0" fontId="21" fillId="5" borderId="78" xfId="0" applyFont="1" applyFill="1" applyBorder="1" applyAlignment="1">
      <alignment horizontal="left" vertical="center"/>
    </xf>
    <xf numFmtId="0" fontId="10" fillId="5" borderId="32" xfId="0" applyFont="1" applyFill="1" applyBorder="1" applyAlignment="1">
      <alignment horizontal="center" vertical="center"/>
    </xf>
    <xf numFmtId="0" fontId="10" fillId="5" borderId="69" xfId="0" applyFont="1" applyFill="1" applyBorder="1" applyAlignment="1">
      <alignment horizontal="center" vertical="center"/>
    </xf>
    <xf numFmtId="0" fontId="9" fillId="5" borderId="0" xfId="0" applyFont="1" applyFill="1" applyAlignment="1">
      <alignment horizontal="center" vertical="center"/>
    </xf>
    <xf numFmtId="0" fontId="7" fillId="0" borderId="20"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2" xfId="0" applyFont="1" applyBorder="1" applyAlignment="1">
      <alignment horizontal="center" vertical="center" wrapText="1"/>
    </xf>
    <xf numFmtId="0" fontId="7" fillId="0" borderId="71" xfId="0" applyFont="1" applyBorder="1" applyAlignment="1">
      <alignment horizontal="center" vertical="center" wrapText="1"/>
    </xf>
    <xf numFmtId="0" fontId="7" fillId="0" borderId="70" xfId="0" applyFont="1" applyBorder="1" applyAlignment="1">
      <alignment horizontal="center" vertical="center" wrapText="1"/>
    </xf>
    <xf numFmtId="0" fontId="7" fillId="0" borderId="17" xfId="0" applyFont="1" applyBorder="1" applyAlignment="1">
      <alignment horizontal="center" vertical="center" wrapText="1"/>
    </xf>
    <xf numFmtId="171" fontId="7" fillId="0" borderId="20" xfId="0" applyNumberFormat="1" applyFont="1" applyBorder="1" applyAlignment="1">
      <alignment horizontal="center" vertical="center" wrapText="1"/>
    </xf>
    <xf numFmtId="171" fontId="7" fillId="0" borderId="70" xfId="0" applyNumberFormat="1" applyFont="1" applyBorder="1" applyAlignment="1">
      <alignment horizontal="center" vertical="center" wrapText="1"/>
    </xf>
    <xf numFmtId="171" fontId="7" fillId="0" borderId="43" xfId="0" applyNumberFormat="1" applyFont="1" applyBorder="1" applyAlignment="1">
      <alignment horizontal="center" vertical="center" wrapText="1"/>
    </xf>
    <xf numFmtId="171" fontId="7" fillId="0" borderId="42" xfId="0" applyNumberFormat="1" applyFont="1" applyBorder="1" applyAlignment="1">
      <alignment horizontal="center" vertical="center" wrapText="1"/>
    </xf>
    <xf numFmtId="171" fontId="7" fillId="0" borderId="17" xfId="0" applyNumberFormat="1" applyFont="1" applyBorder="1" applyAlignment="1">
      <alignment horizontal="center" vertical="center" wrapText="1"/>
    </xf>
    <xf numFmtId="171" fontId="7" fillId="0" borderId="71" xfId="0" applyNumberFormat="1" applyFont="1" applyBorder="1" applyAlignment="1">
      <alignment horizontal="center" vertical="center" wrapText="1"/>
    </xf>
    <xf numFmtId="0" fontId="55" fillId="2" borderId="0" xfId="0" applyFont="1" applyFill="1" applyAlignment="1">
      <alignment horizontal="center"/>
    </xf>
    <xf numFmtId="183" fontId="7" fillId="0" borderId="15" xfId="0" applyNumberFormat="1" applyFont="1" applyBorder="1" applyAlignment="1">
      <alignment horizontal="center"/>
    </xf>
    <xf numFmtId="183" fontId="7" fillId="0" borderId="24" xfId="0" applyNumberFormat="1" applyFont="1" applyBorder="1" applyAlignment="1">
      <alignment horizontal="center"/>
    </xf>
    <xf numFmtId="0" fontId="7" fillId="0" borderId="1" xfId="0" applyFont="1" applyBorder="1" applyAlignment="1">
      <alignment horizontal="center" vertical="center"/>
    </xf>
    <xf numFmtId="0" fontId="7" fillId="0" borderId="15" xfId="0" applyFont="1" applyBorder="1" applyAlignment="1">
      <alignment horizontal="center" vertical="center"/>
    </xf>
    <xf numFmtId="0" fontId="7" fillId="0" borderId="24" xfId="0" applyFont="1" applyBorder="1" applyAlignment="1">
      <alignment horizontal="center" vertical="center"/>
    </xf>
    <xf numFmtId="0" fontId="10" fillId="5" borderId="0" xfId="0" applyFont="1" applyFill="1" applyAlignment="1">
      <alignment horizontal="center" vertical="center"/>
    </xf>
    <xf numFmtId="171" fontId="32" fillId="0" borderId="8" xfId="0" applyNumberFormat="1" applyFont="1" applyBorder="1" applyAlignment="1">
      <alignment horizontal="left" vertical="center"/>
    </xf>
    <xf numFmtId="171" fontId="32" fillId="0" borderId="9" xfId="0" applyNumberFormat="1" applyFont="1" applyBorder="1" applyAlignment="1">
      <alignment horizontal="left" vertical="center"/>
    </xf>
    <xf numFmtId="171" fontId="32" fillId="0" borderId="7" xfId="0" applyNumberFormat="1" applyFont="1" applyBorder="1" applyAlignment="1">
      <alignment horizontal="left" vertical="center"/>
    </xf>
    <xf numFmtId="0" fontId="7" fillId="0" borderId="15" xfId="0" applyFont="1" applyBorder="1" applyAlignment="1">
      <alignment horizontal="center"/>
    </xf>
    <xf numFmtId="0" fontId="7" fillId="0" borderId="24" xfId="0" applyFont="1" applyBorder="1" applyAlignment="1">
      <alignment horizontal="center"/>
    </xf>
    <xf numFmtId="171" fontId="18" fillId="0" borderId="0" xfId="0" applyNumberFormat="1" applyFont="1" applyAlignment="1">
      <alignment horizontal="left" vertical="center"/>
    </xf>
    <xf numFmtId="171" fontId="18" fillId="0" borderId="22" xfId="0" applyNumberFormat="1" applyFont="1" applyBorder="1" applyAlignment="1">
      <alignment horizontal="left" vertical="center"/>
    </xf>
    <xf numFmtId="171" fontId="18" fillId="0" borderId="7" xfId="0" applyNumberFormat="1" applyFont="1" applyBorder="1" applyAlignment="1">
      <alignment horizontal="left" vertical="center"/>
    </xf>
    <xf numFmtId="171" fontId="18" fillId="0" borderId="8" xfId="0" applyNumberFormat="1" applyFont="1" applyBorder="1" applyAlignment="1">
      <alignment horizontal="left" vertical="center"/>
    </xf>
    <xf numFmtId="171" fontId="18" fillId="0" borderId="9" xfId="0" applyNumberFormat="1" applyFont="1" applyBorder="1" applyAlignment="1">
      <alignment horizontal="left" vertical="center"/>
    </xf>
    <xf numFmtId="0" fontId="21" fillId="5" borderId="78" xfId="0" applyFont="1" applyFill="1" applyBorder="1" applyAlignment="1">
      <alignment vertical="center"/>
    </xf>
    <xf numFmtId="171" fontId="18" fillId="0" borderId="87" xfId="0" applyNumberFormat="1" applyFont="1" applyBorder="1" applyAlignment="1">
      <alignment horizontal="center" vertical="center"/>
    </xf>
    <xf numFmtId="0" fontId="9" fillId="5" borderId="78" xfId="0" applyFont="1" applyFill="1" applyBorder="1" applyAlignment="1">
      <alignment vertical="center"/>
    </xf>
    <xf numFmtId="171" fontId="32" fillId="0" borderId="87" xfId="0" applyNumberFormat="1" applyFont="1" applyBorder="1" applyAlignment="1">
      <alignment horizontal="center" vertical="center"/>
    </xf>
    <xf numFmtId="176" fontId="18" fillId="7" borderId="5" xfId="3" applyNumberFormat="1" applyFont="1" applyFill="1" applyBorder="1" applyAlignment="1">
      <alignment horizontal="center" vertical="center"/>
    </xf>
    <xf numFmtId="0" fontId="9" fillId="5" borderId="5" xfId="0" applyFont="1" applyFill="1" applyBorder="1" applyAlignment="1">
      <alignment horizontal="center" vertical="center"/>
    </xf>
    <xf numFmtId="0" fontId="9" fillId="5" borderId="33" xfId="0" applyFont="1" applyFill="1" applyBorder="1" applyAlignment="1">
      <alignment horizontal="center" vertical="center"/>
    </xf>
    <xf numFmtId="0" fontId="9" fillId="5" borderId="32" xfId="0" applyFont="1" applyFill="1" applyBorder="1" applyAlignment="1">
      <alignment horizontal="center" vertical="center"/>
    </xf>
    <xf numFmtId="0" fontId="9" fillId="5" borderId="34" xfId="0" applyFont="1" applyFill="1" applyBorder="1" applyAlignment="1">
      <alignment horizontal="center" vertical="center"/>
    </xf>
    <xf numFmtId="0" fontId="55" fillId="0" borderId="0" xfId="0" applyFont="1" applyAlignment="1">
      <alignment horizontal="center" vertical="center"/>
    </xf>
    <xf numFmtId="171" fontId="15" fillId="8" borderId="1" xfId="1" applyNumberFormat="1" applyFont="1" applyFill="1" applyBorder="1" applyAlignment="1" applyProtection="1">
      <alignment horizontal="center" vertical="center"/>
    </xf>
    <xf numFmtId="171" fontId="18" fillId="0" borderId="1" xfId="0" applyNumberFormat="1" applyFont="1" applyBorder="1" applyAlignment="1" applyProtection="1">
      <alignment horizontal="center" vertical="center"/>
      <protection locked="0"/>
    </xf>
    <xf numFmtId="0" fontId="7" fillId="0" borderId="17" xfId="0" applyFont="1" applyBorder="1" applyAlignment="1">
      <alignment horizontal="center"/>
    </xf>
    <xf numFmtId="0" fontId="20" fillId="0" borderId="82" xfId="0" applyFont="1" applyBorder="1" applyAlignment="1">
      <alignment horizontal="center"/>
    </xf>
    <xf numFmtId="0" fontId="20" fillId="0" borderId="17" xfId="0" applyFont="1" applyBorder="1" applyAlignment="1">
      <alignment horizontal="center"/>
    </xf>
    <xf numFmtId="0" fontId="7" fillId="0" borderId="0" xfId="0" applyFont="1" applyAlignment="1">
      <alignment horizontal="justify" wrapText="1"/>
    </xf>
    <xf numFmtId="0" fontId="7" fillId="0" borderId="0" xfId="0" applyFont="1" applyAlignment="1">
      <alignment horizontal="left"/>
    </xf>
    <xf numFmtId="0" fontId="7" fillId="0" borderId="18" xfId="0" applyFont="1" applyBorder="1" applyAlignment="1">
      <alignment horizontal="center"/>
    </xf>
    <xf numFmtId="3" fontId="20" fillId="0" borderId="17" xfId="0" applyNumberFormat="1" applyFont="1" applyBorder="1" applyAlignment="1">
      <alignment horizontal="center"/>
    </xf>
    <xf numFmtId="0" fontId="51" fillId="5" borderId="15" xfId="0" applyFont="1" applyFill="1" applyBorder="1" applyAlignment="1">
      <alignment horizontal="center"/>
    </xf>
    <xf numFmtId="0" fontId="51" fillId="5" borderId="18" xfId="0" applyFont="1" applyFill="1" applyBorder="1" applyAlignment="1">
      <alignment horizontal="center"/>
    </xf>
    <xf numFmtId="0" fontId="51" fillId="5" borderId="24" xfId="0" applyFont="1" applyFill="1" applyBorder="1" applyAlignment="1">
      <alignment horizontal="center"/>
    </xf>
    <xf numFmtId="0" fontId="25" fillId="0" borderId="15" xfId="0" applyFont="1" applyBorder="1" applyAlignment="1">
      <alignment horizontal="center"/>
    </xf>
    <xf numFmtId="0" fontId="25" fillId="0" borderId="18" xfId="0" applyFont="1" applyBorder="1" applyAlignment="1">
      <alignment horizontal="center"/>
    </xf>
    <xf numFmtId="0" fontId="25" fillId="0" borderId="24" xfId="0" applyFont="1" applyBorder="1" applyAlignment="1">
      <alignment horizontal="center"/>
    </xf>
    <xf numFmtId="0" fontId="25" fillId="0" borderId="42" xfId="0" applyFont="1" applyBorder="1" applyAlignment="1">
      <alignment horizontal="center"/>
    </xf>
    <xf numFmtId="0" fontId="25" fillId="0" borderId="17" xfId="0" applyFont="1" applyBorder="1" applyAlignment="1">
      <alignment horizontal="center"/>
    </xf>
    <xf numFmtId="0" fontId="25" fillId="0" borderId="71" xfId="0" applyFont="1" applyBorder="1" applyAlignment="1">
      <alignment horizontal="center"/>
    </xf>
    <xf numFmtId="0" fontId="25" fillId="0" borderId="20" xfId="0" applyFont="1" applyBorder="1" applyAlignment="1">
      <alignment horizontal="center"/>
    </xf>
    <xf numFmtId="0" fontId="25" fillId="0" borderId="43" xfId="0" applyFont="1" applyBorder="1" applyAlignment="1">
      <alignment horizontal="center"/>
    </xf>
    <xf numFmtId="0" fontId="51" fillId="0" borderId="15" xfId="0" applyFont="1" applyBorder="1" applyAlignment="1">
      <alignment horizontal="center"/>
    </xf>
    <xf numFmtId="0" fontId="51" fillId="0" borderId="24" xfId="0" applyFont="1" applyBorder="1" applyAlignment="1">
      <alignment horizontal="center"/>
    </xf>
    <xf numFmtId="164" fontId="24" fillId="0" borderId="15" xfId="5" applyNumberFormat="1" applyFont="1" applyFill="1" applyBorder="1" applyAlignment="1">
      <alignment horizontal="center"/>
    </xf>
    <xf numFmtId="164" fontId="24" fillId="0" borderId="18" xfId="5" applyNumberFormat="1" applyFont="1" applyFill="1" applyBorder="1" applyAlignment="1">
      <alignment horizontal="center"/>
    </xf>
    <xf numFmtId="164" fontId="24" fillId="0" borderId="24" xfId="5" applyNumberFormat="1" applyFont="1" applyFill="1" applyBorder="1" applyAlignment="1">
      <alignment horizontal="center"/>
    </xf>
    <xf numFmtId="2" fontId="25" fillId="0" borderId="15" xfId="0" applyNumberFormat="1" applyFont="1" applyBorder="1" applyAlignment="1">
      <alignment horizontal="center"/>
    </xf>
    <xf numFmtId="2" fontId="25" fillId="0" borderId="18" xfId="0" applyNumberFormat="1" applyFont="1" applyBorder="1" applyAlignment="1">
      <alignment horizontal="center"/>
    </xf>
    <xf numFmtId="2" fontId="25" fillId="0" borderId="24" xfId="0" applyNumberFormat="1" applyFont="1" applyBorder="1" applyAlignment="1">
      <alignment horizontal="center"/>
    </xf>
    <xf numFmtId="0" fontId="51" fillId="5" borderId="20" xfId="0" applyFont="1" applyFill="1" applyBorder="1" applyAlignment="1">
      <alignment horizontal="left" vertical="center" wrapText="1"/>
    </xf>
    <xf numFmtId="0" fontId="51" fillId="5" borderId="43" xfId="0" applyFont="1" applyFill="1" applyBorder="1" applyAlignment="1">
      <alignment horizontal="left" vertical="center" wrapText="1"/>
    </xf>
    <xf numFmtId="0" fontId="51" fillId="5" borderId="42" xfId="0" applyFont="1" applyFill="1" applyBorder="1" applyAlignment="1">
      <alignment horizontal="left" vertical="center" wrapText="1"/>
    </xf>
    <xf numFmtId="0" fontId="51" fillId="5" borderId="71" xfId="0" applyFont="1" applyFill="1" applyBorder="1" applyAlignment="1">
      <alignment horizontal="left" vertical="center" wrapText="1"/>
    </xf>
    <xf numFmtId="0" fontId="51" fillId="0" borderId="20" xfId="0" applyFont="1" applyBorder="1" applyAlignment="1">
      <alignment horizontal="center" vertical="center" wrapText="1"/>
    </xf>
    <xf numFmtId="0" fontId="51" fillId="0" borderId="43" xfId="0" applyFont="1" applyBorder="1" applyAlignment="1">
      <alignment horizontal="center" vertical="center" wrapText="1"/>
    </xf>
    <xf numFmtId="0" fontId="51" fillId="0" borderId="42" xfId="0" applyFont="1" applyBorder="1" applyAlignment="1">
      <alignment horizontal="center" vertical="center" wrapText="1"/>
    </xf>
    <xf numFmtId="0" fontId="51" fillId="0" borderId="71" xfId="0" applyFont="1" applyBorder="1" applyAlignment="1">
      <alignment horizontal="center" vertical="center" wrapText="1"/>
    </xf>
    <xf numFmtId="3" fontId="25" fillId="0" borderId="15" xfId="0" applyNumberFormat="1" applyFont="1" applyBorder="1" applyAlignment="1">
      <alignment horizontal="center"/>
    </xf>
    <xf numFmtId="0" fontId="53" fillId="0" borderId="1" xfId="0" applyFont="1" applyBorder="1" applyAlignment="1">
      <alignment horizontal="center"/>
    </xf>
    <xf numFmtId="0" fontId="59" fillId="0" borderId="1" xfId="0" applyFont="1" applyBorder="1" applyAlignment="1">
      <alignment horizontal="center"/>
    </xf>
    <xf numFmtId="0" fontId="52" fillId="0" borderId="0" xfId="0" applyFont="1" applyAlignment="1">
      <alignment horizontal="justify" vertical="center" wrapText="1"/>
    </xf>
    <xf numFmtId="0" fontId="53" fillId="0" borderId="17" xfId="0" applyFont="1" applyBorder="1" applyAlignment="1" applyProtection="1">
      <alignment horizontal="center" vertical="top" wrapText="1"/>
      <protection locked="0"/>
    </xf>
    <xf numFmtId="0" fontId="52" fillId="0" borderId="17" xfId="0" applyFont="1" applyBorder="1" applyAlignment="1" applyProtection="1">
      <alignment horizontal="center"/>
      <protection locked="0"/>
    </xf>
    <xf numFmtId="0" fontId="52" fillId="0" borderId="18" xfId="0" applyFont="1" applyBorder="1" applyAlignment="1" applyProtection="1">
      <alignment horizontal="center"/>
      <protection locked="0"/>
    </xf>
    <xf numFmtId="0" fontId="53" fillId="0" borderId="15" xfId="0" applyFont="1" applyBorder="1" applyAlignment="1">
      <alignment horizontal="center"/>
    </xf>
    <xf numFmtId="0" fontId="53" fillId="0" borderId="18" xfId="0" applyFont="1" applyBorder="1" applyAlignment="1">
      <alignment horizontal="center"/>
    </xf>
    <xf numFmtId="0" fontId="53" fillId="0" borderId="24" xfId="0" applyFont="1" applyBorder="1" applyAlignment="1">
      <alignment horizontal="center"/>
    </xf>
    <xf numFmtId="0" fontId="65" fillId="0" borderId="0" xfId="0" applyFont="1" applyAlignment="1">
      <alignment horizontal="center"/>
    </xf>
    <xf numFmtId="0" fontId="31" fillId="0" borderId="0" xfId="0" applyFont="1" applyAlignment="1">
      <alignment horizontal="center"/>
    </xf>
    <xf numFmtId="0" fontId="7" fillId="0" borderId="0" xfId="0" applyFont="1" applyAlignment="1">
      <alignment horizontal="center" wrapText="1"/>
    </xf>
    <xf numFmtId="0" fontId="7" fillId="0" borderId="0" xfId="0" applyFont="1" applyAlignment="1">
      <alignment horizontal="center"/>
    </xf>
    <xf numFmtId="0" fontId="19" fillId="0" borderId="0" xfId="0" applyFont="1" applyAlignment="1">
      <alignment horizontal="center"/>
    </xf>
    <xf numFmtId="0" fontId="23" fillId="2" borderId="0" xfId="0" applyFont="1" applyFill="1" applyAlignment="1">
      <alignment horizontal="center"/>
    </xf>
    <xf numFmtId="0" fontId="23" fillId="0" borderId="0" xfId="0" applyFont="1" applyAlignment="1">
      <alignment horizontal="center" vertical="center"/>
    </xf>
    <xf numFmtId="0" fontId="1" fillId="0" borderId="1" xfId="0" applyFont="1" applyBorder="1" applyAlignment="1">
      <alignment horizontal="center" vertical="center"/>
    </xf>
    <xf numFmtId="171" fontId="18" fillId="0" borderId="15" xfId="0" applyNumberFormat="1" applyFont="1" applyBorder="1" applyAlignment="1" applyProtection="1">
      <alignment horizontal="center" vertical="center"/>
      <protection locked="0"/>
    </xf>
    <xf numFmtId="171" fontId="18" fillId="0" borderId="24" xfId="0" applyNumberFormat="1" applyFont="1" applyBorder="1" applyAlignment="1" applyProtection="1">
      <alignment horizontal="center" vertical="center"/>
      <protection locked="0"/>
    </xf>
    <xf numFmtId="171" fontId="18" fillId="0" borderId="15" xfId="0" applyNumberFormat="1" applyFont="1" applyBorder="1" applyAlignment="1">
      <alignment horizontal="center" vertical="center"/>
    </xf>
    <xf numFmtId="171" fontId="18" fillId="0" borderId="24" xfId="0" applyNumberFormat="1" applyFont="1" applyBorder="1" applyAlignment="1">
      <alignment horizontal="center" vertical="center"/>
    </xf>
    <xf numFmtId="171" fontId="32" fillId="0" borderId="15" xfId="0" applyNumberFormat="1" applyFont="1" applyBorder="1" applyAlignment="1">
      <alignment horizontal="left" vertical="center"/>
    </xf>
    <xf numFmtId="171" fontId="32" fillId="0" borderId="18" xfId="0" applyNumberFormat="1" applyFont="1" applyBorder="1" applyAlignment="1">
      <alignment horizontal="left" vertical="center"/>
    </xf>
    <xf numFmtId="171" fontId="32" fillId="0" borderId="24" xfId="0" applyNumberFormat="1" applyFont="1" applyBorder="1" applyAlignment="1">
      <alignment horizontal="left" vertical="center"/>
    </xf>
    <xf numFmtId="171" fontId="18" fillId="0" borderId="15" xfId="0" applyNumberFormat="1" applyFont="1" applyBorder="1" applyAlignment="1">
      <alignment horizontal="left" vertical="center"/>
    </xf>
    <xf numFmtId="171" fontId="18" fillId="0" borderId="18" xfId="0" applyNumberFormat="1" applyFont="1" applyBorder="1" applyAlignment="1">
      <alignment horizontal="left" vertical="center"/>
    </xf>
    <xf numFmtId="171" fontId="18" fillId="0" borderId="24" xfId="0" applyNumberFormat="1" applyFont="1" applyBorder="1" applyAlignment="1">
      <alignment horizontal="left" vertical="center"/>
    </xf>
    <xf numFmtId="171" fontId="18" fillId="0" borderId="1" xfId="0" applyNumberFormat="1" applyFont="1" applyBorder="1" applyAlignment="1">
      <alignment horizontal="left" vertical="center"/>
    </xf>
    <xf numFmtId="172" fontId="9" fillId="5" borderId="1" xfId="0" applyNumberFormat="1" applyFont="1" applyFill="1" applyBorder="1" applyAlignment="1">
      <alignment horizontal="center" vertical="center"/>
    </xf>
    <xf numFmtId="171" fontId="32" fillId="0" borderId="28" xfId="0" applyNumberFormat="1" applyFont="1" applyBorder="1" applyAlignment="1">
      <alignment horizontal="left" vertical="center"/>
    </xf>
    <xf numFmtId="0" fontId="21" fillId="5" borderId="12" xfId="0" applyFont="1" applyFill="1" applyBorder="1" applyAlignment="1">
      <alignment horizontal="left" vertical="center"/>
    </xf>
    <xf numFmtId="0" fontId="21" fillId="5" borderId="73" xfId="0" applyFont="1" applyFill="1" applyBorder="1" applyAlignment="1">
      <alignment horizontal="left" vertical="center"/>
    </xf>
    <xf numFmtId="0" fontId="18" fillId="0" borderId="19" xfId="0" applyFont="1" applyBorder="1" applyAlignment="1">
      <alignment horizontal="center" vertical="center"/>
    </xf>
    <xf numFmtId="171" fontId="20" fillId="0" borderId="20" xfId="0" applyNumberFormat="1" applyFont="1" applyBorder="1" applyAlignment="1">
      <alignment horizontal="center" vertical="center" wrapText="1"/>
    </xf>
    <xf numFmtId="171" fontId="20" fillId="0" borderId="43" xfId="0" applyNumberFormat="1" applyFont="1" applyBorder="1" applyAlignment="1">
      <alignment horizontal="center" vertical="center" wrapText="1"/>
    </xf>
    <xf numFmtId="171" fontId="20" fillId="0" borderId="42" xfId="0" applyNumberFormat="1" applyFont="1" applyBorder="1" applyAlignment="1">
      <alignment horizontal="center" vertical="center" wrapText="1"/>
    </xf>
    <xf numFmtId="171" fontId="20" fillId="0" borderId="71" xfId="0" applyNumberFormat="1" applyFont="1" applyBorder="1" applyAlignment="1">
      <alignment horizontal="center" vertical="center" wrapText="1"/>
    </xf>
    <xf numFmtId="171" fontId="15" fillId="9" borderId="1" xfId="0" applyNumberFormat="1" applyFont="1" applyFill="1" applyBorder="1" applyAlignment="1">
      <alignment horizontal="center" vertical="center"/>
    </xf>
    <xf numFmtId="171" fontId="19" fillId="0" borderId="1" xfId="0" applyNumberFormat="1" applyFont="1" applyBorder="1" applyAlignment="1">
      <alignment horizontal="left" vertical="center"/>
    </xf>
    <xf numFmtId="171" fontId="16" fillId="0" borderId="7" xfId="0" applyNumberFormat="1" applyFont="1" applyBorder="1" applyAlignment="1">
      <alignment horizontal="left" vertical="center"/>
    </xf>
    <xf numFmtId="171" fontId="16" fillId="0" borderId="8" xfId="0" applyNumberFormat="1" applyFont="1" applyBorder="1" applyAlignment="1">
      <alignment horizontal="left" vertical="center"/>
    </xf>
    <xf numFmtId="171" fontId="16" fillId="0" borderId="9" xfId="0" applyNumberFormat="1" applyFont="1" applyBorder="1" applyAlignment="1">
      <alignment horizontal="left" vertical="center"/>
    </xf>
    <xf numFmtId="167" fontId="15" fillId="0" borderId="0" xfId="1" applyFont="1" applyBorder="1" applyAlignment="1" applyProtection="1">
      <alignment horizontal="center" vertical="center"/>
    </xf>
    <xf numFmtId="0" fontId="15" fillId="9" borderId="15" xfId="0" applyFont="1" applyFill="1" applyBorder="1" applyAlignment="1">
      <alignment horizontal="center" vertical="center"/>
    </xf>
    <xf numFmtId="0" fontId="15" fillId="9" borderId="24" xfId="0" applyFont="1" applyFill="1" applyBorder="1" applyAlignment="1">
      <alignment horizontal="center" vertical="center"/>
    </xf>
    <xf numFmtId="171" fontId="18" fillId="0" borderId="28" xfId="0" applyNumberFormat="1" applyFont="1" applyBorder="1" applyAlignment="1">
      <alignment horizontal="left" vertical="center"/>
    </xf>
    <xf numFmtId="0" fontId="6" fillId="5" borderId="1" xfId="0" applyFont="1" applyFill="1" applyBorder="1" applyAlignment="1">
      <alignment horizontal="center" vertical="center"/>
    </xf>
    <xf numFmtId="0" fontId="21" fillId="5" borderId="6" xfId="0" applyFont="1" applyFill="1" applyBorder="1" applyAlignment="1">
      <alignment horizontal="left" vertical="center"/>
    </xf>
    <xf numFmtId="0" fontId="9" fillId="5" borderId="3" xfId="0" applyFont="1" applyFill="1" applyBorder="1" applyAlignment="1">
      <alignment horizontal="left" vertical="center"/>
    </xf>
    <xf numFmtId="171" fontId="32" fillId="0" borderId="38" xfId="0" applyNumberFormat="1" applyFont="1" applyBorder="1" applyAlignment="1">
      <alignment horizontal="left" vertical="center"/>
    </xf>
    <xf numFmtId="171" fontId="32" fillId="0" borderId="29" xfId="0" applyNumberFormat="1" applyFont="1" applyBorder="1" applyAlignment="1">
      <alignment horizontal="left" vertical="center"/>
    </xf>
    <xf numFmtId="171" fontId="32" fillId="0" borderId="75" xfId="0" applyNumberFormat="1" applyFont="1" applyBorder="1" applyAlignment="1">
      <alignment horizontal="left" vertical="center"/>
    </xf>
    <xf numFmtId="164" fontId="25" fillId="0" borderId="15" xfId="5" applyNumberFormat="1" applyFont="1" applyBorder="1" applyAlignment="1">
      <alignment horizontal="center"/>
    </xf>
    <xf numFmtId="164" fontId="25" fillId="0" borderId="18" xfId="5" applyNumberFormat="1" applyFont="1" applyBorder="1" applyAlignment="1">
      <alignment horizontal="center"/>
    </xf>
    <xf numFmtId="164" fontId="25" fillId="0" borderId="24" xfId="5" applyNumberFormat="1" applyFont="1" applyBorder="1" applyAlignment="1">
      <alignment horizontal="center"/>
    </xf>
    <xf numFmtId="164" fontId="24" fillId="0" borderId="15" xfId="5" applyNumberFormat="1" applyFont="1" applyBorder="1" applyAlignment="1">
      <alignment horizontal="center"/>
    </xf>
    <xf numFmtId="164" fontId="24" fillId="0" borderId="18" xfId="5" applyNumberFormat="1" applyFont="1" applyBorder="1" applyAlignment="1">
      <alignment horizontal="center"/>
    </xf>
    <xf numFmtId="164" fontId="24" fillId="0" borderId="24" xfId="5" applyNumberFormat="1" applyFont="1" applyBorder="1" applyAlignment="1">
      <alignment horizontal="center"/>
    </xf>
    <xf numFmtId="171" fontId="32" fillId="0" borderId="21" xfId="0" applyNumberFormat="1" applyFont="1" applyBorder="1" applyAlignment="1">
      <alignment horizontal="left" vertical="center"/>
    </xf>
    <xf numFmtId="171" fontId="18" fillId="0" borderId="30" xfId="0" applyNumberFormat="1" applyFont="1" applyBorder="1" applyAlignment="1">
      <alignment horizontal="left" vertical="center"/>
    </xf>
    <xf numFmtId="0" fontId="8" fillId="0" borderId="17" xfId="0" applyFont="1" applyBorder="1" applyAlignment="1" applyProtection="1">
      <alignment horizontal="center"/>
      <protection locked="0"/>
    </xf>
    <xf numFmtId="0" fontId="26" fillId="0" borderId="0" xfId="0" applyFont="1" applyAlignment="1">
      <alignment horizontal="center" vertical="center"/>
    </xf>
    <xf numFmtId="0" fontId="29" fillId="2" borderId="0" xfId="0" applyFont="1" applyFill="1" applyAlignment="1">
      <alignment horizontal="center"/>
    </xf>
    <xf numFmtId="0" fontId="29" fillId="0" borderId="0" xfId="0" applyFont="1" applyAlignment="1">
      <alignment horizontal="center"/>
    </xf>
    <xf numFmtId="171" fontId="18" fillId="0" borderId="21" xfId="0" applyNumberFormat="1" applyFont="1" applyBorder="1" applyAlignment="1">
      <alignment horizontal="left" vertical="center"/>
    </xf>
    <xf numFmtId="171" fontId="32" fillId="0" borderId="1" xfId="0" applyNumberFormat="1" applyFont="1" applyBorder="1" applyAlignment="1">
      <alignment horizontal="left" vertical="center"/>
    </xf>
    <xf numFmtId="171" fontId="15" fillId="0" borderId="0" xfId="0" applyNumberFormat="1" applyFont="1" applyAlignment="1">
      <alignment horizontal="center" vertical="center"/>
    </xf>
    <xf numFmtId="171" fontId="32" fillId="0" borderId="135" xfId="0" applyNumberFormat="1" applyFont="1" applyBorder="1" applyAlignment="1">
      <alignment horizontal="left" vertical="center"/>
    </xf>
    <xf numFmtId="171" fontId="18" fillId="0" borderId="135" xfId="0" applyNumberFormat="1" applyFont="1" applyBorder="1" applyAlignment="1">
      <alignment horizontal="left" vertical="center"/>
    </xf>
    <xf numFmtId="164" fontId="25" fillId="0" borderId="15" xfId="5" applyNumberFormat="1" applyFont="1" applyFill="1" applyBorder="1" applyAlignment="1">
      <alignment horizontal="center"/>
    </xf>
    <xf numFmtId="164" fontId="25" fillId="0" borderId="18" xfId="5" applyNumberFormat="1" applyFont="1" applyFill="1" applyBorder="1" applyAlignment="1">
      <alignment horizontal="center"/>
    </xf>
    <xf numFmtId="164" fontId="25" fillId="0" borderId="24" xfId="5" applyNumberFormat="1" applyFont="1" applyFill="1" applyBorder="1" applyAlignment="1">
      <alignment horizontal="center"/>
    </xf>
    <xf numFmtId="171" fontId="32" fillId="0" borderId="45" xfId="0" applyNumberFormat="1" applyFont="1" applyBorder="1" applyAlignment="1">
      <alignment horizontal="left" vertical="center"/>
    </xf>
    <xf numFmtId="171" fontId="18" fillId="0" borderId="33" xfId="0" applyNumberFormat="1" applyFont="1" applyBorder="1" applyAlignment="1">
      <alignment horizontal="left" vertical="center"/>
    </xf>
    <xf numFmtId="171" fontId="18" fillId="0" borderId="32" xfId="0" applyNumberFormat="1" applyFont="1" applyBorder="1" applyAlignment="1">
      <alignment horizontal="left" vertical="center"/>
    </xf>
    <xf numFmtId="171" fontId="18" fillId="0" borderId="34" xfId="0" applyNumberFormat="1" applyFont="1" applyBorder="1" applyAlignment="1">
      <alignment horizontal="left" vertical="center"/>
    </xf>
    <xf numFmtId="171" fontId="18" fillId="0" borderId="39" xfId="0" applyNumberFormat="1" applyFont="1" applyBorder="1" applyAlignment="1">
      <alignment horizontal="left" vertical="center"/>
    </xf>
    <xf numFmtId="171" fontId="18" fillId="0" borderId="17" xfId="0" applyNumberFormat="1" applyFont="1" applyBorder="1" applyAlignment="1">
      <alignment horizontal="left" vertical="center"/>
    </xf>
    <xf numFmtId="171" fontId="18" fillId="0" borderId="40" xfId="0" applyNumberFormat="1" applyFont="1" applyBorder="1" applyAlignment="1">
      <alignment horizontal="left" vertical="center"/>
    </xf>
    <xf numFmtId="167" fontId="15" fillId="0" borderId="0" xfId="1" applyFont="1" applyAlignment="1" applyProtection="1">
      <alignment horizontal="center"/>
    </xf>
    <xf numFmtId="0" fontId="9" fillId="5" borderId="78" xfId="0" applyFont="1" applyFill="1" applyBorder="1" applyAlignment="1">
      <alignment horizontal="left" vertical="center"/>
    </xf>
    <xf numFmtId="174" fontId="15" fillId="0" borderId="0" xfId="0" applyNumberFormat="1" applyFont="1" applyAlignment="1">
      <alignment horizontal="center" vertical="center"/>
    </xf>
    <xf numFmtId="171" fontId="32" fillId="0" borderId="7" xfId="1" applyNumberFormat="1" applyFont="1" applyBorder="1" applyAlignment="1" applyProtection="1">
      <alignment horizontal="left" vertical="center"/>
    </xf>
    <xf numFmtId="0" fontId="9" fillId="5" borderId="70" xfId="0" applyFont="1" applyFill="1" applyBorder="1" applyAlignment="1">
      <alignment horizontal="center" vertical="center"/>
    </xf>
    <xf numFmtId="0" fontId="9" fillId="5" borderId="17" xfId="0" applyFont="1" applyFill="1" applyBorder="1" applyAlignment="1">
      <alignment horizontal="center" vertical="center"/>
    </xf>
    <xf numFmtId="171" fontId="18" fillId="0" borderId="7" xfId="1" applyNumberFormat="1" applyFont="1" applyBorder="1" applyAlignment="1" applyProtection="1">
      <alignment horizontal="left" vertical="center"/>
    </xf>
    <xf numFmtId="171" fontId="18" fillId="0" borderId="8" xfId="1" applyNumberFormat="1" applyFont="1" applyBorder="1" applyAlignment="1" applyProtection="1">
      <alignment horizontal="left" vertical="center"/>
    </xf>
    <xf numFmtId="171" fontId="18" fillId="0" borderId="9" xfId="1" applyNumberFormat="1" applyFont="1" applyBorder="1" applyAlignment="1" applyProtection="1">
      <alignment horizontal="left" vertical="center"/>
    </xf>
    <xf numFmtId="171" fontId="18" fillId="0" borderId="21" xfId="1" applyNumberFormat="1" applyFont="1" applyBorder="1" applyAlignment="1" applyProtection="1">
      <alignment horizontal="left" vertical="center"/>
    </xf>
    <xf numFmtId="171" fontId="32" fillId="0" borderId="21" xfId="1" applyNumberFormat="1" applyFont="1" applyBorder="1" applyAlignment="1" applyProtection="1">
      <alignment horizontal="left" vertical="center"/>
    </xf>
    <xf numFmtId="171" fontId="21" fillId="0" borderId="8" xfId="0" applyNumberFormat="1" applyFont="1" applyBorder="1" applyAlignment="1">
      <alignment horizontal="center" vertical="center"/>
    </xf>
    <xf numFmtId="0" fontId="18" fillId="0" borderId="0" xfId="0" applyFont="1" applyAlignment="1">
      <alignment horizontal="center" vertical="center"/>
    </xf>
    <xf numFmtId="171" fontId="18" fillId="0" borderId="20" xfId="0" applyNumberFormat="1" applyFont="1" applyBorder="1" applyAlignment="1">
      <alignment horizontal="center" vertical="center" wrapText="1"/>
    </xf>
    <xf numFmtId="171" fontId="18" fillId="0" borderId="43" xfId="0" applyNumberFormat="1" applyFont="1" applyBorder="1" applyAlignment="1">
      <alignment horizontal="center" vertical="center" wrapText="1"/>
    </xf>
    <xf numFmtId="171" fontId="18" fillId="0" borderId="42" xfId="0" applyNumberFormat="1" applyFont="1" applyBorder="1" applyAlignment="1">
      <alignment horizontal="center" vertical="center" wrapText="1"/>
    </xf>
    <xf numFmtId="171" fontId="18" fillId="0" borderId="71" xfId="0" applyNumberFormat="1" applyFont="1" applyBorder="1" applyAlignment="1">
      <alignment horizontal="center" vertical="center" wrapText="1"/>
    </xf>
    <xf numFmtId="0" fontId="18" fillId="0" borderId="20" xfId="0" applyFont="1" applyBorder="1" applyAlignment="1">
      <alignment horizontal="center" vertical="center" wrapText="1"/>
    </xf>
    <xf numFmtId="0" fontId="18" fillId="0" borderId="70" xfId="0" applyFont="1" applyBorder="1" applyAlignment="1">
      <alignment horizontal="center" vertical="center" wrapText="1"/>
    </xf>
    <xf numFmtId="0" fontId="18" fillId="0" borderId="43" xfId="0" applyFont="1" applyBorder="1" applyAlignment="1">
      <alignment horizontal="center" vertical="center" wrapText="1"/>
    </xf>
    <xf numFmtId="0" fontId="18" fillId="0" borderId="42" xfId="0" applyFont="1" applyBorder="1" applyAlignment="1">
      <alignment horizontal="center" vertical="center" wrapText="1"/>
    </xf>
    <xf numFmtId="0" fontId="18" fillId="0" borderId="17" xfId="0" applyFont="1" applyBorder="1" applyAlignment="1">
      <alignment horizontal="center" vertical="center" wrapText="1"/>
    </xf>
    <xf numFmtId="0" fontId="18" fillId="0" borderId="71" xfId="0" applyFont="1" applyBorder="1" applyAlignment="1">
      <alignment horizontal="center" vertical="center" wrapText="1"/>
    </xf>
    <xf numFmtId="171" fontId="18" fillId="0" borderId="70" xfId="0" applyNumberFormat="1" applyFont="1" applyBorder="1" applyAlignment="1">
      <alignment horizontal="center" vertical="center" wrapText="1"/>
    </xf>
    <xf numFmtId="171" fontId="18" fillId="0" borderId="17" xfId="0" applyNumberFormat="1" applyFont="1" applyBorder="1" applyAlignment="1">
      <alignment horizontal="center" vertical="center" wrapText="1"/>
    </xf>
    <xf numFmtId="0" fontId="9" fillId="5" borderId="84" xfId="0" applyFont="1" applyFill="1" applyBorder="1" applyAlignment="1">
      <alignment horizontal="left" vertical="center"/>
    </xf>
    <xf numFmtId="171" fontId="32" fillId="0" borderId="1" xfId="1" applyNumberFormat="1" applyFont="1" applyBorder="1" applyAlignment="1" applyProtection="1">
      <alignment horizontal="left" vertical="center"/>
    </xf>
    <xf numFmtId="171" fontId="18" fillId="0" borderId="1" xfId="1" applyNumberFormat="1" applyFont="1" applyBorder="1" applyAlignment="1" applyProtection="1">
      <alignment horizontal="left" vertical="center"/>
    </xf>
    <xf numFmtId="0" fontId="18" fillId="2" borderId="15" xfId="0" applyFont="1" applyFill="1" applyBorder="1" applyAlignment="1">
      <alignment horizontal="right" vertical="center"/>
    </xf>
    <xf numFmtId="0" fontId="18" fillId="2" borderId="18" xfId="0" applyFont="1" applyFill="1" applyBorder="1" applyAlignment="1">
      <alignment horizontal="right" vertical="center"/>
    </xf>
    <xf numFmtId="0" fontId="18" fillId="2" borderId="1" xfId="0" applyFont="1" applyFill="1" applyBorder="1" applyAlignment="1">
      <alignment horizontal="center" vertical="center"/>
    </xf>
    <xf numFmtId="171" fontId="18" fillId="2" borderId="1" xfId="0" applyNumberFormat="1" applyFont="1" applyFill="1" applyBorder="1" applyAlignment="1">
      <alignment horizontal="center" vertical="center"/>
    </xf>
    <xf numFmtId="0" fontId="18" fillId="2" borderId="80" xfId="0" applyFont="1" applyFill="1" applyBorder="1" applyAlignment="1">
      <alignment horizontal="center" vertical="center"/>
    </xf>
    <xf numFmtId="0" fontId="18" fillId="2" borderId="0" xfId="0" applyFont="1" applyFill="1" applyAlignment="1">
      <alignment horizontal="center" vertical="center"/>
    </xf>
    <xf numFmtId="174" fontId="18" fillId="2" borderId="15" xfId="0" applyNumberFormat="1" applyFont="1" applyFill="1" applyBorder="1" applyAlignment="1">
      <alignment horizontal="center" vertical="center"/>
    </xf>
    <xf numFmtId="174" fontId="18" fillId="2" borderId="18" xfId="0" applyNumberFormat="1" applyFont="1" applyFill="1" applyBorder="1" applyAlignment="1">
      <alignment horizontal="center" vertical="center"/>
    </xf>
    <xf numFmtId="174" fontId="18" fillId="2" borderId="24" xfId="0" applyNumberFormat="1" applyFont="1" applyFill="1" applyBorder="1" applyAlignment="1">
      <alignment horizontal="center" vertical="center"/>
    </xf>
    <xf numFmtId="2" fontId="18" fillId="2" borderId="15" xfId="0" applyNumberFormat="1" applyFont="1" applyFill="1" applyBorder="1" applyAlignment="1">
      <alignment horizontal="center" vertical="center"/>
    </xf>
    <xf numFmtId="0" fontId="18" fillId="2" borderId="18" xfId="0" applyFont="1" applyFill="1" applyBorder="1" applyAlignment="1">
      <alignment horizontal="center" vertical="center"/>
    </xf>
    <xf numFmtId="0" fontId="18" fillId="2" borderId="18" xfId="0" applyFont="1" applyFill="1" applyBorder="1" applyAlignment="1">
      <alignment vertical="center"/>
    </xf>
    <xf numFmtId="0" fontId="18" fillId="2" borderId="24" xfId="0" applyFont="1" applyFill="1" applyBorder="1" applyAlignment="1">
      <alignment vertical="center"/>
    </xf>
    <xf numFmtId="2" fontId="18" fillId="2" borderId="18" xfId="0" applyNumberFormat="1" applyFont="1" applyFill="1" applyBorder="1" applyAlignment="1">
      <alignment horizontal="center" vertical="center"/>
    </xf>
    <xf numFmtId="2" fontId="18" fillId="2" borderId="15" xfId="1" applyNumberFormat="1" applyFont="1" applyFill="1" applyBorder="1" applyAlignment="1" applyProtection="1">
      <alignment horizontal="center" vertical="center"/>
    </xf>
    <xf numFmtId="2" fontId="18" fillId="2" borderId="18" xfId="1" applyNumberFormat="1" applyFont="1" applyFill="1" applyBorder="1" applyAlignment="1" applyProtection="1">
      <alignment horizontal="center" vertical="center"/>
    </xf>
    <xf numFmtId="171" fontId="32" fillId="2" borderId="1" xfId="1" applyNumberFormat="1" applyFont="1" applyFill="1" applyBorder="1" applyAlignment="1" applyProtection="1">
      <alignment horizontal="left" vertical="center"/>
    </xf>
    <xf numFmtId="171" fontId="18" fillId="2" borderId="1" xfId="1" applyNumberFormat="1" applyFont="1" applyFill="1" applyBorder="1" applyAlignment="1" applyProtection="1">
      <alignment horizontal="left" vertical="center"/>
    </xf>
    <xf numFmtId="0" fontId="18" fillId="2" borderId="15" xfId="0" applyFont="1" applyFill="1" applyBorder="1" applyAlignment="1">
      <alignment horizontal="center" vertical="center"/>
    </xf>
    <xf numFmtId="0" fontId="18" fillId="2" borderId="24" xfId="0" applyFont="1" applyFill="1" applyBorder="1" applyAlignment="1">
      <alignment horizontal="center" vertical="center"/>
    </xf>
    <xf numFmtId="171" fontId="18" fillId="2" borderId="15" xfId="0" applyNumberFormat="1" applyFont="1" applyFill="1" applyBorder="1" applyAlignment="1">
      <alignment horizontal="center" vertical="center"/>
    </xf>
    <xf numFmtId="171" fontId="18" fillId="2" borderId="24" xfId="0" applyNumberFormat="1" applyFont="1" applyFill="1" applyBorder="1" applyAlignment="1">
      <alignment horizontal="center" vertical="center"/>
    </xf>
    <xf numFmtId="171" fontId="32" fillId="2" borderId="24" xfId="0" applyNumberFormat="1" applyFont="1" applyFill="1" applyBorder="1" applyAlignment="1">
      <alignment horizontal="left" vertical="center"/>
    </xf>
    <xf numFmtId="171" fontId="32" fillId="2" borderId="1" xfId="0" applyNumberFormat="1" applyFont="1" applyFill="1" applyBorder="1" applyAlignment="1">
      <alignment horizontal="left" vertical="center"/>
    </xf>
    <xf numFmtId="171" fontId="18" fillId="2" borderId="1" xfId="0" applyNumberFormat="1" applyFont="1" applyFill="1" applyBorder="1" applyAlignment="1">
      <alignment horizontal="left" vertical="center"/>
    </xf>
    <xf numFmtId="167" fontId="15" fillId="2" borderId="85" xfId="1" applyFont="1" applyFill="1" applyBorder="1" applyAlignment="1" applyProtection="1">
      <alignment horizontal="center" vertical="center"/>
    </xf>
    <xf numFmtId="167" fontId="15" fillId="2" borderId="17" xfId="1" applyFont="1" applyFill="1" applyBorder="1" applyAlignment="1" applyProtection="1">
      <alignment horizontal="center" vertical="center"/>
    </xf>
    <xf numFmtId="183" fontId="18" fillId="2" borderId="15" xfId="0" applyNumberFormat="1" applyFont="1" applyFill="1" applyBorder="1" applyAlignment="1">
      <alignment horizontal="center"/>
    </xf>
    <xf numFmtId="183" fontId="18" fillId="2" borderId="24" xfId="0" applyNumberFormat="1" applyFont="1" applyFill="1" applyBorder="1" applyAlignment="1">
      <alignment horizontal="center"/>
    </xf>
    <xf numFmtId="169" fontId="1" fillId="0" borderId="80" xfId="0" applyNumberFormat="1"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5" xfId="0" applyFont="1" applyBorder="1" applyAlignment="1">
      <alignment horizontal="center" vertical="center"/>
    </xf>
    <xf numFmtId="0" fontId="1" fillId="0" borderId="7" xfId="0" applyFont="1" applyBorder="1" applyAlignment="1">
      <alignment horizontal="right" vertical="center"/>
    </xf>
    <xf numFmtId="0" fontId="1" fillId="0" borderId="8" xfId="0" applyFont="1" applyBorder="1" applyAlignment="1">
      <alignment horizontal="right" vertical="center"/>
    </xf>
    <xf numFmtId="2" fontId="1" fillId="0" borderId="7" xfId="0" applyNumberFormat="1" applyFont="1" applyBorder="1" applyAlignment="1">
      <alignment horizontal="center" vertical="center"/>
    </xf>
    <xf numFmtId="2" fontId="1" fillId="0" borderId="8" xfId="0" applyNumberFormat="1" applyFont="1" applyBorder="1" applyAlignment="1">
      <alignment horizontal="center" vertical="center"/>
    </xf>
    <xf numFmtId="0" fontId="1" fillId="0" borderId="8" xfId="0" applyFont="1" applyBorder="1" applyAlignment="1">
      <alignment vertical="center"/>
    </xf>
    <xf numFmtId="0" fontId="1" fillId="0" borderId="9" xfId="0" applyFont="1" applyBorder="1" applyAlignment="1">
      <alignment vertical="center"/>
    </xf>
    <xf numFmtId="2" fontId="1" fillId="0" borderId="7" xfId="1" applyNumberFormat="1" applyFont="1" applyBorder="1" applyAlignment="1" applyProtection="1">
      <alignment horizontal="center" vertical="center"/>
    </xf>
    <xf numFmtId="2" fontId="1" fillId="0" borderId="8" xfId="1" applyNumberFormat="1" applyFont="1" applyBorder="1" applyAlignment="1" applyProtection="1">
      <alignment horizontal="center" vertical="center"/>
    </xf>
    <xf numFmtId="171" fontId="1" fillId="0" borderId="8" xfId="1" applyNumberFormat="1" applyFont="1" applyBorder="1" applyAlignment="1" applyProtection="1">
      <alignment horizontal="left" vertical="center"/>
    </xf>
    <xf numFmtId="171" fontId="1" fillId="0" borderId="9" xfId="1" applyNumberFormat="1" applyFont="1" applyBorder="1" applyAlignment="1" applyProtection="1">
      <alignment horizontal="left" vertical="center"/>
    </xf>
    <xf numFmtId="171" fontId="1" fillId="0" borderId="15" xfId="0" applyNumberFormat="1" applyFont="1" applyBorder="1" applyAlignment="1">
      <alignment horizontal="center" vertical="center"/>
    </xf>
    <xf numFmtId="0" fontId="1" fillId="0" borderId="24" xfId="0" applyFont="1" applyBorder="1" applyAlignment="1">
      <alignment horizontal="center" vertical="center"/>
    </xf>
    <xf numFmtId="171" fontId="1" fillId="0" borderId="7" xfId="0" applyNumberFormat="1" applyFont="1" applyBorder="1" applyAlignment="1">
      <alignment horizontal="left" vertical="center"/>
    </xf>
    <xf numFmtId="171" fontId="1" fillId="0" borderId="8" xfId="0" applyNumberFormat="1" applyFont="1" applyBorder="1" applyAlignment="1">
      <alignment horizontal="left" vertical="center"/>
    </xf>
    <xf numFmtId="171" fontId="1" fillId="0" borderId="9" xfId="0" applyNumberFormat="1" applyFont="1" applyBorder="1" applyAlignment="1">
      <alignment horizontal="left" vertical="center"/>
    </xf>
    <xf numFmtId="171" fontId="15" fillId="0" borderId="33" xfId="0" applyNumberFormat="1" applyFont="1" applyBorder="1" applyAlignment="1">
      <alignment horizontal="left" vertical="center"/>
    </xf>
    <xf numFmtId="171" fontId="15" fillId="0" borderId="32" xfId="0" applyNumberFormat="1" applyFont="1" applyBorder="1" applyAlignment="1">
      <alignment horizontal="left" vertical="center"/>
    </xf>
    <xf numFmtId="171" fontId="15" fillId="0" borderId="34" xfId="0" applyNumberFormat="1" applyFont="1" applyBorder="1" applyAlignment="1">
      <alignment horizontal="left" vertical="center"/>
    </xf>
    <xf numFmtId="171" fontId="15" fillId="0" borderId="1" xfId="0" applyNumberFormat="1" applyFont="1" applyBorder="1" applyAlignment="1">
      <alignment horizontal="left" vertical="center"/>
    </xf>
    <xf numFmtId="43" fontId="1" fillId="0" borderId="0" xfId="0" applyNumberFormat="1" applyFont="1" applyAlignment="1">
      <alignment horizontal="center" vertical="center"/>
    </xf>
    <xf numFmtId="0" fontId="1" fillId="0" borderId="15" xfId="0" applyFont="1" applyBorder="1" applyAlignment="1">
      <alignment horizontal="center" vertical="center"/>
    </xf>
    <xf numFmtId="0" fontId="9" fillId="5" borderId="15" xfId="0" applyFont="1" applyFill="1" applyBorder="1" applyAlignment="1">
      <alignment horizontal="center" vertical="center"/>
    </xf>
    <xf numFmtId="0" fontId="9" fillId="5" borderId="24" xfId="0" applyFont="1" applyFill="1" applyBorder="1" applyAlignment="1">
      <alignment horizontal="center" vertical="center"/>
    </xf>
    <xf numFmtId="180" fontId="1" fillId="0" borderId="15" xfId="0" applyNumberFormat="1" applyFont="1" applyBorder="1" applyAlignment="1">
      <alignment horizontal="center" vertical="center"/>
    </xf>
    <xf numFmtId="0" fontId="1" fillId="0" borderId="17" xfId="0" applyFont="1" applyBorder="1" applyAlignment="1" applyProtection="1">
      <alignment horizontal="center" vertical="center"/>
      <protection locked="0"/>
    </xf>
    <xf numFmtId="0" fontId="1" fillId="0" borderId="0" xfId="0" applyFont="1" applyAlignment="1">
      <alignment horizontal="center" vertical="center"/>
    </xf>
    <xf numFmtId="0" fontId="1" fillId="0" borderId="18" xfId="0" applyFont="1" applyBorder="1" applyAlignment="1">
      <alignment horizontal="center" vertical="center"/>
    </xf>
    <xf numFmtId="0" fontId="1" fillId="0" borderId="8" xfId="0" applyFont="1" applyBorder="1" applyAlignment="1">
      <alignment horizontal="left" vertical="center"/>
    </xf>
    <xf numFmtId="0" fontId="1" fillId="0" borderId="18" xfId="0" applyFont="1" applyBorder="1" applyAlignment="1">
      <alignment horizontal="left" vertical="center"/>
    </xf>
    <xf numFmtId="167" fontId="1" fillId="0" borderId="0" xfId="1" applyFont="1" applyAlignment="1" applyProtection="1">
      <alignment horizontal="center" vertical="center"/>
    </xf>
    <xf numFmtId="171" fontId="15" fillId="8" borderId="1" xfId="1" applyNumberFormat="1" applyFont="1" applyFill="1" applyBorder="1" applyAlignment="1" applyProtection="1">
      <alignment horizontal="center" vertical="center"/>
      <protection locked="0"/>
    </xf>
    <xf numFmtId="180" fontId="18" fillId="0" borderId="87" xfId="1" applyNumberFormat="1" applyFont="1" applyBorder="1" applyAlignment="1" applyProtection="1">
      <alignment horizontal="center" vertical="center"/>
      <protection locked="0"/>
    </xf>
    <xf numFmtId="0" fontId="1" fillId="0" borderId="1" xfId="0" applyFont="1" applyBorder="1" applyAlignment="1" applyProtection="1">
      <alignment horizontal="center" vertical="center"/>
      <protection locked="0"/>
    </xf>
    <xf numFmtId="0" fontId="9" fillId="5" borderId="1" xfId="0" applyFont="1" applyFill="1" applyBorder="1" applyAlignment="1" applyProtection="1">
      <alignment horizontal="center" vertical="center"/>
      <protection locked="0"/>
    </xf>
    <xf numFmtId="0" fontId="17" fillId="2" borderId="0" xfId="0" applyFont="1" applyFill="1" applyAlignment="1" applyProtection="1">
      <alignment horizontal="center"/>
      <protection locked="0"/>
    </xf>
    <xf numFmtId="0" fontId="17" fillId="0" borderId="0" xfId="0" applyFont="1" applyAlignment="1" applyProtection="1">
      <alignment horizontal="center" vertical="center"/>
      <protection locked="0"/>
    </xf>
    <xf numFmtId="176" fontId="18" fillId="7" borderId="5" xfId="3" applyNumberFormat="1" applyFont="1" applyFill="1" applyBorder="1" applyAlignment="1" applyProtection="1">
      <alignment horizontal="center" vertical="center"/>
      <protection locked="0"/>
    </xf>
    <xf numFmtId="176" fontId="18" fillId="7" borderId="41" xfId="3" applyNumberFormat="1" applyFont="1" applyFill="1" applyBorder="1" applyAlignment="1" applyProtection="1">
      <alignment horizontal="center" vertical="center"/>
      <protection locked="0"/>
    </xf>
    <xf numFmtId="171" fontId="32" fillId="0" borderId="7" xfId="0" applyNumberFormat="1" applyFont="1" applyBorder="1" applyAlignment="1" applyProtection="1">
      <alignment horizontal="left" vertical="center"/>
      <protection locked="0"/>
    </xf>
    <xf numFmtId="171" fontId="32" fillId="0" borderId="8" xfId="0" applyNumberFormat="1" applyFont="1" applyBorder="1" applyAlignment="1" applyProtection="1">
      <alignment horizontal="left" vertical="center"/>
      <protection locked="0"/>
    </xf>
    <xf numFmtId="171" fontId="32" fillId="0" borderId="9" xfId="0" applyNumberFormat="1" applyFont="1" applyBorder="1" applyAlignment="1" applyProtection="1">
      <alignment horizontal="left" vertical="center"/>
      <protection locked="0"/>
    </xf>
    <xf numFmtId="0" fontId="15" fillId="0" borderId="8" xfId="0" applyFont="1" applyBorder="1" applyAlignment="1" applyProtection="1">
      <alignment horizontal="center"/>
      <protection locked="0"/>
    </xf>
    <xf numFmtId="171" fontId="32" fillId="0" borderId="87" xfId="0" applyNumberFormat="1" applyFont="1" applyBorder="1" applyAlignment="1" applyProtection="1">
      <alignment horizontal="center" vertical="center"/>
      <protection locked="0"/>
    </xf>
    <xf numFmtId="171" fontId="18" fillId="0" borderId="7" xfId="0" applyNumberFormat="1" applyFont="1" applyBorder="1" applyAlignment="1" applyProtection="1">
      <alignment horizontal="left" vertical="center"/>
      <protection locked="0"/>
    </xf>
    <xf numFmtId="171" fontId="18" fillId="0" borderId="8" xfId="0" applyNumberFormat="1" applyFont="1" applyBorder="1" applyAlignment="1" applyProtection="1">
      <alignment horizontal="left" vertical="center"/>
      <protection locked="0"/>
    </xf>
    <xf numFmtId="171" fontId="18" fillId="0" borderId="9" xfId="0" applyNumberFormat="1" applyFont="1" applyBorder="1" applyAlignment="1" applyProtection="1">
      <alignment horizontal="left" vertical="center"/>
      <protection locked="0"/>
    </xf>
    <xf numFmtId="171" fontId="32" fillId="0" borderId="19" xfId="0" applyNumberFormat="1" applyFont="1" applyBorder="1" applyAlignment="1" applyProtection="1">
      <alignment horizontal="left" vertical="center"/>
      <protection locked="0"/>
    </xf>
    <xf numFmtId="171" fontId="32" fillId="0" borderId="37" xfId="0" applyNumberFormat="1" applyFont="1" applyBorder="1" applyAlignment="1" applyProtection="1">
      <alignment horizontal="left" vertical="center"/>
      <protection locked="0"/>
    </xf>
    <xf numFmtId="171" fontId="18" fillId="0" borderId="0" xfId="0" applyNumberFormat="1" applyFont="1" applyAlignment="1" applyProtection="1">
      <alignment horizontal="left" vertical="center"/>
      <protection locked="0"/>
    </xf>
    <xf numFmtId="171" fontId="18" fillId="0" borderId="22" xfId="0" applyNumberFormat="1" applyFont="1" applyBorder="1" applyAlignment="1" applyProtection="1">
      <alignment horizontal="left" vertical="center"/>
      <protection locked="0"/>
    </xf>
    <xf numFmtId="14" fontId="9" fillId="5" borderId="1" xfId="0" applyNumberFormat="1" applyFont="1" applyFill="1" applyBorder="1" applyAlignment="1" applyProtection="1">
      <alignment horizontal="center" vertical="center"/>
      <protection locked="0"/>
    </xf>
    <xf numFmtId="0" fontId="9" fillId="5" borderId="20" xfId="0" applyFont="1" applyFill="1" applyBorder="1" applyAlignment="1" applyProtection="1">
      <alignment horizontal="center" vertical="center"/>
      <protection locked="0"/>
    </xf>
    <xf numFmtId="0" fontId="9" fillId="5" borderId="43" xfId="0" applyFont="1" applyFill="1" applyBorder="1" applyAlignment="1" applyProtection="1">
      <alignment horizontal="center" vertical="center"/>
      <protection locked="0"/>
    </xf>
    <xf numFmtId="0" fontId="9" fillId="5" borderId="42" xfId="0" applyFont="1" applyFill="1" applyBorder="1" applyAlignment="1" applyProtection="1">
      <alignment horizontal="center" vertical="center"/>
      <protection locked="0"/>
    </xf>
    <xf numFmtId="0" fontId="9" fillId="5" borderId="71" xfId="0" applyFont="1" applyFill="1" applyBorder="1" applyAlignment="1" applyProtection="1">
      <alignment horizontal="center" vertical="center"/>
      <protection locked="0"/>
    </xf>
    <xf numFmtId="0" fontId="15" fillId="0" borderId="7" xfId="0" applyFont="1" applyBorder="1" applyAlignment="1" applyProtection="1">
      <alignment horizontal="center" vertical="center"/>
      <protection locked="0"/>
    </xf>
    <xf numFmtId="0" fontId="15" fillId="0" borderId="8" xfId="0" applyFont="1" applyBorder="1" applyAlignment="1" applyProtection="1">
      <alignment horizontal="center" vertical="center"/>
      <protection locked="0"/>
    </xf>
    <xf numFmtId="0" fontId="15" fillId="0" borderId="9" xfId="0" applyFont="1" applyBorder="1" applyAlignment="1" applyProtection="1">
      <alignment horizontal="center" vertical="center"/>
      <protection locked="0"/>
    </xf>
    <xf numFmtId="0" fontId="9" fillId="5" borderId="1" xfId="0" applyFont="1" applyFill="1" applyBorder="1" applyAlignment="1" applyProtection="1">
      <alignment horizontal="left" vertical="center"/>
      <protection locked="0"/>
    </xf>
    <xf numFmtId="0" fontId="10" fillId="5" borderId="0" xfId="0" applyFont="1" applyFill="1" applyAlignment="1" applyProtection="1">
      <alignment horizontal="center" vertical="center"/>
      <protection locked="0"/>
    </xf>
    <xf numFmtId="0" fontId="89" fillId="0" borderId="99" xfId="0" applyFont="1" applyBorder="1" applyAlignment="1"/>
    <xf numFmtId="0" fontId="89" fillId="0" borderId="100" xfId="0" applyFont="1" applyBorder="1" applyAlignment="1"/>
    <xf numFmtId="169" fontId="1" fillId="0" borderId="0" xfId="0" applyNumberFormat="1" applyFont="1" applyAlignment="1">
      <alignment horizontal="center" vertical="center"/>
    </xf>
    <xf numFmtId="2" fontId="1" fillId="0" borderId="15" xfId="0" applyNumberFormat="1" applyFont="1" applyBorder="1" applyAlignment="1">
      <alignment horizontal="center" vertical="center"/>
    </xf>
    <xf numFmtId="2" fontId="1" fillId="0" borderId="18" xfId="0" applyNumberFormat="1" applyFont="1" applyBorder="1" applyAlignment="1">
      <alignment horizontal="center" vertical="center"/>
    </xf>
    <xf numFmtId="0" fontId="1" fillId="0" borderId="18" xfId="0" applyFont="1" applyBorder="1" applyAlignment="1">
      <alignment vertical="center"/>
    </xf>
    <xf numFmtId="0" fontId="1" fillId="0" borderId="24" xfId="0" applyFont="1" applyBorder="1" applyAlignment="1">
      <alignment vertical="center"/>
    </xf>
    <xf numFmtId="2" fontId="1" fillId="0" borderId="15" xfId="1" applyNumberFormat="1" applyFont="1" applyBorder="1" applyAlignment="1" applyProtection="1">
      <alignment horizontal="center" vertical="center"/>
    </xf>
    <xf numFmtId="2" fontId="1" fillId="0" borderId="18" xfId="1" applyNumberFormat="1" applyFont="1" applyBorder="1" applyAlignment="1" applyProtection="1">
      <alignment horizontal="center" vertical="center"/>
    </xf>
    <xf numFmtId="171" fontId="1" fillId="0" borderId="19" xfId="0" applyNumberFormat="1" applyFont="1" applyBorder="1" applyAlignment="1">
      <alignment horizontal="left" vertical="center"/>
    </xf>
    <xf numFmtId="0" fontId="1" fillId="0" borderId="37" xfId="0" applyFont="1" applyBorder="1" applyAlignment="1">
      <alignment vertical="center"/>
    </xf>
    <xf numFmtId="171" fontId="1" fillId="0" borderId="1" xfId="0" applyNumberFormat="1" applyFont="1" applyBorder="1" applyAlignment="1" applyProtection="1">
      <alignment horizontal="center" vertical="center"/>
      <protection locked="0"/>
    </xf>
    <xf numFmtId="173" fontId="1" fillId="0" borderId="46" xfId="0" applyNumberFormat="1" applyFont="1" applyBorder="1" applyAlignment="1">
      <alignment horizontal="center" vertical="center"/>
    </xf>
    <xf numFmtId="0" fontId="1" fillId="0" borderId="11" xfId="0" applyFont="1" applyBorder="1" applyAlignment="1">
      <alignment horizontal="center" vertical="center"/>
    </xf>
    <xf numFmtId="171" fontId="1" fillId="0" borderId="45" xfId="0" applyNumberFormat="1" applyFont="1" applyBorder="1" applyAlignment="1">
      <alignment horizontal="left" vertical="center"/>
    </xf>
    <xf numFmtId="171" fontId="1" fillId="0" borderId="0" xfId="0" applyNumberFormat="1" applyFont="1" applyAlignment="1">
      <alignment horizontal="left" vertical="center"/>
    </xf>
    <xf numFmtId="9" fontId="1" fillId="0" borderId="87" xfId="0" applyNumberFormat="1" applyFont="1" applyBorder="1" applyAlignment="1">
      <alignment horizontal="center" vertical="center"/>
    </xf>
    <xf numFmtId="171" fontId="1" fillId="0" borderId="5" xfId="1" applyNumberFormat="1" applyFont="1" applyBorder="1" applyAlignment="1" applyProtection="1">
      <alignment horizontal="center" vertical="center"/>
    </xf>
    <xf numFmtId="171" fontId="1" fillId="0" borderId="7" xfId="0" applyNumberFormat="1" applyFont="1" applyBorder="1" applyAlignment="1">
      <alignment horizontal="center" vertical="center"/>
    </xf>
    <xf numFmtId="171" fontId="1" fillId="0" borderId="8" xfId="0" applyNumberFormat="1" applyFont="1" applyBorder="1" applyAlignment="1">
      <alignment horizontal="center" vertical="center"/>
    </xf>
    <xf numFmtId="171" fontId="1" fillId="0" borderId="9" xfId="0" applyNumberFormat="1" applyFont="1" applyBorder="1" applyAlignment="1">
      <alignment horizontal="center" vertical="center"/>
    </xf>
    <xf numFmtId="186" fontId="1" fillId="0" borderId="5" xfId="1" applyNumberFormat="1" applyFont="1" applyBorder="1" applyAlignment="1" applyProtection="1">
      <alignment horizontal="center" vertical="center"/>
    </xf>
    <xf numFmtId="0" fontId="1" fillId="0" borderId="20" xfId="0" applyFont="1" applyBorder="1" applyAlignment="1">
      <alignment horizontal="center" vertical="center" wrapText="1"/>
    </xf>
    <xf numFmtId="0" fontId="1" fillId="0" borderId="43" xfId="0" applyFont="1" applyBorder="1" applyAlignment="1">
      <alignment horizontal="center" vertical="center" wrapText="1"/>
    </xf>
    <xf numFmtId="0" fontId="1" fillId="0" borderId="70" xfId="0" applyFont="1" applyBorder="1" applyAlignment="1">
      <alignment horizontal="center" vertical="center" wrapText="1"/>
    </xf>
    <xf numFmtId="171" fontId="1" fillId="0" borderId="20" xfId="0" applyNumberFormat="1" applyFont="1" applyBorder="1" applyAlignment="1">
      <alignment horizontal="center" vertical="center" wrapText="1"/>
    </xf>
    <xf numFmtId="171" fontId="1" fillId="0" borderId="70" xfId="0" applyNumberFormat="1" applyFont="1" applyBorder="1" applyAlignment="1">
      <alignment horizontal="center" vertical="center" wrapText="1"/>
    </xf>
    <xf numFmtId="171" fontId="1" fillId="0" borderId="43" xfId="0" applyNumberFormat="1" applyFont="1" applyBorder="1" applyAlignment="1">
      <alignment horizontal="center" vertical="center" wrapText="1"/>
    </xf>
    <xf numFmtId="0" fontId="1" fillId="0" borderId="42" xfId="0" applyFont="1" applyBorder="1" applyAlignment="1">
      <alignment horizontal="center" vertical="center" wrapText="1"/>
    </xf>
    <xf numFmtId="0" fontId="1" fillId="0" borderId="71" xfId="0" applyFont="1" applyBorder="1" applyAlignment="1">
      <alignment horizontal="center" vertical="center" wrapText="1"/>
    </xf>
    <xf numFmtId="0" fontId="1" fillId="0" borderId="17" xfId="0" applyFont="1" applyBorder="1" applyAlignment="1">
      <alignment horizontal="center" vertical="center" wrapText="1"/>
    </xf>
    <xf numFmtId="171" fontId="1" fillId="0" borderId="42" xfId="0" applyNumberFormat="1" applyFont="1" applyBorder="1" applyAlignment="1">
      <alignment horizontal="center" vertical="center" wrapText="1"/>
    </xf>
    <xf numFmtId="171" fontId="1" fillId="0" borderId="17" xfId="0" applyNumberFormat="1" applyFont="1" applyBorder="1" applyAlignment="1">
      <alignment horizontal="center" vertical="center" wrapText="1"/>
    </xf>
    <xf numFmtId="171" fontId="1" fillId="0" borderId="71" xfId="0" applyNumberFormat="1" applyFont="1" applyBorder="1" applyAlignment="1">
      <alignment horizontal="center" vertical="center" wrapText="1"/>
    </xf>
    <xf numFmtId="0" fontId="1" fillId="0" borderId="17" xfId="0" applyFont="1" applyBorder="1" applyAlignment="1">
      <alignment horizontal="center" vertical="center"/>
    </xf>
    <xf numFmtId="167" fontId="1" fillId="0" borderId="17" xfId="1" applyFont="1" applyBorder="1" applyAlignment="1" applyProtection="1">
      <alignment horizontal="center"/>
    </xf>
    <xf numFmtId="167" fontId="1" fillId="0" borderId="0" xfId="1" applyFont="1" applyBorder="1" applyAlignment="1" applyProtection="1"/>
    <xf numFmtId="0" fontId="1" fillId="0" borderId="17" xfId="0" applyFont="1" applyBorder="1"/>
    <xf numFmtId="0" fontId="1" fillId="0" borderId="18" xfId="0" applyFont="1" applyBorder="1" applyAlignment="1">
      <alignment horizontal="center"/>
    </xf>
    <xf numFmtId="183" fontId="1" fillId="0" borderId="0" xfId="0" applyNumberFormat="1" applyFont="1"/>
    <xf numFmtId="0" fontId="1" fillId="0" borderId="15" xfId="0" applyFont="1" applyBorder="1" applyAlignment="1">
      <alignment horizontal="center"/>
    </xf>
    <xf numFmtId="0" fontId="1" fillId="0" borderId="24" xfId="0" applyFont="1" applyBorder="1" applyAlignment="1">
      <alignment horizontal="center"/>
    </xf>
    <xf numFmtId="183" fontId="1" fillId="0" borderId="1" xfId="0" applyNumberFormat="1" applyFont="1" applyBorder="1" applyAlignment="1">
      <alignment horizontal="center" vertical="center"/>
    </xf>
    <xf numFmtId="171" fontId="1" fillId="0" borderId="15" xfId="0" applyNumberFormat="1" applyFont="1" applyBorder="1" applyAlignment="1" applyProtection="1">
      <alignment horizontal="center" vertical="center"/>
      <protection locked="0"/>
    </xf>
    <xf numFmtId="171" fontId="1" fillId="0" borderId="24" xfId="0" applyNumberFormat="1" applyFont="1" applyBorder="1" applyAlignment="1" applyProtection="1">
      <alignment horizontal="center" vertical="center"/>
      <protection locked="0"/>
    </xf>
    <xf numFmtId="183" fontId="1" fillId="0" borderId="1" xfId="0" applyNumberFormat="1" applyFont="1" applyBorder="1" applyAlignment="1">
      <alignment horizontal="center"/>
    </xf>
    <xf numFmtId="0" fontId="1" fillId="0" borderId="24" xfId="0" applyFont="1" applyBorder="1"/>
    <xf numFmtId="183" fontId="1" fillId="0" borderId="15" xfId="0" applyNumberFormat="1" applyFont="1" applyBorder="1" applyAlignment="1">
      <alignment horizontal="center"/>
    </xf>
    <xf numFmtId="183" fontId="1" fillId="0" borderId="24" xfId="0" applyNumberFormat="1" applyFont="1" applyBorder="1" applyAlignment="1">
      <alignment horizontal="center"/>
    </xf>
    <xf numFmtId="183" fontId="1" fillId="0" borderId="1" xfId="0" applyNumberFormat="1" applyFont="1" applyBorder="1"/>
    <xf numFmtId="173" fontId="1" fillId="0" borderId="5" xfId="2" applyNumberFormat="1" applyFont="1" applyFill="1" applyBorder="1" applyAlignment="1">
      <alignment horizontal="center" vertical="center"/>
    </xf>
    <xf numFmtId="0" fontId="1" fillId="0" borderId="0" xfId="0" applyFont="1" applyAlignment="1">
      <alignment horizontal="right"/>
    </xf>
    <xf numFmtId="173" fontId="1" fillId="0" borderId="5" xfId="2" applyNumberFormat="1" applyFont="1" applyBorder="1" applyAlignment="1" applyProtection="1">
      <alignment horizontal="center" vertical="center"/>
    </xf>
    <xf numFmtId="172" fontId="1" fillId="0" borderId="0" xfId="1" applyNumberFormat="1" applyFont="1" applyProtection="1"/>
    <xf numFmtId="169" fontId="1" fillId="0" borderId="8" xfId="0" applyNumberFormat="1" applyFont="1" applyBorder="1" applyAlignment="1">
      <alignment horizontal="center"/>
    </xf>
    <xf numFmtId="169" fontId="1" fillId="0" borderId="9" xfId="0" applyNumberFormat="1" applyFont="1" applyBorder="1" applyAlignment="1">
      <alignment horizontal="center"/>
    </xf>
    <xf numFmtId="183" fontId="1" fillId="0" borderId="80" xfId="0" applyNumberFormat="1" applyFont="1" applyBorder="1" applyAlignment="1">
      <alignment horizontal="center"/>
    </xf>
    <xf numFmtId="169" fontId="1" fillId="0" borderId="7" xfId="0" applyNumberFormat="1" applyFont="1" applyBorder="1" applyAlignment="1">
      <alignment horizontal="center"/>
    </xf>
    <xf numFmtId="0" fontId="1" fillId="0" borderId="16" xfId="0" applyFont="1" applyBorder="1" applyAlignment="1">
      <alignment horizontal="center" vertical="center"/>
    </xf>
    <xf numFmtId="172" fontId="1" fillId="0" borderId="0" xfId="0" applyNumberFormat="1" applyFont="1" applyAlignment="1">
      <alignment horizontal="center" vertical="center"/>
    </xf>
    <xf numFmtId="0" fontId="1" fillId="0" borderId="15" xfId="0" applyFont="1" applyBorder="1" applyAlignment="1">
      <alignment horizontal="right" vertical="center"/>
    </xf>
    <xf numFmtId="0" fontId="1" fillId="0" borderId="18" xfId="0" applyFont="1" applyBorder="1" applyAlignment="1">
      <alignment horizontal="right" vertical="center"/>
    </xf>
    <xf numFmtId="0" fontId="1" fillId="0" borderId="25" xfId="0" applyFont="1" applyBorder="1" applyAlignment="1">
      <alignment horizontal="center" vertical="center"/>
    </xf>
    <xf numFmtId="0" fontId="1" fillId="0" borderId="3" xfId="0" applyFont="1" applyBorder="1"/>
    <xf numFmtId="179" fontId="1" fillId="0" borderId="0" xfId="0" applyNumberFormat="1" applyFont="1"/>
    <xf numFmtId="0" fontId="1" fillId="0" borderId="31" xfId="0" applyFont="1" applyBorder="1" applyAlignment="1">
      <alignment horizontal="center" vertical="center"/>
    </xf>
    <xf numFmtId="0" fontId="1" fillId="0" borderId="67" xfId="0" applyFont="1" applyBorder="1" applyAlignment="1">
      <alignment vertical="center"/>
    </xf>
    <xf numFmtId="0" fontId="1" fillId="0" borderId="68" xfId="0" applyFont="1" applyBorder="1" applyAlignment="1">
      <alignment horizontal="center" vertical="center"/>
    </xf>
    <xf numFmtId="172" fontId="1" fillId="0" borderId="22" xfId="0" applyNumberFormat="1" applyFont="1" applyBorder="1" applyAlignment="1">
      <alignment horizontal="center" vertical="center"/>
    </xf>
    <xf numFmtId="2" fontId="1" fillId="0" borderId="31" xfId="1" applyNumberFormat="1" applyFont="1" applyBorder="1" applyAlignment="1" applyProtection="1">
      <alignment horizontal="center" vertical="center"/>
    </xf>
    <xf numFmtId="0" fontId="1" fillId="0" borderId="68" xfId="0" applyFont="1" applyBorder="1" applyAlignment="1">
      <alignment vertical="center"/>
    </xf>
    <xf numFmtId="2" fontId="1" fillId="0" borderId="9" xfId="1" applyNumberFormat="1" applyFont="1" applyBorder="1" applyAlignment="1" applyProtection="1">
      <alignment horizontal="center" vertical="center"/>
    </xf>
    <xf numFmtId="0" fontId="1" fillId="0" borderId="7" xfId="0" applyFont="1" applyBorder="1" applyAlignment="1">
      <alignment vertical="center"/>
    </xf>
    <xf numFmtId="172" fontId="1" fillId="0" borderId="0" xfId="1" applyNumberFormat="1" applyFont="1" applyAlignment="1" applyProtection="1">
      <alignment vertical="center"/>
    </xf>
    <xf numFmtId="0" fontId="1" fillId="0" borderId="1" xfId="0" applyFont="1" applyBorder="1"/>
    <xf numFmtId="172" fontId="1" fillId="0" borderId="1" xfId="1" applyNumberFormat="1" applyFont="1" applyBorder="1" applyAlignment="1" applyProtection="1">
      <alignment horizontal="center" vertical="center"/>
    </xf>
    <xf numFmtId="173" fontId="1" fillId="0" borderId="1" xfId="0" applyNumberFormat="1" applyFont="1" applyBorder="1" applyAlignment="1">
      <alignment horizontal="center" vertical="center"/>
    </xf>
    <xf numFmtId="171" fontId="1" fillId="0" borderId="1" xfId="0" applyNumberFormat="1" applyFont="1" applyBorder="1" applyAlignment="1">
      <alignment horizontal="left" vertical="center"/>
    </xf>
    <xf numFmtId="172" fontId="1" fillId="0" borderId="0" xfId="1" applyNumberFormat="1" applyFont="1" applyBorder="1" applyAlignment="1" applyProtection="1">
      <alignment horizontal="center" vertical="center"/>
    </xf>
    <xf numFmtId="171" fontId="1" fillId="0" borderId="0" xfId="0" applyNumberFormat="1" applyFont="1" applyAlignment="1">
      <alignment horizontal="center" vertical="center"/>
    </xf>
    <xf numFmtId="171" fontId="1" fillId="0" borderId="0" xfId="0" applyNumberFormat="1" applyFont="1" applyAlignment="1">
      <alignment horizontal="center" vertical="center"/>
    </xf>
    <xf numFmtId="9" fontId="1" fillId="0" borderId="0" xfId="0" applyNumberFormat="1" applyFont="1" applyAlignment="1">
      <alignment horizontal="center" vertical="center"/>
    </xf>
    <xf numFmtId="166" fontId="1" fillId="0" borderId="0" xfId="5" applyFont="1" applyAlignment="1" applyProtection="1">
      <alignment vertical="center"/>
    </xf>
    <xf numFmtId="172" fontId="1" fillId="0" borderId="18" xfId="0" applyNumberFormat="1" applyFont="1" applyBorder="1" applyAlignment="1">
      <alignment horizontal="center" vertical="center"/>
    </xf>
    <xf numFmtId="172" fontId="1" fillId="0" borderId="0" xfId="0" applyNumberFormat="1" applyFont="1" applyAlignment="1">
      <alignment vertical="center"/>
    </xf>
    <xf numFmtId="171" fontId="1" fillId="0" borderId="0" xfId="5" applyNumberFormat="1" applyFont="1" applyBorder="1" applyAlignment="1" applyProtection="1">
      <alignment horizontal="center" vertical="center"/>
    </xf>
    <xf numFmtId="0" fontId="1" fillId="0" borderId="18" xfId="0" applyFont="1" applyBorder="1"/>
    <xf numFmtId="169" fontId="1" fillId="0" borderId="7" xfId="0" applyNumberFormat="1" applyFont="1" applyBorder="1" applyAlignment="1">
      <alignment horizontal="center"/>
    </xf>
    <xf numFmtId="0" fontId="1" fillId="0" borderId="27" xfId="0" applyFont="1" applyBorder="1" applyAlignment="1">
      <alignment horizontal="center" vertical="center"/>
    </xf>
    <xf numFmtId="0" fontId="1" fillId="0" borderId="22" xfId="0" applyFont="1" applyBorder="1" applyAlignment="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 fillId="0" borderId="34" xfId="0" applyFont="1" applyBorder="1" applyAlignment="1">
      <alignment horizontal="center" vertical="center"/>
    </xf>
    <xf numFmtId="0" fontId="1" fillId="0" borderId="21" xfId="0" applyFont="1" applyBorder="1" applyAlignment="1">
      <alignment horizontal="center" vertical="center"/>
    </xf>
    <xf numFmtId="2" fontId="1" fillId="0" borderId="21" xfId="1" applyNumberFormat="1" applyFont="1" applyBorder="1" applyAlignment="1" applyProtection="1">
      <alignment horizontal="center" vertical="center"/>
    </xf>
    <xf numFmtId="2" fontId="1" fillId="0" borderId="36" xfId="1" applyNumberFormat="1" applyFont="1" applyBorder="1" applyAlignment="1" applyProtection="1">
      <alignment horizontal="center" vertical="center"/>
    </xf>
    <xf numFmtId="2" fontId="1" fillId="0" borderId="19" xfId="1" applyNumberFormat="1" applyFont="1" applyBorder="1" applyAlignment="1" applyProtection="1">
      <alignment horizontal="center" vertical="center"/>
    </xf>
    <xf numFmtId="0" fontId="1" fillId="0" borderId="19" xfId="0" applyFont="1" applyBorder="1" applyAlignment="1">
      <alignment vertical="center"/>
    </xf>
    <xf numFmtId="172" fontId="1" fillId="0" borderId="0" xfId="1" applyNumberFormat="1" applyFont="1" applyFill="1" applyBorder="1" applyAlignment="1" applyProtection="1">
      <alignment horizontal="center" vertical="center"/>
    </xf>
    <xf numFmtId="171" fontId="1" fillId="0" borderId="23" xfId="0" applyNumberFormat="1" applyFont="1" applyBorder="1" applyAlignment="1">
      <alignment horizontal="left" vertical="center"/>
    </xf>
    <xf numFmtId="0" fontId="1" fillId="0" borderId="41" xfId="0" applyFont="1" applyBorder="1" applyAlignment="1">
      <alignment horizontal="center" vertical="center"/>
    </xf>
    <xf numFmtId="0" fontId="1" fillId="0" borderId="0" xfId="0" applyFont="1" applyAlignment="1">
      <alignment horizontal="center"/>
    </xf>
    <xf numFmtId="0" fontId="1" fillId="0" borderId="17" xfId="0" applyFont="1" applyBorder="1" applyAlignment="1">
      <alignment horizontal="center"/>
    </xf>
    <xf numFmtId="0" fontId="1" fillId="0" borderId="18" xfId="0" applyFont="1" applyBorder="1" applyAlignment="1">
      <alignment horizontal="center"/>
    </xf>
    <xf numFmtId="0" fontId="1" fillId="0" borderId="83" xfId="0" applyFont="1" applyBorder="1"/>
    <xf numFmtId="169" fontId="1" fillId="0" borderId="80" xfId="0" applyNumberFormat="1" applyFont="1" applyBorder="1" applyAlignment="1">
      <alignment horizontal="center"/>
    </xf>
    <xf numFmtId="0" fontId="1" fillId="0" borderId="8" xfId="0" applyFont="1" applyBorder="1" applyAlignment="1">
      <alignment horizontal="center"/>
    </xf>
    <xf numFmtId="0" fontId="1" fillId="0" borderId="9" xfId="0" applyFont="1" applyBorder="1" applyAlignment="1">
      <alignment horizontal="center"/>
    </xf>
    <xf numFmtId="0" fontId="1" fillId="0" borderId="36" xfId="0" applyFont="1" applyBorder="1" applyAlignment="1">
      <alignment horizontal="center" vertical="center"/>
    </xf>
    <xf numFmtId="0" fontId="1" fillId="0" borderId="19" xfId="0" applyFont="1" applyBorder="1" applyAlignment="1">
      <alignment horizontal="center" vertical="center"/>
    </xf>
    <xf numFmtId="0" fontId="1" fillId="0" borderId="37" xfId="0" applyFont="1" applyBorder="1" applyAlignment="1">
      <alignment horizontal="center" vertical="center"/>
    </xf>
    <xf numFmtId="2" fontId="1" fillId="0" borderId="27" xfId="0" applyNumberFormat="1" applyFont="1" applyBorder="1" applyAlignment="1">
      <alignment horizontal="center" vertical="center"/>
    </xf>
    <xf numFmtId="0" fontId="1" fillId="0" borderId="44" xfId="0" applyFont="1" applyBorder="1" applyAlignment="1">
      <alignment horizontal="center" vertical="center"/>
    </xf>
    <xf numFmtId="2" fontId="1" fillId="0" borderId="7" xfId="0" applyNumberFormat="1" applyFont="1" applyBorder="1" applyAlignment="1">
      <alignment horizontal="right" vertical="center"/>
    </xf>
    <xf numFmtId="0" fontId="1" fillId="0" borderId="21" xfId="0" applyFont="1" applyBorder="1" applyAlignment="1">
      <alignment horizontal="right" vertical="center"/>
    </xf>
    <xf numFmtId="0" fontId="1" fillId="0" borderId="8" xfId="0" applyFont="1" applyBorder="1"/>
    <xf numFmtId="2" fontId="1" fillId="0" borderId="33" xfId="1" applyNumberFormat="1" applyFont="1" applyBorder="1" applyAlignment="1" applyProtection="1">
      <alignment horizontal="center" vertical="center"/>
    </xf>
    <xf numFmtId="2" fontId="1" fillId="0" borderId="44" xfId="1" applyNumberFormat="1" applyFont="1" applyBorder="1" applyAlignment="1" applyProtection="1">
      <alignment horizontal="center" vertical="center"/>
    </xf>
    <xf numFmtId="0" fontId="1" fillId="0" borderId="32" xfId="0" applyFont="1" applyBorder="1" applyAlignment="1">
      <alignment vertical="center"/>
    </xf>
    <xf numFmtId="0" fontId="1" fillId="0" borderId="44" xfId="0" applyFont="1" applyBorder="1" applyAlignment="1">
      <alignment vertical="center"/>
    </xf>
    <xf numFmtId="0" fontId="1" fillId="0" borderId="22" xfId="0" applyFont="1" applyBorder="1" applyAlignment="1">
      <alignment horizontal="center" vertical="center"/>
    </xf>
    <xf numFmtId="167" fontId="1" fillId="0" borderId="27" xfId="1" applyFont="1" applyBorder="1" applyAlignment="1" applyProtection="1">
      <alignment horizontal="right" vertical="center"/>
    </xf>
    <xf numFmtId="167" fontId="1" fillId="0" borderId="23" xfId="1" applyFont="1" applyBorder="1" applyAlignment="1" applyProtection="1">
      <alignment horizontal="right" vertical="center"/>
    </xf>
    <xf numFmtId="0" fontId="1" fillId="0" borderId="0" xfId="0" applyFont="1" applyAlignment="1">
      <alignment horizontal="right" vertical="center"/>
    </xf>
    <xf numFmtId="0" fontId="1" fillId="0" borderId="34" xfId="0" applyFont="1" applyBorder="1" applyAlignment="1">
      <alignment vertical="center"/>
    </xf>
    <xf numFmtId="167" fontId="1" fillId="0" borderId="7" xfId="1" applyFont="1" applyBorder="1" applyAlignment="1" applyProtection="1">
      <alignment horizontal="right" vertical="center"/>
    </xf>
    <xf numFmtId="167" fontId="1" fillId="0" borderId="21" xfId="1" applyFont="1" applyBorder="1" applyAlignment="1" applyProtection="1">
      <alignment horizontal="right" vertical="center"/>
    </xf>
    <xf numFmtId="0" fontId="1" fillId="0" borderId="58" xfId="0" applyFont="1" applyBorder="1" applyAlignment="1">
      <alignment vertical="center"/>
    </xf>
    <xf numFmtId="0" fontId="1" fillId="0" borderId="14" xfId="0" applyFont="1" applyBorder="1" applyAlignment="1">
      <alignment vertical="center"/>
    </xf>
    <xf numFmtId="174" fontId="1" fillId="0" borderId="15" xfId="0" applyNumberFormat="1" applyFont="1" applyBorder="1" applyAlignment="1">
      <alignment horizontal="center" vertical="center"/>
    </xf>
    <xf numFmtId="174" fontId="1" fillId="0" borderId="18" xfId="0" applyNumberFormat="1" applyFont="1" applyBorder="1" applyAlignment="1">
      <alignment horizontal="center" vertical="center"/>
    </xf>
    <xf numFmtId="174" fontId="1" fillId="0" borderId="24" xfId="0" applyNumberFormat="1" applyFont="1" applyBorder="1" applyAlignment="1">
      <alignment horizontal="center" vertical="center"/>
    </xf>
    <xf numFmtId="173" fontId="1" fillId="0" borderId="7" xfId="0" applyNumberFormat="1" applyFont="1" applyBorder="1" applyAlignment="1">
      <alignment horizontal="center" vertical="center"/>
    </xf>
    <xf numFmtId="0" fontId="1" fillId="0" borderId="59" xfId="0" applyFont="1" applyBorder="1" applyAlignment="1">
      <alignment vertical="center"/>
    </xf>
    <xf numFmtId="0" fontId="1" fillId="0" borderId="5" xfId="0" applyFont="1" applyBorder="1" applyAlignment="1">
      <alignment vertical="center"/>
    </xf>
    <xf numFmtId="169" fontId="1" fillId="0" borderId="18" xfId="0" applyNumberFormat="1" applyFont="1" applyBorder="1" applyAlignment="1">
      <alignment horizontal="left" vertical="center"/>
    </xf>
    <xf numFmtId="0" fontId="1" fillId="0" borderId="80" xfId="0" applyFont="1" applyBorder="1" applyAlignment="1">
      <alignment horizontal="center" vertical="center"/>
    </xf>
    <xf numFmtId="9" fontId="1" fillId="0" borderId="1" xfId="0" applyNumberFormat="1" applyFont="1" applyBorder="1" applyAlignment="1">
      <alignment horizontal="center" vertical="center"/>
    </xf>
    <xf numFmtId="180" fontId="1" fillId="0" borderId="0" xfId="0" applyNumberFormat="1" applyFont="1" applyAlignment="1">
      <alignment horizontal="center" vertical="center"/>
    </xf>
    <xf numFmtId="171" fontId="1" fillId="0" borderId="16" xfId="0" applyNumberFormat="1" applyFont="1" applyBorder="1" applyAlignment="1">
      <alignment horizontal="center" vertical="center"/>
    </xf>
    <xf numFmtId="0" fontId="1" fillId="2" borderId="0" xfId="0" applyFont="1" applyFill="1" applyAlignment="1">
      <alignment vertical="center"/>
    </xf>
    <xf numFmtId="0" fontId="1" fillId="2" borderId="0" xfId="0" applyFont="1" applyFill="1"/>
    <xf numFmtId="0" fontId="1" fillId="2" borderId="0" xfId="0" applyFont="1" applyFill="1" applyAlignment="1">
      <alignment horizontal="center"/>
    </xf>
    <xf numFmtId="0" fontId="1" fillId="2" borderId="1" xfId="0" applyFont="1" applyFill="1" applyBorder="1" applyAlignment="1">
      <alignment horizontal="center" vertical="center"/>
    </xf>
    <xf numFmtId="172" fontId="1" fillId="2" borderId="1" xfId="1" applyNumberFormat="1" applyFont="1" applyFill="1" applyBorder="1" applyAlignment="1" applyProtection="1">
      <alignment horizontal="center" vertical="center"/>
    </xf>
    <xf numFmtId="171" fontId="1" fillId="2" borderId="1" xfId="0" applyNumberFormat="1" applyFont="1" applyFill="1" applyBorder="1" applyAlignment="1">
      <alignment horizontal="center" vertical="center"/>
    </xf>
    <xf numFmtId="174" fontId="1" fillId="2" borderId="15" xfId="0" applyNumberFormat="1" applyFont="1" applyFill="1" applyBorder="1" applyAlignment="1">
      <alignment horizontal="center" vertical="center"/>
    </xf>
    <xf numFmtId="174" fontId="1" fillId="2" borderId="18" xfId="0" applyNumberFormat="1" applyFont="1" applyFill="1" applyBorder="1" applyAlignment="1">
      <alignment horizontal="center" vertical="center"/>
    </xf>
    <xf numFmtId="174" fontId="1" fillId="2" borderId="24" xfId="0" applyNumberFormat="1" applyFont="1" applyFill="1" applyBorder="1" applyAlignment="1">
      <alignment horizontal="center" vertical="center"/>
    </xf>
    <xf numFmtId="0" fontId="1" fillId="2" borderId="0" xfId="0" applyFont="1" applyFill="1" applyAlignment="1" applyProtection="1">
      <alignment horizontal="center" vertical="center"/>
      <protection locked="0"/>
    </xf>
    <xf numFmtId="0" fontId="1" fillId="2" borderId="0" xfId="0" applyFont="1" applyFill="1" applyAlignment="1">
      <alignment horizontal="left" vertical="center"/>
    </xf>
    <xf numFmtId="0" fontId="1" fillId="2" borderId="0" xfId="0" applyFont="1" applyFill="1" applyAlignment="1">
      <alignment horizontal="center" vertical="center"/>
    </xf>
    <xf numFmtId="169" fontId="1" fillId="2" borderId="17" xfId="0" applyNumberFormat="1" applyFont="1" applyFill="1" applyBorder="1" applyAlignment="1">
      <alignment horizontal="left" vertical="center"/>
    </xf>
    <xf numFmtId="0" fontId="1" fillId="2" borderId="86" xfId="0" applyFont="1" applyFill="1" applyBorder="1" applyAlignment="1">
      <alignment horizontal="left" vertical="center"/>
    </xf>
    <xf numFmtId="0" fontId="1" fillId="2" borderId="18" xfId="0" applyFont="1" applyFill="1" applyBorder="1" applyAlignment="1">
      <alignment vertical="center"/>
    </xf>
    <xf numFmtId="169" fontId="1" fillId="2" borderId="18" xfId="0" applyNumberFormat="1" applyFont="1" applyFill="1" applyBorder="1" applyAlignment="1">
      <alignment horizontal="left" vertical="center"/>
    </xf>
    <xf numFmtId="0" fontId="1" fillId="2" borderId="18" xfId="0" applyFont="1" applyFill="1" applyBorder="1" applyAlignment="1">
      <alignment horizontal="left" vertical="center"/>
    </xf>
    <xf numFmtId="0" fontId="1" fillId="2" borderId="17" xfId="0" applyFont="1" applyFill="1" applyBorder="1" applyAlignment="1">
      <alignment vertical="center"/>
    </xf>
    <xf numFmtId="183" fontId="1" fillId="0" borderId="80" xfId="0" applyNumberFormat="1" applyFont="1" applyBorder="1" applyAlignment="1" applyProtection="1">
      <alignment horizontal="center" vertical="center"/>
      <protection locked="0"/>
    </xf>
    <xf numFmtId="169" fontId="1" fillId="0" borderId="0" xfId="0" applyNumberFormat="1" applyFont="1" applyAlignment="1" applyProtection="1">
      <alignment horizontal="center" vertical="center"/>
      <protection locked="0"/>
    </xf>
    <xf numFmtId="169" fontId="1" fillId="0" borderId="80" xfId="0" applyNumberFormat="1" applyFont="1" applyBorder="1" applyAlignment="1" applyProtection="1">
      <alignment horizontal="center" vertical="center"/>
      <protection locked="0"/>
    </xf>
    <xf numFmtId="169" fontId="1" fillId="0" borderId="1" xfId="0" applyNumberFormat="1" applyFont="1" applyBorder="1" applyAlignment="1" applyProtection="1">
      <alignment horizontal="center" vertical="center"/>
      <protection locked="0"/>
    </xf>
    <xf numFmtId="169" fontId="1" fillId="0" borderId="0" xfId="0" applyNumberFormat="1" applyFont="1" applyAlignment="1" applyProtection="1">
      <alignment vertical="center"/>
      <protection locked="0"/>
    </xf>
    <xf numFmtId="0" fontId="1" fillId="0" borderId="0" xfId="0" applyFont="1" applyAlignment="1" applyProtection="1">
      <alignment vertical="center"/>
      <protection locked="0"/>
    </xf>
    <xf numFmtId="0" fontId="1" fillId="0" borderId="0" xfId="0" applyFont="1" applyProtection="1">
      <protection locked="0"/>
    </xf>
    <xf numFmtId="0" fontId="1" fillId="0" borderId="0" xfId="0" applyFont="1" applyAlignment="1" applyProtection="1">
      <alignment horizontal="center"/>
      <protection locked="0"/>
    </xf>
    <xf numFmtId="0" fontId="1" fillId="0" borderId="15" xfId="0" applyFont="1" applyBorder="1" applyAlignment="1" applyProtection="1">
      <alignment horizontal="center" vertical="center"/>
      <protection locked="0"/>
    </xf>
    <xf numFmtId="0" fontId="1" fillId="0" borderId="18"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170" fontId="1" fillId="0" borderId="0" xfId="0" applyNumberFormat="1" applyFont="1" applyAlignment="1" applyProtection="1">
      <alignment horizontal="center"/>
      <protection locked="0"/>
    </xf>
    <xf numFmtId="10" fontId="1" fillId="0" borderId="0" xfId="0" applyNumberFormat="1" applyFont="1" applyAlignment="1" applyProtection="1">
      <alignment horizontal="center"/>
      <protection locked="0"/>
    </xf>
    <xf numFmtId="49" fontId="1" fillId="0" borderId="0" xfId="0" applyNumberFormat="1" applyFont="1" applyAlignment="1" applyProtection="1">
      <alignment horizontal="center"/>
      <protection locked="0"/>
    </xf>
    <xf numFmtId="2" fontId="1" fillId="0" borderId="15" xfId="0" applyNumberFormat="1" applyFont="1" applyBorder="1" applyAlignment="1" applyProtection="1">
      <alignment horizontal="center" vertical="center"/>
      <protection locked="0"/>
    </xf>
    <xf numFmtId="2" fontId="1" fillId="0" borderId="18" xfId="0" applyNumberFormat="1" applyFont="1" applyBorder="1" applyAlignment="1" applyProtection="1">
      <alignment horizontal="center" vertical="center"/>
      <protection locked="0"/>
    </xf>
    <xf numFmtId="0" fontId="1" fillId="0" borderId="18" xfId="0" applyFont="1" applyBorder="1" applyAlignment="1" applyProtection="1">
      <alignment vertical="center"/>
      <protection locked="0"/>
    </xf>
    <xf numFmtId="0" fontId="1" fillId="0" borderId="24" xfId="0" applyFont="1" applyBorder="1" applyAlignment="1" applyProtection="1">
      <alignment vertical="center"/>
      <protection locked="0"/>
    </xf>
    <xf numFmtId="0" fontId="1" fillId="0" borderId="31" xfId="0" applyFont="1" applyBorder="1" applyAlignment="1" applyProtection="1">
      <alignment horizontal="center" vertical="center"/>
      <protection locked="0"/>
    </xf>
    <xf numFmtId="0" fontId="1" fillId="0" borderId="67" xfId="0" applyFont="1" applyBorder="1" applyAlignment="1" applyProtection="1">
      <alignment vertical="center"/>
      <protection locked="0"/>
    </xf>
    <xf numFmtId="0" fontId="1" fillId="0" borderId="79" xfId="0" applyFont="1" applyBorder="1" applyAlignment="1" applyProtection="1">
      <alignment vertical="center"/>
      <protection locked="0"/>
    </xf>
    <xf numFmtId="0" fontId="1" fillId="0" borderId="68" xfId="0" applyFont="1" applyBorder="1" applyAlignment="1" applyProtection="1">
      <alignment vertical="center"/>
      <protection locked="0"/>
    </xf>
    <xf numFmtId="2" fontId="1" fillId="0" borderId="15" xfId="1" applyNumberFormat="1" applyFont="1" applyBorder="1" applyAlignment="1" applyProtection="1">
      <alignment horizontal="center" vertical="center"/>
      <protection locked="0"/>
    </xf>
    <xf numFmtId="2" fontId="1" fillId="0" borderId="18" xfId="1" applyNumberFormat="1" applyFont="1" applyBorder="1" applyAlignment="1" applyProtection="1">
      <alignment horizontal="center" vertical="center"/>
      <protection locked="0"/>
    </xf>
    <xf numFmtId="167" fontId="1" fillId="0" borderId="0" xfId="1" applyFont="1" applyProtection="1">
      <protection locked="0"/>
    </xf>
    <xf numFmtId="172" fontId="1" fillId="0" borderId="1" xfId="0" applyNumberFormat="1" applyFont="1" applyBorder="1" applyAlignment="1" applyProtection="1">
      <alignment horizontal="center" vertical="center"/>
      <protection locked="0"/>
    </xf>
    <xf numFmtId="0" fontId="1" fillId="0" borderId="15"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0" fontId="1" fillId="0" borderId="33" xfId="0" applyFont="1" applyBorder="1" applyProtection="1">
      <protection locked="0"/>
    </xf>
    <xf numFmtId="0" fontId="1" fillId="0" borderId="32" xfId="0" applyFont="1" applyBorder="1" applyProtection="1">
      <protection locked="0"/>
    </xf>
    <xf numFmtId="0" fontId="1" fillId="0" borderId="34" xfId="0" applyFont="1" applyBorder="1" applyProtection="1">
      <protection locked="0"/>
    </xf>
    <xf numFmtId="0" fontId="1" fillId="0" borderId="8" xfId="0" applyFont="1" applyBorder="1" applyAlignment="1" applyProtection="1">
      <alignment vertical="center"/>
      <protection locked="0"/>
    </xf>
    <xf numFmtId="171" fontId="1" fillId="0" borderId="19" xfId="0" applyNumberFormat="1" applyFont="1" applyBorder="1" applyAlignment="1" applyProtection="1">
      <alignment horizontal="left" vertical="center"/>
      <protection locked="0"/>
    </xf>
    <xf numFmtId="0" fontId="1" fillId="0" borderId="37" xfId="0" applyFont="1" applyBorder="1" applyAlignment="1" applyProtection="1">
      <alignment vertical="center"/>
      <protection locked="0"/>
    </xf>
    <xf numFmtId="0" fontId="1" fillId="0" borderId="27" xfId="0" applyFont="1" applyBorder="1" applyProtection="1">
      <protection locked="0"/>
    </xf>
    <xf numFmtId="0" fontId="1" fillId="0" borderId="0" xfId="0" applyFont="1" applyAlignment="1" applyProtection="1">
      <alignment horizontal="left"/>
      <protection locked="0"/>
    </xf>
    <xf numFmtId="0" fontId="1" fillId="0" borderId="18" xfId="0" applyFont="1" applyBorder="1" applyProtection="1">
      <protection locked="0"/>
    </xf>
    <xf numFmtId="0" fontId="1" fillId="0" borderId="22" xfId="0" applyFont="1" applyBorder="1" applyProtection="1">
      <protection locked="0"/>
    </xf>
    <xf numFmtId="173" fontId="1" fillId="0" borderId="5" xfId="0" applyNumberFormat="1" applyFont="1" applyBorder="1" applyAlignment="1" applyProtection="1">
      <alignment horizontal="center" vertical="center"/>
      <protection locked="0"/>
    </xf>
    <xf numFmtId="173" fontId="1" fillId="0" borderId="46" xfId="0" applyNumberFormat="1" applyFont="1" applyBorder="1" applyAlignment="1" applyProtection="1">
      <alignment horizontal="center" vertical="center"/>
      <protection locked="0"/>
    </xf>
    <xf numFmtId="0" fontId="1" fillId="0" borderId="19" xfId="0" applyFont="1" applyBorder="1" applyAlignment="1" applyProtection="1">
      <alignment horizontal="center"/>
      <protection locked="0"/>
    </xf>
    <xf numFmtId="0" fontId="1" fillId="0" borderId="11" xfId="0" applyFont="1" applyBorder="1" applyAlignment="1" applyProtection="1">
      <alignment horizontal="center" vertical="center"/>
      <protection locked="0"/>
    </xf>
    <xf numFmtId="171" fontId="1" fillId="0" borderId="45" xfId="0" applyNumberFormat="1" applyFont="1" applyBorder="1" applyAlignment="1" applyProtection="1">
      <alignment horizontal="left" vertical="center"/>
      <protection locked="0"/>
    </xf>
    <xf numFmtId="171" fontId="1" fillId="0" borderId="8" xfId="0" applyNumberFormat="1" applyFont="1" applyBorder="1" applyAlignment="1" applyProtection="1">
      <alignment horizontal="left" vertical="center"/>
      <protection locked="0"/>
    </xf>
    <xf numFmtId="0" fontId="1" fillId="0" borderId="9" xfId="0" applyFont="1" applyBorder="1" applyAlignment="1" applyProtection="1">
      <alignment vertical="center"/>
      <protection locked="0"/>
    </xf>
    <xf numFmtId="0" fontId="1" fillId="0" borderId="19" xfId="0" applyFont="1" applyBorder="1" applyProtection="1">
      <protection locked="0"/>
    </xf>
    <xf numFmtId="171" fontId="1" fillId="0" borderId="0" xfId="0" applyNumberFormat="1" applyFont="1" applyAlignment="1" applyProtection="1">
      <alignment horizontal="left" vertical="center"/>
      <protection locked="0"/>
    </xf>
    <xf numFmtId="0" fontId="1" fillId="0" borderId="26" xfId="0" applyFont="1" applyBorder="1" applyProtection="1">
      <protection locked="0"/>
    </xf>
    <xf numFmtId="0" fontId="1" fillId="0" borderId="5" xfId="0" applyFont="1" applyBorder="1" applyAlignment="1" applyProtection="1">
      <alignment horizontal="center" vertical="center"/>
      <protection locked="0"/>
    </xf>
    <xf numFmtId="10" fontId="1" fillId="0" borderId="5" xfId="0" applyNumberFormat="1" applyFont="1" applyBorder="1" applyAlignment="1" applyProtection="1">
      <alignment horizontal="center" vertical="center"/>
      <protection locked="0"/>
    </xf>
    <xf numFmtId="0" fontId="1" fillId="0" borderId="8" xfId="0" applyFont="1" applyBorder="1" applyProtection="1">
      <protection locked="0"/>
    </xf>
    <xf numFmtId="0" fontId="1" fillId="0" borderId="37" xfId="0" applyFont="1" applyBorder="1" applyProtection="1">
      <protection locked="0"/>
    </xf>
    <xf numFmtId="9" fontId="1" fillId="0" borderId="87" xfId="0" applyNumberFormat="1" applyFont="1" applyBorder="1" applyAlignment="1" applyProtection="1">
      <alignment horizontal="center" vertical="center"/>
      <protection locked="0"/>
    </xf>
    <xf numFmtId="0" fontId="1" fillId="0" borderId="0" xfId="0" applyFont="1" applyAlignment="1" applyProtection="1">
      <alignment horizontal="left" vertical="center"/>
      <protection locked="0"/>
    </xf>
    <xf numFmtId="171" fontId="1" fillId="0" borderId="41" xfId="1" applyNumberFormat="1" applyFont="1" applyBorder="1" applyAlignment="1" applyProtection="1">
      <alignment horizontal="center" vertical="center"/>
      <protection locked="0"/>
    </xf>
    <xf numFmtId="171" fontId="1" fillId="0" borderId="36" xfId="0" applyNumberFormat="1" applyFont="1" applyBorder="1" applyAlignment="1" applyProtection="1">
      <alignment horizontal="center" vertical="center"/>
      <protection locked="0"/>
    </xf>
    <xf numFmtId="171" fontId="1" fillId="0" borderId="19" xfId="0" applyNumberFormat="1" applyFont="1" applyBorder="1" applyAlignment="1" applyProtection="1">
      <alignment horizontal="center" vertical="center"/>
      <protection locked="0"/>
    </xf>
    <xf numFmtId="171" fontId="1" fillId="0" borderId="37" xfId="0" applyNumberFormat="1" applyFont="1" applyBorder="1" applyAlignment="1" applyProtection="1">
      <alignment horizontal="center" vertical="center"/>
      <protection locked="0"/>
    </xf>
    <xf numFmtId="171" fontId="1" fillId="0" borderId="5" xfId="1" applyNumberFormat="1" applyFont="1" applyBorder="1" applyAlignment="1" applyProtection="1">
      <alignment horizontal="center" vertical="center"/>
      <protection locked="0"/>
    </xf>
    <xf numFmtId="171" fontId="1" fillId="0" borderId="7" xfId="0" applyNumberFormat="1" applyFont="1" applyBorder="1" applyAlignment="1" applyProtection="1">
      <alignment horizontal="center" vertical="center"/>
      <protection locked="0"/>
    </xf>
    <xf numFmtId="171" fontId="1" fillId="0" borderId="8" xfId="0" applyNumberFormat="1" applyFont="1" applyBorder="1" applyAlignment="1" applyProtection="1">
      <alignment horizontal="center" vertical="center"/>
      <protection locked="0"/>
    </xf>
    <xf numFmtId="171" fontId="1" fillId="0" borderId="9" xfId="0" applyNumberFormat="1" applyFont="1" applyBorder="1" applyAlignment="1" applyProtection="1">
      <alignment horizontal="center" vertical="center"/>
      <protection locked="0"/>
    </xf>
    <xf numFmtId="186" fontId="1" fillId="0" borderId="5" xfId="1" applyNumberFormat="1" applyFont="1" applyBorder="1" applyAlignment="1" applyProtection="1">
      <alignment horizontal="center" vertical="center"/>
      <protection locked="0"/>
    </xf>
    <xf numFmtId="0" fontId="1" fillId="0" borderId="0" xfId="0" applyFont="1" applyAlignment="1" applyProtection="1">
      <alignment horizontal="right"/>
      <protection locked="0"/>
    </xf>
    <xf numFmtId="0" fontId="1" fillId="0" borderId="20" xfId="0" applyFont="1" applyBorder="1" applyAlignment="1" applyProtection="1">
      <alignment horizontal="center" vertical="center" wrapText="1"/>
      <protection locked="0"/>
    </xf>
    <xf numFmtId="0" fontId="1" fillId="0" borderId="43" xfId="0" applyFont="1" applyBorder="1" applyAlignment="1" applyProtection="1">
      <alignment horizontal="center" vertical="center" wrapText="1"/>
      <protection locked="0"/>
    </xf>
    <xf numFmtId="0" fontId="1" fillId="0" borderId="70" xfId="0" applyFont="1" applyBorder="1" applyAlignment="1" applyProtection="1">
      <alignment horizontal="center" vertical="center" wrapText="1"/>
      <protection locked="0"/>
    </xf>
    <xf numFmtId="171" fontId="1" fillId="0" borderId="20" xfId="0" applyNumberFormat="1" applyFont="1" applyBorder="1" applyAlignment="1" applyProtection="1">
      <alignment horizontal="center" vertical="center" wrapText="1"/>
      <protection locked="0"/>
    </xf>
    <xf numFmtId="171" fontId="1" fillId="0" borderId="70" xfId="0" applyNumberFormat="1" applyFont="1" applyBorder="1" applyAlignment="1" applyProtection="1">
      <alignment horizontal="center" vertical="center" wrapText="1"/>
      <protection locked="0"/>
    </xf>
    <xf numFmtId="171" fontId="1" fillId="0" borderId="43" xfId="0" applyNumberFormat="1" applyFont="1" applyBorder="1" applyAlignment="1" applyProtection="1">
      <alignment horizontal="center" vertical="center" wrapText="1"/>
      <protection locked="0"/>
    </xf>
    <xf numFmtId="0" fontId="1" fillId="0" borderId="42" xfId="0" applyFont="1" applyBorder="1" applyAlignment="1" applyProtection="1">
      <alignment horizontal="center" vertical="center" wrapText="1"/>
      <protection locked="0"/>
    </xf>
    <xf numFmtId="0" fontId="1" fillId="0" borderId="71" xfId="0" applyFont="1" applyBorder="1" applyAlignment="1" applyProtection="1">
      <alignment horizontal="center" vertical="center" wrapText="1"/>
      <protection locked="0"/>
    </xf>
    <xf numFmtId="0" fontId="1" fillId="0" borderId="17" xfId="0" applyFont="1" applyBorder="1" applyAlignment="1" applyProtection="1">
      <alignment horizontal="center" vertical="center" wrapText="1"/>
      <protection locked="0"/>
    </xf>
    <xf numFmtId="171" fontId="1" fillId="0" borderId="42" xfId="0" applyNumberFormat="1" applyFont="1" applyBorder="1" applyAlignment="1" applyProtection="1">
      <alignment horizontal="center" vertical="center" wrapText="1"/>
      <protection locked="0"/>
    </xf>
    <xf numFmtId="171" fontId="1" fillId="0" borderId="17" xfId="0" applyNumberFormat="1" applyFont="1" applyBorder="1" applyAlignment="1" applyProtection="1">
      <alignment horizontal="center" vertical="center" wrapText="1"/>
      <protection locked="0"/>
    </xf>
    <xf numFmtId="171" fontId="1" fillId="0" borderId="71" xfId="0" applyNumberFormat="1" applyFont="1" applyBorder="1" applyAlignment="1" applyProtection="1">
      <alignment horizontal="center" vertical="center" wrapText="1"/>
      <protection locked="0"/>
    </xf>
    <xf numFmtId="167" fontId="1" fillId="0" borderId="17" xfId="1" applyFont="1" applyBorder="1" applyAlignment="1" applyProtection="1">
      <alignment horizontal="center"/>
      <protection locked="0"/>
    </xf>
    <xf numFmtId="167" fontId="1" fillId="0" borderId="0" xfId="1" applyFont="1" applyBorder="1" applyAlignment="1" applyProtection="1">
      <protection locked="0"/>
    </xf>
    <xf numFmtId="0" fontId="1" fillId="0" borderId="17" xfId="0" applyFont="1" applyBorder="1" applyProtection="1">
      <protection locked="0"/>
    </xf>
    <xf numFmtId="0" fontId="1" fillId="0" borderId="18" xfId="0" applyFont="1" applyBorder="1" applyAlignment="1" applyProtection="1">
      <alignment horizontal="center"/>
      <protection locked="0"/>
    </xf>
  </cellXfs>
  <cellStyles count="32">
    <cellStyle name="Comma" xfId="1" builtinId="3"/>
    <cellStyle name="Comma 2" xfId="6" xr:uid="{00000000-0005-0000-0000-000001000000}"/>
    <cellStyle name="Comma 2 2" xfId="11" xr:uid="{00000000-0005-0000-0000-000002000000}"/>
    <cellStyle name="Comma 2 2 2" xfId="19" xr:uid="{00000000-0005-0000-0000-000002000000}"/>
    <cellStyle name="Comma 2 3" xfId="16" xr:uid="{00000000-0005-0000-0000-000001000000}"/>
    <cellStyle name="Comma 3" xfId="9" xr:uid="{00000000-0005-0000-0000-000003000000}"/>
    <cellStyle name="Comma 3 2" xfId="18" xr:uid="{00000000-0005-0000-0000-000003000000}"/>
    <cellStyle name="Comma 3 3" xfId="26" xr:uid="{B6C22E7C-53CE-4EF9-B1DC-D81132EACA5B}"/>
    <cellStyle name="Comma 4" xfId="13" xr:uid="{00000000-0005-0000-0000-000038000000}"/>
    <cellStyle name="Comma 4 2" xfId="31" xr:uid="{82D31CFA-04DB-4B05-A7C4-EB07EFDBB6D1}"/>
    <cellStyle name="Comma 6" xfId="8" xr:uid="{00000000-0005-0000-0000-000004000000}"/>
    <cellStyle name="Comma 6 2" xfId="17" xr:uid="{00000000-0005-0000-0000-000004000000}"/>
    <cellStyle name="Comma 7" xfId="4" xr:uid="{00000000-0005-0000-0000-000005000000}"/>
    <cellStyle name="Comma 7 2" xfId="14" xr:uid="{00000000-0005-0000-0000-000005000000}"/>
    <cellStyle name="Comma 7 2 10" xfId="21" xr:uid="{AB81A98D-0AD0-4900-8190-F1A7165DFD99}"/>
    <cellStyle name="Comma 7 2 12" xfId="20" xr:uid="{EEA3E0C7-DD6B-4303-A309-123DA489D9BE}"/>
    <cellStyle name="Comma 8 9" xfId="22" xr:uid="{4EAC4D63-36DC-4188-A476-4BABAE4B0CBA}"/>
    <cellStyle name="Currency" xfId="5" builtinId="4"/>
    <cellStyle name="Currency 2" xfId="15" xr:uid="{00000000-0005-0000-0000-00003E000000}"/>
    <cellStyle name="Currency 2 3" xfId="12" xr:uid="{00000000-0005-0000-0000-000007000000}"/>
    <cellStyle name="Hyperlink 3" xfId="24" xr:uid="{BE27F2D0-0E5C-410E-BEEE-FCAA6FC623D1}"/>
    <cellStyle name="Normal" xfId="0" builtinId="0"/>
    <cellStyle name="Normal 2" xfId="3" xr:uid="{00000000-0005-0000-0000-000009000000}"/>
    <cellStyle name="Normal 2 2" xfId="10" xr:uid="{00000000-0005-0000-0000-00000A000000}"/>
    <cellStyle name="Normal 3" xfId="7" xr:uid="{00000000-0005-0000-0000-00000B000000}"/>
    <cellStyle name="Normal 3 2" xfId="28" xr:uid="{F7E20262-209F-455E-AAF7-AA2F71731B46}"/>
    <cellStyle name="Normal 4" xfId="29" xr:uid="{ADE64598-C566-41DE-BC50-8CEDA9EC9528}"/>
    <cellStyle name="Normal 5" xfId="30" xr:uid="{9896D190-3D5D-4176-9B11-441F81F3178B}"/>
    <cellStyle name="Percent" xfId="2" builtinId="5"/>
    <cellStyle name="Percent 2" xfId="23" xr:uid="{8E8A6A46-4A10-4DC3-912E-CE036E7F5337}"/>
    <cellStyle name="Percent 3" xfId="25" xr:uid="{66EC7AA3-1391-43AC-8F0B-12F98F5B234D}"/>
    <cellStyle name="Percent 4" xfId="27" xr:uid="{813E00E9-32D7-477D-B28C-2073288FC6A1}"/>
  </cellStyles>
  <dxfs count="6">
    <dxf>
      <font>
        <condense val="0"/>
        <extend val="0"/>
        <color auto="1"/>
      </font>
      <fill>
        <patternFill>
          <bgColor indexed="26"/>
        </patternFill>
      </fill>
    </dxf>
    <dxf>
      <font>
        <condense val="0"/>
        <extend val="0"/>
        <color auto="1"/>
      </font>
      <fill>
        <patternFill patternType="solid">
          <bgColor indexed="26"/>
        </patternFill>
      </fill>
      <border>
        <left/>
        <right/>
        <top/>
        <bottom style="thin">
          <color indexed="22"/>
        </bottom>
      </border>
    </dxf>
    <dxf>
      <font>
        <condense val="0"/>
        <extend val="0"/>
        <color auto="1"/>
      </font>
      <fill>
        <patternFill patternType="solid">
          <bgColor indexed="9"/>
        </patternFill>
      </fill>
      <border>
        <left/>
        <right/>
        <top/>
        <bottom style="thin">
          <color indexed="22"/>
        </bottom>
      </border>
    </dxf>
    <dxf>
      <font>
        <condense val="0"/>
        <extend val="0"/>
        <color indexed="9"/>
      </font>
      <fill>
        <patternFill patternType="solid">
          <bgColor indexed="9"/>
        </patternFill>
      </fill>
    </dxf>
    <dxf>
      <font>
        <condense val="0"/>
        <extend val="0"/>
        <color auto="1"/>
      </font>
      <fill>
        <patternFill>
          <bgColor indexed="26"/>
        </patternFill>
      </fill>
    </dxf>
    <dxf>
      <font>
        <condense val="0"/>
        <extend val="0"/>
        <color auto="1"/>
      </font>
      <fill>
        <patternFill patternType="solid">
          <bgColor indexed="26"/>
        </patternFill>
      </fill>
      <border>
        <left/>
        <right/>
        <top/>
        <bottom style="thin">
          <color indexed="22"/>
        </bottom>
      </border>
    </dxf>
  </dxfs>
  <tableStyles count="0" defaultTableStyle="TableStyleMedium2" defaultPivotStyle="PivotStyleLight16"/>
  <colors>
    <mruColors>
      <color rgb="FF008000"/>
      <color rgb="FF33CC33"/>
      <color rgb="FFDBE5F1"/>
      <color rgb="FF006600"/>
      <color rgb="FF009900"/>
      <color rgb="FFFFFF99"/>
      <color rgb="FF6666FF"/>
      <color rgb="FFFFFF66"/>
      <color rgb="FFEAF0F6"/>
      <color rgb="FFF4F7F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theme" Target="theme/theme1.xml"/><Relationship Id="rId21" Type="http://schemas.openxmlformats.org/officeDocument/2006/relationships/worksheet" Target="worksheets/sheet21.xml"/><Relationship Id="rId34" Type="http://schemas.openxmlformats.org/officeDocument/2006/relationships/externalLink" Target="externalLinks/externalLink5.xml"/><Relationship Id="rId42"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3.xml"/><Relationship Id="rId37" Type="http://schemas.openxmlformats.org/officeDocument/2006/relationships/externalLink" Target="externalLinks/externalLink8.xml"/><Relationship Id="rId40" Type="http://schemas.openxmlformats.org/officeDocument/2006/relationships/styles" Target="styles.xml"/><Relationship Id="rId45"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7.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4"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externalLink" Target="externalLinks/externalLink6.xml"/><Relationship Id="rId43" Type="http://schemas.openxmlformats.org/officeDocument/2006/relationships/customXml" Target="../customXml/item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4.xml"/><Relationship Id="rId38" Type="http://schemas.openxmlformats.org/officeDocument/2006/relationships/externalLink" Target="externalLinks/externalLink9.xml"/><Relationship Id="rId20" Type="http://schemas.openxmlformats.org/officeDocument/2006/relationships/worksheet" Target="worksheets/sheet20.xml"/><Relationship Id="rId41"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checked="Checked"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checked="Checked"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ctrlProps/ctrlProp76.xml><?xml version="1.0" encoding="utf-8"?>
<formControlPr xmlns="http://schemas.microsoft.com/office/spreadsheetml/2009/9/main" objectType="CheckBox" lockText="1" noThreeD="1"/>
</file>

<file path=xl/ctrlProps/ctrlProp77.xml><?xml version="1.0" encoding="utf-8"?>
<formControlPr xmlns="http://schemas.microsoft.com/office/spreadsheetml/2009/9/main" objectType="CheckBox" lockText="1" noThreeD="1"/>
</file>

<file path=xl/ctrlProps/ctrlProp78.xml><?xml version="1.0" encoding="utf-8"?>
<formControlPr xmlns="http://schemas.microsoft.com/office/spreadsheetml/2009/9/main" objectType="CheckBox" lockText="1" noThreeD="1"/>
</file>

<file path=xl/ctrlProps/ctrlProp79.xml><?xml version="1.0" encoding="utf-8"?>
<formControlPr xmlns="http://schemas.microsoft.com/office/spreadsheetml/2009/9/main" objectType="CheckBox" lockText="1" noThreeD="1"/>
</file>

<file path=xl/ctrlProps/ctrlProp80.xml><?xml version="1.0" encoding="utf-8"?>
<formControlPr xmlns="http://schemas.microsoft.com/office/spreadsheetml/2009/9/main" objectType="CheckBox" checked="Checked" lockText="1" noThreeD="1"/>
</file>

<file path=xl/ctrlProps/ctrlProp81.xml><?xml version="1.0" encoding="utf-8"?>
<formControlPr xmlns="http://schemas.microsoft.com/office/spreadsheetml/2009/9/main" objectType="CheckBox" lockText="1" noThreeD="1"/>
</file>

<file path=xl/ctrlProps/ctrlProp82.xml><?xml version="1.0" encoding="utf-8"?>
<formControlPr xmlns="http://schemas.microsoft.com/office/spreadsheetml/2009/9/main" objectType="CheckBox" lockText="1" noThreeD="1"/>
</file>

<file path=xl/ctrlProps/ctrlProp83.xml><?xml version="1.0" encoding="utf-8"?>
<formControlPr xmlns="http://schemas.microsoft.com/office/spreadsheetml/2009/9/main" objectType="CheckBox" lockText="1" noThreeD="1"/>
</file>

<file path=xl/ctrlProps/ctrlProp84.xml><?xml version="1.0" encoding="utf-8"?>
<formControlPr xmlns="http://schemas.microsoft.com/office/spreadsheetml/2009/9/main" objectType="CheckBox" lockText="1" noThreeD="1"/>
</file>

<file path=xl/ctrlProps/ctrlProp85.xml><?xml version="1.0" encoding="utf-8"?>
<formControlPr xmlns="http://schemas.microsoft.com/office/spreadsheetml/2009/9/main" objectType="CheckBox" lockText="1" noThreeD="1"/>
</file>

<file path=xl/ctrlProps/ctrlProp86.xml><?xml version="1.0" encoding="utf-8"?>
<formControlPr xmlns="http://schemas.microsoft.com/office/spreadsheetml/2009/9/main" objectType="CheckBox" lockText="1" noThreeD="1"/>
</file>

<file path=xl/ctrlProps/ctrlProp87.xml><?xml version="1.0" encoding="utf-8"?>
<formControlPr xmlns="http://schemas.microsoft.com/office/spreadsheetml/2009/9/main" objectType="CheckBox" lockText="1" noThreeD="1"/>
</file>

<file path=xl/ctrlProps/ctrlProp88.xml><?xml version="1.0" encoding="utf-8"?>
<formControlPr xmlns="http://schemas.microsoft.com/office/spreadsheetml/2009/9/main" objectType="CheckBox" lockText="1" noThreeD="1"/>
</file>

<file path=xl/ctrlProps/ctrlProp89.xml><?xml version="1.0" encoding="utf-8"?>
<formControlPr xmlns="http://schemas.microsoft.com/office/spreadsheetml/2009/9/main" objectType="CheckBox" lockText="1" noThreeD="1"/>
</file>

<file path=xl/ctrlProps/ctrlProp90.xml><?xml version="1.0" encoding="utf-8"?>
<formControlPr xmlns="http://schemas.microsoft.com/office/spreadsheetml/2009/9/main" objectType="CheckBox" lockText="1" noThreeD="1"/>
</file>

<file path=xl/ctrlProps/ctrlProp91.xml><?xml version="1.0" encoding="utf-8"?>
<formControlPr xmlns="http://schemas.microsoft.com/office/spreadsheetml/2009/9/main" objectType="CheckBox" lockText="1" noThreeD="1"/>
</file>

<file path=xl/ctrlProps/ctrlProp92.xml><?xml version="1.0" encoding="utf-8"?>
<formControlPr xmlns="http://schemas.microsoft.com/office/spreadsheetml/2009/9/main" objectType="CheckBox" lockText="1" noThreeD="1"/>
</file>

<file path=xl/ctrlProps/ctrlProp93.xml><?xml version="1.0" encoding="utf-8"?>
<formControlPr xmlns="http://schemas.microsoft.com/office/spreadsheetml/2009/9/main" objectType="CheckBox" lockText="1" noThreeD="1"/>
</file>

<file path=xl/ctrlProps/ctrlProp94.xml><?xml version="1.0" encoding="utf-8"?>
<formControlPr xmlns="http://schemas.microsoft.com/office/spreadsheetml/2009/9/main" objectType="CheckBox" lockText="1" noThreeD="1"/>
</file>

<file path=xl/ctrlProps/ctrlProp95.xml><?xml version="1.0" encoding="utf-8"?>
<formControlPr xmlns="http://schemas.microsoft.com/office/spreadsheetml/2009/9/main" objectType="CheckBox" lockText="1" noThreeD="1"/>
</file>

<file path=xl/ctrlProps/ctrlProp96.xml><?xml version="1.0" encoding="utf-8"?>
<formControlPr xmlns="http://schemas.microsoft.com/office/spreadsheetml/2009/9/main" objectType="CheckBox" lockText="1" noThreeD="1"/>
</file>

<file path=xl/ctrlProps/ctrlProp97.xml><?xml version="1.0" encoding="utf-8"?>
<formControlPr xmlns="http://schemas.microsoft.com/office/spreadsheetml/2009/9/main" objectType="CheckBox" lockText="1" noThreeD="1"/>
</file>

<file path=xl/ctrlProps/ctrlProp98.xml><?xml version="1.0" encoding="utf-8"?>
<formControlPr xmlns="http://schemas.microsoft.com/office/spreadsheetml/2009/9/main" objectType="CheckBox" lockText="1" noThreeD="1"/>
</file>

<file path=xl/ctrlProps/ctrlProp99.xml><?xml version="1.0" encoding="utf-8"?>
<formControlPr xmlns="http://schemas.microsoft.com/office/spreadsheetml/2009/9/main" objectType="CheckBox" checked="Checked" lockText="1" noThreeD="1"/>
</file>

<file path=xl/ctrlProps/ctrlProp100.xml><?xml version="1.0" encoding="utf-8"?>
<formControlPr xmlns="http://schemas.microsoft.com/office/spreadsheetml/2009/9/main" objectType="CheckBox" lockText="1" noThreeD="1"/>
</file>

<file path=xl/ctrlProps/ctrlProp101.xml><?xml version="1.0" encoding="utf-8"?>
<formControlPr xmlns="http://schemas.microsoft.com/office/spreadsheetml/2009/9/main" objectType="CheckBox" lockText="1" noThreeD="1"/>
</file>

<file path=xl/ctrlProps/ctrlProp102.xml><?xml version="1.0" encoding="utf-8"?>
<formControlPr xmlns="http://schemas.microsoft.com/office/spreadsheetml/2009/9/main" objectType="CheckBox" lockText="1" noThreeD="1"/>
</file>

<file path=xl/ctrlProps/ctrlProp103.xml><?xml version="1.0" encoding="utf-8"?>
<formControlPr xmlns="http://schemas.microsoft.com/office/spreadsheetml/2009/9/main" objectType="CheckBox" lockText="1" noThreeD="1"/>
</file>

<file path=xl/ctrlProps/ctrlProp104.xml><?xml version="1.0" encoding="utf-8"?>
<formControlPr xmlns="http://schemas.microsoft.com/office/spreadsheetml/2009/9/main" objectType="CheckBox" lockText="1" noThreeD="1"/>
</file>

<file path=xl/ctrlProps/ctrlProp105.xml><?xml version="1.0" encoding="utf-8"?>
<formControlPr xmlns="http://schemas.microsoft.com/office/spreadsheetml/2009/9/main" objectType="CheckBox" lockText="1" noThreeD="1"/>
</file>

<file path=xl/ctrlProps/ctrlProp106.xml><?xml version="1.0" encoding="utf-8"?>
<formControlPr xmlns="http://schemas.microsoft.com/office/spreadsheetml/2009/9/main" objectType="CheckBox" lockText="1" noThreeD="1"/>
</file>

<file path=xl/ctrlProps/ctrlProp107.xml><?xml version="1.0" encoding="utf-8"?>
<formControlPr xmlns="http://schemas.microsoft.com/office/spreadsheetml/2009/9/main" objectType="CheckBox" lockText="1" noThreeD="1"/>
</file>

<file path=xl/ctrlProps/ctrlProp108.xml><?xml version="1.0" encoding="utf-8"?>
<formControlPr xmlns="http://schemas.microsoft.com/office/spreadsheetml/2009/9/main" objectType="CheckBox" lockText="1" noThreeD="1"/>
</file>

<file path=xl/ctrlProps/ctrlProp109.xml><?xml version="1.0" encoding="utf-8"?>
<formControlPr xmlns="http://schemas.microsoft.com/office/spreadsheetml/2009/9/main" objectType="CheckBox" lockText="1" noThreeD="1"/>
</file>

<file path=xl/ctrlProps/ctrlProp110.xml><?xml version="1.0" encoding="utf-8"?>
<formControlPr xmlns="http://schemas.microsoft.com/office/spreadsheetml/2009/9/main" objectType="CheckBox" lockText="1" noThreeD="1"/>
</file>

<file path=xl/ctrlProps/ctrlProp111.xml><?xml version="1.0" encoding="utf-8"?>
<formControlPr xmlns="http://schemas.microsoft.com/office/spreadsheetml/2009/9/main" objectType="CheckBox" lockText="1" noThreeD="1"/>
</file>

<file path=xl/ctrlProps/ctrlProp112.xml><?xml version="1.0" encoding="utf-8"?>
<formControlPr xmlns="http://schemas.microsoft.com/office/spreadsheetml/2009/9/main" objectType="CheckBox" lockText="1" noThreeD="1"/>
</file>

<file path=xl/ctrlProps/ctrlProp113.xml><?xml version="1.0" encoding="utf-8"?>
<formControlPr xmlns="http://schemas.microsoft.com/office/spreadsheetml/2009/9/main" objectType="CheckBox" lockText="1" noThreeD="1"/>
</file>

<file path=xl/ctrlProps/ctrlProp114.xml><?xml version="1.0" encoding="utf-8"?>
<formControlPr xmlns="http://schemas.microsoft.com/office/spreadsheetml/2009/9/main" objectType="CheckBox" lockText="1" noThreeD="1"/>
</file>

<file path=xl/ctrlProps/ctrlProp115.xml><?xml version="1.0" encoding="utf-8"?>
<formControlPr xmlns="http://schemas.microsoft.com/office/spreadsheetml/2009/9/main" objectType="CheckBox" lockText="1" noThreeD="1"/>
</file>

<file path=xl/ctrlProps/ctrlProp116.xml><?xml version="1.0" encoding="utf-8"?>
<formControlPr xmlns="http://schemas.microsoft.com/office/spreadsheetml/2009/9/main" objectType="CheckBox" lockText="1" noThreeD="1"/>
</file>

<file path=xl/ctrlProps/ctrlProp117.xml><?xml version="1.0" encoding="utf-8"?>
<formControlPr xmlns="http://schemas.microsoft.com/office/spreadsheetml/2009/9/main" objectType="CheckBox" lockText="1" noThreeD="1"/>
</file>

<file path=xl/ctrlProps/ctrlProp118.xml><?xml version="1.0" encoding="utf-8"?>
<formControlPr xmlns="http://schemas.microsoft.com/office/spreadsheetml/2009/9/main" objectType="CheckBox" checked="Checked" lockText="1" noThreeD="1"/>
</file>

<file path=xl/ctrlProps/ctrlProp119.xml><?xml version="1.0" encoding="utf-8"?>
<formControlPr xmlns="http://schemas.microsoft.com/office/spreadsheetml/2009/9/main" objectType="CheckBox" lockText="1" noThreeD="1"/>
</file>

<file path=xl/ctrlProps/ctrlProp120.xml><?xml version="1.0" encoding="utf-8"?>
<formControlPr xmlns="http://schemas.microsoft.com/office/spreadsheetml/2009/9/main" objectType="CheckBox" lockText="1" noThreeD="1"/>
</file>

<file path=xl/ctrlProps/ctrlProp121.xml><?xml version="1.0" encoding="utf-8"?>
<formControlPr xmlns="http://schemas.microsoft.com/office/spreadsheetml/2009/9/main" objectType="CheckBox" lockText="1" noThreeD="1"/>
</file>

<file path=xl/ctrlProps/ctrlProp122.xml><?xml version="1.0" encoding="utf-8"?>
<formControlPr xmlns="http://schemas.microsoft.com/office/spreadsheetml/2009/9/main" objectType="CheckBox" lockText="1" noThreeD="1"/>
</file>

<file path=xl/ctrlProps/ctrlProp123.xml><?xml version="1.0" encoding="utf-8"?>
<formControlPr xmlns="http://schemas.microsoft.com/office/spreadsheetml/2009/9/main" objectType="CheckBox" lockText="1" noThreeD="1"/>
</file>

<file path=xl/ctrlProps/ctrlProp124.xml><?xml version="1.0" encoding="utf-8"?>
<formControlPr xmlns="http://schemas.microsoft.com/office/spreadsheetml/2009/9/main" objectType="CheckBox" lockText="1" noThreeD="1"/>
</file>

<file path=xl/ctrlProps/ctrlProp125.xml><?xml version="1.0" encoding="utf-8"?>
<formControlPr xmlns="http://schemas.microsoft.com/office/spreadsheetml/2009/9/main" objectType="CheckBox" lockText="1" noThreeD="1"/>
</file>

<file path=xl/ctrlProps/ctrlProp126.xml><?xml version="1.0" encoding="utf-8"?>
<formControlPr xmlns="http://schemas.microsoft.com/office/spreadsheetml/2009/9/main" objectType="CheckBox" lockText="1" noThreeD="1"/>
</file>

<file path=xl/ctrlProps/ctrlProp127.xml><?xml version="1.0" encoding="utf-8"?>
<formControlPr xmlns="http://schemas.microsoft.com/office/spreadsheetml/2009/9/main" objectType="CheckBox" lockText="1" noThreeD="1"/>
</file>

<file path=xl/ctrlProps/ctrlProp128.xml><?xml version="1.0" encoding="utf-8"?>
<formControlPr xmlns="http://schemas.microsoft.com/office/spreadsheetml/2009/9/main" objectType="CheckBox" lockText="1" noThreeD="1"/>
</file>

<file path=xl/ctrlProps/ctrlProp129.xml><?xml version="1.0" encoding="utf-8"?>
<formControlPr xmlns="http://schemas.microsoft.com/office/spreadsheetml/2009/9/main" objectType="CheckBox" lockText="1" noThreeD="1"/>
</file>

<file path=xl/ctrlProps/ctrlProp130.xml><?xml version="1.0" encoding="utf-8"?>
<formControlPr xmlns="http://schemas.microsoft.com/office/spreadsheetml/2009/9/main" objectType="CheckBox" lockText="1" noThreeD="1"/>
</file>

<file path=xl/ctrlProps/ctrlProp131.xml><?xml version="1.0" encoding="utf-8"?>
<formControlPr xmlns="http://schemas.microsoft.com/office/spreadsheetml/2009/9/main" objectType="CheckBox" lockText="1" noThreeD="1"/>
</file>

<file path=xl/ctrlProps/ctrlProp132.xml><?xml version="1.0" encoding="utf-8"?>
<formControlPr xmlns="http://schemas.microsoft.com/office/spreadsheetml/2009/9/main" objectType="CheckBox" lockText="1" noThreeD="1"/>
</file>

<file path=xl/ctrlProps/ctrlProp133.xml><?xml version="1.0" encoding="utf-8"?>
<formControlPr xmlns="http://schemas.microsoft.com/office/spreadsheetml/2009/9/main" objectType="CheckBox" lockText="1" noThreeD="1"/>
</file>

<file path=xl/ctrlProps/ctrlProp134.xml><?xml version="1.0" encoding="utf-8"?>
<formControlPr xmlns="http://schemas.microsoft.com/office/spreadsheetml/2009/9/main" objectType="CheckBox" lockText="1" noThreeD="1"/>
</file>

<file path=xl/ctrlProps/ctrlProp135.xml><?xml version="1.0" encoding="utf-8"?>
<formControlPr xmlns="http://schemas.microsoft.com/office/spreadsheetml/2009/9/main" objectType="CheckBox" lockText="1" noThreeD="1"/>
</file>

<file path=xl/ctrlProps/ctrlProp136.xml><?xml version="1.0" encoding="utf-8"?>
<formControlPr xmlns="http://schemas.microsoft.com/office/spreadsheetml/2009/9/main" objectType="CheckBox" lockText="1" noThreeD="1"/>
</file>

<file path=xl/ctrlProps/ctrlProp137.xml><?xml version="1.0" encoding="utf-8"?>
<formControlPr xmlns="http://schemas.microsoft.com/office/spreadsheetml/2009/9/main" objectType="CheckBox" lockText="1" noThreeD="1"/>
</file>

<file path=xl/ctrlProps/ctrlProp138.xml><?xml version="1.0" encoding="utf-8"?>
<formControlPr xmlns="http://schemas.microsoft.com/office/spreadsheetml/2009/9/main" objectType="CheckBox" lockText="1" noThreeD="1"/>
</file>

<file path=xl/ctrlProps/ctrlProp139.xml><?xml version="1.0" encoding="utf-8"?>
<formControlPr xmlns="http://schemas.microsoft.com/office/spreadsheetml/2009/9/main" objectType="CheckBox" lockText="1" noThreeD="1"/>
</file>

<file path=xl/ctrlProps/ctrlProp140.xml><?xml version="1.0" encoding="utf-8"?>
<formControlPr xmlns="http://schemas.microsoft.com/office/spreadsheetml/2009/9/main" objectType="CheckBox" lockText="1" noThreeD="1"/>
</file>

<file path=xl/ctrlProps/ctrlProp141.xml><?xml version="1.0" encoding="utf-8"?>
<formControlPr xmlns="http://schemas.microsoft.com/office/spreadsheetml/2009/9/main" objectType="CheckBox" lockText="1" noThreeD="1"/>
</file>

<file path=xl/ctrlProps/ctrlProp142.xml><?xml version="1.0" encoding="utf-8"?>
<formControlPr xmlns="http://schemas.microsoft.com/office/spreadsheetml/2009/9/main" objectType="CheckBox" lockText="1" noThreeD="1"/>
</file>

<file path=xl/ctrlProps/ctrlProp143.xml><?xml version="1.0" encoding="utf-8"?>
<formControlPr xmlns="http://schemas.microsoft.com/office/spreadsheetml/2009/9/main" objectType="CheckBox" lockText="1" noThreeD="1"/>
</file>

<file path=xl/ctrlProps/ctrlProp144.xml><?xml version="1.0" encoding="utf-8"?>
<formControlPr xmlns="http://schemas.microsoft.com/office/spreadsheetml/2009/9/main" objectType="CheckBox" lockText="1" noThreeD="1"/>
</file>

<file path=xl/ctrlProps/ctrlProp145.xml><?xml version="1.0" encoding="utf-8"?>
<formControlPr xmlns="http://schemas.microsoft.com/office/spreadsheetml/2009/9/main" objectType="CheckBox" lockText="1" noThreeD="1"/>
</file>

<file path=xl/ctrlProps/ctrlProp146.xml><?xml version="1.0" encoding="utf-8"?>
<formControlPr xmlns="http://schemas.microsoft.com/office/spreadsheetml/2009/9/main" objectType="CheckBox" lockText="1" noThreeD="1"/>
</file>

<file path=xl/ctrlProps/ctrlProp147.xml><?xml version="1.0" encoding="utf-8"?>
<formControlPr xmlns="http://schemas.microsoft.com/office/spreadsheetml/2009/9/main" objectType="CheckBox" lockText="1" noThreeD="1"/>
</file>

<file path=xl/ctrlProps/ctrlProp148.xml><?xml version="1.0" encoding="utf-8"?>
<formControlPr xmlns="http://schemas.microsoft.com/office/spreadsheetml/2009/9/main" objectType="CheckBox" lockText="1" noThreeD="1"/>
</file>

<file path=xl/ctrlProps/ctrlProp149.xml><?xml version="1.0" encoding="utf-8"?>
<formControlPr xmlns="http://schemas.microsoft.com/office/spreadsheetml/2009/9/main" objectType="CheckBox" checked="Checked" lockText="1" noThreeD="1"/>
</file>

<file path=xl/ctrlProps/ctrlProp150.xml><?xml version="1.0" encoding="utf-8"?>
<formControlPr xmlns="http://schemas.microsoft.com/office/spreadsheetml/2009/9/main" objectType="CheckBox" lockText="1" noThreeD="1"/>
</file>

<file path=xl/ctrlProps/ctrlProp151.xml><?xml version="1.0" encoding="utf-8"?>
<formControlPr xmlns="http://schemas.microsoft.com/office/spreadsheetml/2009/9/main" objectType="CheckBox" lockText="1" noThreeD="1"/>
</file>

<file path=xl/ctrlProps/ctrlProp152.xml><?xml version="1.0" encoding="utf-8"?>
<formControlPr xmlns="http://schemas.microsoft.com/office/spreadsheetml/2009/9/main" objectType="CheckBox" lockText="1" noThreeD="1"/>
</file>

<file path=xl/ctrlProps/ctrlProp153.xml><?xml version="1.0" encoding="utf-8"?>
<formControlPr xmlns="http://schemas.microsoft.com/office/spreadsheetml/2009/9/main" objectType="CheckBox" lockText="1" noThreeD="1"/>
</file>

<file path=xl/ctrlProps/ctrlProp154.xml><?xml version="1.0" encoding="utf-8"?>
<formControlPr xmlns="http://schemas.microsoft.com/office/spreadsheetml/2009/9/main" objectType="CheckBox" lockText="1" noThreeD="1"/>
</file>

<file path=xl/ctrlProps/ctrlProp155.xml><?xml version="1.0" encoding="utf-8"?>
<formControlPr xmlns="http://schemas.microsoft.com/office/spreadsheetml/2009/9/main" objectType="CheckBox" lockText="1" noThreeD="1"/>
</file>

<file path=xl/ctrlProps/ctrlProp156.xml><?xml version="1.0" encoding="utf-8"?>
<formControlPr xmlns="http://schemas.microsoft.com/office/spreadsheetml/2009/9/main" objectType="CheckBox" lockText="1" noThreeD="1"/>
</file>

<file path=xl/ctrlProps/ctrlProp157.xml><?xml version="1.0" encoding="utf-8"?>
<formControlPr xmlns="http://schemas.microsoft.com/office/spreadsheetml/2009/9/main" objectType="CheckBox" lockText="1" noThreeD="1"/>
</file>

<file path=xl/ctrlProps/ctrlProp158.xml><?xml version="1.0" encoding="utf-8"?>
<formControlPr xmlns="http://schemas.microsoft.com/office/spreadsheetml/2009/9/main" objectType="CheckBox" lockText="1" noThreeD="1"/>
</file>

<file path=xl/ctrlProps/ctrlProp159.xml><?xml version="1.0" encoding="utf-8"?>
<formControlPr xmlns="http://schemas.microsoft.com/office/spreadsheetml/2009/9/main" objectType="CheckBox" lockText="1" noThreeD="1"/>
</file>

<file path=xl/ctrlProps/ctrlProp160.xml><?xml version="1.0" encoding="utf-8"?>
<formControlPr xmlns="http://schemas.microsoft.com/office/spreadsheetml/2009/9/main" objectType="CheckBox" lockText="1" noThreeD="1"/>
</file>

<file path=xl/ctrlProps/ctrlProp161.xml><?xml version="1.0" encoding="utf-8"?>
<formControlPr xmlns="http://schemas.microsoft.com/office/spreadsheetml/2009/9/main" objectType="CheckBox" lockText="1" noThreeD="1"/>
</file>

<file path=xl/ctrlProps/ctrlProp162.xml><?xml version="1.0" encoding="utf-8"?>
<formControlPr xmlns="http://schemas.microsoft.com/office/spreadsheetml/2009/9/main" objectType="CheckBox" lockText="1" noThreeD="1"/>
</file>

<file path=xl/ctrlProps/ctrlProp163.xml><?xml version="1.0" encoding="utf-8"?>
<formControlPr xmlns="http://schemas.microsoft.com/office/spreadsheetml/2009/9/main" objectType="CheckBox" lockText="1" noThreeD="1"/>
</file>

<file path=xl/ctrlProps/ctrlProp164.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24752</xdr:rowOff>
    </xdr:from>
    <xdr:to>
      <xdr:col>14</xdr:col>
      <xdr:colOff>32470</xdr:colOff>
      <xdr:row>10</xdr:row>
      <xdr:rowOff>139700</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208902"/>
          <a:ext cx="8414470" cy="1772298"/>
        </a:xfrm>
        <a:prstGeom prst="rect">
          <a:avLst/>
        </a:prstGeom>
      </xdr:spPr>
    </xdr:pic>
    <xdr:clientData/>
  </xdr:twoCellAnchor>
  <xdr:twoCellAnchor editAs="oneCell">
    <xdr:from>
      <xdr:col>0</xdr:col>
      <xdr:colOff>0</xdr:colOff>
      <xdr:row>21</xdr:row>
      <xdr:rowOff>146050</xdr:rowOff>
    </xdr:from>
    <xdr:to>
      <xdr:col>20</xdr:col>
      <xdr:colOff>134268</xdr:colOff>
      <xdr:row>39</xdr:row>
      <xdr:rowOff>63581</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0" y="4013200"/>
          <a:ext cx="12173868" cy="32322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218</xdr:col>
      <xdr:colOff>119063</xdr:colOff>
      <xdr:row>0</xdr:row>
      <xdr:rowOff>0</xdr:rowOff>
    </xdr:from>
    <xdr:to>
      <xdr:col>222</xdr:col>
      <xdr:colOff>814568</xdr:colOff>
      <xdr:row>5</xdr:row>
      <xdr:rowOff>320836</xdr:rowOff>
    </xdr:to>
    <xdr:pic>
      <xdr:nvPicPr>
        <xdr:cNvPr id="3" name="Picture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54189313" y="0"/>
          <a:ext cx="4727755" cy="135271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8</xdr:col>
      <xdr:colOff>0</xdr:colOff>
      <xdr:row>18</xdr:row>
      <xdr:rowOff>111125</xdr:rowOff>
    </xdr:from>
    <xdr:to>
      <xdr:col>9</xdr:col>
      <xdr:colOff>285750</xdr:colOff>
      <xdr:row>18</xdr:row>
      <xdr:rowOff>301625</xdr:rowOff>
    </xdr:to>
    <xdr:sp macro="" textlink="">
      <xdr:nvSpPr>
        <xdr:cNvPr id="12" name="TextBox 11">
          <a:extLst>
            <a:ext uri="{FF2B5EF4-FFF2-40B4-BE49-F238E27FC236}">
              <a16:creationId xmlns:a16="http://schemas.microsoft.com/office/drawing/2014/main" id="{00000000-0008-0000-0700-00000C000000}"/>
            </a:ext>
          </a:extLst>
        </xdr:cNvPr>
        <xdr:cNvSpPr txBox="1"/>
      </xdr:nvSpPr>
      <xdr:spPr>
        <a:xfrm>
          <a:off x="3159125" y="2952750"/>
          <a:ext cx="1000125" cy="1905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PH" sz="1100" i="1">
              <a:solidFill>
                <a:srgbClr val="FF0000"/>
              </a:solidFill>
            </a:rPr>
            <a:t>dd/mm/yy</a:t>
          </a:r>
        </a:p>
      </xdr:txBody>
    </xdr:sp>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68609" name="Check Box 1" hidden="1">
              <a:extLst>
                <a:ext uri="{63B3BB69-23CF-44E3-9099-C40C66FF867C}">
                  <a14:compatExt spid="_x0000_s68609"/>
                </a:ext>
                <a:ext uri="{FF2B5EF4-FFF2-40B4-BE49-F238E27FC236}">
                  <a16:creationId xmlns:a16="http://schemas.microsoft.com/office/drawing/2014/main" id="{00000000-0008-0000-0A00-000001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3175</xdr:colOff>
          <xdr:row>36</xdr:row>
          <xdr:rowOff>12700</xdr:rowOff>
        </xdr:to>
        <xdr:sp macro="" textlink="">
          <xdr:nvSpPr>
            <xdr:cNvPr id="68610" name="Check Box 2" hidden="1">
              <a:extLst>
                <a:ext uri="{63B3BB69-23CF-44E3-9099-C40C66FF867C}">
                  <a14:compatExt spid="_x0000_s68610"/>
                </a:ext>
                <a:ext uri="{FF2B5EF4-FFF2-40B4-BE49-F238E27FC236}">
                  <a16:creationId xmlns:a16="http://schemas.microsoft.com/office/drawing/2014/main" id="{00000000-0008-0000-0A00-000002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68611" name="Check Box 3" hidden="1">
              <a:extLst>
                <a:ext uri="{63B3BB69-23CF-44E3-9099-C40C66FF867C}">
                  <a14:compatExt spid="_x0000_s68611"/>
                </a:ext>
                <a:ext uri="{FF2B5EF4-FFF2-40B4-BE49-F238E27FC236}">
                  <a16:creationId xmlns:a16="http://schemas.microsoft.com/office/drawing/2014/main" id="{00000000-0008-0000-0A00-000003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68612" name="Check Box 4" hidden="1">
              <a:extLst>
                <a:ext uri="{63B3BB69-23CF-44E3-9099-C40C66FF867C}">
                  <a14:compatExt spid="_x0000_s68612"/>
                </a:ext>
                <a:ext uri="{FF2B5EF4-FFF2-40B4-BE49-F238E27FC236}">
                  <a16:creationId xmlns:a16="http://schemas.microsoft.com/office/drawing/2014/main" id="{00000000-0008-0000-0A00-000004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68613" name="Check Box 5" hidden="1">
              <a:extLst>
                <a:ext uri="{63B3BB69-23CF-44E3-9099-C40C66FF867C}">
                  <a14:compatExt spid="_x0000_s68613"/>
                </a:ext>
                <a:ext uri="{FF2B5EF4-FFF2-40B4-BE49-F238E27FC236}">
                  <a16:creationId xmlns:a16="http://schemas.microsoft.com/office/drawing/2014/main" id="{00000000-0008-0000-0A00-000005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68614" name="Check Box 6" hidden="1">
              <a:extLst>
                <a:ext uri="{63B3BB69-23CF-44E3-9099-C40C66FF867C}">
                  <a14:compatExt spid="_x0000_s68614"/>
                </a:ext>
                <a:ext uri="{FF2B5EF4-FFF2-40B4-BE49-F238E27FC236}">
                  <a16:creationId xmlns:a16="http://schemas.microsoft.com/office/drawing/2014/main" id="{00000000-0008-0000-0A00-000006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68615" name="Check Box 7" hidden="1">
              <a:extLst>
                <a:ext uri="{63B3BB69-23CF-44E3-9099-C40C66FF867C}">
                  <a14:compatExt spid="_x0000_s68615"/>
                </a:ext>
                <a:ext uri="{FF2B5EF4-FFF2-40B4-BE49-F238E27FC236}">
                  <a16:creationId xmlns:a16="http://schemas.microsoft.com/office/drawing/2014/main" id="{00000000-0008-0000-0A00-000007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68616" name="Check Box 8" hidden="1">
              <a:extLst>
                <a:ext uri="{63B3BB69-23CF-44E3-9099-C40C66FF867C}">
                  <a14:compatExt spid="_x0000_s68616"/>
                </a:ext>
                <a:ext uri="{FF2B5EF4-FFF2-40B4-BE49-F238E27FC236}">
                  <a16:creationId xmlns:a16="http://schemas.microsoft.com/office/drawing/2014/main" id="{00000000-0008-0000-0A00-000008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68617" name="Check Box 9" hidden="1">
              <a:extLst>
                <a:ext uri="{63B3BB69-23CF-44E3-9099-C40C66FF867C}">
                  <a14:compatExt spid="_x0000_s68617"/>
                </a:ext>
                <a:ext uri="{FF2B5EF4-FFF2-40B4-BE49-F238E27FC236}">
                  <a16:creationId xmlns:a16="http://schemas.microsoft.com/office/drawing/2014/main" id="{00000000-0008-0000-0A00-000009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3175</xdr:colOff>
          <xdr:row>89</xdr:row>
          <xdr:rowOff>25400</xdr:rowOff>
        </xdr:to>
        <xdr:sp macro="" textlink="">
          <xdr:nvSpPr>
            <xdr:cNvPr id="68618" name="Check Box 10" hidden="1">
              <a:extLst>
                <a:ext uri="{63B3BB69-23CF-44E3-9099-C40C66FF867C}">
                  <a14:compatExt spid="_x0000_s68618"/>
                </a:ext>
                <a:ext uri="{FF2B5EF4-FFF2-40B4-BE49-F238E27FC236}">
                  <a16:creationId xmlns:a16="http://schemas.microsoft.com/office/drawing/2014/main" id="{00000000-0008-0000-0A00-00000A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68619" name="Check Box 11" hidden="1">
              <a:extLst>
                <a:ext uri="{63B3BB69-23CF-44E3-9099-C40C66FF867C}">
                  <a14:compatExt spid="_x0000_s68619"/>
                </a:ext>
                <a:ext uri="{FF2B5EF4-FFF2-40B4-BE49-F238E27FC236}">
                  <a16:creationId xmlns:a16="http://schemas.microsoft.com/office/drawing/2014/main" id="{00000000-0008-0000-0A00-00000B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68620" name="Check Box 12" hidden="1">
              <a:extLst>
                <a:ext uri="{63B3BB69-23CF-44E3-9099-C40C66FF867C}">
                  <a14:compatExt spid="_x0000_s68620"/>
                </a:ext>
                <a:ext uri="{FF2B5EF4-FFF2-40B4-BE49-F238E27FC236}">
                  <a16:creationId xmlns:a16="http://schemas.microsoft.com/office/drawing/2014/main" id="{00000000-0008-0000-0A00-00000C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0A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68621" name="Check Box 13" hidden="1">
              <a:extLst>
                <a:ext uri="{63B3BB69-23CF-44E3-9099-C40C66FF867C}">
                  <a14:compatExt spid="_x0000_s68621"/>
                </a:ext>
                <a:ext uri="{FF2B5EF4-FFF2-40B4-BE49-F238E27FC236}">
                  <a16:creationId xmlns:a16="http://schemas.microsoft.com/office/drawing/2014/main" id="{00000000-0008-0000-0A00-00000D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68622" name="Check Box 14" hidden="1">
              <a:extLst>
                <a:ext uri="{63B3BB69-23CF-44E3-9099-C40C66FF867C}">
                  <a14:compatExt spid="_x0000_s68622"/>
                </a:ext>
                <a:ext uri="{FF2B5EF4-FFF2-40B4-BE49-F238E27FC236}">
                  <a16:creationId xmlns:a16="http://schemas.microsoft.com/office/drawing/2014/main" id="{00000000-0008-0000-0A00-00000E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68623" name="Check Box 15" hidden="1">
              <a:extLst>
                <a:ext uri="{63B3BB69-23CF-44E3-9099-C40C66FF867C}">
                  <a14:compatExt spid="_x0000_s68623"/>
                </a:ext>
                <a:ext uri="{FF2B5EF4-FFF2-40B4-BE49-F238E27FC236}">
                  <a16:creationId xmlns:a16="http://schemas.microsoft.com/office/drawing/2014/main" id="{00000000-0008-0000-0A00-00000F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68624" name="Check Box 16" hidden="1">
              <a:extLst>
                <a:ext uri="{63B3BB69-23CF-44E3-9099-C40C66FF867C}">
                  <a14:compatExt spid="_x0000_s68624"/>
                </a:ext>
                <a:ext uri="{FF2B5EF4-FFF2-40B4-BE49-F238E27FC236}">
                  <a16:creationId xmlns:a16="http://schemas.microsoft.com/office/drawing/2014/main" id="{00000000-0008-0000-0A00-000010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68625" name="Check Box 17" hidden="1">
              <a:extLst>
                <a:ext uri="{63B3BB69-23CF-44E3-9099-C40C66FF867C}">
                  <a14:compatExt spid="_x0000_s68625"/>
                </a:ext>
                <a:ext uri="{FF2B5EF4-FFF2-40B4-BE49-F238E27FC236}">
                  <a16:creationId xmlns:a16="http://schemas.microsoft.com/office/drawing/2014/main" id="{00000000-0008-0000-0A00-000011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68626" name="Check Box 18" hidden="1">
              <a:extLst>
                <a:ext uri="{63B3BB69-23CF-44E3-9099-C40C66FF867C}">
                  <a14:compatExt spid="_x0000_s68626"/>
                </a:ext>
                <a:ext uri="{FF2B5EF4-FFF2-40B4-BE49-F238E27FC236}">
                  <a16:creationId xmlns:a16="http://schemas.microsoft.com/office/drawing/2014/main" id="{00000000-0008-0000-0A00-000012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68627" name="Check Box 19" hidden="1">
              <a:extLst>
                <a:ext uri="{63B3BB69-23CF-44E3-9099-C40C66FF867C}">
                  <a14:compatExt spid="_x0000_s68627"/>
                </a:ext>
                <a:ext uri="{FF2B5EF4-FFF2-40B4-BE49-F238E27FC236}">
                  <a16:creationId xmlns:a16="http://schemas.microsoft.com/office/drawing/2014/main" id="{00000000-0008-0000-0A00-0000130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0A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69633" name="Check Box 1" hidden="1">
              <a:extLst>
                <a:ext uri="{63B3BB69-23CF-44E3-9099-C40C66FF867C}">
                  <a14:compatExt spid="_x0000_s69633"/>
                </a:ext>
                <a:ext uri="{FF2B5EF4-FFF2-40B4-BE49-F238E27FC236}">
                  <a16:creationId xmlns:a16="http://schemas.microsoft.com/office/drawing/2014/main" id="{00000000-0008-0000-0D00-00000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3175</xdr:colOff>
          <xdr:row>36</xdr:row>
          <xdr:rowOff>12700</xdr:rowOff>
        </xdr:to>
        <xdr:sp macro="" textlink="">
          <xdr:nvSpPr>
            <xdr:cNvPr id="69634" name="Check Box 2" hidden="1">
              <a:extLst>
                <a:ext uri="{63B3BB69-23CF-44E3-9099-C40C66FF867C}">
                  <a14:compatExt spid="_x0000_s69634"/>
                </a:ext>
                <a:ext uri="{FF2B5EF4-FFF2-40B4-BE49-F238E27FC236}">
                  <a16:creationId xmlns:a16="http://schemas.microsoft.com/office/drawing/2014/main" id="{00000000-0008-0000-0D00-00000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69635" name="Check Box 3" hidden="1">
              <a:extLst>
                <a:ext uri="{63B3BB69-23CF-44E3-9099-C40C66FF867C}">
                  <a14:compatExt spid="_x0000_s69635"/>
                </a:ext>
                <a:ext uri="{FF2B5EF4-FFF2-40B4-BE49-F238E27FC236}">
                  <a16:creationId xmlns:a16="http://schemas.microsoft.com/office/drawing/2014/main" id="{00000000-0008-0000-0D00-00000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69636" name="Check Box 4" hidden="1">
              <a:extLst>
                <a:ext uri="{63B3BB69-23CF-44E3-9099-C40C66FF867C}">
                  <a14:compatExt spid="_x0000_s69636"/>
                </a:ext>
                <a:ext uri="{FF2B5EF4-FFF2-40B4-BE49-F238E27FC236}">
                  <a16:creationId xmlns:a16="http://schemas.microsoft.com/office/drawing/2014/main" id="{00000000-0008-0000-0D00-000004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69637" name="Check Box 5" hidden="1">
              <a:extLst>
                <a:ext uri="{63B3BB69-23CF-44E3-9099-C40C66FF867C}">
                  <a14:compatExt spid="_x0000_s69637"/>
                </a:ext>
                <a:ext uri="{FF2B5EF4-FFF2-40B4-BE49-F238E27FC236}">
                  <a16:creationId xmlns:a16="http://schemas.microsoft.com/office/drawing/2014/main" id="{00000000-0008-0000-0D00-000005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69638" name="Check Box 6" hidden="1">
              <a:extLst>
                <a:ext uri="{63B3BB69-23CF-44E3-9099-C40C66FF867C}">
                  <a14:compatExt spid="_x0000_s69638"/>
                </a:ext>
                <a:ext uri="{FF2B5EF4-FFF2-40B4-BE49-F238E27FC236}">
                  <a16:creationId xmlns:a16="http://schemas.microsoft.com/office/drawing/2014/main" id="{00000000-0008-0000-0D00-000006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69639" name="Check Box 7" hidden="1">
              <a:extLst>
                <a:ext uri="{63B3BB69-23CF-44E3-9099-C40C66FF867C}">
                  <a14:compatExt spid="_x0000_s69639"/>
                </a:ext>
                <a:ext uri="{FF2B5EF4-FFF2-40B4-BE49-F238E27FC236}">
                  <a16:creationId xmlns:a16="http://schemas.microsoft.com/office/drawing/2014/main" id="{00000000-0008-0000-0D00-000007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69640" name="Check Box 8" hidden="1">
              <a:extLst>
                <a:ext uri="{63B3BB69-23CF-44E3-9099-C40C66FF867C}">
                  <a14:compatExt spid="_x0000_s69640"/>
                </a:ext>
                <a:ext uri="{FF2B5EF4-FFF2-40B4-BE49-F238E27FC236}">
                  <a16:creationId xmlns:a16="http://schemas.microsoft.com/office/drawing/2014/main" id="{00000000-0008-0000-0D00-000008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69641" name="Check Box 9" hidden="1">
              <a:extLst>
                <a:ext uri="{63B3BB69-23CF-44E3-9099-C40C66FF867C}">
                  <a14:compatExt spid="_x0000_s69641"/>
                </a:ext>
                <a:ext uri="{FF2B5EF4-FFF2-40B4-BE49-F238E27FC236}">
                  <a16:creationId xmlns:a16="http://schemas.microsoft.com/office/drawing/2014/main" id="{00000000-0008-0000-0D00-000009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3175</xdr:colOff>
          <xdr:row>89</xdr:row>
          <xdr:rowOff>25400</xdr:rowOff>
        </xdr:to>
        <xdr:sp macro="" textlink="">
          <xdr:nvSpPr>
            <xdr:cNvPr id="69642" name="Check Box 10" hidden="1">
              <a:extLst>
                <a:ext uri="{63B3BB69-23CF-44E3-9099-C40C66FF867C}">
                  <a14:compatExt spid="_x0000_s69642"/>
                </a:ext>
                <a:ext uri="{FF2B5EF4-FFF2-40B4-BE49-F238E27FC236}">
                  <a16:creationId xmlns:a16="http://schemas.microsoft.com/office/drawing/2014/main" id="{00000000-0008-0000-0D00-00000A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69643" name="Check Box 11" hidden="1">
              <a:extLst>
                <a:ext uri="{63B3BB69-23CF-44E3-9099-C40C66FF867C}">
                  <a14:compatExt spid="_x0000_s69643"/>
                </a:ext>
                <a:ext uri="{FF2B5EF4-FFF2-40B4-BE49-F238E27FC236}">
                  <a16:creationId xmlns:a16="http://schemas.microsoft.com/office/drawing/2014/main" id="{00000000-0008-0000-0D00-00000B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69644" name="Check Box 12" hidden="1">
              <a:extLst>
                <a:ext uri="{63B3BB69-23CF-44E3-9099-C40C66FF867C}">
                  <a14:compatExt spid="_x0000_s69644"/>
                </a:ext>
                <a:ext uri="{FF2B5EF4-FFF2-40B4-BE49-F238E27FC236}">
                  <a16:creationId xmlns:a16="http://schemas.microsoft.com/office/drawing/2014/main" id="{00000000-0008-0000-0D00-00000C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0D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69645" name="Check Box 13" hidden="1">
              <a:extLst>
                <a:ext uri="{63B3BB69-23CF-44E3-9099-C40C66FF867C}">
                  <a14:compatExt spid="_x0000_s69645"/>
                </a:ext>
                <a:ext uri="{FF2B5EF4-FFF2-40B4-BE49-F238E27FC236}">
                  <a16:creationId xmlns:a16="http://schemas.microsoft.com/office/drawing/2014/main" id="{00000000-0008-0000-0D00-00000D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69646" name="Check Box 14" hidden="1">
              <a:extLst>
                <a:ext uri="{63B3BB69-23CF-44E3-9099-C40C66FF867C}">
                  <a14:compatExt spid="_x0000_s69646"/>
                </a:ext>
                <a:ext uri="{FF2B5EF4-FFF2-40B4-BE49-F238E27FC236}">
                  <a16:creationId xmlns:a16="http://schemas.microsoft.com/office/drawing/2014/main" id="{00000000-0008-0000-0D00-00000E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69647" name="Check Box 15" hidden="1">
              <a:extLst>
                <a:ext uri="{63B3BB69-23CF-44E3-9099-C40C66FF867C}">
                  <a14:compatExt spid="_x0000_s69647"/>
                </a:ext>
                <a:ext uri="{FF2B5EF4-FFF2-40B4-BE49-F238E27FC236}">
                  <a16:creationId xmlns:a16="http://schemas.microsoft.com/office/drawing/2014/main" id="{00000000-0008-0000-0D00-00000F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69648" name="Check Box 16" hidden="1">
              <a:extLst>
                <a:ext uri="{63B3BB69-23CF-44E3-9099-C40C66FF867C}">
                  <a14:compatExt spid="_x0000_s69648"/>
                </a:ext>
                <a:ext uri="{FF2B5EF4-FFF2-40B4-BE49-F238E27FC236}">
                  <a16:creationId xmlns:a16="http://schemas.microsoft.com/office/drawing/2014/main" id="{00000000-0008-0000-0D00-000010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69649" name="Check Box 17" hidden="1">
              <a:extLst>
                <a:ext uri="{63B3BB69-23CF-44E3-9099-C40C66FF867C}">
                  <a14:compatExt spid="_x0000_s69649"/>
                </a:ext>
                <a:ext uri="{FF2B5EF4-FFF2-40B4-BE49-F238E27FC236}">
                  <a16:creationId xmlns:a16="http://schemas.microsoft.com/office/drawing/2014/main" id="{00000000-0008-0000-0D00-000011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69650" name="Check Box 18" hidden="1">
              <a:extLst>
                <a:ext uri="{63B3BB69-23CF-44E3-9099-C40C66FF867C}">
                  <a14:compatExt spid="_x0000_s69650"/>
                </a:ext>
                <a:ext uri="{FF2B5EF4-FFF2-40B4-BE49-F238E27FC236}">
                  <a16:creationId xmlns:a16="http://schemas.microsoft.com/office/drawing/2014/main" id="{00000000-0008-0000-0D00-000012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69651" name="Check Box 19" hidden="1">
              <a:extLst>
                <a:ext uri="{63B3BB69-23CF-44E3-9099-C40C66FF867C}">
                  <a14:compatExt spid="_x0000_s69651"/>
                </a:ext>
                <a:ext uri="{FF2B5EF4-FFF2-40B4-BE49-F238E27FC236}">
                  <a16:creationId xmlns:a16="http://schemas.microsoft.com/office/drawing/2014/main" id="{00000000-0008-0000-0D00-0000131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1</xdr:col>
      <xdr:colOff>0</xdr:colOff>
      <xdr:row>102</xdr:row>
      <xdr:rowOff>0</xdr:rowOff>
    </xdr:from>
    <xdr:to>
      <xdr:col>21</xdr:col>
      <xdr:colOff>95251</xdr:colOff>
      <xdr:row>111</xdr:row>
      <xdr:rowOff>57150</xdr:rowOff>
    </xdr:to>
    <xdr:sp macro="" textlink="">
      <xdr:nvSpPr>
        <xdr:cNvPr id="23" name="TextBox 22">
          <a:extLst>
            <a:ext uri="{FF2B5EF4-FFF2-40B4-BE49-F238E27FC236}">
              <a16:creationId xmlns:a16="http://schemas.microsoft.com/office/drawing/2014/main" id="{00000000-0008-0000-0D00-000017000000}"/>
            </a:ext>
          </a:extLst>
        </xdr:cNvPr>
        <xdr:cNvSpPr txBox="1"/>
      </xdr:nvSpPr>
      <xdr:spPr>
        <a:xfrm>
          <a:off x="19050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6.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16397" name="Check Box 13" hidden="1">
              <a:extLst>
                <a:ext uri="{63B3BB69-23CF-44E3-9099-C40C66FF867C}">
                  <a14:compatExt spid="_x0000_s16397"/>
                </a:ext>
                <a:ext uri="{FF2B5EF4-FFF2-40B4-BE49-F238E27FC236}">
                  <a16:creationId xmlns:a16="http://schemas.microsoft.com/office/drawing/2014/main" id="{00000000-0008-0000-0F00-00000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3175</xdr:colOff>
          <xdr:row>36</xdr:row>
          <xdr:rowOff>12700</xdr:rowOff>
        </xdr:to>
        <xdr:sp macro="" textlink="">
          <xdr:nvSpPr>
            <xdr:cNvPr id="16399" name="Check Box 15" hidden="1">
              <a:extLst>
                <a:ext uri="{63B3BB69-23CF-44E3-9099-C40C66FF867C}">
                  <a14:compatExt spid="_x0000_s16399"/>
                </a:ext>
                <a:ext uri="{FF2B5EF4-FFF2-40B4-BE49-F238E27FC236}">
                  <a16:creationId xmlns:a16="http://schemas.microsoft.com/office/drawing/2014/main" id="{00000000-0008-0000-0F00-00000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16400" name="Check Box 16" hidden="1">
              <a:extLst>
                <a:ext uri="{63B3BB69-23CF-44E3-9099-C40C66FF867C}">
                  <a14:compatExt spid="_x0000_s16400"/>
                </a:ext>
                <a:ext uri="{FF2B5EF4-FFF2-40B4-BE49-F238E27FC236}">
                  <a16:creationId xmlns:a16="http://schemas.microsoft.com/office/drawing/2014/main" id="{00000000-0008-0000-0F00-00001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16401" name="Check Box 17" hidden="1">
              <a:extLst>
                <a:ext uri="{63B3BB69-23CF-44E3-9099-C40C66FF867C}">
                  <a14:compatExt spid="_x0000_s16401"/>
                </a:ext>
                <a:ext uri="{FF2B5EF4-FFF2-40B4-BE49-F238E27FC236}">
                  <a16:creationId xmlns:a16="http://schemas.microsoft.com/office/drawing/2014/main" id="{00000000-0008-0000-0F00-000011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16402" name="Check Box 18" hidden="1">
              <a:extLst>
                <a:ext uri="{63B3BB69-23CF-44E3-9099-C40C66FF867C}">
                  <a14:compatExt spid="_x0000_s16402"/>
                </a:ext>
                <a:ext uri="{FF2B5EF4-FFF2-40B4-BE49-F238E27FC236}">
                  <a16:creationId xmlns:a16="http://schemas.microsoft.com/office/drawing/2014/main" id="{00000000-0008-0000-0F00-000012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16403" name="Check Box 19" hidden="1">
              <a:extLst>
                <a:ext uri="{63B3BB69-23CF-44E3-9099-C40C66FF867C}">
                  <a14:compatExt spid="_x0000_s16403"/>
                </a:ext>
                <a:ext uri="{FF2B5EF4-FFF2-40B4-BE49-F238E27FC236}">
                  <a16:creationId xmlns:a16="http://schemas.microsoft.com/office/drawing/2014/main" id="{00000000-0008-0000-0F00-000013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16404" name="Check Box 20" hidden="1">
              <a:extLst>
                <a:ext uri="{63B3BB69-23CF-44E3-9099-C40C66FF867C}">
                  <a14:compatExt spid="_x0000_s16404"/>
                </a:ext>
                <a:ext uri="{FF2B5EF4-FFF2-40B4-BE49-F238E27FC236}">
                  <a16:creationId xmlns:a16="http://schemas.microsoft.com/office/drawing/2014/main" id="{00000000-0008-0000-0F00-000014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16405" name="Check Box 21" hidden="1">
              <a:extLst>
                <a:ext uri="{63B3BB69-23CF-44E3-9099-C40C66FF867C}">
                  <a14:compatExt spid="_x0000_s16405"/>
                </a:ext>
                <a:ext uri="{FF2B5EF4-FFF2-40B4-BE49-F238E27FC236}">
                  <a16:creationId xmlns:a16="http://schemas.microsoft.com/office/drawing/2014/main" id="{00000000-0008-0000-0F00-000015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16406" name="Check Box 22" hidden="1">
              <a:extLst>
                <a:ext uri="{63B3BB69-23CF-44E3-9099-C40C66FF867C}">
                  <a14:compatExt spid="_x0000_s16406"/>
                </a:ext>
                <a:ext uri="{FF2B5EF4-FFF2-40B4-BE49-F238E27FC236}">
                  <a16:creationId xmlns:a16="http://schemas.microsoft.com/office/drawing/2014/main" id="{00000000-0008-0000-0F00-000016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3175</xdr:colOff>
          <xdr:row>89</xdr:row>
          <xdr:rowOff>25400</xdr:rowOff>
        </xdr:to>
        <xdr:sp macro="" textlink="">
          <xdr:nvSpPr>
            <xdr:cNvPr id="16407" name="Check Box 23" hidden="1">
              <a:extLst>
                <a:ext uri="{63B3BB69-23CF-44E3-9099-C40C66FF867C}">
                  <a14:compatExt spid="_x0000_s16407"/>
                </a:ext>
                <a:ext uri="{FF2B5EF4-FFF2-40B4-BE49-F238E27FC236}">
                  <a16:creationId xmlns:a16="http://schemas.microsoft.com/office/drawing/2014/main" id="{00000000-0008-0000-0F00-000017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16408" name="Check Box 24" hidden="1">
              <a:extLst>
                <a:ext uri="{63B3BB69-23CF-44E3-9099-C40C66FF867C}">
                  <a14:compatExt spid="_x0000_s16408"/>
                </a:ext>
                <a:ext uri="{FF2B5EF4-FFF2-40B4-BE49-F238E27FC236}">
                  <a16:creationId xmlns:a16="http://schemas.microsoft.com/office/drawing/2014/main" id="{00000000-0008-0000-0F00-000018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16409" name="Check Box 25" hidden="1">
              <a:extLst>
                <a:ext uri="{63B3BB69-23CF-44E3-9099-C40C66FF867C}">
                  <a14:compatExt spid="_x0000_s16409"/>
                </a:ext>
                <a:ext uri="{FF2B5EF4-FFF2-40B4-BE49-F238E27FC236}">
                  <a16:creationId xmlns:a16="http://schemas.microsoft.com/office/drawing/2014/main" id="{00000000-0008-0000-0F00-000019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5" name="TextBox 14">
          <a:extLst>
            <a:ext uri="{FF2B5EF4-FFF2-40B4-BE49-F238E27FC236}">
              <a16:creationId xmlns:a16="http://schemas.microsoft.com/office/drawing/2014/main" id="{00000000-0008-0000-0F00-00000F000000}"/>
            </a:ext>
          </a:extLst>
        </xdr:cNvPr>
        <xdr:cNvSpPr txBox="1"/>
      </xdr:nvSpPr>
      <xdr:spPr>
        <a:xfrm>
          <a:off x="0" y="7975787"/>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16410" name="Check Box 26" hidden="1">
              <a:extLst>
                <a:ext uri="{63B3BB69-23CF-44E3-9099-C40C66FF867C}">
                  <a14:compatExt spid="_x0000_s16410"/>
                </a:ext>
                <a:ext uri="{FF2B5EF4-FFF2-40B4-BE49-F238E27FC236}">
                  <a16:creationId xmlns:a16="http://schemas.microsoft.com/office/drawing/2014/main" id="{00000000-0008-0000-0F00-00001A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16411" name="Check Box 27" hidden="1">
              <a:extLst>
                <a:ext uri="{63B3BB69-23CF-44E3-9099-C40C66FF867C}">
                  <a14:compatExt spid="_x0000_s16411"/>
                </a:ext>
                <a:ext uri="{FF2B5EF4-FFF2-40B4-BE49-F238E27FC236}">
                  <a16:creationId xmlns:a16="http://schemas.microsoft.com/office/drawing/2014/main" id="{00000000-0008-0000-0F00-00001B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16412" name="Check Box 28" hidden="1">
              <a:extLst>
                <a:ext uri="{63B3BB69-23CF-44E3-9099-C40C66FF867C}">
                  <a14:compatExt spid="_x0000_s16412"/>
                </a:ext>
                <a:ext uri="{FF2B5EF4-FFF2-40B4-BE49-F238E27FC236}">
                  <a16:creationId xmlns:a16="http://schemas.microsoft.com/office/drawing/2014/main" id="{00000000-0008-0000-0F00-00001C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16413" name="Check Box 29" hidden="1">
              <a:extLst>
                <a:ext uri="{63B3BB69-23CF-44E3-9099-C40C66FF867C}">
                  <a14:compatExt spid="_x0000_s16413"/>
                </a:ext>
                <a:ext uri="{FF2B5EF4-FFF2-40B4-BE49-F238E27FC236}">
                  <a16:creationId xmlns:a16="http://schemas.microsoft.com/office/drawing/2014/main" id="{00000000-0008-0000-0F00-00001D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16414" name="Check Box 30" hidden="1">
              <a:extLst>
                <a:ext uri="{63B3BB69-23CF-44E3-9099-C40C66FF867C}">
                  <a14:compatExt spid="_x0000_s16414"/>
                </a:ext>
                <a:ext uri="{FF2B5EF4-FFF2-40B4-BE49-F238E27FC236}">
                  <a16:creationId xmlns:a16="http://schemas.microsoft.com/office/drawing/2014/main" id="{00000000-0008-0000-0F00-00001E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16415" name="Check Box 31" hidden="1">
              <a:extLst>
                <a:ext uri="{63B3BB69-23CF-44E3-9099-C40C66FF867C}">
                  <a14:compatExt spid="_x0000_s16415"/>
                </a:ext>
                <a:ext uri="{FF2B5EF4-FFF2-40B4-BE49-F238E27FC236}">
                  <a16:creationId xmlns:a16="http://schemas.microsoft.com/office/drawing/2014/main" id="{00000000-0008-0000-0F00-00001F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16416" name="Check Box 32" hidden="1">
              <a:extLst>
                <a:ext uri="{63B3BB69-23CF-44E3-9099-C40C66FF867C}">
                  <a14:compatExt spid="_x0000_s16416"/>
                </a:ext>
                <a:ext uri="{FF2B5EF4-FFF2-40B4-BE49-F238E27FC236}">
                  <a16:creationId xmlns:a16="http://schemas.microsoft.com/office/drawing/2014/main" id="{00000000-0008-0000-0F00-0000204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0F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0657" name="Check Box 1" hidden="1">
              <a:extLst>
                <a:ext uri="{63B3BB69-23CF-44E3-9099-C40C66FF867C}">
                  <a14:compatExt spid="_x0000_s70657"/>
                </a:ext>
                <a:ext uri="{FF2B5EF4-FFF2-40B4-BE49-F238E27FC236}">
                  <a16:creationId xmlns:a16="http://schemas.microsoft.com/office/drawing/2014/main" id="{00000000-0008-0000-1100-000001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3175</xdr:colOff>
          <xdr:row>36</xdr:row>
          <xdr:rowOff>12700</xdr:rowOff>
        </xdr:to>
        <xdr:sp macro="" textlink="">
          <xdr:nvSpPr>
            <xdr:cNvPr id="70658" name="Check Box 2" hidden="1">
              <a:extLst>
                <a:ext uri="{63B3BB69-23CF-44E3-9099-C40C66FF867C}">
                  <a14:compatExt spid="_x0000_s70658"/>
                </a:ext>
                <a:ext uri="{FF2B5EF4-FFF2-40B4-BE49-F238E27FC236}">
                  <a16:creationId xmlns:a16="http://schemas.microsoft.com/office/drawing/2014/main" id="{00000000-0008-0000-1100-000002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0659" name="Check Box 3" hidden="1">
              <a:extLst>
                <a:ext uri="{63B3BB69-23CF-44E3-9099-C40C66FF867C}">
                  <a14:compatExt spid="_x0000_s70659"/>
                </a:ext>
                <a:ext uri="{FF2B5EF4-FFF2-40B4-BE49-F238E27FC236}">
                  <a16:creationId xmlns:a16="http://schemas.microsoft.com/office/drawing/2014/main" id="{00000000-0008-0000-1100-000003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0660" name="Check Box 4" hidden="1">
              <a:extLst>
                <a:ext uri="{63B3BB69-23CF-44E3-9099-C40C66FF867C}">
                  <a14:compatExt spid="_x0000_s70660"/>
                </a:ext>
                <a:ext uri="{FF2B5EF4-FFF2-40B4-BE49-F238E27FC236}">
                  <a16:creationId xmlns:a16="http://schemas.microsoft.com/office/drawing/2014/main" id="{00000000-0008-0000-1100-000004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0661" name="Check Box 5" hidden="1">
              <a:extLst>
                <a:ext uri="{63B3BB69-23CF-44E3-9099-C40C66FF867C}">
                  <a14:compatExt spid="_x0000_s70661"/>
                </a:ext>
                <a:ext uri="{FF2B5EF4-FFF2-40B4-BE49-F238E27FC236}">
                  <a16:creationId xmlns:a16="http://schemas.microsoft.com/office/drawing/2014/main" id="{00000000-0008-0000-1100-000005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0662" name="Check Box 6" hidden="1">
              <a:extLst>
                <a:ext uri="{63B3BB69-23CF-44E3-9099-C40C66FF867C}">
                  <a14:compatExt spid="_x0000_s70662"/>
                </a:ext>
                <a:ext uri="{FF2B5EF4-FFF2-40B4-BE49-F238E27FC236}">
                  <a16:creationId xmlns:a16="http://schemas.microsoft.com/office/drawing/2014/main" id="{00000000-0008-0000-1100-000006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0663" name="Check Box 7" hidden="1">
              <a:extLst>
                <a:ext uri="{63B3BB69-23CF-44E3-9099-C40C66FF867C}">
                  <a14:compatExt spid="_x0000_s70663"/>
                </a:ext>
                <a:ext uri="{FF2B5EF4-FFF2-40B4-BE49-F238E27FC236}">
                  <a16:creationId xmlns:a16="http://schemas.microsoft.com/office/drawing/2014/main" id="{00000000-0008-0000-1100-000007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0664" name="Check Box 8" hidden="1">
              <a:extLst>
                <a:ext uri="{63B3BB69-23CF-44E3-9099-C40C66FF867C}">
                  <a14:compatExt spid="_x0000_s70664"/>
                </a:ext>
                <a:ext uri="{FF2B5EF4-FFF2-40B4-BE49-F238E27FC236}">
                  <a16:creationId xmlns:a16="http://schemas.microsoft.com/office/drawing/2014/main" id="{00000000-0008-0000-1100-000008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0665" name="Check Box 9" hidden="1">
              <a:extLst>
                <a:ext uri="{63B3BB69-23CF-44E3-9099-C40C66FF867C}">
                  <a14:compatExt spid="_x0000_s70665"/>
                </a:ext>
                <a:ext uri="{FF2B5EF4-FFF2-40B4-BE49-F238E27FC236}">
                  <a16:creationId xmlns:a16="http://schemas.microsoft.com/office/drawing/2014/main" id="{00000000-0008-0000-1100-000009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3175</xdr:colOff>
          <xdr:row>89</xdr:row>
          <xdr:rowOff>25400</xdr:rowOff>
        </xdr:to>
        <xdr:sp macro="" textlink="">
          <xdr:nvSpPr>
            <xdr:cNvPr id="70666" name="Check Box 10" hidden="1">
              <a:extLst>
                <a:ext uri="{63B3BB69-23CF-44E3-9099-C40C66FF867C}">
                  <a14:compatExt spid="_x0000_s70666"/>
                </a:ext>
                <a:ext uri="{FF2B5EF4-FFF2-40B4-BE49-F238E27FC236}">
                  <a16:creationId xmlns:a16="http://schemas.microsoft.com/office/drawing/2014/main" id="{00000000-0008-0000-1100-00000A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0667" name="Check Box 11" hidden="1">
              <a:extLst>
                <a:ext uri="{63B3BB69-23CF-44E3-9099-C40C66FF867C}">
                  <a14:compatExt spid="_x0000_s70667"/>
                </a:ext>
                <a:ext uri="{FF2B5EF4-FFF2-40B4-BE49-F238E27FC236}">
                  <a16:creationId xmlns:a16="http://schemas.microsoft.com/office/drawing/2014/main" id="{00000000-0008-0000-1100-00000B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0668" name="Check Box 12" hidden="1">
              <a:extLst>
                <a:ext uri="{63B3BB69-23CF-44E3-9099-C40C66FF867C}">
                  <a14:compatExt spid="_x0000_s70668"/>
                </a:ext>
                <a:ext uri="{FF2B5EF4-FFF2-40B4-BE49-F238E27FC236}">
                  <a16:creationId xmlns:a16="http://schemas.microsoft.com/office/drawing/2014/main" id="{00000000-0008-0000-1100-00000C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1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0669" name="Check Box 13" hidden="1">
              <a:extLst>
                <a:ext uri="{63B3BB69-23CF-44E3-9099-C40C66FF867C}">
                  <a14:compatExt spid="_x0000_s70669"/>
                </a:ext>
                <a:ext uri="{FF2B5EF4-FFF2-40B4-BE49-F238E27FC236}">
                  <a16:creationId xmlns:a16="http://schemas.microsoft.com/office/drawing/2014/main" id="{00000000-0008-0000-1100-00000D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0670" name="Check Box 14" hidden="1">
              <a:extLst>
                <a:ext uri="{63B3BB69-23CF-44E3-9099-C40C66FF867C}">
                  <a14:compatExt spid="_x0000_s70670"/>
                </a:ext>
                <a:ext uri="{FF2B5EF4-FFF2-40B4-BE49-F238E27FC236}">
                  <a16:creationId xmlns:a16="http://schemas.microsoft.com/office/drawing/2014/main" id="{00000000-0008-0000-1100-00000E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0671" name="Check Box 15" hidden="1">
              <a:extLst>
                <a:ext uri="{63B3BB69-23CF-44E3-9099-C40C66FF867C}">
                  <a14:compatExt spid="_x0000_s70671"/>
                </a:ext>
                <a:ext uri="{FF2B5EF4-FFF2-40B4-BE49-F238E27FC236}">
                  <a16:creationId xmlns:a16="http://schemas.microsoft.com/office/drawing/2014/main" id="{00000000-0008-0000-1100-00000F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0672" name="Check Box 16" hidden="1">
              <a:extLst>
                <a:ext uri="{63B3BB69-23CF-44E3-9099-C40C66FF867C}">
                  <a14:compatExt spid="_x0000_s70672"/>
                </a:ext>
                <a:ext uri="{FF2B5EF4-FFF2-40B4-BE49-F238E27FC236}">
                  <a16:creationId xmlns:a16="http://schemas.microsoft.com/office/drawing/2014/main" id="{00000000-0008-0000-1100-000010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0673" name="Check Box 17" hidden="1">
              <a:extLst>
                <a:ext uri="{63B3BB69-23CF-44E3-9099-C40C66FF867C}">
                  <a14:compatExt spid="_x0000_s70673"/>
                </a:ext>
                <a:ext uri="{FF2B5EF4-FFF2-40B4-BE49-F238E27FC236}">
                  <a16:creationId xmlns:a16="http://schemas.microsoft.com/office/drawing/2014/main" id="{00000000-0008-0000-1100-000011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0674" name="Check Box 18" hidden="1">
              <a:extLst>
                <a:ext uri="{63B3BB69-23CF-44E3-9099-C40C66FF867C}">
                  <a14:compatExt spid="_x0000_s70674"/>
                </a:ext>
                <a:ext uri="{FF2B5EF4-FFF2-40B4-BE49-F238E27FC236}">
                  <a16:creationId xmlns:a16="http://schemas.microsoft.com/office/drawing/2014/main" id="{00000000-0008-0000-1100-000012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0675" name="Check Box 19" hidden="1">
              <a:extLst>
                <a:ext uri="{63B3BB69-23CF-44E3-9099-C40C66FF867C}">
                  <a14:compatExt spid="_x0000_s70675"/>
                </a:ext>
                <a:ext uri="{FF2B5EF4-FFF2-40B4-BE49-F238E27FC236}">
                  <a16:creationId xmlns:a16="http://schemas.microsoft.com/office/drawing/2014/main" id="{00000000-0008-0000-1100-0000131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1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1681" name="Check Box 1" hidden="1">
              <a:extLst>
                <a:ext uri="{63B3BB69-23CF-44E3-9099-C40C66FF867C}">
                  <a14:compatExt spid="_x0000_s71681"/>
                </a:ext>
                <a:ext uri="{FF2B5EF4-FFF2-40B4-BE49-F238E27FC236}">
                  <a16:creationId xmlns:a16="http://schemas.microsoft.com/office/drawing/2014/main" id="{00000000-0008-0000-1300-00000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3175</xdr:colOff>
          <xdr:row>36</xdr:row>
          <xdr:rowOff>12700</xdr:rowOff>
        </xdr:to>
        <xdr:sp macro="" textlink="">
          <xdr:nvSpPr>
            <xdr:cNvPr id="71682" name="Check Box 2" hidden="1">
              <a:extLst>
                <a:ext uri="{63B3BB69-23CF-44E3-9099-C40C66FF867C}">
                  <a14:compatExt spid="_x0000_s71682"/>
                </a:ext>
                <a:ext uri="{FF2B5EF4-FFF2-40B4-BE49-F238E27FC236}">
                  <a16:creationId xmlns:a16="http://schemas.microsoft.com/office/drawing/2014/main" id="{00000000-0008-0000-1300-000002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1683" name="Check Box 3" hidden="1">
              <a:extLst>
                <a:ext uri="{63B3BB69-23CF-44E3-9099-C40C66FF867C}">
                  <a14:compatExt spid="_x0000_s71683"/>
                </a:ext>
                <a:ext uri="{FF2B5EF4-FFF2-40B4-BE49-F238E27FC236}">
                  <a16:creationId xmlns:a16="http://schemas.microsoft.com/office/drawing/2014/main" id="{00000000-0008-0000-1300-00000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1684" name="Check Box 4" hidden="1">
              <a:extLst>
                <a:ext uri="{63B3BB69-23CF-44E3-9099-C40C66FF867C}">
                  <a14:compatExt spid="_x0000_s71684"/>
                </a:ext>
                <a:ext uri="{FF2B5EF4-FFF2-40B4-BE49-F238E27FC236}">
                  <a16:creationId xmlns:a16="http://schemas.microsoft.com/office/drawing/2014/main" id="{00000000-0008-0000-1300-000004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1685" name="Check Box 5" hidden="1">
              <a:extLst>
                <a:ext uri="{63B3BB69-23CF-44E3-9099-C40C66FF867C}">
                  <a14:compatExt spid="_x0000_s71685"/>
                </a:ext>
                <a:ext uri="{FF2B5EF4-FFF2-40B4-BE49-F238E27FC236}">
                  <a16:creationId xmlns:a16="http://schemas.microsoft.com/office/drawing/2014/main" id="{00000000-0008-0000-1300-000005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1686" name="Check Box 6" hidden="1">
              <a:extLst>
                <a:ext uri="{63B3BB69-23CF-44E3-9099-C40C66FF867C}">
                  <a14:compatExt spid="_x0000_s71686"/>
                </a:ext>
                <a:ext uri="{FF2B5EF4-FFF2-40B4-BE49-F238E27FC236}">
                  <a16:creationId xmlns:a16="http://schemas.microsoft.com/office/drawing/2014/main" id="{00000000-0008-0000-1300-000006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1687" name="Check Box 7" hidden="1">
              <a:extLst>
                <a:ext uri="{63B3BB69-23CF-44E3-9099-C40C66FF867C}">
                  <a14:compatExt spid="_x0000_s71687"/>
                </a:ext>
                <a:ext uri="{FF2B5EF4-FFF2-40B4-BE49-F238E27FC236}">
                  <a16:creationId xmlns:a16="http://schemas.microsoft.com/office/drawing/2014/main" id="{00000000-0008-0000-1300-000007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1688" name="Check Box 8" hidden="1">
              <a:extLst>
                <a:ext uri="{63B3BB69-23CF-44E3-9099-C40C66FF867C}">
                  <a14:compatExt spid="_x0000_s71688"/>
                </a:ext>
                <a:ext uri="{FF2B5EF4-FFF2-40B4-BE49-F238E27FC236}">
                  <a16:creationId xmlns:a16="http://schemas.microsoft.com/office/drawing/2014/main" id="{00000000-0008-0000-1300-000008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1689" name="Check Box 9" hidden="1">
              <a:extLst>
                <a:ext uri="{63B3BB69-23CF-44E3-9099-C40C66FF867C}">
                  <a14:compatExt spid="_x0000_s71689"/>
                </a:ext>
                <a:ext uri="{FF2B5EF4-FFF2-40B4-BE49-F238E27FC236}">
                  <a16:creationId xmlns:a16="http://schemas.microsoft.com/office/drawing/2014/main" id="{00000000-0008-0000-1300-000009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3175</xdr:colOff>
          <xdr:row>89</xdr:row>
          <xdr:rowOff>25400</xdr:rowOff>
        </xdr:to>
        <xdr:sp macro="" textlink="">
          <xdr:nvSpPr>
            <xdr:cNvPr id="71690" name="Check Box 10" hidden="1">
              <a:extLst>
                <a:ext uri="{63B3BB69-23CF-44E3-9099-C40C66FF867C}">
                  <a14:compatExt spid="_x0000_s71690"/>
                </a:ext>
                <a:ext uri="{FF2B5EF4-FFF2-40B4-BE49-F238E27FC236}">
                  <a16:creationId xmlns:a16="http://schemas.microsoft.com/office/drawing/2014/main" id="{00000000-0008-0000-1300-00000A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1691" name="Check Box 11" hidden="1">
              <a:extLst>
                <a:ext uri="{63B3BB69-23CF-44E3-9099-C40C66FF867C}">
                  <a14:compatExt spid="_x0000_s71691"/>
                </a:ext>
                <a:ext uri="{FF2B5EF4-FFF2-40B4-BE49-F238E27FC236}">
                  <a16:creationId xmlns:a16="http://schemas.microsoft.com/office/drawing/2014/main" id="{00000000-0008-0000-1300-00000B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1692" name="Check Box 12" hidden="1">
              <a:extLst>
                <a:ext uri="{63B3BB69-23CF-44E3-9099-C40C66FF867C}">
                  <a14:compatExt spid="_x0000_s71692"/>
                </a:ext>
                <a:ext uri="{FF2B5EF4-FFF2-40B4-BE49-F238E27FC236}">
                  <a16:creationId xmlns:a16="http://schemas.microsoft.com/office/drawing/2014/main" id="{00000000-0008-0000-1300-00000C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3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1693" name="Check Box 13" hidden="1">
              <a:extLst>
                <a:ext uri="{63B3BB69-23CF-44E3-9099-C40C66FF867C}">
                  <a14:compatExt spid="_x0000_s71693"/>
                </a:ext>
                <a:ext uri="{FF2B5EF4-FFF2-40B4-BE49-F238E27FC236}">
                  <a16:creationId xmlns:a16="http://schemas.microsoft.com/office/drawing/2014/main" id="{00000000-0008-0000-1300-00000D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1694" name="Check Box 14" hidden="1">
              <a:extLst>
                <a:ext uri="{63B3BB69-23CF-44E3-9099-C40C66FF867C}">
                  <a14:compatExt spid="_x0000_s71694"/>
                </a:ext>
                <a:ext uri="{FF2B5EF4-FFF2-40B4-BE49-F238E27FC236}">
                  <a16:creationId xmlns:a16="http://schemas.microsoft.com/office/drawing/2014/main" id="{00000000-0008-0000-1300-00000E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1695" name="Check Box 15" hidden="1">
              <a:extLst>
                <a:ext uri="{63B3BB69-23CF-44E3-9099-C40C66FF867C}">
                  <a14:compatExt spid="_x0000_s71695"/>
                </a:ext>
                <a:ext uri="{FF2B5EF4-FFF2-40B4-BE49-F238E27FC236}">
                  <a16:creationId xmlns:a16="http://schemas.microsoft.com/office/drawing/2014/main" id="{00000000-0008-0000-1300-00000F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1696" name="Check Box 16" hidden="1">
              <a:extLst>
                <a:ext uri="{63B3BB69-23CF-44E3-9099-C40C66FF867C}">
                  <a14:compatExt spid="_x0000_s71696"/>
                </a:ext>
                <a:ext uri="{FF2B5EF4-FFF2-40B4-BE49-F238E27FC236}">
                  <a16:creationId xmlns:a16="http://schemas.microsoft.com/office/drawing/2014/main" id="{00000000-0008-0000-1300-000010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1697" name="Check Box 17" hidden="1">
              <a:extLst>
                <a:ext uri="{63B3BB69-23CF-44E3-9099-C40C66FF867C}">
                  <a14:compatExt spid="_x0000_s71697"/>
                </a:ext>
                <a:ext uri="{FF2B5EF4-FFF2-40B4-BE49-F238E27FC236}">
                  <a16:creationId xmlns:a16="http://schemas.microsoft.com/office/drawing/2014/main" id="{00000000-0008-0000-1300-000011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1698" name="Check Box 18" hidden="1">
              <a:extLst>
                <a:ext uri="{63B3BB69-23CF-44E3-9099-C40C66FF867C}">
                  <a14:compatExt spid="_x0000_s71698"/>
                </a:ext>
                <a:ext uri="{FF2B5EF4-FFF2-40B4-BE49-F238E27FC236}">
                  <a16:creationId xmlns:a16="http://schemas.microsoft.com/office/drawing/2014/main" id="{00000000-0008-0000-1300-000012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1699" name="Check Box 19" hidden="1">
              <a:extLst>
                <a:ext uri="{63B3BB69-23CF-44E3-9099-C40C66FF867C}">
                  <a14:compatExt spid="_x0000_s71699"/>
                </a:ext>
                <a:ext uri="{FF2B5EF4-FFF2-40B4-BE49-F238E27FC236}">
                  <a16:creationId xmlns:a16="http://schemas.microsoft.com/office/drawing/2014/main" id="{00000000-0008-0000-1300-00001318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9525</xdr:rowOff>
    </xdr:from>
    <xdr:to>
      <xdr:col>20</xdr:col>
      <xdr:colOff>180975</xdr:colOff>
      <xdr:row>109</xdr:row>
      <xdr:rowOff>104775</xdr:rowOff>
    </xdr:to>
    <xdr:sp macro="" textlink="">
      <xdr:nvSpPr>
        <xdr:cNvPr id="22" name="TextBox 21">
          <a:extLst>
            <a:ext uri="{FF2B5EF4-FFF2-40B4-BE49-F238E27FC236}">
              <a16:creationId xmlns:a16="http://schemas.microsoft.com/office/drawing/2014/main" id="{00000000-0008-0000-1300-000016000000}"/>
            </a:ext>
          </a:extLst>
        </xdr:cNvPr>
        <xdr:cNvSpPr txBox="1"/>
      </xdr:nvSpPr>
      <xdr:spPr>
        <a:xfrm>
          <a:off x="0" y="18592800"/>
          <a:ext cx="7772400" cy="1562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a:t>
          </a:r>
          <a:r>
            <a:rPr lang="en-PH" sz="750" b="1">
              <a:solidFill>
                <a:schemeClr val="dk1"/>
              </a:solidFill>
              <a:effectLst/>
              <a:latin typeface="Century Gothic" panose="020B0502020202020204" pitchFamily="34" charset="0"/>
              <a:ea typeface="+mn-ea"/>
              <a:cs typeface="+mn-cs"/>
            </a:rPr>
            <a:t>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 (the “Company”).</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endParaRPr lang="en-PH" sz="750">
            <a:latin typeface="Century Gothic" panose="020B0502020202020204" pitchFamily="34" charset="0"/>
          </a:endParaRPr>
        </a:p>
      </xdr:txBody>
    </xdr:sp>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2705" name="Check Box 1" hidden="1">
              <a:extLst>
                <a:ext uri="{63B3BB69-23CF-44E3-9099-C40C66FF867C}">
                  <a14:compatExt spid="_x0000_s72705"/>
                </a:ext>
                <a:ext uri="{FF2B5EF4-FFF2-40B4-BE49-F238E27FC236}">
                  <a16:creationId xmlns:a16="http://schemas.microsoft.com/office/drawing/2014/main" id="{00000000-0008-0000-1600-000001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3175</xdr:colOff>
          <xdr:row>36</xdr:row>
          <xdr:rowOff>12700</xdr:rowOff>
        </xdr:to>
        <xdr:sp macro="" textlink="">
          <xdr:nvSpPr>
            <xdr:cNvPr id="72706" name="Check Box 2" hidden="1">
              <a:extLst>
                <a:ext uri="{63B3BB69-23CF-44E3-9099-C40C66FF867C}">
                  <a14:compatExt spid="_x0000_s72706"/>
                </a:ext>
                <a:ext uri="{FF2B5EF4-FFF2-40B4-BE49-F238E27FC236}">
                  <a16:creationId xmlns:a16="http://schemas.microsoft.com/office/drawing/2014/main" id="{00000000-0008-0000-1600-000002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2707" name="Check Box 3" hidden="1">
              <a:extLst>
                <a:ext uri="{63B3BB69-23CF-44E3-9099-C40C66FF867C}">
                  <a14:compatExt spid="_x0000_s72707"/>
                </a:ext>
                <a:ext uri="{FF2B5EF4-FFF2-40B4-BE49-F238E27FC236}">
                  <a16:creationId xmlns:a16="http://schemas.microsoft.com/office/drawing/2014/main" id="{00000000-0008-0000-1600-000003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2708" name="Check Box 4" hidden="1">
              <a:extLst>
                <a:ext uri="{63B3BB69-23CF-44E3-9099-C40C66FF867C}">
                  <a14:compatExt spid="_x0000_s72708"/>
                </a:ext>
                <a:ext uri="{FF2B5EF4-FFF2-40B4-BE49-F238E27FC236}">
                  <a16:creationId xmlns:a16="http://schemas.microsoft.com/office/drawing/2014/main" id="{00000000-0008-0000-1600-000004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2709" name="Check Box 5" hidden="1">
              <a:extLst>
                <a:ext uri="{63B3BB69-23CF-44E3-9099-C40C66FF867C}">
                  <a14:compatExt spid="_x0000_s72709"/>
                </a:ext>
                <a:ext uri="{FF2B5EF4-FFF2-40B4-BE49-F238E27FC236}">
                  <a16:creationId xmlns:a16="http://schemas.microsoft.com/office/drawing/2014/main" id="{00000000-0008-0000-1600-000005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2710" name="Check Box 6" hidden="1">
              <a:extLst>
                <a:ext uri="{63B3BB69-23CF-44E3-9099-C40C66FF867C}">
                  <a14:compatExt spid="_x0000_s72710"/>
                </a:ext>
                <a:ext uri="{FF2B5EF4-FFF2-40B4-BE49-F238E27FC236}">
                  <a16:creationId xmlns:a16="http://schemas.microsoft.com/office/drawing/2014/main" id="{00000000-0008-0000-1600-000006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2711" name="Check Box 7" hidden="1">
              <a:extLst>
                <a:ext uri="{63B3BB69-23CF-44E3-9099-C40C66FF867C}">
                  <a14:compatExt spid="_x0000_s72711"/>
                </a:ext>
                <a:ext uri="{FF2B5EF4-FFF2-40B4-BE49-F238E27FC236}">
                  <a16:creationId xmlns:a16="http://schemas.microsoft.com/office/drawing/2014/main" id="{00000000-0008-0000-1600-000007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2712" name="Check Box 8" hidden="1">
              <a:extLst>
                <a:ext uri="{63B3BB69-23CF-44E3-9099-C40C66FF867C}">
                  <a14:compatExt spid="_x0000_s72712"/>
                </a:ext>
                <a:ext uri="{FF2B5EF4-FFF2-40B4-BE49-F238E27FC236}">
                  <a16:creationId xmlns:a16="http://schemas.microsoft.com/office/drawing/2014/main" id="{00000000-0008-0000-1600-000008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2713" name="Check Box 9" hidden="1">
              <a:extLst>
                <a:ext uri="{63B3BB69-23CF-44E3-9099-C40C66FF867C}">
                  <a14:compatExt spid="_x0000_s72713"/>
                </a:ext>
                <a:ext uri="{FF2B5EF4-FFF2-40B4-BE49-F238E27FC236}">
                  <a16:creationId xmlns:a16="http://schemas.microsoft.com/office/drawing/2014/main" id="{00000000-0008-0000-1600-000009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3175</xdr:colOff>
          <xdr:row>89</xdr:row>
          <xdr:rowOff>25400</xdr:rowOff>
        </xdr:to>
        <xdr:sp macro="" textlink="">
          <xdr:nvSpPr>
            <xdr:cNvPr id="72714" name="Check Box 10" hidden="1">
              <a:extLst>
                <a:ext uri="{63B3BB69-23CF-44E3-9099-C40C66FF867C}">
                  <a14:compatExt spid="_x0000_s72714"/>
                </a:ext>
                <a:ext uri="{FF2B5EF4-FFF2-40B4-BE49-F238E27FC236}">
                  <a16:creationId xmlns:a16="http://schemas.microsoft.com/office/drawing/2014/main" id="{00000000-0008-0000-1600-00000A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2715" name="Check Box 11" hidden="1">
              <a:extLst>
                <a:ext uri="{63B3BB69-23CF-44E3-9099-C40C66FF867C}">
                  <a14:compatExt spid="_x0000_s72715"/>
                </a:ext>
                <a:ext uri="{FF2B5EF4-FFF2-40B4-BE49-F238E27FC236}">
                  <a16:creationId xmlns:a16="http://schemas.microsoft.com/office/drawing/2014/main" id="{00000000-0008-0000-1600-00000B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2716" name="Check Box 12" hidden="1">
              <a:extLst>
                <a:ext uri="{63B3BB69-23CF-44E3-9099-C40C66FF867C}">
                  <a14:compatExt spid="_x0000_s72716"/>
                </a:ext>
                <a:ext uri="{FF2B5EF4-FFF2-40B4-BE49-F238E27FC236}">
                  <a16:creationId xmlns:a16="http://schemas.microsoft.com/office/drawing/2014/main" id="{00000000-0008-0000-1600-00000C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6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2717" name="Check Box 13" hidden="1">
              <a:extLst>
                <a:ext uri="{63B3BB69-23CF-44E3-9099-C40C66FF867C}">
                  <a14:compatExt spid="_x0000_s72717"/>
                </a:ext>
                <a:ext uri="{FF2B5EF4-FFF2-40B4-BE49-F238E27FC236}">
                  <a16:creationId xmlns:a16="http://schemas.microsoft.com/office/drawing/2014/main" id="{00000000-0008-0000-1600-00000D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2718" name="Check Box 14" hidden="1">
              <a:extLst>
                <a:ext uri="{63B3BB69-23CF-44E3-9099-C40C66FF867C}">
                  <a14:compatExt spid="_x0000_s72718"/>
                </a:ext>
                <a:ext uri="{FF2B5EF4-FFF2-40B4-BE49-F238E27FC236}">
                  <a16:creationId xmlns:a16="http://schemas.microsoft.com/office/drawing/2014/main" id="{00000000-0008-0000-1600-00000E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2719" name="Check Box 15" hidden="1">
              <a:extLst>
                <a:ext uri="{63B3BB69-23CF-44E3-9099-C40C66FF867C}">
                  <a14:compatExt spid="_x0000_s72719"/>
                </a:ext>
                <a:ext uri="{FF2B5EF4-FFF2-40B4-BE49-F238E27FC236}">
                  <a16:creationId xmlns:a16="http://schemas.microsoft.com/office/drawing/2014/main" id="{00000000-0008-0000-1600-00000F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2720" name="Check Box 16" hidden="1">
              <a:extLst>
                <a:ext uri="{63B3BB69-23CF-44E3-9099-C40C66FF867C}">
                  <a14:compatExt spid="_x0000_s72720"/>
                </a:ext>
                <a:ext uri="{FF2B5EF4-FFF2-40B4-BE49-F238E27FC236}">
                  <a16:creationId xmlns:a16="http://schemas.microsoft.com/office/drawing/2014/main" id="{00000000-0008-0000-1600-000010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2721" name="Check Box 17" hidden="1">
              <a:extLst>
                <a:ext uri="{63B3BB69-23CF-44E3-9099-C40C66FF867C}">
                  <a14:compatExt spid="_x0000_s72721"/>
                </a:ext>
                <a:ext uri="{FF2B5EF4-FFF2-40B4-BE49-F238E27FC236}">
                  <a16:creationId xmlns:a16="http://schemas.microsoft.com/office/drawing/2014/main" id="{00000000-0008-0000-1600-000011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2722" name="Check Box 18" hidden="1">
              <a:extLst>
                <a:ext uri="{63B3BB69-23CF-44E3-9099-C40C66FF867C}">
                  <a14:compatExt spid="_x0000_s72722"/>
                </a:ext>
                <a:ext uri="{FF2B5EF4-FFF2-40B4-BE49-F238E27FC236}">
                  <a16:creationId xmlns:a16="http://schemas.microsoft.com/office/drawing/2014/main" id="{00000000-0008-0000-1600-000012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2723" name="Check Box 19" hidden="1">
              <a:extLst>
                <a:ext uri="{63B3BB69-23CF-44E3-9099-C40C66FF867C}">
                  <a14:compatExt spid="_x0000_s72723"/>
                </a:ext>
                <a:ext uri="{FF2B5EF4-FFF2-40B4-BE49-F238E27FC236}">
                  <a16:creationId xmlns:a16="http://schemas.microsoft.com/office/drawing/2014/main" id="{00000000-0008-0000-1600-0000131C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6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10.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3729" name="Check Box 1" hidden="1">
              <a:extLst>
                <a:ext uri="{63B3BB69-23CF-44E3-9099-C40C66FF867C}">
                  <a14:compatExt spid="_x0000_s73729"/>
                </a:ext>
                <a:ext uri="{FF2B5EF4-FFF2-40B4-BE49-F238E27FC236}">
                  <a16:creationId xmlns:a16="http://schemas.microsoft.com/office/drawing/2014/main" id="{00000000-0008-0000-1800-00000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3175</xdr:colOff>
          <xdr:row>36</xdr:row>
          <xdr:rowOff>12700</xdr:rowOff>
        </xdr:to>
        <xdr:sp macro="" textlink="">
          <xdr:nvSpPr>
            <xdr:cNvPr id="73730" name="Check Box 2" hidden="1">
              <a:extLst>
                <a:ext uri="{63B3BB69-23CF-44E3-9099-C40C66FF867C}">
                  <a14:compatExt spid="_x0000_s73730"/>
                </a:ext>
                <a:ext uri="{FF2B5EF4-FFF2-40B4-BE49-F238E27FC236}">
                  <a16:creationId xmlns:a16="http://schemas.microsoft.com/office/drawing/2014/main" id="{00000000-0008-0000-1800-00000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3731" name="Check Box 3" hidden="1">
              <a:extLst>
                <a:ext uri="{63B3BB69-23CF-44E3-9099-C40C66FF867C}">
                  <a14:compatExt spid="_x0000_s73731"/>
                </a:ext>
                <a:ext uri="{FF2B5EF4-FFF2-40B4-BE49-F238E27FC236}">
                  <a16:creationId xmlns:a16="http://schemas.microsoft.com/office/drawing/2014/main" id="{00000000-0008-0000-1800-00000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3732" name="Check Box 4" hidden="1">
              <a:extLst>
                <a:ext uri="{63B3BB69-23CF-44E3-9099-C40C66FF867C}">
                  <a14:compatExt spid="_x0000_s73732"/>
                </a:ext>
                <a:ext uri="{FF2B5EF4-FFF2-40B4-BE49-F238E27FC236}">
                  <a16:creationId xmlns:a16="http://schemas.microsoft.com/office/drawing/2014/main" id="{00000000-0008-0000-1800-000004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3733" name="Check Box 5" hidden="1">
              <a:extLst>
                <a:ext uri="{63B3BB69-23CF-44E3-9099-C40C66FF867C}">
                  <a14:compatExt spid="_x0000_s73733"/>
                </a:ext>
                <a:ext uri="{FF2B5EF4-FFF2-40B4-BE49-F238E27FC236}">
                  <a16:creationId xmlns:a16="http://schemas.microsoft.com/office/drawing/2014/main" id="{00000000-0008-0000-1800-000005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3734" name="Check Box 6" hidden="1">
              <a:extLst>
                <a:ext uri="{63B3BB69-23CF-44E3-9099-C40C66FF867C}">
                  <a14:compatExt spid="_x0000_s73734"/>
                </a:ext>
                <a:ext uri="{FF2B5EF4-FFF2-40B4-BE49-F238E27FC236}">
                  <a16:creationId xmlns:a16="http://schemas.microsoft.com/office/drawing/2014/main" id="{00000000-0008-0000-1800-000006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3735" name="Check Box 7" hidden="1">
              <a:extLst>
                <a:ext uri="{63B3BB69-23CF-44E3-9099-C40C66FF867C}">
                  <a14:compatExt spid="_x0000_s73735"/>
                </a:ext>
                <a:ext uri="{FF2B5EF4-FFF2-40B4-BE49-F238E27FC236}">
                  <a16:creationId xmlns:a16="http://schemas.microsoft.com/office/drawing/2014/main" id="{00000000-0008-0000-1800-000007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3736" name="Check Box 8" hidden="1">
              <a:extLst>
                <a:ext uri="{63B3BB69-23CF-44E3-9099-C40C66FF867C}">
                  <a14:compatExt spid="_x0000_s73736"/>
                </a:ext>
                <a:ext uri="{FF2B5EF4-FFF2-40B4-BE49-F238E27FC236}">
                  <a16:creationId xmlns:a16="http://schemas.microsoft.com/office/drawing/2014/main" id="{00000000-0008-0000-1800-000008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3737" name="Check Box 9" hidden="1">
              <a:extLst>
                <a:ext uri="{63B3BB69-23CF-44E3-9099-C40C66FF867C}">
                  <a14:compatExt spid="_x0000_s73737"/>
                </a:ext>
                <a:ext uri="{FF2B5EF4-FFF2-40B4-BE49-F238E27FC236}">
                  <a16:creationId xmlns:a16="http://schemas.microsoft.com/office/drawing/2014/main" id="{00000000-0008-0000-1800-000009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3175</xdr:colOff>
          <xdr:row>89</xdr:row>
          <xdr:rowOff>25400</xdr:rowOff>
        </xdr:to>
        <xdr:sp macro="" textlink="">
          <xdr:nvSpPr>
            <xdr:cNvPr id="73738" name="Check Box 10" hidden="1">
              <a:extLst>
                <a:ext uri="{63B3BB69-23CF-44E3-9099-C40C66FF867C}">
                  <a14:compatExt spid="_x0000_s73738"/>
                </a:ext>
                <a:ext uri="{FF2B5EF4-FFF2-40B4-BE49-F238E27FC236}">
                  <a16:creationId xmlns:a16="http://schemas.microsoft.com/office/drawing/2014/main" id="{00000000-0008-0000-1800-00000A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3739" name="Check Box 11" hidden="1">
              <a:extLst>
                <a:ext uri="{63B3BB69-23CF-44E3-9099-C40C66FF867C}">
                  <a14:compatExt spid="_x0000_s73739"/>
                </a:ext>
                <a:ext uri="{FF2B5EF4-FFF2-40B4-BE49-F238E27FC236}">
                  <a16:creationId xmlns:a16="http://schemas.microsoft.com/office/drawing/2014/main" id="{00000000-0008-0000-1800-00000B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3740" name="Check Box 12" hidden="1">
              <a:extLst>
                <a:ext uri="{63B3BB69-23CF-44E3-9099-C40C66FF867C}">
                  <a14:compatExt spid="_x0000_s73740"/>
                </a:ext>
                <a:ext uri="{FF2B5EF4-FFF2-40B4-BE49-F238E27FC236}">
                  <a16:creationId xmlns:a16="http://schemas.microsoft.com/office/drawing/2014/main" id="{00000000-0008-0000-1800-00000C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8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3741" name="Check Box 13" hidden="1">
              <a:extLst>
                <a:ext uri="{63B3BB69-23CF-44E3-9099-C40C66FF867C}">
                  <a14:compatExt spid="_x0000_s73741"/>
                </a:ext>
                <a:ext uri="{FF2B5EF4-FFF2-40B4-BE49-F238E27FC236}">
                  <a16:creationId xmlns:a16="http://schemas.microsoft.com/office/drawing/2014/main" id="{00000000-0008-0000-1800-00000D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3742" name="Check Box 14" hidden="1">
              <a:extLst>
                <a:ext uri="{63B3BB69-23CF-44E3-9099-C40C66FF867C}">
                  <a14:compatExt spid="_x0000_s73742"/>
                </a:ext>
                <a:ext uri="{FF2B5EF4-FFF2-40B4-BE49-F238E27FC236}">
                  <a16:creationId xmlns:a16="http://schemas.microsoft.com/office/drawing/2014/main" id="{00000000-0008-0000-1800-00000E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3743" name="Check Box 15" hidden="1">
              <a:extLst>
                <a:ext uri="{63B3BB69-23CF-44E3-9099-C40C66FF867C}">
                  <a14:compatExt spid="_x0000_s73743"/>
                </a:ext>
                <a:ext uri="{FF2B5EF4-FFF2-40B4-BE49-F238E27FC236}">
                  <a16:creationId xmlns:a16="http://schemas.microsoft.com/office/drawing/2014/main" id="{00000000-0008-0000-1800-00000F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3744" name="Check Box 16" hidden="1">
              <a:extLst>
                <a:ext uri="{63B3BB69-23CF-44E3-9099-C40C66FF867C}">
                  <a14:compatExt spid="_x0000_s73744"/>
                </a:ext>
                <a:ext uri="{FF2B5EF4-FFF2-40B4-BE49-F238E27FC236}">
                  <a16:creationId xmlns:a16="http://schemas.microsoft.com/office/drawing/2014/main" id="{00000000-0008-0000-1800-000010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3745" name="Check Box 17" hidden="1">
              <a:extLst>
                <a:ext uri="{63B3BB69-23CF-44E3-9099-C40C66FF867C}">
                  <a14:compatExt spid="_x0000_s73745"/>
                </a:ext>
                <a:ext uri="{FF2B5EF4-FFF2-40B4-BE49-F238E27FC236}">
                  <a16:creationId xmlns:a16="http://schemas.microsoft.com/office/drawing/2014/main" id="{00000000-0008-0000-1800-000011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3746" name="Check Box 18" hidden="1">
              <a:extLst>
                <a:ext uri="{63B3BB69-23CF-44E3-9099-C40C66FF867C}">
                  <a14:compatExt spid="_x0000_s73746"/>
                </a:ext>
                <a:ext uri="{FF2B5EF4-FFF2-40B4-BE49-F238E27FC236}">
                  <a16:creationId xmlns:a16="http://schemas.microsoft.com/office/drawing/2014/main" id="{00000000-0008-0000-1800-000012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3747" name="Check Box 19" hidden="1">
              <a:extLst>
                <a:ext uri="{63B3BB69-23CF-44E3-9099-C40C66FF867C}">
                  <a14:compatExt spid="_x0000_s73747"/>
                </a:ext>
                <a:ext uri="{FF2B5EF4-FFF2-40B4-BE49-F238E27FC236}">
                  <a16:creationId xmlns:a16="http://schemas.microsoft.com/office/drawing/2014/main" id="{00000000-0008-0000-1800-00001320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95251</xdr:colOff>
      <xdr:row>111</xdr:row>
      <xdr:rowOff>57150</xdr:rowOff>
    </xdr:to>
    <xdr:sp macro="" textlink="">
      <xdr:nvSpPr>
        <xdr:cNvPr id="23" name="TextBox 22">
          <a:extLst>
            <a:ext uri="{FF2B5EF4-FFF2-40B4-BE49-F238E27FC236}">
              <a16:creationId xmlns:a16="http://schemas.microsoft.com/office/drawing/2014/main" id="{00000000-0008-0000-1800-000017000000}"/>
            </a:ext>
          </a:extLst>
        </xdr:cNvPr>
        <xdr:cNvSpPr txBox="1"/>
      </xdr:nvSpPr>
      <xdr:spPr>
        <a:xfrm>
          <a:off x="0" y="18583275"/>
          <a:ext cx="7686676" cy="19431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drawings/drawing1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21</xdr:col>
          <xdr:colOff>76200</xdr:colOff>
          <xdr:row>17</xdr:row>
          <xdr:rowOff>0</xdr:rowOff>
        </xdr:from>
        <xdr:to>
          <xdr:col>21</xdr:col>
          <xdr:colOff>298450</xdr:colOff>
          <xdr:row>18</xdr:row>
          <xdr:rowOff>50800</xdr:rowOff>
        </xdr:to>
        <xdr:sp macro="" textlink="">
          <xdr:nvSpPr>
            <xdr:cNvPr id="134145" name="Check Box 1" hidden="1">
              <a:extLst>
                <a:ext uri="{63B3BB69-23CF-44E3-9099-C40C66FF867C}">
                  <a14:compatExt spid="_x0000_s134145"/>
                </a:ext>
                <a:ext uri="{FF2B5EF4-FFF2-40B4-BE49-F238E27FC236}">
                  <a16:creationId xmlns:a16="http://schemas.microsoft.com/office/drawing/2014/main" id="{00000000-0008-0000-1A00-0000010C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18</xdr:row>
          <xdr:rowOff>190500</xdr:rowOff>
        </xdr:from>
        <xdr:to>
          <xdr:col>21</xdr:col>
          <xdr:colOff>298450</xdr:colOff>
          <xdr:row>20</xdr:row>
          <xdr:rowOff>31750</xdr:rowOff>
        </xdr:to>
        <xdr:sp macro="" textlink="">
          <xdr:nvSpPr>
            <xdr:cNvPr id="134146" name="Check Box 2" hidden="1">
              <a:extLst>
                <a:ext uri="{63B3BB69-23CF-44E3-9099-C40C66FF867C}">
                  <a14:compatExt spid="_x0000_s134146"/>
                </a:ext>
                <a:ext uri="{FF2B5EF4-FFF2-40B4-BE49-F238E27FC236}">
                  <a16:creationId xmlns:a16="http://schemas.microsoft.com/office/drawing/2014/main" id="{00000000-0008-0000-1A00-0000020C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23</xdr:row>
          <xdr:rowOff>0</xdr:rowOff>
        </xdr:from>
        <xdr:to>
          <xdr:col>21</xdr:col>
          <xdr:colOff>292100</xdr:colOff>
          <xdr:row>24</xdr:row>
          <xdr:rowOff>50800</xdr:rowOff>
        </xdr:to>
        <xdr:sp macro="" textlink="">
          <xdr:nvSpPr>
            <xdr:cNvPr id="134147" name="Check Box 3" hidden="1">
              <a:extLst>
                <a:ext uri="{63B3BB69-23CF-44E3-9099-C40C66FF867C}">
                  <a14:compatExt spid="_x0000_s134147"/>
                </a:ext>
                <a:ext uri="{FF2B5EF4-FFF2-40B4-BE49-F238E27FC236}">
                  <a16:creationId xmlns:a16="http://schemas.microsoft.com/office/drawing/2014/main" id="{00000000-0008-0000-1A00-0000030C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24</xdr:row>
          <xdr:rowOff>190500</xdr:rowOff>
        </xdr:from>
        <xdr:to>
          <xdr:col>21</xdr:col>
          <xdr:colOff>292100</xdr:colOff>
          <xdr:row>26</xdr:row>
          <xdr:rowOff>31750</xdr:rowOff>
        </xdr:to>
        <xdr:sp macro="" textlink="">
          <xdr:nvSpPr>
            <xdr:cNvPr id="134148" name="Check Box 4" hidden="1">
              <a:extLst>
                <a:ext uri="{63B3BB69-23CF-44E3-9099-C40C66FF867C}">
                  <a14:compatExt spid="_x0000_s134148"/>
                </a:ext>
                <a:ext uri="{FF2B5EF4-FFF2-40B4-BE49-F238E27FC236}">
                  <a16:creationId xmlns:a16="http://schemas.microsoft.com/office/drawing/2014/main" id="{00000000-0008-0000-1A00-0000040C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29</xdr:row>
          <xdr:rowOff>0</xdr:rowOff>
        </xdr:from>
        <xdr:to>
          <xdr:col>21</xdr:col>
          <xdr:colOff>292100</xdr:colOff>
          <xdr:row>30</xdr:row>
          <xdr:rowOff>50800</xdr:rowOff>
        </xdr:to>
        <xdr:sp macro="" textlink="">
          <xdr:nvSpPr>
            <xdr:cNvPr id="134149" name="Check Box 5" hidden="1">
              <a:extLst>
                <a:ext uri="{63B3BB69-23CF-44E3-9099-C40C66FF867C}">
                  <a14:compatExt spid="_x0000_s134149"/>
                </a:ext>
                <a:ext uri="{FF2B5EF4-FFF2-40B4-BE49-F238E27FC236}">
                  <a16:creationId xmlns:a16="http://schemas.microsoft.com/office/drawing/2014/main" id="{00000000-0008-0000-1A00-0000050C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30</xdr:row>
          <xdr:rowOff>190500</xdr:rowOff>
        </xdr:from>
        <xdr:to>
          <xdr:col>21</xdr:col>
          <xdr:colOff>292100</xdr:colOff>
          <xdr:row>32</xdr:row>
          <xdr:rowOff>31750</xdr:rowOff>
        </xdr:to>
        <xdr:sp macro="" textlink="">
          <xdr:nvSpPr>
            <xdr:cNvPr id="134150" name="Check Box 6" hidden="1">
              <a:extLst>
                <a:ext uri="{63B3BB69-23CF-44E3-9099-C40C66FF867C}">
                  <a14:compatExt spid="_x0000_s134150"/>
                </a:ext>
                <a:ext uri="{FF2B5EF4-FFF2-40B4-BE49-F238E27FC236}">
                  <a16:creationId xmlns:a16="http://schemas.microsoft.com/office/drawing/2014/main" id="{00000000-0008-0000-1A00-0000060C02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21</xdr:col>
          <xdr:colOff>76200</xdr:colOff>
          <xdr:row>17</xdr:row>
          <xdr:rowOff>0</xdr:rowOff>
        </xdr:from>
        <xdr:to>
          <xdr:col>21</xdr:col>
          <xdr:colOff>298450</xdr:colOff>
          <xdr:row>18</xdr:row>
          <xdr:rowOff>50800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1B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18</xdr:row>
          <xdr:rowOff>190500</xdr:rowOff>
        </xdr:from>
        <xdr:to>
          <xdr:col>21</xdr:col>
          <xdr:colOff>298450</xdr:colOff>
          <xdr:row>20</xdr:row>
          <xdr:rowOff>31750</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1B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23</xdr:row>
          <xdr:rowOff>0</xdr:rowOff>
        </xdr:from>
        <xdr:to>
          <xdr:col>21</xdr:col>
          <xdr:colOff>292100</xdr:colOff>
          <xdr:row>24</xdr:row>
          <xdr:rowOff>50800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1B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24</xdr:row>
          <xdr:rowOff>190500</xdr:rowOff>
        </xdr:from>
        <xdr:to>
          <xdr:col>21</xdr:col>
          <xdr:colOff>292100</xdr:colOff>
          <xdr:row>26</xdr:row>
          <xdr:rowOff>31750</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1B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76200</xdr:colOff>
          <xdr:row>29</xdr:row>
          <xdr:rowOff>0</xdr:rowOff>
        </xdr:from>
        <xdr:to>
          <xdr:col>21</xdr:col>
          <xdr:colOff>292100</xdr:colOff>
          <xdr:row>30</xdr:row>
          <xdr:rowOff>50800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1B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21</xdr:col>
          <xdr:colOff>69850</xdr:colOff>
          <xdr:row>30</xdr:row>
          <xdr:rowOff>190500</xdr:rowOff>
        </xdr:from>
        <xdr:to>
          <xdr:col>21</xdr:col>
          <xdr:colOff>292100</xdr:colOff>
          <xdr:row>32</xdr:row>
          <xdr:rowOff>31750</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1B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38100</xdr:colOff>
          <xdr:row>35</xdr:row>
          <xdr:rowOff>12700</xdr:rowOff>
        </xdr:from>
        <xdr:to>
          <xdr:col>2</xdr:col>
          <xdr:colOff>292100</xdr:colOff>
          <xdr:row>36</xdr:row>
          <xdr:rowOff>25400</xdr:rowOff>
        </xdr:to>
        <xdr:sp macro="" textlink="">
          <xdr:nvSpPr>
            <xdr:cNvPr id="74753" name="Check Box 1" hidden="1">
              <a:extLst>
                <a:ext uri="{63B3BB69-23CF-44E3-9099-C40C66FF867C}">
                  <a14:compatExt spid="_x0000_s74753"/>
                </a:ext>
                <a:ext uri="{FF2B5EF4-FFF2-40B4-BE49-F238E27FC236}">
                  <a16:creationId xmlns:a16="http://schemas.microsoft.com/office/drawing/2014/main" id="{00000000-0008-0000-1C00-000001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69850</xdr:colOff>
          <xdr:row>35</xdr:row>
          <xdr:rowOff>0</xdr:rowOff>
        </xdr:from>
        <xdr:to>
          <xdr:col>12</xdr:col>
          <xdr:colOff>3175</xdr:colOff>
          <xdr:row>36</xdr:row>
          <xdr:rowOff>12700</xdr:rowOff>
        </xdr:to>
        <xdr:sp macro="" textlink="">
          <xdr:nvSpPr>
            <xdr:cNvPr id="74754" name="Check Box 2" hidden="1">
              <a:extLst>
                <a:ext uri="{63B3BB69-23CF-44E3-9099-C40C66FF867C}">
                  <a14:compatExt spid="_x0000_s74754"/>
                </a:ext>
                <a:ext uri="{FF2B5EF4-FFF2-40B4-BE49-F238E27FC236}">
                  <a16:creationId xmlns:a16="http://schemas.microsoft.com/office/drawing/2014/main" id="{00000000-0008-0000-1C00-000002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17</xdr:row>
          <xdr:rowOff>0</xdr:rowOff>
        </xdr:from>
        <xdr:to>
          <xdr:col>3</xdr:col>
          <xdr:colOff>101600</xdr:colOff>
          <xdr:row>18</xdr:row>
          <xdr:rowOff>12700</xdr:rowOff>
        </xdr:to>
        <xdr:sp macro="" textlink="">
          <xdr:nvSpPr>
            <xdr:cNvPr id="74755" name="Check Box 3" hidden="1">
              <a:extLst>
                <a:ext uri="{63B3BB69-23CF-44E3-9099-C40C66FF867C}">
                  <a14:compatExt spid="_x0000_s74755"/>
                </a:ext>
                <a:ext uri="{FF2B5EF4-FFF2-40B4-BE49-F238E27FC236}">
                  <a16:creationId xmlns:a16="http://schemas.microsoft.com/office/drawing/2014/main" id="{00000000-0008-0000-1C00-000003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260350</xdr:colOff>
          <xdr:row>16</xdr:row>
          <xdr:rowOff>12700</xdr:rowOff>
        </xdr:from>
        <xdr:to>
          <xdr:col>3</xdr:col>
          <xdr:colOff>101600</xdr:colOff>
          <xdr:row>17</xdr:row>
          <xdr:rowOff>25400</xdr:rowOff>
        </xdr:to>
        <xdr:sp macro="" textlink="">
          <xdr:nvSpPr>
            <xdr:cNvPr id="74756" name="Check Box 4" hidden="1">
              <a:extLst>
                <a:ext uri="{63B3BB69-23CF-44E3-9099-C40C66FF867C}">
                  <a14:compatExt spid="_x0000_s74756"/>
                </a:ext>
                <a:ext uri="{FF2B5EF4-FFF2-40B4-BE49-F238E27FC236}">
                  <a16:creationId xmlns:a16="http://schemas.microsoft.com/office/drawing/2014/main" id="{00000000-0008-0000-1C00-000004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203200</xdr:rowOff>
        </xdr:from>
        <xdr:to>
          <xdr:col>11</xdr:col>
          <xdr:colOff>31750</xdr:colOff>
          <xdr:row>18</xdr:row>
          <xdr:rowOff>0</xdr:rowOff>
        </xdr:to>
        <xdr:sp macro="" textlink="">
          <xdr:nvSpPr>
            <xdr:cNvPr id="74757" name="Check Box 5" hidden="1">
              <a:extLst>
                <a:ext uri="{63B3BB69-23CF-44E3-9099-C40C66FF867C}">
                  <a14:compatExt spid="_x0000_s74757"/>
                </a:ext>
                <a:ext uri="{FF2B5EF4-FFF2-40B4-BE49-F238E27FC236}">
                  <a16:creationId xmlns:a16="http://schemas.microsoft.com/office/drawing/2014/main" id="{00000000-0008-0000-1C00-000005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139700</xdr:colOff>
          <xdr:row>16</xdr:row>
          <xdr:rowOff>0</xdr:rowOff>
        </xdr:from>
        <xdr:to>
          <xdr:col>11</xdr:col>
          <xdr:colOff>31750</xdr:colOff>
          <xdr:row>17</xdr:row>
          <xdr:rowOff>12700</xdr:rowOff>
        </xdr:to>
        <xdr:sp macro="" textlink="">
          <xdr:nvSpPr>
            <xdr:cNvPr id="74758" name="Check Box 6" hidden="1">
              <a:extLst>
                <a:ext uri="{63B3BB69-23CF-44E3-9099-C40C66FF867C}">
                  <a14:compatExt spid="_x0000_s74758"/>
                </a:ext>
                <a:ext uri="{FF2B5EF4-FFF2-40B4-BE49-F238E27FC236}">
                  <a16:creationId xmlns:a16="http://schemas.microsoft.com/office/drawing/2014/main" id="{00000000-0008-0000-1C00-000006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12700</xdr:rowOff>
        </xdr:from>
        <xdr:to>
          <xdr:col>19</xdr:col>
          <xdr:colOff>12700</xdr:colOff>
          <xdr:row>17</xdr:row>
          <xdr:rowOff>25400</xdr:rowOff>
        </xdr:to>
        <xdr:sp macro="" textlink="">
          <xdr:nvSpPr>
            <xdr:cNvPr id="74759" name="Check Box 7" hidden="1">
              <a:extLst>
                <a:ext uri="{63B3BB69-23CF-44E3-9099-C40C66FF867C}">
                  <a14:compatExt spid="_x0000_s74759"/>
                </a:ext>
                <a:ext uri="{FF2B5EF4-FFF2-40B4-BE49-F238E27FC236}">
                  <a16:creationId xmlns:a16="http://schemas.microsoft.com/office/drawing/2014/main" id="{00000000-0008-0000-1C00-000007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88900</xdr:colOff>
          <xdr:row>87</xdr:row>
          <xdr:rowOff>76200</xdr:rowOff>
        </xdr:from>
        <xdr:to>
          <xdr:col>2</xdr:col>
          <xdr:colOff>25400</xdr:colOff>
          <xdr:row>89</xdr:row>
          <xdr:rowOff>0</xdr:rowOff>
        </xdr:to>
        <xdr:sp macro="" textlink="">
          <xdr:nvSpPr>
            <xdr:cNvPr id="74760" name="Check Box 8" hidden="1">
              <a:extLst>
                <a:ext uri="{63B3BB69-23CF-44E3-9099-C40C66FF867C}">
                  <a14:compatExt spid="_x0000_s74760"/>
                </a:ext>
                <a:ext uri="{FF2B5EF4-FFF2-40B4-BE49-F238E27FC236}">
                  <a16:creationId xmlns:a16="http://schemas.microsoft.com/office/drawing/2014/main" id="{00000000-0008-0000-1C00-000008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406400</xdr:colOff>
          <xdr:row>88</xdr:row>
          <xdr:rowOff>0</xdr:rowOff>
        </xdr:from>
        <xdr:to>
          <xdr:col>9</xdr:col>
          <xdr:colOff>206375</xdr:colOff>
          <xdr:row>89</xdr:row>
          <xdr:rowOff>12700</xdr:rowOff>
        </xdr:to>
        <xdr:sp macro="" textlink="">
          <xdr:nvSpPr>
            <xdr:cNvPr id="74761" name="Check Box 9" hidden="1">
              <a:extLst>
                <a:ext uri="{63B3BB69-23CF-44E3-9099-C40C66FF867C}">
                  <a14:compatExt spid="_x0000_s74761"/>
                </a:ext>
                <a:ext uri="{FF2B5EF4-FFF2-40B4-BE49-F238E27FC236}">
                  <a16:creationId xmlns:a16="http://schemas.microsoft.com/office/drawing/2014/main" id="{00000000-0008-0000-1C00-000009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139700</xdr:colOff>
          <xdr:row>88</xdr:row>
          <xdr:rowOff>0</xdr:rowOff>
        </xdr:from>
        <xdr:to>
          <xdr:col>17</xdr:col>
          <xdr:colOff>3175</xdr:colOff>
          <xdr:row>89</xdr:row>
          <xdr:rowOff>25400</xdr:rowOff>
        </xdr:to>
        <xdr:sp macro="" textlink="">
          <xdr:nvSpPr>
            <xdr:cNvPr id="74762" name="Check Box 10" hidden="1">
              <a:extLst>
                <a:ext uri="{63B3BB69-23CF-44E3-9099-C40C66FF867C}">
                  <a14:compatExt spid="_x0000_s74762"/>
                </a:ext>
                <a:ext uri="{FF2B5EF4-FFF2-40B4-BE49-F238E27FC236}">
                  <a16:creationId xmlns:a16="http://schemas.microsoft.com/office/drawing/2014/main" id="{00000000-0008-0000-1C00-00000A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990600</xdr:colOff>
          <xdr:row>16</xdr:row>
          <xdr:rowOff>203200</xdr:rowOff>
        </xdr:from>
        <xdr:to>
          <xdr:col>19</xdr:col>
          <xdr:colOff>12700</xdr:colOff>
          <xdr:row>18</xdr:row>
          <xdr:rowOff>0</xdr:rowOff>
        </xdr:to>
        <xdr:sp macro="" textlink="">
          <xdr:nvSpPr>
            <xdr:cNvPr id="74763" name="Check Box 11" hidden="1">
              <a:extLst>
                <a:ext uri="{63B3BB69-23CF-44E3-9099-C40C66FF867C}">
                  <a14:compatExt spid="_x0000_s74763"/>
                </a:ext>
                <a:ext uri="{FF2B5EF4-FFF2-40B4-BE49-F238E27FC236}">
                  <a16:creationId xmlns:a16="http://schemas.microsoft.com/office/drawing/2014/main" id="{00000000-0008-0000-1C00-00000B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717550</xdr:colOff>
          <xdr:row>35</xdr:row>
          <xdr:rowOff>0</xdr:rowOff>
        </xdr:from>
        <xdr:to>
          <xdr:col>18</xdr:col>
          <xdr:colOff>0</xdr:colOff>
          <xdr:row>36</xdr:row>
          <xdr:rowOff>12700</xdr:rowOff>
        </xdr:to>
        <xdr:sp macro="" textlink="">
          <xdr:nvSpPr>
            <xdr:cNvPr id="74764" name="Check Box 12" hidden="1">
              <a:extLst>
                <a:ext uri="{63B3BB69-23CF-44E3-9099-C40C66FF867C}">
                  <a14:compatExt spid="_x0000_s74764"/>
                </a:ext>
                <a:ext uri="{FF2B5EF4-FFF2-40B4-BE49-F238E27FC236}">
                  <a16:creationId xmlns:a16="http://schemas.microsoft.com/office/drawing/2014/main" id="{00000000-0008-0000-1C00-00000C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oneCellAnchor>
    <xdr:from>
      <xdr:col>0</xdr:col>
      <xdr:colOff>0</xdr:colOff>
      <xdr:row>39</xdr:row>
      <xdr:rowOff>142875</xdr:rowOff>
    </xdr:from>
    <xdr:ext cx="7724775" cy="7208184"/>
    <xdr:sp macro="" textlink="">
      <xdr:nvSpPr>
        <xdr:cNvPr id="14" name="TextBox 13">
          <a:extLst>
            <a:ext uri="{FF2B5EF4-FFF2-40B4-BE49-F238E27FC236}">
              <a16:creationId xmlns:a16="http://schemas.microsoft.com/office/drawing/2014/main" id="{00000000-0008-0000-1C00-00000E000000}"/>
            </a:ext>
          </a:extLst>
        </xdr:cNvPr>
        <xdr:cNvSpPr txBox="1"/>
      </xdr:nvSpPr>
      <xdr:spPr>
        <a:xfrm>
          <a:off x="0" y="7658100"/>
          <a:ext cx="7724775" cy="720818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noAutofit/>
        </a:bodyPr>
        <a:lstStyle/>
        <a:p>
          <a:pPr marL="230400" lvl="0" indent="0" algn="just">
            <a:buFontTx/>
            <a:buNone/>
          </a:pPr>
          <a:r>
            <a:rPr lang="en-PH" sz="750">
              <a:solidFill>
                <a:schemeClr val="dk1"/>
              </a:solidFill>
              <a:effectLst/>
              <a:latin typeface="Century Gothic" panose="020B0502020202020204" pitchFamily="34" charset="0"/>
              <a:ea typeface="+mn-ea"/>
              <a:cs typeface="+mn-cs"/>
            </a:rPr>
            <a:t>Reservation Fee, exclusive of VAT, in order to reserve the Property for our intended purchase which shall be effective for a period of thirty (30) days from payment of the Reservation Fee. I understand and acknowledge that the Reservation fee is non-refundable. Should I decide to cancel my reservation; fail to submit all the documentary requirements, including this Reservation Agreement, under the attached Annex B; or fail to pay the amounts due on the due dates prescribed under the attached Annex A, for any reasons whatsoever, I agree that my reservation shall lapse and my Reservation Fee shall be forfeited in favor of the Company. I will hold the company free and harmless for thereafter releasing and offering the Property to other interested buyers.</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2"/>
          </a:pPr>
          <a:r>
            <a:rPr lang="en-PH" sz="750">
              <a:solidFill>
                <a:schemeClr val="dk1"/>
              </a:solidFill>
              <a:effectLst/>
              <a:latin typeface="Century Gothic" panose="020B0502020202020204" pitchFamily="34" charset="0"/>
              <a:ea typeface="+mn-ea"/>
              <a:cs typeface="+mn-cs"/>
            </a:rPr>
            <a:t>I acknowledge that the Company reserves the right to accept or deny this request for reservation and is non- transferable. </a:t>
          </a:r>
        </a:p>
        <a:p>
          <a:pPr algn="just"/>
          <a:r>
            <a:rPr lang="en-PH" sz="750">
              <a:solidFill>
                <a:schemeClr val="dk1"/>
              </a:solidFill>
              <a:effectLst/>
              <a:latin typeface="Century Gothic" panose="020B0502020202020204" pitchFamily="34" charset="0"/>
              <a:ea typeface="+mn-ea"/>
              <a:cs typeface="+mn-cs"/>
            </a:rPr>
            <a:t> </a:t>
          </a: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acknowledge that in the event my application to purchase the Property is accepted, the Reservation Fee shall automatically form part of the required down payment. Upon being notified of the acceptance of my offer to purchase the Property, I shall remit, within the period required by the company, the down payment and/or balance, and the complete post-dated cheques, in accordance with the Schedule of Payment (inclusive of VAT and other charges), without need of further demand. Any and all payments made to any individual, realtor, broker, employee or to a party other than the Company for safekeeping in favor of or for transmittal to the Company shall be at my sole and exclusive risk and responsibility, and shall not bind nor make the former answerable in any way thereof unless and until actually received, receipted and validated by the Company’s Cashier or officer duly authorized by the Company. All payments shall be made ONLY through crossed-checks payable to the Company under the corporate name: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b="1">
              <a:solidFill>
                <a:schemeClr val="dk1"/>
              </a:solidFill>
              <a:effectLst/>
              <a:latin typeface="Century Gothic" panose="020B0502020202020204" pitchFamily="34" charset="0"/>
              <a:ea typeface="+mn-ea"/>
              <a:cs typeface="+mn-cs"/>
            </a:rPr>
            <a:t>.</a:t>
          </a:r>
          <a:r>
            <a:rPr lang="en-PH" sz="750">
              <a:solidFill>
                <a:schemeClr val="dk1"/>
              </a:solidFill>
              <a:effectLst/>
              <a:latin typeface="Century Gothic" panose="020B0502020202020204" pitchFamily="34" charset="0"/>
              <a:ea typeface="+mn-ea"/>
              <a:cs typeface="+mn-cs"/>
            </a:rPr>
            <a:t>or cash payable only directly to the Credit and Collection Department of the Company in its Head Office.</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further acknowledge that all payments in relation to this Reservation Agreement shall be made on or before their due dates, without the necessity of any prior notice or demand and whether or not the Contract to Sell has been signed and sent back to the Developer/Company. All overdue payments shall be subject to a penalty equivalent to a rate of 0.001 or 1/1000 of past due amount per day of delay, without prejudice to the right of the Developer/Company to cancel this Reservation Agreement.</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Unless otherwise provided, my Contract to Sell for the Property shall be prepared only after I have submitted to the Company all necessary documents and postdated checks in such amounts and on such dates as are in accordance with the Schedule of Payment. The Contract to Sell shall be executed and signed by me within thirty (30) days from date of receipt of the Contract to Sell. Should I fail to submit the duly signed Contract to Sell within the said period, this Reservation Agreement shall be cancelled.</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r>
            <a:rPr lang="en-PH" sz="750">
              <a:solidFill>
                <a:schemeClr val="dk1"/>
              </a:solidFill>
              <a:effectLst/>
              <a:latin typeface="Century Gothic" panose="020B0502020202020204" pitchFamily="34" charset="0"/>
              <a:ea typeface="+mn-ea"/>
              <a:cs typeface="+mn-cs"/>
            </a:rPr>
            <a:t>I understand and agree that this Agreement only gives me the right to purchase the Property subject to the fulfillment of the conditions herein stated. No other right, title, or ownership is vested upon me by the execution of this Agreement. The Company retains title and ownership of the Property until I shall have fully </a:t>
          </a: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0" lvl="0" indent="0" algn="just">
            <a:buFontTx/>
            <a:buNone/>
          </a:pPr>
          <a:r>
            <a:rPr lang="en-PH" sz="750">
              <a:solidFill>
                <a:schemeClr val="dk1"/>
              </a:solidFill>
              <a:effectLst/>
              <a:latin typeface="Century Gothic" panose="020B0502020202020204" pitchFamily="34" charset="0"/>
              <a:ea typeface="+mn-ea"/>
              <a:cs typeface="+mn-cs"/>
            </a:rPr>
            <a:t>        paid all amounts due to the Company for the purchase of the Property.</a:t>
          </a:r>
        </a:p>
        <a:p>
          <a:pPr marL="228600" indent="-228600" algn="just">
            <a:buFont typeface="+mj-lt"/>
            <a:buAutoNum type="arabicPeriod" startAt="3"/>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In the event that I/we avail ourselves of bank financing to finance the purchase of the subject property, I/we hereby authorize the Company to submit on my/our behalf all available income documents in its possession and my/our personal information to the banks and/or credit investigators (CMAP) for the purpose of loan application pre-assessment. </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further understand that the Total Contract Price indicated herein may vary from the Total Contract Price indicated in the Deed of Absolute Sale due to promos and discounts that may be given to me. In such event, I understand that the Total Contract stated in the Deed of Absolute Sale shall prevail.</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confirm that I have personally inspected the plans and specifications of the Property, studied and verified the Project site and its proximate location and layout of my requested Property and I find the same to be acceptable and satisfactory. I acknowledge that I have independently ascertained and evaluated all materials, facts and technical information related to the purchase of the Property and that I am satisfied with what has been explained to me by the Property Specialist/Broker who assisted me. I further understand that the sizes and/or numbering of the condominium units and parking spaces are subject to adjustments in accordance with the approved building plan or amendments thereon and I agree that the Developer reserves the right to revise architectural and floor plans without my consent.</a:t>
          </a:r>
        </a:p>
        <a:p>
          <a:pPr marL="228600" indent="-228600" algn="just">
            <a:buFont typeface="+mj-lt"/>
            <a:buAutoNum type="arabicPeriod" startAt="7"/>
          </a:pPr>
          <a:endParaRPr lang="en-PH" sz="750">
            <a:solidFill>
              <a:schemeClr val="dk1"/>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chemeClr val="dk1"/>
              </a:solidFill>
              <a:effectLst/>
              <a:latin typeface="Century Gothic" panose="020B0502020202020204" pitchFamily="34" charset="0"/>
              <a:ea typeface="+mn-ea"/>
              <a:cs typeface="+mn-cs"/>
            </a:rPr>
            <a:t>I hereby authorize the Developer of the Project to organize the Project’s governing homeowner’s association or Condominium Corporation, as applicable.</a:t>
          </a:r>
        </a:p>
        <a:p>
          <a:pPr marL="228600" indent="-228600" algn="just">
            <a:buFont typeface="+mj-lt"/>
            <a:buAutoNum type="arabicPeriod" startAt="7"/>
          </a:pPr>
          <a:endParaRPr lang="en-PH" sz="750">
            <a:solidFill>
              <a:sysClr val="windowText" lastClr="000000"/>
            </a:solidFill>
            <a:effectLst/>
            <a:latin typeface="Century Gothic" panose="020B0502020202020204" pitchFamily="34" charset="0"/>
            <a:ea typeface="+mn-ea"/>
            <a:cs typeface="+mn-cs"/>
          </a:endParaRPr>
        </a:p>
        <a:p>
          <a:pPr marL="228600" lvl="0" indent="-228600" algn="just">
            <a:buFont typeface="+mj-lt"/>
            <a:buAutoNum type="arabicPeriod" startAt="7"/>
          </a:pPr>
          <a:r>
            <a:rPr lang="en-PH" sz="750">
              <a:solidFill>
                <a:sysClr val="windowText" lastClr="000000"/>
              </a:solidFill>
              <a:effectLst/>
              <a:latin typeface="Century Gothic" panose="020B0502020202020204" pitchFamily="34" charset="0"/>
              <a:ea typeface="+mn-ea"/>
              <a:cs typeface="+mn-cs"/>
            </a:rPr>
            <a:t>CANCELLATION OF RESERVATION. I /We, hereby agree </a:t>
          </a:r>
          <a:r>
            <a:rPr lang="en-PH" sz="750" b="1">
              <a:solidFill>
                <a:sysClr val="windowText" lastClr="000000"/>
              </a:solidFill>
              <a:effectLst/>
              <a:latin typeface="Century Gothic" panose="020B0502020202020204" pitchFamily="34" charset="0"/>
              <a:ea typeface="+mn-ea"/>
              <a:cs typeface="+mn-cs"/>
            </a:rPr>
            <a:t>ILOILO SOUTHPRIME DEVELOPERS INC.</a:t>
          </a:r>
          <a:r>
            <a:rPr lang="en-PH" sz="750">
              <a:solidFill>
                <a:sysClr val="windowText" lastClr="000000"/>
              </a:solidFill>
              <a:effectLst/>
              <a:latin typeface="Century Gothic" panose="020B0502020202020204" pitchFamily="34" charset="0"/>
              <a:ea typeface="+mn-ea"/>
              <a:cs typeface="+mn-cs"/>
            </a:rPr>
            <a:t>. shall have the right to automatically cancel my/our reservation without further notice and without need of judicial rescission and to forfeit as liquidated damages my/our reservation fee and whatever other payments I/We have made, with any and all rights to the unit(s) considered waived by me/us in favor </a:t>
          </a:r>
          <a:r>
            <a:rPr lang="en-PH" sz="750" b="0">
              <a:solidFill>
                <a:sysClr val="windowText" lastClr="000000"/>
              </a:solidFill>
              <a:effectLst/>
              <a:latin typeface="Century Gothic" panose="020B0502020202020204" pitchFamily="34" charset="0"/>
              <a:ea typeface="+mn-ea"/>
              <a:cs typeface="+mn-cs"/>
            </a:rPr>
            <a:t>of</a:t>
          </a:r>
          <a:r>
            <a:rPr lang="en-PH" sz="750" b="1">
              <a:solidFill>
                <a:sysClr val="windowText" lastClr="000000"/>
              </a:solidFill>
              <a:effectLst/>
              <a:latin typeface="Century Gothic" panose="020B0502020202020204" pitchFamily="34" charset="0"/>
              <a:ea typeface="+mn-ea"/>
              <a:cs typeface="+mn-cs"/>
            </a:rPr>
            <a:t> ILOILO SOUTHPRIME DEVELOPERS INC..,</a:t>
          </a:r>
          <a:r>
            <a:rPr lang="en-PH" sz="750">
              <a:solidFill>
                <a:sysClr val="windowText" lastClr="000000"/>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in the event of any of the following:</a:t>
          </a:r>
        </a:p>
        <a:p>
          <a:pPr algn="just"/>
          <a:r>
            <a:rPr lang="en-PH" sz="750">
              <a:solidFill>
                <a:schemeClr val="dk1"/>
              </a:solidFill>
              <a:effectLst/>
              <a:latin typeface="Century Gothic" panose="020B0502020202020204" pitchFamily="34" charset="0"/>
              <a:ea typeface="+mn-ea"/>
              <a:cs typeface="+mn-cs"/>
            </a:rPr>
            <a:t> </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undergo Counseling within Fifteen (15) days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submit complete documentary requirements under Annex B within Thirty (30) days for the locally employed and Sixty (60) days for OFW’s from payment of the Reservation Fee;</a:t>
          </a:r>
        </a:p>
        <a:p>
          <a:pPr marL="720000" lvl="0" indent="-228600" algn="just">
            <a:buFont typeface="+mj-lt"/>
            <a:buAutoNum type="alphaLcPeriod"/>
          </a:pPr>
          <a:r>
            <a:rPr lang="en-PH" sz="750">
              <a:solidFill>
                <a:schemeClr val="dk1"/>
              </a:solidFill>
              <a:effectLst/>
              <a:latin typeface="Century Gothic" panose="020B0502020202020204" pitchFamily="34" charset="0"/>
              <a:ea typeface="+mn-ea"/>
              <a:cs typeface="+mn-cs"/>
            </a:rPr>
            <a:t>Failure to pay the first equity payment within thirty (30) days from payment of Reservation Fee;</a:t>
          </a:r>
        </a:p>
        <a:p>
          <a:pPr algn="just"/>
          <a:endParaRPr lang="en-PH" sz="750">
            <a:latin typeface="Century Gothic" panose="020B0502020202020204" pitchFamily="34" charset="0"/>
          </a:endParaRPr>
        </a:p>
      </xdr:txBody>
    </xdr:sp>
    <xdr:clientData/>
  </xdr:oneCellAnchor>
  <mc:AlternateContent xmlns:mc="http://schemas.openxmlformats.org/markup-compatibility/2006">
    <mc:Choice xmlns:a14="http://schemas.microsoft.com/office/drawing/2010/main" Requires="a14">
      <xdr:twoCellAnchor editAs="oneCell">
        <xdr:from>
          <xdr:col>16</xdr:col>
          <xdr:colOff>177800</xdr:colOff>
          <xdr:row>89</xdr:row>
          <xdr:rowOff>12700</xdr:rowOff>
        </xdr:from>
        <xdr:to>
          <xdr:col>17</xdr:col>
          <xdr:colOff>25400</xdr:colOff>
          <xdr:row>90</xdr:row>
          <xdr:rowOff>31750</xdr:rowOff>
        </xdr:to>
        <xdr:sp macro="" textlink="">
          <xdr:nvSpPr>
            <xdr:cNvPr id="74765" name="Check Box 13" hidden="1">
              <a:extLst>
                <a:ext uri="{63B3BB69-23CF-44E3-9099-C40C66FF867C}">
                  <a14:compatExt spid="_x0000_s74765"/>
                </a:ext>
                <a:ext uri="{FF2B5EF4-FFF2-40B4-BE49-F238E27FC236}">
                  <a16:creationId xmlns:a16="http://schemas.microsoft.com/office/drawing/2014/main" id="{00000000-0008-0000-1C00-00000D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0</xdr:rowOff>
        </xdr:from>
        <xdr:to>
          <xdr:col>17</xdr:col>
          <xdr:colOff>25400</xdr:colOff>
          <xdr:row>91</xdr:row>
          <xdr:rowOff>25400</xdr:rowOff>
        </xdr:to>
        <xdr:sp macro="" textlink="">
          <xdr:nvSpPr>
            <xdr:cNvPr id="74766" name="Check Box 14" hidden="1">
              <a:extLst>
                <a:ext uri="{63B3BB69-23CF-44E3-9099-C40C66FF867C}">
                  <a14:compatExt spid="_x0000_s74766"/>
                </a:ext>
                <a:ext uri="{FF2B5EF4-FFF2-40B4-BE49-F238E27FC236}">
                  <a16:creationId xmlns:a16="http://schemas.microsoft.com/office/drawing/2014/main" id="{00000000-0008-0000-1C00-00000E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177800</xdr:colOff>
          <xdr:row>90</xdr:row>
          <xdr:rowOff>203200</xdr:rowOff>
        </xdr:from>
        <xdr:to>
          <xdr:col>17</xdr:col>
          <xdr:colOff>25400</xdr:colOff>
          <xdr:row>92</xdr:row>
          <xdr:rowOff>12700</xdr:rowOff>
        </xdr:to>
        <xdr:sp macro="" textlink="">
          <xdr:nvSpPr>
            <xdr:cNvPr id="74767" name="Check Box 15" hidden="1">
              <a:extLst>
                <a:ext uri="{63B3BB69-23CF-44E3-9099-C40C66FF867C}">
                  <a14:compatExt spid="_x0000_s74767"/>
                </a:ext>
                <a:ext uri="{FF2B5EF4-FFF2-40B4-BE49-F238E27FC236}">
                  <a16:creationId xmlns:a16="http://schemas.microsoft.com/office/drawing/2014/main" id="{00000000-0008-0000-1C00-00000F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89</xdr:row>
          <xdr:rowOff>12700</xdr:rowOff>
        </xdr:from>
        <xdr:to>
          <xdr:col>10</xdr:col>
          <xdr:colOff>12700</xdr:colOff>
          <xdr:row>90</xdr:row>
          <xdr:rowOff>31750</xdr:rowOff>
        </xdr:to>
        <xdr:sp macro="" textlink="">
          <xdr:nvSpPr>
            <xdr:cNvPr id="74768" name="Check Box 16" hidden="1">
              <a:extLst>
                <a:ext uri="{63B3BB69-23CF-44E3-9099-C40C66FF867C}">
                  <a14:compatExt spid="_x0000_s74768"/>
                </a:ext>
                <a:ext uri="{FF2B5EF4-FFF2-40B4-BE49-F238E27FC236}">
                  <a16:creationId xmlns:a16="http://schemas.microsoft.com/office/drawing/2014/main" id="{00000000-0008-0000-1C00-000010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31750</xdr:colOff>
          <xdr:row>90</xdr:row>
          <xdr:rowOff>0</xdr:rowOff>
        </xdr:from>
        <xdr:to>
          <xdr:col>10</xdr:col>
          <xdr:colOff>12700</xdr:colOff>
          <xdr:row>91</xdr:row>
          <xdr:rowOff>25400</xdr:rowOff>
        </xdr:to>
        <xdr:sp macro="" textlink="">
          <xdr:nvSpPr>
            <xdr:cNvPr id="74769" name="Check Box 17" hidden="1">
              <a:extLst>
                <a:ext uri="{63B3BB69-23CF-44E3-9099-C40C66FF867C}">
                  <a14:compatExt spid="_x0000_s74769"/>
                </a:ext>
                <a:ext uri="{FF2B5EF4-FFF2-40B4-BE49-F238E27FC236}">
                  <a16:creationId xmlns:a16="http://schemas.microsoft.com/office/drawing/2014/main" id="{00000000-0008-0000-1C00-000011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89</xdr:row>
          <xdr:rowOff>12700</xdr:rowOff>
        </xdr:from>
        <xdr:to>
          <xdr:col>2</xdr:col>
          <xdr:colOff>25400</xdr:colOff>
          <xdr:row>90</xdr:row>
          <xdr:rowOff>31750</xdr:rowOff>
        </xdr:to>
        <xdr:sp macro="" textlink="">
          <xdr:nvSpPr>
            <xdr:cNvPr id="74770" name="Check Box 18" hidden="1">
              <a:extLst>
                <a:ext uri="{63B3BB69-23CF-44E3-9099-C40C66FF867C}">
                  <a14:compatExt spid="_x0000_s74770"/>
                </a:ext>
                <a:ext uri="{FF2B5EF4-FFF2-40B4-BE49-F238E27FC236}">
                  <a16:creationId xmlns:a16="http://schemas.microsoft.com/office/drawing/2014/main" id="{00000000-0008-0000-1C00-000012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107950</xdr:colOff>
          <xdr:row>90</xdr:row>
          <xdr:rowOff>0</xdr:rowOff>
        </xdr:from>
        <xdr:to>
          <xdr:col>2</xdr:col>
          <xdr:colOff>25400</xdr:colOff>
          <xdr:row>91</xdr:row>
          <xdr:rowOff>25400</xdr:rowOff>
        </xdr:to>
        <xdr:sp macro="" textlink="">
          <xdr:nvSpPr>
            <xdr:cNvPr id="74771" name="Check Box 19" hidden="1">
              <a:extLst>
                <a:ext uri="{63B3BB69-23CF-44E3-9099-C40C66FF867C}">
                  <a14:compatExt spid="_x0000_s74771"/>
                </a:ext>
                <a:ext uri="{FF2B5EF4-FFF2-40B4-BE49-F238E27FC236}">
                  <a16:creationId xmlns:a16="http://schemas.microsoft.com/office/drawing/2014/main" id="{00000000-0008-0000-1C00-000013240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0</xdr:col>
      <xdr:colOff>0</xdr:colOff>
      <xdr:row>102</xdr:row>
      <xdr:rowOff>0</xdr:rowOff>
    </xdr:from>
    <xdr:to>
      <xdr:col>20</xdr:col>
      <xdr:colOff>133349</xdr:colOff>
      <xdr:row>111</xdr:row>
      <xdr:rowOff>28575</xdr:rowOff>
    </xdr:to>
    <xdr:sp macro="" textlink="">
      <xdr:nvSpPr>
        <xdr:cNvPr id="23" name="TextBox 22">
          <a:extLst>
            <a:ext uri="{FF2B5EF4-FFF2-40B4-BE49-F238E27FC236}">
              <a16:creationId xmlns:a16="http://schemas.microsoft.com/office/drawing/2014/main" id="{00000000-0008-0000-1C00-000017000000}"/>
            </a:ext>
          </a:extLst>
        </xdr:cNvPr>
        <xdr:cNvSpPr txBox="1"/>
      </xdr:nvSpPr>
      <xdr:spPr>
        <a:xfrm>
          <a:off x="0" y="18583275"/>
          <a:ext cx="7724774" cy="19145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PH" sz="750">
              <a:solidFill>
                <a:schemeClr val="dk1"/>
              </a:solidFill>
              <a:effectLst/>
              <a:latin typeface="Century Gothic" panose="020B0502020202020204" pitchFamily="34" charset="0"/>
              <a:ea typeface="+mn-ea"/>
              <a:cs typeface="+mn-cs"/>
            </a:rPr>
            <a:t>By signing this Reservation Agreement, I hereby consent to the collection, processing, disclosure and storage of my personal data and information in compliance with the Data Privacy Act of 2012, and its Implementing Rules and Regulations (IRR), by </a:t>
          </a:r>
          <a:r>
            <a:rPr lang="en-PH" sz="750" b="1">
              <a:solidFill>
                <a:schemeClr val="dk1"/>
              </a:solidFill>
              <a:effectLst/>
              <a:latin typeface="Century Gothic" panose="020B0502020202020204" pitchFamily="34" charset="0"/>
              <a:ea typeface="+mn-ea"/>
              <a:cs typeface="+mn-cs"/>
            </a:rPr>
            <a:t>ILOILO SOUTHPRIME DEVELOPERS, INC </a:t>
          </a:r>
          <a:r>
            <a:rPr lang="en-PH" sz="750">
              <a:solidFill>
                <a:schemeClr val="dk1"/>
              </a:solidFill>
              <a:effectLst/>
              <a:latin typeface="Century Gothic" panose="020B0502020202020204" pitchFamily="34" charset="0"/>
              <a:ea typeface="+mn-ea"/>
              <a:cs typeface="+mn-cs"/>
            </a:rPr>
            <a:t>(the “Company”).</a:t>
          </a:r>
        </a:p>
        <a:p>
          <a:pPr algn="just"/>
          <a:endParaRPr lang="en-PH" sz="750">
            <a:solidFill>
              <a:schemeClr val="dk1"/>
            </a:solidFill>
            <a:effectLst/>
            <a:latin typeface="Century Gothic" panose="020B0502020202020204" pitchFamily="34" charset="0"/>
            <a:ea typeface="+mn-ea"/>
            <a:cs typeface="+mn-cs"/>
          </a:endParaRPr>
        </a:p>
        <a:p>
          <a:pPr marL="0" marR="0" lvl="0" indent="0" algn="just" defTabSz="914400" eaLnBrk="1" fontAlgn="auto" latinLnBrk="0" hangingPunct="1">
            <a:lnSpc>
              <a:spcPct val="100000"/>
            </a:lnSpc>
            <a:spcBef>
              <a:spcPts val="0"/>
            </a:spcBef>
            <a:spcAft>
              <a:spcPts val="0"/>
            </a:spcAft>
            <a:buClrTx/>
            <a:buSzTx/>
            <a:buFontTx/>
            <a:buNone/>
            <a:tabLst/>
            <a:defRPr/>
          </a:pPr>
          <a:r>
            <a:rPr lang="en-PH" sz="750">
              <a:solidFill>
                <a:schemeClr val="dk1"/>
              </a:solidFill>
              <a:effectLst/>
              <a:latin typeface="Century Gothic" panose="020B0502020202020204" pitchFamily="34" charset="0"/>
              <a:ea typeface="+mn-ea"/>
              <a:cs typeface="+mn-cs"/>
            </a:rPr>
            <a:t>As such, I hereby authorize the Company to: </a:t>
          </a:r>
          <a:r>
            <a:rPr lang="en-PH" sz="750" b="1">
              <a:solidFill>
                <a:schemeClr val="dk1"/>
              </a:solidFill>
              <a:effectLst/>
              <a:latin typeface="Century Gothic" panose="020B0502020202020204" pitchFamily="34" charset="0"/>
              <a:ea typeface="+mn-ea"/>
              <a:cs typeface="+mn-cs"/>
            </a:rPr>
            <a:t>(1)</a:t>
          </a:r>
          <a:r>
            <a:rPr lang="en-PH" sz="750">
              <a:solidFill>
                <a:schemeClr val="dk1"/>
              </a:solidFill>
              <a:effectLst/>
              <a:latin typeface="Century Gothic" panose="020B0502020202020204" pitchFamily="34" charset="0"/>
              <a:ea typeface="+mn-ea"/>
              <a:cs typeface="+mn-cs"/>
            </a:rPr>
            <a:t> use my personal information in all documents and forms requiring such information in relation to all transactions for which this Agreement is entered into; </a:t>
          </a:r>
          <a:r>
            <a:rPr lang="en-PH" sz="750" b="1">
              <a:solidFill>
                <a:schemeClr val="dk1"/>
              </a:solidFill>
              <a:effectLst/>
              <a:latin typeface="Century Gothic" panose="020B0502020202020204" pitchFamily="34" charset="0"/>
              <a:ea typeface="+mn-ea"/>
              <a:cs typeface="+mn-cs"/>
            </a:rPr>
            <a:t>(2)</a:t>
          </a:r>
          <a:r>
            <a:rPr lang="en-PH" sz="750">
              <a:solidFill>
                <a:schemeClr val="dk1"/>
              </a:solidFill>
              <a:effectLst/>
              <a:latin typeface="Century Gothic" panose="020B0502020202020204" pitchFamily="34" charset="0"/>
              <a:ea typeface="+mn-ea"/>
              <a:cs typeface="+mn-cs"/>
            </a:rPr>
            <a:t> share/disclose my personal information, subject to such limitations as may be provided for by law, to the extent necessary to enforce this Agreement or for other legitimate business purpose; and </a:t>
          </a:r>
          <a:r>
            <a:rPr lang="en-PH" sz="750" b="1">
              <a:solidFill>
                <a:schemeClr val="dk1"/>
              </a:solidFill>
              <a:effectLst/>
              <a:latin typeface="Century Gothic" panose="020B0502020202020204" pitchFamily="34" charset="0"/>
              <a:ea typeface="+mn-ea"/>
              <a:cs typeface="+mn-cs"/>
            </a:rPr>
            <a:t>(3)</a:t>
          </a:r>
          <a:r>
            <a:rPr lang="en-PH" sz="750">
              <a:solidFill>
                <a:schemeClr val="dk1"/>
              </a:solidFill>
              <a:effectLst/>
              <a:latin typeface="Century Gothic" panose="020B0502020202020204" pitchFamily="34" charset="0"/>
              <a:ea typeface="+mn-ea"/>
              <a:cs typeface="+mn-cs"/>
            </a:rPr>
            <a:t> retain my information for a reasonable period of time from the date all transactions relating to this Agreement have been either consummated or terminated for any reason whatsoever, subject to all my rights guaranteed under Section 16 of the Data Privacy Act of 2012. Pursuant to Republic Act No. 9160 otherwise known as the Anti-Money Laundering Act of 2001 dated 20 September 2001 as amended by Republic Act No. 11521 dated 29 January 2021, upon my signing of this Agreement, I agree and thereby expressly give my consent to the Company’s procedural</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reporting of pertinent details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the AMLA Committee should the provisions of the law require them</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to disclose any of the information I provided herein, by virtue of the Company’s</a:t>
          </a:r>
          <a:r>
            <a:rPr lang="en-PH" sz="750" b="1">
              <a:solidFill>
                <a:schemeClr val="dk1"/>
              </a:solidFill>
              <a:effectLst/>
              <a:latin typeface="Century Gothic" panose="020B0502020202020204" pitchFamily="34" charset="0"/>
              <a:ea typeface="+mn-ea"/>
              <a:cs typeface="+mn-cs"/>
            </a:rPr>
            <a:t> </a:t>
          </a:r>
          <a:r>
            <a:rPr lang="en-PH" sz="750">
              <a:solidFill>
                <a:schemeClr val="dk1"/>
              </a:solidFill>
              <a:effectLst/>
              <a:latin typeface="Century Gothic" panose="020B0502020202020204" pitchFamily="34" charset="0"/>
              <a:ea typeface="+mn-ea"/>
              <a:cs typeface="+mn-cs"/>
            </a:rPr>
            <a:t>exercise of due diligence required of them by law. I shall not hold the Company liable and shall be protected against Republic Act No. 10173 or the Data Privacy Act of 2012 dated 12 July 2012 by doing so.</a:t>
          </a:r>
        </a:p>
        <a:p>
          <a:pPr algn="just"/>
          <a:endParaRPr lang="en-PH" sz="750">
            <a:solidFill>
              <a:schemeClr val="dk1"/>
            </a:solidFill>
            <a:effectLst/>
            <a:latin typeface="Century Gothic" panose="020B0502020202020204" pitchFamily="34" charset="0"/>
            <a:ea typeface="+mn-ea"/>
            <a:cs typeface="+mn-cs"/>
          </a:endParaRPr>
        </a:p>
        <a:p>
          <a:pPr algn="just"/>
          <a:r>
            <a:rPr lang="en-PH" sz="750">
              <a:solidFill>
                <a:schemeClr val="dk1"/>
              </a:solidFill>
              <a:effectLst/>
              <a:latin typeface="Century Gothic" panose="020B0502020202020204" pitchFamily="34" charset="0"/>
              <a:ea typeface="+mn-ea"/>
              <a:cs typeface="+mn-cs"/>
            </a:rPr>
            <a:t>In view of the foregoing, I further certify that all information I have provided to the Company are, to the best of my knowledge, true and correct, and hold the Company free and harmless from any action or claim for damages in relation to the consent hereby given.</a:t>
          </a:r>
        </a:p>
        <a:p>
          <a:pPr algn="just"/>
          <a:endParaRPr lang="en-PH" sz="750">
            <a:latin typeface="Century Gothic" panose="020B0502020202020204" pitchFamily="34" charset="0"/>
          </a:endParaRPr>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Users/Acer/Documents/CHARM%20FILES/BPM/PRICELIST%20WITH%20AUTOMATED%20SAMPLE%20COMPUTATION/2023/OCTOBER%202023/TSF/BANK%20FINANCING/Updated%20sales%20status_10-9-23/TSF1_RESIDENTIAL_PRICELIST_BANK%20FINANCING_OCT%202023_sample.xlsx?041AAA4B" TargetMode="External"/><Relationship Id="rId1" Type="http://schemas.openxmlformats.org/officeDocument/2006/relationships/externalLinkPath" Target="file:///\\041AAA4B\TSF1_RESIDENTIAL_PRICELIST_BANK%20FINANCING_OCT%202023_sample.xlsx" TargetMode="External"/></Relationships>
</file>

<file path=xl/externalLinks/_rels/externalLink2.xml.rels><?xml version="1.0" encoding="UTF-8" standalone="yes"?>
<Relationships xmlns="http://schemas.openxmlformats.org/package/2006/relationships"><Relationship Id="rId2" Type="http://schemas.microsoft.com/office/2019/04/relationships/externalLinkLongPath" Target="/Users/Acer/Documents/CHARM%20FILES/BPM/PRICELIST%20WITH%20AUTOMATED%20SAMPLE%20COMPUTATION/2024/OCTOBER%202024/PD/Pricelist%20for%20checking/TSF/REVISED/TSF3_RESIDENTIAL_PRICELIST_October%202024_for%20checking.xlsx?6645050C" TargetMode="External"/><Relationship Id="rId1" Type="http://schemas.openxmlformats.org/officeDocument/2006/relationships/externalLinkPath" Target="file:///\\6645050C\TSF3_RESIDENTIAL_PRICELIST_October%202024_for%20checking.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outhprime/Desktop/WITH%20LOG%20APPROVE/BLOCK%2018%20LOT%202%20JEAN%20GRACE%20DELA%20CRUZ.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Acer/Documents/CHARM%20FILES/SOA/EE%20SOA/PHASE%201_EMERALD%20ESTATES_SOA.xlsx" TargetMode="External"/></Relationships>
</file>

<file path=xl/externalLinks/_rels/externalLink5.xml.rels><?xml version="1.0" encoding="UTF-8" standalone="yes"?>
<Relationships xmlns="http://schemas.openxmlformats.org/package/2006/relationships"><Relationship Id="rId2" Type="http://schemas.microsoft.com/office/2019/04/relationships/externalLinkLongPath" Target="/Users/Acer/OneDrive/Documents/CHARM%20FILES/BPM/PRICELIST%20WITH%20AUTOMATED%20SAMPLE%20COMPUTATION/2022/OCTOBER%202022/TSF_New%20pricelist%20with%20price%20increase/TSF%20Building%20123%20Price%20Study_SSO_14-Oct-2022_Final.xlsx?749C16D9" TargetMode="External"/><Relationship Id="rId1" Type="http://schemas.openxmlformats.org/officeDocument/2006/relationships/externalLinkPath" Target="file:///\\749C16D9\TSF%20Building%20123%20Price%20Study_SSO_14-Oct-2022_Final.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Documents\Documents\Ilo-Ilo%20Emerald\THE%20SOUTHPRIME%20FLATS\Building%202\Pricelist\TSF2_RESIDENTIAL%20PRICELIST_14-OCT-2022.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Acer/OneDrive/Documents/CHARM%20FILES/SOA/TSF%20SOA/Statement%20of%20Account_TSF1%20Building%203_Residentia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Wee%20Comm%20Developers/Desktop/Automated%20Package%20Computation_Step%20up/SAMPLE%20PACKAGE%20COMPUTATION_HPR%20TOWER%201_09.21.20%20updated%20step%20up.xlsx"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Sheet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truction Sched 2023"/>
      <sheetName val="Amort Computation"/>
      <sheetName val="Sheet2"/>
      <sheetName val="Corrected and Updated TSF 1"/>
      <sheetName val="INTERNAL PRICELIST(OLD)"/>
      <sheetName val="Sheet1"/>
      <sheetName val="Pricelist Link"/>
      <sheetName val="FORM"/>
      <sheetName val="STEP UP"/>
      <sheetName val="RA_Step Up"/>
      <sheetName val="7% Step-up plus 3% Lumpsum"/>
      <sheetName val="STEP UP_(10% Equity only)_2"/>
      <sheetName val="Step-up with Lumpsum"/>
      <sheetName val="2.5% Lumpsum"/>
      <sheetName val="STANDARD COMP."/>
      <sheetName val="RA_Standard"/>
      <sheetName val="SPOT EQUITY_7DAYS"/>
      <sheetName val="RA_SE7D"/>
      <sheetName val="SPOT EQUITY_30DAYS"/>
      <sheetName val="RA_SE30D"/>
      <sheetName val="SPOT CASH_30 DAYS"/>
      <sheetName val="RA_SC30D"/>
      <sheetName val="SPOT CASH_60 DAYS"/>
      <sheetName val="SPOT CASH_60 DAYS (2)"/>
      <sheetName val="RA_SC60D"/>
      <sheetName val="DEFERRED"/>
      <sheetName val="RA_Deferred"/>
      <sheetName val="SPECIAL PACKAGE"/>
      <sheetName val="10% spread plus 5% lumpsum"/>
      <sheetName val="10% Step-up plus 5% lumpsum"/>
      <sheetName val="RA_Special"/>
    </sheetNames>
    <sheetDataSet>
      <sheetData sheetId="0" refreshError="1"/>
      <sheetData sheetId="1">
        <row r="1">
          <cell r="A1"/>
          <cell r="B1"/>
          <cell r="C1"/>
          <cell r="D1"/>
          <cell r="E1"/>
          <cell r="F1"/>
          <cell r="G1"/>
          <cell r="H1"/>
          <cell r="I1"/>
        </row>
        <row r="2">
          <cell r="A2"/>
          <cell r="B2"/>
          <cell r="C2"/>
          <cell r="D2"/>
          <cell r="E2"/>
          <cell r="F2"/>
          <cell r="G2"/>
          <cell r="H2" t="str">
            <v>ANNEX "A"</v>
          </cell>
          <cell r="I2"/>
        </row>
        <row r="4">
          <cell r="A4" t="str">
            <v>ILOILO SOUTHPRIME DEVELOPERS INC.</v>
          </cell>
          <cell r="G4" t="str">
            <v>Date and Time Printed:</v>
          </cell>
          <cell r="H4"/>
          <cell r="I4">
            <v>45212.627318634259</v>
          </cell>
        </row>
        <row r="5">
          <cell r="A5"/>
          <cell r="B5"/>
          <cell r="C5"/>
          <cell r="D5"/>
          <cell r="E5"/>
          <cell r="F5"/>
          <cell r="G5"/>
          <cell r="H5"/>
          <cell r="I5"/>
        </row>
        <row r="6">
          <cell r="A6"/>
          <cell r="B6"/>
          <cell r="C6"/>
          <cell r="D6"/>
          <cell r="E6"/>
          <cell r="F6"/>
          <cell r="G6"/>
          <cell r="H6"/>
          <cell r="I6"/>
        </row>
        <row r="7">
          <cell r="A7" t="str">
            <v>Buyer's Name:</v>
          </cell>
          <cell r="C7"/>
          <cell r="G7"/>
          <cell r="H7"/>
          <cell r="I7"/>
        </row>
        <row r="8">
          <cell r="A8" t="str">
            <v>Project Name:</v>
          </cell>
          <cell r="C8" t="str">
            <v>EMERALD ESTATES</v>
          </cell>
          <cell r="G8"/>
          <cell r="H8"/>
          <cell r="I8"/>
        </row>
        <row r="9">
          <cell r="A9" t="str">
            <v>Unit No.:</v>
          </cell>
          <cell r="B9"/>
          <cell r="C9" t="str">
            <v>BLOCK LOT</v>
          </cell>
          <cell r="D9"/>
          <cell r="E9"/>
          <cell r="F9"/>
          <cell r="G9" t="str">
            <v>Financing:</v>
          </cell>
          <cell r="H9"/>
          <cell r="I9"/>
        </row>
        <row r="10">
          <cell r="A10"/>
          <cell r="B10"/>
          <cell r="C10"/>
          <cell r="D10"/>
          <cell r="E10"/>
          <cell r="F10"/>
          <cell r="G10"/>
          <cell r="H10"/>
          <cell r="I10"/>
        </row>
        <row r="11">
          <cell r="A11"/>
          <cell r="B11"/>
          <cell r="C11"/>
          <cell r="D11"/>
          <cell r="E11"/>
          <cell r="F11"/>
          <cell r="G11"/>
          <cell r="H11"/>
          <cell r="I11"/>
        </row>
        <row r="12">
          <cell r="A12"/>
          <cell r="B12"/>
          <cell r="C12"/>
          <cell r="D12"/>
          <cell r="E12"/>
          <cell r="F12"/>
          <cell r="G12"/>
          <cell r="H12"/>
          <cell r="I12"/>
        </row>
        <row r="13">
          <cell r="A13"/>
          <cell r="B13" t="str">
            <v>Payment Schedule</v>
          </cell>
          <cell r="C13"/>
          <cell r="D13"/>
          <cell r="E13"/>
          <cell r="F13" t="str">
            <v>Outstanding Balance Summary</v>
          </cell>
          <cell r="G13"/>
          <cell r="H13"/>
          <cell r="I13"/>
        </row>
        <row r="14">
          <cell r="A14"/>
          <cell r="B14"/>
          <cell r="C14" t="str">
            <v>Loan Amount</v>
          </cell>
          <cell r="D14">
            <v>2614278.5890727686</v>
          </cell>
          <cell r="E14"/>
          <cell r="F14"/>
          <cell r="G14" t="str">
            <v>Scheduled Payment</v>
          </cell>
          <cell r="H14">
            <v>32413.313177607219</v>
          </cell>
          <cell r="I14"/>
        </row>
        <row r="15">
          <cell r="A15"/>
          <cell r="B15"/>
          <cell r="C15" t="str">
            <v>Annual Interest Rate</v>
          </cell>
          <cell r="D15">
            <v>8.5000000000000006E-2</v>
          </cell>
          <cell r="E15"/>
          <cell r="F15"/>
          <cell r="G15" t="str">
            <v>Scheduled Number of Payments</v>
          </cell>
          <cell r="H15"/>
          <cell r="I15"/>
        </row>
        <row r="16">
          <cell r="A16"/>
          <cell r="B16"/>
          <cell r="C16" t="str">
            <v>Loan Period in Years</v>
          </cell>
          <cell r="D16">
            <v>10</v>
          </cell>
          <cell r="E16"/>
          <cell r="F16"/>
          <cell r="G16" t="str">
            <v>Actual Number of Payments</v>
          </cell>
          <cell r="H16">
            <v>120</v>
          </cell>
          <cell r="I16"/>
        </row>
        <row r="17">
          <cell r="A17"/>
          <cell r="B17"/>
          <cell r="C17" t="str">
            <v>Number of Payments Per Year</v>
          </cell>
          <cell r="D17">
            <v>12</v>
          </cell>
          <cell r="E17"/>
          <cell r="F17"/>
          <cell r="G17" t="str">
            <v>Total Early Payments</v>
          </cell>
          <cell r="H17">
            <v>0</v>
          </cell>
          <cell r="I17"/>
        </row>
        <row r="18">
          <cell r="A18"/>
          <cell r="B18"/>
          <cell r="C18" t="str">
            <v>Start Date of Loan</v>
          </cell>
          <cell r="D18">
            <v>45005</v>
          </cell>
          <cell r="E18"/>
          <cell r="F18"/>
          <cell r="G18" t="str">
            <v>Total Interest</v>
          </cell>
          <cell r="H18">
            <v>1269925.6822278819</v>
          </cell>
          <cell r="I18"/>
        </row>
        <row r="19">
          <cell r="A19"/>
          <cell r="B19"/>
          <cell r="C19" t="str">
            <v>Optional Extra Payments</v>
          </cell>
          <cell r="D19"/>
          <cell r="E19"/>
          <cell r="F19"/>
          <cell r="G19"/>
          <cell r="H19"/>
          <cell r="I19"/>
        </row>
        <row r="20">
          <cell r="A20"/>
          <cell r="B20"/>
          <cell r="C20"/>
          <cell r="D20"/>
          <cell r="E20"/>
          <cell r="F20"/>
          <cell r="G20"/>
          <cell r="H20"/>
          <cell r="I20"/>
        </row>
        <row r="21">
          <cell r="A21"/>
          <cell r="B21"/>
          <cell r="C21"/>
          <cell r="D21"/>
          <cell r="E21"/>
          <cell r="F21"/>
          <cell r="G21"/>
          <cell r="H21"/>
          <cell r="I21"/>
        </row>
        <row r="22">
          <cell r="A22"/>
          <cell r="B22"/>
          <cell r="C22"/>
          <cell r="D22"/>
          <cell r="E22"/>
          <cell r="F22"/>
          <cell r="G22"/>
          <cell r="H22"/>
          <cell r="I22"/>
        </row>
        <row r="23">
          <cell r="A23" t="str">
            <v>PmtNo.</v>
          </cell>
          <cell r="B23" t="str">
            <v>Payment Date</v>
          </cell>
          <cell r="C23" t="str">
            <v>Beginning Balance</v>
          </cell>
          <cell r="D23" t="str">
            <v>Scheduled Payment</v>
          </cell>
          <cell r="E23" t="str">
            <v>Extra Payment</v>
          </cell>
          <cell r="F23" t="str">
            <v>Total Payment</v>
          </cell>
          <cell r="G23" t="str">
            <v>Principal</v>
          </cell>
          <cell r="H23" t="str">
            <v>Interest</v>
          </cell>
          <cell r="I23" t="str">
            <v>Ending Balance</v>
          </cell>
        </row>
        <row r="24">
          <cell r="A24"/>
          <cell r="B24"/>
          <cell r="C24"/>
          <cell r="D24"/>
          <cell r="E24"/>
          <cell r="F24"/>
          <cell r="G24"/>
          <cell r="H24"/>
          <cell r="I24"/>
        </row>
        <row r="25">
          <cell r="A25">
            <v>1</v>
          </cell>
          <cell r="B25">
            <v>45005</v>
          </cell>
          <cell r="C25">
            <v>2614278.5890727686</v>
          </cell>
          <cell r="D25">
            <v>32413.313177607219</v>
          </cell>
          <cell r="E25"/>
          <cell r="F25">
            <v>32413.313177607219</v>
          </cell>
          <cell r="G25">
            <v>13895.506505008441</v>
          </cell>
          <cell r="H25">
            <v>18517.806672598777</v>
          </cell>
          <cell r="I25">
            <v>2600383.0825677603</v>
          </cell>
        </row>
        <row r="26">
          <cell r="A26">
            <v>2</v>
          </cell>
          <cell r="B26">
            <v>45036</v>
          </cell>
          <cell r="C26">
            <v>2600383.0825677603</v>
          </cell>
          <cell r="D26">
            <v>32413.313177607219</v>
          </cell>
          <cell r="E26"/>
          <cell r="F26">
            <v>32413.313177607219</v>
          </cell>
          <cell r="G26">
            <v>13993.933009418917</v>
          </cell>
          <cell r="H26">
            <v>18419.380168188301</v>
          </cell>
          <cell r="I26">
            <v>2586389.1495583411</v>
          </cell>
        </row>
        <row r="27">
          <cell r="A27">
            <v>3</v>
          </cell>
          <cell r="B27">
            <v>45066</v>
          </cell>
          <cell r="C27">
            <v>2586389.1495583411</v>
          </cell>
          <cell r="D27">
            <v>32413.313177607219</v>
          </cell>
          <cell r="E27"/>
          <cell r="F27">
            <v>32413.313177607219</v>
          </cell>
          <cell r="G27">
            <v>14093.056701568967</v>
          </cell>
          <cell r="H27">
            <v>18320.256476038252</v>
          </cell>
          <cell r="I27">
            <v>2572296.0928567722</v>
          </cell>
        </row>
        <row r="28">
          <cell r="A28">
            <v>4</v>
          </cell>
          <cell r="B28">
            <v>45097</v>
          </cell>
          <cell r="C28">
            <v>2572296.0928567722</v>
          </cell>
          <cell r="D28">
            <v>32413.313177607219</v>
          </cell>
          <cell r="E28"/>
          <cell r="F28">
            <v>32413.313177607219</v>
          </cell>
          <cell r="G28">
            <v>14192.88251987175</v>
          </cell>
          <cell r="H28">
            <v>18220.430657735469</v>
          </cell>
          <cell r="I28">
            <v>2558103.2103369003</v>
          </cell>
        </row>
        <row r="29">
          <cell r="A29">
            <v>5</v>
          </cell>
          <cell r="B29">
            <v>45127</v>
          </cell>
          <cell r="C29">
            <v>2558103.2103369003</v>
          </cell>
          <cell r="D29">
            <v>32413.313177607219</v>
          </cell>
          <cell r="E29"/>
          <cell r="F29">
            <v>32413.313177607219</v>
          </cell>
          <cell r="G29">
            <v>14293.41543772084</v>
          </cell>
          <cell r="H29">
            <v>18119.897739886379</v>
          </cell>
          <cell r="I29">
            <v>2543809.7948991796</v>
          </cell>
        </row>
        <row r="30">
          <cell r="A30">
            <v>6</v>
          </cell>
          <cell r="B30">
            <v>45158</v>
          </cell>
          <cell r="C30">
            <v>2543809.7948991796</v>
          </cell>
          <cell r="D30">
            <v>32413.313177607219</v>
          </cell>
          <cell r="E30"/>
          <cell r="F30">
            <v>32413.313177607219</v>
          </cell>
          <cell r="G30">
            <v>14394.66046373803</v>
          </cell>
          <cell r="H30">
            <v>18018.652713869189</v>
          </cell>
          <cell r="I30">
            <v>2529415.1344354413</v>
          </cell>
        </row>
        <row r="31">
          <cell r="A31">
            <v>7</v>
          </cell>
          <cell r="B31">
            <v>45189</v>
          </cell>
          <cell r="C31">
            <v>2529415.1344354413</v>
          </cell>
          <cell r="D31">
            <v>32413.313177607219</v>
          </cell>
          <cell r="E31"/>
          <cell r="F31">
            <v>32413.313177607219</v>
          </cell>
          <cell r="G31">
            <v>14496.622642022841</v>
          </cell>
          <cell r="H31">
            <v>17916.690535584377</v>
          </cell>
          <cell r="I31">
            <v>2514918.5117934183</v>
          </cell>
        </row>
        <row r="32">
          <cell r="A32">
            <v>8</v>
          </cell>
          <cell r="B32">
            <v>45219</v>
          </cell>
          <cell r="C32">
            <v>2514918.5117934183</v>
          </cell>
          <cell r="D32">
            <v>32413.313177607219</v>
          </cell>
          <cell r="E32"/>
          <cell r="F32">
            <v>32413.313177607219</v>
          </cell>
          <cell r="G32">
            <v>14599.307052403838</v>
          </cell>
          <cell r="H32">
            <v>17814.006125203381</v>
          </cell>
          <cell r="I32">
            <v>2500319.2047410146</v>
          </cell>
        </row>
        <row r="33">
          <cell r="A33">
            <v>9</v>
          </cell>
          <cell r="B33">
            <v>45250</v>
          </cell>
          <cell r="C33">
            <v>2500319.2047410146</v>
          </cell>
          <cell r="D33">
            <v>32413.313177607219</v>
          </cell>
          <cell r="E33"/>
          <cell r="F33">
            <v>32413.313177607219</v>
          </cell>
          <cell r="G33">
            <v>14702.718810691698</v>
          </cell>
          <cell r="H33">
            <v>17710.59436691552</v>
          </cell>
          <cell r="I33">
            <v>2485616.4859303231</v>
          </cell>
        </row>
        <row r="34">
          <cell r="A34">
            <v>10</v>
          </cell>
          <cell r="B34">
            <v>45280</v>
          </cell>
          <cell r="C34">
            <v>2485616.4859303231</v>
          </cell>
          <cell r="D34">
            <v>32413.313177607219</v>
          </cell>
          <cell r="E34"/>
          <cell r="F34">
            <v>32413.313177607219</v>
          </cell>
          <cell r="G34">
            <v>14806.863068934097</v>
          </cell>
          <cell r="H34">
            <v>17606.450108673122</v>
          </cell>
          <cell r="I34">
            <v>2470809.6228613891</v>
          </cell>
        </row>
        <row r="35">
          <cell r="A35">
            <v>11</v>
          </cell>
          <cell r="B35">
            <v>45311</v>
          </cell>
          <cell r="C35">
            <v>2470809.6228613891</v>
          </cell>
          <cell r="D35">
            <v>32413.313177607219</v>
          </cell>
          <cell r="E35"/>
          <cell r="F35">
            <v>32413.313177607219</v>
          </cell>
          <cell r="G35">
            <v>14911.745015672379</v>
          </cell>
          <cell r="H35">
            <v>17501.56816193484</v>
          </cell>
          <cell r="I35">
            <v>2455897.8778457167</v>
          </cell>
        </row>
        <row r="36">
          <cell r="A36">
            <v>12</v>
          </cell>
          <cell r="B36">
            <v>45342</v>
          </cell>
          <cell r="C36">
            <v>2455897.8778457167</v>
          </cell>
          <cell r="D36">
            <v>32413.313177607219</v>
          </cell>
          <cell r="E36"/>
          <cell r="F36">
            <v>32413.313177607219</v>
          </cell>
          <cell r="G36">
            <v>15017.369876200057</v>
          </cell>
          <cell r="H36">
            <v>17395.943301407162</v>
          </cell>
          <cell r="I36">
            <v>2440880.5079695168</v>
          </cell>
        </row>
        <row r="37">
          <cell r="A37">
            <v>13</v>
          </cell>
          <cell r="B37">
            <v>45371</v>
          </cell>
          <cell r="C37">
            <v>2440880.5079695168</v>
          </cell>
          <cell r="D37">
            <v>32413.313177607219</v>
          </cell>
          <cell r="E37"/>
          <cell r="F37">
            <v>32413.313177607219</v>
          </cell>
          <cell r="G37">
            <v>15123.742912823142</v>
          </cell>
          <cell r="H37">
            <v>17289.570264784077</v>
          </cell>
          <cell r="I37">
            <v>2425756.7650566935</v>
          </cell>
        </row>
        <row r="38">
          <cell r="A38">
            <v>14</v>
          </cell>
          <cell r="B38">
            <v>45402</v>
          </cell>
          <cell r="C38">
            <v>2425756.7650566935</v>
          </cell>
          <cell r="D38">
            <v>32413.313177607219</v>
          </cell>
          <cell r="E38"/>
          <cell r="F38">
            <v>32413.313177607219</v>
          </cell>
          <cell r="G38">
            <v>15230.869425122306</v>
          </cell>
          <cell r="H38">
            <v>17182.443752484913</v>
          </cell>
          <cell r="I38">
            <v>2410525.8956315713</v>
          </cell>
        </row>
        <row r="39">
          <cell r="A39">
            <v>15</v>
          </cell>
          <cell r="B39">
            <v>45432</v>
          </cell>
          <cell r="C39">
            <v>2410525.8956315713</v>
          </cell>
          <cell r="D39">
            <v>32413.313177607219</v>
          </cell>
          <cell r="E39"/>
          <cell r="F39">
            <v>32413.313177607219</v>
          </cell>
          <cell r="G39">
            <v>15338.754750216922</v>
          </cell>
          <cell r="H39">
            <v>17074.558427390297</v>
          </cell>
          <cell r="I39">
            <v>2395187.1408813545</v>
          </cell>
        </row>
        <row r="40">
          <cell r="A40">
            <v>16</v>
          </cell>
          <cell r="B40">
            <v>45463</v>
          </cell>
          <cell r="C40">
            <v>2395187.1408813545</v>
          </cell>
          <cell r="D40">
            <v>32413.313177607219</v>
          </cell>
          <cell r="E40"/>
          <cell r="F40">
            <v>32413.313177607219</v>
          </cell>
          <cell r="G40">
            <v>15447.404263030956</v>
          </cell>
          <cell r="H40">
            <v>16965.908914576263</v>
          </cell>
          <cell r="I40">
            <v>2379739.7366183237</v>
          </cell>
        </row>
        <row r="41">
          <cell r="A41">
            <v>17</v>
          </cell>
          <cell r="B41">
            <v>45493</v>
          </cell>
          <cell r="C41">
            <v>2379739.7366183237</v>
          </cell>
          <cell r="D41">
            <v>32413.313177607219</v>
          </cell>
          <cell r="E41"/>
          <cell r="F41">
            <v>32413.313177607219</v>
          </cell>
          <cell r="G41">
            <v>15556.823376560758</v>
          </cell>
          <cell r="H41">
            <v>16856.48980104646</v>
          </cell>
          <cell r="I41">
            <v>2364182.9132417631</v>
          </cell>
        </row>
        <row r="42">
          <cell r="A42">
            <v>18</v>
          </cell>
          <cell r="B42">
            <v>45524</v>
          </cell>
          <cell r="C42">
            <v>2364182.9132417631</v>
          </cell>
          <cell r="D42">
            <v>32413.313177607219</v>
          </cell>
          <cell r="E42"/>
          <cell r="F42">
            <v>32413.313177607219</v>
          </cell>
          <cell r="G42">
            <v>15667.017542144727</v>
          </cell>
          <cell r="H42">
            <v>16746.295635462491</v>
          </cell>
          <cell r="I42">
            <v>2348515.8956996184</v>
          </cell>
        </row>
        <row r="43">
          <cell r="A43">
            <v>19</v>
          </cell>
          <cell r="B43">
            <v>45555</v>
          </cell>
          <cell r="C43">
            <v>2348515.8956996184</v>
          </cell>
          <cell r="D43">
            <v>32413.313177607219</v>
          </cell>
          <cell r="E43"/>
          <cell r="F43">
            <v>32413.313177607219</v>
          </cell>
          <cell r="G43">
            <v>15777.992249734922</v>
          </cell>
          <cell r="H43">
            <v>16635.320927872297</v>
          </cell>
          <cell r="I43">
            <v>2332737.9034498837</v>
          </cell>
        </row>
        <row r="44">
          <cell r="A44">
            <v>20</v>
          </cell>
          <cell r="B44">
            <v>45585</v>
          </cell>
          <cell r="C44">
            <v>2332737.9034498837</v>
          </cell>
          <cell r="D44">
            <v>32413.313177607219</v>
          </cell>
          <cell r="E44"/>
          <cell r="F44">
            <v>32413.313177607219</v>
          </cell>
          <cell r="G44">
            <v>15889.75302817054</v>
          </cell>
          <cell r="H44">
            <v>16523.560149436678</v>
          </cell>
          <cell r="I44">
            <v>2316848.150421713</v>
          </cell>
        </row>
        <row r="45">
          <cell r="A45">
            <v>21</v>
          </cell>
          <cell r="B45">
            <v>45616</v>
          </cell>
          <cell r="C45">
            <v>2316848.150421713</v>
          </cell>
          <cell r="D45">
            <v>32413.313177607219</v>
          </cell>
          <cell r="E45"/>
          <cell r="F45">
            <v>32413.313177607219</v>
          </cell>
          <cell r="G45">
            <v>16002.305445453418</v>
          </cell>
          <cell r="H45">
            <v>16411.007732153801</v>
          </cell>
          <cell r="I45">
            <v>2300845.8449762594</v>
          </cell>
        </row>
        <row r="46">
          <cell r="A46">
            <v>22</v>
          </cell>
          <cell r="B46">
            <v>45646</v>
          </cell>
          <cell r="C46">
            <v>2300845.8449762594</v>
          </cell>
          <cell r="D46">
            <v>32413.313177607219</v>
          </cell>
          <cell r="E46"/>
          <cell r="F46">
            <v>32413.313177607219</v>
          </cell>
          <cell r="G46">
            <v>16115.65510902538</v>
          </cell>
          <cell r="H46">
            <v>16297.658068581839</v>
          </cell>
          <cell r="I46">
            <v>2284730.1898672339</v>
          </cell>
        </row>
        <row r="47">
          <cell r="A47">
            <v>23</v>
          </cell>
          <cell r="B47">
            <v>45677</v>
          </cell>
          <cell r="C47">
            <v>2284730.1898672339</v>
          </cell>
          <cell r="D47">
            <v>32413.313177607219</v>
          </cell>
          <cell r="E47"/>
          <cell r="F47">
            <v>32413.313177607219</v>
          </cell>
          <cell r="G47">
            <v>16229.807666047644</v>
          </cell>
          <cell r="H47">
            <v>16183.505511559575</v>
          </cell>
          <cell r="I47">
            <v>2268500.3822011864</v>
          </cell>
        </row>
        <row r="48">
          <cell r="A48">
            <v>24</v>
          </cell>
          <cell r="B48">
            <v>45708</v>
          </cell>
          <cell r="C48">
            <v>2268500.3822011864</v>
          </cell>
          <cell r="D48">
            <v>32413.313177607219</v>
          </cell>
          <cell r="E48"/>
          <cell r="F48">
            <v>32413.313177607219</v>
          </cell>
          <cell r="G48">
            <v>16344.768803682147</v>
          </cell>
          <cell r="H48">
            <v>16068.544373925071</v>
          </cell>
          <cell r="I48">
            <v>2252155.6133975042</v>
          </cell>
        </row>
        <row r="49">
          <cell r="A49">
            <v>25</v>
          </cell>
          <cell r="B49">
            <v>45736</v>
          </cell>
          <cell r="C49">
            <v>2252155.6133975042</v>
          </cell>
          <cell r="D49">
            <v>32413.313177607219</v>
          </cell>
          <cell r="E49"/>
          <cell r="F49">
            <v>32413.313177607219</v>
          </cell>
          <cell r="G49">
            <v>16460.5442493749</v>
          </cell>
          <cell r="H49">
            <v>15952.768928232321</v>
          </cell>
          <cell r="I49">
            <v>2235695.0691481293</v>
          </cell>
        </row>
        <row r="50">
          <cell r="A50">
            <v>26</v>
          </cell>
          <cell r="B50">
            <v>45767</v>
          </cell>
          <cell r="C50">
            <v>2235695.0691481293</v>
          </cell>
          <cell r="D50">
            <v>32413.313177607219</v>
          </cell>
          <cell r="E50"/>
          <cell r="F50">
            <v>32413.313177607219</v>
          </cell>
          <cell r="G50">
            <v>16577.139771141301</v>
          </cell>
          <cell r="H50">
            <v>15836.173406465918</v>
          </cell>
          <cell r="I50">
            <v>2219117.9293769882</v>
          </cell>
        </row>
        <row r="51">
          <cell r="A51">
            <v>27</v>
          </cell>
          <cell r="B51">
            <v>45797</v>
          </cell>
          <cell r="C51">
            <v>2219117.9293769882</v>
          </cell>
          <cell r="D51">
            <v>32413.313177607219</v>
          </cell>
          <cell r="E51"/>
          <cell r="F51">
            <v>32413.313177607219</v>
          </cell>
          <cell r="G51">
            <v>16694.561177853553</v>
          </cell>
          <cell r="H51">
            <v>15718.751999753667</v>
          </cell>
          <cell r="I51">
            <v>2202423.3681991347</v>
          </cell>
        </row>
        <row r="52">
          <cell r="A52">
            <v>28</v>
          </cell>
          <cell r="B52">
            <v>45828</v>
          </cell>
          <cell r="C52">
            <v>2202423.3681991347</v>
          </cell>
          <cell r="D52">
            <v>32413.313177607219</v>
          </cell>
          <cell r="E52"/>
          <cell r="F52">
            <v>32413.313177607219</v>
          </cell>
          <cell r="G52">
            <v>16812.814319530014</v>
          </cell>
          <cell r="H52">
            <v>15600.498858077204</v>
          </cell>
          <cell r="I52">
            <v>2185610.5538796047</v>
          </cell>
        </row>
        <row r="53">
          <cell r="A53">
            <v>29</v>
          </cell>
          <cell r="B53">
            <v>45858</v>
          </cell>
          <cell r="C53">
            <v>2185610.5538796047</v>
          </cell>
          <cell r="D53">
            <v>32413.313177607219</v>
          </cell>
          <cell r="E53"/>
          <cell r="F53">
            <v>32413.313177607219</v>
          </cell>
          <cell r="G53">
            <v>16931.905087626685</v>
          </cell>
          <cell r="H53">
            <v>15481.408089980534</v>
          </cell>
          <cell r="I53">
            <v>2168678.6487919781</v>
          </cell>
        </row>
        <row r="54">
          <cell r="A54">
            <v>30</v>
          </cell>
          <cell r="B54">
            <v>45889</v>
          </cell>
          <cell r="C54">
            <v>2168678.6487919781</v>
          </cell>
          <cell r="D54">
            <v>32413.313177607219</v>
          </cell>
          <cell r="E54"/>
          <cell r="F54">
            <v>32413.313177607219</v>
          </cell>
          <cell r="G54">
            <v>17051.839415330709</v>
          </cell>
          <cell r="H54">
            <v>15361.473762276511</v>
          </cell>
          <cell r="I54">
            <v>2151626.8093766472</v>
          </cell>
        </row>
        <row r="55">
          <cell r="A55">
            <v>31</v>
          </cell>
          <cell r="B55">
            <v>45920</v>
          </cell>
          <cell r="C55">
            <v>2151626.8093766472</v>
          </cell>
          <cell r="D55">
            <v>32413.313177607219</v>
          </cell>
          <cell r="E55"/>
          <cell r="F55">
            <v>32413.313177607219</v>
          </cell>
          <cell r="G55">
            <v>17172.623277855964</v>
          </cell>
          <cell r="H55">
            <v>15240.689899751253</v>
          </cell>
          <cell r="I55">
            <v>2134454.1860987912</v>
          </cell>
        </row>
        <row r="56">
          <cell r="A56">
            <v>32</v>
          </cell>
          <cell r="B56">
            <v>45950</v>
          </cell>
          <cell r="C56">
            <v>2134454.1860987912</v>
          </cell>
          <cell r="D56">
            <v>32413.313177607219</v>
          </cell>
          <cell r="E56"/>
          <cell r="F56">
            <v>32413.313177607219</v>
          </cell>
          <cell r="G56">
            <v>17294.262692740776</v>
          </cell>
          <cell r="H56">
            <v>15119.05048486644</v>
          </cell>
          <cell r="I56">
            <v>2117159.9234060505</v>
          </cell>
        </row>
        <row r="57">
          <cell r="A57">
            <v>33</v>
          </cell>
          <cell r="B57">
            <v>45981</v>
          </cell>
          <cell r="C57">
            <v>2117159.9234060505</v>
          </cell>
          <cell r="D57">
            <v>32413.313177607219</v>
          </cell>
          <cell r="E57"/>
          <cell r="F57">
            <v>32413.313177607219</v>
          </cell>
          <cell r="G57">
            <v>17416.76372014769</v>
          </cell>
          <cell r="H57">
            <v>14996.549457459527</v>
          </cell>
          <cell r="I57">
            <v>2099743.1596859028</v>
          </cell>
        </row>
        <row r="58">
          <cell r="A58">
            <v>34</v>
          </cell>
          <cell r="B58">
            <v>46011</v>
          </cell>
          <cell r="C58">
            <v>2099743.1596859028</v>
          </cell>
          <cell r="D58">
            <v>32413.313177607219</v>
          </cell>
          <cell r="E58"/>
          <cell r="F58">
            <v>32413.313177607219</v>
          </cell>
          <cell r="G58">
            <v>17540.132463165406</v>
          </cell>
          <cell r="H58">
            <v>14873.180714441813</v>
          </cell>
          <cell r="I58">
            <v>2082203.0272227374</v>
          </cell>
        </row>
        <row r="59">
          <cell r="A59">
            <v>35</v>
          </cell>
          <cell r="B59">
            <v>46042</v>
          </cell>
          <cell r="C59">
            <v>2082203.0272227374</v>
          </cell>
          <cell r="D59">
            <v>32413.313177607219</v>
          </cell>
          <cell r="E59"/>
          <cell r="F59">
            <v>32413.313177607219</v>
          </cell>
          <cell r="G59">
            <v>17664.375068112829</v>
          </cell>
          <cell r="H59">
            <v>14748.938109494391</v>
          </cell>
          <cell r="I59">
            <v>2064538.6521546247</v>
          </cell>
        </row>
        <row r="60">
          <cell r="A60">
            <v>36</v>
          </cell>
          <cell r="B60">
            <v>46073</v>
          </cell>
          <cell r="C60">
            <v>2064538.6521546247</v>
          </cell>
          <cell r="D60">
            <v>32413.313177607219</v>
          </cell>
          <cell r="E60"/>
          <cell r="F60">
            <v>32413.313177607219</v>
          </cell>
          <cell r="G60">
            <v>17789.497724845292</v>
          </cell>
          <cell r="H60">
            <v>14623.815452761926</v>
          </cell>
          <cell r="I60">
            <v>2046749.1544297794</v>
          </cell>
        </row>
        <row r="61">
          <cell r="A61">
            <v>37</v>
          </cell>
          <cell r="B61">
            <v>46101</v>
          </cell>
          <cell r="C61">
            <v>2046749.1544297794</v>
          </cell>
          <cell r="D61">
            <v>32413.313177607219</v>
          </cell>
          <cell r="E61"/>
          <cell r="F61">
            <v>32413.313177607219</v>
          </cell>
          <cell r="G61">
            <v>17915.506667062946</v>
          </cell>
          <cell r="H61">
            <v>14497.806510544273</v>
          </cell>
          <cell r="I61">
            <v>2028833.6477627165</v>
          </cell>
        </row>
        <row r="62">
          <cell r="A62">
            <v>38</v>
          </cell>
          <cell r="B62">
            <v>46132</v>
          </cell>
          <cell r="C62">
            <v>2028833.6477627165</v>
          </cell>
          <cell r="D62">
            <v>32413.313177607219</v>
          </cell>
          <cell r="E62"/>
          <cell r="F62">
            <v>32413.313177607219</v>
          </cell>
          <cell r="G62">
            <v>18042.408172621312</v>
          </cell>
          <cell r="H62">
            <v>14370.905004985909</v>
          </cell>
          <cell r="I62">
            <v>2010791.2395900951</v>
          </cell>
        </row>
        <row r="63">
          <cell r="A63">
            <v>39</v>
          </cell>
          <cell r="B63">
            <v>46162</v>
          </cell>
          <cell r="C63">
            <v>2010791.2395900951</v>
          </cell>
          <cell r="D63">
            <v>32413.313177607219</v>
          </cell>
          <cell r="E63"/>
          <cell r="F63">
            <v>32413.313177607219</v>
          </cell>
          <cell r="G63">
            <v>18170.20856384404</v>
          </cell>
          <cell r="H63">
            <v>14243.104613763177</v>
          </cell>
          <cell r="I63">
            <v>1992621.0310262511</v>
          </cell>
        </row>
        <row r="64">
          <cell r="A64">
            <v>40</v>
          </cell>
          <cell r="B64">
            <v>46193</v>
          </cell>
          <cell r="C64">
            <v>1992621.0310262511</v>
          </cell>
          <cell r="D64">
            <v>32413.313177607219</v>
          </cell>
          <cell r="E64"/>
          <cell r="F64">
            <v>32413.313177607219</v>
          </cell>
          <cell r="G64">
            <v>18298.914207837937</v>
          </cell>
          <cell r="H64">
            <v>14114.39896976928</v>
          </cell>
          <cell r="I64">
            <v>1974322.1168184131</v>
          </cell>
        </row>
        <row r="65">
          <cell r="A65">
            <v>41</v>
          </cell>
          <cell r="B65">
            <v>46223</v>
          </cell>
          <cell r="C65">
            <v>1974322.1168184131</v>
          </cell>
          <cell r="D65">
            <v>32413.313177607219</v>
          </cell>
          <cell r="E65"/>
          <cell r="F65">
            <v>32413.313177607219</v>
          </cell>
          <cell r="G65">
            <v>18428.531516810122</v>
          </cell>
          <cell r="H65">
            <v>13984.781660797094</v>
          </cell>
          <cell r="I65">
            <v>1955893.585301603</v>
          </cell>
        </row>
        <row r="66">
          <cell r="A66">
            <v>42</v>
          </cell>
          <cell r="B66">
            <v>46254</v>
          </cell>
          <cell r="C66">
            <v>1955893.585301603</v>
          </cell>
          <cell r="D66">
            <v>32413.313177607219</v>
          </cell>
          <cell r="E66"/>
          <cell r="F66">
            <v>32413.313177607219</v>
          </cell>
          <cell r="G66">
            <v>18559.066948387532</v>
          </cell>
          <cell r="H66">
            <v>13854.246229219689</v>
          </cell>
          <cell r="I66">
            <v>1937334.5183532154</v>
          </cell>
        </row>
        <row r="67">
          <cell r="A67">
            <v>43</v>
          </cell>
          <cell r="B67">
            <v>46285</v>
          </cell>
          <cell r="C67">
            <v>1937334.5183532154</v>
          </cell>
          <cell r="D67">
            <v>32413.313177607219</v>
          </cell>
          <cell r="E67"/>
          <cell r="F67">
            <v>32413.313177607219</v>
          </cell>
          <cell r="G67">
            <v>18690.527005938609</v>
          </cell>
          <cell r="H67">
            <v>13722.786171668609</v>
          </cell>
          <cell r="I67">
            <v>1918643.9913472768</v>
          </cell>
        </row>
        <row r="68">
          <cell r="A68">
            <v>44</v>
          </cell>
          <cell r="B68">
            <v>46315</v>
          </cell>
          <cell r="C68">
            <v>1918643.9913472768</v>
          </cell>
          <cell r="D68">
            <v>32413.313177607219</v>
          </cell>
          <cell r="E68"/>
          <cell r="F68">
            <v>32413.313177607219</v>
          </cell>
          <cell r="G68">
            <v>18822.918238897342</v>
          </cell>
          <cell r="H68">
            <v>13590.394938709878</v>
          </cell>
          <cell r="I68">
            <v>1899821.0731083795</v>
          </cell>
        </row>
        <row r="69">
          <cell r="A69">
            <v>45</v>
          </cell>
          <cell r="B69">
            <v>46346</v>
          </cell>
          <cell r="C69">
            <v>1899821.0731083795</v>
          </cell>
          <cell r="D69">
            <v>32413.313177607219</v>
          </cell>
          <cell r="E69"/>
          <cell r="F69">
            <v>32413.313177607219</v>
          </cell>
          <cell r="G69">
            <v>18956.247243089529</v>
          </cell>
          <cell r="H69">
            <v>13457.06593451769</v>
          </cell>
          <cell r="I69">
            <v>1880864.8258652899</v>
          </cell>
        </row>
        <row r="70">
          <cell r="A70">
            <v>46</v>
          </cell>
          <cell r="B70">
            <v>46376</v>
          </cell>
          <cell r="C70">
            <v>1880864.8258652899</v>
          </cell>
          <cell r="D70">
            <v>32413.313177607219</v>
          </cell>
          <cell r="E70"/>
          <cell r="F70">
            <v>32413.313177607219</v>
          </cell>
          <cell r="G70">
            <v>19090.520661061411</v>
          </cell>
          <cell r="H70">
            <v>13322.792516545805</v>
          </cell>
          <cell r="I70">
            <v>1861774.3052042285</v>
          </cell>
        </row>
        <row r="71">
          <cell r="A71">
            <v>47</v>
          </cell>
          <cell r="B71">
            <v>46407</v>
          </cell>
          <cell r="C71">
            <v>1861774.3052042285</v>
          </cell>
          <cell r="D71">
            <v>32413.313177607219</v>
          </cell>
          <cell r="E71"/>
          <cell r="F71">
            <v>32413.313177607219</v>
          </cell>
          <cell r="G71">
            <v>19225.745182410596</v>
          </cell>
          <cell r="H71">
            <v>13187.567995196621</v>
          </cell>
          <cell r="I71">
            <v>1842548.5600218179</v>
          </cell>
        </row>
        <row r="72">
          <cell r="A72">
            <v>48</v>
          </cell>
          <cell r="B72">
            <v>46438</v>
          </cell>
          <cell r="C72">
            <v>1842548.5600218179</v>
          </cell>
          <cell r="D72">
            <v>32413.313177607219</v>
          </cell>
          <cell r="E72"/>
          <cell r="F72">
            <v>32413.313177607219</v>
          </cell>
          <cell r="G72">
            <v>19361.927544119339</v>
          </cell>
          <cell r="H72">
            <v>13051.385633487878</v>
          </cell>
          <cell r="I72">
            <v>1823186.6324776986</v>
          </cell>
        </row>
        <row r="73">
          <cell r="A73">
            <v>49</v>
          </cell>
          <cell r="B73">
            <v>46466</v>
          </cell>
          <cell r="C73">
            <v>1823186.6324776986</v>
          </cell>
          <cell r="D73">
            <v>32413.313177607219</v>
          </cell>
          <cell r="E73"/>
          <cell r="F73">
            <v>32413.313177607219</v>
          </cell>
          <cell r="G73">
            <v>19499.074530890182</v>
          </cell>
          <cell r="H73">
            <v>12914.238646717034</v>
          </cell>
          <cell r="I73">
            <v>1803687.5579468084</v>
          </cell>
        </row>
        <row r="74">
          <cell r="A74">
            <v>50</v>
          </cell>
          <cell r="B74">
            <v>46497</v>
          </cell>
          <cell r="C74">
            <v>1803687.5579468084</v>
          </cell>
          <cell r="D74">
            <v>32413.313177607219</v>
          </cell>
          <cell r="E74"/>
          <cell r="F74">
            <v>32413.313177607219</v>
          </cell>
          <cell r="G74">
            <v>19637.192975483995</v>
          </cell>
          <cell r="H74">
            <v>12776.120202123226</v>
          </cell>
          <cell r="I74">
            <v>1784050.3649713243</v>
          </cell>
        </row>
        <row r="75">
          <cell r="A75">
            <v>51</v>
          </cell>
          <cell r="B75">
            <v>46527</v>
          </cell>
          <cell r="C75">
            <v>1784050.3649713243</v>
          </cell>
          <cell r="D75">
            <v>32413.313177607219</v>
          </cell>
          <cell r="E75"/>
          <cell r="F75">
            <v>32413.313177607219</v>
          </cell>
          <cell r="G75">
            <v>19776.289759060339</v>
          </cell>
          <cell r="H75">
            <v>12637.023418546882</v>
          </cell>
          <cell r="I75">
            <v>1764274.075212264</v>
          </cell>
        </row>
        <row r="76">
          <cell r="A76">
            <v>52</v>
          </cell>
          <cell r="B76">
            <v>46558</v>
          </cell>
          <cell r="C76">
            <v>1764274.075212264</v>
          </cell>
          <cell r="D76">
            <v>32413.313177607219</v>
          </cell>
          <cell r="E76"/>
          <cell r="F76">
            <v>32413.313177607219</v>
          </cell>
          <cell r="G76">
            <v>19916.371811520345</v>
          </cell>
          <cell r="H76">
            <v>12496.941366086872</v>
          </cell>
          <cell r="I76">
            <v>1744357.7034007437</v>
          </cell>
        </row>
        <row r="77">
          <cell r="A77">
            <v>53</v>
          </cell>
          <cell r="B77">
            <v>46588</v>
          </cell>
          <cell r="C77">
            <v>1744357.7034007437</v>
          </cell>
          <cell r="D77">
            <v>32413.313177607219</v>
          </cell>
          <cell r="E77"/>
          <cell r="F77">
            <v>32413.313177607219</v>
          </cell>
          <cell r="G77">
            <v>20057.446111851947</v>
          </cell>
          <cell r="H77">
            <v>12355.86706575527</v>
          </cell>
          <cell r="I77">
            <v>1724300.2572888918</v>
          </cell>
        </row>
        <row r="78">
          <cell r="A78">
            <v>54</v>
          </cell>
          <cell r="B78">
            <v>46619</v>
          </cell>
          <cell r="C78">
            <v>1724300.2572888918</v>
          </cell>
          <cell r="D78">
            <v>32413.313177607219</v>
          </cell>
          <cell r="E78"/>
          <cell r="F78">
            <v>32413.313177607219</v>
          </cell>
          <cell r="G78">
            <v>20199.519688477565</v>
          </cell>
          <cell r="H78">
            <v>12213.793489129652</v>
          </cell>
          <cell r="I78">
            <v>1704100.7376004143</v>
          </cell>
        </row>
        <row r="79">
          <cell r="A79">
            <v>55</v>
          </cell>
          <cell r="B79">
            <v>46650</v>
          </cell>
          <cell r="C79">
            <v>1704100.7376004143</v>
          </cell>
          <cell r="D79">
            <v>32413.313177607219</v>
          </cell>
          <cell r="E79"/>
          <cell r="F79">
            <v>32413.313177607219</v>
          </cell>
          <cell r="G79">
            <v>20342.599619604283</v>
          </cell>
          <cell r="H79">
            <v>12070.713558002935</v>
          </cell>
          <cell r="I79">
            <v>1683758.1379808101</v>
          </cell>
        </row>
        <row r="80">
          <cell r="A80">
            <v>56</v>
          </cell>
          <cell r="B80">
            <v>46680</v>
          </cell>
          <cell r="C80">
            <v>1683758.1379808101</v>
          </cell>
          <cell r="D80">
            <v>32413.313177607219</v>
          </cell>
          <cell r="E80"/>
          <cell r="F80">
            <v>32413.313177607219</v>
          </cell>
          <cell r="G80">
            <v>20486.693033576477</v>
          </cell>
          <cell r="H80">
            <v>11926.62014403074</v>
          </cell>
          <cell r="I80">
            <v>1663271.4449472337</v>
          </cell>
        </row>
        <row r="81">
          <cell r="A81">
            <v>57</v>
          </cell>
          <cell r="B81">
            <v>46711</v>
          </cell>
          <cell r="C81">
            <v>1663271.4449472337</v>
          </cell>
          <cell r="D81">
            <v>32413.313177607219</v>
          </cell>
          <cell r="E81"/>
          <cell r="F81">
            <v>32413.313177607219</v>
          </cell>
          <cell r="G81">
            <v>20631.807109230976</v>
          </cell>
          <cell r="H81">
            <v>11781.50606837624</v>
          </cell>
          <cell r="I81">
            <v>1642639.6378380028</v>
          </cell>
        </row>
        <row r="82">
          <cell r="A82">
            <v>58</v>
          </cell>
          <cell r="B82">
            <v>46741</v>
          </cell>
          <cell r="C82">
            <v>1642639.6378380028</v>
          </cell>
          <cell r="D82">
            <v>32413.313177607219</v>
          </cell>
          <cell r="E82"/>
          <cell r="F82">
            <v>32413.313177607219</v>
          </cell>
          <cell r="G82">
            <v>20777.949076254699</v>
          </cell>
          <cell r="H82">
            <v>11635.364101352519</v>
          </cell>
          <cell r="I82">
            <v>1621861.6887617481</v>
          </cell>
        </row>
        <row r="83">
          <cell r="A83">
            <v>59</v>
          </cell>
          <cell r="B83">
            <v>46772</v>
          </cell>
          <cell r="C83">
            <v>1621861.6887617481</v>
          </cell>
          <cell r="D83">
            <v>32413.313177607219</v>
          </cell>
          <cell r="E83"/>
          <cell r="F83">
            <v>32413.313177607219</v>
          </cell>
          <cell r="G83">
            <v>20925.126215544835</v>
          </cell>
          <cell r="H83">
            <v>11488.186962062384</v>
          </cell>
          <cell r="I83">
            <v>1600936.5625462034</v>
          </cell>
        </row>
        <row r="84">
          <cell r="A84">
            <v>60</v>
          </cell>
          <cell r="B84">
            <v>46803</v>
          </cell>
          <cell r="C84">
            <v>1600936.5625462034</v>
          </cell>
          <cell r="D84">
            <v>32413.313177607219</v>
          </cell>
          <cell r="E84"/>
          <cell r="F84">
            <v>32413.313177607219</v>
          </cell>
          <cell r="G84">
            <v>21073.345859571607</v>
          </cell>
          <cell r="H84">
            <v>11339.967318035609</v>
          </cell>
          <cell r="I84">
            <v>1579863.2166866318</v>
          </cell>
        </row>
        <row r="85">
          <cell r="A85">
            <v>61</v>
          </cell>
          <cell r="B85">
            <v>46832</v>
          </cell>
          <cell r="C85">
            <v>1579863.2166866318</v>
          </cell>
          <cell r="D85">
            <v>32413.313177607219</v>
          </cell>
          <cell r="E85"/>
          <cell r="F85">
            <v>32413.313177607219</v>
          </cell>
          <cell r="G85">
            <v>21222.615392743573</v>
          </cell>
          <cell r="H85">
            <v>11190.697784863643</v>
          </cell>
          <cell r="I85">
            <v>1558640.6012938882</v>
          </cell>
        </row>
        <row r="86">
          <cell r="A86">
            <v>62</v>
          </cell>
          <cell r="B86">
            <v>46863</v>
          </cell>
          <cell r="C86">
            <v>1558640.6012938882</v>
          </cell>
          <cell r="D86">
            <v>32413.313177607219</v>
          </cell>
          <cell r="E86"/>
          <cell r="F86">
            <v>32413.313177607219</v>
          </cell>
          <cell r="G86">
            <v>21372.942251775508</v>
          </cell>
          <cell r="H86">
            <v>11040.370925831709</v>
          </cell>
          <cell r="I86">
            <v>1537267.6590421128</v>
          </cell>
        </row>
        <row r="87">
          <cell r="A87">
            <v>63</v>
          </cell>
          <cell r="B87">
            <v>46893</v>
          </cell>
          <cell r="C87">
            <v>1537267.6590421128</v>
          </cell>
          <cell r="D87">
            <v>32413.313177607219</v>
          </cell>
          <cell r="E87"/>
          <cell r="F87">
            <v>32413.313177607219</v>
          </cell>
          <cell r="G87">
            <v>32413.313177607219</v>
          </cell>
          <cell r="H87">
            <v>10888.9792515483</v>
          </cell>
          <cell r="I87">
            <v>1504854.3458645055</v>
          </cell>
        </row>
        <row r="88">
          <cell r="A88">
            <v>64</v>
          </cell>
          <cell r="B88">
            <v>46924</v>
          </cell>
          <cell r="C88">
            <v>1504854.3458645055</v>
          </cell>
          <cell r="D88">
            <v>32413.313177607219</v>
          </cell>
          <cell r="E88"/>
          <cell r="F88">
            <v>32413.313177607219</v>
          </cell>
          <cell r="G88">
            <v>21753.928227733639</v>
          </cell>
          <cell r="H88">
            <v>10659.384949873582</v>
          </cell>
          <cell r="I88">
            <v>1483100.4176367719</v>
          </cell>
        </row>
        <row r="89">
          <cell r="A89">
            <v>65</v>
          </cell>
          <cell r="B89">
            <v>46954</v>
          </cell>
          <cell r="C89">
            <v>1483100.4176367719</v>
          </cell>
          <cell r="D89">
            <v>32413.313177607219</v>
          </cell>
          <cell r="E89"/>
          <cell r="F89">
            <v>32413.313177607219</v>
          </cell>
          <cell r="G89">
            <v>21908.018552680085</v>
          </cell>
          <cell r="H89">
            <v>10505.294624927135</v>
          </cell>
          <cell r="I89">
            <v>1461192.3990840919</v>
          </cell>
        </row>
        <row r="90">
          <cell r="A90">
            <v>66</v>
          </cell>
          <cell r="B90">
            <v>46985</v>
          </cell>
          <cell r="C90">
            <v>1461192.3990840919</v>
          </cell>
          <cell r="D90">
            <v>32413.313177607219</v>
          </cell>
          <cell r="E90"/>
          <cell r="F90">
            <v>32413.313177607219</v>
          </cell>
          <cell r="G90">
            <v>22063.200350761566</v>
          </cell>
          <cell r="H90">
            <v>10350.11282684565</v>
          </cell>
          <cell r="I90">
            <v>1439129.1987333302</v>
          </cell>
        </row>
        <row r="91">
          <cell r="A91">
            <v>67</v>
          </cell>
          <cell r="B91">
            <v>47016</v>
          </cell>
          <cell r="C91">
            <v>1439129.1987333302</v>
          </cell>
          <cell r="D91">
            <v>32413.313177607219</v>
          </cell>
          <cell r="E91"/>
          <cell r="F91">
            <v>32413.313177607219</v>
          </cell>
          <cell r="G91">
            <v>22219.481353246127</v>
          </cell>
          <cell r="H91">
            <v>10193.83182436109</v>
          </cell>
          <cell r="I91">
            <v>1416909.7173800841</v>
          </cell>
        </row>
        <row r="92">
          <cell r="A92">
            <v>68</v>
          </cell>
          <cell r="B92">
            <v>47046</v>
          </cell>
          <cell r="C92">
            <v>1416909.7173800841</v>
          </cell>
          <cell r="D92">
            <v>32413.313177607219</v>
          </cell>
          <cell r="E92"/>
          <cell r="F92">
            <v>32413.313177607219</v>
          </cell>
          <cell r="G92">
            <v>22376.869346164953</v>
          </cell>
          <cell r="H92">
            <v>10036.443831442264</v>
          </cell>
          <cell r="I92">
            <v>1394532.8480339192</v>
          </cell>
        </row>
        <row r="93">
          <cell r="A93">
            <v>69</v>
          </cell>
          <cell r="B93">
            <v>47077</v>
          </cell>
          <cell r="C93">
            <v>1394532.8480339192</v>
          </cell>
          <cell r="D93">
            <v>32413.313177607219</v>
          </cell>
          <cell r="E93"/>
          <cell r="F93">
            <v>32413.313177607219</v>
          </cell>
          <cell r="G93">
            <v>22535.372170700291</v>
          </cell>
          <cell r="H93">
            <v>9877.941006906929</v>
          </cell>
          <cell r="I93">
            <v>1371997.475863219</v>
          </cell>
        </row>
        <row r="94">
          <cell r="A94">
            <v>70</v>
          </cell>
          <cell r="B94">
            <v>47107</v>
          </cell>
          <cell r="C94">
            <v>1371997.475863219</v>
          </cell>
          <cell r="D94">
            <v>32413.313177607219</v>
          </cell>
          <cell r="E94"/>
          <cell r="F94">
            <v>32413.313177607219</v>
          </cell>
          <cell r="G94">
            <v>22694.997723576082</v>
          </cell>
          <cell r="H94">
            <v>9718.3154540311352</v>
          </cell>
          <cell r="I94">
            <v>1349302.4781396429</v>
          </cell>
        </row>
        <row r="95">
          <cell r="A95">
            <v>71</v>
          </cell>
          <cell r="B95">
            <v>47138</v>
          </cell>
          <cell r="C95">
            <v>1349302.4781396429</v>
          </cell>
          <cell r="D95">
            <v>32413.313177607219</v>
          </cell>
          <cell r="E95"/>
          <cell r="F95">
            <v>32413.313177607219</v>
          </cell>
          <cell r="G95">
            <v>22855.753957451416</v>
          </cell>
          <cell r="H95">
            <v>9557.5592201558047</v>
          </cell>
          <cell r="I95">
            <v>1326446.7241821915</v>
          </cell>
        </row>
        <row r="96">
          <cell r="A96">
            <v>72</v>
          </cell>
          <cell r="B96">
            <v>47169</v>
          </cell>
          <cell r="C96">
            <v>1326446.7241821915</v>
          </cell>
          <cell r="D96">
            <v>32413.313177607219</v>
          </cell>
          <cell r="E96"/>
          <cell r="F96">
            <v>32413.313177607219</v>
          </cell>
          <cell r="G96">
            <v>23017.648881316694</v>
          </cell>
          <cell r="H96">
            <v>9395.6642962905244</v>
          </cell>
          <cell r="I96">
            <v>1303429.0753008749</v>
          </cell>
        </row>
        <row r="97">
          <cell r="A97">
            <v>73</v>
          </cell>
          <cell r="B97">
            <v>47197</v>
          </cell>
          <cell r="C97">
            <v>1303429.0753008749</v>
          </cell>
          <cell r="D97">
            <v>32413.313177607219</v>
          </cell>
          <cell r="E97"/>
          <cell r="F97">
            <v>32413.313177607219</v>
          </cell>
          <cell r="G97">
            <v>23180.69056089269</v>
          </cell>
          <cell r="H97">
            <v>9232.6226167145305</v>
          </cell>
          <cell r="I97">
            <v>1280248.3847399822</v>
          </cell>
        </row>
        <row r="98">
          <cell r="A98">
            <v>74</v>
          </cell>
          <cell r="B98">
            <v>47228</v>
          </cell>
          <cell r="C98">
            <v>1280248.3847399822</v>
          </cell>
          <cell r="D98">
            <v>32413.313177607219</v>
          </cell>
          <cell r="E98"/>
          <cell r="F98">
            <v>32413.313177607219</v>
          </cell>
          <cell r="G98">
            <v>23344.887119032344</v>
          </cell>
          <cell r="H98">
            <v>9068.4260585748743</v>
          </cell>
          <cell r="I98">
            <v>1256903.4976209498</v>
          </cell>
        </row>
        <row r="99">
          <cell r="A99">
            <v>75</v>
          </cell>
          <cell r="B99">
            <v>47258</v>
          </cell>
          <cell r="C99">
            <v>1256903.4976209498</v>
          </cell>
          <cell r="D99">
            <v>32413.313177607219</v>
          </cell>
          <cell r="E99"/>
          <cell r="F99">
            <v>32413.313177607219</v>
          </cell>
          <cell r="G99">
            <v>23510.246736125489</v>
          </cell>
          <cell r="H99">
            <v>8903.0664414817275</v>
          </cell>
          <cell r="I99">
            <v>1233393.2508848242</v>
          </cell>
        </row>
        <row r="100">
          <cell r="A100">
            <v>76</v>
          </cell>
          <cell r="B100">
            <v>47289</v>
          </cell>
          <cell r="C100">
            <v>1233393.2508848242</v>
          </cell>
          <cell r="D100">
            <v>32413.313177607219</v>
          </cell>
          <cell r="E100"/>
          <cell r="F100">
            <v>32413.313177607219</v>
          </cell>
          <cell r="G100">
            <v>23676.777650506381</v>
          </cell>
          <cell r="H100">
            <v>8736.5355271008393</v>
          </cell>
          <cell r="I100">
            <v>1209716.4732343177</v>
          </cell>
        </row>
        <row r="101">
          <cell r="A101">
            <v>77</v>
          </cell>
          <cell r="B101">
            <v>47319</v>
          </cell>
          <cell r="C101">
            <v>1209716.4732343177</v>
          </cell>
          <cell r="D101">
            <v>32413.313177607219</v>
          </cell>
          <cell r="E101"/>
          <cell r="F101">
            <v>32413.313177607219</v>
          </cell>
          <cell r="G101">
            <v>23844.488158864136</v>
          </cell>
          <cell r="H101">
            <v>8568.825018743084</v>
          </cell>
          <cell r="I101">
            <v>1185871.9850754535</v>
          </cell>
        </row>
        <row r="102">
          <cell r="A102">
            <v>78</v>
          </cell>
          <cell r="B102">
            <v>47350</v>
          </cell>
          <cell r="C102">
            <v>1185871.9850754535</v>
          </cell>
          <cell r="D102">
            <v>32413.313177607219</v>
          </cell>
          <cell r="E102"/>
          <cell r="F102">
            <v>32413.313177607219</v>
          </cell>
          <cell r="G102">
            <v>24013.386616656091</v>
          </cell>
          <cell r="H102">
            <v>8399.9265609511294</v>
          </cell>
          <cell r="I102">
            <v>1161858.5984587974</v>
          </cell>
        </row>
        <row r="103">
          <cell r="A103">
            <v>79</v>
          </cell>
          <cell r="B103">
            <v>47381</v>
          </cell>
          <cell r="C103">
            <v>1161858.5984587974</v>
          </cell>
          <cell r="D103">
            <v>32413.313177607219</v>
          </cell>
          <cell r="E103"/>
          <cell r="F103">
            <v>32413.313177607219</v>
          </cell>
          <cell r="G103">
            <v>24183.481438524068</v>
          </cell>
          <cell r="H103">
            <v>8229.8317390831489</v>
          </cell>
          <cell r="I103">
            <v>1137675.1170202733</v>
          </cell>
        </row>
        <row r="104">
          <cell r="A104">
            <v>80</v>
          </cell>
          <cell r="B104">
            <v>47411</v>
          </cell>
          <cell r="C104">
            <v>1137675.1170202733</v>
          </cell>
          <cell r="D104">
            <v>32413.313177607219</v>
          </cell>
          <cell r="E104"/>
          <cell r="F104">
            <v>32413.313177607219</v>
          </cell>
          <cell r="G104">
            <v>24354.781098713614</v>
          </cell>
          <cell r="H104">
            <v>8058.5320788936033</v>
          </cell>
          <cell r="I104">
            <v>1113320.3359215597</v>
          </cell>
        </row>
        <row r="105">
          <cell r="A105">
            <v>81</v>
          </cell>
          <cell r="B105">
            <v>47442</v>
          </cell>
          <cell r="C105">
            <v>1113320.3359215597</v>
          </cell>
          <cell r="D105">
            <v>32413.313177607219</v>
          </cell>
          <cell r="E105"/>
          <cell r="F105">
            <v>32413.313177607219</v>
          </cell>
          <cell r="G105">
            <v>24527.294131496172</v>
          </cell>
          <cell r="H105">
            <v>7886.0190461110478</v>
          </cell>
          <cell r="I105">
            <v>1088793.0417900635</v>
          </cell>
        </row>
        <row r="106">
          <cell r="A106">
            <v>82</v>
          </cell>
          <cell r="B106">
            <v>47472</v>
          </cell>
          <cell r="C106">
            <v>1088793.0417900635</v>
          </cell>
          <cell r="D106">
            <v>32413.313177607219</v>
          </cell>
          <cell r="E106"/>
          <cell r="F106">
            <v>32413.313177607219</v>
          </cell>
          <cell r="G106">
            <v>24701.029131594267</v>
          </cell>
          <cell r="H106">
            <v>7712.284046012951</v>
          </cell>
          <cell r="I106">
            <v>1064092.0126584691</v>
          </cell>
        </row>
        <row r="107">
          <cell r="A107">
            <v>83</v>
          </cell>
          <cell r="B107">
            <v>47503</v>
          </cell>
          <cell r="C107">
            <v>1064092.0126584691</v>
          </cell>
          <cell r="D107">
            <v>32413.313177607219</v>
          </cell>
          <cell r="E107"/>
          <cell r="F107">
            <v>32413.313177607219</v>
          </cell>
          <cell r="G107">
            <v>24875.994754609728</v>
          </cell>
          <cell r="H107">
            <v>7537.3184229974904</v>
          </cell>
          <cell r="I107">
            <v>1039216.0179038594</v>
          </cell>
        </row>
        <row r="108">
          <cell r="A108">
            <v>84</v>
          </cell>
          <cell r="B108">
            <v>47534</v>
          </cell>
          <cell r="C108">
            <v>1039216.0179038594</v>
          </cell>
          <cell r="D108">
            <v>32413.313177607219</v>
          </cell>
          <cell r="E108"/>
          <cell r="F108">
            <v>32413.313177607219</v>
          </cell>
          <cell r="G108">
            <v>25052.199717454881</v>
          </cell>
          <cell r="H108">
            <v>7361.1134601523372</v>
          </cell>
          <cell r="I108">
            <v>1014163.8181864045</v>
          </cell>
        </row>
        <row r="109">
          <cell r="A109">
            <v>85</v>
          </cell>
          <cell r="B109">
            <v>47562</v>
          </cell>
          <cell r="C109">
            <v>1014163.8181864045</v>
          </cell>
          <cell r="D109">
            <v>32413.313177607219</v>
          </cell>
          <cell r="E109"/>
          <cell r="F109">
            <v>32413.313177607219</v>
          </cell>
          <cell r="G109">
            <v>25229.652798786854</v>
          </cell>
          <cell r="H109">
            <v>7183.6603788203656</v>
          </cell>
          <cell r="I109">
            <v>988934.16538761766</v>
          </cell>
        </row>
        <row r="110">
          <cell r="A110">
            <v>86</v>
          </cell>
          <cell r="B110">
            <v>47593</v>
          </cell>
          <cell r="C110">
            <v>988934.16538761766</v>
          </cell>
          <cell r="D110">
            <v>32413.313177607219</v>
          </cell>
          <cell r="E110"/>
          <cell r="F110">
            <v>32413.313177607219</v>
          </cell>
          <cell r="G110">
            <v>25408.362839444926</v>
          </cell>
          <cell r="H110">
            <v>7004.9503381622926</v>
          </cell>
          <cell r="I110">
            <v>963525.80254817277</v>
          </cell>
        </row>
        <row r="111">
          <cell r="A111">
            <v>87</v>
          </cell>
          <cell r="B111">
            <v>47623</v>
          </cell>
          <cell r="C111">
            <v>963525.80254817277</v>
          </cell>
          <cell r="D111">
            <v>32413.313177607219</v>
          </cell>
          <cell r="E111"/>
          <cell r="F111">
            <v>32413.313177607219</v>
          </cell>
          <cell r="G111">
            <v>25588.338742890995</v>
          </cell>
          <cell r="H111">
            <v>6824.9744347162241</v>
          </cell>
          <cell r="I111">
            <v>937937.46380528179</v>
          </cell>
        </row>
        <row r="112">
          <cell r="A112">
            <v>88</v>
          </cell>
          <cell r="B112">
            <v>47654</v>
          </cell>
          <cell r="C112">
            <v>937937.46380528179</v>
          </cell>
          <cell r="D112">
            <v>32413.313177607219</v>
          </cell>
          <cell r="E112"/>
          <cell r="F112">
            <v>32413.313177607219</v>
          </cell>
          <cell r="G112">
            <v>25769.589475653138</v>
          </cell>
          <cell r="H112">
            <v>6643.7237019540798</v>
          </cell>
          <cell r="I112">
            <v>912167.87432962866</v>
          </cell>
        </row>
        <row r="113">
          <cell r="A113">
            <v>89</v>
          </cell>
          <cell r="B113">
            <v>47684</v>
          </cell>
          <cell r="C113">
            <v>912167.87432962866</v>
          </cell>
          <cell r="D113">
            <v>32413.313177607219</v>
          </cell>
          <cell r="E113"/>
          <cell r="F113">
            <v>32413.313177607219</v>
          </cell>
          <cell r="G113">
            <v>25952.124067772347</v>
          </cell>
          <cell r="H113">
            <v>6461.1891098348706</v>
          </cell>
          <cell r="I113">
            <v>886215.75026185636</v>
          </cell>
        </row>
        <row r="114">
          <cell r="A114">
            <v>90</v>
          </cell>
          <cell r="B114">
            <v>47715</v>
          </cell>
          <cell r="C114">
            <v>886215.75026185636</v>
          </cell>
          <cell r="D114">
            <v>32413.313177607219</v>
          </cell>
          <cell r="E114"/>
          <cell r="F114">
            <v>32413.313177607219</v>
          </cell>
          <cell r="G114">
            <v>26135.951613252404</v>
          </cell>
          <cell r="H114">
            <v>6277.3615643548155</v>
          </cell>
          <cell r="I114">
            <v>860079.79864860396</v>
          </cell>
        </row>
        <row r="115">
          <cell r="A115">
            <v>91</v>
          </cell>
          <cell r="B115">
            <v>47746</v>
          </cell>
          <cell r="C115">
            <v>860079.79864860396</v>
          </cell>
          <cell r="D115">
            <v>32413.313177607219</v>
          </cell>
          <cell r="E115"/>
          <cell r="F115">
            <v>32413.313177607219</v>
          </cell>
          <cell r="G115">
            <v>26321.081270512939</v>
          </cell>
          <cell r="H115">
            <v>6092.2319070942785</v>
          </cell>
          <cell r="I115">
            <v>833758.71737809107</v>
          </cell>
        </row>
        <row r="116">
          <cell r="A116">
            <v>92</v>
          </cell>
          <cell r="B116">
            <v>47776</v>
          </cell>
          <cell r="C116">
            <v>833758.71737809107</v>
          </cell>
          <cell r="D116">
            <v>32413.313177607219</v>
          </cell>
          <cell r="E116"/>
          <cell r="F116">
            <v>32413.313177607219</v>
          </cell>
          <cell r="G116">
            <v>26507.522262845741</v>
          </cell>
          <cell r="H116">
            <v>5905.7909147614782</v>
          </cell>
          <cell r="I116">
            <v>807251.1951152453</v>
          </cell>
        </row>
        <row r="117">
          <cell r="A117">
            <v>93</v>
          </cell>
          <cell r="B117">
            <v>47807</v>
          </cell>
          <cell r="C117">
            <v>807251.1951152453</v>
          </cell>
          <cell r="D117">
            <v>32413.313177607219</v>
          </cell>
          <cell r="E117"/>
          <cell r="F117">
            <v>32413.313177607219</v>
          </cell>
          <cell r="G117">
            <v>26695.28387887423</v>
          </cell>
          <cell r="H117">
            <v>5718.0292987329876</v>
          </cell>
          <cell r="I117">
            <v>780555.91123637103</v>
          </cell>
        </row>
        <row r="118">
          <cell r="A118">
            <v>94</v>
          </cell>
          <cell r="B118">
            <v>47837</v>
          </cell>
          <cell r="C118">
            <v>780555.91123637103</v>
          </cell>
          <cell r="D118">
            <v>32413.313177607219</v>
          </cell>
          <cell r="E118"/>
          <cell r="F118">
            <v>32413.313177607219</v>
          </cell>
          <cell r="G118">
            <v>26884.375473016258</v>
          </cell>
          <cell r="H118">
            <v>5528.9377045909614</v>
          </cell>
          <cell r="I118">
            <v>753671.53576335474</v>
          </cell>
        </row>
        <row r="119">
          <cell r="A119">
            <v>95</v>
          </cell>
          <cell r="B119">
            <v>47868</v>
          </cell>
          <cell r="C119">
            <v>753671.53576335474</v>
          </cell>
          <cell r="D119">
            <v>32413.313177607219</v>
          </cell>
          <cell r="E119"/>
          <cell r="F119">
            <v>32413.313177607219</v>
          </cell>
          <cell r="G119">
            <v>27074.806465950121</v>
          </cell>
          <cell r="H119">
            <v>5338.5067116570963</v>
          </cell>
          <cell r="I119">
            <v>726596.72929740464</v>
          </cell>
        </row>
        <row r="120">
          <cell r="A120">
            <v>96</v>
          </cell>
          <cell r="B120">
            <v>47899</v>
          </cell>
          <cell r="C120">
            <v>726596.72929740464</v>
          </cell>
          <cell r="D120">
            <v>32413.313177607219</v>
          </cell>
          <cell r="E120"/>
          <cell r="F120">
            <v>32413.313177607219</v>
          </cell>
          <cell r="G120">
            <v>27266.586345083935</v>
          </cell>
          <cell r="H120">
            <v>5146.7268325232835</v>
          </cell>
          <cell r="I120">
            <v>699330.14295232075</v>
          </cell>
        </row>
        <row r="121">
          <cell r="A121">
            <v>97</v>
          </cell>
          <cell r="B121">
            <v>47927</v>
          </cell>
          <cell r="C121">
            <v>699330.14295232075</v>
          </cell>
          <cell r="D121">
            <v>32413.313177607219</v>
          </cell>
          <cell r="E121"/>
          <cell r="F121">
            <v>32413.313177607219</v>
          </cell>
          <cell r="G121">
            <v>27459.72466502828</v>
          </cell>
          <cell r="H121">
            <v>4953.5885125789391</v>
          </cell>
          <cell r="I121">
            <v>671870.41828729247</v>
          </cell>
        </row>
        <row r="122">
          <cell r="A122">
            <v>98</v>
          </cell>
          <cell r="B122">
            <v>47958</v>
          </cell>
          <cell r="C122">
            <v>671870.41828729247</v>
          </cell>
          <cell r="D122">
            <v>32413.313177607219</v>
          </cell>
          <cell r="E122"/>
          <cell r="F122">
            <v>32413.313177607219</v>
          </cell>
          <cell r="G122">
            <v>27654.23104807223</v>
          </cell>
          <cell r="H122">
            <v>4759.0821295349888</v>
          </cell>
          <cell r="I122">
            <v>644216.18723922025</v>
          </cell>
        </row>
        <row r="123">
          <cell r="A123">
            <v>99</v>
          </cell>
          <cell r="B123">
            <v>47988</v>
          </cell>
          <cell r="C123">
            <v>644216.18723922025</v>
          </cell>
          <cell r="D123">
            <v>32413.313177607219</v>
          </cell>
          <cell r="E123"/>
          <cell r="F123">
            <v>32413.313177607219</v>
          </cell>
          <cell r="G123">
            <v>27850.11518466274</v>
          </cell>
          <cell r="H123">
            <v>4563.1979929444769</v>
          </cell>
          <cell r="I123">
            <v>616366.0720545575</v>
          </cell>
        </row>
        <row r="124">
          <cell r="A124">
            <v>100</v>
          </cell>
          <cell r="B124">
            <v>48019</v>
          </cell>
          <cell r="C124">
            <v>616366.0720545575</v>
          </cell>
          <cell r="D124">
            <v>32413.313177607219</v>
          </cell>
          <cell r="E124"/>
          <cell r="F124">
            <v>32413.313177607219</v>
          </cell>
          <cell r="G124">
            <v>28047.386833887438</v>
          </cell>
          <cell r="H124">
            <v>4365.9263437197824</v>
          </cell>
          <cell r="I124">
            <v>588318.68522067007</v>
          </cell>
        </row>
        <row r="125">
          <cell r="A125">
            <v>101</v>
          </cell>
          <cell r="B125">
            <v>48049</v>
          </cell>
          <cell r="C125">
            <v>588318.68522067007</v>
          </cell>
          <cell r="D125">
            <v>32413.313177607219</v>
          </cell>
          <cell r="E125"/>
          <cell r="F125">
            <v>32413.313177607219</v>
          </cell>
          <cell r="G125">
            <v>28246.055823960807</v>
          </cell>
          <cell r="H125">
            <v>4167.2573536464133</v>
          </cell>
          <cell r="I125">
            <v>560072.62939670926</v>
          </cell>
        </row>
        <row r="126">
          <cell r="A126">
            <v>102</v>
          </cell>
          <cell r="B126">
            <v>48080</v>
          </cell>
          <cell r="C126">
            <v>560072.62939670926</v>
          </cell>
          <cell r="D126">
            <v>32413.313177607219</v>
          </cell>
          <cell r="E126"/>
          <cell r="F126">
            <v>32413.313177607219</v>
          </cell>
          <cell r="G126">
            <v>28446.13205271386</v>
          </cell>
          <cell r="H126">
            <v>3967.1811248933577</v>
          </cell>
          <cell r="I126">
            <v>531626.49734399538</v>
          </cell>
        </row>
        <row r="127">
          <cell r="A127">
            <v>103</v>
          </cell>
          <cell r="B127">
            <v>48111</v>
          </cell>
          <cell r="C127">
            <v>531626.49734399538</v>
          </cell>
          <cell r="D127">
            <v>32413.313177607219</v>
          </cell>
          <cell r="E127"/>
          <cell r="F127">
            <v>32413.313177607219</v>
          </cell>
          <cell r="G127">
            <v>28647.625488087251</v>
          </cell>
          <cell r="H127">
            <v>3765.6876895199675</v>
          </cell>
          <cell r="I127">
            <v>502978.87185590813</v>
          </cell>
        </row>
        <row r="128">
          <cell r="A128">
            <v>104</v>
          </cell>
          <cell r="B128">
            <v>48141</v>
          </cell>
          <cell r="C128">
            <v>502978.87185590813</v>
          </cell>
          <cell r="D128">
            <v>32413.313177607219</v>
          </cell>
          <cell r="E128"/>
          <cell r="F128">
            <v>32413.313177607219</v>
          </cell>
          <cell r="G128">
            <v>28850.546168627869</v>
          </cell>
          <cell r="H128">
            <v>3562.7670089793496</v>
          </cell>
          <cell r="I128">
            <v>474128.32568728027</v>
          </cell>
        </row>
        <row r="129">
          <cell r="A129">
            <v>105</v>
          </cell>
          <cell r="B129">
            <v>48172</v>
          </cell>
          <cell r="C129">
            <v>474128.32568728027</v>
          </cell>
          <cell r="D129">
            <v>32413.313177607219</v>
          </cell>
          <cell r="E129"/>
          <cell r="F129">
            <v>32413.313177607219</v>
          </cell>
          <cell r="G129">
            <v>29054.904203988983</v>
          </cell>
          <cell r="H129">
            <v>3358.4089736182354</v>
          </cell>
          <cell r="I129">
            <v>445073.42148329131</v>
          </cell>
        </row>
        <row r="130">
          <cell r="A130">
            <v>106</v>
          </cell>
          <cell r="B130">
            <v>48202</v>
          </cell>
          <cell r="C130">
            <v>445073.42148329131</v>
          </cell>
          <cell r="D130">
            <v>32413.313177607219</v>
          </cell>
          <cell r="E130"/>
          <cell r="F130">
            <v>32413.313177607219</v>
          </cell>
          <cell r="G130">
            <v>29260.709775433905</v>
          </cell>
          <cell r="H130">
            <v>3152.603402173314</v>
          </cell>
          <cell r="I130">
            <v>415812.71170785744</v>
          </cell>
        </row>
        <row r="131">
          <cell r="A131">
            <v>107</v>
          </cell>
          <cell r="B131">
            <v>48233</v>
          </cell>
          <cell r="C131">
            <v>415812.71170785744</v>
          </cell>
          <cell r="D131">
            <v>32413.313177607219</v>
          </cell>
          <cell r="E131"/>
          <cell r="F131">
            <v>32413.313177607219</v>
          </cell>
          <cell r="G131">
            <v>29467.973136343229</v>
          </cell>
          <cell r="H131">
            <v>2945.3400412639908</v>
          </cell>
          <cell r="I131">
            <v>386344.7385715142</v>
          </cell>
        </row>
        <row r="132">
          <cell r="A132">
            <v>108</v>
          </cell>
          <cell r="B132">
            <v>48264</v>
          </cell>
          <cell r="C132">
            <v>386344.7385715142</v>
          </cell>
          <cell r="D132">
            <v>32413.313177607219</v>
          </cell>
          <cell r="E132"/>
          <cell r="F132">
            <v>32413.313177607219</v>
          </cell>
          <cell r="G132">
            <v>29676.704612725658</v>
          </cell>
          <cell r="H132">
            <v>2736.6085648815592</v>
          </cell>
          <cell r="I132">
            <v>356668.03395878855</v>
          </cell>
        </row>
        <row r="133">
          <cell r="A133">
            <v>109</v>
          </cell>
          <cell r="B133">
            <v>48293</v>
          </cell>
          <cell r="C133">
            <v>356668.03395878855</v>
          </cell>
          <cell r="D133">
            <v>32413.313177607219</v>
          </cell>
          <cell r="E133"/>
          <cell r="F133">
            <v>32413.313177607219</v>
          </cell>
          <cell r="G133">
            <v>29886.914603732468</v>
          </cell>
          <cell r="H133">
            <v>2526.3985738747524</v>
          </cell>
          <cell r="I133">
            <v>326781.11935505609</v>
          </cell>
        </row>
        <row r="134">
          <cell r="A134">
            <v>110</v>
          </cell>
          <cell r="B134">
            <v>48324</v>
          </cell>
          <cell r="C134">
            <v>326781.11935505609</v>
          </cell>
          <cell r="D134">
            <v>32413.313177607219</v>
          </cell>
          <cell r="E134"/>
          <cell r="F134">
            <v>32413.313177607219</v>
          </cell>
          <cell r="G134">
            <v>30098.613582175571</v>
          </cell>
          <cell r="H134">
            <v>2314.6995954316476</v>
          </cell>
          <cell r="I134">
            <v>296682.50577288051</v>
          </cell>
        </row>
        <row r="135">
          <cell r="A135">
            <v>111</v>
          </cell>
          <cell r="B135">
            <v>48354</v>
          </cell>
          <cell r="C135">
            <v>296682.50577288051</v>
          </cell>
          <cell r="D135">
            <v>32413.313177607219</v>
          </cell>
          <cell r="E135"/>
          <cell r="F135">
            <v>32413.313177607219</v>
          </cell>
          <cell r="G135">
            <v>30311.812095049314</v>
          </cell>
          <cell r="H135">
            <v>2101.5010825579038</v>
          </cell>
          <cell r="I135">
            <v>266370.69367783121</v>
          </cell>
        </row>
        <row r="136">
          <cell r="A136">
            <v>112</v>
          </cell>
          <cell r="B136">
            <v>48385</v>
          </cell>
          <cell r="C136">
            <v>266370.69367783121</v>
          </cell>
          <cell r="D136">
            <v>32413.313177607219</v>
          </cell>
          <cell r="E136"/>
          <cell r="F136">
            <v>32413.313177607219</v>
          </cell>
          <cell r="G136">
            <v>30526.520764055913</v>
          </cell>
          <cell r="H136">
            <v>1886.7924135513047</v>
          </cell>
          <cell r="I136">
            <v>235844.17291377528</v>
          </cell>
        </row>
        <row r="137">
          <cell r="A137">
            <v>113</v>
          </cell>
          <cell r="B137">
            <v>48415</v>
          </cell>
          <cell r="C137">
            <v>235844.17291377528</v>
          </cell>
          <cell r="D137">
            <v>32413.313177607219</v>
          </cell>
          <cell r="E137"/>
          <cell r="F137">
            <v>32413.313177607219</v>
          </cell>
          <cell r="G137">
            <v>30742.750286134644</v>
          </cell>
          <cell r="H137">
            <v>1670.5628914725751</v>
          </cell>
          <cell r="I137">
            <v>205101.42262764066</v>
          </cell>
        </row>
        <row r="138">
          <cell r="A138">
            <v>114</v>
          </cell>
          <cell r="B138">
            <v>48446</v>
          </cell>
          <cell r="C138">
            <v>205101.42262764066</v>
          </cell>
          <cell r="D138">
            <v>32413.313177607219</v>
          </cell>
          <cell r="E138"/>
          <cell r="F138">
            <v>32413.313177607219</v>
          </cell>
          <cell r="G138">
            <v>30960.511433994765</v>
          </cell>
          <cell r="H138">
            <v>1452.8017436124546</v>
          </cell>
          <cell r="I138">
            <v>174140.91119364588</v>
          </cell>
        </row>
        <row r="139">
          <cell r="A139">
            <v>115</v>
          </cell>
          <cell r="B139">
            <v>48477</v>
          </cell>
          <cell r="C139">
            <v>174140.91119364588</v>
          </cell>
          <cell r="D139">
            <v>32413.313177607219</v>
          </cell>
          <cell r="E139"/>
          <cell r="F139">
            <v>32413.313177607219</v>
          </cell>
          <cell r="G139">
            <v>31179.815056652227</v>
          </cell>
          <cell r="H139">
            <v>1233.4981209549917</v>
          </cell>
          <cell r="I139">
            <v>142961.09613699364</v>
          </cell>
        </row>
        <row r="140">
          <cell r="A140">
            <v>116</v>
          </cell>
          <cell r="B140">
            <v>48507</v>
          </cell>
          <cell r="C140">
            <v>142961.09613699364</v>
          </cell>
          <cell r="D140">
            <v>32413.313177607219</v>
          </cell>
          <cell r="E140"/>
          <cell r="F140">
            <v>32413.313177607219</v>
          </cell>
          <cell r="G140">
            <v>31400.67207997018</v>
          </cell>
          <cell r="H140">
            <v>1012.6410976370383</v>
          </cell>
          <cell r="I140">
            <v>111560.42405702345</v>
          </cell>
        </row>
        <row r="141">
          <cell r="A141">
            <v>117</v>
          </cell>
          <cell r="B141">
            <v>48538</v>
          </cell>
          <cell r="C141">
            <v>111560.42405702345</v>
          </cell>
          <cell r="D141">
            <v>32413.313177607219</v>
          </cell>
          <cell r="E141"/>
          <cell r="F141">
            <v>32413.313177607219</v>
          </cell>
          <cell r="G141">
            <v>31623.093507203303</v>
          </cell>
          <cell r="H141">
            <v>790.21967040391621</v>
          </cell>
          <cell r="I141">
            <v>79937.330549820152</v>
          </cell>
        </row>
        <row r="142">
          <cell r="A142">
            <v>118</v>
          </cell>
          <cell r="B142">
            <v>48568</v>
          </cell>
          <cell r="C142">
            <v>79937.330549820152</v>
          </cell>
          <cell r="D142">
            <v>32413.313177607219</v>
          </cell>
          <cell r="E142"/>
          <cell r="F142">
            <v>32413.313177607219</v>
          </cell>
          <cell r="G142">
            <v>31847.090419545992</v>
          </cell>
          <cell r="H142">
            <v>566.22275806122605</v>
          </cell>
          <cell r="I142">
            <v>48090.240130274164</v>
          </cell>
        </row>
        <row r="143">
          <cell r="A143">
            <v>119</v>
          </cell>
          <cell r="B143">
            <v>48599</v>
          </cell>
          <cell r="C143">
            <v>48090.240130274164</v>
          </cell>
          <cell r="D143">
            <v>32413.313177607219</v>
          </cell>
          <cell r="E143"/>
          <cell r="F143">
            <v>32413.313177607219</v>
          </cell>
          <cell r="G143">
            <v>32072.673976684444</v>
          </cell>
          <cell r="H143">
            <v>340.63920092277539</v>
          </cell>
          <cell r="I143">
            <v>16017.56615358972</v>
          </cell>
        </row>
        <row r="144">
          <cell r="A144">
            <v>120</v>
          </cell>
          <cell r="B144">
            <v>48630</v>
          </cell>
          <cell r="C144">
            <v>16017.56615358972</v>
          </cell>
          <cell r="D144">
            <v>32413.313177607219</v>
          </cell>
          <cell r="E144"/>
          <cell r="F144">
            <v>16017.56615358972</v>
          </cell>
          <cell r="G144">
            <v>15904.108393335126</v>
          </cell>
          <cell r="H144">
            <v>113.45776025459385</v>
          </cell>
          <cell r="I144">
            <v>0</v>
          </cell>
        </row>
        <row r="145">
          <cell r="A145">
            <v>121</v>
          </cell>
          <cell r="B145">
            <v>42032</v>
          </cell>
          <cell r="C145">
            <v>0</v>
          </cell>
          <cell r="D145">
            <v>32413.313177607219</v>
          </cell>
          <cell r="E145"/>
          <cell r="F145">
            <v>0</v>
          </cell>
          <cell r="G145">
            <v>0</v>
          </cell>
          <cell r="H145">
            <v>0</v>
          </cell>
          <cell r="I145">
            <v>0</v>
          </cell>
        </row>
        <row r="146">
          <cell r="A146">
            <v>122</v>
          </cell>
          <cell r="B146">
            <v>48719</v>
          </cell>
          <cell r="C146">
            <v>0</v>
          </cell>
          <cell r="D146">
            <v>32413.313177607219</v>
          </cell>
          <cell r="E146">
            <v>0</v>
          </cell>
          <cell r="F146">
            <v>0</v>
          </cell>
          <cell r="G146">
            <v>0</v>
          </cell>
          <cell r="H146">
            <v>0</v>
          </cell>
          <cell r="I146">
            <v>0</v>
          </cell>
        </row>
        <row r="147">
          <cell r="A147">
            <v>123</v>
          </cell>
          <cell r="B147">
            <v>48750</v>
          </cell>
          <cell r="C147">
            <v>0</v>
          </cell>
          <cell r="D147">
            <v>32413.313177607219</v>
          </cell>
          <cell r="E147">
            <v>0</v>
          </cell>
          <cell r="F147">
            <v>0</v>
          </cell>
          <cell r="G147">
            <v>0</v>
          </cell>
          <cell r="H147">
            <v>0</v>
          </cell>
          <cell r="I147">
            <v>0</v>
          </cell>
        </row>
        <row r="148">
          <cell r="A148">
            <v>124</v>
          </cell>
          <cell r="B148">
            <v>48780</v>
          </cell>
          <cell r="C148">
            <v>0</v>
          </cell>
          <cell r="D148">
            <v>32413.313177607219</v>
          </cell>
          <cell r="E148">
            <v>0</v>
          </cell>
          <cell r="F148">
            <v>0</v>
          </cell>
          <cell r="G148">
            <v>0</v>
          </cell>
          <cell r="H148">
            <v>0</v>
          </cell>
          <cell r="I148">
            <v>0</v>
          </cell>
        </row>
        <row r="149">
          <cell r="A149">
            <v>125</v>
          </cell>
          <cell r="B149">
            <v>48811</v>
          </cell>
          <cell r="C149">
            <v>0</v>
          </cell>
          <cell r="D149">
            <v>32413.313177607219</v>
          </cell>
          <cell r="E149">
            <v>0</v>
          </cell>
          <cell r="F149">
            <v>0</v>
          </cell>
          <cell r="G149">
            <v>0</v>
          </cell>
          <cell r="H149">
            <v>0</v>
          </cell>
          <cell r="I149">
            <v>0</v>
          </cell>
        </row>
        <row r="150">
          <cell r="A150">
            <v>126</v>
          </cell>
          <cell r="B150">
            <v>48842</v>
          </cell>
          <cell r="C150">
            <v>0</v>
          </cell>
          <cell r="D150">
            <v>32413.313177607219</v>
          </cell>
          <cell r="E150">
            <v>0</v>
          </cell>
          <cell r="F150">
            <v>0</v>
          </cell>
          <cell r="G150">
            <v>0</v>
          </cell>
          <cell r="H150">
            <v>0</v>
          </cell>
          <cell r="I150">
            <v>0</v>
          </cell>
        </row>
        <row r="151">
          <cell r="A151">
            <v>127</v>
          </cell>
          <cell r="B151">
            <v>48872</v>
          </cell>
          <cell r="C151">
            <v>0</v>
          </cell>
          <cell r="D151">
            <v>32413.313177607219</v>
          </cell>
          <cell r="E151">
            <v>0</v>
          </cell>
          <cell r="F151">
            <v>0</v>
          </cell>
          <cell r="G151">
            <v>0</v>
          </cell>
          <cell r="H151">
            <v>0</v>
          </cell>
          <cell r="I151">
            <v>0</v>
          </cell>
        </row>
        <row r="152">
          <cell r="A152">
            <v>128</v>
          </cell>
          <cell r="B152">
            <v>48903</v>
          </cell>
          <cell r="C152">
            <v>0</v>
          </cell>
          <cell r="D152">
            <v>32413.313177607219</v>
          </cell>
          <cell r="E152">
            <v>0</v>
          </cell>
          <cell r="F152">
            <v>0</v>
          </cell>
          <cell r="G152">
            <v>0</v>
          </cell>
          <cell r="H152">
            <v>0</v>
          </cell>
          <cell r="I152">
            <v>0</v>
          </cell>
        </row>
        <row r="153">
          <cell r="A153">
            <v>129</v>
          </cell>
          <cell r="B153">
            <v>48933</v>
          </cell>
          <cell r="C153">
            <v>0</v>
          </cell>
          <cell r="D153">
            <v>32413.313177607219</v>
          </cell>
          <cell r="E153">
            <v>0</v>
          </cell>
          <cell r="F153">
            <v>0</v>
          </cell>
          <cell r="G153">
            <v>0</v>
          </cell>
          <cell r="H153">
            <v>0</v>
          </cell>
          <cell r="I153">
            <v>0</v>
          </cell>
        </row>
        <row r="154">
          <cell r="A154">
            <v>130</v>
          </cell>
          <cell r="B154">
            <v>48964</v>
          </cell>
          <cell r="C154">
            <v>0</v>
          </cell>
          <cell r="D154">
            <v>32413.313177607219</v>
          </cell>
          <cell r="E154">
            <v>0</v>
          </cell>
          <cell r="F154">
            <v>0</v>
          </cell>
          <cell r="G154">
            <v>0</v>
          </cell>
          <cell r="H154">
            <v>0</v>
          </cell>
          <cell r="I154">
            <v>0</v>
          </cell>
        </row>
        <row r="155">
          <cell r="A155">
            <v>131</v>
          </cell>
          <cell r="B155">
            <v>48995</v>
          </cell>
          <cell r="C155">
            <v>0</v>
          </cell>
          <cell r="D155">
            <v>32413.313177607219</v>
          </cell>
          <cell r="E155">
            <v>0</v>
          </cell>
          <cell r="F155">
            <v>0</v>
          </cell>
          <cell r="G155">
            <v>0</v>
          </cell>
          <cell r="H155">
            <v>0</v>
          </cell>
          <cell r="I155">
            <v>0</v>
          </cell>
        </row>
        <row r="156">
          <cell r="A156">
            <v>132</v>
          </cell>
          <cell r="B156">
            <v>49023</v>
          </cell>
          <cell r="C156">
            <v>0</v>
          </cell>
          <cell r="D156">
            <v>32413.313177607219</v>
          </cell>
          <cell r="E156">
            <v>0</v>
          </cell>
          <cell r="F156">
            <v>0</v>
          </cell>
          <cell r="G156">
            <v>0</v>
          </cell>
          <cell r="H156">
            <v>0</v>
          </cell>
          <cell r="I156">
            <v>0</v>
          </cell>
        </row>
        <row r="157">
          <cell r="A157">
            <v>133</v>
          </cell>
          <cell r="B157">
            <v>49054</v>
          </cell>
          <cell r="C157">
            <v>0</v>
          </cell>
          <cell r="D157">
            <v>32413.313177607219</v>
          </cell>
          <cell r="E157">
            <v>0</v>
          </cell>
          <cell r="F157">
            <v>0</v>
          </cell>
          <cell r="G157">
            <v>0</v>
          </cell>
          <cell r="H157">
            <v>0</v>
          </cell>
          <cell r="I157">
            <v>0</v>
          </cell>
        </row>
        <row r="158">
          <cell r="A158">
            <v>134</v>
          </cell>
          <cell r="B158">
            <v>49084</v>
          </cell>
          <cell r="C158">
            <v>0</v>
          </cell>
          <cell r="D158">
            <v>32413.313177607219</v>
          </cell>
          <cell r="E158">
            <v>0</v>
          </cell>
          <cell r="F158">
            <v>0</v>
          </cell>
          <cell r="G158">
            <v>0</v>
          </cell>
          <cell r="H158">
            <v>0</v>
          </cell>
          <cell r="I158">
            <v>0</v>
          </cell>
        </row>
        <row r="159">
          <cell r="A159">
            <v>135</v>
          </cell>
          <cell r="B159">
            <v>49115</v>
          </cell>
          <cell r="C159">
            <v>0</v>
          </cell>
          <cell r="D159">
            <v>32413.313177607219</v>
          </cell>
          <cell r="E159">
            <v>0</v>
          </cell>
          <cell r="F159">
            <v>0</v>
          </cell>
          <cell r="G159">
            <v>0</v>
          </cell>
          <cell r="H159">
            <v>0</v>
          </cell>
          <cell r="I159">
            <v>0</v>
          </cell>
        </row>
        <row r="160">
          <cell r="A160">
            <v>136</v>
          </cell>
          <cell r="B160">
            <v>49145</v>
          </cell>
          <cell r="C160">
            <v>0</v>
          </cell>
          <cell r="D160">
            <v>32413.313177607219</v>
          </cell>
          <cell r="E160">
            <v>0</v>
          </cell>
          <cell r="F160">
            <v>0</v>
          </cell>
          <cell r="G160">
            <v>0</v>
          </cell>
          <cell r="H160">
            <v>0</v>
          </cell>
          <cell r="I160">
            <v>0</v>
          </cell>
        </row>
        <row r="161">
          <cell r="A161">
            <v>137</v>
          </cell>
          <cell r="B161">
            <v>49176</v>
          </cell>
          <cell r="C161">
            <v>0</v>
          </cell>
          <cell r="D161">
            <v>32413.313177607219</v>
          </cell>
          <cell r="E161">
            <v>0</v>
          </cell>
          <cell r="F161">
            <v>0</v>
          </cell>
          <cell r="G161">
            <v>0</v>
          </cell>
          <cell r="H161">
            <v>0</v>
          </cell>
          <cell r="I161">
            <v>0</v>
          </cell>
        </row>
        <row r="162">
          <cell r="A162">
            <v>138</v>
          </cell>
          <cell r="B162">
            <v>49207</v>
          </cell>
          <cell r="C162">
            <v>0</v>
          </cell>
          <cell r="D162">
            <v>32413.313177607219</v>
          </cell>
          <cell r="E162">
            <v>0</v>
          </cell>
          <cell r="F162">
            <v>0</v>
          </cell>
          <cell r="G162">
            <v>0</v>
          </cell>
          <cell r="H162">
            <v>0</v>
          </cell>
          <cell r="I162">
            <v>0</v>
          </cell>
        </row>
        <row r="163">
          <cell r="A163">
            <v>139</v>
          </cell>
          <cell r="B163">
            <v>49237</v>
          </cell>
          <cell r="C163">
            <v>0</v>
          </cell>
          <cell r="D163">
            <v>32413.313177607219</v>
          </cell>
          <cell r="E163">
            <v>0</v>
          </cell>
          <cell r="F163">
            <v>0</v>
          </cell>
          <cell r="G163">
            <v>0</v>
          </cell>
          <cell r="H163">
            <v>0</v>
          </cell>
          <cell r="I163">
            <v>0</v>
          </cell>
        </row>
        <row r="164">
          <cell r="A164">
            <v>140</v>
          </cell>
          <cell r="B164">
            <v>49268</v>
          </cell>
          <cell r="C164">
            <v>0</v>
          </cell>
          <cell r="D164">
            <v>32413.313177607219</v>
          </cell>
          <cell r="E164">
            <v>0</v>
          </cell>
          <cell r="F164">
            <v>0</v>
          </cell>
          <cell r="G164">
            <v>0</v>
          </cell>
          <cell r="H164">
            <v>0</v>
          </cell>
          <cell r="I164">
            <v>0</v>
          </cell>
        </row>
        <row r="165">
          <cell r="A165">
            <v>141</v>
          </cell>
          <cell r="B165">
            <v>49298</v>
          </cell>
          <cell r="C165">
            <v>0</v>
          </cell>
          <cell r="D165">
            <v>32413.313177607219</v>
          </cell>
          <cell r="E165">
            <v>0</v>
          </cell>
          <cell r="F165">
            <v>0</v>
          </cell>
          <cell r="G165">
            <v>0</v>
          </cell>
          <cell r="H165">
            <v>0</v>
          </cell>
          <cell r="I165">
            <v>0</v>
          </cell>
        </row>
        <row r="166">
          <cell r="A166">
            <v>142</v>
          </cell>
          <cell r="B166">
            <v>49329</v>
          </cell>
          <cell r="C166">
            <v>0</v>
          </cell>
          <cell r="D166">
            <v>32413.313177607219</v>
          </cell>
          <cell r="E166">
            <v>0</v>
          </cell>
          <cell r="F166">
            <v>0</v>
          </cell>
          <cell r="G166">
            <v>0</v>
          </cell>
          <cell r="H166">
            <v>0</v>
          </cell>
          <cell r="I166">
            <v>0</v>
          </cell>
        </row>
        <row r="167">
          <cell r="A167">
            <v>143</v>
          </cell>
          <cell r="B167">
            <v>49360</v>
          </cell>
          <cell r="C167">
            <v>0</v>
          </cell>
          <cell r="D167">
            <v>32413.313177607219</v>
          </cell>
          <cell r="E167">
            <v>0</v>
          </cell>
          <cell r="F167">
            <v>0</v>
          </cell>
          <cell r="G167">
            <v>0</v>
          </cell>
          <cell r="H167">
            <v>0</v>
          </cell>
          <cell r="I167">
            <v>0</v>
          </cell>
        </row>
        <row r="168">
          <cell r="A168">
            <v>144</v>
          </cell>
          <cell r="B168">
            <v>49388</v>
          </cell>
          <cell r="C168">
            <v>0</v>
          </cell>
          <cell r="D168">
            <v>32413.313177607219</v>
          </cell>
          <cell r="E168">
            <v>0</v>
          </cell>
          <cell r="F168">
            <v>0</v>
          </cell>
          <cell r="G168">
            <v>0</v>
          </cell>
          <cell r="H168">
            <v>0</v>
          </cell>
          <cell r="I168">
            <v>0</v>
          </cell>
        </row>
        <row r="169">
          <cell r="A169">
            <v>145</v>
          </cell>
          <cell r="B169">
            <v>49419</v>
          </cell>
          <cell r="C169">
            <v>0</v>
          </cell>
          <cell r="D169">
            <v>32413.313177607219</v>
          </cell>
          <cell r="E169">
            <v>0</v>
          </cell>
          <cell r="F169">
            <v>0</v>
          </cell>
          <cell r="G169">
            <v>0</v>
          </cell>
          <cell r="H169">
            <v>0</v>
          </cell>
          <cell r="I169">
            <v>0</v>
          </cell>
        </row>
        <row r="170">
          <cell r="A170">
            <v>146</v>
          </cell>
          <cell r="B170">
            <v>49449</v>
          </cell>
          <cell r="C170">
            <v>0</v>
          </cell>
          <cell r="D170">
            <v>32413.313177607219</v>
          </cell>
          <cell r="E170">
            <v>0</v>
          </cell>
          <cell r="F170">
            <v>0</v>
          </cell>
          <cell r="G170">
            <v>0</v>
          </cell>
          <cell r="H170">
            <v>0</v>
          </cell>
          <cell r="I170">
            <v>0</v>
          </cell>
        </row>
        <row r="171">
          <cell r="A171">
            <v>147</v>
          </cell>
          <cell r="B171">
            <v>49480</v>
          </cell>
          <cell r="C171">
            <v>0</v>
          </cell>
          <cell r="D171">
            <v>32413.313177607219</v>
          </cell>
          <cell r="E171">
            <v>0</v>
          </cell>
          <cell r="F171">
            <v>0</v>
          </cell>
          <cell r="G171">
            <v>0</v>
          </cell>
          <cell r="H171">
            <v>0</v>
          </cell>
          <cell r="I171">
            <v>0</v>
          </cell>
        </row>
        <row r="172">
          <cell r="A172">
            <v>148</v>
          </cell>
          <cell r="B172">
            <v>49510</v>
          </cell>
          <cell r="C172">
            <v>0</v>
          </cell>
          <cell r="D172">
            <v>32413.313177607219</v>
          </cell>
          <cell r="E172">
            <v>0</v>
          </cell>
          <cell r="F172">
            <v>0</v>
          </cell>
          <cell r="G172">
            <v>0</v>
          </cell>
          <cell r="H172">
            <v>0</v>
          </cell>
          <cell r="I172">
            <v>0</v>
          </cell>
        </row>
        <row r="173">
          <cell r="A173">
            <v>149</v>
          </cell>
          <cell r="B173">
            <v>49541</v>
          </cell>
          <cell r="C173">
            <v>0</v>
          </cell>
          <cell r="D173">
            <v>32413.313177607219</v>
          </cell>
          <cell r="E173">
            <v>0</v>
          </cell>
          <cell r="F173">
            <v>0</v>
          </cell>
          <cell r="G173">
            <v>0</v>
          </cell>
          <cell r="H173">
            <v>0</v>
          </cell>
          <cell r="I173">
            <v>0</v>
          </cell>
        </row>
        <row r="174">
          <cell r="A174">
            <v>150</v>
          </cell>
          <cell r="B174">
            <v>49572</v>
          </cell>
          <cell r="C174">
            <v>0</v>
          </cell>
          <cell r="D174">
            <v>32413.313177607219</v>
          </cell>
          <cell r="E174">
            <v>0</v>
          </cell>
          <cell r="F174">
            <v>0</v>
          </cell>
          <cell r="G174">
            <v>0</v>
          </cell>
          <cell r="H174">
            <v>0</v>
          </cell>
          <cell r="I174">
            <v>0</v>
          </cell>
        </row>
        <row r="175">
          <cell r="A175">
            <v>151</v>
          </cell>
          <cell r="B175">
            <v>49602</v>
          </cell>
          <cell r="C175">
            <v>0</v>
          </cell>
          <cell r="D175">
            <v>32413.313177607219</v>
          </cell>
          <cell r="E175">
            <v>0</v>
          </cell>
          <cell r="F175">
            <v>0</v>
          </cell>
          <cell r="G175">
            <v>0</v>
          </cell>
          <cell r="H175">
            <v>0</v>
          </cell>
          <cell r="I175">
            <v>0</v>
          </cell>
        </row>
        <row r="176">
          <cell r="A176">
            <v>152</v>
          </cell>
          <cell r="B176">
            <v>49633</v>
          </cell>
          <cell r="C176">
            <v>0</v>
          </cell>
          <cell r="D176">
            <v>32413.313177607219</v>
          </cell>
          <cell r="E176">
            <v>0</v>
          </cell>
          <cell r="F176">
            <v>0</v>
          </cell>
          <cell r="G176">
            <v>0</v>
          </cell>
          <cell r="H176">
            <v>0</v>
          </cell>
          <cell r="I176">
            <v>0</v>
          </cell>
        </row>
        <row r="177">
          <cell r="A177">
            <v>153</v>
          </cell>
          <cell r="B177">
            <v>49663</v>
          </cell>
          <cell r="C177">
            <v>0</v>
          </cell>
          <cell r="D177">
            <v>32413.313177607219</v>
          </cell>
          <cell r="E177">
            <v>0</v>
          </cell>
          <cell r="F177">
            <v>0</v>
          </cell>
          <cell r="G177">
            <v>0</v>
          </cell>
          <cell r="H177">
            <v>0</v>
          </cell>
          <cell r="I177">
            <v>0</v>
          </cell>
        </row>
        <row r="178">
          <cell r="A178">
            <v>154</v>
          </cell>
          <cell r="B178">
            <v>49694</v>
          </cell>
          <cell r="C178">
            <v>0</v>
          </cell>
          <cell r="D178">
            <v>32413.313177607219</v>
          </cell>
          <cell r="E178">
            <v>0</v>
          </cell>
          <cell r="F178">
            <v>0</v>
          </cell>
          <cell r="G178">
            <v>0</v>
          </cell>
          <cell r="H178">
            <v>0</v>
          </cell>
          <cell r="I178">
            <v>0</v>
          </cell>
        </row>
        <row r="179">
          <cell r="A179">
            <v>155</v>
          </cell>
          <cell r="B179">
            <v>49725</v>
          </cell>
          <cell r="C179">
            <v>0</v>
          </cell>
          <cell r="D179">
            <v>32413.313177607219</v>
          </cell>
          <cell r="E179">
            <v>0</v>
          </cell>
          <cell r="F179">
            <v>0</v>
          </cell>
          <cell r="G179">
            <v>0</v>
          </cell>
          <cell r="H179">
            <v>0</v>
          </cell>
          <cell r="I179">
            <v>0</v>
          </cell>
        </row>
        <row r="180">
          <cell r="A180">
            <v>156</v>
          </cell>
          <cell r="B180">
            <v>49754</v>
          </cell>
          <cell r="C180">
            <v>0</v>
          </cell>
          <cell r="D180">
            <v>32413.313177607219</v>
          </cell>
          <cell r="E180">
            <v>0</v>
          </cell>
          <cell r="F180">
            <v>0</v>
          </cell>
          <cell r="G180">
            <v>0</v>
          </cell>
          <cell r="H180">
            <v>0</v>
          </cell>
          <cell r="I180">
            <v>0</v>
          </cell>
        </row>
        <row r="181">
          <cell r="A181">
            <v>157</v>
          </cell>
          <cell r="B181">
            <v>49785</v>
          </cell>
          <cell r="C181">
            <v>0</v>
          </cell>
          <cell r="D181">
            <v>32413.313177607219</v>
          </cell>
          <cell r="E181">
            <v>0</v>
          </cell>
          <cell r="F181">
            <v>0</v>
          </cell>
          <cell r="G181">
            <v>0</v>
          </cell>
          <cell r="H181">
            <v>0</v>
          </cell>
          <cell r="I181">
            <v>0</v>
          </cell>
        </row>
        <row r="182">
          <cell r="A182">
            <v>158</v>
          </cell>
          <cell r="B182">
            <v>49815</v>
          </cell>
          <cell r="C182">
            <v>0</v>
          </cell>
          <cell r="D182">
            <v>32413.313177607219</v>
          </cell>
          <cell r="E182">
            <v>0</v>
          </cell>
          <cell r="F182">
            <v>0</v>
          </cell>
          <cell r="G182">
            <v>0</v>
          </cell>
          <cell r="H182">
            <v>0</v>
          </cell>
          <cell r="I182">
            <v>0</v>
          </cell>
        </row>
        <row r="183">
          <cell r="A183">
            <v>159</v>
          </cell>
          <cell r="B183">
            <v>49846</v>
          </cell>
          <cell r="C183">
            <v>0</v>
          </cell>
          <cell r="D183">
            <v>32413.313177607219</v>
          </cell>
          <cell r="E183">
            <v>0</v>
          </cell>
          <cell r="F183">
            <v>0</v>
          </cell>
          <cell r="G183">
            <v>0</v>
          </cell>
          <cell r="H183">
            <v>0</v>
          </cell>
          <cell r="I183">
            <v>0</v>
          </cell>
        </row>
        <row r="184">
          <cell r="A184">
            <v>160</v>
          </cell>
          <cell r="B184">
            <v>49876</v>
          </cell>
          <cell r="C184">
            <v>0</v>
          </cell>
          <cell r="D184">
            <v>32413.313177607219</v>
          </cell>
          <cell r="E184">
            <v>0</v>
          </cell>
          <cell r="F184">
            <v>0</v>
          </cell>
          <cell r="G184">
            <v>0</v>
          </cell>
          <cell r="H184">
            <v>0</v>
          </cell>
          <cell r="I184">
            <v>0</v>
          </cell>
        </row>
        <row r="185">
          <cell r="A185">
            <v>161</v>
          </cell>
          <cell r="B185">
            <v>49907</v>
          </cell>
          <cell r="C185">
            <v>0</v>
          </cell>
          <cell r="D185">
            <v>32413.313177607219</v>
          </cell>
          <cell r="E185">
            <v>0</v>
          </cell>
          <cell r="F185">
            <v>0</v>
          </cell>
          <cell r="G185">
            <v>0</v>
          </cell>
          <cell r="H185">
            <v>0</v>
          </cell>
          <cell r="I185">
            <v>0</v>
          </cell>
        </row>
        <row r="186">
          <cell r="A186">
            <v>162</v>
          </cell>
          <cell r="B186">
            <v>49938</v>
          </cell>
          <cell r="C186">
            <v>0</v>
          </cell>
          <cell r="D186">
            <v>32413.313177607219</v>
          </cell>
          <cell r="E186">
            <v>0</v>
          </cell>
          <cell r="F186">
            <v>0</v>
          </cell>
          <cell r="G186">
            <v>0</v>
          </cell>
          <cell r="H186">
            <v>0</v>
          </cell>
          <cell r="I186">
            <v>0</v>
          </cell>
        </row>
        <row r="187">
          <cell r="A187">
            <v>163</v>
          </cell>
          <cell r="B187">
            <v>49968</v>
          </cell>
          <cell r="C187">
            <v>0</v>
          </cell>
          <cell r="D187">
            <v>32413.313177607219</v>
          </cell>
          <cell r="E187">
            <v>0</v>
          </cell>
          <cell r="F187">
            <v>0</v>
          </cell>
          <cell r="G187">
            <v>0</v>
          </cell>
          <cell r="H187">
            <v>0</v>
          </cell>
          <cell r="I187">
            <v>0</v>
          </cell>
        </row>
        <row r="188">
          <cell r="A188">
            <v>164</v>
          </cell>
          <cell r="B188">
            <v>49999</v>
          </cell>
          <cell r="C188">
            <v>0</v>
          </cell>
          <cell r="D188">
            <v>32413.313177607219</v>
          </cell>
          <cell r="E188">
            <v>0</v>
          </cell>
          <cell r="F188">
            <v>0</v>
          </cell>
          <cell r="G188">
            <v>0</v>
          </cell>
          <cell r="H188">
            <v>0</v>
          </cell>
          <cell r="I188">
            <v>0</v>
          </cell>
        </row>
        <row r="189">
          <cell r="A189">
            <v>165</v>
          </cell>
          <cell r="B189">
            <v>50029</v>
          </cell>
          <cell r="C189">
            <v>0</v>
          </cell>
          <cell r="D189">
            <v>32413.313177607219</v>
          </cell>
          <cell r="E189">
            <v>0</v>
          </cell>
          <cell r="F189">
            <v>0</v>
          </cell>
          <cell r="G189">
            <v>0</v>
          </cell>
          <cell r="H189">
            <v>0</v>
          </cell>
          <cell r="I189">
            <v>0</v>
          </cell>
        </row>
        <row r="190">
          <cell r="A190">
            <v>166</v>
          </cell>
          <cell r="B190">
            <v>50060</v>
          </cell>
          <cell r="C190">
            <v>0</v>
          </cell>
          <cell r="D190">
            <v>32413.313177607219</v>
          </cell>
          <cell r="E190">
            <v>0</v>
          </cell>
          <cell r="F190">
            <v>0</v>
          </cell>
          <cell r="G190">
            <v>0</v>
          </cell>
          <cell r="H190">
            <v>0</v>
          </cell>
          <cell r="I190">
            <v>0</v>
          </cell>
        </row>
        <row r="191">
          <cell r="A191">
            <v>167</v>
          </cell>
          <cell r="B191">
            <v>50091</v>
          </cell>
          <cell r="C191">
            <v>0</v>
          </cell>
          <cell r="D191">
            <v>32413.313177607219</v>
          </cell>
          <cell r="E191">
            <v>0</v>
          </cell>
          <cell r="F191">
            <v>0</v>
          </cell>
          <cell r="G191">
            <v>0</v>
          </cell>
          <cell r="H191">
            <v>0</v>
          </cell>
          <cell r="I191">
            <v>0</v>
          </cell>
        </row>
        <row r="192">
          <cell r="A192">
            <v>168</v>
          </cell>
          <cell r="B192">
            <v>50119</v>
          </cell>
          <cell r="C192">
            <v>0</v>
          </cell>
          <cell r="D192">
            <v>32413.313177607219</v>
          </cell>
          <cell r="E192">
            <v>0</v>
          </cell>
          <cell r="F192">
            <v>0</v>
          </cell>
          <cell r="G192">
            <v>0</v>
          </cell>
          <cell r="H192">
            <v>0</v>
          </cell>
          <cell r="I192">
            <v>0</v>
          </cell>
        </row>
        <row r="193">
          <cell r="A193">
            <v>169</v>
          </cell>
          <cell r="B193">
            <v>50150</v>
          </cell>
          <cell r="C193">
            <v>0</v>
          </cell>
          <cell r="D193">
            <v>32413.313177607219</v>
          </cell>
          <cell r="E193">
            <v>0</v>
          </cell>
          <cell r="F193">
            <v>0</v>
          </cell>
          <cell r="G193">
            <v>0</v>
          </cell>
          <cell r="H193">
            <v>0</v>
          </cell>
          <cell r="I193">
            <v>0</v>
          </cell>
        </row>
        <row r="194">
          <cell r="A194">
            <v>170</v>
          </cell>
          <cell r="B194">
            <v>50180</v>
          </cell>
          <cell r="C194">
            <v>0</v>
          </cell>
          <cell r="D194">
            <v>32413.313177607219</v>
          </cell>
          <cell r="E194">
            <v>0</v>
          </cell>
          <cell r="F194">
            <v>0</v>
          </cell>
          <cell r="G194">
            <v>0</v>
          </cell>
          <cell r="H194">
            <v>0</v>
          </cell>
          <cell r="I194">
            <v>0</v>
          </cell>
        </row>
        <row r="195">
          <cell r="A195">
            <v>171</v>
          </cell>
          <cell r="B195">
            <v>50211</v>
          </cell>
          <cell r="C195">
            <v>0</v>
          </cell>
          <cell r="D195">
            <v>32413.313177607219</v>
          </cell>
          <cell r="E195">
            <v>0</v>
          </cell>
          <cell r="F195">
            <v>0</v>
          </cell>
          <cell r="G195">
            <v>0</v>
          </cell>
          <cell r="H195">
            <v>0</v>
          </cell>
          <cell r="I195">
            <v>0</v>
          </cell>
        </row>
        <row r="196">
          <cell r="A196">
            <v>172</v>
          </cell>
          <cell r="B196">
            <v>50241</v>
          </cell>
          <cell r="C196">
            <v>0</v>
          </cell>
          <cell r="D196">
            <v>32413.313177607219</v>
          </cell>
          <cell r="E196">
            <v>0</v>
          </cell>
          <cell r="F196">
            <v>0</v>
          </cell>
          <cell r="G196">
            <v>0</v>
          </cell>
          <cell r="H196">
            <v>0</v>
          </cell>
          <cell r="I196">
            <v>0</v>
          </cell>
        </row>
        <row r="197">
          <cell r="A197">
            <v>173</v>
          </cell>
          <cell r="B197">
            <v>50272</v>
          </cell>
          <cell r="C197">
            <v>0</v>
          </cell>
          <cell r="D197">
            <v>32413.313177607219</v>
          </cell>
          <cell r="E197">
            <v>0</v>
          </cell>
          <cell r="F197">
            <v>0</v>
          </cell>
          <cell r="G197">
            <v>0</v>
          </cell>
          <cell r="H197">
            <v>0</v>
          </cell>
          <cell r="I197">
            <v>0</v>
          </cell>
        </row>
        <row r="198">
          <cell r="A198">
            <v>174</v>
          </cell>
          <cell r="B198">
            <v>50303</v>
          </cell>
          <cell r="C198">
            <v>0</v>
          </cell>
          <cell r="D198">
            <v>32413.313177607219</v>
          </cell>
          <cell r="E198">
            <v>0</v>
          </cell>
          <cell r="F198">
            <v>0</v>
          </cell>
          <cell r="G198">
            <v>0</v>
          </cell>
          <cell r="H198">
            <v>0</v>
          </cell>
          <cell r="I198">
            <v>0</v>
          </cell>
        </row>
        <row r="199">
          <cell r="A199">
            <v>175</v>
          </cell>
          <cell r="B199">
            <v>50333</v>
          </cell>
          <cell r="C199">
            <v>0</v>
          </cell>
          <cell r="D199">
            <v>32413.313177607219</v>
          </cell>
          <cell r="E199">
            <v>0</v>
          </cell>
          <cell r="F199">
            <v>0</v>
          </cell>
          <cell r="G199">
            <v>0</v>
          </cell>
          <cell r="H199">
            <v>0</v>
          </cell>
          <cell r="I199">
            <v>0</v>
          </cell>
        </row>
        <row r="200">
          <cell r="A200">
            <v>176</v>
          </cell>
          <cell r="B200">
            <v>50364</v>
          </cell>
          <cell r="C200">
            <v>0</v>
          </cell>
          <cell r="D200">
            <v>32413.313177607219</v>
          </cell>
          <cell r="E200">
            <v>0</v>
          </cell>
          <cell r="F200">
            <v>0</v>
          </cell>
          <cell r="G200">
            <v>0</v>
          </cell>
          <cell r="H200">
            <v>0</v>
          </cell>
          <cell r="I200">
            <v>0</v>
          </cell>
        </row>
        <row r="201">
          <cell r="A201">
            <v>177</v>
          </cell>
          <cell r="B201">
            <v>50394</v>
          </cell>
          <cell r="C201">
            <v>0</v>
          </cell>
          <cell r="D201">
            <v>32413.313177607219</v>
          </cell>
          <cell r="E201">
            <v>0</v>
          </cell>
          <cell r="F201">
            <v>0</v>
          </cell>
          <cell r="G201">
            <v>0</v>
          </cell>
          <cell r="H201">
            <v>0</v>
          </cell>
          <cell r="I201">
            <v>0</v>
          </cell>
        </row>
        <row r="202">
          <cell r="A202">
            <v>178</v>
          </cell>
          <cell r="B202">
            <v>50425</v>
          </cell>
          <cell r="C202">
            <v>0</v>
          </cell>
          <cell r="D202">
            <v>32413.313177607219</v>
          </cell>
          <cell r="E202">
            <v>0</v>
          </cell>
          <cell r="F202">
            <v>0</v>
          </cell>
          <cell r="G202">
            <v>0</v>
          </cell>
          <cell r="H202">
            <v>0</v>
          </cell>
          <cell r="I202">
            <v>0</v>
          </cell>
        </row>
        <row r="203">
          <cell r="A203">
            <v>179</v>
          </cell>
          <cell r="B203">
            <v>50456</v>
          </cell>
          <cell r="C203">
            <v>0</v>
          </cell>
          <cell r="D203">
            <v>32413.313177607219</v>
          </cell>
          <cell r="E203">
            <v>0</v>
          </cell>
          <cell r="F203">
            <v>0</v>
          </cell>
          <cell r="G203">
            <v>0</v>
          </cell>
          <cell r="H203">
            <v>0</v>
          </cell>
          <cell r="I203">
            <v>0</v>
          </cell>
        </row>
        <row r="204">
          <cell r="A204">
            <v>180</v>
          </cell>
          <cell r="B204">
            <v>50484</v>
          </cell>
          <cell r="C204">
            <v>0</v>
          </cell>
          <cell r="D204">
            <v>32413.313177607219</v>
          </cell>
          <cell r="E204">
            <v>0</v>
          </cell>
          <cell r="F204">
            <v>0</v>
          </cell>
          <cell r="G204">
            <v>0</v>
          </cell>
          <cell r="H204">
            <v>0</v>
          </cell>
          <cell r="I204">
            <v>0</v>
          </cell>
        </row>
        <row r="205">
          <cell r="A205">
            <v>181</v>
          </cell>
          <cell r="B205">
            <v>50515</v>
          </cell>
          <cell r="C205">
            <v>0</v>
          </cell>
          <cell r="D205">
            <v>32413.313177607219</v>
          </cell>
          <cell r="E205">
            <v>0</v>
          </cell>
          <cell r="F205">
            <v>0</v>
          </cell>
          <cell r="G205">
            <v>0</v>
          </cell>
          <cell r="H205">
            <v>0</v>
          </cell>
          <cell r="I205">
            <v>0</v>
          </cell>
        </row>
        <row r="206">
          <cell r="A206">
            <v>182</v>
          </cell>
          <cell r="B206">
            <v>50545</v>
          </cell>
          <cell r="C206">
            <v>0</v>
          </cell>
          <cell r="D206">
            <v>32413.313177607219</v>
          </cell>
          <cell r="E206">
            <v>0</v>
          </cell>
          <cell r="F206">
            <v>0</v>
          </cell>
          <cell r="G206">
            <v>0</v>
          </cell>
          <cell r="H206">
            <v>0</v>
          </cell>
          <cell r="I206">
            <v>0</v>
          </cell>
        </row>
        <row r="207">
          <cell r="A207">
            <v>183</v>
          </cell>
          <cell r="B207">
            <v>50576</v>
          </cell>
          <cell r="C207">
            <v>0</v>
          </cell>
          <cell r="D207">
            <v>32413.313177607219</v>
          </cell>
          <cell r="E207">
            <v>0</v>
          </cell>
          <cell r="F207">
            <v>0</v>
          </cell>
          <cell r="G207">
            <v>0</v>
          </cell>
          <cell r="H207">
            <v>0</v>
          </cell>
          <cell r="I207">
            <v>0</v>
          </cell>
        </row>
        <row r="208">
          <cell r="A208">
            <v>184</v>
          </cell>
          <cell r="B208">
            <v>50606</v>
          </cell>
          <cell r="C208">
            <v>0</v>
          </cell>
          <cell r="D208">
            <v>32413.313177607219</v>
          </cell>
          <cell r="E208">
            <v>0</v>
          </cell>
          <cell r="F208">
            <v>0</v>
          </cell>
          <cell r="G208">
            <v>0</v>
          </cell>
          <cell r="H208">
            <v>0</v>
          </cell>
          <cell r="I208">
            <v>0</v>
          </cell>
        </row>
        <row r="209">
          <cell r="A209">
            <v>185</v>
          </cell>
          <cell r="B209">
            <v>50637</v>
          </cell>
          <cell r="C209">
            <v>0</v>
          </cell>
          <cell r="D209">
            <v>32413.313177607219</v>
          </cell>
          <cell r="E209">
            <v>0</v>
          </cell>
          <cell r="F209">
            <v>0</v>
          </cell>
          <cell r="G209">
            <v>0</v>
          </cell>
          <cell r="H209">
            <v>0</v>
          </cell>
          <cell r="I209">
            <v>0</v>
          </cell>
        </row>
        <row r="210">
          <cell r="A210">
            <v>186</v>
          </cell>
          <cell r="B210">
            <v>50668</v>
          </cell>
          <cell r="C210">
            <v>0</v>
          </cell>
          <cell r="D210">
            <v>32413.313177607219</v>
          </cell>
          <cell r="E210">
            <v>0</v>
          </cell>
          <cell r="F210">
            <v>0</v>
          </cell>
          <cell r="G210">
            <v>0</v>
          </cell>
          <cell r="H210">
            <v>0</v>
          </cell>
          <cell r="I210">
            <v>0</v>
          </cell>
        </row>
        <row r="211">
          <cell r="A211">
            <v>187</v>
          </cell>
          <cell r="B211">
            <v>50698</v>
          </cell>
          <cell r="C211">
            <v>0</v>
          </cell>
          <cell r="D211">
            <v>32413.313177607219</v>
          </cell>
          <cell r="E211">
            <v>0</v>
          </cell>
          <cell r="F211">
            <v>0</v>
          </cell>
          <cell r="G211">
            <v>0</v>
          </cell>
          <cell r="H211">
            <v>0</v>
          </cell>
          <cell r="I211">
            <v>0</v>
          </cell>
        </row>
        <row r="212">
          <cell r="A212">
            <v>188</v>
          </cell>
          <cell r="B212">
            <v>50729</v>
          </cell>
          <cell r="C212">
            <v>0</v>
          </cell>
          <cell r="D212">
            <v>32413.313177607219</v>
          </cell>
          <cell r="E212">
            <v>0</v>
          </cell>
          <cell r="F212">
            <v>0</v>
          </cell>
          <cell r="G212">
            <v>0</v>
          </cell>
          <cell r="H212">
            <v>0</v>
          </cell>
          <cell r="I212">
            <v>0</v>
          </cell>
        </row>
        <row r="213">
          <cell r="A213">
            <v>189</v>
          </cell>
          <cell r="B213">
            <v>50759</v>
          </cell>
          <cell r="C213">
            <v>0</v>
          </cell>
          <cell r="D213">
            <v>32413.313177607219</v>
          </cell>
          <cell r="E213">
            <v>0</v>
          </cell>
          <cell r="F213">
            <v>0</v>
          </cell>
          <cell r="G213">
            <v>0</v>
          </cell>
          <cell r="H213">
            <v>0</v>
          </cell>
          <cell r="I213">
            <v>0</v>
          </cell>
        </row>
        <row r="214">
          <cell r="A214">
            <v>190</v>
          </cell>
          <cell r="B214">
            <v>50790</v>
          </cell>
          <cell r="C214">
            <v>0</v>
          </cell>
          <cell r="D214">
            <v>32413.313177607219</v>
          </cell>
          <cell r="E214">
            <v>0</v>
          </cell>
          <cell r="F214">
            <v>0</v>
          </cell>
          <cell r="G214">
            <v>0</v>
          </cell>
          <cell r="H214">
            <v>0</v>
          </cell>
          <cell r="I214">
            <v>0</v>
          </cell>
        </row>
        <row r="215">
          <cell r="A215">
            <v>191</v>
          </cell>
          <cell r="B215">
            <v>50821</v>
          </cell>
          <cell r="C215">
            <v>0</v>
          </cell>
          <cell r="D215">
            <v>32413.313177607219</v>
          </cell>
          <cell r="E215">
            <v>0</v>
          </cell>
          <cell r="F215">
            <v>0</v>
          </cell>
          <cell r="G215">
            <v>0</v>
          </cell>
          <cell r="H215">
            <v>0</v>
          </cell>
          <cell r="I215">
            <v>0</v>
          </cell>
        </row>
        <row r="216">
          <cell r="A216">
            <v>192</v>
          </cell>
          <cell r="B216">
            <v>50849</v>
          </cell>
          <cell r="C216">
            <v>0</v>
          </cell>
          <cell r="D216">
            <v>32413.313177607219</v>
          </cell>
          <cell r="E216">
            <v>0</v>
          </cell>
          <cell r="F216">
            <v>0</v>
          </cell>
          <cell r="G216">
            <v>0</v>
          </cell>
          <cell r="H216">
            <v>0</v>
          </cell>
          <cell r="I216">
            <v>0</v>
          </cell>
        </row>
        <row r="217">
          <cell r="A217">
            <v>193</v>
          </cell>
          <cell r="B217">
            <v>50880</v>
          </cell>
          <cell r="C217">
            <v>0</v>
          </cell>
          <cell r="D217">
            <v>32413.313177607219</v>
          </cell>
          <cell r="E217">
            <v>0</v>
          </cell>
          <cell r="F217">
            <v>0</v>
          </cell>
          <cell r="G217">
            <v>0</v>
          </cell>
          <cell r="H217">
            <v>0</v>
          </cell>
          <cell r="I217">
            <v>0</v>
          </cell>
        </row>
        <row r="218">
          <cell r="A218">
            <v>194</v>
          </cell>
          <cell r="B218">
            <v>50910</v>
          </cell>
          <cell r="C218">
            <v>0</v>
          </cell>
          <cell r="D218">
            <v>32413.313177607219</v>
          </cell>
          <cell r="E218">
            <v>0</v>
          </cell>
          <cell r="F218">
            <v>0</v>
          </cell>
          <cell r="G218">
            <v>0</v>
          </cell>
          <cell r="H218">
            <v>0</v>
          </cell>
          <cell r="I218">
            <v>0</v>
          </cell>
        </row>
        <row r="219">
          <cell r="A219">
            <v>195</v>
          </cell>
          <cell r="B219">
            <v>50941</v>
          </cell>
          <cell r="C219">
            <v>0</v>
          </cell>
          <cell r="D219">
            <v>32413.313177607219</v>
          </cell>
          <cell r="E219">
            <v>0</v>
          </cell>
          <cell r="F219">
            <v>0</v>
          </cell>
          <cell r="G219">
            <v>0</v>
          </cell>
          <cell r="H219">
            <v>0</v>
          </cell>
          <cell r="I219">
            <v>0</v>
          </cell>
        </row>
        <row r="220">
          <cell r="A220">
            <v>196</v>
          </cell>
          <cell r="B220">
            <v>50971</v>
          </cell>
          <cell r="C220">
            <v>0</v>
          </cell>
          <cell r="D220">
            <v>32413.313177607219</v>
          </cell>
          <cell r="E220">
            <v>0</v>
          </cell>
          <cell r="F220">
            <v>0</v>
          </cell>
          <cell r="G220">
            <v>0</v>
          </cell>
          <cell r="H220">
            <v>0</v>
          </cell>
          <cell r="I220">
            <v>0</v>
          </cell>
        </row>
        <row r="221">
          <cell r="A221">
            <v>197</v>
          </cell>
          <cell r="B221">
            <v>51002</v>
          </cell>
          <cell r="C221">
            <v>0</v>
          </cell>
          <cell r="D221">
            <v>32413.313177607219</v>
          </cell>
          <cell r="E221">
            <v>0</v>
          </cell>
          <cell r="F221">
            <v>0</v>
          </cell>
          <cell r="G221">
            <v>0</v>
          </cell>
          <cell r="H221">
            <v>0</v>
          </cell>
          <cell r="I221">
            <v>0</v>
          </cell>
        </row>
        <row r="222">
          <cell r="A222">
            <v>198</v>
          </cell>
          <cell r="B222">
            <v>51033</v>
          </cell>
          <cell r="C222">
            <v>0</v>
          </cell>
          <cell r="D222">
            <v>32413.313177607219</v>
          </cell>
          <cell r="E222">
            <v>0</v>
          </cell>
          <cell r="F222">
            <v>0</v>
          </cell>
          <cell r="G222">
            <v>0</v>
          </cell>
          <cell r="H222">
            <v>0</v>
          </cell>
          <cell r="I222">
            <v>0</v>
          </cell>
        </row>
        <row r="223">
          <cell r="A223">
            <v>199</v>
          </cell>
          <cell r="B223">
            <v>51063</v>
          </cell>
          <cell r="C223">
            <v>0</v>
          </cell>
          <cell r="D223">
            <v>32413.313177607219</v>
          </cell>
          <cell r="E223">
            <v>0</v>
          </cell>
          <cell r="F223">
            <v>0</v>
          </cell>
          <cell r="G223">
            <v>0</v>
          </cell>
          <cell r="H223">
            <v>0</v>
          </cell>
          <cell r="I223">
            <v>0</v>
          </cell>
        </row>
        <row r="224">
          <cell r="A224">
            <v>200</v>
          </cell>
          <cell r="B224">
            <v>51094</v>
          </cell>
          <cell r="C224">
            <v>0</v>
          </cell>
          <cell r="D224">
            <v>32413.313177607219</v>
          </cell>
          <cell r="E224">
            <v>0</v>
          </cell>
          <cell r="F224">
            <v>0</v>
          </cell>
          <cell r="G224">
            <v>0</v>
          </cell>
          <cell r="H224">
            <v>0</v>
          </cell>
          <cell r="I224">
            <v>0</v>
          </cell>
        </row>
        <row r="225">
          <cell r="A225">
            <v>201</v>
          </cell>
          <cell r="B225">
            <v>51124</v>
          </cell>
          <cell r="C225">
            <v>0</v>
          </cell>
          <cell r="D225">
            <v>32413.313177607219</v>
          </cell>
          <cell r="E225">
            <v>0</v>
          </cell>
          <cell r="F225">
            <v>0</v>
          </cell>
          <cell r="G225">
            <v>0</v>
          </cell>
          <cell r="H225">
            <v>0</v>
          </cell>
          <cell r="I225">
            <v>0</v>
          </cell>
        </row>
        <row r="226">
          <cell r="A226">
            <v>202</v>
          </cell>
          <cell r="B226">
            <v>51155</v>
          </cell>
          <cell r="C226">
            <v>0</v>
          </cell>
          <cell r="D226">
            <v>32413.313177607219</v>
          </cell>
          <cell r="E226">
            <v>0</v>
          </cell>
          <cell r="F226">
            <v>0</v>
          </cell>
          <cell r="G226">
            <v>0</v>
          </cell>
          <cell r="H226">
            <v>0</v>
          </cell>
          <cell r="I226">
            <v>0</v>
          </cell>
        </row>
        <row r="227">
          <cell r="A227">
            <v>203</v>
          </cell>
          <cell r="B227">
            <v>51186</v>
          </cell>
          <cell r="C227">
            <v>0</v>
          </cell>
          <cell r="D227">
            <v>32413.313177607219</v>
          </cell>
          <cell r="E227">
            <v>0</v>
          </cell>
          <cell r="F227">
            <v>0</v>
          </cell>
          <cell r="G227">
            <v>0</v>
          </cell>
          <cell r="H227">
            <v>0</v>
          </cell>
          <cell r="I227">
            <v>0</v>
          </cell>
        </row>
        <row r="228">
          <cell r="A228">
            <v>204</v>
          </cell>
          <cell r="B228">
            <v>51215</v>
          </cell>
          <cell r="C228">
            <v>0</v>
          </cell>
          <cell r="D228">
            <v>32413.313177607219</v>
          </cell>
          <cell r="E228">
            <v>0</v>
          </cell>
          <cell r="F228">
            <v>0</v>
          </cell>
          <cell r="G228">
            <v>0</v>
          </cell>
          <cell r="H228">
            <v>0</v>
          </cell>
          <cell r="I228">
            <v>0</v>
          </cell>
        </row>
        <row r="229">
          <cell r="A229">
            <v>205</v>
          </cell>
          <cell r="B229">
            <v>51246</v>
          </cell>
          <cell r="C229">
            <v>0</v>
          </cell>
          <cell r="D229">
            <v>32413.313177607219</v>
          </cell>
          <cell r="E229">
            <v>0</v>
          </cell>
          <cell r="F229">
            <v>0</v>
          </cell>
          <cell r="G229">
            <v>0</v>
          </cell>
          <cell r="H229">
            <v>0</v>
          </cell>
          <cell r="I229">
            <v>0</v>
          </cell>
        </row>
        <row r="230">
          <cell r="A230">
            <v>206</v>
          </cell>
          <cell r="B230">
            <v>51276</v>
          </cell>
          <cell r="C230">
            <v>0</v>
          </cell>
          <cell r="D230">
            <v>32413.313177607219</v>
          </cell>
          <cell r="E230">
            <v>0</v>
          </cell>
          <cell r="F230">
            <v>0</v>
          </cell>
          <cell r="G230">
            <v>0</v>
          </cell>
          <cell r="H230">
            <v>0</v>
          </cell>
          <cell r="I230">
            <v>0</v>
          </cell>
        </row>
        <row r="231">
          <cell r="A231">
            <v>207</v>
          </cell>
          <cell r="B231">
            <v>51307</v>
          </cell>
          <cell r="C231">
            <v>0</v>
          </cell>
          <cell r="D231">
            <v>32413.313177607219</v>
          </cell>
          <cell r="E231">
            <v>0</v>
          </cell>
          <cell r="F231">
            <v>0</v>
          </cell>
          <cell r="G231">
            <v>0</v>
          </cell>
          <cell r="H231">
            <v>0</v>
          </cell>
          <cell r="I231">
            <v>0</v>
          </cell>
        </row>
        <row r="232">
          <cell r="A232">
            <v>208</v>
          </cell>
          <cell r="B232">
            <v>51337</v>
          </cell>
          <cell r="C232">
            <v>0</v>
          </cell>
          <cell r="D232">
            <v>32413.313177607219</v>
          </cell>
          <cell r="E232">
            <v>0</v>
          </cell>
          <cell r="F232">
            <v>0</v>
          </cell>
          <cell r="G232">
            <v>0</v>
          </cell>
          <cell r="H232">
            <v>0</v>
          </cell>
          <cell r="I232">
            <v>0</v>
          </cell>
        </row>
        <row r="233">
          <cell r="A233">
            <v>209</v>
          </cell>
          <cell r="B233">
            <v>51368</v>
          </cell>
          <cell r="C233">
            <v>0</v>
          </cell>
          <cell r="D233">
            <v>32413.313177607219</v>
          </cell>
          <cell r="E233">
            <v>0</v>
          </cell>
          <cell r="F233">
            <v>0</v>
          </cell>
          <cell r="G233">
            <v>0</v>
          </cell>
          <cell r="H233">
            <v>0</v>
          </cell>
          <cell r="I233">
            <v>0</v>
          </cell>
        </row>
        <row r="234">
          <cell r="A234">
            <v>210</v>
          </cell>
          <cell r="B234">
            <v>51399</v>
          </cell>
          <cell r="C234">
            <v>0</v>
          </cell>
          <cell r="D234">
            <v>32413.313177607219</v>
          </cell>
          <cell r="E234">
            <v>0</v>
          </cell>
          <cell r="F234">
            <v>0</v>
          </cell>
          <cell r="G234">
            <v>0</v>
          </cell>
          <cell r="H234">
            <v>0</v>
          </cell>
          <cell r="I234">
            <v>0</v>
          </cell>
        </row>
        <row r="235">
          <cell r="A235">
            <v>211</v>
          </cell>
          <cell r="B235">
            <v>51429</v>
          </cell>
          <cell r="C235">
            <v>0</v>
          </cell>
          <cell r="D235">
            <v>32413.313177607219</v>
          </cell>
          <cell r="E235">
            <v>0</v>
          </cell>
          <cell r="F235">
            <v>0</v>
          </cell>
          <cell r="G235">
            <v>0</v>
          </cell>
          <cell r="H235">
            <v>0</v>
          </cell>
          <cell r="I235">
            <v>0</v>
          </cell>
        </row>
        <row r="236">
          <cell r="A236">
            <v>212</v>
          </cell>
          <cell r="B236">
            <v>51460</v>
          </cell>
          <cell r="C236">
            <v>0</v>
          </cell>
          <cell r="D236">
            <v>32413.313177607219</v>
          </cell>
          <cell r="E236">
            <v>0</v>
          </cell>
          <cell r="F236">
            <v>0</v>
          </cell>
          <cell r="G236">
            <v>0</v>
          </cell>
          <cell r="H236">
            <v>0</v>
          </cell>
          <cell r="I236">
            <v>0</v>
          </cell>
        </row>
        <row r="237">
          <cell r="A237">
            <v>213</v>
          </cell>
          <cell r="B237">
            <v>51490</v>
          </cell>
          <cell r="C237">
            <v>0</v>
          </cell>
          <cell r="D237">
            <v>32413.313177607219</v>
          </cell>
          <cell r="E237">
            <v>0</v>
          </cell>
          <cell r="F237">
            <v>0</v>
          </cell>
          <cell r="G237">
            <v>0</v>
          </cell>
          <cell r="H237">
            <v>0</v>
          </cell>
          <cell r="I237">
            <v>0</v>
          </cell>
        </row>
        <row r="238">
          <cell r="A238">
            <v>214</v>
          </cell>
          <cell r="B238">
            <v>51521</v>
          </cell>
          <cell r="C238">
            <v>0</v>
          </cell>
          <cell r="D238">
            <v>32413.313177607219</v>
          </cell>
          <cell r="E238">
            <v>0</v>
          </cell>
          <cell r="F238">
            <v>0</v>
          </cell>
          <cell r="G238">
            <v>0</v>
          </cell>
          <cell r="H238">
            <v>0</v>
          </cell>
          <cell r="I238">
            <v>0</v>
          </cell>
        </row>
        <row r="239">
          <cell r="A239">
            <v>215</v>
          </cell>
          <cell r="B239">
            <v>51552</v>
          </cell>
          <cell r="C239">
            <v>0</v>
          </cell>
          <cell r="D239">
            <v>32413.313177607219</v>
          </cell>
          <cell r="E239">
            <v>0</v>
          </cell>
          <cell r="F239">
            <v>0</v>
          </cell>
          <cell r="G239">
            <v>0</v>
          </cell>
          <cell r="H239">
            <v>0</v>
          </cell>
          <cell r="I239">
            <v>0</v>
          </cell>
        </row>
        <row r="240">
          <cell r="A240">
            <v>216</v>
          </cell>
          <cell r="B240">
            <v>51580</v>
          </cell>
          <cell r="C240">
            <v>0</v>
          </cell>
          <cell r="D240">
            <v>32413.313177607219</v>
          </cell>
          <cell r="E240">
            <v>0</v>
          </cell>
          <cell r="F240">
            <v>0</v>
          </cell>
          <cell r="G240">
            <v>0</v>
          </cell>
          <cell r="H240">
            <v>0</v>
          </cell>
          <cell r="I240">
            <v>0</v>
          </cell>
        </row>
        <row r="241">
          <cell r="A241">
            <v>217</v>
          </cell>
          <cell r="B241">
            <v>51611</v>
          </cell>
          <cell r="C241">
            <v>0</v>
          </cell>
          <cell r="D241">
            <v>32413.313177607219</v>
          </cell>
          <cell r="E241">
            <v>0</v>
          </cell>
          <cell r="F241">
            <v>0</v>
          </cell>
          <cell r="G241">
            <v>0</v>
          </cell>
          <cell r="H241">
            <v>0</v>
          </cell>
          <cell r="I241">
            <v>0</v>
          </cell>
        </row>
        <row r="242">
          <cell r="A242">
            <v>218</v>
          </cell>
          <cell r="B242">
            <v>51641</v>
          </cell>
          <cell r="C242">
            <v>0</v>
          </cell>
          <cell r="D242">
            <v>32413.313177607219</v>
          </cell>
          <cell r="E242">
            <v>0</v>
          </cell>
          <cell r="F242">
            <v>0</v>
          </cell>
          <cell r="G242">
            <v>0</v>
          </cell>
          <cell r="H242">
            <v>0</v>
          </cell>
          <cell r="I242">
            <v>0</v>
          </cell>
        </row>
        <row r="243">
          <cell r="A243">
            <v>219</v>
          </cell>
          <cell r="B243">
            <v>51672</v>
          </cell>
          <cell r="C243">
            <v>0</v>
          </cell>
          <cell r="D243">
            <v>32413.313177607219</v>
          </cell>
          <cell r="E243">
            <v>0</v>
          </cell>
          <cell r="F243">
            <v>0</v>
          </cell>
          <cell r="G243">
            <v>0</v>
          </cell>
          <cell r="H243">
            <v>0</v>
          </cell>
          <cell r="I243">
            <v>0</v>
          </cell>
        </row>
        <row r="244">
          <cell r="A244">
            <v>220</v>
          </cell>
          <cell r="B244">
            <v>51702</v>
          </cell>
          <cell r="C244">
            <v>0</v>
          </cell>
          <cell r="D244">
            <v>32413.313177607219</v>
          </cell>
          <cell r="E244">
            <v>0</v>
          </cell>
          <cell r="F244">
            <v>0</v>
          </cell>
          <cell r="G244">
            <v>0</v>
          </cell>
          <cell r="H244">
            <v>0</v>
          </cell>
          <cell r="I244">
            <v>0</v>
          </cell>
        </row>
        <row r="245">
          <cell r="A245">
            <v>221</v>
          </cell>
          <cell r="B245">
            <v>51733</v>
          </cell>
          <cell r="C245">
            <v>0</v>
          </cell>
          <cell r="D245">
            <v>32413.313177607219</v>
          </cell>
          <cell r="E245">
            <v>0</v>
          </cell>
          <cell r="F245">
            <v>0</v>
          </cell>
          <cell r="G245">
            <v>0</v>
          </cell>
          <cell r="H245">
            <v>0</v>
          </cell>
          <cell r="I245">
            <v>0</v>
          </cell>
        </row>
        <row r="246">
          <cell r="A246">
            <v>222</v>
          </cell>
          <cell r="B246">
            <v>51764</v>
          </cell>
          <cell r="C246">
            <v>0</v>
          </cell>
          <cell r="D246">
            <v>32413.313177607219</v>
          </cell>
          <cell r="E246">
            <v>0</v>
          </cell>
          <cell r="F246">
            <v>0</v>
          </cell>
          <cell r="G246">
            <v>0</v>
          </cell>
          <cell r="H246">
            <v>0</v>
          </cell>
          <cell r="I246">
            <v>0</v>
          </cell>
        </row>
        <row r="247">
          <cell r="A247">
            <v>223</v>
          </cell>
          <cell r="B247">
            <v>51794</v>
          </cell>
          <cell r="C247">
            <v>0</v>
          </cell>
          <cell r="D247">
            <v>32413.313177607219</v>
          </cell>
          <cell r="E247">
            <v>0</v>
          </cell>
          <cell r="F247">
            <v>0</v>
          </cell>
          <cell r="G247">
            <v>0</v>
          </cell>
          <cell r="H247">
            <v>0</v>
          </cell>
          <cell r="I247">
            <v>0</v>
          </cell>
        </row>
        <row r="248">
          <cell r="A248">
            <v>224</v>
          </cell>
          <cell r="B248">
            <v>51825</v>
          </cell>
          <cell r="C248">
            <v>0</v>
          </cell>
          <cell r="D248">
            <v>32413.313177607219</v>
          </cell>
          <cell r="E248">
            <v>0</v>
          </cell>
          <cell r="F248">
            <v>0</v>
          </cell>
          <cell r="G248">
            <v>0</v>
          </cell>
          <cell r="H248">
            <v>0</v>
          </cell>
          <cell r="I248">
            <v>0</v>
          </cell>
        </row>
        <row r="249">
          <cell r="A249">
            <v>225</v>
          </cell>
          <cell r="B249">
            <v>51855</v>
          </cell>
          <cell r="C249">
            <v>0</v>
          </cell>
          <cell r="D249">
            <v>32413.313177607219</v>
          </cell>
          <cell r="E249">
            <v>0</v>
          </cell>
          <cell r="F249">
            <v>0</v>
          </cell>
          <cell r="G249">
            <v>0</v>
          </cell>
          <cell r="H249">
            <v>0</v>
          </cell>
          <cell r="I249">
            <v>0</v>
          </cell>
        </row>
        <row r="250">
          <cell r="A250">
            <v>226</v>
          </cell>
          <cell r="B250">
            <v>51886</v>
          </cell>
          <cell r="C250">
            <v>0</v>
          </cell>
          <cell r="D250">
            <v>32413.313177607219</v>
          </cell>
          <cell r="E250">
            <v>0</v>
          </cell>
          <cell r="F250">
            <v>0</v>
          </cell>
          <cell r="G250">
            <v>0</v>
          </cell>
          <cell r="H250">
            <v>0</v>
          </cell>
          <cell r="I250">
            <v>0</v>
          </cell>
        </row>
        <row r="251">
          <cell r="A251">
            <v>227</v>
          </cell>
          <cell r="B251">
            <v>51917</v>
          </cell>
          <cell r="C251">
            <v>0</v>
          </cell>
          <cell r="D251">
            <v>32413.313177607219</v>
          </cell>
          <cell r="E251">
            <v>0</v>
          </cell>
          <cell r="F251">
            <v>0</v>
          </cell>
          <cell r="G251">
            <v>0</v>
          </cell>
          <cell r="H251">
            <v>0</v>
          </cell>
          <cell r="I251">
            <v>0</v>
          </cell>
        </row>
        <row r="252">
          <cell r="A252">
            <v>228</v>
          </cell>
          <cell r="B252">
            <v>51945</v>
          </cell>
          <cell r="C252">
            <v>0</v>
          </cell>
          <cell r="D252">
            <v>32413.313177607219</v>
          </cell>
          <cell r="E252">
            <v>0</v>
          </cell>
          <cell r="F252">
            <v>0</v>
          </cell>
          <cell r="G252">
            <v>0</v>
          </cell>
          <cell r="H252">
            <v>0</v>
          </cell>
          <cell r="I252">
            <v>0</v>
          </cell>
        </row>
        <row r="253">
          <cell r="A253">
            <v>229</v>
          </cell>
          <cell r="B253">
            <v>51976</v>
          </cell>
          <cell r="C253">
            <v>0</v>
          </cell>
          <cell r="D253">
            <v>32413.313177607219</v>
          </cell>
          <cell r="E253">
            <v>0</v>
          </cell>
          <cell r="F253">
            <v>0</v>
          </cell>
          <cell r="G253">
            <v>0</v>
          </cell>
          <cell r="H253">
            <v>0</v>
          </cell>
          <cell r="I253">
            <v>0</v>
          </cell>
        </row>
        <row r="254">
          <cell r="A254">
            <v>230</v>
          </cell>
          <cell r="B254">
            <v>52006</v>
          </cell>
          <cell r="C254">
            <v>0</v>
          </cell>
          <cell r="D254">
            <v>32413.313177607219</v>
          </cell>
          <cell r="E254">
            <v>0</v>
          </cell>
          <cell r="F254">
            <v>0</v>
          </cell>
          <cell r="G254">
            <v>0</v>
          </cell>
          <cell r="H254">
            <v>0</v>
          </cell>
          <cell r="I254">
            <v>0</v>
          </cell>
        </row>
        <row r="255">
          <cell r="A255">
            <v>231</v>
          </cell>
          <cell r="B255">
            <v>52037</v>
          </cell>
          <cell r="C255">
            <v>0</v>
          </cell>
          <cell r="D255">
            <v>32413.313177607219</v>
          </cell>
          <cell r="E255">
            <v>0</v>
          </cell>
          <cell r="F255">
            <v>0</v>
          </cell>
          <cell r="G255">
            <v>0</v>
          </cell>
          <cell r="H255">
            <v>0</v>
          </cell>
          <cell r="I255">
            <v>0</v>
          </cell>
        </row>
        <row r="256">
          <cell r="A256">
            <v>232</v>
          </cell>
          <cell r="B256">
            <v>52067</v>
          </cell>
          <cell r="C256">
            <v>0</v>
          </cell>
          <cell r="D256">
            <v>32413.313177607219</v>
          </cell>
          <cell r="E256">
            <v>0</v>
          </cell>
          <cell r="F256">
            <v>0</v>
          </cell>
          <cell r="G256">
            <v>0</v>
          </cell>
          <cell r="H256">
            <v>0</v>
          </cell>
          <cell r="I256">
            <v>0</v>
          </cell>
        </row>
        <row r="257">
          <cell r="A257">
            <v>233</v>
          </cell>
          <cell r="B257">
            <v>52098</v>
          </cell>
          <cell r="C257">
            <v>0</v>
          </cell>
          <cell r="D257">
            <v>32413.313177607219</v>
          </cell>
          <cell r="E257">
            <v>0</v>
          </cell>
          <cell r="F257">
            <v>0</v>
          </cell>
          <cell r="G257">
            <v>0</v>
          </cell>
          <cell r="H257">
            <v>0</v>
          </cell>
          <cell r="I257">
            <v>0</v>
          </cell>
        </row>
        <row r="258">
          <cell r="A258">
            <v>234</v>
          </cell>
          <cell r="B258">
            <v>52129</v>
          </cell>
          <cell r="C258">
            <v>0</v>
          </cell>
          <cell r="D258">
            <v>32413.313177607219</v>
          </cell>
          <cell r="E258">
            <v>0</v>
          </cell>
          <cell r="F258">
            <v>0</v>
          </cell>
          <cell r="G258">
            <v>0</v>
          </cell>
          <cell r="H258">
            <v>0</v>
          </cell>
          <cell r="I258">
            <v>0</v>
          </cell>
        </row>
        <row r="259">
          <cell r="A259">
            <v>235</v>
          </cell>
          <cell r="B259">
            <v>52159</v>
          </cell>
          <cell r="C259">
            <v>0</v>
          </cell>
          <cell r="D259">
            <v>32413.313177607219</v>
          </cell>
          <cell r="E259">
            <v>0</v>
          </cell>
          <cell r="F259">
            <v>0</v>
          </cell>
          <cell r="G259">
            <v>0</v>
          </cell>
          <cell r="H259">
            <v>0</v>
          </cell>
          <cell r="I259">
            <v>0</v>
          </cell>
        </row>
        <row r="260">
          <cell r="A260">
            <v>236</v>
          </cell>
          <cell r="B260">
            <v>52190</v>
          </cell>
          <cell r="C260">
            <v>0</v>
          </cell>
          <cell r="D260">
            <v>32413.313177607219</v>
          </cell>
          <cell r="E260">
            <v>0</v>
          </cell>
          <cell r="F260">
            <v>0</v>
          </cell>
          <cell r="G260">
            <v>0</v>
          </cell>
          <cell r="H260">
            <v>0</v>
          </cell>
          <cell r="I260">
            <v>0</v>
          </cell>
        </row>
        <row r="261">
          <cell r="A261">
            <v>237</v>
          </cell>
          <cell r="B261">
            <v>52220</v>
          </cell>
          <cell r="C261">
            <v>0</v>
          </cell>
          <cell r="D261">
            <v>32413.313177607219</v>
          </cell>
          <cell r="E261">
            <v>0</v>
          </cell>
          <cell r="F261">
            <v>0</v>
          </cell>
          <cell r="G261">
            <v>0</v>
          </cell>
          <cell r="H261">
            <v>0</v>
          </cell>
          <cell r="I261">
            <v>0</v>
          </cell>
        </row>
        <row r="262">
          <cell r="A262">
            <v>238</v>
          </cell>
          <cell r="B262">
            <v>52251</v>
          </cell>
          <cell r="C262">
            <v>0</v>
          </cell>
          <cell r="D262">
            <v>32413.313177607219</v>
          </cell>
          <cell r="E262">
            <v>0</v>
          </cell>
          <cell r="F262">
            <v>0</v>
          </cell>
          <cell r="G262">
            <v>0</v>
          </cell>
          <cell r="H262">
            <v>0</v>
          </cell>
          <cell r="I262">
            <v>0</v>
          </cell>
        </row>
        <row r="263">
          <cell r="A263">
            <v>239</v>
          </cell>
          <cell r="B263">
            <v>52282</v>
          </cell>
          <cell r="C263">
            <v>0</v>
          </cell>
          <cell r="D263">
            <v>32413.313177607219</v>
          </cell>
          <cell r="E263">
            <v>0</v>
          </cell>
          <cell r="F263">
            <v>0</v>
          </cell>
          <cell r="G263">
            <v>0</v>
          </cell>
          <cell r="H263">
            <v>0</v>
          </cell>
          <cell r="I263">
            <v>0</v>
          </cell>
        </row>
        <row r="264">
          <cell r="A264">
            <v>240</v>
          </cell>
          <cell r="B264">
            <v>52310</v>
          </cell>
          <cell r="C264">
            <v>0</v>
          </cell>
          <cell r="D264">
            <v>32413.313177607219</v>
          </cell>
          <cell r="E264">
            <v>0</v>
          </cell>
          <cell r="F264">
            <v>0</v>
          </cell>
          <cell r="G264">
            <v>0</v>
          </cell>
          <cell r="H264">
            <v>0</v>
          </cell>
          <cell r="I264">
            <v>0</v>
          </cell>
        </row>
        <row r="265">
          <cell r="A265">
            <v>241</v>
          </cell>
          <cell r="B265">
            <v>52341</v>
          </cell>
          <cell r="C265">
            <v>0</v>
          </cell>
          <cell r="D265">
            <v>32413.313177607219</v>
          </cell>
          <cell r="E265">
            <v>0</v>
          </cell>
          <cell r="F265">
            <v>0</v>
          </cell>
          <cell r="G265">
            <v>0</v>
          </cell>
          <cell r="H265">
            <v>0</v>
          </cell>
          <cell r="I265">
            <v>0</v>
          </cell>
        </row>
        <row r="266">
          <cell r="A266">
            <v>242</v>
          </cell>
          <cell r="B266">
            <v>52371</v>
          </cell>
          <cell r="C266">
            <v>0</v>
          </cell>
          <cell r="D266">
            <v>32413.313177607219</v>
          </cell>
          <cell r="E266">
            <v>0</v>
          </cell>
          <cell r="F266">
            <v>0</v>
          </cell>
          <cell r="G266">
            <v>0</v>
          </cell>
          <cell r="H266">
            <v>0</v>
          </cell>
          <cell r="I266">
            <v>0</v>
          </cell>
        </row>
        <row r="267">
          <cell r="A267">
            <v>243</v>
          </cell>
          <cell r="B267">
            <v>52402</v>
          </cell>
          <cell r="C267">
            <v>0</v>
          </cell>
          <cell r="D267">
            <v>32413.313177607219</v>
          </cell>
          <cell r="E267">
            <v>0</v>
          </cell>
          <cell r="F267">
            <v>0</v>
          </cell>
          <cell r="G267">
            <v>0</v>
          </cell>
          <cell r="H267">
            <v>0</v>
          </cell>
          <cell r="I267">
            <v>0</v>
          </cell>
        </row>
        <row r="268">
          <cell r="A268">
            <v>244</v>
          </cell>
          <cell r="B268">
            <v>52432</v>
          </cell>
          <cell r="C268">
            <v>0</v>
          </cell>
          <cell r="D268">
            <v>32413.313177607219</v>
          </cell>
          <cell r="E268">
            <v>0</v>
          </cell>
          <cell r="F268">
            <v>0</v>
          </cell>
          <cell r="G268">
            <v>0</v>
          </cell>
          <cell r="H268">
            <v>0</v>
          </cell>
          <cell r="I268">
            <v>0</v>
          </cell>
        </row>
        <row r="269">
          <cell r="A269">
            <v>245</v>
          </cell>
          <cell r="B269">
            <v>52463</v>
          </cell>
          <cell r="C269">
            <v>0</v>
          </cell>
          <cell r="D269">
            <v>32413.313177607219</v>
          </cell>
          <cell r="E269">
            <v>0</v>
          </cell>
          <cell r="F269">
            <v>0</v>
          </cell>
          <cell r="G269">
            <v>0</v>
          </cell>
          <cell r="H269">
            <v>0</v>
          </cell>
          <cell r="I269">
            <v>0</v>
          </cell>
        </row>
        <row r="270">
          <cell r="A270">
            <v>246</v>
          </cell>
          <cell r="B270">
            <v>52494</v>
          </cell>
          <cell r="C270">
            <v>0</v>
          </cell>
          <cell r="D270">
            <v>32413.313177607219</v>
          </cell>
          <cell r="E270">
            <v>0</v>
          </cell>
          <cell r="F270">
            <v>0</v>
          </cell>
          <cell r="G270">
            <v>0</v>
          </cell>
          <cell r="H270">
            <v>0</v>
          </cell>
          <cell r="I270">
            <v>0</v>
          </cell>
        </row>
        <row r="271">
          <cell r="A271">
            <v>247</v>
          </cell>
          <cell r="B271">
            <v>52524</v>
          </cell>
          <cell r="C271">
            <v>0</v>
          </cell>
          <cell r="D271">
            <v>32413.313177607219</v>
          </cell>
          <cell r="E271">
            <v>0</v>
          </cell>
          <cell r="F271">
            <v>0</v>
          </cell>
          <cell r="G271">
            <v>0</v>
          </cell>
          <cell r="H271">
            <v>0</v>
          </cell>
          <cell r="I271">
            <v>0</v>
          </cell>
        </row>
        <row r="272">
          <cell r="A272">
            <v>248</v>
          </cell>
          <cell r="B272">
            <v>52555</v>
          </cell>
          <cell r="C272">
            <v>0</v>
          </cell>
          <cell r="D272">
            <v>32413.313177607219</v>
          </cell>
          <cell r="E272">
            <v>0</v>
          </cell>
          <cell r="F272">
            <v>0</v>
          </cell>
          <cell r="G272">
            <v>0</v>
          </cell>
          <cell r="H272">
            <v>0</v>
          </cell>
          <cell r="I272">
            <v>0</v>
          </cell>
        </row>
        <row r="273">
          <cell r="A273">
            <v>249</v>
          </cell>
          <cell r="B273">
            <v>52585</v>
          </cell>
          <cell r="C273">
            <v>0</v>
          </cell>
          <cell r="D273">
            <v>32413.313177607219</v>
          </cell>
          <cell r="E273">
            <v>0</v>
          </cell>
          <cell r="F273">
            <v>0</v>
          </cell>
          <cell r="G273">
            <v>0</v>
          </cell>
          <cell r="H273">
            <v>0</v>
          </cell>
          <cell r="I273">
            <v>0</v>
          </cell>
        </row>
        <row r="274">
          <cell r="A274">
            <v>250</v>
          </cell>
          <cell r="B274">
            <v>52616</v>
          </cell>
          <cell r="C274">
            <v>0</v>
          </cell>
          <cell r="D274">
            <v>32413.313177607219</v>
          </cell>
          <cell r="E274">
            <v>0</v>
          </cell>
          <cell r="F274">
            <v>0</v>
          </cell>
          <cell r="G274">
            <v>0</v>
          </cell>
          <cell r="H274">
            <v>0</v>
          </cell>
          <cell r="I274">
            <v>0</v>
          </cell>
        </row>
        <row r="275">
          <cell r="A275">
            <v>251</v>
          </cell>
          <cell r="B275">
            <v>52647</v>
          </cell>
          <cell r="C275">
            <v>0</v>
          </cell>
          <cell r="D275">
            <v>32413.313177607219</v>
          </cell>
          <cell r="E275">
            <v>0</v>
          </cell>
          <cell r="F275">
            <v>0</v>
          </cell>
          <cell r="G275">
            <v>0</v>
          </cell>
          <cell r="H275">
            <v>0</v>
          </cell>
          <cell r="I275">
            <v>0</v>
          </cell>
        </row>
        <row r="276">
          <cell r="A276">
            <v>252</v>
          </cell>
          <cell r="B276">
            <v>52676</v>
          </cell>
          <cell r="C276">
            <v>0</v>
          </cell>
          <cell r="D276">
            <v>32413.313177607219</v>
          </cell>
          <cell r="E276">
            <v>0</v>
          </cell>
          <cell r="F276">
            <v>0</v>
          </cell>
          <cell r="G276">
            <v>0</v>
          </cell>
          <cell r="H276">
            <v>0</v>
          </cell>
          <cell r="I276">
            <v>0</v>
          </cell>
        </row>
        <row r="277">
          <cell r="A277">
            <v>253</v>
          </cell>
          <cell r="B277">
            <v>52707</v>
          </cell>
          <cell r="C277">
            <v>0</v>
          </cell>
          <cell r="D277">
            <v>32413.313177607219</v>
          </cell>
          <cell r="E277">
            <v>0</v>
          </cell>
          <cell r="F277">
            <v>0</v>
          </cell>
          <cell r="G277">
            <v>0</v>
          </cell>
          <cell r="H277">
            <v>0</v>
          </cell>
          <cell r="I277">
            <v>0</v>
          </cell>
        </row>
        <row r="278">
          <cell r="A278">
            <v>254</v>
          </cell>
          <cell r="B278">
            <v>52737</v>
          </cell>
          <cell r="C278">
            <v>0</v>
          </cell>
          <cell r="D278">
            <v>32413.313177607219</v>
          </cell>
          <cell r="E278">
            <v>0</v>
          </cell>
          <cell r="F278">
            <v>0</v>
          </cell>
          <cell r="G278">
            <v>0</v>
          </cell>
          <cell r="H278">
            <v>0</v>
          </cell>
          <cell r="I278">
            <v>0</v>
          </cell>
        </row>
        <row r="279">
          <cell r="A279">
            <v>255</v>
          </cell>
          <cell r="B279">
            <v>52768</v>
          </cell>
          <cell r="C279">
            <v>0</v>
          </cell>
          <cell r="D279">
            <v>32413.313177607219</v>
          </cell>
          <cell r="E279">
            <v>0</v>
          </cell>
          <cell r="F279">
            <v>0</v>
          </cell>
          <cell r="G279">
            <v>0</v>
          </cell>
          <cell r="H279">
            <v>0</v>
          </cell>
          <cell r="I279">
            <v>0</v>
          </cell>
        </row>
        <row r="280">
          <cell r="A280">
            <v>256</v>
          </cell>
          <cell r="B280">
            <v>52798</v>
          </cell>
          <cell r="C280">
            <v>0</v>
          </cell>
          <cell r="D280">
            <v>32413.313177607219</v>
          </cell>
          <cell r="E280">
            <v>0</v>
          </cell>
          <cell r="F280">
            <v>0</v>
          </cell>
          <cell r="G280">
            <v>0</v>
          </cell>
          <cell r="H280">
            <v>0</v>
          </cell>
          <cell r="I280">
            <v>0</v>
          </cell>
        </row>
        <row r="281">
          <cell r="A281">
            <v>257</v>
          </cell>
          <cell r="B281">
            <v>52829</v>
          </cell>
          <cell r="C281">
            <v>0</v>
          </cell>
          <cell r="D281">
            <v>32413.313177607219</v>
          </cell>
          <cell r="E281">
            <v>0</v>
          </cell>
          <cell r="F281">
            <v>0</v>
          </cell>
          <cell r="G281">
            <v>0</v>
          </cell>
          <cell r="H281">
            <v>0</v>
          </cell>
          <cell r="I281">
            <v>0</v>
          </cell>
        </row>
        <row r="282">
          <cell r="A282">
            <v>258</v>
          </cell>
          <cell r="B282">
            <v>52860</v>
          </cell>
          <cell r="C282">
            <v>0</v>
          </cell>
          <cell r="D282">
            <v>32413.313177607219</v>
          </cell>
          <cell r="E282">
            <v>0</v>
          </cell>
          <cell r="F282">
            <v>0</v>
          </cell>
          <cell r="G282">
            <v>0</v>
          </cell>
          <cell r="H282">
            <v>0</v>
          </cell>
          <cell r="I282">
            <v>0</v>
          </cell>
        </row>
        <row r="283">
          <cell r="A283">
            <v>259</v>
          </cell>
          <cell r="B283">
            <v>52890</v>
          </cell>
          <cell r="C283">
            <v>0</v>
          </cell>
          <cell r="D283">
            <v>32413.313177607219</v>
          </cell>
          <cell r="E283">
            <v>0</v>
          </cell>
          <cell r="F283">
            <v>0</v>
          </cell>
          <cell r="G283">
            <v>0</v>
          </cell>
          <cell r="H283">
            <v>0</v>
          </cell>
          <cell r="I283">
            <v>0</v>
          </cell>
        </row>
        <row r="284">
          <cell r="A284">
            <v>260</v>
          </cell>
          <cell r="B284">
            <v>52921</v>
          </cell>
          <cell r="C284">
            <v>0</v>
          </cell>
          <cell r="D284">
            <v>32413.313177607219</v>
          </cell>
          <cell r="E284">
            <v>0</v>
          </cell>
          <cell r="F284">
            <v>0</v>
          </cell>
          <cell r="G284">
            <v>0</v>
          </cell>
          <cell r="H284">
            <v>0</v>
          </cell>
          <cell r="I284">
            <v>0</v>
          </cell>
        </row>
        <row r="285">
          <cell r="A285">
            <v>261</v>
          </cell>
          <cell r="B285">
            <v>52951</v>
          </cell>
          <cell r="C285">
            <v>0</v>
          </cell>
          <cell r="D285">
            <v>32413.313177607219</v>
          </cell>
          <cell r="E285">
            <v>0</v>
          </cell>
          <cell r="F285">
            <v>0</v>
          </cell>
          <cell r="G285">
            <v>0</v>
          </cell>
          <cell r="H285">
            <v>0</v>
          </cell>
          <cell r="I285">
            <v>0</v>
          </cell>
        </row>
        <row r="286">
          <cell r="A286">
            <v>262</v>
          </cell>
          <cell r="B286">
            <v>52982</v>
          </cell>
          <cell r="C286">
            <v>0</v>
          </cell>
          <cell r="D286">
            <v>32413.313177607219</v>
          </cell>
          <cell r="E286">
            <v>0</v>
          </cell>
          <cell r="F286">
            <v>0</v>
          </cell>
          <cell r="G286">
            <v>0</v>
          </cell>
          <cell r="H286">
            <v>0</v>
          </cell>
          <cell r="I286">
            <v>0</v>
          </cell>
        </row>
        <row r="287">
          <cell r="A287">
            <v>263</v>
          </cell>
          <cell r="B287">
            <v>53013</v>
          </cell>
          <cell r="C287">
            <v>0</v>
          </cell>
          <cell r="D287">
            <v>32413.313177607219</v>
          </cell>
          <cell r="E287">
            <v>0</v>
          </cell>
          <cell r="F287">
            <v>0</v>
          </cell>
          <cell r="G287">
            <v>0</v>
          </cell>
          <cell r="H287">
            <v>0</v>
          </cell>
          <cell r="I287">
            <v>0</v>
          </cell>
        </row>
        <row r="288">
          <cell r="A288">
            <v>264</v>
          </cell>
          <cell r="B288">
            <v>53041</v>
          </cell>
          <cell r="C288">
            <v>0</v>
          </cell>
          <cell r="D288">
            <v>32413.313177607219</v>
          </cell>
          <cell r="E288">
            <v>0</v>
          </cell>
          <cell r="F288">
            <v>0</v>
          </cell>
          <cell r="G288">
            <v>0</v>
          </cell>
          <cell r="H288">
            <v>0</v>
          </cell>
          <cell r="I288">
            <v>0</v>
          </cell>
        </row>
        <row r="289">
          <cell r="A289">
            <v>265</v>
          </cell>
          <cell r="B289">
            <v>53072</v>
          </cell>
          <cell r="C289">
            <v>0</v>
          </cell>
          <cell r="D289">
            <v>32413.313177607219</v>
          </cell>
          <cell r="E289">
            <v>0</v>
          </cell>
          <cell r="F289">
            <v>0</v>
          </cell>
          <cell r="G289">
            <v>0</v>
          </cell>
          <cell r="H289">
            <v>0</v>
          </cell>
          <cell r="I289">
            <v>0</v>
          </cell>
        </row>
        <row r="290">
          <cell r="A290">
            <v>266</v>
          </cell>
          <cell r="B290">
            <v>53102</v>
          </cell>
          <cell r="C290">
            <v>0</v>
          </cell>
          <cell r="D290">
            <v>32413.313177607219</v>
          </cell>
          <cell r="E290">
            <v>0</v>
          </cell>
          <cell r="F290">
            <v>0</v>
          </cell>
          <cell r="G290">
            <v>0</v>
          </cell>
          <cell r="H290">
            <v>0</v>
          </cell>
          <cell r="I290">
            <v>0</v>
          </cell>
        </row>
        <row r="291">
          <cell r="A291">
            <v>267</v>
          </cell>
          <cell r="B291">
            <v>53133</v>
          </cell>
          <cell r="C291">
            <v>0</v>
          </cell>
          <cell r="D291">
            <v>32413.313177607219</v>
          </cell>
          <cell r="E291">
            <v>0</v>
          </cell>
          <cell r="F291">
            <v>0</v>
          </cell>
          <cell r="G291">
            <v>0</v>
          </cell>
          <cell r="H291">
            <v>0</v>
          </cell>
          <cell r="I291">
            <v>0</v>
          </cell>
        </row>
        <row r="292">
          <cell r="A292">
            <v>268</v>
          </cell>
          <cell r="B292">
            <v>53163</v>
          </cell>
          <cell r="C292">
            <v>0</v>
          </cell>
          <cell r="D292">
            <v>32413.313177607219</v>
          </cell>
          <cell r="E292">
            <v>0</v>
          </cell>
          <cell r="F292">
            <v>0</v>
          </cell>
          <cell r="G292">
            <v>2614165.1313125151</v>
          </cell>
          <cell r="H292">
            <v>0</v>
          </cell>
          <cell r="I292">
            <v>0</v>
          </cell>
        </row>
        <row r="293">
          <cell r="A293">
            <v>269</v>
          </cell>
          <cell r="B293">
            <v>53194</v>
          </cell>
          <cell r="C293">
            <v>0</v>
          </cell>
          <cell r="D293">
            <v>32413.313177607219</v>
          </cell>
          <cell r="E293">
            <v>0</v>
          </cell>
          <cell r="F293">
            <v>0</v>
          </cell>
          <cell r="G293">
            <v>0</v>
          </cell>
          <cell r="H293">
            <v>0</v>
          </cell>
          <cell r="I293">
            <v>0</v>
          </cell>
        </row>
        <row r="294">
          <cell r="A294">
            <v>270</v>
          </cell>
          <cell r="B294">
            <v>53225</v>
          </cell>
          <cell r="C294">
            <v>0</v>
          </cell>
          <cell r="D294">
            <v>32413.313177607219</v>
          </cell>
          <cell r="E294">
            <v>0</v>
          </cell>
          <cell r="F294">
            <v>0</v>
          </cell>
          <cell r="G294">
            <v>0</v>
          </cell>
          <cell r="H294">
            <v>0</v>
          </cell>
          <cell r="I294">
            <v>0</v>
          </cell>
        </row>
        <row r="295">
          <cell r="A295">
            <v>271</v>
          </cell>
          <cell r="B295">
            <v>53255</v>
          </cell>
          <cell r="C295">
            <v>0</v>
          </cell>
          <cell r="D295">
            <v>32413.313177607219</v>
          </cell>
          <cell r="E295">
            <v>0</v>
          </cell>
          <cell r="F295">
            <v>0</v>
          </cell>
          <cell r="G295">
            <v>0</v>
          </cell>
          <cell r="H295">
            <v>0</v>
          </cell>
          <cell r="I295">
            <v>0</v>
          </cell>
        </row>
        <row r="296">
          <cell r="A296">
            <v>272</v>
          </cell>
          <cell r="B296">
            <v>53286</v>
          </cell>
          <cell r="C296">
            <v>0</v>
          </cell>
          <cell r="D296">
            <v>32413.313177607219</v>
          </cell>
          <cell r="E296">
            <v>0</v>
          </cell>
          <cell r="F296">
            <v>0</v>
          </cell>
          <cell r="G296">
            <v>0</v>
          </cell>
          <cell r="H296">
            <v>0</v>
          </cell>
          <cell r="I296">
            <v>0</v>
          </cell>
        </row>
        <row r="297">
          <cell r="A297">
            <v>273</v>
          </cell>
          <cell r="B297">
            <v>53316</v>
          </cell>
          <cell r="C297">
            <v>0</v>
          </cell>
          <cell r="D297">
            <v>32413.313177607219</v>
          </cell>
          <cell r="E297">
            <v>0</v>
          </cell>
          <cell r="F297">
            <v>0</v>
          </cell>
          <cell r="G297">
            <v>0</v>
          </cell>
          <cell r="H297">
            <v>0</v>
          </cell>
          <cell r="I297">
            <v>0</v>
          </cell>
        </row>
        <row r="298">
          <cell r="A298">
            <v>274</v>
          </cell>
          <cell r="B298">
            <v>53347</v>
          </cell>
          <cell r="C298">
            <v>0</v>
          </cell>
          <cell r="D298">
            <v>32413.313177607219</v>
          </cell>
          <cell r="E298">
            <v>0</v>
          </cell>
          <cell r="F298">
            <v>0</v>
          </cell>
          <cell r="G298">
            <v>0</v>
          </cell>
          <cell r="H298">
            <v>0</v>
          </cell>
          <cell r="I298">
            <v>0</v>
          </cell>
        </row>
        <row r="299">
          <cell r="A299">
            <v>275</v>
          </cell>
          <cell r="B299">
            <v>53378</v>
          </cell>
          <cell r="C299">
            <v>0</v>
          </cell>
          <cell r="D299">
            <v>32413.313177607219</v>
          </cell>
          <cell r="E299">
            <v>0</v>
          </cell>
          <cell r="F299">
            <v>0</v>
          </cell>
          <cell r="G299">
            <v>0</v>
          </cell>
          <cell r="H299">
            <v>0</v>
          </cell>
          <cell r="I299">
            <v>0</v>
          </cell>
        </row>
        <row r="300">
          <cell r="A300">
            <v>276</v>
          </cell>
          <cell r="B300">
            <v>53406</v>
          </cell>
          <cell r="C300">
            <v>0</v>
          </cell>
          <cell r="D300">
            <v>32413.313177607219</v>
          </cell>
          <cell r="E300">
            <v>0</v>
          </cell>
          <cell r="F300">
            <v>0</v>
          </cell>
          <cell r="G300">
            <v>0</v>
          </cell>
          <cell r="H300">
            <v>0</v>
          </cell>
          <cell r="I300">
            <v>0</v>
          </cell>
        </row>
        <row r="301">
          <cell r="A301">
            <v>277</v>
          </cell>
          <cell r="B301">
            <v>53437</v>
          </cell>
          <cell r="C301">
            <v>0</v>
          </cell>
          <cell r="D301">
            <v>32413.313177607219</v>
          </cell>
          <cell r="E301">
            <v>0</v>
          </cell>
          <cell r="F301">
            <v>0</v>
          </cell>
          <cell r="G301">
            <v>0</v>
          </cell>
          <cell r="H301">
            <v>0</v>
          </cell>
          <cell r="I301">
            <v>0</v>
          </cell>
        </row>
        <row r="302">
          <cell r="A302">
            <v>278</v>
          </cell>
          <cell r="B302">
            <v>53467</v>
          </cell>
          <cell r="C302">
            <v>0</v>
          </cell>
          <cell r="D302">
            <v>32413.313177607219</v>
          </cell>
          <cell r="E302">
            <v>0</v>
          </cell>
          <cell r="F302">
            <v>0</v>
          </cell>
          <cell r="G302">
            <v>0</v>
          </cell>
          <cell r="H302">
            <v>0</v>
          </cell>
          <cell r="I302">
            <v>0</v>
          </cell>
        </row>
        <row r="303">
          <cell r="A303">
            <v>279</v>
          </cell>
          <cell r="B303">
            <v>53498</v>
          </cell>
          <cell r="C303">
            <v>0</v>
          </cell>
          <cell r="D303">
            <v>32413.313177607219</v>
          </cell>
          <cell r="E303">
            <v>0</v>
          </cell>
          <cell r="F303">
            <v>0</v>
          </cell>
          <cell r="G303">
            <v>0</v>
          </cell>
          <cell r="H303">
            <v>0</v>
          </cell>
          <cell r="I303">
            <v>0</v>
          </cell>
        </row>
        <row r="304">
          <cell r="A304">
            <v>280</v>
          </cell>
          <cell r="B304">
            <v>53528</v>
          </cell>
          <cell r="C304">
            <v>0</v>
          </cell>
          <cell r="D304">
            <v>32413.313177607219</v>
          </cell>
          <cell r="E304">
            <v>0</v>
          </cell>
          <cell r="F304">
            <v>0</v>
          </cell>
          <cell r="G304">
            <v>0</v>
          </cell>
          <cell r="H304">
            <v>0</v>
          </cell>
          <cell r="I304">
            <v>0</v>
          </cell>
        </row>
        <row r="305">
          <cell r="A305">
            <v>281</v>
          </cell>
          <cell r="B305">
            <v>53559</v>
          </cell>
          <cell r="C305">
            <v>0</v>
          </cell>
          <cell r="D305">
            <v>32413.313177607219</v>
          </cell>
          <cell r="E305">
            <v>0</v>
          </cell>
          <cell r="F305">
            <v>0</v>
          </cell>
          <cell r="G305">
            <v>0</v>
          </cell>
          <cell r="H305">
            <v>0</v>
          </cell>
          <cell r="I305">
            <v>0</v>
          </cell>
        </row>
        <row r="306">
          <cell r="A306">
            <v>282</v>
          </cell>
          <cell r="B306">
            <v>53590</v>
          </cell>
          <cell r="C306">
            <v>0</v>
          </cell>
          <cell r="D306">
            <v>32413.313177607219</v>
          </cell>
          <cell r="E306">
            <v>0</v>
          </cell>
          <cell r="F306">
            <v>0</v>
          </cell>
          <cell r="G306">
            <v>0</v>
          </cell>
          <cell r="H306">
            <v>0</v>
          </cell>
          <cell r="I306">
            <v>0</v>
          </cell>
        </row>
        <row r="307">
          <cell r="A307">
            <v>283</v>
          </cell>
          <cell r="B307">
            <v>53620</v>
          </cell>
          <cell r="C307">
            <v>0</v>
          </cell>
          <cell r="D307">
            <v>32413.313177607219</v>
          </cell>
          <cell r="E307">
            <v>0</v>
          </cell>
          <cell r="F307">
            <v>0</v>
          </cell>
          <cell r="G307">
            <v>0</v>
          </cell>
          <cell r="H307">
            <v>0</v>
          </cell>
          <cell r="I307">
            <v>0</v>
          </cell>
        </row>
        <row r="308">
          <cell r="A308">
            <v>284</v>
          </cell>
          <cell r="B308">
            <v>53651</v>
          </cell>
          <cell r="C308">
            <v>0</v>
          </cell>
          <cell r="D308">
            <v>32413.313177607219</v>
          </cell>
          <cell r="E308">
            <v>0</v>
          </cell>
          <cell r="F308">
            <v>0</v>
          </cell>
          <cell r="G308">
            <v>0</v>
          </cell>
          <cell r="H308">
            <v>0</v>
          </cell>
          <cell r="I308">
            <v>0</v>
          </cell>
        </row>
        <row r="309">
          <cell r="A309">
            <v>285</v>
          </cell>
          <cell r="B309">
            <v>53681</v>
          </cell>
          <cell r="C309">
            <v>0</v>
          </cell>
          <cell r="D309">
            <v>32413.313177607219</v>
          </cell>
          <cell r="E309">
            <v>0</v>
          </cell>
          <cell r="F309">
            <v>0</v>
          </cell>
          <cell r="G309">
            <v>0</v>
          </cell>
          <cell r="H309">
            <v>0</v>
          </cell>
          <cell r="I309">
            <v>0</v>
          </cell>
        </row>
        <row r="310">
          <cell r="A310">
            <v>286</v>
          </cell>
          <cell r="B310">
            <v>53712</v>
          </cell>
          <cell r="C310">
            <v>0</v>
          </cell>
          <cell r="D310">
            <v>32413.313177607219</v>
          </cell>
          <cell r="E310">
            <v>0</v>
          </cell>
          <cell r="F310">
            <v>0</v>
          </cell>
          <cell r="G310">
            <v>0</v>
          </cell>
          <cell r="H310">
            <v>0</v>
          </cell>
          <cell r="I310">
            <v>0</v>
          </cell>
        </row>
        <row r="311">
          <cell r="A311">
            <v>287</v>
          </cell>
          <cell r="B311">
            <v>53743</v>
          </cell>
          <cell r="C311">
            <v>0</v>
          </cell>
          <cell r="D311">
            <v>32413.313177607219</v>
          </cell>
          <cell r="E311">
            <v>0</v>
          </cell>
          <cell r="F311">
            <v>0</v>
          </cell>
          <cell r="G311">
            <v>0</v>
          </cell>
          <cell r="H311">
            <v>0</v>
          </cell>
          <cell r="I311">
            <v>0</v>
          </cell>
        </row>
        <row r="312">
          <cell r="A312">
            <v>288</v>
          </cell>
          <cell r="B312">
            <v>53771</v>
          </cell>
          <cell r="C312">
            <v>0</v>
          </cell>
          <cell r="D312">
            <v>32413.313177607219</v>
          </cell>
          <cell r="E312">
            <v>0</v>
          </cell>
          <cell r="F312">
            <v>0</v>
          </cell>
          <cell r="G312">
            <v>0</v>
          </cell>
          <cell r="H312">
            <v>0</v>
          </cell>
          <cell r="I312">
            <v>0</v>
          </cell>
        </row>
        <row r="313">
          <cell r="A313">
            <v>289</v>
          </cell>
          <cell r="B313">
            <v>53802</v>
          </cell>
          <cell r="C313">
            <v>0</v>
          </cell>
          <cell r="D313">
            <v>32413.313177607219</v>
          </cell>
          <cell r="E313">
            <v>0</v>
          </cell>
          <cell r="F313">
            <v>0</v>
          </cell>
          <cell r="G313">
            <v>0</v>
          </cell>
          <cell r="H313">
            <v>0</v>
          </cell>
          <cell r="I313">
            <v>0</v>
          </cell>
        </row>
        <row r="314">
          <cell r="A314">
            <v>290</v>
          </cell>
          <cell r="B314">
            <v>53832</v>
          </cell>
          <cell r="C314">
            <v>0</v>
          </cell>
          <cell r="D314">
            <v>32413.313177607219</v>
          </cell>
          <cell r="E314">
            <v>0</v>
          </cell>
          <cell r="F314">
            <v>0</v>
          </cell>
          <cell r="G314">
            <v>0</v>
          </cell>
          <cell r="H314">
            <v>0</v>
          </cell>
          <cell r="I314">
            <v>0</v>
          </cell>
        </row>
        <row r="315">
          <cell r="A315">
            <v>291</v>
          </cell>
          <cell r="B315">
            <v>53863</v>
          </cell>
          <cell r="C315">
            <v>0</v>
          </cell>
          <cell r="D315">
            <v>32413.313177607219</v>
          </cell>
          <cell r="E315">
            <v>0</v>
          </cell>
          <cell r="F315">
            <v>0</v>
          </cell>
          <cell r="G315">
            <v>0</v>
          </cell>
          <cell r="H315">
            <v>0</v>
          </cell>
          <cell r="I315">
            <v>0</v>
          </cell>
        </row>
        <row r="316">
          <cell r="A316">
            <v>292</v>
          </cell>
          <cell r="B316">
            <v>53893</v>
          </cell>
          <cell r="C316">
            <v>0</v>
          </cell>
          <cell r="D316">
            <v>32413.313177607219</v>
          </cell>
          <cell r="E316">
            <v>0</v>
          </cell>
          <cell r="F316">
            <v>0</v>
          </cell>
          <cell r="G316">
            <v>0</v>
          </cell>
          <cell r="H316">
            <v>0</v>
          </cell>
          <cell r="I316">
            <v>0</v>
          </cell>
        </row>
        <row r="317">
          <cell r="A317">
            <v>293</v>
          </cell>
          <cell r="B317">
            <v>53924</v>
          </cell>
          <cell r="C317">
            <v>0</v>
          </cell>
          <cell r="D317">
            <v>32413.313177607219</v>
          </cell>
          <cell r="E317">
            <v>0</v>
          </cell>
          <cell r="F317">
            <v>0</v>
          </cell>
          <cell r="G317">
            <v>0</v>
          </cell>
          <cell r="H317">
            <v>0</v>
          </cell>
          <cell r="I317">
            <v>0</v>
          </cell>
        </row>
        <row r="318">
          <cell r="A318">
            <v>294</v>
          </cell>
          <cell r="B318">
            <v>53955</v>
          </cell>
          <cell r="C318">
            <v>0</v>
          </cell>
          <cell r="D318">
            <v>32413.313177607219</v>
          </cell>
          <cell r="E318">
            <v>0</v>
          </cell>
          <cell r="F318">
            <v>0</v>
          </cell>
          <cell r="G318">
            <v>0</v>
          </cell>
          <cell r="H318">
            <v>0</v>
          </cell>
          <cell r="I318">
            <v>0</v>
          </cell>
        </row>
        <row r="319">
          <cell r="A319">
            <v>295</v>
          </cell>
          <cell r="B319">
            <v>53985</v>
          </cell>
          <cell r="C319">
            <v>0</v>
          </cell>
          <cell r="D319">
            <v>32413.313177607219</v>
          </cell>
          <cell r="E319">
            <v>0</v>
          </cell>
          <cell r="F319">
            <v>0</v>
          </cell>
          <cell r="G319">
            <v>0</v>
          </cell>
          <cell r="H319">
            <v>0</v>
          </cell>
          <cell r="I319">
            <v>0</v>
          </cell>
        </row>
        <row r="320">
          <cell r="A320">
            <v>296</v>
          </cell>
          <cell r="B320">
            <v>54016</v>
          </cell>
          <cell r="C320">
            <v>0</v>
          </cell>
          <cell r="D320">
            <v>32413.313177607219</v>
          </cell>
          <cell r="E320">
            <v>0</v>
          </cell>
          <cell r="F320">
            <v>0</v>
          </cell>
          <cell r="G320">
            <v>0</v>
          </cell>
          <cell r="H320">
            <v>0</v>
          </cell>
          <cell r="I320">
            <v>0</v>
          </cell>
        </row>
        <row r="321">
          <cell r="A321">
            <v>297</v>
          </cell>
          <cell r="B321">
            <v>54046</v>
          </cell>
          <cell r="C321">
            <v>0</v>
          </cell>
          <cell r="D321">
            <v>32413.313177607219</v>
          </cell>
          <cell r="E321">
            <v>0</v>
          </cell>
          <cell r="F321">
            <v>0</v>
          </cell>
          <cell r="G321">
            <v>0</v>
          </cell>
          <cell r="H321">
            <v>0</v>
          </cell>
          <cell r="I321">
            <v>0</v>
          </cell>
        </row>
        <row r="322">
          <cell r="A322">
            <v>298</v>
          </cell>
          <cell r="B322">
            <v>54077</v>
          </cell>
          <cell r="C322">
            <v>0</v>
          </cell>
          <cell r="D322">
            <v>32413.313177607219</v>
          </cell>
          <cell r="E322">
            <v>0</v>
          </cell>
          <cell r="F322">
            <v>0</v>
          </cell>
          <cell r="G322">
            <v>0</v>
          </cell>
          <cell r="H322">
            <v>0</v>
          </cell>
          <cell r="I322">
            <v>0</v>
          </cell>
        </row>
        <row r="323">
          <cell r="A323">
            <v>299</v>
          </cell>
          <cell r="B323">
            <v>54108</v>
          </cell>
          <cell r="C323">
            <v>0</v>
          </cell>
          <cell r="D323">
            <v>32413.313177607219</v>
          </cell>
          <cell r="E323">
            <v>0</v>
          </cell>
          <cell r="F323">
            <v>0</v>
          </cell>
          <cell r="G323">
            <v>0</v>
          </cell>
          <cell r="H323">
            <v>0</v>
          </cell>
          <cell r="I323">
            <v>0</v>
          </cell>
        </row>
        <row r="324">
          <cell r="A324">
            <v>300</v>
          </cell>
          <cell r="B324">
            <v>54137</v>
          </cell>
          <cell r="C324">
            <v>0</v>
          </cell>
          <cell r="D324">
            <v>32413.313177607219</v>
          </cell>
          <cell r="E324">
            <v>0</v>
          </cell>
          <cell r="F324">
            <v>0</v>
          </cell>
          <cell r="G324">
            <v>0</v>
          </cell>
          <cell r="H324">
            <v>0</v>
          </cell>
          <cell r="I324">
            <v>0</v>
          </cell>
        </row>
        <row r="325">
          <cell r="A325">
            <v>301</v>
          </cell>
          <cell r="B325">
            <v>54168</v>
          </cell>
          <cell r="C325">
            <v>0</v>
          </cell>
          <cell r="D325">
            <v>32413.313177607219</v>
          </cell>
          <cell r="E325">
            <v>0</v>
          </cell>
          <cell r="F325">
            <v>0</v>
          </cell>
          <cell r="G325">
            <v>0</v>
          </cell>
          <cell r="H325">
            <v>0</v>
          </cell>
          <cell r="I325">
            <v>0</v>
          </cell>
        </row>
        <row r="326">
          <cell r="A326">
            <v>302</v>
          </cell>
          <cell r="B326">
            <v>54198</v>
          </cell>
          <cell r="C326">
            <v>0</v>
          </cell>
          <cell r="D326">
            <v>32413.313177607219</v>
          </cell>
          <cell r="E326">
            <v>0</v>
          </cell>
          <cell r="F326">
            <v>0</v>
          </cell>
          <cell r="G326">
            <v>0</v>
          </cell>
          <cell r="H326">
            <v>0</v>
          </cell>
          <cell r="I326">
            <v>0</v>
          </cell>
        </row>
        <row r="327">
          <cell r="A327">
            <v>303</v>
          </cell>
          <cell r="B327">
            <v>54229</v>
          </cell>
          <cell r="C327">
            <v>0</v>
          </cell>
          <cell r="D327">
            <v>32413.313177607219</v>
          </cell>
          <cell r="E327">
            <v>0</v>
          </cell>
          <cell r="F327">
            <v>0</v>
          </cell>
          <cell r="G327">
            <v>0</v>
          </cell>
          <cell r="H327">
            <v>0</v>
          </cell>
          <cell r="I327">
            <v>0</v>
          </cell>
        </row>
        <row r="328">
          <cell r="A328">
            <v>304</v>
          </cell>
          <cell r="B328">
            <v>54259</v>
          </cell>
          <cell r="C328">
            <v>0</v>
          </cell>
          <cell r="D328">
            <v>32413.313177607219</v>
          </cell>
          <cell r="E328">
            <v>0</v>
          </cell>
          <cell r="F328">
            <v>0</v>
          </cell>
          <cell r="G328">
            <v>0</v>
          </cell>
          <cell r="H328">
            <v>0</v>
          </cell>
          <cell r="I328">
            <v>0</v>
          </cell>
        </row>
        <row r="329">
          <cell r="A329">
            <v>305</v>
          </cell>
          <cell r="B329">
            <v>54290</v>
          </cell>
          <cell r="C329">
            <v>0</v>
          </cell>
          <cell r="D329">
            <v>32413.313177607219</v>
          </cell>
          <cell r="E329">
            <v>0</v>
          </cell>
          <cell r="F329">
            <v>0</v>
          </cell>
          <cell r="G329">
            <v>0</v>
          </cell>
          <cell r="H329">
            <v>0</v>
          </cell>
          <cell r="I329">
            <v>0</v>
          </cell>
        </row>
        <row r="330">
          <cell r="A330">
            <v>306</v>
          </cell>
          <cell r="B330">
            <v>54321</v>
          </cell>
          <cell r="C330">
            <v>0</v>
          </cell>
          <cell r="D330">
            <v>32413.313177607219</v>
          </cell>
          <cell r="E330">
            <v>0</v>
          </cell>
          <cell r="F330">
            <v>0</v>
          </cell>
          <cell r="G330">
            <v>0</v>
          </cell>
          <cell r="H330">
            <v>0</v>
          </cell>
          <cell r="I330">
            <v>0</v>
          </cell>
        </row>
        <row r="331">
          <cell r="A331">
            <v>307</v>
          </cell>
          <cell r="B331">
            <v>54351</v>
          </cell>
          <cell r="C331">
            <v>0</v>
          </cell>
          <cell r="D331">
            <v>32413.313177607219</v>
          </cell>
          <cell r="E331">
            <v>0</v>
          </cell>
          <cell r="F331">
            <v>0</v>
          </cell>
          <cell r="G331">
            <v>0</v>
          </cell>
          <cell r="H331">
            <v>0</v>
          </cell>
          <cell r="I331">
            <v>0</v>
          </cell>
        </row>
        <row r="332">
          <cell r="A332">
            <v>308</v>
          </cell>
          <cell r="B332">
            <v>54382</v>
          </cell>
          <cell r="C332">
            <v>0</v>
          </cell>
          <cell r="D332">
            <v>32413.313177607219</v>
          </cell>
          <cell r="E332">
            <v>0</v>
          </cell>
          <cell r="F332">
            <v>0</v>
          </cell>
          <cell r="G332">
            <v>0</v>
          </cell>
          <cell r="H332">
            <v>0</v>
          </cell>
          <cell r="I332">
            <v>0</v>
          </cell>
        </row>
        <row r="333">
          <cell r="A333">
            <v>309</v>
          </cell>
          <cell r="B333">
            <v>54412</v>
          </cell>
          <cell r="C333">
            <v>0</v>
          </cell>
          <cell r="D333">
            <v>32413.313177607219</v>
          </cell>
          <cell r="E333">
            <v>0</v>
          </cell>
          <cell r="F333">
            <v>0</v>
          </cell>
          <cell r="G333">
            <v>0</v>
          </cell>
          <cell r="H333">
            <v>0</v>
          </cell>
          <cell r="I333">
            <v>0</v>
          </cell>
        </row>
        <row r="334">
          <cell r="A334">
            <v>310</v>
          </cell>
          <cell r="B334">
            <v>54443</v>
          </cell>
          <cell r="C334">
            <v>0</v>
          </cell>
          <cell r="D334">
            <v>32413.313177607219</v>
          </cell>
          <cell r="E334">
            <v>0</v>
          </cell>
          <cell r="F334">
            <v>0</v>
          </cell>
          <cell r="G334">
            <v>0</v>
          </cell>
          <cell r="H334">
            <v>0</v>
          </cell>
          <cell r="I334">
            <v>0</v>
          </cell>
        </row>
        <row r="335">
          <cell r="A335">
            <v>311</v>
          </cell>
          <cell r="B335">
            <v>54474</v>
          </cell>
          <cell r="C335">
            <v>0</v>
          </cell>
          <cell r="D335">
            <v>32413.313177607219</v>
          </cell>
          <cell r="E335">
            <v>0</v>
          </cell>
          <cell r="F335">
            <v>0</v>
          </cell>
          <cell r="G335">
            <v>0</v>
          </cell>
          <cell r="H335">
            <v>0</v>
          </cell>
          <cell r="I335">
            <v>0</v>
          </cell>
        </row>
        <row r="336">
          <cell r="A336">
            <v>312</v>
          </cell>
          <cell r="B336">
            <v>54502</v>
          </cell>
          <cell r="C336">
            <v>0</v>
          </cell>
          <cell r="D336">
            <v>32413.313177607219</v>
          </cell>
          <cell r="E336">
            <v>0</v>
          </cell>
          <cell r="F336">
            <v>0</v>
          </cell>
          <cell r="G336">
            <v>0</v>
          </cell>
          <cell r="H336">
            <v>0</v>
          </cell>
          <cell r="I336">
            <v>0</v>
          </cell>
        </row>
        <row r="337">
          <cell r="A337">
            <v>313</v>
          </cell>
          <cell r="B337">
            <v>54533</v>
          </cell>
          <cell r="C337">
            <v>0</v>
          </cell>
          <cell r="D337">
            <v>32413.313177607219</v>
          </cell>
          <cell r="E337">
            <v>0</v>
          </cell>
          <cell r="F337">
            <v>0</v>
          </cell>
          <cell r="G337">
            <v>0</v>
          </cell>
          <cell r="H337">
            <v>0</v>
          </cell>
          <cell r="I337">
            <v>0</v>
          </cell>
        </row>
        <row r="338">
          <cell r="A338">
            <v>314</v>
          </cell>
          <cell r="B338">
            <v>54563</v>
          </cell>
          <cell r="C338">
            <v>0</v>
          </cell>
          <cell r="D338">
            <v>32413.313177607219</v>
          </cell>
          <cell r="E338">
            <v>0</v>
          </cell>
          <cell r="F338">
            <v>0</v>
          </cell>
          <cell r="G338">
            <v>0</v>
          </cell>
          <cell r="H338">
            <v>0</v>
          </cell>
          <cell r="I338">
            <v>0</v>
          </cell>
        </row>
        <row r="339">
          <cell r="A339">
            <v>315</v>
          </cell>
          <cell r="B339">
            <v>54594</v>
          </cell>
          <cell r="C339">
            <v>0</v>
          </cell>
          <cell r="D339">
            <v>32413.313177607219</v>
          </cell>
          <cell r="E339">
            <v>0</v>
          </cell>
          <cell r="F339">
            <v>0</v>
          </cell>
          <cell r="G339">
            <v>0</v>
          </cell>
          <cell r="H339">
            <v>0</v>
          </cell>
          <cell r="I339">
            <v>0</v>
          </cell>
        </row>
        <row r="340">
          <cell r="A340">
            <v>316</v>
          </cell>
          <cell r="B340">
            <v>54624</v>
          </cell>
          <cell r="C340">
            <v>0</v>
          </cell>
          <cell r="D340">
            <v>32413.313177607219</v>
          </cell>
          <cell r="E340">
            <v>0</v>
          </cell>
          <cell r="F340">
            <v>0</v>
          </cell>
          <cell r="G340">
            <v>0</v>
          </cell>
          <cell r="H340">
            <v>0</v>
          </cell>
          <cell r="I340">
            <v>0</v>
          </cell>
        </row>
        <row r="341">
          <cell r="A341">
            <v>317</v>
          </cell>
          <cell r="B341">
            <v>54655</v>
          </cell>
          <cell r="C341">
            <v>0</v>
          </cell>
          <cell r="D341">
            <v>32413.313177607219</v>
          </cell>
          <cell r="E341">
            <v>0</v>
          </cell>
          <cell r="F341">
            <v>0</v>
          </cell>
          <cell r="G341">
            <v>0</v>
          </cell>
          <cell r="H341">
            <v>0</v>
          </cell>
          <cell r="I341">
            <v>0</v>
          </cell>
        </row>
        <row r="342">
          <cell r="A342">
            <v>318</v>
          </cell>
          <cell r="B342">
            <v>54686</v>
          </cell>
          <cell r="C342">
            <v>0</v>
          </cell>
          <cell r="D342">
            <v>32413.313177607219</v>
          </cell>
          <cell r="E342">
            <v>0</v>
          </cell>
          <cell r="F342">
            <v>0</v>
          </cell>
          <cell r="G342">
            <v>0</v>
          </cell>
          <cell r="H342">
            <v>0</v>
          </cell>
          <cell r="I342">
            <v>0</v>
          </cell>
        </row>
        <row r="343">
          <cell r="A343">
            <v>319</v>
          </cell>
          <cell r="B343">
            <v>54716</v>
          </cell>
          <cell r="C343">
            <v>0</v>
          </cell>
          <cell r="D343">
            <v>32413.313177607219</v>
          </cell>
          <cell r="E343">
            <v>0</v>
          </cell>
          <cell r="F343">
            <v>0</v>
          </cell>
          <cell r="G343">
            <v>0</v>
          </cell>
          <cell r="H343">
            <v>0</v>
          </cell>
          <cell r="I343">
            <v>0</v>
          </cell>
        </row>
        <row r="344">
          <cell r="A344">
            <v>320</v>
          </cell>
          <cell r="B344">
            <v>54747</v>
          </cell>
          <cell r="C344">
            <v>0</v>
          </cell>
          <cell r="D344">
            <v>32413.313177607219</v>
          </cell>
          <cell r="E344">
            <v>0</v>
          </cell>
          <cell r="F344">
            <v>0</v>
          </cell>
          <cell r="G344">
            <v>0</v>
          </cell>
          <cell r="H344">
            <v>0</v>
          </cell>
          <cell r="I344">
            <v>0</v>
          </cell>
        </row>
        <row r="345">
          <cell r="A345">
            <v>321</v>
          </cell>
          <cell r="B345">
            <v>54777</v>
          </cell>
          <cell r="C345">
            <v>0</v>
          </cell>
          <cell r="D345">
            <v>32413.313177607219</v>
          </cell>
          <cell r="E345">
            <v>0</v>
          </cell>
          <cell r="F345">
            <v>0</v>
          </cell>
          <cell r="G345">
            <v>0</v>
          </cell>
          <cell r="H345">
            <v>0</v>
          </cell>
          <cell r="I345">
            <v>0</v>
          </cell>
        </row>
        <row r="346">
          <cell r="A346">
            <v>322</v>
          </cell>
          <cell r="B346">
            <v>54808</v>
          </cell>
          <cell r="C346">
            <v>0</v>
          </cell>
          <cell r="D346">
            <v>32413.313177607219</v>
          </cell>
          <cell r="E346">
            <v>0</v>
          </cell>
          <cell r="F346">
            <v>0</v>
          </cell>
          <cell r="G346">
            <v>0</v>
          </cell>
          <cell r="H346">
            <v>0</v>
          </cell>
          <cell r="I346">
            <v>0</v>
          </cell>
        </row>
        <row r="347">
          <cell r="A347">
            <v>323</v>
          </cell>
          <cell r="B347">
            <v>54839</v>
          </cell>
          <cell r="C347">
            <v>0</v>
          </cell>
          <cell r="D347">
            <v>32413.313177607219</v>
          </cell>
          <cell r="E347">
            <v>0</v>
          </cell>
          <cell r="F347">
            <v>0</v>
          </cell>
          <cell r="G347">
            <v>0</v>
          </cell>
          <cell r="H347">
            <v>0</v>
          </cell>
          <cell r="I347">
            <v>0</v>
          </cell>
        </row>
        <row r="348">
          <cell r="A348">
            <v>324</v>
          </cell>
          <cell r="B348">
            <v>54867</v>
          </cell>
          <cell r="C348">
            <v>0</v>
          </cell>
          <cell r="D348">
            <v>32413.313177607219</v>
          </cell>
          <cell r="E348">
            <v>0</v>
          </cell>
          <cell r="F348">
            <v>0</v>
          </cell>
          <cell r="G348">
            <v>0</v>
          </cell>
          <cell r="H348">
            <v>0</v>
          </cell>
          <cell r="I348">
            <v>0</v>
          </cell>
        </row>
        <row r="349">
          <cell r="A349">
            <v>325</v>
          </cell>
          <cell r="B349">
            <v>54898</v>
          </cell>
          <cell r="C349">
            <v>0</v>
          </cell>
          <cell r="D349">
            <v>32413.313177607219</v>
          </cell>
          <cell r="E349">
            <v>0</v>
          </cell>
          <cell r="F349">
            <v>0</v>
          </cell>
          <cell r="G349">
            <v>0</v>
          </cell>
          <cell r="H349">
            <v>0</v>
          </cell>
          <cell r="I349">
            <v>0</v>
          </cell>
        </row>
        <row r="350">
          <cell r="A350">
            <v>326</v>
          </cell>
          <cell r="B350">
            <v>54928</v>
          </cell>
          <cell r="C350">
            <v>0</v>
          </cell>
          <cell r="D350">
            <v>32413.313177607219</v>
          </cell>
          <cell r="E350">
            <v>0</v>
          </cell>
          <cell r="F350">
            <v>0</v>
          </cell>
          <cell r="G350">
            <v>0</v>
          </cell>
          <cell r="H350">
            <v>0</v>
          </cell>
          <cell r="I350">
            <v>0</v>
          </cell>
        </row>
        <row r="351">
          <cell r="A351">
            <v>327</v>
          </cell>
          <cell r="B351">
            <v>54959</v>
          </cell>
          <cell r="C351">
            <v>0</v>
          </cell>
          <cell r="D351">
            <v>32413.313177607219</v>
          </cell>
          <cell r="E351">
            <v>0</v>
          </cell>
          <cell r="F351">
            <v>0</v>
          </cell>
          <cell r="G351">
            <v>0</v>
          </cell>
          <cell r="H351">
            <v>0</v>
          </cell>
          <cell r="I351">
            <v>0</v>
          </cell>
        </row>
        <row r="352">
          <cell r="A352">
            <v>328</v>
          </cell>
          <cell r="B352">
            <v>54989</v>
          </cell>
          <cell r="C352">
            <v>0</v>
          </cell>
          <cell r="D352">
            <v>32413.313177607219</v>
          </cell>
          <cell r="E352">
            <v>0</v>
          </cell>
          <cell r="F352">
            <v>0</v>
          </cell>
          <cell r="G352">
            <v>0</v>
          </cell>
          <cell r="H352">
            <v>0</v>
          </cell>
          <cell r="I352">
            <v>0</v>
          </cell>
        </row>
        <row r="353">
          <cell r="A353">
            <v>329</v>
          </cell>
          <cell r="B353">
            <v>55020</v>
          </cell>
          <cell r="C353">
            <v>0</v>
          </cell>
          <cell r="D353">
            <v>32413.313177607219</v>
          </cell>
          <cell r="E353">
            <v>0</v>
          </cell>
          <cell r="F353">
            <v>0</v>
          </cell>
          <cell r="G353">
            <v>0</v>
          </cell>
          <cell r="H353">
            <v>0</v>
          </cell>
          <cell r="I353">
            <v>0</v>
          </cell>
        </row>
        <row r="354">
          <cell r="A354">
            <v>330</v>
          </cell>
          <cell r="B354">
            <v>55051</v>
          </cell>
          <cell r="C354">
            <v>0</v>
          </cell>
          <cell r="D354">
            <v>32413.313177607219</v>
          </cell>
          <cell r="E354">
            <v>0</v>
          </cell>
          <cell r="F354">
            <v>0</v>
          </cell>
          <cell r="G354">
            <v>0</v>
          </cell>
          <cell r="H354">
            <v>0</v>
          </cell>
          <cell r="I354">
            <v>0</v>
          </cell>
        </row>
        <row r="355">
          <cell r="A355">
            <v>331</v>
          </cell>
          <cell r="B355">
            <v>55081</v>
          </cell>
          <cell r="C355">
            <v>0</v>
          </cell>
          <cell r="D355">
            <v>32413.313177607219</v>
          </cell>
          <cell r="E355">
            <v>0</v>
          </cell>
          <cell r="F355">
            <v>0</v>
          </cell>
          <cell r="G355">
            <v>0</v>
          </cell>
          <cell r="H355">
            <v>0</v>
          </cell>
          <cell r="I355">
            <v>0</v>
          </cell>
        </row>
        <row r="356">
          <cell r="A356">
            <v>332</v>
          </cell>
          <cell r="B356">
            <v>55112</v>
          </cell>
          <cell r="C356">
            <v>0</v>
          </cell>
          <cell r="D356">
            <v>32413.313177607219</v>
          </cell>
          <cell r="E356">
            <v>0</v>
          </cell>
          <cell r="F356">
            <v>0</v>
          </cell>
          <cell r="G356">
            <v>0</v>
          </cell>
          <cell r="H356">
            <v>0</v>
          </cell>
          <cell r="I356">
            <v>0</v>
          </cell>
        </row>
        <row r="357">
          <cell r="A357">
            <v>333</v>
          </cell>
          <cell r="B357">
            <v>55142</v>
          </cell>
          <cell r="C357">
            <v>0</v>
          </cell>
          <cell r="D357">
            <v>32413.313177607219</v>
          </cell>
          <cell r="E357">
            <v>0</v>
          </cell>
          <cell r="F357">
            <v>0</v>
          </cell>
          <cell r="G357">
            <v>0</v>
          </cell>
          <cell r="H357">
            <v>0</v>
          </cell>
          <cell r="I357">
            <v>0</v>
          </cell>
        </row>
        <row r="358">
          <cell r="A358">
            <v>334</v>
          </cell>
          <cell r="B358">
            <v>55173</v>
          </cell>
          <cell r="C358">
            <v>0</v>
          </cell>
          <cell r="D358">
            <v>32413.313177607219</v>
          </cell>
          <cell r="E358">
            <v>0</v>
          </cell>
          <cell r="F358">
            <v>0</v>
          </cell>
          <cell r="G358">
            <v>0</v>
          </cell>
          <cell r="H358">
            <v>0</v>
          </cell>
          <cell r="I358">
            <v>0</v>
          </cell>
        </row>
        <row r="359">
          <cell r="A359">
            <v>335</v>
          </cell>
          <cell r="B359">
            <v>55204</v>
          </cell>
          <cell r="C359">
            <v>0</v>
          </cell>
          <cell r="D359">
            <v>32413.313177607219</v>
          </cell>
          <cell r="E359">
            <v>0</v>
          </cell>
          <cell r="F359">
            <v>0</v>
          </cell>
          <cell r="G359">
            <v>0</v>
          </cell>
          <cell r="H359">
            <v>0</v>
          </cell>
          <cell r="I359">
            <v>0</v>
          </cell>
        </row>
        <row r="360">
          <cell r="A360">
            <v>336</v>
          </cell>
          <cell r="B360">
            <v>55232</v>
          </cell>
          <cell r="C360">
            <v>0</v>
          </cell>
          <cell r="D360">
            <v>32413.313177607219</v>
          </cell>
          <cell r="E360">
            <v>0</v>
          </cell>
          <cell r="F360">
            <v>0</v>
          </cell>
          <cell r="G360">
            <v>0</v>
          </cell>
          <cell r="H360">
            <v>0</v>
          </cell>
          <cell r="I360">
            <v>0</v>
          </cell>
        </row>
        <row r="361">
          <cell r="A361">
            <v>337</v>
          </cell>
          <cell r="B361">
            <v>55263</v>
          </cell>
          <cell r="C361">
            <v>0</v>
          </cell>
          <cell r="D361">
            <v>32413.313177607219</v>
          </cell>
          <cell r="E361">
            <v>0</v>
          </cell>
          <cell r="F361">
            <v>0</v>
          </cell>
          <cell r="G361">
            <v>0</v>
          </cell>
          <cell r="H361">
            <v>0</v>
          </cell>
          <cell r="I361">
            <v>0</v>
          </cell>
        </row>
        <row r="362">
          <cell r="A362">
            <v>338</v>
          </cell>
          <cell r="B362">
            <v>55293</v>
          </cell>
          <cell r="C362">
            <v>0</v>
          </cell>
          <cell r="D362">
            <v>32413.313177607219</v>
          </cell>
          <cell r="E362">
            <v>0</v>
          </cell>
          <cell r="F362">
            <v>0</v>
          </cell>
          <cell r="G362">
            <v>0</v>
          </cell>
          <cell r="H362">
            <v>0</v>
          </cell>
          <cell r="I362">
            <v>0</v>
          </cell>
        </row>
        <row r="363">
          <cell r="A363">
            <v>339</v>
          </cell>
          <cell r="B363">
            <v>55324</v>
          </cell>
          <cell r="C363">
            <v>0</v>
          </cell>
          <cell r="D363">
            <v>32413.313177607219</v>
          </cell>
          <cell r="E363">
            <v>0</v>
          </cell>
          <cell r="F363">
            <v>0</v>
          </cell>
          <cell r="G363">
            <v>0</v>
          </cell>
          <cell r="H363">
            <v>0</v>
          </cell>
          <cell r="I363">
            <v>0</v>
          </cell>
        </row>
        <row r="364">
          <cell r="A364">
            <v>340</v>
          </cell>
          <cell r="B364">
            <v>55354</v>
          </cell>
          <cell r="C364">
            <v>0</v>
          </cell>
          <cell r="D364">
            <v>32413.313177607219</v>
          </cell>
          <cell r="E364">
            <v>0</v>
          </cell>
          <cell r="F364">
            <v>0</v>
          </cell>
          <cell r="G364">
            <v>0</v>
          </cell>
          <cell r="H364">
            <v>0</v>
          </cell>
          <cell r="I364">
            <v>0</v>
          </cell>
        </row>
        <row r="365">
          <cell r="A365">
            <v>341</v>
          </cell>
          <cell r="B365">
            <v>55385</v>
          </cell>
          <cell r="C365">
            <v>0</v>
          </cell>
          <cell r="D365">
            <v>32413.313177607219</v>
          </cell>
          <cell r="E365">
            <v>0</v>
          </cell>
          <cell r="F365">
            <v>0</v>
          </cell>
          <cell r="G365">
            <v>0</v>
          </cell>
          <cell r="H365">
            <v>0</v>
          </cell>
          <cell r="I365">
            <v>0</v>
          </cell>
        </row>
        <row r="366">
          <cell r="A366">
            <v>342</v>
          </cell>
          <cell r="B366">
            <v>55416</v>
          </cell>
          <cell r="C366">
            <v>0</v>
          </cell>
          <cell r="D366">
            <v>32413.313177607219</v>
          </cell>
          <cell r="E366">
            <v>0</v>
          </cell>
          <cell r="F366">
            <v>0</v>
          </cell>
          <cell r="G366">
            <v>0</v>
          </cell>
          <cell r="H366">
            <v>0</v>
          </cell>
          <cell r="I366">
            <v>0</v>
          </cell>
        </row>
        <row r="367">
          <cell r="A367">
            <v>343</v>
          </cell>
          <cell r="B367">
            <v>55446</v>
          </cell>
          <cell r="C367">
            <v>0</v>
          </cell>
          <cell r="D367">
            <v>32413.313177607219</v>
          </cell>
          <cell r="E367">
            <v>0</v>
          </cell>
          <cell r="F367">
            <v>0</v>
          </cell>
          <cell r="G367">
            <v>0</v>
          </cell>
          <cell r="H367">
            <v>0</v>
          </cell>
          <cell r="I367">
            <v>0</v>
          </cell>
        </row>
        <row r="368">
          <cell r="A368">
            <v>344</v>
          </cell>
          <cell r="B368">
            <v>55477</v>
          </cell>
          <cell r="C368">
            <v>0</v>
          </cell>
          <cell r="D368">
            <v>32413.313177607219</v>
          </cell>
          <cell r="E368">
            <v>0</v>
          </cell>
          <cell r="F368">
            <v>0</v>
          </cell>
          <cell r="G368">
            <v>0</v>
          </cell>
          <cell r="H368">
            <v>0</v>
          </cell>
          <cell r="I368">
            <v>0</v>
          </cell>
        </row>
        <row r="369">
          <cell r="A369">
            <v>345</v>
          </cell>
          <cell r="B369">
            <v>55507</v>
          </cell>
          <cell r="C369">
            <v>0</v>
          </cell>
          <cell r="D369">
            <v>32413.313177607219</v>
          </cell>
          <cell r="E369">
            <v>0</v>
          </cell>
          <cell r="F369">
            <v>0</v>
          </cell>
          <cell r="G369">
            <v>0</v>
          </cell>
          <cell r="H369">
            <v>0</v>
          </cell>
          <cell r="I369">
            <v>0</v>
          </cell>
        </row>
        <row r="370">
          <cell r="A370">
            <v>346</v>
          </cell>
          <cell r="B370">
            <v>55538</v>
          </cell>
          <cell r="C370">
            <v>0</v>
          </cell>
          <cell r="D370">
            <v>32413.313177607219</v>
          </cell>
          <cell r="E370">
            <v>0</v>
          </cell>
          <cell r="F370">
            <v>0</v>
          </cell>
          <cell r="G370">
            <v>0</v>
          </cell>
          <cell r="H370">
            <v>0</v>
          </cell>
          <cell r="I370">
            <v>0</v>
          </cell>
        </row>
        <row r="371">
          <cell r="A371">
            <v>347</v>
          </cell>
          <cell r="B371">
            <v>55569</v>
          </cell>
          <cell r="C371">
            <v>0</v>
          </cell>
          <cell r="D371">
            <v>32413.313177607219</v>
          </cell>
          <cell r="E371">
            <v>0</v>
          </cell>
          <cell r="F371">
            <v>0</v>
          </cell>
          <cell r="G371">
            <v>0</v>
          </cell>
          <cell r="H371">
            <v>0</v>
          </cell>
          <cell r="I371">
            <v>0</v>
          </cell>
        </row>
        <row r="372">
          <cell r="A372">
            <v>348</v>
          </cell>
          <cell r="B372">
            <v>55598</v>
          </cell>
          <cell r="C372">
            <v>0</v>
          </cell>
          <cell r="D372">
            <v>32413.313177607219</v>
          </cell>
          <cell r="E372">
            <v>0</v>
          </cell>
          <cell r="F372">
            <v>0</v>
          </cell>
          <cell r="G372">
            <v>0</v>
          </cell>
          <cell r="H372">
            <v>0</v>
          </cell>
          <cell r="I372">
            <v>0</v>
          </cell>
        </row>
        <row r="373">
          <cell r="A373">
            <v>349</v>
          </cell>
          <cell r="B373">
            <v>55629</v>
          </cell>
          <cell r="C373">
            <v>0</v>
          </cell>
          <cell r="D373">
            <v>32413.313177607219</v>
          </cell>
          <cell r="E373">
            <v>0</v>
          </cell>
          <cell r="F373">
            <v>0</v>
          </cell>
          <cell r="G373">
            <v>0</v>
          </cell>
          <cell r="H373">
            <v>0</v>
          </cell>
          <cell r="I373">
            <v>0</v>
          </cell>
        </row>
        <row r="374">
          <cell r="A374">
            <v>350</v>
          </cell>
          <cell r="B374">
            <v>55659</v>
          </cell>
          <cell r="C374">
            <v>0</v>
          </cell>
          <cell r="D374">
            <v>32413.313177607219</v>
          </cell>
          <cell r="E374">
            <v>0</v>
          </cell>
          <cell r="F374">
            <v>0</v>
          </cell>
          <cell r="G374">
            <v>0</v>
          </cell>
          <cell r="H374">
            <v>0</v>
          </cell>
          <cell r="I374">
            <v>0</v>
          </cell>
        </row>
        <row r="375">
          <cell r="A375">
            <v>351</v>
          </cell>
          <cell r="B375">
            <v>55690</v>
          </cell>
          <cell r="C375">
            <v>0</v>
          </cell>
          <cell r="D375">
            <v>32413.313177607219</v>
          </cell>
          <cell r="E375">
            <v>0</v>
          </cell>
          <cell r="F375">
            <v>0</v>
          </cell>
          <cell r="G375">
            <v>0</v>
          </cell>
          <cell r="H375">
            <v>0</v>
          </cell>
          <cell r="I375">
            <v>0</v>
          </cell>
        </row>
        <row r="376">
          <cell r="A376">
            <v>352</v>
          </cell>
          <cell r="B376">
            <v>55720</v>
          </cell>
          <cell r="C376">
            <v>0</v>
          </cell>
          <cell r="D376">
            <v>32413.313177607219</v>
          </cell>
          <cell r="E376">
            <v>0</v>
          </cell>
          <cell r="F376">
            <v>0</v>
          </cell>
          <cell r="G376">
            <v>0</v>
          </cell>
          <cell r="H376">
            <v>0</v>
          </cell>
          <cell r="I376">
            <v>0</v>
          </cell>
        </row>
        <row r="377">
          <cell r="A377">
            <v>353</v>
          </cell>
          <cell r="B377">
            <v>55751</v>
          </cell>
          <cell r="C377">
            <v>0</v>
          </cell>
          <cell r="D377">
            <v>32413.313177607219</v>
          </cell>
          <cell r="E377">
            <v>0</v>
          </cell>
          <cell r="F377">
            <v>0</v>
          </cell>
          <cell r="G377">
            <v>0</v>
          </cell>
          <cell r="H377">
            <v>0</v>
          </cell>
          <cell r="I377">
            <v>0</v>
          </cell>
        </row>
        <row r="378">
          <cell r="A378">
            <v>354</v>
          </cell>
          <cell r="B378">
            <v>55782</v>
          </cell>
          <cell r="C378">
            <v>0</v>
          </cell>
          <cell r="D378">
            <v>32413.313177607219</v>
          </cell>
          <cell r="E378">
            <v>0</v>
          </cell>
          <cell r="F378">
            <v>0</v>
          </cell>
          <cell r="G378">
            <v>0</v>
          </cell>
          <cell r="H378">
            <v>0</v>
          </cell>
          <cell r="I378">
            <v>0</v>
          </cell>
        </row>
        <row r="379">
          <cell r="A379">
            <v>355</v>
          </cell>
          <cell r="B379">
            <v>55812</v>
          </cell>
          <cell r="C379">
            <v>0</v>
          </cell>
          <cell r="D379">
            <v>32413.313177607219</v>
          </cell>
          <cell r="E379">
            <v>0</v>
          </cell>
          <cell r="F379">
            <v>0</v>
          </cell>
          <cell r="G379">
            <v>0</v>
          </cell>
          <cell r="H379">
            <v>0</v>
          </cell>
          <cell r="I379">
            <v>0</v>
          </cell>
        </row>
        <row r="380">
          <cell r="A380">
            <v>356</v>
          </cell>
          <cell r="B380">
            <v>55843</v>
          </cell>
          <cell r="C380">
            <v>0</v>
          </cell>
          <cell r="D380">
            <v>32413.313177607219</v>
          </cell>
          <cell r="E380">
            <v>0</v>
          </cell>
          <cell r="F380">
            <v>0</v>
          </cell>
          <cell r="G380">
            <v>0</v>
          </cell>
          <cell r="H380">
            <v>0</v>
          </cell>
          <cell r="I380">
            <v>0</v>
          </cell>
        </row>
        <row r="381">
          <cell r="A381">
            <v>357</v>
          </cell>
          <cell r="B381">
            <v>55873</v>
          </cell>
          <cell r="C381">
            <v>0</v>
          </cell>
          <cell r="D381">
            <v>32413.313177607219</v>
          </cell>
          <cell r="E381">
            <v>0</v>
          </cell>
          <cell r="F381">
            <v>0</v>
          </cell>
          <cell r="G381">
            <v>0</v>
          </cell>
          <cell r="H381">
            <v>0</v>
          </cell>
          <cell r="I381">
            <v>0</v>
          </cell>
        </row>
        <row r="382">
          <cell r="A382">
            <v>358</v>
          </cell>
          <cell r="B382">
            <v>55904</v>
          </cell>
          <cell r="C382">
            <v>0</v>
          </cell>
          <cell r="D382">
            <v>32413.313177607219</v>
          </cell>
          <cell r="E382">
            <v>0</v>
          </cell>
          <cell r="F382">
            <v>0</v>
          </cell>
          <cell r="G382">
            <v>0</v>
          </cell>
          <cell r="H382">
            <v>0</v>
          </cell>
          <cell r="I382">
            <v>0</v>
          </cell>
        </row>
        <row r="383">
          <cell r="A383">
            <v>359</v>
          </cell>
          <cell r="B383">
            <v>55935</v>
          </cell>
          <cell r="C383">
            <v>0</v>
          </cell>
          <cell r="D383">
            <v>32413.313177607219</v>
          </cell>
          <cell r="E383">
            <v>0</v>
          </cell>
          <cell r="F383">
            <v>0</v>
          </cell>
          <cell r="G383">
            <v>0</v>
          </cell>
          <cell r="H383">
            <v>0</v>
          </cell>
          <cell r="I383">
            <v>0</v>
          </cell>
        </row>
        <row r="384">
          <cell r="A384">
            <v>360</v>
          </cell>
          <cell r="B384">
            <v>55963</v>
          </cell>
          <cell r="C384">
            <v>0</v>
          </cell>
          <cell r="D384">
            <v>32413.313177607219</v>
          </cell>
          <cell r="E384">
            <v>0</v>
          </cell>
          <cell r="F384">
            <v>0</v>
          </cell>
          <cell r="G384">
            <v>0</v>
          </cell>
          <cell r="H384">
            <v>0</v>
          </cell>
          <cell r="I384">
            <v>0</v>
          </cell>
        </row>
      </sheetData>
      <sheetData sheetId="2" refreshError="1"/>
      <sheetData sheetId="3" refreshError="1"/>
      <sheetData sheetId="4" refreshError="1"/>
      <sheetData sheetId="5" refreshError="1"/>
      <sheetData sheetId="6" refreshError="1"/>
      <sheetData sheetId="7">
        <row r="14">
          <cell r="I14" t="str">
            <v>B1</v>
          </cell>
        </row>
        <row r="19">
          <cell r="O19"/>
          <cell r="S19"/>
          <cell r="V19"/>
        </row>
        <row r="21">
          <cell r="O21"/>
          <cell r="S21"/>
          <cell r="V21"/>
        </row>
        <row r="25">
          <cell r="O25"/>
          <cell r="S25"/>
          <cell r="V25"/>
        </row>
        <row r="26">
          <cell r="I26" t="str">
            <v>buyer</v>
          </cell>
        </row>
        <row r="27">
          <cell r="O27"/>
          <cell r="S27"/>
          <cell r="V27"/>
        </row>
        <row r="28">
          <cell r="I28" t="str">
            <v xml:space="preserve">agent </v>
          </cell>
        </row>
        <row r="31">
          <cell r="O31"/>
          <cell r="S31"/>
          <cell r="V31"/>
        </row>
        <row r="33">
          <cell r="O33"/>
          <cell r="S33"/>
          <cell r="V33"/>
        </row>
      </sheetData>
      <sheetData sheetId="8" refreshError="1"/>
      <sheetData sheetId="9" refreshError="1"/>
      <sheetData sheetId="10" refreshError="1"/>
      <sheetData sheetId="11" refreshError="1"/>
      <sheetData sheetId="12" refreshError="1"/>
      <sheetData sheetId="13" refreshError="1"/>
      <sheetData sheetId="14">
        <row r="9">
          <cell r="E9" t="e">
            <v>#REF!</v>
          </cell>
        </row>
      </sheetData>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sheetData sheetId="29" refreshError="1"/>
      <sheetData sheetId="3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struction Sched 2023"/>
      <sheetName val="Amort Computation"/>
      <sheetName val="Corrected and Updated TSF 3"/>
      <sheetName val="INTERNAL PRICELIST"/>
      <sheetName val="Sheet1"/>
      <sheetName val="Pricelist Link"/>
      <sheetName val="RECOVERIES"/>
      <sheetName val="FORM"/>
      <sheetName val="STEP UP"/>
      <sheetName val="RA_Step Up"/>
      <sheetName val="STEP UP_2.5% LS"/>
      <sheetName val="2.5% Lumpsum"/>
      <sheetName val="STANDARD COMP."/>
      <sheetName val="RA_Standard"/>
      <sheetName val="SPOT EQUITY_7DAYS"/>
      <sheetName val="RA_SE7D"/>
      <sheetName val="SPOT EQUITY_30DAYS"/>
      <sheetName val="RA_SE30D"/>
      <sheetName val="SPOT CASH_30 DAYS"/>
      <sheetName val="RA_SC30D"/>
      <sheetName val="SPOT CASH_60 DAYS"/>
      <sheetName val="SPOT CASH_60 DAYS (2)"/>
      <sheetName val="RA_SC60D"/>
      <sheetName val="DEFERRED"/>
      <sheetName val="RA_Deferred"/>
      <sheetName val="10% spread plus 5% lumpsum"/>
      <sheetName val="10% step up plus 5% lumpsum"/>
      <sheetName val="SPECIAL PACKAGE"/>
      <sheetName val="RA_Special"/>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18-L2-HISTORICAL"/>
      <sheetName val="ATD"/>
      <sheetName val="LOG"/>
      <sheetName val="LOAN DIFFERENCE COMPUTATION"/>
      <sheetName val="B18-L2_DELACRUZ_BANK SOA"/>
      <sheetName val="Amortization Table"/>
      <sheetName val="Sheet1"/>
      <sheetName val="B18-L2_DELACRUZ_FINAL"/>
    </sheetNames>
    <sheetDataSet>
      <sheetData sheetId="0"/>
      <sheetData sheetId="1"/>
      <sheetData sheetId="2"/>
      <sheetData sheetId="3"/>
      <sheetData sheetId="4"/>
      <sheetData sheetId="5"/>
      <sheetData sheetId="6"/>
      <sheetData sheetId="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ULATION"/>
      <sheetName val="STATUS_EE"/>
      <sheetName val="MASTERLIST"/>
      <sheetName val="ACTUAL COLLECTIONS_EE"/>
      <sheetName val="EFFICIENCY REPORT_EE"/>
      <sheetName val="B1 L1_MODELHOUSE"/>
      <sheetName val="B1 L2_MODEL HOUSE"/>
      <sheetName val="B1 L3_MODELHOUSE"/>
      <sheetName val="B1 L4_MODELHOUSE"/>
      <sheetName val="B1 L5_MODELHOUSE"/>
      <sheetName val="B1 L6_MODELHOUSE"/>
      <sheetName val="SHOULD BE COLLECTIONS_EE"/>
      <sheetName val="B1 L7T.O"/>
      <sheetName val="B1 L8T.O"/>
      <sheetName val="B1 L9T.O"/>
      <sheetName val="B1 L10T.O"/>
      <sheetName val="B1 L11"/>
      <sheetName val="B2-L1"/>
      <sheetName val="B2-L2T.O"/>
      <sheetName val="B2-L3T.O"/>
      <sheetName val="B2-L4"/>
      <sheetName val="B2-L5T.O"/>
      <sheetName val="B2-L6T.O"/>
      <sheetName val="B3-L1T.O"/>
      <sheetName val="B3-L2T.O"/>
      <sheetName val="B3-L3T.O"/>
      <sheetName val="B3-L4"/>
      <sheetName val="B5-L1"/>
      <sheetName val="B5-L2"/>
      <sheetName val="B5-L3"/>
      <sheetName val="B5-L4T.O"/>
      <sheetName val="B5-L5T.O"/>
      <sheetName val="B5-L6T.O"/>
      <sheetName val="B5-L7T.O"/>
      <sheetName val="B5-L8T.O"/>
      <sheetName val="B5-L9T.O"/>
      <sheetName val="B5-L10"/>
      <sheetName val="B5-L11"/>
      <sheetName val="B5-L12"/>
      <sheetName val="Loan Diff Computation_B5L12"/>
      <sheetName val="B5-L13T.O"/>
      <sheetName val="B5-L14T.O"/>
      <sheetName val="B5-L15"/>
      <sheetName val="B6-L1"/>
      <sheetName val="B6-L2T.O"/>
      <sheetName val="B6-L3T.O"/>
      <sheetName val="B6-L4T.O"/>
      <sheetName val="B7-L1"/>
      <sheetName val="B7-L2"/>
      <sheetName val="B7-L3"/>
      <sheetName val="B7-L4"/>
      <sheetName val="B7-L5"/>
      <sheetName val="B7-L6"/>
      <sheetName val="B7-L7"/>
      <sheetName val="B7-L8"/>
      <sheetName val="B7-L9T.O"/>
      <sheetName val="B7-L10"/>
      <sheetName val="B7-L11T.O"/>
      <sheetName val="B7-L12T.O"/>
      <sheetName val="B7-L13T.O"/>
      <sheetName val="B7-L14T.O"/>
      <sheetName val="B7-L15T.O"/>
      <sheetName val="B7-L16T.O"/>
      <sheetName val="B7-L17"/>
      <sheetName val="B7-L18T.O"/>
      <sheetName val="B7-L19T.O"/>
      <sheetName val="B7-L20T.O"/>
      <sheetName val="B7-L21T.O"/>
      <sheetName val="B7-L22T.O"/>
      <sheetName val="B7-L23T.O"/>
      <sheetName val="B7-L24T.O"/>
      <sheetName val="B7-L25"/>
      <sheetName val="B7-L26"/>
      <sheetName val="B7-L27"/>
      <sheetName val="B7-L28"/>
      <sheetName val="B7-L29"/>
      <sheetName val="B7-L30"/>
      <sheetName val="B7-L31"/>
      <sheetName val="B8-L1.T.O"/>
      <sheetName val="B8-L2T.O"/>
      <sheetName val="B8-L3T.O"/>
      <sheetName val="B8-L4T.O"/>
      <sheetName val="B8-L5"/>
      <sheetName val="B8-L6T.O"/>
      <sheetName val="Loan Diff Comp_B8L6"/>
      <sheetName val="B8-L7T.O"/>
      <sheetName val="B8-L8T.O"/>
      <sheetName val="B8-L9T.O"/>
      <sheetName val="B8-L10T.O"/>
      <sheetName val="B9-L1T.O"/>
      <sheetName val="B9-L2T.O"/>
      <sheetName val="B9-L3T.O"/>
      <sheetName val="Loan Diff Comp_B9L3"/>
      <sheetName val="B9-L4T.O"/>
      <sheetName val="B9-L5T.O"/>
      <sheetName val="B9-L6T.O"/>
      <sheetName val="B9-L7T.O"/>
      <sheetName val="B9-L8T.O"/>
      <sheetName val="B9-L9T.O"/>
      <sheetName val="B9-L10T.O"/>
      <sheetName val="B9-L11T.O"/>
      <sheetName val="B9-L12"/>
      <sheetName val="B9-L13T.O"/>
      <sheetName val="B9-L14T.O"/>
      <sheetName val="B9-L15T.O"/>
      <sheetName val="B9-L16T.O"/>
      <sheetName val="B9-L17T.O"/>
      <sheetName val="B9-L18T.O"/>
      <sheetName val="B9-L19T.O"/>
      <sheetName val="B9-L20T.O"/>
      <sheetName val="B10-L1T.O"/>
      <sheetName val="B10-L2"/>
      <sheetName val="B10-L3T.O"/>
      <sheetName val="B10-L4T.O"/>
      <sheetName val="B10-L5T.O"/>
      <sheetName val="B10-L6T.O"/>
      <sheetName val="B10-L7T.O"/>
      <sheetName val="B10-L8 INHS"/>
      <sheetName val="B10_L8 Inhouse Comp_Interest"/>
      <sheetName val="B10-L9T.O"/>
      <sheetName val="B10-L10T.O"/>
      <sheetName val="B10-L11T.O"/>
      <sheetName val="B10-L12T.O"/>
      <sheetName val="B10-L13T.O"/>
      <sheetName val="B10-L14T.O"/>
      <sheetName val="B10-L15"/>
      <sheetName val="B10-L16T.O"/>
      <sheetName val="B10-L17T.O"/>
      <sheetName val="B10-L18"/>
      <sheetName val="B10L18_LD"/>
      <sheetName val="B11-L1T.O"/>
      <sheetName val="B11-L2 T.O"/>
      <sheetName val="B11-L3T.O"/>
      <sheetName val="B11-L4T.O"/>
      <sheetName val="B11-L5"/>
      <sheetName val="B11-L6T.O"/>
      <sheetName val="B11-L7 T.O"/>
      <sheetName val="B11-L8"/>
      <sheetName val="INHS B11L8"/>
      <sheetName val="B11-L9"/>
      <sheetName val="B11-L10 T.O"/>
      <sheetName val="B11-L11"/>
      <sheetName val="B11-L12"/>
      <sheetName val="B11-L13 T.O"/>
      <sheetName val="B11-L14"/>
      <sheetName val="B11-L15T.O"/>
      <sheetName val="B11-L16T.O"/>
      <sheetName val="B11-L17T.O"/>
      <sheetName val="LD B11L17"/>
      <sheetName val="B11-L18"/>
      <sheetName val="B12-L1 T.O"/>
      <sheetName val="B12-L2T.O"/>
      <sheetName val="B12-L3T.O"/>
      <sheetName val="LD B12L3"/>
      <sheetName val="B12-L4T.O"/>
      <sheetName val="B12-L5T.O"/>
      <sheetName val="B12-L6T.O"/>
      <sheetName val="B12-L7T.O"/>
      <sheetName val="B12-L8T.O"/>
      <sheetName val="LD_B12 L8"/>
      <sheetName val="B12-L9"/>
      <sheetName val="INS B12L9"/>
      <sheetName val="B12-L10T.O"/>
      <sheetName val="B12-L11T.O"/>
      <sheetName val="B12-L12"/>
      <sheetName val="B12-L13T.O"/>
      <sheetName val="B12-L14T.O"/>
      <sheetName val="LD B12-L14 "/>
      <sheetName val="B12-L15T.O"/>
      <sheetName val="B12-L16T.O"/>
      <sheetName val="B13-L1T.O"/>
      <sheetName val="B13-L2"/>
      <sheetName val="B13-L3"/>
      <sheetName val="B13-L4"/>
      <sheetName val="B13-L4_INHOUSE"/>
      <sheetName val="B13-L5T.O"/>
      <sheetName val="B13-L6T.O"/>
      <sheetName val="B13-L7T.O"/>
      <sheetName val="B13-L8T.O"/>
      <sheetName val="B13-L9T.O"/>
      <sheetName val="B13-L10T.O"/>
      <sheetName val="B13-L11"/>
      <sheetName val="B13-L12T.O"/>
      <sheetName val="B13-L13"/>
      <sheetName val="B13-L14 T.O"/>
      <sheetName val="B13-L15 T.O"/>
      <sheetName val="B13-L16 T.O"/>
      <sheetName val="B13-L17 T.O"/>
      <sheetName val="B13-L18T.O"/>
      <sheetName val="B13-L19T.O"/>
      <sheetName val="LD B13L19"/>
      <sheetName val="B13-L20T.O"/>
      <sheetName val="B13-L21T.O"/>
      <sheetName val="B13-L22T.O"/>
      <sheetName val="B13-L23T.O"/>
      <sheetName val="B13-L24T.O"/>
      <sheetName val="B13-L25T.O"/>
      <sheetName val="B13-L26T.O"/>
      <sheetName val="LD B13L26"/>
      <sheetName val="B13-L27T.O"/>
      <sheetName val="B13-L28T.O"/>
      <sheetName val="LD B13L28"/>
      <sheetName val="B13-L29T.O"/>
      <sheetName val="LD B13 L29"/>
      <sheetName val="B13-L30T.O"/>
      <sheetName val="B13-L31T.O"/>
      <sheetName val="B13-L32T.O"/>
      <sheetName val="B13-L33T.O"/>
      <sheetName val="B13-L34T.O"/>
      <sheetName val="B13-L35T.O"/>
      <sheetName val="LD B13L35"/>
      <sheetName val="B13-L36T.O"/>
      <sheetName val="B13-L37T.O"/>
      <sheetName val="B13-L38"/>
      <sheetName val="B13-L39T.O"/>
      <sheetName val="B13-L40"/>
      <sheetName val="B13-L41T.O"/>
      <sheetName val="B13-L42"/>
      <sheetName val="INH_B13 L42"/>
      <sheetName val="B13-L43"/>
      <sheetName val="B14-L1"/>
      <sheetName val="B14-L2"/>
      <sheetName val="B14-L3T.O"/>
      <sheetName val="B14-L4T.O"/>
      <sheetName val="B14-L5"/>
      <sheetName val="INHS_B14L5"/>
      <sheetName val="B15-L1T.O"/>
      <sheetName val="B15-L2T.O"/>
      <sheetName val="B15-L3"/>
      <sheetName val="B15-L4T.O"/>
      <sheetName val="B15-L5T.O"/>
      <sheetName val="B15-L6"/>
      <sheetName val="B15-L7 T.O"/>
      <sheetName val="B15-L8T.O"/>
      <sheetName val="B15-L9T.O"/>
      <sheetName val="B15-L10T.O"/>
      <sheetName val="B15-L11"/>
      <sheetName val="B15-L12"/>
      <sheetName val="B15-L13 T.O"/>
      <sheetName val="B15-L14 T.O"/>
      <sheetName val="B15-L15"/>
      <sheetName val="B15-L16 T.O"/>
      <sheetName val="B15-L16_LOAN Diff"/>
      <sheetName val="B15-L17T.O"/>
      <sheetName val="B15-L18 T.O"/>
      <sheetName val="B15-L19T.O"/>
      <sheetName val="B15-L20T.O"/>
      <sheetName val="B15-L21T.O"/>
      <sheetName val="B15-L22T.O"/>
      <sheetName val="B15-L23T.O"/>
      <sheetName val="B15-L24T.O"/>
      <sheetName val="B15-L25T.O"/>
      <sheetName val="INHS B15L25"/>
      <sheetName val="B15-L26"/>
      <sheetName val="B15-L27T.O"/>
      <sheetName val="B15-L28"/>
      <sheetName val="B15-L29T.O"/>
      <sheetName val="B15-L30T.O"/>
      <sheetName val="B15-L31T.O"/>
      <sheetName val="LD_B15L31"/>
      <sheetName val="B15-L32"/>
      <sheetName val="B15-L33T.O"/>
      <sheetName val="B15-L34T.O"/>
      <sheetName val="B16-L1T.O"/>
      <sheetName val="B16-L2T.O"/>
      <sheetName val="B16-L3T.O"/>
      <sheetName val="B16-L4T.O"/>
      <sheetName val="B16-L5 T.O"/>
      <sheetName val="B16-L6T.O"/>
      <sheetName val="B16-L7T.O"/>
      <sheetName val="B16-L8T.O"/>
      <sheetName val="B16-L9T.O"/>
      <sheetName val="LD B16L9"/>
      <sheetName val="B16-L10T.O"/>
      <sheetName val="B16-L11T.O"/>
      <sheetName val="B16-L12T.O"/>
      <sheetName val="B16-L13T.O"/>
      <sheetName val="B16-L14T.O"/>
      <sheetName val="LD B16L14"/>
      <sheetName val="B16-L15 T.O"/>
      <sheetName val="B16-L16 T.O"/>
      <sheetName val="B16-L17T.O"/>
      <sheetName val="B16-L18T.O"/>
      <sheetName val="B16-L19T.O"/>
      <sheetName val="B16-L20T.O"/>
      <sheetName val="B16-L21T.O"/>
      <sheetName val="B16-L22 T.O"/>
      <sheetName val="B16-L23T.O"/>
      <sheetName val="LD B16L23"/>
      <sheetName val="B16-L24T.O"/>
      <sheetName val="B16-L25T.O"/>
      <sheetName val="LD B16L25"/>
      <sheetName val="B16-L26T.O"/>
      <sheetName val="LD B16L26"/>
      <sheetName val="B16-L27T.O"/>
      <sheetName val="B16-L28T.O"/>
      <sheetName val="B16-L29T.O"/>
      <sheetName val="LD B16 L29"/>
      <sheetName val="B16-L30T.O"/>
      <sheetName val="B16-L31T.O"/>
      <sheetName val="LD B16L31"/>
      <sheetName val="B16-L32T.O"/>
      <sheetName val="B16-L33T.O"/>
      <sheetName val="B16-L34T.O"/>
      <sheetName val="LD_B16L34"/>
      <sheetName val="B17-L1T.O"/>
      <sheetName val="B17-L2T.O"/>
      <sheetName val="B17-L3T.O"/>
      <sheetName val="B17-L4T.O"/>
      <sheetName val="B17-L5T.O"/>
      <sheetName val="B17-L6T.O"/>
      <sheetName val="B17-L7T.O"/>
      <sheetName val="LD COMP_Gallofin"/>
      <sheetName val="B17-L8T.O"/>
      <sheetName val="B17-L9T.O"/>
      <sheetName val="B17-L10T.O"/>
      <sheetName val="B17-L11T.O"/>
      <sheetName val="LD B17L11"/>
      <sheetName val="B17-L12T.O"/>
      <sheetName val="LD B17L12"/>
      <sheetName val="B17-L13T.O"/>
      <sheetName val="B17-L14T.O"/>
      <sheetName val="LD B17L14"/>
      <sheetName val="B18-L1T.O"/>
      <sheetName val="B18-L2T.O"/>
      <sheetName val="LD B18L2"/>
      <sheetName val="B18-L3"/>
      <sheetName val="B18-L4 T.O"/>
      <sheetName val="B18-L5T.O"/>
      <sheetName val="B18-L6T.O"/>
      <sheetName val="LD B18L6 "/>
      <sheetName val="B18-L7T.O"/>
      <sheetName val="B18-L8T.O"/>
      <sheetName val="B18-L9T.O"/>
      <sheetName val="B18-L10T.O"/>
      <sheetName val="B18-L11 T.O"/>
      <sheetName val="B18-L12 T.O"/>
      <sheetName val="B18-L13"/>
      <sheetName val="INHS B18L13"/>
      <sheetName val="B18-L14 T.O"/>
      <sheetName val="B18-L15 T.O"/>
      <sheetName val="B18-L16T.O"/>
      <sheetName val="B18-L17T.O"/>
      <sheetName val="LD_B18L17"/>
      <sheetName val="B18-L18"/>
      <sheetName val="B18-L19T.O"/>
      <sheetName val="EOB18L19"/>
      <sheetName val="B18-L20"/>
      <sheetName val="B18-L21T.O"/>
      <sheetName val="B18-L22T.O"/>
      <sheetName val="B18-L23T.O"/>
      <sheetName val="B18-L24T.O"/>
      <sheetName val="B18-L25T.O"/>
      <sheetName val="B18-L26T.O"/>
      <sheetName val="B18-L27T.O"/>
      <sheetName val="B18-L28T.O"/>
      <sheetName val="B19-L1T.O"/>
      <sheetName val="B19-L2T.O"/>
      <sheetName val="B19-L3T.O"/>
      <sheetName val="B19-L4T.O"/>
      <sheetName val="B19-L5T.O"/>
      <sheetName val="B19-L6"/>
      <sheetName val="B19-L7T.O"/>
      <sheetName val="B19-L8T.O"/>
      <sheetName val="B20-L1"/>
      <sheetName val="B20-L2T.O"/>
      <sheetName val="B20-L3T.O"/>
      <sheetName val="B20-L4T.O"/>
      <sheetName val="B20-L5T.O"/>
      <sheetName val="B20-L6T.O"/>
      <sheetName val="B20-L7T.O"/>
      <sheetName val="B20-L8T.O"/>
      <sheetName val="B20-L9T.O"/>
      <sheetName val="B20-L10T.O"/>
      <sheetName val="B20-L11T.O"/>
      <sheetName val="B21-L1T.O"/>
      <sheetName val="B21-L2T.O"/>
      <sheetName val="B21-L3T.O"/>
      <sheetName val="B21-L4"/>
      <sheetName val="B21-L5T.O"/>
      <sheetName val="B21-L6T.O"/>
      <sheetName val="B21-L7"/>
      <sheetName val="B21-L8T.O"/>
      <sheetName val="B21-L9T.O"/>
      <sheetName val="B21-L10T.O"/>
      <sheetName val="B21-L11T.O"/>
      <sheetName val="B21-L12T.O"/>
      <sheetName val="B21-L13T.O"/>
      <sheetName val="B21-L14T.O"/>
      <sheetName val="B21-L15"/>
      <sheetName val="INHOUSE B21L15"/>
      <sheetName val="B21-L16T.O"/>
      <sheetName val="B21-L17T.O"/>
      <sheetName val="B21-L18T.O"/>
      <sheetName val="B21-L19T.O"/>
      <sheetName val="B21-L20T.O"/>
      <sheetName val="B22-L1_T.O"/>
      <sheetName val="B22-L2T.O"/>
      <sheetName val="B22-L3T.O"/>
      <sheetName val="B22-L4T.O"/>
      <sheetName val="B22-L5T.O"/>
      <sheetName val="B22-L6T.O"/>
      <sheetName val="B22-L7T.O"/>
      <sheetName val="B22-L8T.O"/>
      <sheetName val="B22-L9T.O"/>
      <sheetName val="B22-L10T.O"/>
      <sheetName val="Loan Diff Computation_Guasin"/>
      <sheetName val="B22-L11"/>
      <sheetName val="B22-L12T.O"/>
      <sheetName val="B22-L13T.O"/>
      <sheetName val="B22-L14T.O"/>
      <sheetName val="B22-L15"/>
      <sheetName val="B22-L16T.O"/>
      <sheetName val="B22-L17T.O"/>
      <sheetName val="B22-L18T.O"/>
      <sheetName val="B23-L1T.O"/>
      <sheetName val="B23-L2"/>
      <sheetName val="B23-L3T.O"/>
      <sheetName val="B23-L4"/>
      <sheetName val="B23-L5"/>
      <sheetName val="B23-L6T.O"/>
      <sheetName val="B23-L7T.O"/>
      <sheetName val="B23-L8T.O"/>
      <sheetName val="B23-L9T.O"/>
      <sheetName val="B23-L10T.O"/>
      <sheetName val="B23-L11T.O"/>
      <sheetName val="B23-L12T.O"/>
      <sheetName val="B23-L13T.O"/>
      <sheetName val="B23-L14T.O"/>
      <sheetName val="B23-L15T.O"/>
      <sheetName val="B23-L16T.O"/>
      <sheetName val="B23-L17T.O"/>
      <sheetName val="B24-L1"/>
      <sheetName val="B24-L2T.O"/>
      <sheetName val="B24-L3T.O"/>
      <sheetName val="B24-L4T.O"/>
      <sheetName val="B24-L5T.O"/>
      <sheetName val="B24-L6T.O"/>
      <sheetName val="B24-L7T.O"/>
      <sheetName val="B24-L8T.O"/>
      <sheetName val="B24-L9T.O"/>
      <sheetName val="B24-L10T.O"/>
      <sheetName val="B24-L11_INHS"/>
      <sheetName val="INHS_Computation"/>
      <sheetName val="B24-L12"/>
      <sheetName val="B25-L1T.O"/>
      <sheetName val="B25-L2T.O"/>
      <sheetName val="B25-L3T.O"/>
      <sheetName val="B25-L4T.O"/>
      <sheetName val="B25-L5T.O"/>
      <sheetName val="B25-L6T.O"/>
      <sheetName val="B25-L7T.O"/>
      <sheetName val="B25-L8T.O"/>
      <sheetName val="B27-L1"/>
      <sheetName val="B27-L2T.O"/>
      <sheetName val="B27-L3T.O"/>
      <sheetName val="B27-L4T.O"/>
      <sheetName val="B27-L5T.O"/>
      <sheetName val="B27-L6T.O"/>
      <sheetName val="B27-L7"/>
      <sheetName val="B27-L8"/>
      <sheetName val="B27-L9T.O"/>
      <sheetName val="B27-L10T.O"/>
      <sheetName val="B27-L11T.O"/>
      <sheetName val="B27-L12T.O"/>
      <sheetName val="B28-L1T.O"/>
      <sheetName val="B28-L2"/>
      <sheetName val="B28-L3"/>
      <sheetName val="B28-L4T.O"/>
      <sheetName val="B28-L5T.O"/>
      <sheetName val="B28-L6T.O"/>
      <sheetName val="B28-L7T.O"/>
      <sheetName val="B28-L8T.O"/>
      <sheetName val="B28-L9T.O"/>
      <sheetName val="B28-L10"/>
      <sheetName val="B28-L11T.O"/>
      <sheetName val="B28-L12T.O"/>
      <sheetName val="B28-L13T.O"/>
      <sheetName val="B28-L14T.O"/>
      <sheetName val="B28-L15T.O"/>
      <sheetName val="B28-L16T.O"/>
      <sheetName val="B28-L17"/>
      <sheetName val="B28-L18T.O"/>
      <sheetName val="B28-L19"/>
      <sheetName val="B28-L20"/>
      <sheetName val="B28-L21T.O"/>
      <sheetName val="B28-L22T.O"/>
      <sheetName val="B28-L23"/>
      <sheetName val="B28-L24"/>
      <sheetName val="B28-L25T.O"/>
      <sheetName val="B28-L26T.O"/>
      <sheetName val="B28-L27T.O"/>
      <sheetName val="B28-L28T.O"/>
      <sheetName val="B29-L1T.O"/>
      <sheetName val="B29-L2T.O"/>
      <sheetName val="B29-L3T.O"/>
      <sheetName val="B29-L4T.O"/>
      <sheetName val="B29-L5T.O"/>
      <sheetName val="B29-L6T.O"/>
      <sheetName val="B29-L7T.O"/>
      <sheetName val="LD B29L7"/>
      <sheetName val="B29-L8T.O"/>
      <sheetName val="B29-L9T.O"/>
      <sheetName val="B29-L10T.O"/>
      <sheetName val="LD B29L10"/>
      <sheetName val="B29-L11"/>
      <sheetName val="B29-L12T.O"/>
      <sheetName val="B29 L13T.O"/>
      <sheetName val="B29-L14T.O"/>
      <sheetName val="B29-L15T.O"/>
      <sheetName val="LD B29L15"/>
      <sheetName val="B29-L16T.O"/>
      <sheetName val="B29-L17T.O"/>
      <sheetName val="B29-L18T.O"/>
      <sheetName val="B29-L19T.O"/>
      <sheetName val="B29-L20T.O"/>
      <sheetName val="B30-L1"/>
      <sheetName val="B30-L2T.O"/>
      <sheetName val="B30-L3T.O"/>
      <sheetName val="B30-L4"/>
      <sheetName val="B30-L5"/>
      <sheetName val="B30-L6T.O"/>
      <sheetName val="B30-L7T.O"/>
      <sheetName val="B30-L8T.O"/>
      <sheetName val="B30-L9T.O"/>
      <sheetName val="B30-L10"/>
      <sheetName val="B30-L11T.O"/>
      <sheetName val="B30-L12T.O"/>
      <sheetName val="B30-L13T.O"/>
      <sheetName val="B30-L14T.O"/>
      <sheetName val="B30-L15T.O"/>
      <sheetName val="B30-L16T.O"/>
      <sheetName val="B30-L17T.O"/>
      <sheetName val="B30-L18T.O"/>
      <sheetName val="B30-L19T.O"/>
      <sheetName val="B31-L1T.O"/>
      <sheetName val="B31-L2T.O"/>
      <sheetName val="LD B31L2_Blones"/>
      <sheetName val="B31-L3T.O"/>
      <sheetName val="B31-L4T.O"/>
      <sheetName val="B31-L5T.O"/>
      <sheetName val="B31-L6T.O"/>
      <sheetName val="B31-L7T.O"/>
      <sheetName val="B31-L8T.O"/>
      <sheetName val="B31-L9T.O"/>
      <sheetName val="B31-L10T.O"/>
      <sheetName val="B31-L11T.O"/>
      <sheetName val="B31-L12T.O"/>
      <sheetName val="B31-L13T.O"/>
      <sheetName val="B31-L14T.O"/>
      <sheetName val="B31-L15T.O"/>
      <sheetName val="B31-L16T.O"/>
      <sheetName val="B31-L17T.O"/>
      <sheetName val="B31-L18T.O"/>
      <sheetName val="B31-L19T.O"/>
      <sheetName val="B31-L20T.O"/>
      <sheetName val="B32-L1T.O"/>
      <sheetName val="B32-L2"/>
      <sheetName val="INHS_B32L2"/>
      <sheetName val="B32-L3T.O"/>
      <sheetName val="B32-L4T.O"/>
      <sheetName val="B32-L5T.O"/>
      <sheetName val="B32-L6"/>
      <sheetName val="B32-L7"/>
      <sheetName val="B32-L8"/>
      <sheetName val="B32-L9T.O"/>
      <sheetName val="B32-L10T.O"/>
      <sheetName val="B32-L11T.O"/>
      <sheetName val="B32-L12T.O"/>
      <sheetName val="B32-L13"/>
      <sheetName val="B32-L14T.O"/>
      <sheetName val="B32-L15T.O"/>
      <sheetName val="B32-L16T.O"/>
      <sheetName val="B32-L17T.O"/>
      <sheetName val="B32-L18T.O"/>
      <sheetName val="Loan Diff Computation_B32L18"/>
      <sheetName val="B32-L19T.O"/>
      <sheetName val="B32-L20"/>
      <sheetName val="B33-L1T.O"/>
      <sheetName val="B33-L2"/>
      <sheetName val="B33-L3"/>
      <sheetName val="B33-L4T.O"/>
      <sheetName val="B33-L5T.O"/>
      <sheetName val="B33-L6T.O"/>
      <sheetName val="B33-L7T.O"/>
      <sheetName val="B33-L8T.O"/>
      <sheetName val="LD B33 L8_Quisido"/>
      <sheetName val="B33-L9T.O"/>
      <sheetName val="B33-L10T.O"/>
      <sheetName val="B33-L11T.O"/>
      <sheetName val="B33-L12"/>
      <sheetName val="B33-L13T.O"/>
      <sheetName val="B33-L14T.O"/>
      <sheetName val="B33-L15T.O"/>
      <sheetName val="B33-L16"/>
      <sheetName val="B33-L17T.O"/>
      <sheetName val="B33-L18T.O"/>
      <sheetName val="B33-L19T.O"/>
      <sheetName val="B33-L20T.O"/>
      <sheetName val="B33-L21T.O"/>
      <sheetName val="B33-L22T.O"/>
      <sheetName val="B34-L1T.O"/>
      <sheetName val="B34-L2T.O"/>
      <sheetName val="B34-L3T.O"/>
      <sheetName val="B34-L4T.O"/>
      <sheetName val="B34-L5T.O"/>
      <sheetName val="B34-L6T.O"/>
      <sheetName val="B34-L7T.O"/>
      <sheetName val="B34-L8T.O"/>
      <sheetName val="B34-L9T.O"/>
      <sheetName val="B34-L10T.O"/>
      <sheetName val="B34-L11T.O"/>
      <sheetName val="B34-L12T.O"/>
      <sheetName val="B34-L13T.O"/>
      <sheetName val="B34-L14T.O"/>
      <sheetName val="B34-L15T.O"/>
      <sheetName val="B34-L16T.O"/>
      <sheetName val="B34-L17T.O"/>
      <sheetName val="B34-L18"/>
      <sheetName val="B34-L19T.O"/>
      <sheetName val="B34-L20T.O"/>
      <sheetName val="B34-L21T.O"/>
      <sheetName val="B34-L22T.O"/>
      <sheetName val="B35-L1"/>
      <sheetName val="B35-L2"/>
      <sheetName val="B35-L3T.O"/>
      <sheetName val="B35-L4T.O"/>
      <sheetName val="B35-L5"/>
      <sheetName val="B35-L6T.O"/>
      <sheetName val="B35-L7T.O"/>
      <sheetName val="B35-L8T.O"/>
      <sheetName val="B35-L9"/>
      <sheetName val="B35-L10"/>
      <sheetName val="B35-L11"/>
      <sheetName val="B35-L12"/>
      <sheetName val="B35-L13"/>
      <sheetName val="B35-L14"/>
      <sheetName val="B36-L1"/>
      <sheetName val="B36-L2T.O"/>
      <sheetName val="B36-L3"/>
      <sheetName val="B36-L4"/>
      <sheetName val="B36-L5T.O"/>
      <sheetName val="B36-L6"/>
      <sheetName val="B36-L7T.O"/>
      <sheetName val="B36-L8"/>
      <sheetName val="B36-L9"/>
      <sheetName val="B36-L10T.O"/>
      <sheetName val="B36-L11T.O"/>
      <sheetName val="B36-L12T.O"/>
      <sheetName val="B36-L13T.O"/>
      <sheetName val="B36-L14T.O"/>
      <sheetName val="B36-L15T.O"/>
      <sheetName val="B36-L16T.O"/>
      <sheetName val="B36-L17T.O"/>
      <sheetName val="Loan Diff Computation_3months"/>
      <sheetName val="B36-L18T.O"/>
      <sheetName val="B36-L19T.O"/>
      <sheetName val="B36-L20"/>
      <sheetName val="OTHER INCOME"/>
      <sheetName val="CANCELLED ACCOUNT"/>
      <sheetName val="PENALTY"/>
      <sheetName val="TRANSFERCOST"/>
      <sheetName val="MONTHLY EFFICIENCY"/>
      <sheetName val="PER ACCT_EFFICIENC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row r="32">
          <cell r="J32" t="str">
            <v>PAID</v>
          </cell>
        </row>
        <row r="33">
          <cell r="J33" t="str">
            <v>PAID</v>
          </cell>
        </row>
        <row r="34">
          <cell r="J34" t="str">
            <v>PAID</v>
          </cell>
        </row>
        <row r="35">
          <cell r="J35" t="str">
            <v>PAID</v>
          </cell>
        </row>
        <row r="36">
          <cell r="J36" t="str">
            <v>PAID</v>
          </cell>
        </row>
        <row r="37">
          <cell r="J37" t="str">
            <v>PAID</v>
          </cell>
        </row>
        <row r="38">
          <cell r="J38" t="str">
            <v>PAID</v>
          </cell>
        </row>
        <row r="39">
          <cell r="J39" t="str">
            <v>PAID</v>
          </cell>
        </row>
        <row r="40">
          <cell r="J40" t="str">
            <v>PAID</v>
          </cell>
        </row>
        <row r="41">
          <cell r="J41" t="str">
            <v>PAID</v>
          </cell>
        </row>
        <row r="42">
          <cell r="J42" t="str">
            <v>PAID</v>
          </cell>
        </row>
        <row r="43">
          <cell r="J43" t="str">
            <v>PAID</v>
          </cell>
        </row>
        <row r="44">
          <cell r="J44" t="str">
            <v>PAID</v>
          </cell>
        </row>
        <row r="45">
          <cell r="J45" t="str">
            <v>PAID</v>
          </cell>
        </row>
        <row r="46">
          <cell r="J46" t="str">
            <v>PAID</v>
          </cell>
        </row>
        <row r="47">
          <cell r="J47" t="str">
            <v>PAID</v>
          </cell>
        </row>
        <row r="48">
          <cell r="J48" t="str">
            <v>PAID</v>
          </cell>
        </row>
        <row r="49">
          <cell r="J49" t="str">
            <v>PAID</v>
          </cell>
        </row>
        <row r="50">
          <cell r="J50" t="str">
            <v>PAID</v>
          </cell>
        </row>
        <row r="51">
          <cell r="J51" t="str">
            <v>PAID</v>
          </cell>
        </row>
        <row r="52">
          <cell r="J52" t="str">
            <v>PAID</v>
          </cell>
        </row>
        <row r="53">
          <cell r="J53" t="str">
            <v>PAID</v>
          </cell>
        </row>
        <row r="54">
          <cell r="J54" t="str">
            <v>PAID</v>
          </cell>
        </row>
        <row r="55">
          <cell r="J55" t="str">
            <v>PAID</v>
          </cell>
        </row>
        <row r="56">
          <cell r="J56" t="str">
            <v>PAID</v>
          </cell>
        </row>
        <row r="57">
          <cell r="J57" t="str">
            <v>PAID</v>
          </cell>
        </row>
        <row r="58">
          <cell r="J58" t="str">
            <v>PAID</v>
          </cell>
        </row>
        <row r="59">
          <cell r="J59" t="str">
            <v>PAID</v>
          </cell>
        </row>
        <row r="60">
          <cell r="J60" t="str">
            <v>PAID</v>
          </cell>
        </row>
        <row r="61">
          <cell r="J61" t="str">
            <v>PAID</v>
          </cell>
        </row>
        <row r="62">
          <cell r="J62" t="str">
            <v>PAID</v>
          </cell>
        </row>
        <row r="63">
          <cell r="J63" t="str">
            <v>PAID</v>
          </cell>
        </row>
        <row r="64">
          <cell r="J64" t="str">
            <v>PAID</v>
          </cell>
        </row>
        <row r="65">
          <cell r="J65" t="str">
            <v>PAID</v>
          </cell>
        </row>
        <row r="66">
          <cell r="J66" t="str">
            <v>PAID</v>
          </cell>
        </row>
        <row r="67">
          <cell r="J67" t="str">
            <v>PAID</v>
          </cell>
        </row>
        <row r="68">
          <cell r="J68" t="str">
            <v>PAID</v>
          </cell>
        </row>
        <row r="69">
          <cell r="J69" t="str">
            <v>BOUNCED CHECK 2.28.2024</v>
          </cell>
        </row>
        <row r="71">
          <cell r="J71" t="str">
            <v>PAID</v>
          </cell>
        </row>
        <row r="72">
          <cell r="J72" t="str">
            <v>PAID</v>
          </cell>
        </row>
        <row r="73">
          <cell r="J73" t="str">
            <v>PAID</v>
          </cell>
        </row>
        <row r="74">
          <cell r="J74" t="str">
            <v>PAID</v>
          </cell>
        </row>
        <row r="75">
          <cell r="J75" t="str">
            <v>PAID</v>
          </cell>
        </row>
        <row r="76">
          <cell r="J76" t="str">
            <v>PAID</v>
          </cell>
        </row>
        <row r="77">
          <cell r="J77" t="str">
            <v>PAID</v>
          </cell>
        </row>
        <row r="78">
          <cell r="J78" t="str">
            <v>PAID</v>
          </cell>
        </row>
        <row r="79">
          <cell r="J79" t="str">
            <v>PAID</v>
          </cell>
        </row>
        <row r="80">
          <cell r="J80" t="str">
            <v>PAID</v>
          </cell>
        </row>
        <row r="81">
          <cell r="J81" t="str">
            <v>PAID</v>
          </cell>
        </row>
        <row r="82">
          <cell r="J82" t="str">
            <v>PAID</v>
          </cell>
        </row>
        <row r="83">
          <cell r="J83" t="str">
            <v>PAID</v>
          </cell>
        </row>
        <row r="84">
          <cell r="J84" t="str">
            <v>PAID</v>
          </cell>
        </row>
        <row r="85">
          <cell r="J85" t="str">
            <v>PAID</v>
          </cell>
        </row>
        <row r="86">
          <cell r="J86" t="str">
            <v>PAID</v>
          </cell>
        </row>
      </sheetData>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cro"/>
      <sheetName val="Building Increase"/>
      <sheetName val="Tab"/>
      <sheetName val="Construction Schedule"/>
      <sheetName val="TSF 1 Price study with Additive"/>
      <sheetName val="Corrected and Updated TSF 1"/>
      <sheetName val="TSF 2 Price study with Additive"/>
      <sheetName val="Corrected and Updated TSF 2"/>
      <sheetName val="TSF 3 Price study with Additive"/>
      <sheetName val="Corrected and Updated TSF 3"/>
      <sheetName val="Parking Pricelist B123"/>
    </sheetNames>
    <sheetDataSet>
      <sheetData sheetId="0"/>
      <sheetData sheetId="1">
        <row r="6">
          <cell r="H6">
            <v>45566</v>
          </cell>
        </row>
      </sheetData>
      <sheetData sheetId="2"/>
      <sheetData sheetId="3"/>
      <sheetData sheetId="4"/>
      <sheetData sheetId="5">
        <row r="7">
          <cell r="BG7">
            <v>45566</v>
          </cell>
        </row>
      </sheetData>
      <sheetData sheetId="6">
        <row r="3">
          <cell r="L3">
            <v>100909.09090909091</v>
          </cell>
        </row>
      </sheetData>
      <sheetData sheetId="7"/>
      <sheetData sheetId="8">
        <row r="5">
          <cell r="L5">
            <v>106005.26567735759</v>
          </cell>
        </row>
      </sheetData>
      <sheetData sheetId="9"/>
      <sheetData sheetId="1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NAL PRICELIST"/>
      <sheetName val="Revised Pricelist SSO"/>
      <sheetName val="Pricelist Link"/>
      <sheetName val="FORM"/>
      <sheetName val="STEP UP"/>
      <sheetName val="7% Step-up plus 3% Lumpsum"/>
      <sheetName val="RA_Step Up"/>
      <sheetName val="STEP UP with Lumpsum"/>
      <sheetName val="2.5% Lumpsum"/>
      <sheetName val="STANDARD COMP."/>
      <sheetName val="RA_Standard"/>
      <sheetName val="SPOT EQUITY_7DAYS"/>
      <sheetName val="RA_SE7D"/>
      <sheetName val="SPOT EQUITY_30DAYS"/>
      <sheetName val="RA_SE30D"/>
      <sheetName val="SPOT CASH_30 DAYS"/>
      <sheetName val="RA_SC30D"/>
      <sheetName val="SPOT CASH_60 DAYS"/>
      <sheetName val="SPOT CASH_60 DAYS (2)"/>
      <sheetName val="RA_SC60D"/>
      <sheetName val="DEFERRED"/>
      <sheetName val="RA_Deferred"/>
      <sheetName val="SPECIAL PACKAGE"/>
      <sheetName val="RA_Special"/>
    </sheetNames>
    <sheetDataSet>
      <sheetData sheetId="0">
        <row r="7">
          <cell r="A7" t="str">
            <v>UPPER GROUND</v>
          </cell>
          <cell r="K7">
            <v>75000</v>
          </cell>
          <cell r="L7">
            <v>67461</v>
          </cell>
          <cell r="M7">
            <v>2329361</v>
          </cell>
        </row>
        <row r="8">
          <cell r="M8">
            <v>2329361</v>
          </cell>
        </row>
        <row r="9">
          <cell r="M9">
            <v>2329361</v>
          </cell>
        </row>
        <row r="10">
          <cell r="M10">
            <v>2329361</v>
          </cell>
        </row>
        <row r="11">
          <cell r="M11">
            <v>2329361</v>
          </cell>
        </row>
        <row r="12">
          <cell r="M12">
            <v>2329361</v>
          </cell>
        </row>
        <row r="13">
          <cell r="M13">
            <v>2331316</v>
          </cell>
        </row>
        <row r="14">
          <cell r="M14">
            <v>2329361</v>
          </cell>
        </row>
        <row r="15">
          <cell r="M15">
            <v>2329361</v>
          </cell>
        </row>
        <row r="16">
          <cell r="M16">
            <v>2329361</v>
          </cell>
        </row>
        <row r="17">
          <cell r="M17">
            <v>2329361</v>
          </cell>
        </row>
        <row r="18">
          <cell r="M18">
            <v>2329361</v>
          </cell>
        </row>
        <row r="19">
          <cell r="M19">
            <v>2329361</v>
          </cell>
        </row>
        <row r="20">
          <cell r="M20">
            <v>2329361</v>
          </cell>
        </row>
        <row r="21">
          <cell r="M21">
            <v>2329361</v>
          </cell>
        </row>
        <row r="22">
          <cell r="M22">
            <v>2329361</v>
          </cell>
        </row>
        <row r="23">
          <cell r="M23">
            <v>2331316</v>
          </cell>
        </row>
        <row r="24">
          <cell r="M24">
            <v>2329361</v>
          </cell>
        </row>
        <row r="25">
          <cell r="M25">
            <v>2329361</v>
          </cell>
        </row>
        <row r="26">
          <cell r="M26">
            <v>2329361</v>
          </cell>
        </row>
        <row r="27">
          <cell r="M27">
            <v>2329361</v>
          </cell>
        </row>
        <row r="28">
          <cell r="M28">
            <v>2329361</v>
          </cell>
        </row>
        <row r="29">
          <cell r="M29">
            <v>2329361</v>
          </cell>
        </row>
        <row r="30">
          <cell r="M30">
            <v>2329361</v>
          </cell>
        </row>
        <row r="31">
          <cell r="M31">
            <v>2331316</v>
          </cell>
        </row>
        <row r="32">
          <cell r="M32">
            <v>2329361</v>
          </cell>
        </row>
        <row r="33">
          <cell r="M33">
            <v>2329361</v>
          </cell>
        </row>
        <row r="34">
          <cell r="M34">
            <v>2329361</v>
          </cell>
        </row>
        <row r="35">
          <cell r="M35">
            <v>2329361</v>
          </cell>
        </row>
        <row r="36">
          <cell r="M36">
            <v>2329361</v>
          </cell>
        </row>
        <row r="37">
          <cell r="M37">
            <v>2329361</v>
          </cell>
        </row>
        <row r="38">
          <cell r="M38">
            <v>2329361</v>
          </cell>
        </row>
        <row r="39">
          <cell r="M39">
            <v>2329361</v>
          </cell>
        </row>
        <row r="40">
          <cell r="M40">
            <v>2329361</v>
          </cell>
        </row>
        <row r="41">
          <cell r="M41">
            <v>2331316</v>
          </cell>
        </row>
        <row r="42">
          <cell r="M42">
            <v>2329361</v>
          </cell>
        </row>
        <row r="43">
          <cell r="M43">
            <v>2329361</v>
          </cell>
        </row>
        <row r="44">
          <cell r="M44">
            <v>2329361</v>
          </cell>
        </row>
        <row r="45">
          <cell r="M45">
            <v>2329361</v>
          </cell>
        </row>
        <row r="46">
          <cell r="M46">
            <v>2329361</v>
          </cell>
        </row>
        <row r="47">
          <cell r="M47">
            <v>2329361</v>
          </cell>
        </row>
        <row r="48">
          <cell r="M48">
            <v>2329361</v>
          </cell>
        </row>
        <row r="49">
          <cell r="M49">
            <v>2331316</v>
          </cell>
        </row>
        <row r="50">
          <cell r="M50">
            <v>2329361</v>
          </cell>
        </row>
        <row r="51">
          <cell r="M51">
            <v>2329361</v>
          </cell>
        </row>
        <row r="52">
          <cell r="M52">
            <v>2329361</v>
          </cell>
        </row>
        <row r="53">
          <cell r="M53">
            <v>2329361</v>
          </cell>
        </row>
        <row r="54">
          <cell r="M54">
            <v>2329361</v>
          </cell>
        </row>
        <row r="55">
          <cell r="M55">
            <v>2329361</v>
          </cell>
        </row>
        <row r="56">
          <cell r="M56">
            <v>2329361</v>
          </cell>
        </row>
        <row r="57">
          <cell r="M57">
            <v>2329361</v>
          </cell>
        </row>
        <row r="58">
          <cell r="M58">
            <v>2329361</v>
          </cell>
        </row>
        <row r="59">
          <cell r="M59">
            <v>2331316</v>
          </cell>
        </row>
        <row r="60">
          <cell r="M60">
            <v>2329361</v>
          </cell>
        </row>
        <row r="61">
          <cell r="M61">
            <v>2329361</v>
          </cell>
        </row>
        <row r="62">
          <cell r="M62">
            <v>2329361</v>
          </cell>
        </row>
        <row r="63">
          <cell r="M63">
            <v>2329361</v>
          </cell>
        </row>
        <row r="64">
          <cell r="M64">
            <v>2329361</v>
          </cell>
        </row>
        <row r="65">
          <cell r="M65">
            <v>2329361</v>
          </cell>
        </row>
        <row r="66">
          <cell r="M66">
            <v>2329361</v>
          </cell>
        </row>
        <row r="67">
          <cell r="M67">
            <v>2331316</v>
          </cell>
        </row>
        <row r="68">
          <cell r="M68">
            <v>2329361</v>
          </cell>
        </row>
        <row r="69">
          <cell r="M69">
            <v>2329361</v>
          </cell>
        </row>
        <row r="70">
          <cell r="M70">
            <v>2329361</v>
          </cell>
        </row>
        <row r="71">
          <cell r="M71">
            <v>2329361</v>
          </cell>
        </row>
        <row r="72">
          <cell r="M72">
            <v>2329361</v>
          </cell>
        </row>
        <row r="73">
          <cell r="M73">
            <v>2329361</v>
          </cell>
        </row>
        <row r="74">
          <cell r="M74">
            <v>2329361</v>
          </cell>
        </row>
        <row r="75">
          <cell r="M75">
            <v>2329361</v>
          </cell>
        </row>
        <row r="76">
          <cell r="M76">
            <v>2329361</v>
          </cell>
        </row>
        <row r="77">
          <cell r="M77">
            <v>2331316</v>
          </cell>
        </row>
        <row r="78">
          <cell r="M78">
            <v>2329361</v>
          </cell>
        </row>
        <row r="79">
          <cell r="M79">
            <v>2329361</v>
          </cell>
        </row>
        <row r="80">
          <cell r="M80">
            <v>2329361</v>
          </cell>
        </row>
        <row r="81">
          <cell r="M81">
            <v>2329361</v>
          </cell>
        </row>
        <row r="82">
          <cell r="M82">
            <v>2329361</v>
          </cell>
        </row>
        <row r="83">
          <cell r="M83">
            <v>2329361</v>
          </cell>
        </row>
        <row r="84">
          <cell r="M84">
            <v>2329361</v>
          </cell>
        </row>
        <row r="85">
          <cell r="M85">
            <v>2331316</v>
          </cell>
        </row>
        <row r="86">
          <cell r="M86">
            <v>2329361</v>
          </cell>
        </row>
        <row r="87">
          <cell r="M87">
            <v>2329361</v>
          </cell>
        </row>
        <row r="88">
          <cell r="M88">
            <v>2329361</v>
          </cell>
        </row>
        <row r="89">
          <cell r="M89">
            <v>2329361</v>
          </cell>
        </row>
        <row r="90">
          <cell r="M90">
            <v>2329361</v>
          </cell>
        </row>
        <row r="91">
          <cell r="M91">
            <v>2329361</v>
          </cell>
        </row>
        <row r="92">
          <cell r="M92">
            <v>2329361</v>
          </cell>
        </row>
        <row r="93">
          <cell r="M93">
            <v>2329361</v>
          </cell>
        </row>
        <row r="94">
          <cell r="M94">
            <v>2329361</v>
          </cell>
        </row>
        <row r="95">
          <cell r="M95">
            <v>2331316</v>
          </cell>
        </row>
        <row r="96">
          <cell r="M96">
            <v>2329361</v>
          </cell>
        </row>
        <row r="97">
          <cell r="M97">
            <v>2329361</v>
          </cell>
        </row>
        <row r="98">
          <cell r="M98">
            <v>2329361</v>
          </cell>
        </row>
        <row r="99">
          <cell r="M99">
            <v>2329361</v>
          </cell>
        </row>
        <row r="100">
          <cell r="M100">
            <v>2329361</v>
          </cell>
        </row>
        <row r="101">
          <cell r="M101">
            <v>2329361</v>
          </cell>
        </row>
        <row r="102">
          <cell r="M102">
            <v>2329361</v>
          </cell>
        </row>
        <row r="103">
          <cell r="M103">
            <v>2331316</v>
          </cell>
        </row>
        <row r="104">
          <cell r="M104">
            <v>2329361</v>
          </cell>
        </row>
        <row r="105">
          <cell r="M105">
            <v>2329361</v>
          </cell>
        </row>
        <row r="106">
          <cell r="M106">
            <v>2329361</v>
          </cell>
        </row>
        <row r="107">
          <cell r="M107">
            <v>2329361</v>
          </cell>
        </row>
        <row r="108">
          <cell r="M108">
            <v>2329361</v>
          </cell>
        </row>
        <row r="109">
          <cell r="M109">
            <v>2329361</v>
          </cell>
        </row>
        <row r="110">
          <cell r="M110">
            <v>2329361</v>
          </cell>
        </row>
        <row r="111">
          <cell r="M111">
            <v>2329361</v>
          </cell>
        </row>
        <row r="112">
          <cell r="M112">
            <v>2329361</v>
          </cell>
        </row>
        <row r="113">
          <cell r="M113">
            <v>2331316</v>
          </cell>
        </row>
        <row r="114">
          <cell r="M114">
            <v>2329361</v>
          </cell>
        </row>
        <row r="115">
          <cell r="M115">
            <v>2329361</v>
          </cell>
        </row>
        <row r="116">
          <cell r="M116">
            <v>2329361</v>
          </cell>
        </row>
        <row r="117">
          <cell r="M117">
            <v>2329361</v>
          </cell>
        </row>
        <row r="118">
          <cell r="M118">
            <v>2329361</v>
          </cell>
        </row>
        <row r="119">
          <cell r="M119">
            <v>2329361</v>
          </cell>
        </row>
        <row r="120">
          <cell r="M120">
            <v>2329361</v>
          </cell>
        </row>
        <row r="121">
          <cell r="M121">
            <v>2331316</v>
          </cell>
        </row>
        <row r="122">
          <cell r="M122">
            <v>2329361</v>
          </cell>
        </row>
        <row r="123">
          <cell r="M123">
            <v>2329361</v>
          </cell>
        </row>
        <row r="124">
          <cell r="M124">
            <v>2329361</v>
          </cell>
        </row>
        <row r="125">
          <cell r="M125">
            <v>2329361</v>
          </cell>
        </row>
        <row r="126">
          <cell r="M126">
            <v>2329361</v>
          </cell>
        </row>
        <row r="127">
          <cell r="M127">
            <v>2329361</v>
          </cell>
        </row>
        <row r="128">
          <cell r="M128">
            <v>2329361</v>
          </cell>
        </row>
        <row r="129">
          <cell r="M129">
            <v>2329361</v>
          </cell>
        </row>
        <row r="130">
          <cell r="M130">
            <v>2329361</v>
          </cell>
        </row>
        <row r="131">
          <cell r="M131">
            <v>2331316</v>
          </cell>
        </row>
        <row r="132">
          <cell r="M132">
            <v>2329361</v>
          </cell>
        </row>
        <row r="133">
          <cell r="M133">
            <v>2329361</v>
          </cell>
        </row>
        <row r="134">
          <cell r="M134">
            <v>2329361</v>
          </cell>
        </row>
        <row r="135">
          <cell r="M135">
            <v>2329361</v>
          </cell>
        </row>
        <row r="136">
          <cell r="M136">
            <v>2329361</v>
          </cell>
        </row>
        <row r="137">
          <cell r="M137">
            <v>2329361</v>
          </cell>
        </row>
        <row r="138">
          <cell r="M138">
            <v>2329361</v>
          </cell>
        </row>
        <row r="139">
          <cell r="M139">
            <v>2331316</v>
          </cell>
        </row>
        <row r="140">
          <cell r="M140">
            <v>2329361</v>
          </cell>
        </row>
        <row r="141">
          <cell r="M141">
            <v>2329361</v>
          </cell>
        </row>
        <row r="142">
          <cell r="M142">
            <v>2329361</v>
          </cell>
        </row>
        <row r="143">
          <cell r="M143">
            <v>2329361</v>
          </cell>
        </row>
        <row r="144">
          <cell r="M144">
            <v>2329361</v>
          </cell>
        </row>
        <row r="145">
          <cell r="M145">
            <v>2329361</v>
          </cell>
        </row>
        <row r="146">
          <cell r="M146">
            <v>2329361</v>
          </cell>
        </row>
        <row r="147">
          <cell r="M147">
            <v>2329361</v>
          </cell>
        </row>
        <row r="148">
          <cell r="M148">
            <v>2329361</v>
          </cell>
        </row>
        <row r="149">
          <cell r="M149">
            <v>2331316</v>
          </cell>
        </row>
        <row r="150">
          <cell r="M150">
            <v>2329361</v>
          </cell>
        </row>
        <row r="151">
          <cell r="M151">
            <v>2329361</v>
          </cell>
        </row>
        <row r="152">
          <cell r="M152">
            <v>2329361</v>
          </cell>
        </row>
        <row r="153">
          <cell r="M153">
            <v>2329361</v>
          </cell>
        </row>
        <row r="154">
          <cell r="M154">
            <v>2329361</v>
          </cell>
        </row>
        <row r="155">
          <cell r="M155">
            <v>2329361</v>
          </cell>
        </row>
        <row r="156">
          <cell r="M156">
            <v>2329361</v>
          </cell>
        </row>
        <row r="157">
          <cell r="M157">
            <v>2331316</v>
          </cell>
        </row>
        <row r="158">
          <cell r="M158">
            <v>2329361</v>
          </cell>
        </row>
        <row r="159">
          <cell r="M159">
            <v>2329361</v>
          </cell>
        </row>
        <row r="160">
          <cell r="M160">
            <v>2329361</v>
          </cell>
        </row>
        <row r="161">
          <cell r="M161">
            <v>2329361</v>
          </cell>
        </row>
        <row r="162">
          <cell r="M162">
            <v>2329361</v>
          </cell>
        </row>
        <row r="163">
          <cell r="M163">
            <v>2329361</v>
          </cell>
        </row>
        <row r="164">
          <cell r="M164">
            <v>2329361</v>
          </cell>
        </row>
        <row r="165">
          <cell r="M165">
            <v>2329361</v>
          </cell>
        </row>
        <row r="166">
          <cell r="M166">
            <v>2329361</v>
          </cell>
        </row>
        <row r="167">
          <cell r="M167">
            <v>2331316</v>
          </cell>
        </row>
        <row r="168">
          <cell r="M168">
            <v>2329361</v>
          </cell>
        </row>
        <row r="169">
          <cell r="M169">
            <v>2329361</v>
          </cell>
        </row>
        <row r="170">
          <cell r="M170">
            <v>2329361</v>
          </cell>
        </row>
        <row r="171">
          <cell r="M171">
            <v>2329361</v>
          </cell>
        </row>
        <row r="172">
          <cell r="M172">
            <v>2329361</v>
          </cell>
        </row>
        <row r="173">
          <cell r="M173">
            <v>2329361</v>
          </cell>
        </row>
        <row r="174">
          <cell r="M174">
            <v>2329361</v>
          </cell>
        </row>
        <row r="175">
          <cell r="M175">
            <v>2331316</v>
          </cell>
        </row>
        <row r="176">
          <cell r="M176">
            <v>2329361</v>
          </cell>
        </row>
        <row r="177">
          <cell r="M177">
            <v>2329361</v>
          </cell>
        </row>
        <row r="178">
          <cell r="M178">
            <v>2329361</v>
          </cell>
        </row>
        <row r="179">
          <cell r="M179">
            <v>2329361</v>
          </cell>
        </row>
        <row r="180">
          <cell r="M180">
            <v>2329361</v>
          </cell>
        </row>
        <row r="181">
          <cell r="M181">
            <v>2329361</v>
          </cell>
        </row>
        <row r="182">
          <cell r="M182">
            <v>2329361</v>
          </cell>
        </row>
        <row r="183">
          <cell r="M183">
            <v>2331316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ulation"/>
      <sheetName val="Other Cash In"/>
      <sheetName val="Problematic Account"/>
      <sheetName val="Monthly Efficiency"/>
      <sheetName val="Equity Projection"/>
      <sheetName val="Loan Schedule and Status"/>
      <sheetName val="Efficiency Collection"/>
      <sheetName val="Cancelled Accounts"/>
      <sheetName val="Sales Report"/>
      <sheetName val="Actual Collection"/>
      <sheetName val="Should Be"/>
      <sheetName val="Unit ID and LOI Date"/>
      <sheetName val="SAMPLE SOA"/>
      <sheetName val="TSF3 W-1A"/>
      <sheetName val="TSF3 W-1B"/>
      <sheetName val="TSF3 W-1C"/>
      <sheetName val="TSF3 W-1D "/>
      <sheetName val="TSF3 W-1E"/>
      <sheetName val="TSF3 W-1F"/>
      <sheetName val="TSF3 E-1A"/>
      <sheetName val="TSF3 E-1B"/>
      <sheetName val="TSF3 E-1C"/>
      <sheetName val="TSF3 E-1D"/>
      <sheetName val="TSF3 E-1E"/>
      <sheetName val="TSF3 E-1F"/>
      <sheetName val="TSF3 E-1G"/>
      <sheetName val="TSF3 E-1H"/>
      <sheetName val="TSF3 E-1I"/>
      <sheetName val="TSF3 E-1J"/>
      <sheetName val="TSF3 E-1K"/>
      <sheetName val="TSF3 E-1L"/>
      <sheetName val="TSF3 E-1M"/>
      <sheetName val="TSF3 E-1N"/>
      <sheetName val="TSF3 E-1O"/>
      <sheetName val="TSF3 W-2A"/>
      <sheetName val="TSF3 W-2B"/>
      <sheetName val="TSF3 W-2C"/>
      <sheetName val="TSF3 W-2D"/>
      <sheetName val="TSF3 W-2E"/>
      <sheetName val="TSF3 W-2F"/>
      <sheetName val="TSF3 W-2G"/>
      <sheetName val="TSF3 W-2H"/>
      <sheetName val="TSF3 W-2I"/>
      <sheetName val="TSF3 W-2J"/>
      <sheetName val="TSF3 W-2K"/>
      <sheetName val="TSF3 W-2L"/>
      <sheetName val="TSF3 W-2M"/>
      <sheetName val="TSF3 W-2N"/>
      <sheetName val="TSF3 W-2O"/>
      <sheetName val="TSF3 W-2P"/>
      <sheetName val="TSF3 E-2A"/>
      <sheetName val="TSF3 E-2B"/>
      <sheetName val="TSF3 E-2C"/>
      <sheetName val="TSF3 E-2D"/>
      <sheetName val="TSF3 E-2E"/>
      <sheetName val="TSF3 E-2F"/>
      <sheetName val="TSF3 E-2G"/>
      <sheetName val="TSF3 E-2H"/>
      <sheetName val="TSF3 E-2I"/>
      <sheetName val="TSF3 E-2J"/>
      <sheetName val="TSF3 E-2K"/>
      <sheetName val="TSF3 E-2L"/>
      <sheetName val="TSF3 E-2M"/>
      <sheetName val="TSF3 E-2N"/>
      <sheetName val="TSF3 E-2O"/>
      <sheetName val="TSF3 W-3A"/>
      <sheetName val="TSF3 W-3B"/>
      <sheetName val="TSF3 W-3C"/>
      <sheetName val="TSF3 W-3D"/>
      <sheetName val="TSF3 W-3E"/>
      <sheetName val="TSF3 W-3F"/>
      <sheetName val="TSF3 W-3G"/>
      <sheetName val="TSF3 W-3H"/>
      <sheetName val="TSF3 W-3I"/>
      <sheetName val="TSF3 W-3J"/>
      <sheetName val="TSF3 W-3K"/>
      <sheetName val="TSF3 W-3L"/>
      <sheetName val="TSF3 W-3M"/>
      <sheetName val="TSF3 W-3N"/>
      <sheetName val="TSF3 W-3O"/>
      <sheetName val="TSF3 W-3P"/>
      <sheetName val="TSF3 E-3A"/>
      <sheetName val="TSF3 E-3B"/>
      <sheetName val="TSF3 E-3C"/>
      <sheetName val="TSF3 E-3D"/>
      <sheetName val="TSF3 E-3E"/>
      <sheetName val="TSF3 E-3F"/>
      <sheetName val="TSF3 E-3G"/>
      <sheetName val="TSF3 E-3H"/>
      <sheetName val="TSF3 E-3I"/>
      <sheetName val="TSF3 E-3J"/>
      <sheetName val="TSF3 E-3K"/>
      <sheetName val="TSF3 E-3L"/>
      <sheetName val="TSF3 E-3M"/>
      <sheetName val="TSF3 E-3N"/>
      <sheetName val="TSF3 E-3O"/>
      <sheetName val="TSF3 W-4A"/>
      <sheetName val="TSF3 W-4B"/>
      <sheetName val="TSF3 W-4C"/>
      <sheetName val="TSF3 W-4D"/>
      <sheetName val="TSF3 W-4E"/>
      <sheetName val="TSF3 W-4F"/>
      <sheetName val="TSF3 W-4G"/>
      <sheetName val="TSF3 W-4H"/>
      <sheetName val="TSF3 W-4I"/>
      <sheetName val="TSF3 W-4J"/>
      <sheetName val="TSF3 W-4K"/>
      <sheetName val="TSF3 W-4L"/>
      <sheetName val="TSF3 W-4M"/>
      <sheetName val="TSF3 W-4N"/>
      <sheetName val="TSF3 W-4O"/>
      <sheetName val="TSF3 W-4P"/>
      <sheetName val="TSF3 E-4A"/>
      <sheetName val="TSF3 E-4B"/>
      <sheetName val="TSF3 E-4C"/>
      <sheetName val="TSF3 E-4D"/>
      <sheetName val="TSF3 E-4E"/>
      <sheetName val="TSF3 E-4F"/>
      <sheetName val="TSF3 E-4G"/>
      <sheetName val="TSF3 E-4H"/>
      <sheetName val="TSF3 E-4I"/>
      <sheetName val="TSF3 E-4J"/>
      <sheetName val="TSF3 E-4K"/>
      <sheetName val="TSF3 E-4L"/>
      <sheetName val="TSF3 E-4M"/>
      <sheetName val="TSF3 E-4N"/>
      <sheetName val="TSF3 E-4O"/>
      <sheetName val="TSF3 W-5AB"/>
      <sheetName val="TSF3 W-5C"/>
      <sheetName val="TSF3 W-5D"/>
      <sheetName val="TSF3 W-5E"/>
      <sheetName val="TSF3 W-5F"/>
      <sheetName val="TSF3 W-5G"/>
      <sheetName val="TSF3 W-5H"/>
      <sheetName val="TSF3 W-5I"/>
      <sheetName val="TSF3 W-5J"/>
      <sheetName val="TSF3 W-5K"/>
      <sheetName val="TSF3 W-5L"/>
      <sheetName val="TSF3 W-5M"/>
      <sheetName val="TSF3 W-5N"/>
      <sheetName val="TSF3 W-5O"/>
      <sheetName val="TSF3 W-5P"/>
      <sheetName val="TSF3 E-5A"/>
      <sheetName val="TSF3 E-5B"/>
      <sheetName val="TSF3 E-5C"/>
      <sheetName val="TSF3 E-5D"/>
      <sheetName val="TSF3 E-5E"/>
      <sheetName val="TSF3 E-5F"/>
      <sheetName val="TSF3 E-5G"/>
      <sheetName val="TSF3 E-5HI"/>
      <sheetName val="TSF3 E-5J"/>
      <sheetName val="TSF3 E-5K"/>
      <sheetName val="TSF3 E-5L"/>
      <sheetName val="TSF3 E-5M"/>
      <sheetName val="TSF3 E-5N"/>
      <sheetName val="TSF3 E-5O"/>
      <sheetName val="TSF3 W-6AB"/>
      <sheetName val="TSF3 W-6C"/>
      <sheetName val="TSF3 W-6D"/>
      <sheetName val="TSF3 W-6E"/>
      <sheetName val="TSF3 W-6F"/>
      <sheetName val="TSF3 W-6G"/>
      <sheetName val="TSF3 W-6H"/>
      <sheetName val="TSF3 W-6I"/>
      <sheetName val="TSF3 W-6J"/>
      <sheetName val="TSF3 W-6K"/>
      <sheetName val="TSF3 W-6L"/>
      <sheetName val="TSF3 W-6M"/>
      <sheetName val="TSF3 W-6N"/>
      <sheetName val="TSF3 W-6OP"/>
      <sheetName val="TSF3 E-6A"/>
      <sheetName val="TSF3 E-6B"/>
      <sheetName val="TSF3 E-6C"/>
      <sheetName val="TSF3 E-6D"/>
      <sheetName val="TSF3 E-6E"/>
      <sheetName val="TSF3 E-6F"/>
      <sheetName val="TSF3 E-6G"/>
      <sheetName val="TSF3 E-6HI"/>
      <sheetName val="TSF3 E-6JK"/>
      <sheetName val="TSF3 E-6L"/>
      <sheetName val="TSF3 E-6M"/>
      <sheetName val="TSF3 E-6N"/>
      <sheetName val="TSF3 E-6O"/>
      <sheetName val="TSF3 W-7AB"/>
      <sheetName val="TSF3 W-7C"/>
      <sheetName val="TSF3 W-7D"/>
      <sheetName val="TSF3 W-7E"/>
      <sheetName val="TSF3 W-7F"/>
      <sheetName val="TSF3 W-7G"/>
      <sheetName val="TSF3 W-7H"/>
      <sheetName val="TSF3 W-7I"/>
      <sheetName val="TSF3 W-7J"/>
      <sheetName val="TSF3 W-7K"/>
      <sheetName val="TSF3 W-7L"/>
      <sheetName val="TSF3 W-7M"/>
      <sheetName val="TSF3 W-7N"/>
      <sheetName val="TSF3 W-7OP"/>
      <sheetName val="TSF3 E-7A"/>
      <sheetName val="TSF3 E-7B"/>
      <sheetName val="TSF3 E-7C"/>
      <sheetName val="TSF3 E-7D"/>
      <sheetName val="TSF3 E-7E"/>
      <sheetName val="TSF3 E-7F"/>
      <sheetName val="TSF3 E-7G"/>
      <sheetName val="TSF3 E-7HI"/>
      <sheetName val="TSF3 E-7JK"/>
      <sheetName val="TSF3 E-7L"/>
      <sheetName val="TSF3 E-7M"/>
      <sheetName val="TSF3 E-7N"/>
      <sheetName val="TSF3 E-7O"/>
      <sheetName val="TSF3 W-8AB"/>
      <sheetName val="TSF3 W-8C"/>
      <sheetName val="TSF3 W-8D"/>
      <sheetName val="TSF3 W-8E"/>
      <sheetName val="TSF3 W-8F"/>
      <sheetName val="TSF3 W-8G"/>
      <sheetName val="TSF3 W-8H"/>
      <sheetName val="TSF3 W-8I"/>
      <sheetName val="TSF3 W-8J"/>
      <sheetName val="TSF3 W-8K"/>
      <sheetName val="TSF3 W-8L"/>
      <sheetName val="TSF3 W-8M"/>
      <sheetName val="TSF3 W-8N"/>
      <sheetName val="TSF3 W-8OP"/>
      <sheetName val="TSF3 E-8A"/>
      <sheetName val="TSF3 E-8B"/>
      <sheetName val="TSF3 E-8C"/>
      <sheetName val="TSF3 E-8D"/>
      <sheetName val="TSF3 E-8E"/>
      <sheetName val="TSF3 E-8F"/>
      <sheetName val="TSF3 E-8G"/>
      <sheetName val="TSF3 E-8HI"/>
      <sheetName val="TSF3 E-8JK"/>
      <sheetName val="TSF3 E-8L"/>
      <sheetName val="TSF3 E-8M"/>
      <sheetName val="TSF3 E-8N"/>
      <sheetName val="TSF3 E-8O"/>
      <sheetName val="TSF3 W-9AB"/>
      <sheetName val="TSF3 W-9C"/>
      <sheetName val="TSF3 W-9D"/>
      <sheetName val="TSF3 W-9E"/>
      <sheetName val="TSF3 W-9F"/>
      <sheetName val="TSF3 W-9G"/>
      <sheetName val="TSF3 W-9H"/>
      <sheetName val="TSF3 W-9I"/>
      <sheetName val="TSF3 W-9J"/>
      <sheetName val="TSF3 W-9K"/>
      <sheetName val="TSF3 W-9L"/>
      <sheetName val="TSF3 W-9M"/>
      <sheetName val="TSF3 W-9N"/>
      <sheetName val="TSF3 W-9OP"/>
      <sheetName val="TSF3 E-9A"/>
      <sheetName val="TSF3 E-9B"/>
      <sheetName val="TSF3 E-9C"/>
      <sheetName val="TSF3 E-9D"/>
      <sheetName val="TSF3 E-9E"/>
      <sheetName val="TSF3 E-9F"/>
      <sheetName val="TSF3 E-9G"/>
      <sheetName val="TSF3 E-9HI"/>
      <sheetName val="TSF3 E-9JK"/>
      <sheetName val="TSF3 E-9L"/>
      <sheetName val="TSF3 E-9M"/>
      <sheetName val="TSF3 E-9N"/>
      <sheetName val="TSF3 E-9O"/>
      <sheetName val="TSF3 W-10AB"/>
      <sheetName val="TSF3 W-10C"/>
      <sheetName val="TSF3 W-10D"/>
      <sheetName val="TSF3 W-10E"/>
      <sheetName val="TSF3 W-10F"/>
      <sheetName val="TSF3 W-10G"/>
      <sheetName val="TSF3 W-10H"/>
      <sheetName val="TSF3 W-10I"/>
      <sheetName val="TSF3 W-10J"/>
      <sheetName val="TSF3 W-10K"/>
      <sheetName val="TSF3 W-10L"/>
      <sheetName val="TSF3 W-10M"/>
      <sheetName val="TSF3 W-10N"/>
      <sheetName val="TSF3 W-10OP"/>
      <sheetName val="TSF3 E-10A"/>
      <sheetName val="TSF3 E-10B"/>
      <sheetName val="TSF3 E-10C"/>
      <sheetName val="TSF3 E-10D"/>
      <sheetName val="TSF3 E-10E"/>
      <sheetName val="TSF3 E-10F"/>
      <sheetName val="TSF3 E-10G"/>
      <sheetName val="TSF3 E-10HI"/>
      <sheetName val="TSF3 E-10JK"/>
      <sheetName val="TSF3 E-10L"/>
      <sheetName val="TSF3 E-10M"/>
      <sheetName val="TSF3 E-10N"/>
      <sheetName val="TSF3 E-10O"/>
    </sheetNames>
    <sheetDataSet>
      <sheetData sheetId="0"/>
      <sheetData sheetId="1"/>
      <sheetData sheetId="2"/>
      <sheetData sheetId="3"/>
      <sheetData sheetId="4"/>
      <sheetData sheetId="5"/>
      <sheetData sheetId="6"/>
      <sheetData sheetId="7"/>
      <sheetData sheetId="8">
        <row r="7">
          <cell r="B7" t="str">
            <v>UNIT NO.</v>
          </cell>
          <cell r="C7" t="str">
            <v>SALES STATUS</v>
          </cell>
        </row>
        <row r="8">
          <cell r="B8" t="str">
            <v>C1</v>
          </cell>
          <cell r="C8" t="str">
            <v>CLOSED</v>
          </cell>
        </row>
        <row r="9">
          <cell r="B9" t="str">
            <v>C2</v>
          </cell>
          <cell r="C9" t="str">
            <v>CLOSED</v>
          </cell>
        </row>
        <row r="10">
          <cell r="B10" t="str">
            <v>C3</v>
          </cell>
          <cell r="C10" t="str">
            <v>CLOSED</v>
          </cell>
        </row>
        <row r="11">
          <cell r="B11" t="str">
            <v>W-1A</v>
          </cell>
          <cell r="C11" t="str">
            <v>SOLD</v>
          </cell>
        </row>
        <row r="12">
          <cell r="B12" t="str">
            <v>W-1B</v>
          </cell>
          <cell r="C12" t="str">
            <v>SOLD</v>
          </cell>
        </row>
        <row r="13">
          <cell r="B13" t="str">
            <v>W-1C</v>
          </cell>
          <cell r="C13" t="str">
            <v>SOLD</v>
          </cell>
        </row>
        <row r="14">
          <cell r="B14" t="str">
            <v>W-1D</v>
          </cell>
          <cell r="C14" t="str">
            <v>SOLD</v>
          </cell>
        </row>
        <row r="15">
          <cell r="B15" t="str">
            <v>W-1E</v>
          </cell>
          <cell r="C15" t="str">
            <v>SOLD</v>
          </cell>
        </row>
        <row r="16">
          <cell r="B16" t="str">
            <v>W-1F</v>
          </cell>
          <cell r="C16" t="str">
            <v>SOLD</v>
          </cell>
        </row>
        <row r="17">
          <cell r="B17" t="str">
            <v>E-1A</v>
          </cell>
          <cell r="C17" t="str">
            <v>SOLD</v>
          </cell>
        </row>
        <row r="18">
          <cell r="B18" t="str">
            <v>E-1B</v>
          </cell>
          <cell r="C18" t="str">
            <v>SOLD</v>
          </cell>
        </row>
        <row r="19">
          <cell r="B19" t="str">
            <v>E-1C</v>
          </cell>
          <cell r="C19" t="str">
            <v>SOLD</v>
          </cell>
        </row>
        <row r="20">
          <cell r="B20" t="str">
            <v>E-1D</v>
          </cell>
          <cell r="C20" t="str">
            <v>SOLD</v>
          </cell>
        </row>
        <row r="21">
          <cell r="B21" t="str">
            <v>E-1E</v>
          </cell>
          <cell r="C21" t="str">
            <v>SOLD</v>
          </cell>
        </row>
        <row r="22">
          <cell r="B22" t="str">
            <v>E-1F</v>
          </cell>
          <cell r="C22" t="str">
            <v>SOLD</v>
          </cell>
        </row>
        <row r="23">
          <cell r="B23" t="str">
            <v>E-1G</v>
          </cell>
          <cell r="C23" t="str">
            <v>SOLD</v>
          </cell>
        </row>
        <row r="24">
          <cell r="B24" t="str">
            <v>E-1H</v>
          </cell>
          <cell r="C24" t="str">
            <v>SOLD</v>
          </cell>
        </row>
        <row r="25">
          <cell r="B25" t="str">
            <v>E-1I</v>
          </cell>
          <cell r="C25" t="str">
            <v>SOLD</v>
          </cell>
        </row>
        <row r="26">
          <cell r="B26" t="str">
            <v>E-1J</v>
          </cell>
          <cell r="C26" t="str">
            <v>SOLD</v>
          </cell>
        </row>
        <row r="27">
          <cell r="B27" t="str">
            <v>E-1K</v>
          </cell>
          <cell r="C27" t="str">
            <v>SOLD</v>
          </cell>
        </row>
        <row r="28">
          <cell r="B28" t="str">
            <v>E-1L</v>
          </cell>
          <cell r="C28" t="str">
            <v>SOLD</v>
          </cell>
        </row>
        <row r="29">
          <cell r="B29" t="str">
            <v>E-1M</v>
          </cell>
          <cell r="C29" t="str">
            <v>SOLD</v>
          </cell>
        </row>
        <row r="30">
          <cell r="B30" t="str">
            <v>E-1N</v>
          </cell>
          <cell r="C30" t="str">
            <v>SOLD</v>
          </cell>
        </row>
        <row r="31">
          <cell r="B31" t="str">
            <v>E-1O</v>
          </cell>
          <cell r="C31" t="str">
            <v>SOLD</v>
          </cell>
        </row>
        <row r="32">
          <cell r="B32" t="str">
            <v>W-2A</v>
          </cell>
          <cell r="C32" t="str">
            <v>SOLD</v>
          </cell>
        </row>
        <row r="33">
          <cell r="B33" t="str">
            <v>W-2B</v>
          </cell>
          <cell r="C33" t="str">
            <v>SOLD</v>
          </cell>
        </row>
        <row r="34">
          <cell r="B34" t="str">
            <v>W-2C</v>
          </cell>
          <cell r="C34" t="str">
            <v>SOLD</v>
          </cell>
        </row>
        <row r="35">
          <cell r="B35" t="str">
            <v>W-2D</v>
          </cell>
          <cell r="C35" t="str">
            <v>SOLD</v>
          </cell>
        </row>
        <row r="36">
          <cell r="B36" t="str">
            <v>W-2E</v>
          </cell>
          <cell r="C36" t="str">
            <v>SOLD</v>
          </cell>
        </row>
        <row r="37">
          <cell r="B37" t="str">
            <v>W-2F</v>
          </cell>
          <cell r="C37" t="str">
            <v>SOLD</v>
          </cell>
        </row>
        <row r="38">
          <cell r="B38" t="str">
            <v>W-2G</v>
          </cell>
          <cell r="C38" t="str">
            <v>SOLD</v>
          </cell>
        </row>
        <row r="39">
          <cell r="B39" t="str">
            <v>W-2H</v>
          </cell>
          <cell r="C39" t="str">
            <v>SOLD</v>
          </cell>
        </row>
        <row r="40">
          <cell r="B40" t="str">
            <v>W-2I</v>
          </cell>
          <cell r="C40" t="str">
            <v>SOLD</v>
          </cell>
        </row>
        <row r="41">
          <cell r="B41" t="str">
            <v>W-2J</v>
          </cell>
          <cell r="C41">
            <v>0</v>
          </cell>
        </row>
        <row r="42">
          <cell r="B42" t="str">
            <v>W-2K</v>
          </cell>
          <cell r="C42">
            <v>0</v>
          </cell>
        </row>
        <row r="43">
          <cell r="B43" t="str">
            <v>W-2L</v>
          </cell>
          <cell r="C43">
            <v>0</v>
          </cell>
        </row>
        <row r="44">
          <cell r="B44" t="str">
            <v>W-2M</v>
          </cell>
          <cell r="C44">
            <v>0</v>
          </cell>
        </row>
        <row r="45">
          <cell r="B45" t="str">
            <v>W-2N</v>
          </cell>
          <cell r="C45">
            <v>0</v>
          </cell>
        </row>
        <row r="46">
          <cell r="B46" t="str">
            <v>W-2O</v>
          </cell>
          <cell r="C46" t="str">
            <v>UNSOLD</v>
          </cell>
        </row>
        <row r="47">
          <cell r="B47" t="str">
            <v>W-2P</v>
          </cell>
          <cell r="C47" t="str">
            <v>SOLD</v>
          </cell>
        </row>
        <row r="48">
          <cell r="B48" t="str">
            <v>E-2A</v>
          </cell>
          <cell r="C48" t="str">
            <v>SOLD</v>
          </cell>
        </row>
        <row r="49">
          <cell r="B49" t="str">
            <v>E-2B</v>
          </cell>
          <cell r="C49" t="str">
            <v>SOLD</v>
          </cell>
        </row>
        <row r="50">
          <cell r="B50" t="str">
            <v>E-2C</v>
          </cell>
          <cell r="C50" t="str">
            <v>SOLD</v>
          </cell>
        </row>
        <row r="51">
          <cell r="B51" t="str">
            <v>E-2D</v>
          </cell>
          <cell r="C51" t="str">
            <v>SOLD</v>
          </cell>
        </row>
        <row r="52">
          <cell r="B52" t="str">
            <v>E-2E</v>
          </cell>
          <cell r="C52" t="str">
            <v>SOLD</v>
          </cell>
        </row>
        <row r="53">
          <cell r="B53" t="str">
            <v>E-2F</v>
          </cell>
          <cell r="C53" t="str">
            <v>SOLD</v>
          </cell>
        </row>
        <row r="54">
          <cell r="B54" t="str">
            <v>E-2G</v>
          </cell>
          <cell r="C54" t="str">
            <v>SOLD</v>
          </cell>
        </row>
        <row r="55">
          <cell r="B55" t="str">
            <v>E-2H</v>
          </cell>
          <cell r="C55" t="str">
            <v>SOLD</v>
          </cell>
        </row>
        <row r="56">
          <cell r="B56" t="str">
            <v>E-2I</v>
          </cell>
          <cell r="C56" t="str">
            <v>SOLD</v>
          </cell>
        </row>
        <row r="57">
          <cell r="B57" t="str">
            <v>E-2J</v>
          </cell>
          <cell r="C57" t="str">
            <v>SOLD</v>
          </cell>
        </row>
        <row r="58">
          <cell r="B58" t="str">
            <v>E-2K</v>
          </cell>
          <cell r="C58" t="str">
            <v>SOLD</v>
          </cell>
        </row>
        <row r="59">
          <cell r="B59" t="str">
            <v>E-2L</v>
          </cell>
          <cell r="C59" t="str">
            <v>SOLD</v>
          </cell>
        </row>
        <row r="60">
          <cell r="B60" t="str">
            <v>E-2M</v>
          </cell>
          <cell r="C60" t="str">
            <v>SOLD</v>
          </cell>
        </row>
        <row r="61">
          <cell r="B61" t="str">
            <v>E-2N</v>
          </cell>
          <cell r="C61" t="str">
            <v>SOLD</v>
          </cell>
        </row>
        <row r="62">
          <cell r="B62" t="str">
            <v>E-2O</v>
          </cell>
          <cell r="C62" t="str">
            <v>SOLD</v>
          </cell>
        </row>
        <row r="63">
          <cell r="B63" t="str">
            <v>W-3A</v>
          </cell>
          <cell r="C63" t="str">
            <v>SOLD</v>
          </cell>
        </row>
        <row r="64">
          <cell r="B64" t="str">
            <v>W-3B</v>
          </cell>
          <cell r="C64" t="str">
            <v>SOLD</v>
          </cell>
        </row>
        <row r="65">
          <cell r="B65" t="str">
            <v>W-3C</v>
          </cell>
          <cell r="C65" t="str">
            <v>SOLD</v>
          </cell>
        </row>
        <row r="66">
          <cell r="B66" t="str">
            <v>W-3D</v>
          </cell>
          <cell r="C66" t="str">
            <v>SOLD</v>
          </cell>
        </row>
        <row r="67">
          <cell r="B67" t="str">
            <v>W-3E</v>
          </cell>
          <cell r="C67" t="str">
            <v>SOLD</v>
          </cell>
        </row>
        <row r="68">
          <cell r="B68" t="str">
            <v>W-3F</v>
          </cell>
          <cell r="C68" t="str">
            <v>SOLD</v>
          </cell>
        </row>
        <row r="69">
          <cell r="B69" t="str">
            <v>W-3G</v>
          </cell>
          <cell r="C69" t="str">
            <v>SOLD</v>
          </cell>
        </row>
        <row r="70">
          <cell r="B70" t="str">
            <v>W-3H</v>
          </cell>
          <cell r="C70" t="str">
            <v>SOLD</v>
          </cell>
        </row>
        <row r="71">
          <cell r="B71" t="str">
            <v>W-3I</v>
          </cell>
          <cell r="C71" t="str">
            <v>SOLD</v>
          </cell>
        </row>
        <row r="72">
          <cell r="B72" t="str">
            <v>W-3J</v>
          </cell>
          <cell r="C72" t="str">
            <v>SOLD</v>
          </cell>
        </row>
        <row r="73">
          <cell r="B73" t="str">
            <v>W-3K</v>
          </cell>
          <cell r="C73" t="str">
            <v>SOLD</v>
          </cell>
        </row>
        <row r="74">
          <cell r="B74" t="str">
            <v>W-3L</v>
          </cell>
          <cell r="C74" t="str">
            <v>SOLD</v>
          </cell>
        </row>
        <row r="75">
          <cell r="B75" t="str">
            <v>W-3M</v>
          </cell>
          <cell r="C75" t="str">
            <v>SOLD</v>
          </cell>
        </row>
        <row r="76">
          <cell r="B76" t="str">
            <v>W-3N</v>
          </cell>
          <cell r="C76" t="str">
            <v>SOLD</v>
          </cell>
        </row>
        <row r="77">
          <cell r="B77" t="str">
            <v>W-3O</v>
          </cell>
          <cell r="C77" t="str">
            <v>SOLD</v>
          </cell>
        </row>
        <row r="78">
          <cell r="B78" t="str">
            <v>W-3P</v>
          </cell>
          <cell r="C78" t="str">
            <v>SOLD</v>
          </cell>
        </row>
        <row r="79">
          <cell r="B79" t="str">
            <v>E-3A</v>
          </cell>
          <cell r="C79" t="str">
            <v>SOLD</v>
          </cell>
        </row>
        <row r="80">
          <cell r="B80" t="str">
            <v>E-3B</v>
          </cell>
          <cell r="C80" t="str">
            <v>SOLD</v>
          </cell>
        </row>
        <row r="81">
          <cell r="B81" t="str">
            <v>E-3C</v>
          </cell>
          <cell r="C81" t="str">
            <v>SOLD</v>
          </cell>
        </row>
        <row r="82">
          <cell r="B82" t="str">
            <v>E-3D</v>
          </cell>
          <cell r="C82" t="str">
            <v>SOLD</v>
          </cell>
        </row>
        <row r="83">
          <cell r="B83" t="str">
            <v>E-3E</v>
          </cell>
          <cell r="C83" t="str">
            <v>SOLD</v>
          </cell>
        </row>
        <row r="84">
          <cell r="B84" t="str">
            <v>E-3F</v>
          </cell>
          <cell r="C84" t="str">
            <v>SOLD</v>
          </cell>
        </row>
        <row r="85">
          <cell r="B85" t="str">
            <v>E-3G</v>
          </cell>
          <cell r="C85" t="str">
            <v>SOLD</v>
          </cell>
        </row>
        <row r="86">
          <cell r="B86" t="str">
            <v>E-3H</v>
          </cell>
          <cell r="C86" t="str">
            <v>SOLD</v>
          </cell>
        </row>
        <row r="87">
          <cell r="B87" t="str">
            <v>E-3I</v>
          </cell>
          <cell r="C87" t="str">
            <v>SOLD</v>
          </cell>
        </row>
        <row r="88">
          <cell r="B88" t="str">
            <v>E-3J</v>
          </cell>
          <cell r="C88" t="str">
            <v>SOLD</v>
          </cell>
        </row>
        <row r="89">
          <cell r="B89" t="str">
            <v>E-3K</v>
          </cell>
          <cell r="C89" t="str">
            <v>SOLD</v>
          </cell>
        </row>
        <row r="90">
          <cell r="B90" t="str">
            <v>E-3L</v>
          </cell>
          <cell r="C90" t="str">
            <v>SOLD</v>
          </cell>
        </row>
        <row r="91">
          <cell r="B91" t="str">
            <v>E-3M</v>
          </cell>
          <cell r="C91" t="str">
            <v>SOLD</v>
          </cell>
        </row>
        <row r="92">
          <cell r="B92" t="str">
            <v>E-3N</v>
          </cell>
          <cell r="C92" t="str">
            <v>SOLD</v>
          </cell>
        </row>
        <row r="93">
          <cell r="B93" t="str">
            <v>E-3O</v>
          </cell>
          <cell r="C93" t="str">
            <v>SOLD</v>
          </cell>
        </row>
        <row r="94">
          <cell r="B94" t="str">
            <v>W-4A</v>
          </cell>
          <cell r="C94" t="str">
            <v>SOLD</v>
          </cell>
        </row>
        <row r="95">
          <cell r="B95" t="str">
            <v>W-4B</v>
          </cell>
          <cell r="C95" t="str">
            <v>SOLD</v>
          </cell>
        </row>
        <row r="96">
          <cell r="B96" t="str">
            <v>W-4C</v>
          </cell>
          <cell r="C96" t="str">
            <v>SOLD</v>
          </cell>
        </row>
        <row r="97">
          <cell r="B97" t="str">
            <v>W-4D</v>
          </cell>
          <cell r="C97" t="str">
            <v>SOLD</v>
          </cell>
        </row>
        <row r="98">
          <cell r="B98" t="str">
            <v>W-4E</v>
          </cell>
          <cell r="C98" t="str">
            <v>SOLD</v>
          </cell>
        </row>
        <row r="99">
          <cell r="B99" t="str">
            <v>W-4F</v>
          </cell>
          <cell r="C99" t="str">
            <v>SOLD</v>
          </cell>
        </row>
        <row r="100">
          <cell r="B100" t="str">
            <v>W-4G</v>
          </cell>
          <cell r="C100" t="str">
            <v>SOLD</v>
          </cell>
        </row>
        <row r="101">
          <cell r="B101" t="str">
            <v>W-4H</v>
          </cell>
          <cell r="C101" t="str">
            <v>SOLD</v>
          </cell>
        </row>
        <row r="102">
          <cell r="B102" t="str">
            <v>W-4I</v>
          </cell>
          <cell r="C102" t="str">
            <v>SOLD</v>
          </cell>
        </row>
        <row r="103">
          <cell r="B103" t="str">
            <v>W-4J</v>
          </cell>
          <cell r="C103">
            <v>0</v>
          </cell>
        </row>
        <row r="104">
          <cell r="B104" t="str">
            <v>W-4K</v>
          </cell>
          <cell r="C104">
            <v>0</v>
          </cell>
        </row>
        <row r="105">
          <cell r="B105" t="str">
            <v>W-4L</v>
          </cell>
          <cell r="C105">
            <v>0</v>
          </cell>
        </row>
        <row r="106">
          <cell r="B106" t="str">
            <v>W-4M</v>
          </cell>
          <cell r="C106">
            <v>0</v>
          </cell>
        </row>
        <row r="107">
          <cell r="B107" t="str">
            <v>W-4N</v>
          </cell>
          <cell r="C107">
            <v>0</v>
          </cell>
        </row>
        <row r="108">
          <cell r="B108" t="str">
            <v>W-4O</v>
          </cell>
          <cell r="C108">
            <v>0</v>
          </cell>
        </row>
        <row r="109">
          <cell r="B109" t="str">
            <v>W-4P</v>
          </cell>
          <cell r="C109" t="str">
            <v>SOLD</v>
          </cell>
        </row>
        <row r="110">
          <cell r="B110" t="str">
            <v>E-4A</v>
          </cell>
          <cell r="C110" t="str">
            <v>SOLD</v>
          </cell>
        </row>
        <row r="111">
          <cell r="B111" t="str">
            <v>E-4B</v>
          </cell>
          <cell r="C111" t="str">
            <v>SOLD</v>
          </cell>
        </row>
        <row r="112">
          <cell r="B112" t="str">
            <v>E-4C</v>
          </cell>
          <cell r="C112" t="str">
            <v>SOLD</v>
          </cell>
        </row>
        <row r="113">
          <cell r="B113" t="str">
            <v>E-4D</v>
          </cell>
          <cell r="C113" t="str">
            <v>SOLD</v>
          </cell>
        </row>
        <row r="114">
          <cell r="B114" t="str">
            <v>E-4E</v>
          </cell>
          <cell r="C114" t="str">
            <v>SOLD</v>
          </cell>
        </row>
        <row r="115">
          <cell r="B115" t="str">
            <v>E-4F</v>
          </cell>
          <cell r="C115" t="str">
            <v>SOLD</v>
          </cell>
        </row>
        <row r="116">
          <cell r="B116" t="str">
            <v>E-4G</v>
          </cell>
          <cell r="C116" t="str">
            <v>SOLD</v>
          </cell>
        </row>
        <row r="117">
          <cell r="B117" t="str">
            <v>E-4H</v>
          </cell>
          <cell r="C117" t="str">
            <v>SOLD</v>
          </cell>
        </row>
        <row r="118">
          <cell r="B118" t="str">
            <v>E-4I</v>
          </cell>
          <cell r="C118" t="str">
            <v>SOLD</v>
          </cell>
        </row>
        <row r="119">
          <cell r="B119" t="str">
            <v>E-4J</v>
          </cell>
          <cell r="C119" t="str">
            <v>SOLD</v>
          </cell>
        </row>
        <row r="120">
          <cell r="B120" t="str">
            <v>E-4K</v>
          </cell>
          <cell r="C120" t="str">
            <v>UNSOLD</v>
          </cell>
        </row>
        <row r="121">
          <cell r="B121" t="str">
            <v>E-4L</v>
          </cell>
          <cell r="C121" t="str">
            <v>SOLD</v>
          </cell>
        </row>
        <row r="122">
          <cell r="B122" t="str">
            <v>E-4M</v>
          </cell>
          <cell r="C122" t="str">
            <v>SOLD</v>
          </cell>
        </row>
        <row r="123">
          <cell r="B123" t="str">
            <v>E-4N</v>
          </cell>
          <cell r="C123" t="str">
            <v>SOLD</v>
          </cell>
        </row>
        <row r="124">
          <cell r="B124" t="str">
            <v>E-4O</v>
          </cell>
          <cell r="C124">
            <v>0</v>
          </cell>
        </row>
        <row r="125">
          <cell r="B125" t="str">
            <v>W-5AB</v>
          </cell>
          <cell r="C125">
            <v>0</v>
          </cell>
        </row>
        <row r="126">
          <cell r="B126" t="str">
            <v>W-5C</v>
          </cell>
          <cell r="C126" t="str">
            <v>SOLD</v>
          </cell>
        </row>
        <row r="127">
          <cell r="B127" t="str">
            <v>W-5D</v>
          </cell>
          <cell r="C127" t="str">
            <v>SOLD</v>
          </cell>
        </row>
        <row r="128">
          <cell r="B128" t="str">
            <v>W-5E</v>
          </cell>
          <cell r="C128" t="str">
            <v>SOLD</v>
          </cell>
        </row>
        <row r="129">
          <cell r="B129" t="str">
            <v>W-5F</v>
          </cell>
          <cell r="C129" t="str">
            <v>SOLD</v>
          </cell>
        </row>
        <row r="130">
          <cell r="B130" t="str">
            <v>W-5G</v>
          </cell>
          <cell r="C130" t="str">
            <v>SOLD</v>
          </cell>
        </row>
        <row r="131">
          <cell r="B131" t="str">
            <v>W-5H</v>
          </cell>
          <cell r="C131" t="str">
            <v>SOLD</v>
          </cell>
        </row>
        <row r="132">
          <cell r="B132" t="str">
            <v>W-5I</v>
          </cell>
          <cell r="C132" t="str">
            <v>SOLD</v>
          </cell>
        </row>
        <row r="133">
          <cell r="B133" t="str">
            <v>W-5J</v>
          </cell>
          <cell r="C133" t="str">
            <v>SOLD</v>
          </cell>
        </row>
        <row r="134">
          <cell r="B134" t="str">
            <v>W-5K</v>
          </cell>
          <cell r="C134" t="str">
            <v>SOLD</v>
          </cell>
        </row>
        <row r="135">
          <cell r="B135" t="str">
            <v>W-5L</v>
          </cell>
          <cell r="C135" t="str">
            <v>SOLD</v>
          </cell>
        </row>
        <row r="136">
          <cell r="B136" t="str">
            <v>W-5M</v>
          </cell>
          <cell r="C136">
            <v>0</v>
          </cell>
        </row>
        <row r="137">
          <cell r="B137" t="str">
            <v>W-5N</v>
          </cell>
          <cell r="C137">
            <v>0</v>
          </cell>
        </row>
        <row r="138">
          <cell r="B138" t="str">
            <v>W-5O</v>
          </cell>
          <cell r="C138">
            <v>0</v>
          </cell>
        </row>
        <row r="139">
          <cell r="B139" t="str">
            <v>W-5P</v>
          </cell>
          <cell r="C139" t="str">
            <v>SOLD</v>
          </cell>
        </row>
        <row r="140">
          <cell r="B140" t="str">
            <v>E-5A</v>
          </cell>
          <cell r="C140" t="str">
            <v>UNSOLD</v>
          </cell>
        </row>
        <row r="141">
          <cell r="B141" t="str">
            <v>E-5B</v>
          </cell>
          <cell r="C141" t="str">
            <v>SOLD</v>
          </cell>
        </row>
        <row r="142">
          <cell r="B142" t="str">
            <v>E-5C</v>
          </cell>
          <cell r="C142" t="str">
            <v>SOLD</v>
          </cell>
        </row>
        <row r="143">
          <cell r="B143" t="str">
            <v>E-5D</v>
          </cell>
          <cell r="C143" t="str">
            <v>SOLD</v>
          </cell>
        </row>
        <row r="144">
          <cell r="B144" t="str">
            <v>E-5E</v>
          </cell>
          <cell r="C144" t="str">
            <v>SOLD</v>
          </cell>
        </row>
        <row r="145">
          <cell r="B145" t="str">
            <v>E-5F</v>
          </cell>
          <cell r="C145" t="str">
            <v>SOLD</v>
          </cell>
        </row>
        <row r="146">
          <cell r="B146" t="str">
            <v>E-5G</v>
          </cell>
          <cell r="C146" t="str">
            <v>SOLD</v>
          </cell>
        </row>
        <row r="147">
          <cell r="B147" t="str">
            <v>E-5HI</v>
          </cell>
          <cell r="C147">
            <v>0</v>
          </cell>
        </row>
        <row r="148">
          <cell r="B148" t="str">
            <v>E-5J</v>
          </cell>
          <cell r="C148" t="str">
            <v>SOLD</v>
          </cell>
        </row>
        <row r="149">
          <cell r="B149" t="str">
            <v>E-5K</v>
          </cell>
          <cell r="C149" t="str">
            <v>SOLD</v>
          </cell>
        </row>
        <row r="150">
          <cell r="B150" t="str">
            <v>E-5L</v>
          </cell>
          <cell r="C150">
            <v>0</v>
          </cell>
        </row>
        <row r="151">
          <cell r="B151" t="str">
            <v>E-5M</v>
          </cell>
          <cell r="C151" t="str">
            <v>SOLD</v>
          </cell>
        </row>
        <row r="152">
          <cell r="B152" t="str">
            <v>E-5N</v>
          </cell>
          <cell r="C152">
            <v>0</v>
          </cell>
        </row>
        <row r="153">
          <cell r="B153" t="str">
            <v>E-5O</v>
          </cell>
          <cell r="C153">
            <v>0</v>
          </cell>
        </row>
        <row r="154">
          <cell r="B154" t="str">
            <v>W-6AB</v>
          </cell>
          <cell r="C154">
            <v>0</v>
          </cell>
        </row>
        <row r="155">
          <cell r="B155" t="str">
            <v>W-6C</v>
          </cell>
          <cell r="C155" t="str">
            <v>SOLD</v>
          </cell>
        </row>
        <row r="156">
          <cell r="B156" t="str">
            <v>W-6D</v>
          </cell>
          <cell r="C156" t="str">
            <v>SOLD</v>
          </cell>
        </row>
        <row r="157">
          <cell r="B157" t="str">
            <v>W-6F</v>
          </cell>
          <cell r="C157" t="str">
            <v>SOLD</v>
          </cell>
        </row>
        <row r="158">
          <cell r="B158" t="str">
            <v>W-6E</v>
          </cell>
          <cell r="C158" t="str">
            <v>SOLD</v>
          </cell>
        </row>
        <row r="159">
          <cell r="B159" t="str">
            <v>W-6G</v>
          </cell>
          <cell r="C159" t="str">
            <v>SOLD</v>
          </cell>
        </row>
        <row r="160">
          <cell r="B160" t="str">
            <v>W-6H</v>
          </cell>
          <cell r="C160" t="str">
            <v>SOLD</v>
          </cell>
        </row>
        <row r="161">
          <cell r="B161" t="str">
            <v>W-6I</v>
          </cell>
          <cell r="C161" t="str">
            <v>SOLD</v>
          </cell>
        </row>
        <row r="162">
          <cell r="B162" t="str">
            <v>W-6J</v>
          </cell>
          <cell r="C162">
            <v>0</v>
          </cell>
        </row>
        <row r="163">
          <cell r="B163" t="str">
            <v>W-6K</v>
          </cell>
          <cell r="C163">
            <v>0</v>
          </cell>
        </row>
        <row r="164">
          <cell r="B164" t="str">
            <v>W-6L</v>
          </cell>
          <cell r="C164" t="str">
            <v>SOLD</v>
          </cell>
        </row>
        <row r="165">
          <cell r="B165" t="str">
            <v>W-6M</v>
          </cell>
          <cell r="C165">
            <v>0</v>
          </cell>
        </row>
        <row r="166">
          <cell r="B166" t="str">
            <v>W-6N</v>
          </cell>
          <cell r="C166">
            <v>0</v>
          </cell>
        </row>
        <row r="167">
          <cell r="B167" t="str">
            <v>W-6OP</v>
          </cell>
          <cell r="C167">
            <v>0</v>
          </cell>
        </row>
        <row r="168">
          <cell r="B168" t="str">
            <v>E-6A</v>
          </cell>
          <cell r="C168" t="str">
            <v>SOLD</v>
          </cell>
        </row>
        <row r="169">
          <cell r="B169" t="str">
            <v>E-6B</v>
          </cell>
          <cell r="C169" t="str">
            <v>SOLD</v>
          </cell>
        </row>
        <row r="170">
          <cell r="B170" t="str">
            <v>E-6C</v>
          </cell>
          <cell r="C170" t="str">
            <v>SOLD</v>
          </cell>
        </row>
        <row r="171">
          <cell r="B171" t="str">
            <v>E-6D</v>
          </cell>
          <cell r="C171" t="str">
            <v>SOLD</v>
          </cell>
        </row>
        <row r="172">
          <cell r="B172" t="str">
            <v>E-6E</v>
          </cell>
          <cell r="C172" t="str">
            <v>SOLD</v>
          </cell>
        </row>
        <row r="173">
          <cell r="B173" t="str">
            <v>E-6F</v>
          </cell>
          <cell r="C173" t="str">
            <v>SOLD</v>
          </cell>
        </row>
        <row r="174">
          <cell r="B174" t="str">
            <v>E-6G</v>
          </cell>
          <cell r="C174" t="str">
            <v>SOLD</v>
          </cell>
        </row>
        <row r="175">
          <cell r="B175" t="str">
            <v>E-6HI</v>
          </cell>
          <cell r="C175">
            <v>0</v>
          </cell>
        </row>
        <row r="176">
          <cell r="B176" t="str">
            <v>E-6JK</v>
          </cell>
          <cell r="C176">
            <v>0</v>
          </cell>
        </row>
        <row r="177">
          <cell r="B177" t="str">
            <v>E-6L</v>
          </cell>
          <cell r="C177">
            <v>0</v>
          </cell>
        </row>
        <row r="178">
          <cell r="B178" t="str">
            <v>E-6M</v>
          </cell>
          <cell r="C178">
            <v>0</v>
          </cell>
        </row>
        <row r="179">
          <cell r="B179" t="str">
            <v>E-6N</v>
          </cell>
          <cell r="C179">
            <v>0</v>
          </cell>
        </row>
        <row r="180">
          <cell r="B180" t="str">
            <v>E-6O</v>
          </cell>
          <cell r="C180">
            <v>0</v>
          </cell>
        </row>
        <row r="181">
          <cell r="B181" t="str">
            <v>W-7AB</v>
          </cell>
          <cell r="C181">
            <v>0</v>
          </cell>
        </row>
        <row r="182">
          <cell r="B182" t="str">
            <v>W-7C</v>
          </cell>
          <cell r="C182" t="str">
            <v>SOLD</v>
          </cell>
        </row>
        <row r="183">
          <cell r="B183" t="str">
            <v>W-7D</v>
          </cell>
          <cell r="C183" t="str">
            <v>SOLD</v>
          </cell>
        </row>
        <row r="184">
          <cell r="B184" t="str">
            <v>W-7E</v>
          </cell>
          <cell r="C184" t="str">
            <v>SOLD</v>
          </cell>
        </row>
        <row r="185">
          <cell r="B185" t="str">
            <v>W-7F</v>
          </cell>
          <cell r="C185">
            <v>0</v>
          </cell>
        </row>
        <row r="186">
          <cell r="B186" t="str">
            <v>W-7G</v>
          </cell>
          <cell r="C186">
            <v>0</v>
          </cell>
        </row>
        <row r="187">
          <cell r="B187" t="str">
            <v>W-7H</v>
          </cell>
          <cell r="C187">
            <v>0</v>
          </cell>
        </row>
        <row r="188">
          <cell r="B188" t="str">
            <v>W-7I</v>
          </cell>
          <cell r="C188">
            <v>0</v>
          </cell>
        </row>
        <row r="189">
          <cell r="B189" t="str">
            <v>W-7J</v>
          </cell>
          <cell r="C189" t="str">
            <v>SOLD</v>
          </cell>
        </row>
        <row r="190">
          <cell r="B190" t="str">
            <v>W-7K</v>
          </cell>
          <cell r="C190">
            <v>0</v>
          </cell>
        </row>
        <row r="191">
          <cell r="B191" t="str">
            <v>W-7L</v>
          </cell>
          <cell r="C191">
            <v>0</v>
          </cell>
        </row>
        <row r="192">
          <cell r="B192" t="str">
            <v>W-7M</v>
          </cell>
          <cell r="C192">
            <v>0</v>
          </cell>
        </row>
        <row r="193">
          <cell r="B193" t="str">
            <v>W-7N</v>
          </cell>
          <cell r="C193">
            <v>0</v>
          </cell>
        </row>
        <row r="194">
          <cell r="B194" t="str">
            <v>W-7OP</v>
          </cell>
          <cell r="C194">
            <v>0</v>
          </cell>
        </row>
        <row r="195">
          <cell r="B195" t="str">
            <v>E-7A</v>
          </cell>
          <cell r="C195">
            <v>0</v>
          </cell>
        </row>
        <row r="196">
          <cell r="B196" t="str">
            <v>E-7B</v>
          </cell>
          <cell r="C196">
            <v>0</v>
          </cell>
        </row>
        <row r="197">
          <cell r="B197" t="str">
            <v>E-7C</v>
          </cell>
          <cell r="C197" t="str">
            <v>SOLD</v>
          </cell>
        </row>
        <row r="198">
          <cell r="B198" t="str">
            <v>E-7D</v>
          </cell>
          <cell r="C198" t="str">
            <v>UNSOLD</v>
          </cell>
        </row>
        <row r="199">
          <cell r="B199" t="str">
            <v>E-7E</v>
          </cell>
          <cell r="C199" t="str">
            <v>SOLD</v>
          </cell>
        </row>
        <row r="200">
          <cell r="B200" t="str">
            <v>E-7F</v>
          </cell>
          <cell r="C200" t="str">
            <v>SOLD</v>
          </cell>
        </row>
        <row r="201">
          <cell r="B201" t="str">
            <v>E-7G</v>
          </cell>
          <cell r="C201" t="str">
            <v>SOLD</v>
          </cell>
        </row>
        <row r="202">
          <cell r="B202" t="str">
            <v>E-7HI</v>
          </cell>
          <cell r="C202">
            <v>0</v>
          </cell>
        </row>
        <row r="203">
          <cell r="B203" t="str">
            <v>E-7JK</v>
          </cell>
          <cell r="C203">
            <v>0</v>
          </cell>
        </row>
        <row r="204">
          <cell r="B204" t="str">
            <v>E-7L</v>
          </cell>
          <cell r="C204">
            <v>0</v>
          </cell>
        </row>
        <row r="205">
          <cell r="B205" t="str">
            <v>E-7M</v>
          </cell>
          <cell r="C205">
            <v>0</v>
          </cell>
        </row>
        <row r="206">
          <cell r="B206" t="str">
            <v>E-7N</v>
          </cell>
          <cell r="C206">
            <v>0</v>
          </cell>
        </row>
        <row r="207">
          <cell r="B207" t="str">
            <v>E-7O</v>
          </cell>
          <cell r="C207">
            <v>0</v>
          </cell>
        </row>
        <row r="208">
          <cell r="B208" t="str">
            <v>W-8AB</v>
          </cell>
          <cell r="C208">
            <v>0</v>
          </cell>
        </row>
        <row r="209">
          <cell r="B209" t="str">
            <v>W-8C</v>
          </cell>
          <cell r="C209" t="str">
            <v>UNSOLD</v>
          </cell>
        </row>
        <row r="210">
          <cell r="B210" t="str">
            <v>W-8D</v>
          </cell>
          <cell r="C210" t="str">
            <v>SOLD</v>
          </cell>
        </row>
        <row r="211">
          <cell r="B211" t="str">
            <v>W-8E</v>
          </cell>
          <cell r="C211" t="str">
            <v>SOLD</v>
          </cell>
        </row>
        <row r="212">
          <cell r="B212" t="str">
            <v>W-8F</v>
          </cell>
          <cell r="C212" t="str">
            <v>SOLD</v>
          </cell>
        </row>
        <row r="213">
          <cell r="B213" t="str">
            <v>W-8G</v>
          </cell>
          <cell r="C213" t="str">
            <v>SOLD</v>
          </cell>
        </row>
        <row r="214">
          <cell r="B214" t="str">
            <v>W-8H</v>
          </cell>
          <cell r="C214" t="str">
            <v>SOLD</v>
          </cell>
        </row>
        <row r="215">
          <cell r="B215" t="str">
            <v>W-8I</v>
          </cell>
          <cell r="C215" t="str">
            <v>SOLD</v>
          </cell>
        </row>
        <row r="216">
          <cell r="B216" t="str">
            <v>W-8J</v>
          </cell>
          <cell r="C216">
            <v>0</v>
          </cell>
        </row>
        <row r="217">
          <cell r="B217" t="str">
            <v>W-8K</v>
          </cell>
          <cell r="C217">
            <v>0</v>
          </cell>
        </row>
        <row r="218">
          <cell r="B218" t="str">
            <v>W-8L</v>
          </cell>
          <cell r="C218">
            <v>0</v>
          </cell>
        </row>
        <row r="219">
          <cell r="B219" t="str">
            <v>W-8M</v>
          </cell>
          <cell r="C219">
            <v>0</v>
          </cell>
        </row>
        <row r="220">
          <cell r="B220" t="str">
            <v>W-8N</v>
          </cell>
          <cell r="C220">
            <v>0</v>
          </cell>
        </row>
        <row r="221">
          <cell r="B221" t="str">
            <v>W-8OP</v>
          </cell>
          <cell r="C221">
            <v>0</v>
          </cell>
        </row>
        <row r="222">
          <cell r="B222" t="str">
            <v>E-8A</v>
          </cell>
          <cell r="C222">
            <v>0</v>
          </cell>
        </row>
        <row r="223">
          <cell r="B223" t="str">
            <v>E-8B</v>
          </cell>
          <cell r="C223">
            <v>0</v>
          </cell>
        </row>
        <row r="224">
          <cell r="B224" t="str">
            <v>E-8C</v>
          </cell>
          <cell r="C224" t="str">
            <v>SOLD</v>
          </cell>
        </row>
        <row r="225">
          <cell r="B225" t="str">
            <v>E-8D</v>
          </cell>
          <cell r="C225" t="str">
            <v>SOLD</v>
          </cell>
        </row>
        <row r="226">
          <cell r="B226" t="str">
            <v>E-8E</v>
          </cell>
          <cell r="C226" t="str">
            <v>SOLD</v>
          </cell>
        </row>
        <row r="227">
          <cell r="B227" t="str">
            <v>E-8F</v>
          </cell>
          <cell r="C227" t="str">
            <v>SOLD</v>
          </cell>
        </row>
        <row r="228">
          <cell r="B228" t="str">
            <v>E-8G</v>
          </cell>
          <cell r="C228" t="str">
            <v>SOLD</v>
          </cell>
        </row>
        <row r="229">
          <cell r="B229" t="str">
            <v>E-8HI</v>
          </cell>
          <cell r="C229">
            <v>0</v>
          </cell>
        </row>
        <row r="230">
          <cell r="B230" t="str">
            <v>E-8JK</v>
          </cell>
          <cell r="C230">
            <v>0</v>
          </cell>
        </row>
        <row r="231">
          <cell r="B231" t="str">
            <v>E-8L</v>
          </cell>
          <cell r="C231" t="str">
            <v>SOLD</v>
          </cell>
        </row>
        <row r="232">
          <cell r="B232" t="str">
            <v>E-8M</v>
          </cell>
          <cell r="C232">
            <v>0</v>
          </cell>
        </row>
        <row r="233">
          <cell r="B233" t="str">
            <v>E-8N</v>
          </cell>
          <cell r="C233">
            <v>0</v>
          </cell>
        </row>
        <row r="234">
          <cell r="B234" t="str">
            <v>E-8O</v>
          </cell>
          <cell r="C234" t="str">
            <v>SOLD</v>
          </cell>
        </row>
        <row r="235">
          <cell r="B235" t="str">
            <v>W-9AB</v>
          </cell>
          <cell r="C235">
            <v>0</v>
          </cell>
        </row>
        <row r="236">
          <cell r="B236" t="str">
            <v>W-9C</v>
          </cell>
          <cell r="C236" t="str">
            <v>SOLD</v>
          </cell>
        </row>
        <row r="237">
          <cell r="B237" t="str">
            <v>W-9D</v>
          </cell>
          <cell r="C237" t="str">
            <v>SOLD</v>
          </cell>
        </row>
        <row r="238">
          <cell r="B238" t="str">
            <v>W-9E</v>
          </cell>
          <cell r="C238" t="str">
            <v>SOLD</v>
          </cell>
        </row>
        <row r="239">
          <cell r="B239" t="str">
            <v>W-9F</v>
          </cell>
          <cell r="C239">
            <v>0</v>
          </cell>
        </row>
        <row r="240">
          <cell r="B240" t="str">
            <v>W-9G</v>
          </cell>
          <cell r="C240">
            <v>0</v>
          </cell>
        </row>
        <row r="241">
          <cell r="B241" t="str">
            <v>W-9H</v>
          </cell>
          <cell r="C241">
            <v>0</v>
          </cell>
        </row>
        <row r="242">
          <cell r="B242" t="str">
            <v>W-9I</v>
          </cell>
          <cell r="C242" t="str">
            <v>SOLD</v>
          </cell>
        </row>
        <row r="243">
          <cell r="B243" t="str">
            <v>W-9J</v>
          </cell>
          <cell r="C243">
            <v>0</v>
          </cell>
        </row>
        <row r="244">
          <cell r="B244" t="str">
            <v>W-9K</v>
          </cell>
          <cell r="C244">
            <v>0</v>
          </cell>
        </row>
        <row r="245">
          <cell r="B245" t="str">
            <v>W-9L</v>
          </cell>
          <cell r="C245">
            <v>0</v>
          </cell>
        </row>
        <row r="246">
          <cell r="B246" t="str">
            <v>W-9M</v>
          </cell>
          <cell r="C246">
            <v>0</v>
          </cell>
        </row>
        <row r="247">
          <cell r="B247" t="str">
            <v>W-9N</v>
          </cell>
          <cell r="C247" t="str">
            <v>SOLD</v>
          </cell>
        </row>
        <row r="248">
          <cell r="B248" t="str">
            <v>W-9OP</v>
          </cell>
          <cell r="C248">
            <v>0</v>
          </cell>
        </row>
        <row r="249">
          <cell r="B249" t="str">
            <v>E-9A</v>
          </cell>
          <cell r="C249" t="str">
            <v>SOLD</v>
          </cell>
        </row>
        <row r="250">
          <cell r="B250" t="str">
            <v>E-9B</v>
          </cell>
          <cell r="C250" t="str">
            <v>SOLD</v>
          </cell>
        </row>
        <row r="251">
          <cell r="B251" t="str">
            <v>E-9C</v>
          </cell>
          <cell r="C251" t="str">
            <v>SOLD</v>
          </cell>
        </row>
        <row r="252">
          <cell r="B252" t="str">
            <v>E-9D</v>
          </cell>
          <cell r="C252" t="str">
            <v>SOLD</v>
          </cell>
        </row>
        <row r="253">
          <cell r="B253" t="str">
            <v>E-9E</v>
          </cell>
          <cell r="C253" t="str">
            <v>SOLD</v>
          </cell>
        </row>
        <row r="254">
          <cell r="B254" t="str">
            <v>E-9F</v>
          </cell>
          <cell r="C254">
            <v>0</v>
          </cell>
        </row>
        <row r="255">
          <cell r="B255" t="str">
            <v>E-9G</v>
          </cell>
          <cell r="C255" t="str">
            <v>SOLD</v>
          </cell>
        </row>
        <row r="256">
          <cell r="B256" t="str">
            <v>E-9HI</v>
          </cell>
          <cell r="C256">
            <v>0</v>
          </cell>
        </row>
        <row r="257">
          <cell r="B257" t="str">
            <v>E-9JK</v>
          </cell>
          <cell r="C257">
            <v>0</v>
          </cell>
        </row>
        <row r="258">
          <cell r="B258" t="str">
            <v>E-9L</v>
          </cell>
          <cell r="C258">
            <v>0</v>
          </cell>
        </row>
        <row r="259">
          <cell r="B259" t="str">
            <v>E-9M</v>
          </cell>
          <cell r="C259">
            <v>0</v>
          </cell>
        </row>
        <row r="260">
          <cell r="B260" t="str">
            <v>E-9N</v>
          </cell>
          <cell r="C260">
            <v>0</v>
          </cell>
        </row>
        <row r="261">
          <cell r="B261" t="str">
            <v>E-9O</v>
          </cell>
          <cell r="C261">
            <v>0</v>
          </cell>
        </row>
        <row r="262">
          <cell r="B262" t="str">
            <v>W-10AB</v>
          </cell>
          <cell r="C262">
            <v>0</v>
          </cell>
        </row>
        <row r="263">
          <cell r="B263" t="str">
            <v>W-10C</v>
          </cell>
          <cell r="C263" t="str">
            <v>SOLD</v>
          </cell>
        </row>
        <row r="264">
          <cell r="B264" t="str">
            <v>W-10D</v>
          </cell>
          <cell r="C264" t="str">
            <v>SOLD</v>
          </cell>
        </row>
        <row r="265">
          <cell r="B265" t="str">
            <v>W-10E</v>
          </cell>
          <cell r="C265" t="str">
            <v>SOLD</v>
          </cell>
        </row>
        <row r="266">
          <cell r="B266" t="str">
            <v>W-10F</v>
          </cell>
          <cell r="C266" t="str">
            <v>SOLD</v>
          </cell>
        </row>
        <row r="267">
          <cell r="B267" t="str">
            <v>W-10G</v>
          </cell>
          <cell r="C267" t="str">
            <v>SOLD</v>
          </cell>
        </row>
        <row r="268">
          <cell r="B268" t="str">
            <v>W-10H</v>
          </cell>
          <cell r="C268" t="str">
            <v>SOLD</v>
          </cell>
        </row>
        <row r="269">
          <cell r="B269" t="str">
            <v>W-10I</v>
          </cell>
          <cell r="C269" t="str">
            <v>SOLD</v>
          </cell>
        </row>
        <row r="270">
          <cell r="B270" t="str">
            <v>W-10J</v>
          </cell>
          <cell r="C270">
            <v>0</v>
          </cell>
        </row>
        <row r="271">
          <cell r="B271" t="str">
            <v>W-10K</v>
          </cell>
          <cell r="C271">
            <v>0</v>
          </cell>
        </row>
        <row r="272">
          <cell r="B272" t="str">
            <v>W-10L</v>
          </cell>
          <cell r="C272">
            <v>0</v>
          </cell>
        </row>
        <row r="273">
          <cell r="B273" t="str">
            <v>W-10M</v>
          </cell>
          <cell r="C273">
            <v>0</v>
          </cell>
        </row>
        <row r="274">
          <cell r="B274" t="str">
            <v>W-10N</v>
          </cell>
          <cell r="C274" t="str">
            <v>SOLD</v>
          </cell>
        </row>
        <row r="275">
          <cell r="B275" t="str">
            <v>W-10OP</v>
          </cell>
          <cell r="C275">
            <v>0</v>
          </cell>
        </row>
        <row r="276">
          <cell r="B276" t="str">
            <v>E-10A</v>
          </cell>
          <cell r="C276" t="str">
            <v>SOLD</v>
          </cell>
        </row>
        <row r="277">
          <cell r="B277" t="str">
            <v>E-10B</v>
          </cell>
          <cell r="C277" t="str">
            <v>SOLD</v>
          </cell>
        </row>
        <row r="278">
          <cell r="B278" t="str">
            <v>E-10C</v>
          </cell>
          <cell r="C278" t="str">
            <v>SOLD</v>
          </cell>
        </row>
        <row r="279">
          <cell r="B279" t="str">
            <v>E-10D</v>
          </cell>
          <cell r="C279" t="str">
            <v>SOLD</v>
          </cell>
        </row>
        <row r="280">
          <cell r="B280" t="str">
            <v>E-10E</v>
          </cell>
          <cell r="C280" t="str">
            <v>SOLD</v>
          </cell>
        </row>
        <row r="281">
          <cell r="B281" t="str">
            <v>E-10F</v>
          </cell>
          <cell r="C281" t="str">
            <v>SOLD</v>
          </cell>
        </row>
        <row r="282">
          <cell r="B282" t="str">
            <v>E-10G</v>
          </cell>
          <cell r="C282" t="str">
            <v>SOLD</v>
          </cell>
        </row>
        <row r="283">
          <cell r="B283" t="str">
            <v>E-10HI</v>
          </cell>
          <cell r="C283">
            <v>0</v>
          </cell>
        </row>
        <row r="284">
          <cell r="B284" t="str">
            <v>E-10JK</v>
          </cell>
          <cell r="C284">
            <v>0</v>
          </cell>
        </row>
        <row r="285">
          <cell r="B285" t="str">
            <v>E-10L</v>
          </cell>
          <cell r="C285" t="str">
            <v>SOLD</v>
          </cell>
        </row>
        <row r="286">
          <cell r="B286" t="str">
            <v>E-10M</v>
          </cell>
          <cell r="C286" t="str">
            <v>UNSOLD</v>
          </cell>
        </row>
        <row r="287">
          <cell r="B287" t="str">
            <v>E-10N</v>
          </cell>
          <cell r="C287">
            <v>0</v>
          </cell>
        </row>
        <row r="288">
          <cell r="B288" t="str">
            <v>E-10O</v>
          </cell>
          <cell r="C288">
            <v>0</v>
          </cell>
        </row>
      </sheetData>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pdated Turn over date"/>
      <sheetName val="INTERNAL PRICELIST"/>
      <sheetName val="T1_Pricelist Link"/>
      <sheetName val="FORM"/>
      <sheetName val="STEP UP"/>
      <sheetName val="RA_STEPUP"/>
      <sheetName val="STANDARD COMP."/>
      <sheetName val="RA_Standard"/>
      <sheetName val="SPOT EQUITY_7DAYS"/>
      <sheetName val="RA_SE7D"/>
      <sheetName val="SPOT EQUITY_30DAYS"/>
      <sheetName val="RA_SE30D"/>
      <sheetName val="SPOT CASH_30 DAYS"/>
      <sheetName val="RA_SC30D"/>
      <sheetName val="SPOT CASH_60 DAYS"/>
      <sheetName val="RA_SC60D"/>
      <sheetName val="DEFERRED"/>
      <sheetName val="RA_DEFERRED"/>
      <sheetName val="SPECIAL PACKAGE"/>
      <sheetName val="RA_SPECIAL"/>
      <sheetName val="Docs Req"/>
    </sheetNames>
    <sheetDataSet>
      <sheetData sheetId="0"/>
      <sheetData sheetId="1"/>
      <sheetData sheetId="2"/>
      <sheetData sheetId="3">
        <row r="11">
          <cell r="I11" t="str">
            <v>HARBOUR PARK RESIDENCES</v>
          </cell>
        </row>
        <row r="14">
          <cell r="I14" t="str">
            <v>TOWER 1</v>
          </cell>
        </row>
      </sheetData>
      <sheetData sheetId="4"/>
      <sheetData sheetId="5"/>
      <sheetData sheetId="6"/>
      <sheetData sheetId="7">
        <row r="95">
          <cell r="A95" t="str">
            <v>Brokerage/Realty</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5.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4.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0.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6.v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7.v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8" Type="http://schemas.openxmlformats.org/officeDocument/2006/relationships/ctrlProp" Target="../ctrlProps/ctrlProp24.xml"/><Relationship Id="rId13" Type="http://schemas.openxmlformats.org/officeDocument/2006/relationships/ctrlProp" Target="../ctrlProps/ctrlProp29.xml"/><Relationship Id="rId18" Type="http://schemas.openxmlformats.org/officeDocument/2006/relationships/ctrlProp" Target="../ctrlProps/ctrlProp34.xml"/><Relationship Id="rId3" Type="http://schemas.openxmlformats.org/officeDocument/2006/relationships/vmlDrawing" Target="../drawings/vmlDrawing8.vml"/><Relationship Id="rId21" Type="http://schemas.openxmlformats.org/officeDocument/2006/relationships/ctrlProp" Target="../ctrlProps/ctrlProp37.xml"/><Relationship Id="rId7" Type="http://schemas.openxmlformats.org/officeDocument/2006/relationships/ctrlProp" Target="../ctrlProps/ctrlProp23.xml"/><Relationship Id="rId12" Type="http://schemas.openxmlformats.org/officeDocument/2006/relationships/ctrlProp" Target="../ctrlProps/ctrlProp28.xml"/><Relationship Id="rId17" Type="http://schemas.openxmlformats.org/officeDocument/2006/relationships/ctrlProp" Target="../ctrlProps/ctrlProp33.xml"/><Relationship Id="rId2" Type="http://schemas.openxmlformats.org/officeDocument/2006/relationships/drawing" Target="../drawings/drawing5.xml"/><Relationship Id="rId16" Type="http://schemas.openxmlformats.org/officeDocument/2006/relationships/ctrlProp" Target="../ctrlProps/ctrlProp32.xml"/><Relationship Id="rId20" Type="http://schemas.openxmlformats.org/officeDocument/2006/relationships/ctrlProp" Target="../ctrlProps/ctrlProp36.xml"/><Relationship Id="rId1" Type="http://schemas.openxmlformats.org/officeDocument/2006/relationships/printerSettings" Target="../printerSettings/printerSettings13.bin"/><Relationship Id="rId6" Type="http://schemas.openxmlformats.org/officeDocument/2006/relationships/ctrlProp" Target="../ctrlProps/ctrlProp22.xml"/><Relationship Id="rId11" Type="http://schemas.openxmlformats.org/officeDocument/2006/relationships/ctrlProp" Target="../ctrlProps/ctrlProp27.xml"/><Relationship Id="rId5" Type="http://schemas.openxmlformats.org/officeDocument/2006/relationships/ctrlProp" Target="../ctrlProps/ctrlProp21.xml"/><Relationship Id="rId15" Type="http://schemas.openxmlformats.org/officeDocument/2006/relationships/ctrlProp" Target="../ctrlProps/ctrlProp31.xml"/><Relationship Id="rId10" Type="http://schemas.openxmlformats.org/officeDocument/2006/relationships/ctrlProp" Target="../ctrlProps/ctrlProp26.xml"/><Relationship Id="rId19" Type="http://schemas.openxmlformats.org/officeDocument/2006/relationships/ctrlProp" Target="../ctrlProps/ctrlProp35.xml"/><Relationship Id="rId4" Type="http://schemas.openxmlformats.org/officeDocument/2006/relationships/ctrlProp" Target="../ctrlProps/ctrlProp20.xml"/><Relationship Id="rId9" Type="http://schemas.openxmlformats.org/officeDocument/2006/relationships/ctrlProp" Target="../ctrlProps/ctrlProp25.xml"/><Relationship Id="rId14" Type="http://schemas.openxmlformats.org/officeDocument/2006/relationships/ctrlProp" Target="../ctrlProps/ctrlProp30.xml"/><Relationship Id="rId22" Type="http://schemas.openxmlformats.org/officeDocument/2006/relationships/ctrlProp" Target="../ctrlProps/ctrlProp38.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8" Type="http://schemas.openxmlformats.org/officeDocument/2006/relationships/ctrlProp" Target="../ctrlProps/ctrlProp43.xml"/><Relationship Id="rId13" Type="http://schemas.openxmlformats.org/officeDocument/2006/relationships/ctrlProp" Target="../ctrlProps/ctrlProp48.xml"/><Relationship Id="rId18" Type="http://schemas.openxmlformats.org/officeDocument/2006/relationships/ctrlProp" Target="../ctrlProps/ctrlProp53.xml"/><Relationship Id="rId3" Type="http://schemas.openxmlformats.org/officeDocument/2006/relationships/vmlDrawing" Target="../drawings/vmlDrawing9.vml"/><Relationship Id="rId21" Type="http://schemas.openxmlformats.org/officeDocument/2006/relationships/ctrlProp" Target="../ctrlProps/ctrlProp56.xml"/><Relationship Id="rId7" Type="http://schemas.openxmlformats.org/officeDocument/2006/relationships/ctrlProp" Target="../ctrlProps/ctrlProp42.xml"/><Relationship Id="rId12" Type="http://schemas.openxmlformats.org/officeDocument/2006/relationships/ctrlProp" Target="../ctrlProps/ctrlProp47.xml"/><Relationship Id="rId17" Type="http://schemas.openxmlformats.org/officeDocument/2006/relationships/ctrlProp" Target="../ctrlProps/ctrlProp52.xml"/><Relationship Id="rId2" Type="http://schemas.openxmlformats.org/officeDocument/2006/relationships/drawing" Target="../drawings/drawing6.xml"/><Relationship Id="rId16" Type="http://schemas.openxmlformats.org/officeDocument/2006/relationships/ctrlProp" Target="../ctrlProps/ctrlProp51.xml"/><Relationship Id="rId20" Type="http://schemas.openxmlformats.org/officeDocument/2006/relationships/ctrlProp" Target="../ctrlProps/ctrlProp55.xml"/><Relationship Id="rId1" Type="http://schemas.openxmlformats.org/officeDocument/2006/relationships/printerSettings" Target="../printerSettings/printerSettings15.bin"/><Relationship Id="rId6" Type="http://schemas.openxmlformats.org/officeDocument/2006/relationships/ctrlProp" Target="../ctrlProps/ctrlProp41.xml"/><Relationship Id="rId11" Type="http://schemas.openxmlformats.org/officeDocument/2006/relationships/ctrlProp" Target="../ctrlProps/ctrlProp46.xml"/><Relationship Id="rId5" Type="http://schemas.openxmlformats.org/officeDocument/2006/relationships/ctrlProp" Target="../ctrlProps/ctrlProp40.xml"/><Relationship Id="rId15" Type="http://schemas.openxmlformats.org/officeDocument/2006/relationships/ctrlProp" Target="../ctrlProps/ctrlProp50.xml"/><Relationship Id="rId10" Type="http://schemas.openxmlformats.org/officeDocument/2006/relationships/ctrlProp" Target="../ctrlProps/ctrlProp45.xml"/><Relationship Id="rId19" Type="http://schemas.openxmlformats.org/officeDocument/2006/relationships/ctrlProp" Target="../ctrlProps/ctrlProp54.xml"/><Relationship Id="rId4" Type="http://schemas.openxmlformats.org/officeDocument/2006/relationships/ctrlProp" Target="../ctrlProps/ctrlProp39.xml"/><Relationship Id="rId9" Type="http://schemas.openxmlformats.org/officeDocument/2006/relationships/ctrlProp" Target="../ctrlProps/ctrlProp44.xml"/><Relationship Id="rId14" Type="http://schemas.openxmlformats.org/officeDocument/2006/relationships/ctrlProp" Target="../ctrlProps/ctrlProp49.xml"/><Relationship Id="rId22" Type="http://schemas.openxmlformats.org/officeDocument/2006/relationships/ctrlProp" Target="../ctrlProps/ctrlProp57.xml"/></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8" Type="http://schemas.openxmlformats.org/officeDocument/2006/relationships/ctrlProp" Target="../ctrlProps/ctrlProp62.xml"/><Relationship Id="rId13" Type="http://schemas.openxmlformats.org/officeDocument/2006/relationships/ctrlProp" Target="../ctrlProps/ctrlProp67.xml"/><Relationship Id="rId18" Type="http://schemas.openxmlformats.org/officeDocument/2006/relationships/ctrlProp" Target="../ctrlProps/ctrlProp72.xml"/><Relationship Id="rId3" Type="http://schemas.openxmlformats.org/officeDocument/2006/relationships/vmlDrawing" Target="../drawings/vmlDrawing10.vml"/><Relationship Id="rId21" Type="http://schemas.openxmlformats.org/officeDocument/2006/relationships/ctrlProp" Target="../ctrlProps/ctrlProp75.xml"/><Relationship Id="rId7" Type="http://schemas.openxmlformats.org/officeDocument/2006/relationships/ctrlProp" Target="../ctrlProps/ctrlProp61.xml"/><Relationship Id="rId12" Type="http://schemas.openxmlformats.org/officeDocument/2006/relationships/ctrlProp" Target="../ctrlProps/ctrlProp66.xml"/><Relationship Id="rId17" Type="http://schemas.openxmlformats.org/officeDocument/2006/relationships/ctrlProp" Target="../ctrlProps/ctrlProp71.xml"/><Relationship Id="rId2" Type="http://schemas.openxmlformats.org/officeDocument/2006/relationships/drawing" Target="../drawings/drawing7.xml"/><Relationship Id="rId16" Type="http://schemas.openxmlformats.org/officeDocument/2006/relationships/ctrlProp" Target="../ctrlProps/ctrlProp70.xml"/><Relationship Id="rId20" Type="http://schemas.openxmlformats.org/officeDocument/2006/relationships/ctrlProp" Target="../ctrlProps/ctrlProp74.xml"/><Relationship Id="rId1" Type="http://schemas.openxmlformats.org/officeDocument/2006/relationships/printerSettings" Target="../printerSettings/printerSettings17.bin"/><Relationship Id="rId6" Type="http://schemas.openxmlformats.org/officeDocument/2006/relationships/ctrlProp" Target="../ctrlProps/ctrlProp60.xml"/><Relationship Id="rId11" Type="http://schemas.openxmlformats.org/officeDocument/2006/relationships/ctrlProp" Target="../ctrlProps/ctrlProp65.xml"/><Relationship Id="rId5" Type="http://schemas.openxmlformats.org/officeDocument/2006/relationships/ctrlProp" Target="../ctrlProps/ctrlProp59.xml"/><Relationship Id="rId15" Type="http://schemas.openxmlformats.org/officeDocument/2006/relationships/ctrlProp" Target="../ctrlProps/ctrlProp69.xml"/><Relationship Id="rId10" Type="http://schemas.openxmlformats.org/officeDocument/2006/relationships/ctrlProp" Target="../ctrlProps/ctrlProp64.xml"/><Relationship Id="rId19" Type="http://schemas.openxmlformats.org/officeDocument/2006/relationships/ctrlProp" Target="../ctrlProps/ctrlProp73.xml"/><Relationship Id="rId4" Type="http://schemas.openxmlformats.org/officeDocument/2006/relationships/ctrlProp" Target="../ctrlProps/ctrlProp58.xml"/><Relationship Id="rId9" Type="http://schemas.openxmlformats.org/officeDocument/2006/relationships/ctrlProp" Target="../ctrlProps/ctrlProp63.xml"/><Relationship Id="rId14" Type="http://schemas.openxmlformats.org/officeDocument/2006/relationships/ctrlProp" Target="../ctrlProps/ctrlProp68.xml"/><Relationship Id="rId22" Type="http://schemas.openxmlformats.org/officeDocument/2006/relationships/ctrlProp" Target="../ctrlProps/ctrlProp76.xml"/></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8" Type="http://schemas.openxmlformats.org/officeDocument/2006/relationships/ctrlProp" Target="../ctrlProps/ctrlProp81.xml"/><Relationship Id="rId13" Type="http://schemas.openxmlformats.org/officeDocument/2006/relationships/ctrlProp" Target="../ctrlProps/ctrlProp86.xml"/><Relationship Id="rId18" Type="http://schemas.openxmlformats.org/officeDocument/2006/relationships/ctrlProp" Target="../ctrlProps/ctrlProp91.xml"/><Relationship Id="rId3" Type="http://schemas.openxmlformats.org/officeDocument/2006/relationships/vmlDrawing" Target="../drawings/vmlDrawing11.vml"/><Relationship Id="rId21" Type="http://schemas.openxmlformats.org/officeDocument/2006/relationships/ctrlProp" Target="../ctrlProps/ctrlProp94.xml"/><Relationship Id="rId7" Type="http://schemas.openxmlformats.org/officeDocument/2006/relationships/ctrlProp" Target="../ctrlProps/ctrlProp80.xml"/><Relationship Id="rId12" Type="http://schemas.openxmlformats.org/officeDocument/2006/relationships/ctrlProp" Target="../ctrlProps/ctrlProp85.xml"/><Relationship Id="rId17" Type="http://schemas.openxmlformats.org/officeDocument/2006/relationships/ctrlProp" Target="../ctrlProps/ctrlProp90.xml"/><Relationship Id="rId2" Type="http://schemas.openxmlformats.org/officeDocument/2006/relationships/drawing" Target="../drawings/drawing8.xml"/><Relationship Id="rId16" Type="http://schemas.openxmlformats.org/officeDocument/2006/relationships/ctrlProp" Target="../ctrlProps/ctrlProp89.xml"/><Relationship Id="rId20" Type="http://schemas.openxmlformats.org/officeDocument/2006/relationships/ctrlProp" Target="../ctrlProps/ctrlProp93.xml"/><Relationship Id="rId1" Type="http://schemas.openxmlformats.org/officeDocument/2006/relationships/printerSettings" Target="../printerSettings/printerSettings19.bin"/><Relationship Id="rId6" Type="http://schemas.openxmlformats.org/officeDocument/2006/relationships/ctrlProp" Target="../ctrlProps/ctrlProp79.xml"/><Relationship Id="rId11" Type="http://schemas.openxmlformats.org/officeDocument/2006/relationships/ctrlProp" Target="../ctrlProps/ctrlProp84.xml"/><Relationship Id="rId5" Type="http://schemas.openxmlformats.org/officeDocument/2006/relationships/ctrlProp" Target="../ctrlProps/ctrlProp78.xml"/><Relationship Id="rId15" Type="http://schemas.openxmlformats.org/officeDocument/2006/relationships/ctrlProp" Target="../ctrlProps/ctrlProp88.xml"/><Relationship Id="rId10" Type="http://schemas.openxmlformats.org/officeDocument/2006/relationships/ctrlProp" Target="../ctrlProps/ctrlProp83.xml"/><Relationship Id="rId19" Type="http://schemas.openxmlformats.org/officeDocument/2006/relationships/ctrlProp" Target="../ctrlProps/ctrlProp92.xml"/><Relationship Id="rId4" Type="http://schemas.openxmlformats.org/officeDocument/2006/relationships/ctrlProp" Target="../ctrlProps/ctrlProp77.xml"/><Relationship Id="rId9" Type="http://schemas.openxmlformats.org/officeDocument/2006/relationships/ctrlProp" Target="../ctrlProps/ctrlProp82.xml"/><Relationship Id="rId14" Type="http://schemas.openxmlformats.org/officeDocument/2006/relationships/ctrlProp" Target="../ctrlProps/ctrlProp87.xml"/><Relationship Id="rId22" Type="http://schemas.openxmlformats.org/officeDocument/2006/relationships/ctrlProp" Target="../ctrlProps/ctrlProp95.xml"/></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8" Type="http://schemas.openxmlformats.org/officeDocument/2006/relationships/ctrlProp" Target="../ctrlProps/ctrlProp100.xml"/><Relationship Id="rId13" Type="http://schemas.openxmlformats.org/officeDocument/2006/relationships/ctrlProp" Target="../ctrlProps/ctrlProp105.xml"/><Relationship Id="rId18" Type="http://schemas.openxmlformats.org/officeDocument/2006/relationships/ctrlProp" Target="../ctrlProps/ctrlProp110.xml"/><Relationship Id="rId3" Type="http://schemas.openxmlformats.org/officeDocument/2006/relationships/vmlDrawing" Target="../drawings/vmlDrawing12.vml"/><Relationship Id="rId21" Type="http://schemas.openxmlformats.org/officeDocument/2006/relationships/ctrlProp" Target="../ctrlProps/ctrlProp113.xml"/><Relationship Id="rId7" Type="http://schemas.openxmlformats.org/officeDocument/2006/relationships/ctrlProp" Target="../ctrlProps/ctrlProp99.xml"/><Relationship Id="rId12" Type="http://schemas.openxmlformats.org/officeDocument/2006/relationships/ctrlProp" Target="../ctrlProps/ctrlProp104.xml"/><Relationship Id="rId17" Type="http://schemas.openxmlformats.org/officeDocument/2006/relationships/ctrlProp" Target="../ctrlProps/ctrlProp109.xml"/><Relationship Id="rId2" Type="http://schemas.openxmlformats.org/officeDocument/2006/relationships/drawing" Target="../drawings/drawing9.xml"/><Relationship Id="rId16" Type="http://schemas.openxmlformats.org/officeDocument/2006/relationships/ctrlProp" Target="../ctrlProps/ctrlProp108.xml"/><Relationship Id="rId20" Type="http://schemas.openxmlformats.org/officeDocument/2006/relationships/ctrlProp" Target="../ctrlProps/ctrlProp112.xml"/><Relationship Id="rId1" Type="http://schemas.openxmlformats.org/officeDocument/2006/relationships/printerSettings" Target="../printerSettings/printerSettings22.bin"/><Relationship Id="rId6" Type="http://schemas.openxmlformats.org/officeDocument/2006/relationships/ctrlProp" Target="../ctrlProps/ctrlProp98.xml"/><Relationship Id="rId11" Type="http://schemas.openxmlformats.org/officeDocument/2006/relationships/ctrlProp" Target="../ctrlProps/ctrlProp103.xml"/><Relationship Id="rId5" Type="http://schemas.openxmlformats.org/officeDocument/2006/relationships/ctrlProp" Target="../ctrlProps/ctrlProp97.xml"/><Relationship Id="rId15" Type="http://schemas.openxmlformats.org/officeDocument/2006/relationships/ctrlProp" Target="../ctrlProps/ctrlProp107.xml"/><Relationship Id="rId10" Type="http://schemas.openxmlformats.org/officeDocument/2006/relationships/ctrlProp" Target="../ctrlProps/ctrlProp102.xml"/><Relationship Id="rId19" Type="http://schemas.openxmlformats.org/officeDocument/2006/relationships/ctrlProp" Target="../ctrlProps/ctrlProp111.xml"/><Relationship Id="rId4" Type="http://schemas.openxmlformats.org/officeDocument/2006/relationships/ctrlProp" Target="../ctrlProps/ctrlProp96.xml"/><Relationship Id="rId9" Type="http://schemas.openxmlformats.org/officeDocument/2006/relationships/ctrlProp" Target="../ctrlProps/ctrlProp101.xml"/><Relationship Id="rId14" Type="http://schemas.openxmlformats.org/officeDocument/2006/relationships/ctrlProp" Target="../ctrlProps/ctrlProp106.xml"/><Relationship Id="rId22" Type="http://schemas.openxmlformats.org/officeDocument/2006/relationships/ctrlProp" Target="../ctrlProps/ctrlProp114.xm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8" Type="http://schemas.openxmlformats.org/officeDocument/2006/relationships/ctrlProp" Target="../ctrlProps/ctrlProp119.xml"/><Relationship Id="rId13" Type="http://schemas.openxmlformats.org/officeDocument/2006/relationships/ctrlProp" Target="../ctrlProps/ctrlProp124.xml"/><Relationship Id="rId18" Type="http://schemas.openxmlformats.org/officeDocument/2006/relationships/ctrlProp" Target="../ctrlProps/ctrlProp129.xml"/><Relationship Id="rId3" Type="http://schemas.openxmlformats.org/officeDocument/2006/relationships/vmlDrawing" Target="../drawings/vmlDrawing13.vml"/><Relationship Id="rId21" Type="http://schemas.openxmlformats.org/officeDocument/2006/relationships/ctrlProp" Target="../ctrlProps/ctrlProp132.xml"/><Relationship Id="rId7" Type="http://schemas.openxmlformats.org/officeDocument/2006/relationships/ctrlProp" Target="../ctrlProps/ctrlProp118.xml"/><Relationship Id="rId12" Type="http://schemas.openxmlformats.org/officeDocument/2006/relationships/ctrlProp" Target="../ctrlProps/ctrlProp123.xml"/><Relationship Id="rId17" Type="http://schemas.openxmlformats.org/officeDocument/2006/relationships/ctrlProp" Target="../ctrlProps/ctrlProp128.xml"/><Relationship Id="rId2" Type="http://schemas.openxmlformats.org/officeDocument/2006/relationships/drawing" Target="../drawings/drawing10.xml"/><Relationship Id="rId16" Type="http://schemas.openxmlformats.org/officeDocument/2006/relationships/ctrlProp" Target="../ctrlProps/ctrlProp127.xml"/><Relationship Id="rId20" Type="http://schemas.openxmlformats.org/officeDocument/2006/relationships/ctrlProp" Target="../ctrlProps/ctrlProp131.xml"/><Relationship Id="rId1" Type="http://schemas.openxmlformats.org/officeDocument/2006/relationships/printerSettings" Target="../printerSettings/printerSettings24.bin"/><Relationship Id="rId6" Type="http://schemas.openxmlformats.org/officeDocument/2006/relationships/ctrlProp" Target="../ctrlProps/ctrlProp117.xml"/><Relationship Id="rId11" Type="http://schemas.openxmlformats.org/officeDocument/2006/relationships/ctrlProp" Target="../ctrlProps/ctrlProp122.xml"/><Relationship Id="rId5" Type="http://schemas.openxmlformats.org/officeDocument/2006/relationships/ctrlProp" Target="../ctrlProps/ctrlProp116.xml"/><Relationship Id="rId15" Type="http://schemas.openxmlformats.org/officeDocument/2006/relationships/ctrlProp" Target="../ctrlProps/ctrlProp126.xml"/><Relationship Id="rId10" Type="http://schemas.openxmlformats.org/officeDocument/2006/relationships/ctrlProp" Target="../ctrlProps/ctrlProp121.xml"/><Relationship Id="rId19" Type="http://schemas.openxmlformats.org/officeDocument/2006/relationships/ctrlProp" Target="../ctrlProps/ctrlProp130.xml"/><Relationship Id="rId4" Type="http://schemas.openxmlformats.org/officeDocument/2006/relationships/ctrlProp" Target="../ctrlProps/ctrlProp115.xml"/><Relationship Id="rId9" Type="http://schemas.openxmlformats.org/officeDocument/2006/relationships/ctrlProp" Target="../ctrlProps/ctrlProp120.xml"/><Relationship Id="rId14" Type="http://schemas.openxmlformats.org/officeDocument/2006/relationships/ctrlProp" Target="../ctrlProps/ctrlProp125.xml"/><Relationship Id="rId22" Type="http://schemas.openxmlformats.org/officeDocument/2006/relationships/ctrlProp" Target="../ctrlProps/ctrlProp133.xml"/></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8" Type="http://schemas.openxmlformats.org/officeDocument/2006/relationships/ctrlProp" Target="../ctrlProps/ctrlProp138.xml"/><Relationship Id="rId3" Type="http://schemas.openxmlformats.org/officeDocument/2006/relationships/vmlDrawing" Target="../drawings/vmlDrawing14.vml"/><Relationship Id="rId7" Type="http://schemas.openxmlformats.org/officeDocument/2006/relationships/ctrlProp" Target="../ctrlProps/ctrlProp137.xml"/><Relationship Id="rId2" Type="http://schemas.openxmlformats.org/officeDocument/2006/relationships/drawing" Target="../drawings/drawing11.xml"/><Relationship Id="rId1" Type="http://schemas.openxmlformats.org/officeDocument/2006/relationships/printerSettings" Target="../printerSettings/printerSettings26.bin"/><Relationship Id="rId6" Type="http://schemas.openxmlformats.org/officeDocument/2006/relationships/ctrlProp" Target="../ctrlProps/ctrlProp136.xml"/><Relationship Id="rId5" Type="http://schemas.openxmlformats.org/officeDocument/2006/relationships/ctrlProp" Target="../ctrlProps/ctrlProp135.xml"/><Relationship Id="rId10" Type="http://schemas.openxmlformats.org/officeDocument/2006/relationships/comments" Target="../comments7.xml"/><Relationship Id="rId4" Type="http://schemas.openxmlformats.org/officeDocument/2006/relationships/ctrlProp" Target="../ctrlProps/ctrlProp134.xml"/><Relationship Id="rId9" Type="http://schemas.openxmlformats.org/officeDocument/2006/relationships/ctrlProp" Target="../ctrlProps/ctrlProp139.xml"/></Relationships>
</file>

<file path=xl/worksheets/_rels/sheet28.xml.rels><?xml version="1.0" encoding="UTF-8" standalone="yes"?>
<Relationships xmlns="http://schemas.openxmlformats.org/package/2006/relationships"><Relationship Id="rId8" Type="http://schemas.openxmlformats.org/officeDocument/2006/relationships/ctrlProp" Target="../ctrlProps/ctrlProp144.xml"/><Relationship Id="rId3" Type="http://schemas.openxmlformats.org/officeDocument/2006/relationships/vmlDrawing" Target="../drawings/vmlDrawing15.vml"/><Relationship Id="rId7" Type="http://schemas.openxmlformats.org/officeDocument/2006/relationships/ctrlProp" Target="../ctrlProps/ctrlProp143.xml"/><Relationship Id="rId2" Type="http://schemas.openxmlformats.org/officeDocument/2006/relationships/drawing" Target="../drawings/drawing12.xml"/><Relationship Id="rId1" Type="http://schemas.openxmlformats.org/officeDocument/2006/relationships/printerSettings" Target="../printerSettings/printerSettings27.bin"/><Relationship Id="rId6" Type="http://schemas.openxmlformats.org/officeDocument/2006/relationships/ctrlProp" Target="../ctrlProps/ctrlProp142.xml"/><Relationship Id="rId5" Type="http://schemas.openxmlformats.org/officeDocument/2006/relationships/ctrlProp" Target="../ctrlProps/ctrlProp141.xml"/><Relationship Id="rId10" Type="http://schemas.openxmlformats.org/officeDocument/2006/relationships/comments" Target="../comments8.xml"/><Relationship Id="rId4" Type="http://schemas.openxmlformats.org/officeDocument/2006/relationships/ctrlProp" Target="../ctrlProps/ctrlProp140.xml"/><Relationship Id="rId9" Type="http://schemas.openxmlformats.org/officeDocument/2006/relationships/ctrlProp" Target="../ctrlProps/ctrlProp145.xml"/></Relationships>
</file>

<file path=xl/worksheets/_rels/sheet29.xml.rels><?xml version="1.0" encoding="UTF-8" standalone="yes"?>
<Relationships xmlns="http://schemas.openxmlformats.org/package/2006/relationships"><Relationship Id="rId8" Type="http://schemas.openxmlformats.org/officeDocument/2006/relationships/ctrlProp" Target="../ctrlProps/ctrlProp150.xml"/><Relationship Id="rId13" Type="http://schemas.openxmlformats.org/officeDocument/2006/relationships/ctrlProp" Target="../ctrlProps/ctrlProp155.xml"/><Relationship Id="rId18" Type="http://schemas.openxmlformats.org/officeDocument/2006/relationships/ctrlProp" Target="../ctrlProps/ctrlProp160.xml"/><Relationship Id="rId3" Type="http://schemas.openxmlformats.org/officeDocument/2006/relationships/vmlDrawing" Target="../drawings/vmlDrawing16.vml"/><Relationship Id="rId21" Type="http://schemas.openxmlformats.org/officeDocument/2006/relationships/ctrlProp" Target="../ctrlProps/ctrlProp163.xml"/><Relationship Id="rId7" Type="http://schemas.openxmlformats.org/officeDocument/2006/relationships/ctrlProp" Target="../ctrlProps/ctrlProp149.xml"/><Relationship Id="rId12" Type="http://schemas.openxmlformats.org/officeDocument/2006/relationships/ctrlProp" Target="../ctrlProps/ctrlProp154.xml"/><Relationship Id="rId17" Type="http://schemas.openxmlformats.org/officeDocument/2006/relationships/ctrlProp" Target="../ctrlProps/ctrlProp159.xml"/><Relationship Id="rId2" Type="http://schemas.openxmlformats.org/officeDocument/2006/relationships/drawing" Target="../drawings/drawing13.xml"/><Relationship Id="rId16" Type="http://schemas.openxmlformats.org/officeDocument/2006/relationships/ctrlProp" Target="../ctrlProps/ctrlProp158.xml"/><Relationship Id="rId20" Type="http://schemas.openxmlformats.org/officeDocument/2006/relationships/ctrlProp" Target="../ctrlProps/ctrlProp162.xml"/><Relationship Id="rId1" Type="http://schemas.openxmlformats.org/officeDocument/2006/relationships/printerSettings" Target="../printerSettings/printerSettings28.bin"/><Relationship Id="rId6" Type="http://schemas.openxmlformats.org/officeDocument/2006/relationships/ctrlProp" Target="../ctrlProps/ctrlProp148.xml"/><Relationship Id="rId11" Type="http://schemas.openxmlformats.org/officeDocument/2006/relationships/ctrlProp" Target="../ctrlProps/ctrlProp153.xml"/><Relationship Id="rId5" Type="http://schemas.openxmlformats.org/officeDocument/2006/relationships/ctrlProp" Target="../ctrlProps/ctrlProp147.xml"/><Relationship Id="rId15" Type="http://schemas.openxmlformats.org/officeDocument/2006/relationships/ctrlProp" Target="../ctrlProps/ctrlProp157.xml"/><Relationship Id="rId10" Type="http://schemas.openxmlformats.org/officeDocument/2006/relationships/ctrlProp" Target="../ctrlProps/ctrlProp152.xml"/><Relationship Id="rId19" Type="http://schemas.openxmlformats.org/officeDocument/2006/relationships/ctrlProp" Target="../ctrlProps/ctrlProp161.xml"/><Relationship Id="rId4" Type="http://schemas.openxmlformats.org/officeDocument/2006/relationships/ctrlProp" Target="../ctrlProps/ctrlProp146.xml"/><Relationship Id="rId9" Type="http://schemas.openxmlformats.org/officeDocument/2006/relationships/ctrlProp" Target="../ctrlProps/ctrlProp151.xml"/><Relationship Id="rId14" Type="http://schemas.openxmlformats.org/officeDocument/2006/relationships/ctrlProp" Target="../ctrlProps/ctrlProp156.xml"/><Relationship Id="rId22" Type="http://schemas.openxmlformats.org/officeDocument/2006/relationships/ctrlProp" Target="../ctrlProps/ctrlProp16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4"/>
  <dimension ref="A7:O47"/>
  <sheetViews>
    <sheetView topLeftCell="A33" workbookViewId="0">
      <selection activeCell="A47" sqref="A47:XFD47"/>
    </sheetView>
  </sheetViews>
  <sheetFormatPr defaultRowHeight="14.45"/>
  <cols>
    <col min="14" max="14" width="6.5703125" customWidth="1"/>
  </cols>
  <sheetData>
    <row r="7" spans="1:15">
      <c r="O7" t="s">
        <v>0</v>
      </c>
    </row>
    <row r="13" spans="1:15">
      <c r="B13" t="s">
        <v>1</v>
      </c>
    </row>
    <row r="14" spans="1:15">
      <c r="B14" t="s">
        <v>2</v>
      </c>
      <c r="C14" t="s">
        <v>3</v>
      </c>
    </row>
    <row r="15" spans="1:15">
      <c r="A15" t="s">
        <v>4</v>
      </c>
      <c r="B15">
        <v>27</v>
      </c>
      <c r="C15">
        <v>30</v>
      </c>
    </row>
    <row r="16" spans="1:15">
      <c r="A16" t="s">
        <v>5</v>
      </c>
      <c r="B16">
        <v>32</v>
      </c>
      <c r="C16">
        <v>35</v>
      </c>
    </row>
    <row r="17" spans="1:3">
      <c r="A17" t="s">
        <v>6</v>
      </c>
      <c r="B17">
        <v>37</v>
      </c>
      <c r="C17">
        <v>40</v>
      </c>
    </row>
    <row r="20" spans="1:3" s="1001" customFormat="1"/>
    <row r="21" spans="1:3">
      <c r="A21" t="s">
        <v>7</v>
      </c>
      <c r="B21" s="383" t="s">
        <v>8</v>
      </c>
    </row>
    <row r="42" spans="2:3">
      <c r="B42" t="s">
        <v>7</v>
      </c>
    </row>
    <row r="43" spans="2:3">
      <c r="B43" t="s">
        <v>4</v>
      </c>
      <c r="C43" s="1002">
        <v>45748</v>
      </c>
    </row>
    <row r="44" spans="2:3">
      <c r="B44" t="s">
        <v>5</v>
      </c>
      <c r="C44" s="1002">
        <v>45931</v>
      </c>
    </row>
    <row r="45" spans="2:3">
      <c r="B45" t="s">
        <v>6</v>
      </c>
      <c r="C45" s="1002">
        <v>46174</v>
      </c>
    </row>
    <row r="47" spans="2:3" s="1001" customFormat="1"/>
  </sheetData>
  <sheetProtection password="CC2E"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5">
    <tabColor theme="7" tint="-0.249977111117893"/>
  </sheetPr>
  <dimension ref="A1:CL385"/>
  <sheetViews>
    <sheetView showGridLines="0" topLeftCell="A13" zoomScale="90" zoomScaleNormal="90" workbookViewId="0">
      <selection activeCell="E33" sqref="E33"/>
    </sheetView>
  </sheetViews>
  <sheetFormatPr defaultColWidth="9.140625" defaultRowHeight="12.95"/>
  <cols>
    <col min="1" max="1" width="4.5703125" style="839" customWidth="1"/>
    <col min="2" max="2" width="13.42578125" style="839" customWidth="1"/>
    <col min="3" max="3" width="15.42578125" style="839" customWidth="1"/>
    <col min="4" max="4" width="17.42578125" style="839" bestFit="1" customWidth="1"/>
    <col min="5" max="5" width="13" style="839" customWidth="1"/>
    <col min="6" max="6" width="14.42578125" style="840" customWidth="1"/>
    <col min="7" max="7" width="13" style="839" customWidth="1"/>
    <col min="8" max="8" width="14.42578125" style="839" bestFit="1" customWidth="1"/>
    <col min="9" max="9" width="17.42578125" style="839" customWidth="1"/>
    <col min="10" max="10" width="15.42578125" style="841" hidden="1" customWidth="1"/>
    <col min="11" max="11" width="5.85546875" style="838" customWidth="1"/>
    <col min="12" max="12" width="24.42578125" style="840" hidden="1" customWidth="1"/>
    <col min="13" max="24" width="15.5703125" style="840" hidden="1" customWidth="1"/>
    <col min="25" max="48" width="12.42578125" style="840" hidden="1" customWidth="1"/>
    <col min="49" max="68" width="12.85546875" style="840" hidden="1" customWidth="1"/>
    <col min="69" max="72" width="12" style="840" hidden="1" customWidth="1"/>
    <col min="73" max="74" width="0" style="840" hidden="1" customWidth="1"/>
    <col min="75" max="75" width="16.140625" style="873" hidden="1" customWidth="1"/>
    <col min="76" max="76" width="10.140625" style="873" hidden="1" customWidth="1"/>
    <col min="77" max="77" width="11.5703125" style="873" hidden="1" customWidth="1"/>
    <col min="78" max="78" width="12.85546875" style="873" hidden="1" customWidth="1"/>
    <col min="79" max="79" width="11" style="840" hidden="1" customWidth="1"/>
    <col min="80" max="84" width="0" style="840" hidden="1" customWidth="1"/>
    <col min="85" max="87" width="9.140625" style="840"/>
    <col min="88" max="88" width="12.42578125" style="840" bestFit="1" customWidth="1"/>
    <col min="89" max="246" width="9.140625" style="840"/>
    <col min="247" max="247" width="4.5703125" style="840" customWidth="1"/>
    <col min="248" max="248" width="13.42578125" style="840" customWidth="1"/>
    <col min="249" max="249" width="15.42578125" style="840" customWidth="1"/>
    <col min="250" max="250" width="17.42578125" style="840" bestFit="1" customWidth="1"/>
    <col min="251" max="251" width="13" style="840" customWidth="1"/>
    <col min="252" max="252" width="14.42578125" style="840" customWidth="1"/>
    <col min="253" max="253" width="13" style="840" customWidth="1"/>
    <col min="254" max="254" width="14.42578125" style="840" bestFit="1" customWidth="1"/>
    <col min="255" max="255" width="17.42578125" style="840" customWidth="1"/>
    <col min="256" max="256" width="15.42578125" style="840" customWidth="1"/>
    <col min="257" max="257" width="5.85546875" style="840" customWidth="1"/>
    <col min="258" max="258" width="30.85546875" style="840" bestFit="1" customWidth="1"/>
    <col min="259" max="259" width="11.85546875" style="840" customWidth="1"/>
    <col min="260" max="260" width="1.5703125" style="840" customWidth="1"/>
    <col min="261" max="261" width="26.5703125" style="840" customWidth="1"/>
    <col min="262" max="262" width="14.5703125" style="840" customWidth="1"/>
    <col min="263" max="263" width="9.140625" style="840"/>
    <col min="264" max="264" width="24.42578125" style="840" customWidth="1"/>
    <col min="265" max="265" width="12.5703125" style="840" bestFit="1" customWidth="1"/>
    <col min="266" max="502" width="9.140625" style="840"/>
    <col min="503" max="503" width="4.5703125" style="840" customWidth="1"/>
    <col min="504" max="504" width="13.42578125" style="840" customWidth="1"/>
    <col min="505" max="505" width="15.42578125" style="840" customWidth="1"/>
    <col min="506" max="506" width="17.42578125" style="840" bestFit="1" customWidth="1"/>
    <col min="507" max="507" width="13" style="840" customWidth="1"/>
    <col min="508" max="508" width="14.42578125" style="840" customWidth="1"/>
    <col min="509" max="509" width="13" style="840" customWidth="1"/>
    <col min="510" max="510" width="14.42578125" style="840" bestFit="1" customWidth="1"/>
    <col min="511" max="511" width="17.42578125" style="840" customWidth="1"/>
    <col min="512" max="512" width="15.42578125" style="840" customWidth="1"/>
    <col min="513" max="513" width="5.85546875" style="840" customWidth="1"/>
    <col min="514" max="514" width="30.85546875" style="840" bestFit="1" customWidth="1"/>
    <col min="515" max="515" width="11.85546875" style="840" customWidth="1"/>
    <col min="516" max="516" width="1.5703125" style="840" customWidth="1"/>
    <col min="517" max="517" width="26.5703125" style="840" customWidth="1"/>
    <col min="518" max="518" width="14.5703125" style="840" customWidth="1"/>
    <col min="519" max="519" width="9.140625" style="840"/>
    <col min="520" max="520" width="24.42578125" style="840" customWidth="1"/>
    <col min="521" max="521" width="12.5703125" style="840" bestFit="1" customWidth="1"/>
    <col min="522" max="758" width="9.140625" style="840"/>
    <col min="759" max="759" width="4.5703125" style="840" customWidth="1"/>
    <col min="760" max="760" width="13.42578125" style="840" customWidth="1"/>
    <col min="761" max="761" width="15.42578125" style="840" customWidth="1"/>
    <col min="762" max="762" width="17.42578125" style="840" bestFit="1" customWidth="1"/>
    <col min="763" max="763" width="13" style="840" customWidth="1"/>
    <col min="764" max="764" width="14.42578125" style="840" customWidth="1"/>
    <col min="765" max="765" width="13" style="840" customWidth="1"/>
    <col min="766" max="766" width="14.42578125" style="840" bestFit="1" customWidth="1"/>
    <col min="767" max="767" width="17.42578125" style="840" customWidth="1"/>
    <col min="768" max="768" width="15.42578125" style="840" customWidth="1"/>
    <col min="769" max="769" width="5.85546875" style="840" customWidth="1"/>
    <col min="770" max="770" width="30.85546875" style="840" bestFit="1" customWidth="1"/>
    <col min="771" max="771" width="11.85546875" style="840" customWidth="1"/>
    <col min="772" max="772" width="1.5703125" style="840" customWidth="1"/>
    <col min="773" max="773" width="26.5703125" style="840" customWidth="1"/>
    <col min="774" max="774" width="14.5703125" style="840" customWidth="1"/>
    <col min="775" max="775" width="9.140625" style="840"/>
    <col min="776" max="776" width="24.42578125" style="840" customWidth="1"/>
    <col min="777" max="777" width="12.5703125" style="840" bestFit="1" customWidth="1"/>
    <col min="778" max="1014" width="9.140625" style="840"/>
    <col min="1015" max="1015" width="4.5703125" style="840" customWidth="1"/>
    <col min="1016" max="1016" width="13.42578125" style="840" customWidth="1"/>
    <col min="1017" max="1017" width="15.42578125" style="840" customWidth="1"/>
    <col min="1018" max="1018" width="17.42578125" style="840" bestFit="1" customWidth="1"/>
    <col min="1019" max="1019" width="13" style="840" customWidth="1"/>
    <col min="1020" max="1020" width="14.42578125" style="840" customWidth="1"/>
    <col min="1021" max="1021" width="13" style="840" customWidth="1"/>
    <col min="1022" max="1022" width="14.42578125" style="840" bestFit="1" customWidth="1"/>
    <col min="1023" max="1023" width="17.42578125" style="840" customWidth="1"/>
    <col min="1024" max="1024" width="15.42578125" style="840" customWidth="1"/>
    <col min="1025" max="1025" width="5.85546875" style="840" customWidth="1"/>
    <col min="1026" max="1026" width="30.85546875" style="840" bestFit="1" customWidth="1"/>
    <col min="1027" max="1027" width="11.85546875" style="840" customWidth="1"/>
    <col min="1028" max="1028" width="1.5703125" style="840" customWidth="1"/>
    <col min="1029" max="1029" width="26.5703125" style="840" customWidth="1"/>
    <col min="1030" max="1030" width="14.5703125" style="840" customWidth="1"/>
    <col min="1031" max="1031" width="9.140625" style="840"/>
    <col min="1032" max="1032" width="24.42578125" style="840" customWidth="1"/>
    <col min="1033" max="1033" width="12.5703125" style="840" bestFit="1" customWidth="1"/>
    <col min="1034" max="1270" width="9.140625" style="840"/>
    <col min="1271" max="1271" width="4.5703125" style="840" customWidth="1"/>
    <col min="1272" max="1272" width="13.42578125" style="840" customWidth="1"/>
    <col min="1273" max="1273" width="15.42578125" style="840" customWidth="1"/>
    <col min="1274" max="1274" width="17.42578125" style="840" bestFit="1" customWidth="1"/>
    <col min="1275" max="1275" width="13" style="840" customWidth="1"/>
    <col min="1276" max="1276" width="14.42578125" style="840" customWidth="1"/>
    <col min="1277" max="1277" width="13" style="840" customWidth="1"/>
    <col min="1278" max="1278" width="14.42578125" style="840" bestFit="1" customWidth="1"/>
    <col min="1279" max="1279" width="17.42578125" style="840" customWidth="1"/>
    <col min="1280" max="1280" width="15.42578125" style="840" customWidth="1"/>
    <col min="1281" max="1281" width="5.85546875" style="840" customWidth="1"/>
    <col min="1282" max="1282" width="30.85546875" style="840" bestFit="1" customWidth="1"/>
    <col min="1283" max="1283" width="11.85546875" style="840" customWidth="1"/>
    <col min="1284" max="1284" width="1.5703125" style="840" customWidth="1"/>
    <col min="1285" max="1285" width="26.5703125" style="840" customWidth="1"/>
    <col min="1286" max="1286" width="14.5703125" style="840" customWidth="1"/>
    <col min="1287" max="1287" width="9.140625" style="840"/>
    <col min="1288" max="1288" width="24.42578125" style="840" customWidth="1"/>
    <col min="1289" max="1289" width="12.5703125" style="840" bestFit="1" customWidth="1"/>
    <col min="1290" max="1526" width="9.140625" style="840"/>
    <col min="1527" max="1527" width="4.5703125" style="840" customWidth="1"/>
    <col min="1528" max="1528" width="13.42578125" style="840" customWidth="1"/>
    <col min="1529" max="1529" width="15.42578125" style="840" customWidth="1"/>
    <col min="1530" max="1530" width="17.42578125" style="840" bestFit="1" customWidth="1"/>
    <col min="1531" max="1531" width="13" style="840" customWidth="1"/>
    <col min="1532" max="1532" width="14.42578125" style="840" customWidth="1"/>
    <col min="1533" max="1533" width="13" style="840" customWidth="1"/>
    <col min="1534" max="1534" width="14.42578125" style="840" bestFit="1" customWidth="1"/>
    <col min="1535" max="1535" width="17.42578125" style="840" customWidth="1"/>
    <col min="1536" max="1536" width="15.42578125" style="840" customWidth="1"/>
    <col min="1537" max="1537" width="5.85546875" style="840" customWidth="1"/>
    <col min="1538" max="1538" width="30.85546875" style="840" bestFit="1" customWidth="1"/>
    <col min="1539" max="1539" width="11.85546875" style="840" customWidth="1"/>
    <col min="1540" max="1540" width="1.5703125" style="840" customWidth="1"/>
    <col min="1541" max="1541" width="26.5703125" style="840" customWidth="1"/>
    <col min="1542" max="1542" width="14.5703125" style="840" customWidth="1"/>
    <col min="1543" max="1543" width="9.140625" style="840"/>
    <col min="1544" max="1544" width="24.42578125" style="840" customWidth="1"/>
    <col min="1545" max="1545" width="12.5703125" style="840" bestFit="1" customWidth="1"/>
    <col min="1546" max="1782" width="9.140625" style="840"/>
    <col min="1783" max="1783" width="4.5703125" style="840" customWidth="1"/>
    <col min="1784" max="1784" width="13.42578125" style="840" customWidth="1"/>
    <col min="1785" max="1785" width="15.42578125" style="840" customWidth="1"/>
    <col min="1786" max="1786" width="17.42578125" style="840" bestFit="1" customWidth="1"/>
    <col min="1787" max="1787" width="13" style="840" customWidth="1"/>
    <col min="1788" max="1788" width="14.42578125" style="840" customWidth="1"/>
    <col min="1789" max="1789" width="13" style="840" customWidth="1"/>
    <col min="1790" max="1790" width="14.42578125" style="840" bestFit="1" customWidth="1"/>
    <col min="1791" max="1791" width="17.42578125" style="840" customWidth="1"/>
    <col min="1792" max="1792" width="15.42578125" style="840" customWidth="1"/>
    <col min="1793" max="1793" width="5.85546875" style="840" customWidth="1"/>
    <col min="1794" max="1794" width="30.85546875" style="840" bestFit="1" customWidth="1"/>
    <col min="1795" max="1795" width="11.85546875" style="840" customWidth="1"/>
    <col min="1796" max="1796" width="1.5703125" style="840" customWidth="1"/>
    <col min="1797" max="1797" width="26.5703125" style="840" customWidth="1"/>
    <col min="1798" max="1798" width="14.5703125" style="840" customWidth="1"/>
    <col min="1799" max="1799" width="9.140625" style="840"/>
    <col min="1800" max="1800" width="24.42578125" style="840" customWidth="1"/>
    <col min="1801" max="1801" width="12.5703125" style="840" bestFit="1" customWidth="1"/>
    <col min="1802" max="2038" width="9.140625" style="840"/>
    <col min="2039" max="2039" width="4.5703125" style="840" customWidth="1"/>
    <col min="2040" max="2040" width="13.42578125" style="840" customWidth="1"/>
    <col min="2041" max="2041" width="15.42578125" style="840" customWidth="1"/>
    <col min="2042" max="2042" width="17.42578125" style="840" bestFit="1" customWidth="1"/>
    <col min="2043" max="2043" width="13" style="840" customWidth="1"/>
    <col min="2044" max="2044" width="14.42578125" style="840" customWidth="1"/>
    <col min="2045" max="2045" width="13" style="840" customWidth="1"/>
    <col min="2046" max="2046" width="14.42578125" style="840" bestFit="1" customWidth="1"/>
    <col min="2047" max="2047" width="17.42578125" style="840" customWidth="1"/>
    <col min="2048" max="2048" width="15.42578125" style="840" customWidth="1"/>
    <col min="2049" max="2049" width="5.85546875" style="840" customWidth="1"/>
    <col min="2050" max="2050" width="30.85546875" style="840" bestFit="1" customWidth="1"/>
    <col min="2051" max="2051" width="11.85546875" style="840" customWidth="1"/>
    <col min="2052" max="2052" width="1.5703125" style="840" customWidth="1"/>
    <col min="2053" max="2053" width="26.5703125" style="840" customWidth="1"/>
    <col min="2054" max="2054" width="14.5703125" style="840" customWidth="1"/>
    <col min="2055" max="2055" width="9.140625" style="840"/>
    <col min="2056" max="2056" width="24.42578125" style="840" customWidth="1"/>
    <col min="2057" max="2057" width="12.5703125" style="840" bestFit="1" customWidth="1"/>
    <col min="2058" max="2294" width="9.140625" style="840"/>
    <col min="2295" max="2295" width="4.5703125" style="840" customWidth="1"/>
    <col min="2296" max="2296" width="13.42578125" style="840" customWidth="1"/>
    <col min="2297" max="2297" width="15.42578125" style="840" customWidth="1"/>
    <col min="2298" max="2298" width="17.42578125" style="840" bestFit="1" customWidth="1"/>
    <col min="2299" max="2299" width="13" style="840" customWidth="1"/>
    <col min="2300" max="2300" width="14.42578125" style="840" customWidth="1"/>
    <col min="2301" max="2301" width="13" style="840" customWidth="1"/>
    <col min="2302" max="2302" width="14.42578125" style="840" bestFit="1" customWidth="1"/>
    <col min="2303" max="2303" width="17.42578125" style="840" customWidth="1"/>
    <col min="2304" max="2304" width="15.42578125" style="840" customWidth="1"/>
    <col min="2305" max="2305" width="5.85546875" style="840" customWidth="1"/>
    <col min="2306" max="2306" width="30.85546875" style="840" bestFit="1" customWidth="1"/>
    <col min="2307" max="2307" width="11.85546875" style="840" customWidth="1"/>
    <col min="2308" max="2308" width="1.5703125" style="840" customWidth="1"/>
    <col min="2309" max="2309" width="26.5703125" style="840" customWidth="1"/>
    <col min="2310" max="2310" width="14.5703125" style="840" customWidth="1"/>
    <col min="2311" max="2311" width="9.140625" style="840"/>
    <col min="2312" max="2312" width="24.42578125" style="840" customWidth="1"/>
    <col min="2313" max="2313" width="12.5703125" style="840" bestFit="1" customWidth="1"/>
    <col min="2314" max="2550" width="9.140625" style="840"/>
    <col min="2551" max="2551" width="4.5703125" style="840" customWidth="1"/>
    <col min="2552" max="2552" width="13.42578125" style="840" customWidth="1"/>
    <col min="2553" max="2553" width="15.42578125" style="840" customWidth="1"/>
    <col min="2554" max="2554" width="17.42578125" style="840" bestFit="1" customWidth="1"/>
    <col min="2555" max="2555" width="13" style="840" customWidth="1"/>
    <col min="2556" max="2556" width="14.42578125" style="840" customWidth="1"/>
    <col min="2557" max="2557" width="13" style="840" customWidth="1"/>
    <col min="2558" max="2558" width="14.42578125" style="840" bestFit="1" customWidth="1"/>
    <col min="2559" max="2559" width="17.42578125" style="840" customWidth="1"/>
    <col min="2560" max="2560" width="15.42578125" style="840" customWidth="1"/>
    <col min="2561" max="2561" width="5.85546875" style="840" customWidth="1"/>
    <col min="2562" max="2562" width="30.85546875" style="840" bestFit="1" customWidth="1"/>
    <col min="2563" max="2563" width="11.85546875" style="840" customWidth="1"/>
    <col min="2564" max="2564" width="1.5703125" style="840" customWidth="1"/>
    <col min="2565" max="2565" width="26.5703125" style="840" customWidth="1"/>
    <col min="2566" max="2566" width="14.5703125" style="840" customWidth="1"/>
    <col min="2567" max="2567" width="9.140625" style="840"/>
    <col min="2568" max="2568" width="24.42578125" style="840" customWidth="1"/>
    <col min="2569" max="2569" width="12.5703125" style="840" bestFit="1" customWidth="1"/>
    <col min="2570" max="2806" width="9.140625" style="840"/>
    <col min="2807" max="2807" width="4.5703125" style="840" customWidth="1"/>
    <col min="2808" max="2808" width="13.42578125" style="840" customWidth="1"/>
    <col min="2809" max="2809" width="15.42578125" style="840" customWidth="1"/>
    <col min="2810" max="2810" width="17.42578125" style="840" bestFit="1" customWidth="1"/>
    <col min="2811" max="2811" width="13" style="840" customWidth="1"/>
    <col min="2812" max="2812" width="14.42578125" style="840" customWidth="1"/>
    <col min="2813" max="2813" width="13" style="840" customWidth="1"/>
    <col min="2814" max="2814" width="14.42578125" style="840" bestFit="1" customWidth="1"/>
    <col min="2815" max="2815" width="17.42578125" style="840" customWidth="1"/>
    <col min="2816" max="2816" width="15.42578125" style="840" customWidth="1"/>
    <col min="2817" max="2817" width="5.85546875" style="840" customWidth="1"/>
    <col min="2818" max="2818" width="30.85546875" style="840" bestFit="1" customWidth="1"/>
    <col min="2819" max="2819" width="11.85546875" style="840" customWidth="1"/>
    <col min="2820" max="2820" width="1.5703125" style="840" customWidth="1"/>
    <col min="2821" max="2821" width="26.5703125" style="840" customWidth="1"/>
    <col min="2822" max="2822" width="14.5703125" style="840" customWidth="1"/>
    <col min="2823" max="2823" width="9.140625" style="840"/>
    <col min="2824" max="2824" width="24.42578125" style="840" customWidth="1"/>
    <col min="2825" max="2825" width="12.5703125" style="840" bestFit="1" customWidth="1"/>
    <col min="2826" max="3062" width="9.140625" style="840"/>
    <col min="3063" max="3063" width="4.5703125" style="840" customWidth="1"/>
    <col min="3064" max="3064" width="13.42578125" style="840" customWidth="1"/>
    <col min="3065" max="3065" width="15.42578125" style="840" customWidth="1"/>
    <col min="3066" max="3066" width="17.42578125" style="840" bestFit="1" customWidth="1"/>
    <col min="3067" max="3067" width="13" style="840" customWidth="1"/>
    <col min="3068" max="3068" width="14.42578125" style="840" customWidth="1"/>
    <col min="3069" max="3069" width="13" style="840" customWidth="1"/>
    <col min="3070" max="3070" width="14.42578125" style="840" bestFit="1" customWidth="1"/>
    <col min="3071" max="3071" width="17.42578125" style="840" customWidth="1"/>
    <col min="3072" max="3072" width="15.42578125" style="840" customWidth="1"/>
    <col min="3073" max="3073" width="5.85546875" style="840" customWidth="1"/>
    <col min="3074" max="3074" width="30.85546875" style="840" bestFit="1" customWidth="1"/>
    <col min="3075" max="3075" width="11.85546875" style="840" customWidth="1"/>
    <col min="3076" max="3076" width="1.5703125" style="840" customWidth="1"/>
    <col min="3077" max="3077" width="26.5703125" style="840" customWidth="1"/>
    <col min="3078" max="3078" width="14.5703125" style="840" customWidth="1"/>
    <col min="3079" max="3079" width="9.140625" style="840"/>
    <col min="3080" max="3080" width="24.42578125" style="840" customWidth="1"/>
    <col min="3081" max="3081" width="12.5703125" style="840" bestFit="1" customWidth="1"/>
    <col min="3082" max="3318" width="9.140625" style="840"/>
    <col min="3319" max="3319" width="4.5703125" style="840" customWidth="1"/>
    <col min="3320" max="3320" width="13.42578125" style="840" customWidth="1"/>
    <col min="3321" max="3321" width="15.42578125" style="840" customWidth="1"/>
    <col min="3322" max="3322" width="17.42578125" style="840" bestFit="1" customWidth="1"/>
    <col min="3323" max="3323" width="13" style="840" customWidth="1"/>
    <col min="3324" max="3324" width="14.42578125" style="840" customWidth="1"/>
    <col min="3325" max="3325" width="13" style="840" customWidth="1"/>
    <col min="3326" max="3326" width="14.42578125" style="840" bestFit="1" customWidth="1"/>
    <col min="3327" max="3327" width="17.42578125" style="840" customWidth="1"/>
    <col min="3328" max="3328" width="15.42578125" style="840" customWidth="1"/>
    <col min="3329" max="3329" width="5.85546875" style="840" customWidth="1"/>
    <col min="3330" max="3330" width="30.85546875" style="840" bestFit="1" customWidth="1"/>
    <col min="3331" max="3331" width="11.85546875" style="840" customWidth="1"/>
    <col min="3332" max="3332" width="1.5703125" style="840" customWidth="1"/>
    <col min="3333" max="3333" width="26.5703125" style="840" customWidth="1"/>
    <col min="3334" max="3334" width="14.5703125" style="840" customWidth="1"/>
    <col min="3335" max="3335" width="9.140625" style="840"/>
    <col min="3336" max="3336" width="24.42578125" style="840" customWidth="1"/>
    <col min="3337" max="3337" width="12.5703125" style="840" bestFit="1" customWidth="1"/>
    <col min="3338" max="3574" width="9.140625" style="840"/>
    <col min="3575" max="3575" width="4.5703125" style="840" customWidth="1"/>
    <col min="3576" max="3576" width="13.42578125" style="840" customWidth="1"/>
    <col min="3577" max="3577" width="15.42578125" style="840" customWidth="1"/>
    <col min="3578" max="3578" width="17.42578125" style="840" bestFit="1" customWidth="1"/>
    <col min="3579" max="3579" width="13" style="840" customWidth="1"/>
    <col min="3580" max="3580" width="14.42578125" style="840" customWidth="1"/>
    <col min="3581" max="3581" width="13" style="840" customWidth="1"/>
    <col min="3582" max="3582" width="14.42578125" style="840" bestFit="1" customWidth="1"/>
    <col min="3583" max="3583" width="17.42578125" style="840" customWidth="1"/>
    <col min="3584" max="3584" width="15.42578125" style="840" customWidth="1"/>
    <col min="3585" max="3585" width="5.85546875" style="840" customWidth="1"/>
    <col min="3586" max="3586" width="30.85546875" style="840" bestFit="1" customWidth="1"/>
    <col min="3587" max="3587" width="11.85546875" style="840" customWidth="1"/>
    <col min="3588" max="3588" width="1.5703125" style="840" customWidth="1"/>
    <col min="3589" max="3589" width="26.5703125" style="840" customWidth="1"/>
    <col min="3590" max="3590" width="14.5703125" style="840" customWidth="1"/>
    <col min="3591" max="3591" width="9.140625" style="840"/>
    <col min="3592" max="3592" width="24.42578125" style="840" customWidth="1"/>
    <col min="3593" max="3593" width="12.5703125" style="840" bestFit="1" customWidth="1"/>
    <col min="3594" max="3830" width="9.140625" style="840"/>
    <col min="3831" max="3831" width="4.5703125" style="840" customWidth="1"/>
    <col min="3832" max="3832" width="13.42578125" style="840" customWidth="1"/>
    <col min="3833" max="3833" width="15.42578125" style="840" customWidth="1"/>
    <col min="3834" max="3834" width="17.42578125" style="840" bestFit="1" customWidth="1"/>
    <col min="3835" max="3835" width="13" style="840" customWidth="1"/>
    <col min="3836" max="3836" width="14.42578125" style="840" customWidth="1"/>
    <col min="3837" max="3837" width="13" style="840" customWidth="1"/>
    <col min="3838" max="3838" width="14.42578125" style="840" bestFit="1" customWidth="1"/>
    <col min="3839" max="3839" width="17.42578125" style="840" customWidth="1"/>
    <col min="3840" max="3840" width="15.42578125" style="840" customWidth="1"/>
    <col min="3841" max="3841" width="5.85546875" style="840" customWidth="1"/>
    <col min="3842" max="3842" width="30.85546875" style="840" bestFit="1" customWidth="1"/>
    <col min="3843" max="3843" width="11.85546875" style="840" customWidth="1"/>
    <col min="3844" max="3844" width="1.5703125" style="840" customWidth="1"/>
    <col min="3845" max="3845" width="26.5703125" style="840" customWidth="1"/>
    <col min="3846" max="3846" width="14.5703125" style="840" customWidth="1"/>
    <col min="3847" max="3847" width="9.140625" style="840"/>
    <col min="3848" max="3848" width="24.42578125" style="840" customWidth="1"/>
    <col min="3849" max="3849" width="12.5703125" style="840" bestFit="1" customWidth="1"/>
    <col min="3850" max="4086" width="9.140625" style="840"/>
    <col min="4087" max="4087" width="4.5703125" style="840" customWidth="1"/>
    <col min="4088" max="4088" width="13.42578125" style="840" customWidth="1"/>
    <col min="4089" max="4089" width="15.42578125" style="840" customWidth="1"/>
    <col min="4090" max="4090" width="17.42578125" style="840" bestFit="1" customWidth="1"/>
    <col min="4091" max="4091" width="13" style="840" customWidth="1"/>
    <col min="4092" max="4092" width="14.42578125" style="840" customWidth="1"/>
    <col min="4093" max="4093" width="13" style="840" customWidth="1"/>
    <col min="4094" max="4094" width="14.42578125" style="840" bestFit="1" customWidth="1"/>
    <col min="4095" max="4095" width="17.42578125" style="840" customWidth="1"/>
    <col min="4096" max="4096" width="15.42578125" style="840" customWidth="1"/>
    <col min="4097" max="4097" width="5.85546875" style="840" customWidth="1"/>
    <col min="4098" max="4098" width="30.85546875" style="840" bestFit="1" customWidth="1"/>
    <col min="4099" max="4099" width="11.85546875" style="840" customWidth="1"/>
    <col min="4100" max="4100" width="1.5703125" style="840" customWidth="1"/>
    <col min="4101" max="4101" width="26.5703125" style="840" customWidth="1"/>
    <col min="4102" max="4102" width="14.5703125" style="840" customWidth="1"/>
    <col min="4103" max="4103" width="9.140625" style="840"/>
    <col min="4104" max="4104" width="24.42578125" style="840" customWidth="1"/>
    <col min="4105" max="4105" width="12.5703125" style="840" bestFit="1" customWidth="1"/>
    <col min="4106" max="4342" width="9.140625" style="840"/>
    <col min="4343" max="4343" width="4.5703125" style="840" customWidth="1"/>
    <col min="4344" max="4344" width="13.42578125" style="840" customWidth="1"/>
    <col min="4345" max="4345" width="15.42578125" style="840" customWidth="1"/>
    <col min="4346" max="4346" width="17.42578125" style="840" bestFit="1" customWidth="1"/>
    <col min="4347" max="4347" width="13" style="840" customWidth="1"/>
    <col min="4348" max="4348" width="14.42578125" style="840" customWidth="1"/>
    <col min="4349" max="4349" width="13" style="840" customWidth="1"/>
    <col min="4350" max="4350" width="14.42578125" style="840" bestFit="1" customWidth="1"/>
    <col min="4351" max="4351" width="17.42578125" style="840" customWidth="1"/>
    <col min="4352" max="4352" width="15.42578125" style="840" customWidth="1"/>
    <col min="4353" max="4353" width="5.85546875" style="840" customWidth="1"/>
    <col min="4354" max="4354" width="30.85546875" style="840" bestFit="1" customWidth="1"/>
    <col min="4355" max="4355" width="11.85546875" style="840" customWidth="1"/>
    <col min="4356" max="4356" width="1.5703125" style="840" customWidth="1"/>
    <col min="4357" max="4357" width="26.5703125" style="840" customWidth="1"/>
    <col min="4358" max="4358" width="14.5703125" style="840" customWidth="1"/>
    <col min="4359" max="4359" width="9.140625" style="840"/>
    <col min="4360" max="4360" width="24.42578125" style="840" customWidth="1"/>
    <col min="4361" max="4361" width="12.5703125" style="840" bestFit="1" customWidth="1"/>
    <col min="4362" max="4598" width="9.140625" style="840"/>
    <col min="4599" max="4599" width="4.5703125" style="840" customWidth="1"/>
    <col min="4600" max="4600" width="13.42578125" style="840" customWidth="1"/>
    <col min="4601" max="4601" width="15.42578125" style="840" customWidth="1"/>
    <col min="4602" max="4602" width="17.42578125" style="840" bestFit="1" customWidth="1"/>
    <col min="4603" max="4603" width="13" style="840" customWidth="1"/>
    <col min="4604" max="4604" width="14.42578125" style="840" customWidth="1"/>
    <col min="4605" max="4605" width="13" style="840" customWidth="1"/>
    <col min="4606" max="4606" width="14.42578125" style="840" bestFit="1" customWidth="1"/>
    <col min="4607" max="4607" width="17.42578125" style="840" customWidth="1"/>
    <col min="4608" max="4608" width="15.42578125" style="840" customWidth="1"/>
    <col min="4609" max="4609" width="5.85546875" style="840" customWidth="1"/>
    <col min="4610" max="4610" width="30.85546875" style="840" bestFit="1" customWidth="1"/>
    <col min="4611" max="4611" width="11.85546875" style="840" customWidth="1"/>
    <col min="4612" max="4612" width="1.5703125" style="840" customWidth="1"/>
    <col min="4613" max="4613" width="26.5703125" style="840" customWidth="1"/>
    <col min="4614" max="4614" width="14.5703125" style="840" customWidth="1"/>
    <col min="4615" max="4615" width="9.140625" style="840"/>
    <col min="4616" max="4616" width="24.42578125" style="840" customWidth="1"/>
    <col min="4617" max="4617" width="12.5703125" style="840" bestFit="1" customWidth="1"/>
    <col min="4618" max="4854" width="9.140625" style="840"/>
    <col min="4855" max="4855" width="4.5703125" style="840" customWidth="1"/>
    <col min="4856" max="4856" width="13.42578125" style="840" customWidth="1"/>
    <col min="4857" max="4857" width="15.42578125" style="840" customWidth="1"/>
    <col min="4858" max="4858" width="17.42578125" style="840" bestFit="1" customWidth="1"/>
    <col min="4859" max="4859" width="13" style="840" customWidth="1"/>
    <col min="4860" max="4860" width="14.42578125" style="840" customWidth="1"/>
    <col min="4861" max="4861" width="13" style="840" customWidth="1"/>
    <col min="4862" max="4862" width="14.42578125" style="840" bestFit="1" customWidth="1"/>
    <col min="4863" max="4863" width="17.42578125" style="840" customWidth="1"/>
    <col min="4864" max="4864" width="15.42578125" style="840" customWidth="1"/>
    <col min="4865" max="4865" width="5.85546875" style="840" customWidth="1"/>
    <col min="4866" max="4866" width="30.85546875" style="840" bestFit="1" customWidth="1"/>
    <col min="4867" max="4867" width="11.85546875" style="840" customWidth="1"/>
    <col min="4868" max="4868" width="1.5703125" style="840" customWidth="1"/>
    <col min="4869" max="4869" width="26.5703125" style="840" customWidth="1"/>
    <col min="4870" max="4870" width="14.5703125" style="840" customWidth="1"/>
    <col min="4871" max="4871" width="9.140625" style="840"/>
    <col min="4872" max="4872" width="24.42578125" style="840" customWidth="1"/>
    <col min="4873" max="4873" width="12.5703125" style="840" bestFit="1" customWidth="1"/>
    <col min="4874" max="5110" width="9.140625" style="840"/>
    <col min="5111" max="5111" width="4.5703125" style="840" customWidth="1"/>
    <col min="5112" max="5112" width="13.42578125" style="840" customWidth="1"/>
    <col min="5113" max="5113" width="15.42578125" style="840" customWidth="1"/>
    <col min="5114" max="5114" width="17.42578125" style="840" bestFit="1" customWidth="1"/>
    <col min="5115" max="5115" width="13" style="840" customWidth="1"/>
    <col min="5116" max="5116" width="14.42578125" style="840" customWidth="1"/>
    <col min="5117" max="5117" width="13" style="840" customWidth="1"/>
    <col min="5118" max="5118" width="14.42578125" style="840" bestFit="1" customWidth="1"/>
    <col min="5119" max="5119" width="17.42578125" style="840" customWidth="1"/>
    <col min="5120" max="5120" width="15.42578125" style="840" customWidth="1"/>
    <col min="5121" max="5121" width="5.85546875" style="840" customWidth="1"/>
    <col min="5122" max="5122" width="30.85546875" style="840" bestFit="1" customWidth="1"/>
    <col min="5123" max="5123" width="11.85546875" style="840" customWidth="1"/>
    <col min="5124" max="5124" width="1.5703125" style="840" customWidth="1"/>
    <col min="5125" max="5125" width="26.5703125" style="840" customWidth="1"/>
    <col min="5126" max="5126" width="14.5703125" style="840" customWidth="1"/>
    <col min="5127" max="5127" width="9.140625" style="840"/>
    <col min="5128" max="5128" width="24.42578125" style="840" customWidth="1"/>
    <col min="5129" max="5129" width="12.5703125" style="840" bestFit="1" customWidth="1"/>
    <col min="5130" max="5366" width="9.140625" style="840"/>
    <col min="5367" max="5367" width="4.5703125" style="840" customWidth="1"/>
    <col min="5368" max="5368" width="13.42578125" style="840" customWidth="1"/>
    <col min="5369" max="5369" width="15.42578125" style="840" customWidth="1"/>
    <col min="5370" max="5370" width="17.42578125" style="840" bestFit="1" customWidth="1"/>
    <col min="5371" max="5371" width="13" style="840" customWidth="1"/>
    <col min="5372" max="5372" width="14.42578125" style="840" customWidth="1"/>
    <col min="5373" max="5373" width="13" style="840" customWidth="1"/>
    <col min="5374" max="5374" width="14.42578125" style="840" bestFit="1" customWidth="1"/>
    <col min="5375" max="5375" width="17.42578125" style="840" customWidth="1"/>
    <col min="5376" max="5376" width="15.42578125" style="840" customWidth="1"/>
    <col min="5377" max="5377" width="5.85546875" style="840" customWidth="1"/>
    <col min="5378" max="5378" width="30.85546875" style="840" bestFit="1" customWidth="1"/>
    <col min="5379" max="5379" width="11.85546875" style="840" customWidth="1"/>
    <col min="5380" max="5380" width="1.5703125" style="840" customWidth="1"/>
    <col min="5381" max="5381" width="26.5703125" style="840" customWidth="1"/>
    <col min="5382" max="5382" width="14.5703125" style="840" customWidth="1"/>
    <col min="5383" max="5383" width="9.140625" style="840"/>
    <col min="5384" max="5384" width="24.42578125" style="840" customWidth="1"/>
    <col min="5385" max="5385" width="12.5703125" style="840" bestFit="1" customWidth="1"/>
    <col min="5386" max="5622" width="9.140625" style="840"/>
    <col min="5623" max="5623" width="4.5703125" style="840" customWidth="1"/>
    <col min="5624" max="5624" width="13.42578125" style="840" customWidth="1"/>
    <col min="5625" max="5625" width="15.42578125" style="840" customWidth="1"/>
    <col min="5626" max="5626" width="17.42578125" style="840" bestFit="1" customWidth="1"/>
    <col min="5627" max="5627" width="13" style="840" customWidth="1"/>
    <col min="5628" max="5628" width="14.42578125" style="840" customWidth="1"/>
    <col min="5629" max="5629" width="13" style="840" customWidth="1"/>
    <col min="5630" max="5630" width="14.42578125" style="840" bestFit="1" customWidth="1"/>
    <col min="5631" max="5631" width="17.42578125" style="840" customWidth="1"/>
    <col min="5632" max="5632" width="15.42578125" style="840" customWidth="1"/>
    <col min="5633" max="5633" width="5.85546875" style="840" customWidth="1"/>
    <col min="5634" max="5634" width="30.85546875" style="840" bestFit="1" customWidth="1"/>
    <col min="5635" max="5635" width="11.85546875" style="840" customWidth="1"/>
    <col min="5636" max="5636" width="1.5703125" style="840" customWidth="1"/>
    <col min="5637" max="5637" width="26.5703125" style="840" customWidth="1"/>
    <col min="5638" max="5638" width="14.5703125" style="840" customWidth="1"/>
    <col min="5639" max="5639" width="9.140625" style="840"/>
    <col min="5640" max="5640" width="24.42578125" style="840" customWidth="1"/>
    <col min="5641" max="5641" width="12.5703125" style="840" bestFit="1" customWidth="1"/>
    <col min="5642" max="5878" width="9.140625" style="840"/>
    <col min="5879" max="5879" width="4.5703125" style="840" customWidth="1"/>
    <col min="5880" max="5880" width="13.42578125" style="840" customWidth="1"/>
    <col min="5881" max="5881" width="15.42578125" style="840" customWidth="1"/>
    <col min="5882" max="5882" width="17.42578125" style="840" bestFit="1" customWidth="1"/>
    <col min="5883" max="5883" width="13" style="840" customWidth="1"/>
    <col min="5884" max="5884" width="14.42578125" style="840" customWidth="1"/>
    <col min="5885" max="5885" width="13" style="840" customWidth="1"/>
    <col min="5886" max="5886" width="14.42578125" style="840" bestFit="1" customWidth="1"/>
    <col min="5887" max="5887" width="17.42578125" style="840" customWidth="1"/>
    <col min="5888" max="5888" width="15.42578125" style="840" customWidth="1"/>
    <col min="5889" max="5889" width="5.85546875" style="840" customWidth="1"/>
    <col min="5890" max="5890" width="30.85546875" style="840" bestFit="1" customWidth="1"/>
    <col min="5891" max="5891" width="11.85546875" style="840" customWidth="1"/>
    <col min="5892" max="5892" width="1.5703125" style="840" customWidth="1"/>
    <col min="5893" max="5893" width="26.5703125" style="840" customWidth="1"/>
    <col min="5894" max="5894" width="14.5703125" style="840" customWidth="1"/>
    <col min="5895" max="5895" width="9.140625" style="840"/>
    <col min="5896" max="5896" width="24.42578125" style="840" customWidth="1"/>
    <col min="5897" max="5897" width="12.5703125" style="840" bestFit="1" customWidth="1"/>
    <col min="5898" max="6134" width="9.140625" style="840"/>
    <col min="6135" max="6135" width="4.5703125" style="840" customWidth="1"/>
    <col min="6136" max="6136" width="13.42578125" style="840" customWidth="1"/>
    <col min="6137" max="6137" width="15.42578125" style="840" customWidth="1"/>
    <col min="6138" max="6138" width="17.42578125" style="840" bestFit="1" customWidth="1"/>
    <col min="6139" max="6139" width="13" style="840" customWidth="1"/>
    <col min="6140" max="6140" width="14.42578125" style="840" customWidth="1"/>
    <col min="6141" max="6141" width="13" style="840" customWidth="1"/>
    <col min="6142" max="6142" width="14.42578125" style="840" bestFit="1" customWidth="1"/>
    <col min="6143" max="6143" width="17.42578125" style="840" customWidth="1"/>
    <col min="6144" max="6144" width="15.42578125" style="840" customWidth="1"/>
    <col min="6145" max="6145" width="5.85546875" style="840" customWidth="1"/>
    <col min="6146" max="6146" width="30.85546875" style="840" bestFit="1" customWidth="1"/>
    <col min="6147" max="6147" width="11.85546875" style="840" customWidth="1"/>
    <col min="6148" max="6148" width="1.5703125" style="840" customWidth="1"/>
    <col min="6149" max="6149" width="26.5703125" style="840" customWidth="1"/>
    <col min="6150" max="6150" width="14.5703125" style="840" customWidth="1"/>
    <col min="6151" max="6151" width="9.140625" style="840"/>
    <col min="6152" max="6152" width="24.42578125" style="840" customWidth="1"/>
    <col min="6153" max="6153" width="12.5703125" style="840" bestFit="1" customWidth="1"/>
    <col min="6154" max="6390" width="9.140625" style="840"/>
    <col min="6391" max="6391" width="4.5703125" style="840" customWidth="1"/>
    <col min="6392" max="6392" width="13.42578125" style="840" customWidth="1"/>
    <col min="6393" max="6393" width="15.42578125" style="840" customWidth="1"/>
    <col min="6394" max="6394" width="17.42578125" style="840" bestFit="1" customWidth="1"/>
    <col min="6395" max="6395" width="13" style="840" customWidth="1"/>
    <col min="6396" max="6396" width="14.42578125" style="840" customWidth="1"/>
    <col min="6397" max="6397" width="13" style="840" customWidth="1"/>
    <col min="6398" max="6398" width="14.42578125" style="840" bestFit="1" customWidth="1"/>
    <col min="6399" max="6399" width="17.42578125" style="840" customWidth="1"/>
    <col min="6400" max="6400" width="15.42578125" style="840" customWidth="1"/>
    <col min="6401" max="6401" width="5.85546875" style="840" customWidth="1"/>
    <col min="6402" max="6402" width="30.85546875" style="840" bestFit="1" customWidth="1"/>
    <col min="6403" max="6403" width="11.85546875" style="840" customWidth="1"/>
    <col min="6404" max="6404" width="1.5703125" style="840" customWidth="1"/>
    <col min="6405" max="6405" width="26.5703125" style="840" customWidth="1"/>
    <col min="6406" max="6406" width="14.5703125" style="840" customWidth="1"/>
    <col min="6407" max="6407" width="9.140625" style="840"/>
    <col min="6408" max="6408" width="24.42578125" style="840" customWidth="1"/>
    <col min="6409" max="6409" width="12.5703125" style="840" bestFit="1" customWidth="1"/>
    <col min="6410" max="6646" width="9.140625" style="840"/>
    <col min="6647" max="6647" width="4.5703125" style="840" customWidth="1"/>
    <col min="6648" max="6648" width="13.42578125" style="840" customWidth="1"/>
    <col min="6649" max="6649" width="15.42578125" style="840" customWidth="1"/>
    <col min="6650" max="6650" width="17.42578125" style="840" bestFit="1" customWidth="1"/>
    <col min="6651" max="6651" width="13" style="840" customWidth="1"/>
    <col min="6652" max="6652" width="14.42578125" style="840" customWidth="1"/>
    <col min="6653" max="6653" width="13" style="840" customWidth="1"/>
    <col min="6654" max="6654" width="14.42578125" style="840" bestFit="1" customWidth="1"/>
    <col min="6655" max="6655" width="17.42578125" style="840" customWidth="1"/>
    <col min="6656" max="6656" width="15.42578125" style="840" customWidth="1"/>
    <col min="6657" max="6657" width="5.85546875" style="840" customWidth="1"/>
    <col min="6658" max="6658" width="30.85546875" style="840" bestFit="1" customWidth="1"/>
    <col min="6659" max="6659" width="11.85546875" style="840" customWidth="1"/>
    <col min="6660" max="6660" width="1.5703125" style="840" customWidth="1"/>
    <col min="6661" max="6661" width="26.5703125" style="840" customWidth="1"/>
    <col min="6662" max="6662" width="14.5703125" style="840" customWidth="1"/>
    <col min="6663" max="6663" width="9.140625" style="840"/>
    <col min="6664" max="6664" width="24.42578125" style="840" customWidth="1"/>
    <col min="6665" max="6665" width="12.5703125" style="840" bestFit="1" customWidth="1"/>
    <col min="6666" max="6902" width="9.140625" style="840"/>
    <col min="6903" max="6903" width="4.5703125" style="840" customWidth="1"/>
    <col min="6904" max="6904" width="13.42578125" style="840" customWidth="1"/>
    <col min="6905" max="6905" width="15.42578125" style="840" customWidth="1"/>
    <col min="6906" max="6906" width="17.42578125" style="840" bestFit="1" customWidth="1"/>
    <col min="6907" max="6907" width="13" style="840" customWidth="1"/>
    <col min="6908" max="6908" width="14.42578125" style="840" customWidth="1"/>
    <col min="6909" max="6909" width="13" style="840" customWidth="1"/>
    <col min="6910" max="6910" width="14.42578125" style="840" bestFit="1" customWidth="1"/>
    <col min="6911" max="6911" width="17.42578125" style="840" customWidth="1"/>
    <col min="6912" max="6912" width="15.42578125" style="840" customWidth="1"/>
    <col min="6913" max="6913" width="5.85546875" style="840" customWidth="1"/>
    <col min="6914" max="6914" width="30.85546875" style="840" bestFit="1" customWidth="1"/>
    <col min="6915" max="6915" width="11.85546875" style="840" customWidth="1"/>
    <col min="6916" max="6916" width="1.5703125" style="840" customWidth="1"/>
    <col min="6917" max="6917" width="26.5703125" style="840" customWidth="1"/>
    <col min="6918" max="6918" width="14.5703125" style="840" customWidth="1"/>
    <col min="6919" max="6919" width="9.140625" style="840"/>
    <col min="6920" max="6920" width="24.42578125" style="840" customWidth="1"/>
    <col min="6921" max="6921" width="12.5703125" style="840" bestFit="1" customWidth="1"/>
    <col min="6922" max="7158" width="9.140625" style="840"/>
    <col min="7159" max="7159" width="4.5703125" style="840" customWidth="1"/>
    <col min="7160" max="7160" width="13.42578125" style="840" customWidth="1"/>
    <col min="7161" max="7161" width="15.42578125" style="840" customWidth="1"/>
    <col min="7162" max="7162" width="17.42578125" style="840" bestFit="1" customWidth="1"/>
    <col min="7163" max="7163" width="13" style="840" customWidth="1"/>
    <col min="7164" max="7164" width="14.42578125" style="840" customWidth="1"/>
    <col min="7165" max="7165" width="13" style="840" customWidth="1"/>
    <col min="7166" max="7166" width="14.42578125" style="840" bestFit="1" customWidth="1"/>
    <col min="7167" max="7167" width="17.42578125" style="840" customWidth="1"/>
    <col min="7168" max="7168" width="15.42578125" style="840" customWidth="1"/>
    <col min="7169" max="7169" width="5.85546875" style="840" customWidth="1"/>
    <col min="7170" max="7170" width="30.85546875" style="840" bestFit="1" customWidth="1"/>
    <col min="7171" max="7171" width="11.85546875" style="840" customWidth="1"/>
    <col min="7172" max="7172" width="1.5703125" style="840" customWidth="1"/>
    <col min="7173" max="7173" width="26.5703125" style="840" customWidth="1"/>
    <col min="7174" max="7174" width="14.5703125" style="840" customWidth="1"/>
    <col min="7175" max="7175" width="9.140625" style="840"/>
    <col min="7176" max="7176" width="24.42578125" style="840" customWidth="1"/>
    <col min="7177" max="7177" width="12.5703125" style="840" bestFit="1" customWidth="1"/>
    <col min="7178" max="7414" width="9.140625" style="840"/>
    <col min="7415" max="7415" width="4.5703125" style="840" customWidth="1"/>
    <col min="7416" max="7416" width="13.42578125" style="840" customWidth="1"/>
    <col min="7417" max="7417" width="15.42578125" style="840" customWidth="1"/>
    <col min="7418" max="7418" width="17.42578125" style="840" bestFit="1" customWidth="1"/>
    <col min="7419" max="7419" width="13" style="840" customWidth="1"/>
    <col min="7420" max="7420" width="14.42578125" style="840" customWidth="1"/>
    <col min="7421" max="7421" width="13" style="840" customWidth="1"/>
    <col min="7422" max="7422" width="14.42578125" style="840" bestFit="1" customWidth="1"/>
    <col min="7423" max="7423" width="17.42578125" style="840" customWidth="1"/>
    <col min="7424" max="7424" width="15.42578125" style="840" customWidth="1"/>
    <col min="7425" max="7425" width="5.85546875" style="840" customWidth="1"/>
    <col min="7426" max="7426" width="30.85546875" style="840" bestFit="1" customWidth="1"/>
    <col min="7427" max="7427" width="11.85546875" style="840" customWidth="1"/>
    <col min="7428" max="7428" width="1.5703125" style="840" customWidth="1"/>
    <col min="7429" max="7429" width="26.5703125" style="840" customWidth="1"/>
    <col min="7430" max="7430" width="14.5703125" style="840" customWidth="1"/>
    <col min="7431" max="7431" width="9.140625" style="840"/>
    <col min="7432" max="7432" width="24.42578125" style="840" customWidth="1"/>
    <col min="7433" max="7433" width="12.5703125" style="840" bestFit="1" customWidth="1"/>
    <col min="7434" max="7670" width="9.140625" style="840"/>
    <col min="7671" max="7671" width="4.5703125" style="840" customWidth="1"/>
    <col min="7672" max="7672" width="13.42578125" style="840" customWidth="1"/>
    <col min="7673" max="7673" width="15.42578125" style="840" customWidth="1"/>
    <col min="7674" max="7674" width="17.42578125" style="840" bestFit="1" customWidth="1"/>
    <col min="7675" max="7675" width="13" style="840" customWidth="1"/>
    <col min="7676" max="7676" width="14.42578125" style="840" customWidth="1"/>
    <col min="7677" max="7677" width="13" style="840" customWidth="1"/>
    <col min="7678" max="7678" width="14.42578125" style="840" bestFit="1" customWidth="1"/>
    <col min="7679" max="7679" width="17.42578125" style="840" customWidth="1"/>
    <col min="7680" max="7680" width="15.42578125" style="840" customWidth="1"/>
    <col min="7681" max="7681" width="5.85546875" style="840" customWidth="1"/>
    <col min="7682" max="7682" width="30.85546875" style="840" bestFit="1" customWidth="1"/>
    <col min="7683" max="7683" width="11.85546875" style="840" customWidth="1"/>
    <col min="7684" max="7684" width="1.5703125" style="840" customWidth="1"/>
    <col min="7685" max="7685" width="26.5703125" style="840" customWidth="1"/>
    <col min="7686" max="7686" width="14.5703125" style="840" customWidth="1"/>
    <col min="7687" max="7687" width="9.140625" style="840"/>
    <col min="7688" max="7688" width="24.42578125" style="840" customWidth="1"/>
    <col min="7689" max="7689" width="12.5703125" style="840" bestFit="1" customWidth="1"/>
    <col min="7690" max="7926" width="9.140625" style="840"/>
    <col min="7927" max="7927" width="4.5703125" style="840" customWidth="1"/>
    <col min="7928" max="7928" width="13.42578125" style="840" customWidth="1"/>
    <col min="7929" max="7929" width="15.42578125" style="840" customWidth="1"/>
    <col min="7930" max="7930" width="17.42578125" style="840" bestFit="1" customWidth="1"/>
    <col min="7931" max="7931" width="13" style="840" customWidth="1"/>
    <col min="7932" max="7932" width="14.42578125" style="840" customWidth="1"/>
    <col min="7933" max="7933" width="13" style="840" customWidth="1"/>
    <col min="7934" max="7934" width="14.42578125" style="840" bestFit="1" customWidth="1"/>
    <col min="7935" max="7935" width="17.42578125" style="840" customWidth="1"/>
    <col min="7936" max="7936" width="15.42578125" style="840" customWidth="1"/>
    <col min="7937" max="7937" width="5.85546875" style="840" customWidth="1"/>
    <col min="7938" max="7938" width="30.85546875" style="840" bestFit="1" customWidth="1"/>
    <col min="7939" max="7939" width="11.85546875" style="840" customWidth="1"/>
    <col min="7940" max="7940" width="1.5703125" style="840" customWidth="1"/>
    <col min="7941" max="7941" width="26.5703125" style="840" customWidth="1"/>
    <col min="7942" max="7942" width="14.5703125" style="840" customWidth="1"/>
    <col min="7943" max="7943" width="9.140625" style="840"/>
    <col min="7944" max="7944" width="24.42578125" style="840" customWidth="1"/>
    <col min="7945" max="7945" width="12.5703125" style="840" bestFit="1" customWidth="1"/>
    <col min="7946" max="8182" width="9.140625" style="840"/>
    <col min="8183" max="8183" width="4.5703125" style="840" customWidth="1"/>
    <col min="8184" max="8184" width="13.42578125" style="840" customWidth="1"/>
    <col min="8185" max="8185" width="15.42578125" style="840" customWidth="1"/>
    <col min="8186" max="8186" width="17.42578125" style="840" bestFit="1" customWidth="1"/>
    <col min="8187" max="8187" width="13" style="840" customWidth="1"/>
    <col min="8188" max="8188" width="14.42578125" style="840" customWidth="1"/>
    <col min="8189" max="8189" width="13" style="840" customWidth="1"/>
    <col min="8190" max="8190" width="14.42578125" style="840" bestFit="1" customWidth="1"/>
    <col min="8191" max="8191" width="17.42578125" style="840" customWidth="1"/>
    <col min="8192" max="8192" width="15.42578125" style="840" customWidth="1"/>
    <col min="8193" max="8193" width="5.85546875" style="840" customWidth="1"/>
    <col min="8194" max="8194" width="30.85546875" style="840" bestFit="1" customWidth="1"/>
    <col min="8195" max="8195" width="11.85546875" style="840" customWidth="1"/>
    <col min="8196" max="8196" width="1.5703125" style="840" customWidth="1"/>
    <col min="8197" max="8197" width="26.5703125" style="840" customWidth="1"/>
    <col min="8198" max="8198" width="14.5703125" style="840" customWidth="1"/>
    <col min="8199" max="8199" width="9.140625" style="840"/>
    <col min="8200" max="8200" width="24.42578125" style="840" customWidth="1"/>
    <col min="8201" max="8201" width="12.5703125" style="840" bestFit="1" customWidth="1"/>
    <col min="8202" max="8438" width="9.140625" style="840"/>
    <col min="8439" max="8439" width="4.5703125" style="840" customWidth="1"/>
    <col min="8440" max="8440" width="13.42578125" style="840" customWidth="1"/>
    <col min="8441" max="8441" width="15.42578125" style="840" customWidth="1"/>
    <col min="8442" max="8442" width="17.42578125" style="840" bestFit="1" customWidth="1"/>
    <col min="8443" max="8443" width="13" style="840" customWidth="1"/>
    <col min="8444" max="8444" width="14.42578125" style="840" customWidth="1"/>
    <col min="8445" max="8445" width="13" style="840" customWidth="1"/>
    <col min="8446" max="8446" width="14.42578125" style="840" bestFit="1" customWidth="1"/>
    <col min="8447" max="8447" width="17.42578125" style="840" customWidth="1"/>
    <col min="8448" max="8448" width="15.42578125" style="840" customWidth="1"/>
    <col min="8449" max="8449" width="5.85546875" style="840" customWidth="1"/>
    <col min="8450" max="8450" width="30.85546875" style="840" bestFit="1" customWidth="1"/>
    <col min="8451" max="8451" width="11.85546875" style="840" customWidth="1"/>
    <col min="8452" max="8452" width="1.5703125" style="840" customWidth="1"/>
    <col min="8453" max="8453" width="26.5703125" style="840" customWidth="1"/>
    <col min="8454" max="8454" width="14.5703125" style="840" customWidth="1"/>
    <col min="8455" max="8455" width="9.140625" style="840"/>
    <col min="8456" max="8456" width="24.42578125" style="840" customWidth="1"/>
    <col min="8457" max="8457" width="12.5703125" style="840" bestFit="1" customWidth="1"/>
    <col min="8458" max="8694" width="9.140625" style="840"/>
    <col min="8695" max="8695" width="4.5703125" style="840" customWidth="1"/>
    <col min="8696" max="8696" width="13.42578125" style="840" customWidth="1"/>
    <col min="8697" max="8697" width="15.42578125" style="840" customWidth="1"/>
    <col min="8698" max="8698" width="17.42578125" style="840" bestFit="1" customWidth="1"/>
    <col min="8699" max="8699" width="13" style="840" customWidth="1"/>
    <col min="8700" max="8700" width="14.42578125" style="840" customWidth="1"/>
    <col min="8701" max="8701" width="13" style="840" customWidth="1"/>
    <col min="8702" max="8702" width="14.42578125" style="840" bestFit="1" customWidth="1"/>
    <col min="8703" max="8703" width="17.42578125" style="840" customWidth="1"/>
    <col min="8704" max="8704" width="15.42578125" style="840" customWidth="1"/>
    <col min="8705" max="8705" width="5.85546875" style="840" customWidth="1"/>
    <col min="8706" max="8706" width="30.85546875" style="840" bestFit="1" customWidth="1"/>
    <col min="8707" max="8707" width="11.85546875" style="840" customWidth="1"/>
    <col min="8708" max="8708" width="1.5703125" style="840" customWidth="1"/>
    <col min="8709" max="8709" width="26.5703125" style="840" customWidth="1"/>
    <col min="8710" max="8710" width="14.5703125" style="840" customWidth="1"/>
    <col min="8711" max="8711" width="9.140625" style="840"/>
    <col min="8712" max="8712" width="24.42578125" style="840" customWidth="1"/>
    <col min="8713" max="8713" width="12.5703125" style="840" bestFit="1" customWidth="1"/>
    <col min="8714" max="8950" width="9.140625" style="840"/>
    <col min="8951" max="8951" width="4.5703125" style="840" customWidth="1"/>
    <col min="8952" max="8952" width="13.42578125" style="840" customWidth="1"/>
    <col min="8953" max="8953" width="15.42578125" style="840" customWidth="1"/>
    <col min="8954" max="8954" width="17.42578125" style="840" bestFit="1" customWidth="1"/>
    <col min="8955" max="8955" width="13" style="840" customWidth="1"/>
    <col min="8956" max="8956" width="14.42578125" style="840" customWidth="1"/>
    <col min="8957" max="8957" width="13" style="840" customWidth="1"/>
    <col min="8958" max="8958" width="14.42578125" style="840" bestFit="1" customWidth="1"/>
    <col min="8959" max="8959" width="17.42578125" style="840" customWidth="1"/>
    <col min="8960" max="8960" width="15.42578125" style="840" customWidth="1"/>
    <col min="8961" max="8961" width="5.85546875" style="840" customWidth="1"/>
    <col min="8962" max="8962" width="30.85546875" style="840" bestFit="1" customWidth="1"/>
    <col min="8963" max="8963" width="11.85546875" style="840" customWidth="1"/>
    <col min="8964" max="8964" width="1.5703125" style="840" customWidth="1"/>
    <col min="8965" max="8965" width="26.5703125" style="840" customWidth="1"/>
    <col min="8966" max="8966" width="14.5703125" style="840" customWidth="1"/>
    <col min="8967" max="8967" width="9.140625" style="840"/>
    <col min="8968" max="8968" width="24.42578125" style="840" customWidth="1"/>
    <col min="8969" max="8969" width="12.5703125" style="840" bestFit="1" customWidth="1"/>
    <col min="8970" max="9206" width="9.140625" style="840"/>
    <col min="9207" max="9207" width="4.5703125" style="840" customWidth="1"/>
    <col min="9208" max="9208" width="13.42578125" style="840" customWidth="1"/>
    <col min="9209" max="9209" width="15.42578125" style="840" customWidth="1"/>
    <col min="9210" max="9210" width="17.42578125" style="840" bestFit="1" customWidth="1"/>
    <col min="9211" max="9211" width="13" style="840" customWidth="1"/>
    <col min="9212" max="9212" width="14.42578125" style="840" customWidth="1"/>
    <col min="9213" max="9213" width="13" style="840" customWidth="1"/>
    <col min="9214" max="9214" width="14.42578125" style="840" bestFit="1" customWidth="1"/>
    <col min="9215" max="9215" width="17.42578125" style="840" customWidth="1"/>
    <col min="9216" max="9216" width="15.42578125" style="840" customWidth="1"/>
    <col min="9217" max="9217" width="5.85546875" style="840" customWidth="1"/>
    <col min="9218" max="9218" width="30.85546875" style="840" bestFit="1" customWidth="1"/>
    <col min="9219" max="9219" width="11.85546875" style="840" customWidth="1"/>
    <col min="9220" max="9220" width="1.5703125" style="840" customWidth="1"/>
    <col min="9221" max="9221" width="26.5703125" style="840" customWidth="1"/>
    <col min="9222" max="9222" width="14.5703125" style="840" customWidth="1"/>
    <col min="9223" max="9223" width="9.140625" style="840"/>
    <col min="9224" max="9224" width="24.42578125" style="840" customWidth="1"/>
    <col min="9225" max="9225" width="12.5703125" style="840" bestFit="1" customWidth="1"/>
    <col min="9226" max="9462" width="9.140625" style="840"/>
    <col min="9463" max="9463" width="4.5703125" style="840" customWidth="1"/>
    <col min="9464" max="9464" width="13.42578125" style="840" customWidth="1"/>
    <col min="9465" max="9465" width="15.42578125" style="840" customWidth="1"/>
    <col min="9466" max="9466" width="17.42578125" style="840" bestFit="1" customWidth="1"/>
    <col min="9467" max="9467" width="13" style="840" customWidth="1"/>
    <col min="9468" max="9468" width="14.42578125" style="840" customWidth="1"/>
    <col min="9469" max="9469" width="13" style="840" customWidth="1"/>
    <col min="9470" max="9470" width="14.42578125" style="840" bestFit="1" customWidth="1"/>
    <col min="9471" max="9471" width="17.42578125" style="840" customWidth="1"/>
    <col min="9472" max="9472" width="15.42578125" style="840" customWidth="1"/>
    <col min="9473" max="9473" width="5.85546875" style="840" customWidth="1"/>
    <col min="9474" max="9474" width="30.85546875" style="840" bestFit="1" customWidth="1"/>
    <col min="9475" max="9475" width="11.85546875" style="840" customWidth="1"/>
    <col min="9476" max="9476" width="1.5703125" style="840" customWidth="1"/>
    <col min="9477" max="9477" width="26.5703125" style="840" customWidth="1"/>
    <col min="9478" max="9478" width="14.5703125" style="840" customWidth="1"/>
    <col min="9479" max="9479" width="9.140625" style="840"/>
    <col min="9480" max="9480" width="24.42578125" style="840" customWidth="1"/>
    <col min="9481" max="9481" width="12.5703125" style="840" bestFit="1" customWidth="1"/>
    <col min="9482" max="9718" width="9.140625" style="840"/>
    <col min="9719" max="9719" width="4.5703125" style="840" customWidth="1"/>
    <col min="9720" max="9720" width="13.42578125" style="840" customWidth="1"/>
    <col min="9721" max="9721" width="15.42578125" style="840" customWidth="1"/>
    <col min="9722" max="9722" width="17.42578125" style="840" bestFit="1" customWidth="1"/>
    <col min="9723" max="9723" width="13" style="840" customWidth="1"/>
    <col min="9724" max="9724" width="14.42578125" style="840" customWidth="1"/>
    <col min="9725" max="9725" width="13" style="840" customWidth="1"/>
    <col min="9726" max="9726" width="14.42578125" style="840" bestFit="1" customWidth="1"/>
    <col min="9727" max="9727" width="17.42578125" style="840" customWidth="1"/>
    <col min="9728" max="9728" width="15.42578125" style="840" customWidth="1"/>
    <col min="9729" max="9729" width="5.85546875" style="840" customWidth="1"/>
    <col min="9730" max="9730" width="30.85546875" style="840" bestFit="1" customWidth="1"/>
    <col min="9731" max="9731" width="11.85546875" style="840" customWidth="1"/>
    <col min="9732" max="9732" width="1.5703125" style="840" customWidth="1"/>
    <col min="9733" max="9733" width="26.5703125" style="840" customWidth="1"/>
    <col min="9734" max="9734" width="14.5703125" style="840" customWidth="1"/>
    <col min="9735" max="9735" width="9.140625" style="840"/>
    <col min="9736" max="9736" width="24.42578125" style="840" customWidth="1"/>
    <col min="9737" max="9737" width="12.5703125" style="840" bestFit="1" customWidth="1"/>
    <col min="9738" max="9974" width="9.140625" style="840"/>
    <col min="9975" max="9975" width="4.5703125" style="840" customWidth="1"/>
    <col min="9976" max="9976" width="13.42578125" style="840" customWidth="1"/>
    <col min="9977" max="9977" width="15.42578125" style="840" customWidth="1"/>
    <col min="9978" max="9978" width="17.42578125" style="840" bestFit="1" customWidth="1"/>
    <col min="9979" max="9979" width="13" style="840" customWidth="1"/>
    <col min="9980" max="9980" width="14.42578125" style="840" customWidth="1"/>
    <col min="9981" max="9981" width="13" style="840" customWidth="1"/>
    <col min="9982" max="9982" width="14.42578125" style="840" bestFit="1" customWidth="1"/>
    <col min="9983" max="9983" width="17.42578125" style="840" customWidth="1"/>
    <col min="9984" max="9984" width="15.42578125" style="840" customWidth="1"/>
    <col min="9985" max="9985" width="5.85546875" style="840" customWidth="1"/>
    <col min="9986" max="9986" width="30.85546875" style="840" bestFit="1" customWidth="1"/>
    <col min="9987" max="9987" width="11.85546875" style="840" customWidth="1"/>
    <col min="9988" max="9988" width="1.5703125" style="840" customWidth="1"/>
    <col min="9989" max="9989" width="26.5703125" style="840" customWidth="1"/>
    <col min="9990" max="9990" width="14.5703125" style="840" customWidth="1"/>
    <col min="9991" max="9991" width="9.140625" style="840"/>
    <col min="9992" max="9992" width="24.42578125" style="840" customWidth="1"/>
    <col min="9993" max="9993" width="12.5703125" style="840" bestFit="1" customWidth="1"/>
    <col min="9994" max="10230" width="9.140625" style="840"/>
    <col min="10231" max="10231" width="4.5703125" style="840" customWidth="1"/>
    <col min="10232" max="10232" width="13.42578125" style="840" customWidth="1"/>
    <col min="10233" max="10233" width="15.42578125" style="840" customWidth="1"/>
    <col min="10234" max="10234" width="17.42578125" style="840" bestFit="1" customWidth="1"/>
    <col min="10235" max="10235" width="13" style="840" customWidth="1"/>
    <col min="10236" max="10236" width="14.42578125" style="840" customWidth="1"/>
    <col min="10237" max="10237" width="13" style="840" customWidth="1"/>
    <col min="10238" max="10238" width="14.42578125" style="840" bestFit="1" customWidth="1"/>
    <col min="10239" max="10239" width="17.42578125" style="840" customWidth="1"/>
    <col min="10240" max="10240" width="15.42578125" style="840" customWidth="1"/>
    <col min="10241" max="10241" width="5.85546875" style="840" customWidth="1"/>
    <col min="10242" max="10242" width="30.85546875" style="840" bestFit="1" customWidth="1"/>
    <col min="10243" max="10243" width="11.85546875" style="840" customWidth="1"/>
    <col min="10244" max="10244" width="1.5703125" style="840" customWidth="1"/>
    <col min="10245" max="10245" width="26.5703125" style="840" customWidth="1"/>
    <col min="10246" max="10246" width="14.5703125" style="840" customWidth="1"/>
    <col min="10247" max="10247" width="9.140625" style="840"/>
    <col min="10248" max="10248" width="24.42578125" style="840" customWidth="1"/>
    <col min="10249" max="10249" width="12.5703125" style="840" bestFit="1" customWidth="1"/>
    <col min="10250" max="10486" width="9.140625" style="840"/>
    <col min="10487" max="10487" width="4.5703125" style="840" customWidth="1"/>
    <col min="10488" max="10488" width="13.42578125" style="840" customWidth="1"/>
    <col min="10489" max="10489" width="15.42578125" style="840" customWidth="1"/>
    <col min="10490" max="10490" width="17.42578125" style="840" bestFit="1" customWidth="1"/>
    <col min="10491" max="10491" width="13" style="840" customWidth="1"/>
    <col min="10492" max="10492" width="14.42578125" style="840" customWidth="1"/>
    <col min="10493" max="10493" width="13" style="840" customWidth="1"/>
    <col min="10494" max="10494" width="14.42578125" style="840" bestFit="1" customWidth="1"/>
    <col min="10495" max="10495" width="17.42578125" style="840" customWidth="1"/>
    <col min="10496" max="10496" width="15.42578125" style="840" customWidth="1"/>
    <col min="10497" max="10497" width="5.85546875" style="840" customWidth="1"/>
    <col min="10498" max="10498" width="30.85546875" style="840" bestFit="1" customWidth="1"/>
    <col min="10499" max="10499" width="11.85546875" style="840" customWidth="1"/>
    <col min="10500" max="10500" width="1.5703125" style="840" customWidth="1"/>
    <col min="10501" max="10501" width="26.5703125" style="840" customWidth="1"/>
    <col min="10502" max="10502" width="14.5703125" style="840" customWidth="1"/>
    <col min="10503" max="10503" width="9.140625" style="840"/>
    <col min="10504" max="10504" width="24.42578125" style="840" customWidth="1"/>
    <col min="10505" max="10505" width="12.5703125" style="840" bestFit="1" customWidth="1"/>
    <col min="10506" max="10742" width="9.140625" style="840"/>
    <col min="10743" max="10743" width="4.5703125" style="840" customWidth="1"/>
    <col min="10744" max="10744" width="13.42578125" style="840" customWidth="1"/>
    <col min="10745" max="10745" width="15.42578125" style="840" customWidth="1"/>
    <col min="10746" max="10746" width="17.42578125" style="840" bestFit="1" customWidth="1"/>
    <col min="10747" max="10747" width="13" style="840" customWidth="1"/>
    <col min="10748" max="10748" width="14.42578125" style="840" customWidth="1"/>
    <col min="10749" max="10749" width="13" style="840" customWidth="1"/>
    <col min="10750" max="10750" width="14.42578125" style="840" bestFit="1" customWidth="1"/>
    <col min="10751" max="10751" width="17.42578125" style="840" customWidth="1"/>
    <col min="10752" max="10752" width="15.42578125" style="840" customWidth="1"/>
    <col min="10753" max="10753" width="5.85546875" style="840" customWidth="1"/>
    <col min="10754" max="10754" width="30.85546875" style="840" bestFit="1" customWidth="1"/>
    <col min="10755" max="10755" width="11.85546875" style="840" customWidth="1"/>
    <col min="10756" max="10756" width="1.5703125" style="840" customWidth="1"/>
    <col min="10757" max="10757" width="26.5703125" style="840" customWidth="1"/>
    <col min="10758" max="10758" width="14.5703125" style="840" customWidth="1"/>
    <col min="10759" max="10759" width="9.140625" style="840"/>
    <col min="10760" max="10760" width="24.42578125" style="840" customWidth="1"/>
    <col min="10761" max="10761" width="12.5703125" style="840" bestFit="1" customWidth="1"/>
    <col min="10762" max="10998" width="9.140625" style="840"/>
    <col min="10999" max="10999" width="4.5703125" style="840" customWidth="1"/>
    <col min="11000" max="11000" width="13.42578125" style="840" customWidth="1"/>
    <col min="11001" max="11001" width="15.42578125" style="840" customWidth="1"/>
    <col min="11002" max="11002" width="17.42578125" style="840" bestFit="1" customWidth="1"/>
    <col min="11003" max="11003" width="13" style="840" customWidth="1"/>
    <col min="11004" max="11004" width="14.42578125" style="840" customWidth="1"/>
    <col min="11005" max="11005" width="13" style="840" customWidth="1"/>
    <col min="11006" max="11006" width="14.42578125" style="840" bestFit="1" customWidth="1"/>
    <col min="11007" max="11007" width="17.42578125" style="840" customWidth="1"/>
    <col min="11008" max="11008" width="15.42578125" style="840" customWidth="1"/>
    <col min="11009" max="11009" width="5.85546875" style="840" customWidth="1"/>
    <col min="11010" max="11010" width="30.85546875" style="840" bestFit="1" customWidth="1"/>
    <col min="11011" max="11011" width="11.85546875" style="840" customWidth="1"/>
    <col min="11012" max="11012" width="1.5703125" style="840" customWidth="1"/>
    <col min="11013" max="11013" width="26.5703125" style="840" customWidth="1"/>
    <col min="11014" max="11014" width="14.5703125" style="840" customWidth="1"/>
    <col min="11015" max="11015" width="9.140625" style="840"/>
    <col min="11016" max="11016" width="24.42578125" style="840" customWidth="1"/>
    <col min="11017" max="11017" width="12.5703125" style="840" bestFit="1" customWidth="1"/>
    <col min="11018" max="11254" width="9.140625" style="840"/>
    <col min="11255" max="11255" width="4.5703125" style="840" customWidth="1"/>
    <col min="11256" max="11256" width="13.42578125" style="840" customWidth="1"/>
    <col min="11257" max="11257" width="15.42578125" style="840" customWidth="1"/>
    <col min="11258" max="11258" width="17.42578125" style="840" bestFit="1" customWidth="1"/>
    <col min="11259" max="11259" width="13" style="840" customWidth="1"/>
    <col min="11260" max="11260" width="14.42578125" style="840" customWidth="1"/>
    <col min="11261" max="11261" width="13" style="840" customWidth="1"/>
    <col min="11262" max="11262" width="14.42578125" style="840" bestFit="1" customWidth="1"/>
    <col min="11263" max="11263" width="17.42578125" style="840" customWidth="1"/>
    <col min="11264" max="11264" width="15.42578125" style="840" customWidth="1"/>
    <col min="11265" max="11265" width="5.85546875" style="840" customWidth="1"/>
    <col min="11266" max="11266" width="30.85546875" style="840" bestFit="1" customWidth="1"/>
    <col min="11267" max="11267" width="11.85546875" style="840" customWidth="1"/>
    <col min="11268" max="11268" width="1.5703125" style="840" customWidth="1"/>
    <col min="11269" max="11269" width="26.5703125" style="840" customWidth="1"/>
    <col min="11270" max="11270" width="14.5703125" style="840" customWidth="1"/>
    <col min="11271" max="11271" width="9.140625" style="840"/>
    <col min="11272" max="11272" width="24.42578125" style="840" customWidth="1"/>
    <col min="11273" max="11273" width="12.5703125" style="840" bestFit="1" customWidth="1"/>
    <col min="11274" max="11510" width="9.140625" style="840"/>
    <col min="11511" max="11511" width="4.5703125" style="840" customWidth="1"/>
    <col min="11512" max="11512" width="13.42578125" style="840" customWidth="1"/>
    <col min="11513" max="11513" width="15.42578125" style="840" customWidth="1"/>
    <col min="11514" max="11514" width="17.42578125" style="840" bestFit="1" customWidth="1"/>
    <col min="11515" max="11515" width="13" style="840" customWidth="1"/>
    <col min="11516" max="11516" width="14.42578125" style="840" customWidth="1"/>
    <col min="11517" max="11517" width="13" style="840" customWidth="1"/>
    <col min="11518" max="11518" width="14.42578125" style="840" bestFit="1" customWidth="1"/>
    <col min="11519" max="11519" width="17.42578125" style="840" customWidth="1"/>
    <col min="11520" max="11520" width="15.42578125" style="840" customWidth="1"/>
    <col min="11521" max="11521" width="5.85546875" style="840" customWidth="1"/>
    <col min="11522" max="11522" width="30.85546875" style="840" bestFit="1" customWidth="1"/>
    <col min="11523" max="11523" width="11.85546875" style="840" customWidth="1"/>
    <col min="11524" max="11524" width="1.5703125" style="840" customWidth="1"/>
    <col min="11525" max="11525" width="26.5703125" style="840" customWidth="1"/>
    <col min="11526" max="11526" width="14.5703125" style="840" customWidth="1"/>
    <col min="11527" max="11527" width="9.140625" style="840"/>
    <col min="11528" max="11528" width="24.42578125" style="840" customWidth="1"/>
    <col min="11529" max="11529" width="12.5703125" style="840" bestFit="1" customWidth="1"/>
    <col min="11530" max="11766" width="9.140625" style="840"/>
    <col min="11767" max="11767" width="4.5703125" style="840" customWidth="1"/>
    <col min="11768" max="11768" width="13.42578125" style="840" customWidth="1"/>
    <col min="11769" max="11769" width="15.42578125" style="840" customWidth="1"/>
    <col min="11770" max="11770" width="17.42578125" style="840" bestFit="1" customWidth="1"/>
    <col min="11771" max="11771" width="13" style="840" customWidth="1"/>
    <col min="11772" max="11772" width="14.42578125" style="840" customWidth="1"/>
    <col min="11773" max="11773" width="13" style="840" customWidth="1"/>
    <col min="11774" max="11774" width="14.42578125" style="840" bestFit="1" customWidth="1"/>
    <col min="11775" max="11775" width="17.42578125" style="840" customWidth="1"/>
    <col min="11776" max="11776" width="15.42578125" style="840" customWidth="1"/>
    <col min="11777" max="11777" width="5.85546875" style="840" customWidth="1"/>
    <col min="11778" max="11778" width="30.85546875" style="840" bestFit="1" customWidth="1"/>
    <col min="11779" max="11779" width="11.85546875" style="840" customWidth="1"/>
    <col min="11780" max="11780" width="1.5703125" style="840" customWidth="1"/>
    <col min="11781" max="11781" width="26.5703125" style="840" customWidth="1"/>
    <col min="11782" max="11782" width="14.5703125" style="840" customWidth="1"/>
    <col min="11783" max="11783" width="9.140625" style="840"/>
    <col min="11784" max="11784" width="24.42578125" style="840" customWidth="1"/>
    <col min="11785" max="11785" width="12.5703125" style="840" bestFit="1" customWidth="1"/>
    <col min="11786" max="12022" width="9.140625" style="840"/>
    <col min="12023" max="12023" width="4.5703125" style="840" customWidth="1"/>
    <col min="12024" max="12024" width="13.42578125" style="840" customWidth="1"/>
    <col min="12025" max="12025" width="15.42578125" style="840" customWidth="1"/>
    <col min="12026" max="12026" width="17.42578125" style="840" bestFit="1" customWidth="1"/>
    <col min="12027" max="12027" width="13" style="840" customWidth="1"/>
    <col min="12028" max="12028" width="14.42578125" style="840" customWidth="1"/>
    <col min="12029" max="12029" width="13" style="840" customWidth="1"/>
    <col min="12030" max="12030" width="14.42578125" style="840" bestFit="1" customWidth="1"/>
    <col min="12031" max="12031" width="17.42578125" style="840" customWidth="1"/>
    <col min="12032" max="12032" width="15.42578125" style="840" customWidth="1"/>
    <col min="12033" max="12033" width="5.85546875" style="840" customWidth="1"/>
    <col min="12034" max="12034" width="30.85546875" style="840" bestFit="1" customWidth="1"/>
    <col min="12035" max="12035" width="11.85546875" style="840" customWidth="1"/>
    <col min="12036" max="12036" width="1.5703125" style="840" customWidth="1"/>
    <col min="12037" max="12037" width="26.5703125" style="840" customWidth="1"/>
    <col min="12038" max="12038" width="14.5703125" style="840" customWidth="1"/>
    <col min="12039" max="12039" width="9.140625" style="840"/>
    <col min="12040" max="12040" width="24.42578125" style="840" customWidth="1"/>
    <col min="12041" max="12041" width="12.5703125" style="840" bestFit="1" customWidth="1"/>
    <col min="12042" max="12278" width="9.140625" style="840"/>
    <col min="12279" max="12279" width="4.5703125" style="840" customWidth="1"/>
    <col min="12280" max="12280" width="13.42578125" style="840" customWidth="1"/>
    <col min="12281" max="12281" width="15.42578125" style="840" customWidth="1"/>
    <col min="12282" max="12282" width="17.42578125" style="840" bestFit="1" customWidth="1"/>
    <col min="12283" max="12283" width="13" style="840" customWidth="1"/>
    <col min="12284" max="12284" width="14.42578125" style="840" customWidth="1"/>
    <col min="12285" max="12285" width="13" style="840" customWidth="1"/>
    <col min="12286" max="12286" width="14.42578125" style="840" bestFit="1" customWidth="1"/>
    <col min="12287" max="12287" width="17.42578125" style="840" customWidth="1"/>
    <col min="12288" max="12288" width="15.42578125" style="840" customWidth="1"/>
    <col min="12289" max="12289" width="5.85546875" style="840" customWidth="1"/>
    <col min="12290" max="12290" width="30.85546875" style="840" bestFit="1" customWidth="1"/>
    <col min="12291" max="12291" width="11.85546875" style="840" customWidth="1"/>
    <col min="12292" max="12292" width="1.5703125" style="840" customWidth="1"/>
    <col min="12293" max="12293" width="26.5703125" style="840" customWidth="1"/>
    <col min="12294" max="12294" width="14.5703125" style="840" customWidth="1"/>
    <col min="12295" max="12295" width="9.140625" style="840"/>
    <col min="12296" max="12296" width="24.42578125" style="840" customWidth="1"/>
    <col min="12297" max="12297" width="12.5703125" style="840" bestFit="1" customWidth="1"/>
    <col min="12298" max="12534" width="9.140625" style="840"/>
    <col min="12535" max="12535" width="4.5703125" style="840" customWidth="1"/>
    <col min="12536" max="12536" width="13.42578125" style="840" customWidth="1"/>
    <col min="12537" max="12537" width="15.42578125" style="840" customWidth="1"/>
    <col min="12538" max="12538" width="17.42578125" style="840" bestFit="1" customWidth="1"/>
    <col min="12539" max="12539" width="13" style="840" customWidth="1"/>
    <col min="12540" max="12540" width="14.42578125" style="840" customWidth="1"/>
    <col min="12541" max="12541" width="13" style="840" customWidth="1"/>
    <col min="12542" max="12542" width="14.42578125" style="840" bestFit="1" customWidth="1"/>
    <col min="12543" max="12543" width="17.42578125" style="840" customWidth="1"/>
    <col min="12544" max="12544" width="15.42578125" style="840" customWidth="1"/>
    <col min="12545" max="12545" width="5.85546875" style="840" customWidth="1"/>
    <col min="12546" max="12546" width="30.85546875" style="840" bestFit="1" customWidth="1"/>
    <col min="12547" max="12547" width="11.85546875" style="840" customWidth="1"/>
    <col min="12548" max="12548" width="1.5703125" style="840" customWidth="1"/>
    <col min="12549" max="12549" width="26.5703125" style="840" customWidth="1"/>
    <col min="12550" max="12550" width="14.5703125" style="840" customWidth="1"/>
    <col min="12551" max="12551" width="9.140625" style="840"/>
    <col min="12552" max="12552" width="24.42578125" style="840" customWidth="1"/>
    <col min="12553" max="12553" width="12.5703125" style="840" bestFit="1" customWidth="1"/>
    <col min="12554" max="12790" width="9.140625" style="840"/>
    <col min="12791" max="12791" width="4.5703125" style="840" customWidth="1"/>
    <col min="12792" max="12792" width="13.42578125" style="840" customWidth="1"/>
    <col min="12793" max="12793" width="15.42578125" style="840" customWidth="1"/>
    <col min="12794" max="12794" width="17.42578125" style="840" bestFit="1" customWidth="1"/>
    <col min="12795" max="12795" width="13" style="840" customWidth="1"/>
    <col min="12796" max="12796" width="14.42578125" style="840" customWidth="1"/>
    <col min="12797" max="12797" width="13" style="840" customWidth="1"/>
    <col min="12798" max="12798" width="14.42578125" style="840" bestFit="1" customWidth="1"/>
    <col min="12799" max="12799" width="17.42578125" style="840" customWidth="1"/>
    <col min="12800" max="12800" width="15.42578125" style="840" customWidth="1"/>
    <col min="12801" max="12801" width="5.85546875" style="840" customWidth="1"/>
    <col min="12802" max="12802" width="30.85546875" style="840" bestFit="1" customWidth="1"/>
    <col min="12803" max="12803" width="11.85546875" style="840" customWidth="1"/>
    <col min="12804" max="12804" width="1.5703125" style="840" customWidth="1"/>
    <col min="12805" max="12805" width="26.5703125" style="840" customWidth="1"/>
    <col min="12806" max="12806" width="14.5703125" style="840" customWidth="1"/>
    <col min="12807" max="12807" width="9.140625" style="840"/>
    <col min="12808" max="12808" width="24.42578125" style="840" customWidth="1"/>
    <col min="12809" max="12809" width="12.5703125" style="840" bestFit="1" customWidth="1"/>
    <col min="12810" max="13046" width="9.140625" style="840"/>
    <col min="13047" max="13047" width="4.5703125" style="840" customWidth="1"/>
    <col min="13048" max="13048" width="13.42578125" style="840" customWidth="1"/>
    <col min="13049" max="13049" width="15.42578125" style="840" customWidth="1"/>
    <col min="13050" max="13050" width="17.42578125" style="840" bestFit="1" customWidth="1"/>
    <col min="13051" max="13051" width="13" style="840" customWidth="1"/>
    <col min="13052" max="13052" width="14.42578125" style="840" customWidth="1"/>
    <col min="13053" max="13053" width="13" style="840" customWidth="1"/>
    <col min="13054" max="13054" width="14.42578125" style="840" bestFit="1" customWidth="1"/>
    <col min="13055" max="13055" width="17.42578125" style="840" customWidth="1"/>
    <col min="13056" max="13056" width="15.42578125" style="840" customWidth="1"/>
    <col min="13057" max="13057" width="5.85546875" style="840" customWidth="1"/>
    <col min="13058" max="13058" width="30.85546875" style="840" bestFit="1" customWidth="1"/>
    <col min="13059" max="13059" width="11.85546875" style="840" customWidth="1"/>
    <col min="13060" max="13060" width="1.5703125" style="840" customWidth="1"/>
    <col min="13061" max="13061" width="26.5703125" style="840" customWidth="1"/>
    <col min="13062" max="13062" width="14.5703125" style="840" customWidth="1"/>
    <col min="13063" max="13063" width="9.140625" style="840"/>
    <col min="13064" max="13064" width="24.42578125" style="840" customWidth="1"/>
    <col min="13065" max="13065" width="12.5703125" style="840" bestFit="1" customWidth="1"/>
    <col min="13066" max="13302" width="9.140625" style="840"/>
    <col min="13303" max="13303" width="4.5703125" style="840" customWidth="1"/>
    <col min="13304" max="13304" width="13.42578125" style="840" customWidth="1"/>
    <col min="13305" max="13305" width="15.42578125" style="840" customWidth="1"/>
    <col min="13306" max="13306" width="17.42578125" style="840" bestFit="1" customWidth="1"/>
    <col min="13307" max="13307" width="13" style="840" customWidth="1"/>
    <col min="13308" max="13308" width="14.42578125" style="840" customWidth="1"/>
    <col min="13309" max="13309" width="13" style="840" customWidth="1"/>
    <col min="13310" max="13310" width="14.42578125" style="840" bestFit="1" customWidth="1"/>
    <col min="13311" max="13311" width="17.42578125" style="840" customWidth="1"/>
    <col min="13312" max="13312" width="15.42578125" style="840" customWidth="1"/>
    <col min="13313" max="13313" width="5.85546875" style="840" customWidth="1"/>
    <col min="13314" max="13314" width="30.85546875" style="840" bestFit="1" customWidth="1"/>
    <col min="13315" max="13315" width="11.85546875" style="840" customWidth="1"/>
    <col min="13316" max="13316" width="1.5703125" style="840" customWidth="1"/>
    <col min="13317" max="13317" width="26.5703125" style="840" customWidth="1"/>
    <col min="13318" max="13318" width="14.5703125" style="840" customWidth="1"/>
    <col min="13319" max="13319" width="9.140625" style="840"/>
    <col min="13320" max="13320" width="24.42578125" style="840" customWidth="1"/>
    <col min="13321" max="13321" width="12.5703125" style="840" bestFit="1" customWidth="1"/>
    <col min="13322" max="13558" width="9.140625" style="840"/>
    <col min="13559" max="13559" width="4.5703125" style="840" customWidth="1"/>
    <col min="13560" max="13560" width="13.42578125" style="840" customWidth="1"/>
    <col min="13561" max="13561" width="15.42578125" style="840" customWidth="1"/>
    <col min="13562" max="13562" width="17.42578125" style="840" bestFit="1" customWidth="1"/>
    <col min="13563" max="13563" width="13" style="840" customWidth="1"/>
    <col min="13564" max="13564" width="14.42578125" style="840" customWidth="1"/>
    <col min="13565" max="13565" width="13" style="840" customWidth="1"/>
    <col min="13566" max="13566" width="14.42578125" style="840" bestFit="1" customWidth="1"/>
    <col min="13567" max="13567" width="17.42578125" style="840" customWidth="1"/>
    <col min="13568" max="13568" width="15.42578125" style="840" customWidth="1"/>
    <col min="13569" max="13569" width="5.85546875" style="840" customWidth="1"/>
    <col min="13570" max="13570" width="30.85546875" style="840" bestFit="1" customWidth="1"/>
    <col min="13571" max="13571" width="11.85546875" style="840" customWidth="1"/>
    <col min="13572" max="13572" width="1.5703125" style="840" customWidth="1"/>
    <col min="13573" max="13573" width="26.5703125" style="840" customWidth="1"/>
    <col min="13574" max="13574" width="14.5703125" style="840" customWidth="1"/>
    <col min="13575" max="13575" width="9.140625" style="840"/>
    <col min="13576" max="13576" width="24.42578125" style="840" customWidth="1"/>
    <col min="13577" max="13577" width="12.5703125" style="840" bestFit="1" customWidth="1"/>
    <col min="13578" max="13814" width="9.140625" style="840"/>
    <col min="13815" max="13815" width="4.5703125" style="840" customWidth="1"/>
    <col min="13816" max="13816" width="13.42578125" style="840" customWidth="1"/>
    <col min="13817" max="13817" width="15.42578125" style="840" customWidth="1"/>
    <col min="13818" max="13818" width="17.42578125" style="840" bestFit="1" customWidth="1"/>
    <col min="13819" max="13819" width="13" style="840" customWidth="1"/>
    <col min="13820" max="13820" width="14.42578125" style="840" customWidth="1"/>
    <col min="13821" max="13821" width="13" style="840" customWidth="1"/>
    <col min="13822" max="13822" width="14.42578125" style="840" bestFit="1" customWidth="1"/>
    <col min="13823" max="13823" width="17.42578125" style="840" customWidth="1"/>
    <col min="13824" max="13824" width="15.42578125" style="840" customWidth="1"/>
    <col min="13825" max="13825" width="5.85546875" style="840" customWidth="1"/>
    <col min="13826" max="13826" width="30.85546875" style="840" bestFit="1" customWidth="1"/>
    <col min="13827" max="13827" width="11.85546875" style="840" customWidth="1"/>
    <col min="13828" max="13828" width="1.5703125" style="840" customWidth="1"/>
    <col min="13829" max="13829" width="26.5703125" style="840" customWidth="1"/>
    <col min="13830" max="13830" width="14.5703125" style="840" customWidth="1"/>
    <col min="13831" max="13831" width="9.140625" style="840"/>
    <col min="13832" max="13832" width="24.42578125" style="840" customWidth="1"/>
    <col min="13833" max="13833" width="12.5703125" style="840" bestFit="1" customWidth="1"/>
    <col min="13834" max="14070" width="9.140625" style="840"/>
    <col min="14071" max="14071" width="4.5703125" style="840" customWidth="1"/>
    <col min="14072" max="14072" width="13.42578125" style="840" customWidth="1"/>
    <col min="14073" max="14073" width="15.42578125" style="840" customWidth="1"/>
    <col min="14074" max="14074" width="17.42578125" style="840" bestFit="1" customWidth="1"/>
    <col min="14075" max="14075" width="13" style="840" customWidth="1"/>
    <col min="14076" max="14076" width="14.42578125" style="840" customWidth="1"/>
    <col min="14077" max="14077" width="13" style="840" customWidth="1"/>
    <col min="14078" max="14078" width="14.42578125" style="840" bestFit="1" customWidth="1"/>
    <col min="14079" max="14079" width="17.42578125" style="840" customWidth="1"/>
    <col min="14080" max="14080" width="15.42578125" style="840" customWidth="1"/>
    <col min="14081" max="14081" width="5.85546875" style="840" customWidth="1"/>
    <col min="14082" max="14082" width="30.85546875" style="840" bestFit="1" customWidth="1"/>
    <col min="14083" max="14083" width="11.85546875" style="840" customWidth="1"/>
    <col min="14084" max="14084" width="1.5703125" style="840" customWidth="1"/>
    <col min="14085" max="14085" width="26.5703125" style="840" customWidth="1"/>
    <col min="14086" max="14086" width="14.5703125" style="840" customWidth="1"/>
    <col min="14087" max="14087" width="9.140625" style="840"/>
    <col min="14088" max="14088" width="24.42578125" style="840" customWidth="1"/>
    <col min="14089" max="14089" width="12.5703125" style="840" bestFit="1" customWidth="1"/>
    <col min="14090" max="14326" width="9.140625" style="840"/>
    <col min="14327" max="14327" width="4.5703125" style="840" customWidth="1"/>
    <col min="14328" max="14328" width="13.42578125" style="840" customWidth="1"/>
    <col min="14329" max="14329" width="15.42578125" style="840" customWidth="1"/>
    <col min="14330" max="14330" width="17.42578125" style="840" bestFit="1" customWidth="1"/>
    <col min="14331" max="14331" width="13" style="840" customWidth="1"/>
    <col min="14332" max="14332" width="14.42578125" style="840" customWidth="1"/>
    <col min="14333" max="14333" width="13" style="840" customWidth="1"/>
    <col min="14334" max="14334" width="14.42578125" style="840" bestFit="1" customWidth="1"/>
    <col min="14335" max="14335" width="17.42578125" style="840" customWidth="1"/>
    <col min="14336" max="14336" width="15.42578125" style="840" customWidth="1"/>
    <col min="14337" max="14337" width="5.85546875" style="840" customWidth="1"/>
    <col min="14338" max="14338" width="30.85546875" style="840" bestFit="1" customWidth="1"/>
    <col min="14339" max="14339" width="11.85546875" style="840" customWidth="1"/>
    <col min="14340" max="14340" width="1.5703125" style="840" customWidth="1"/>
    <col min="14341" max="14341" width="26.5703125" style="840" customWidth="1"/>
    <col min="14342" max="14342" width="14.5703125" style="840" customWidth="1"/>
    <col min="14343" max="14343" width="9.140625" style="840"/>
    <col min="14344" max="14344" width="24.42578125" style="840" customWidth="1"/>
    <col min="14345" max="14345" width="12.5703125" style="840" bestFit="1" customWidth="1"/>
    <col min="14346" max="14582" width="9.140625" style="840"/>
    <col min="14583" max="14583" width="4.5703125" style="840" customWidth="1"/>
    <col min="14584" max="14584" width="13.42578125" style="840" customWidth="1"/>
    <col min="14585" max="14585" width="15.42578125" style="840" customWidth="1"/>
    <col min="14586" max="14586" width="17.42578125" style="840" bestFit="1" customWidth="1"/>
    <col min="14587" max="14587" width="13" style="840" customWidth="1"/>
    <col min="14588" max="14588" width="14.42578125" style="840" customWidth="1"/>
    <col min="14589" max="14589" width="13" style="840" customWidth="1"/>
    <col min="14590" max="14590" width="14.42578125" style="840" bestFit="1" customWidth="1"/>
    <col min="14591" max="14591" width="17.42578125" style="840" customWidth="1"/>
    <col min="14592" max="14592" width="15.42578125" style="840" customWidth="1"/>
    <col min="14593" max="14593" width="5.85546875" style="840" customWidth="1"/>
    <col min="14594" max="14594" width="30.85546875" style="840" bestFit="1" customWidth="1"/>
    <col min="14595" max="14595" width="11.85546875" style="840" customWidth="1"/>
    <col min="14596" max="14596" width="1.5703125" style="840" customWidth="1"/>
    <col min="14597" max="14597" width="26.5703125" style="840" customWidth="1"/>
    <col min="14598" max="14598" width="14.5703125" style="840" customWidth="1"/>
    <col min="14599" max="14599" width="9.140625" style="840"/>
    <col min="14600" max="14600" width="24.42578125" style="840" customWidth="1"/>
    <col min="14601" max="14601" width="12.5703125" style="840" bestFit="1" customWidth="1"/>
    <col min="14602" max="14838" width="9.140625" style="840"/>
    <col min="14839" max="14839" width="4.5703125" style="840" customWidth="1"/>
    <col min="14840" max="14840" width="13.42578125" style="840" customWidth="1"/>
    <col min="14841" max="14841" width="15.42578125" style="840" customWidth="1"/>
    <col min="14842" max="14842" width="17.42578125" style="840" bestFit="1" customWidth="1"/>
    <col min="14843" max="14843" width="13" style="840" customWidth="1"/>
    <col min="14844" max="14844" width="14.42578125" style="840" customWidth="1"/>
    <col min="14845" max="14845" width="13" style="840" customWidth="1"/>
    <col min="14846" max="14846" width="14.42578125" style="840" bestFit="1" customWidth="1"/>
    <col min="14847" max="14847" width="17.42578125" style="840" customWidth="1"/>
    <col min="14848" max="14848" width="15.42578125" style="840" customWidth="1"/>
    <col min="14849" max="14849" width="5.85546875" style="840" customWidth="1"/>
    <col min="14850" max="14850" width="30.85546875" style="840" bestFit="1" customWidth="1"/>
    <col min="14851" max="14851" width="11.85546875" style="840" customWidth="1"/>
    <col min="14852" max="14852" width="1.5703125" style="840" customWidth="1"/>
    <col min="14853" max="14853" width="26.5703125" style="840" customWidth="1"/>
    <col min="14854" max="14854" width="14.5703125" style="840" customWidth="1"/>
    <col min="14855" max="14855" width="9.140625" style="840"/>
    <col min="14856" max="14856" width="24.42578125" style="840" customWidth="1"/>
    <col min="14857" max="14857" width="12.5703125" style="840" bestFit="1" customWidth="1"/>
    <col min="14858" max="15094" width="9.140625" style="840"/>
    <col min="15095" max="15095" width="4.5703125" style="840" customWidth="1"/>
    <col min="15096" max="15096" width="13.42578125" style="840" customWidth="1"/>
    <col min="15097" max="15097" width="15.42578125" style="840" customWidth="1"/>
    <col min="15098" max="15098" width="17.42578125" style="840" bestFit="1" customWidth="1"/>
    <col min="15099" max="15099" width="13" style="840" customWidth="1"/>
    <col min="15100" max="15100" width="14.42578125" style="840" customWidth="1"/>
    <col min="15101" max="15101" width="13" style="840" customWidth="1"/>
    <col min="15102" max="15102" width="14.42578125" style="840" bestFit="1" customWidth="1"/>
    <col min="15103" max="15103" width="17.42578125" style="840" customWidth="1"/>
    <col min="15104" max="15104" width="15.42578125" style="840" customWidth="1"/>
    <col min="15105" max="15105" width="5.85546875" style="840" customWidth="1"/>
    <col min="15106" max="15106" width="30.85546875" style="840" bestFit="1" customWidth="1"/>
    <col min="15107" max="15107" width="11.85546875" style="840" customWidth="1"/>
    <col min="15108" max="15108" width="1.5703125" style="840" customWidth="1"/>
    <col min="15109" max="15109" width="26.5703125" style="840" customWidth="1"/>
    <col min="15110" max="15110" width="14.5703125" style="840" customWidth="1"/>
    <col min="15111" max="15111" width="9.140625" style="840"/>
    <col min="15112" max="15112" width="24.42578125" style="840" customWidth="1"/>
    <col min="15113" max="15113" width="12.5703125" style="840" bestFit="1" customWidth="1"/>
    <col min="15114" max="15350" width="9.140625" style="840"/>
    <col min="15351" max="15351" width="4.5703125" style="840" customWidth="1"/>
    <col min="15352" max="15352" width="13.42578125" style="840" customWidth="1"/>
    <col min="15353" max="15353" width="15.42578125" style="840" customWidth="1"/>
    <col min="15354" max="15354" width="17.42578125" style="840" bestFit="1" customWidth="1"/>
    <col min="15355" max="15355" width="13" style="840" customWidth="1"/>
    <col min="15356" max="15356" width="14.42578125" style="840" customWidth="1"/>
    <col min="15357" max="15357" width="13" style="840" customWidth="1"/>
    <col min="15358" max="15358" width="14.42578125" style="840" bestFit="1" customWidth="1"/>
    <col min="15359" max="15359" width="17.42578125" style="840" customWidth="1"/>
    <col min="15360" max="15360" width="15.42578125" style="840" customWidth="1"/>
    <col min="15361" max="15361" width="5.85546875" style="840" customWidth="1"/>
    <col min="15362" max="15362" width="30.85546875" style="840" bestFit="1" customWidth="1"/>
    <col min="15363" max="15363" width="11.85546875" style="840" customWidth="1"/>
    <col min="15364" max="15364" width="1.5703125" style="840" customWidth="1"/>
    <col min="15365" max="15365" width="26.5703125" style="840" customWidth="1"/>
    <col min="15366" max="15366" width="14.5703125" style="840" customWidth="1"/>
    <col min="15367" max="15367" width="9.140625" style="840"/>
    <col min="15368" max="15368" width="24.42578125" style="840" customWidth="1"/>
    <col min="15369" max="15369" width="12.5703125" style="840" bestFit="1" customWidth="1"/>
    <col min="15370" max="15606" width="9.140625" style="840"/>
    <col min="15607" max="15607" width="4.5703125" style="840" customWidth="1"/>
    <col min="15608" max="15608" width="13.42578125" style="840" customWidth="1"/>
    <col min="15609" max="15609" width="15.42578125" style="840" customWidth="1"/>
    <col min="15610" max="15610" width="17.42578125" style="840" bestFit="1" customWidth="1"/>
    <col min="15611" max="15611" width="13" style="840" customWidth="1"/>
    <col min="15612" max="15612" width="14.42578125" style="840" customWidth="1"/>
    <col min="15613" max="15613" width="13" style="840" customWidth="1"/>
    <col min="15614" max="15614" width="14.42578125" style="840" bestFit="1" customWidth="1"/>
    <col min="15615" max="15615" width="17.42578125" style="840" customWidth="1"/>
    <col min="15616" max="15616" width="15.42578125" style="840" customWidth="1"/>
    <col min="15617" max="15617" width="5.85546875" style="840" customWidth="1"/>
    <col min="15618" max="15618" width="30.85546875" style="840" bestFit="1" customWidth="1"/>
    <col min="15619" max="15619" width="11.85546875" style="840" customWidth="1"/>
    <col min="15620" max="15620" width="1.5703125" style="840" customWidth="1"/>
    <col min="15621" max="15621" width="26.5703125" style="840" customWidth="1"/>
    <col min="15622" max="15622" width="14.5703125" style="840" customWidth="1"/>
    <col min="15623" max="15623" width="9.140625" style="840"/>
    <col min="15624" max="15624" width="24.42578125" style="840" customWidth="1"/>
    <col min="15625" max="15625" width="12.5703125" style="840" bestFit="1" customWidth="1"/>
    <col min="15626" max="15862" width="9.140625" style="840"/>
    <col min="15863" max="15863" width="4.5703125" style="840" customWidth="1"/>
    <col min="15864" max="15864" width="13.42578125" style="840" customWidth="1"/>
    <col min="15865" max="15865" width="15.42578125" style="840" customWidth="1"/>
    <col min="15866" max="15866" width="17.42578125" style="840" bestFit="1" customWidth="1"/>
    <col min="15867" max="15867" width="13" style="840" customWidth="1"/>
    <col min="15868" max="15868" width="14.42578125" style="840" customWidth="1"/>
    <col min="15869" max="15869" width="13" style="840" customWidth="1"/>
    <col min="15870" max="15870" width="14.42578125" style="840" bestFit="1" customWidth="1"/>
    <col min="15871" max="15871" width="17.42578125" style="840" customWidth="1"/>
    <col min="15872" max="15872" width="15.42578125" style="840" customWidth="1"/>
    <col min="15873" max="15873" width="5.85546875" style="840" customWidth="1"/>
    <col min="15874" max="15874" width="30.85546875" style="840" bestFit="1" customWidth="1"/>
    <col min="15875" max="15875" width="11.85546875" style="840" customWidth="1"/>
    <col min="15876" max="15876" width="1.5703125" style="840" customWidth="1"/>
    <col min="15877" max="15877" width="26.5703125" style="840" customWidth="1"/>
    <col min="15878" max="15878" width="14.5703125" style="840" customWidth="1"/>
    <col min="15879" max="15879" width="9.140625" style="840"/>
    <col min="15880" max="15880" width="24.42578125" style="840" customWidth="1"/>
    <col min="15881" max="15881" width="12.5703125" style="840" bestFit="1" customWidth="1"/>
    <col min="15882" max="16118" width="9.140625" style="840"/>
    <col min="16119" max="16119" width="4.5703125" style="840" customWidth="1"/>
    <col min="16120" max="16120" width="13.42578125" style="840" customWidth="1"/>
    <col min="16121" max="16121" width="15.42578125" style="840" customWidth="1"/>
    <col min="16122" max="16122" width="17.42578125" style="840" bestFit="1" customWidth="1"/>
    <col min="16123" max="16123" width="13" style="840" customWidth="1"/>
    <col min="16124" max="16124" width="14.42578125" style="840" customWidth="1"/>
    <col min="16125" max="16125" width="13" style="840" customWidth="1"/>
    <col min="16126" max="16126" width="14.42578125" style="840" bestFit="1" customWidth="1"/>
    <col min="16127" max="16127" width="17.42578125" style="840" customWidth="1"/>
    <col min="16128" max="16128" width="15.42578125" style="840" customWidth="1"/>
    <col min="16129" max="16129" width="5.85546875" style="840" customWidth="1"/>
    <col min="16130" max="16130" width="30.85546875" style="840" bestFit="1" customWidth="1"/>
    <col min="16131" max="16131" width="11.85546875" style="840" customWidth="1"/>
    <col min="16132" max="16132" width="1.5703125" style="840" customWidth="1"/>
    <col min="16133" max="16133" width="26.5703125" style="840" customWidth="1"/>
    <col min="16134" max="16134" width="14.5703125" style="840" customWidth="1"/>
    <col min="16135" max="16135" width="9.140625" style="840"/>
    <col min="16136" max="16136" width="24.42578125" style="840" customWidth="1"/>
    <col min="16137" max="16137" width="12.5703125" style="840" bestFit="1" customWidth="1"/>
    <col min="16138" max="16384" width="9.140625" style="840"/>
  </cols>
  <sheetData>
    <row r="1" spans="1:10" ht="24" customHeight="1">
      <c r="A1" s="834"/>
      <c r="B1" s="835"/>
      <c r="C1" s="835"/>
      <c r="D1" s="835"/>
      <c r="E1" s="835"/>
      <c r="F1" s="836"/>
      <c r="G1" s="835"/>
      <c r="H1" s="835"/>
      <c r="I1" s="835"/>
      <c r="J1" s="837"/>
    </row>
    <row r="2" spans="1:10" ht="24" customHeight="1">
      <c r="A2" s="834"/>
      <c r="B2" s="835"/>
      <c r="C2" s="835"/>
      <c r="D2" s="835"/>
      <c r="E2" s="835"/>
      <c r="F2" s="836"/>
      <c r="G2" s="835"/>
      <c r="H2" s="1295" t="s">
        <v>9</v>
      </c>
      <c r="I2" s="1295"/>
      <c r="J2" s="1295"/>
    </row>
    <row r="3" spans="1:10" ht="21" customHeight="1"/>
    <row r="4" spans="1:10">
      <c r="A4" s="842" t="s">
        <v>10</v>
      </c>
      <c r="G4" s="843" t="s">
        <v>11</v>
      </c>
      <c r="H4" s="840"/>
      <c r="I4" s="844">
        <f ca="1">NOW()</f>
        <v>45902.531042361108</v>
      </c>
      <c r="J4" s="845"/>
    </row>
    <row r="5" spans="1:10" ht="13.5" thickBot="1">
      <c r="A5" s="846"/>
      <c r="B5" s="838"/>
      <c r="C5" s="838"/>
      <c r="D5" s="847"/>
      <c r="E5" s="838"/>
      <c r="F5" s="838"/>
      <c r="G5" s="838"/>
      <c r="H5" s="838"/>
      <c r="I5" s="838"/>
      <c r="J5" s="848"/>
    </row>
    <row r="6" spans="1:10" ht="3.75" customHeight="1">
      <c r="A6" s="849"/>
      <c r="B6" s="850"/>
      <c r="C6" s="850"/>
      <c r="D6" s="849"/>
      <c r="E6" s="850"/>
      <c r="F6" s="850"/>
      <c r="G6" s="850"/>
      <c r="H6" s="850"/>
      <c r="I6" s="850"/>
      <c r="J6" s="851"/>
    </row>
    <row r="7" spans="1:10" ht="18.75" customHeight="1">
      <c r="A7" s="852" t="s">
        <v>12</v>
      </c>
      <c r="C7" s="853"/>
      <c r="G7" s="1296"/>
      <c r="H7" s="1296"/>
      <c r="I7" s="1296"/>
    </row>
    <row r="8" spans="1:10">
      <c r="A8" s="852" t="s">
        <v>13</v>
      </c>
      <c r="C8" s="854" t="s">
        <v>14</v>
      </c>
      <c r="G8" s="1297"/>
      <c r="H8" s="1297"/>
      <c r="I8" s="1297"/>
    </row>
    <row r="9" spans="1:10">
      <c r="A9" s="855" t="s">
        <v>15</v>
      </c>
      <c r="B9" s="835"/>
      <c r="C9" s="856" t="s">
        <v>16</v>
      </c>
      <c r="D9" s="835"/>
      <c r="E9" s="835"/>
      <c r="F9" s="836"/>
      <c r="G9" s="835" t="s">
        <v>17</v>
      </c>
      <c r="H9" s="857"/>
      <c r="I9" s="835"/>
      <c r="J9" s="837"/>
    </row>
    <row r="10" spans="1:10" ht="12.75" customHeight="1" thickBot="1">
      <c r="A10" s="858"/>
      <c r="B10" s="838"/>
      <c r="C10" s="838"/>
      <c r="D10" s="847"/>
      <c r="E10" s="838"/>
      <c r="F10" s="838"/>
      <c r="G10" s="838"/>
      <c r="H10" s="838"/>
      <c r="I10" s="838"/>
      <c r="J10" s="848"/>
    </row>
    <row r="11" spans="1:10" ht="5.25" customHeight="1">
      <c r="A11" s="849"/>
      <c r="B11" s="850"/>
      <c r="C11" s="850"/>
      <c r="D11" s="849"/>
      <c r="E11" s="850"/>
      <c r="F11" s="850"/>
      <c r="G11" s="850"/>
      <c r="H11" s="850"/>
      <c r="I11" s="850"/>
      <c r="J11" s="851"/>
    </row>
    <row r="12" spans="1:10">
      <c r="A12" s="838"/>
      <c r="B12" s="838"/>
      <c r="C12" s="838"/>
      <c r="D12" s="838"/>
      <c r="E12" s="838"/>
      <c r="F12" s="838"/>
      <c r="G12" s="838"/>
      <c r="H12" s="838"/>
      <c r="I12" s="838"/>
      <c r="J12" s="837"/>
    </row>
    <row r="13" spans="1:10" ht="14.25" customHeight="1">
      <c r="A13" s="838"/>
      <c r="B13" s="1298" t="s">
        <v>18</v>
      </c>
      <c r="C13" s="1299"/>
      <c r="D13" s="1300"/>
      <c r="E13" s="835"/>
      <c r="F13" s="1301" t="s">
        <v>19</v>
      </c>
      <c r="G13" s="1301"/>
      <c r="H13" s="1301"/>
      <c r="I13" s="835"/>
      <c r="J13" s="837"/>
    </row>
    <row r="14" spans="1:10">
      <c r="A14" s="859"/>
      <c r="B14" s="860"/>
      <c r="C14" s="861" t="s">
        <v>20</v>
      </c>
      <c r="D14" s="862">
        <f>'Corrected and Updated TSF 3'!FB2</f>
        <v>3196769.3072874704</v>
      </c>
      <c r="E14" s="835"/>
      <c r="F14" s="838"/>
      <c r="G14" s="861" t="s">
        <v>21</v>
      </c>
      <c r="H14" s="863">
        <f>IF(Values_Entered,-PMT(Interest_Rate/Num_Pmt_Per_Year,Loan_Years*Num_Pmt_Per_Year,Loan_Amount),"")</f>
        <v>39635.364473693073</v>
      </c>
      <c r="I14" s="835"/>
      <c r="J14" s="837"/>
    </row>
    <row r="15" spans="1:10">
      <c r="A15" s="859"/>
      <c r="B15" s="864"/>
      <c r="C15" s="865" t="s">
        <v>22</v>
      </c>
      <c r="D15" s="866">
        <v>8.5000000000000006E-2</v>
      </c>
      <c r="E15" s="835"/>
      <c r="F15" s="838"/>
      <c r="G15" s="861" t="s">
        <v>23</v>
      </c>
      <c r="H15" s="867"/>
      <c r="I15" s="835"/>
      <c r="J15" s="837"/>
    </row>
    <row r="16" spans="1:10">
      <c r="A16" s="859"/>
      <c r="B16" s="864"/>
      <c r="C16" s="865" t="s">
        <v>24</v>
      </c>
      <c r="D16" s="868">
        <v>10</v>
      </c>
      <c r="E16" s="835"/>
      <c r="F16" s="838"/>
      <c r="G16" s="861" t="s">
        <v>25</v>
      </c>
      <c r="H16" s="867">
        <f>IF(Values_Entered,Number_of_Payments,"")</f>
        <v>120</v>
      </c>
      <c r="I16" s="835"/>
      <c r="J16" s="837"/>
    </row>
    <row r="17" spans="1:90">
      <c r="A17" s="859"/>
      <c r="B17" s="864"/>
      <c r="C17" s="865" t="s">
        <v>26</v>
      </c>
      <c r="D17" s="868">
        <v>12</v>
      </c>
      <c r="E17" s="835"/>
      <c r="F17" s="869"/>
      <c r="G17" s="870" t="s">
        <v>27</v>
      </c>
      <c r="H17" s="871">
        <v>0</v>
      </c>
      <c r="I17" s="872"/>
      <c r="J17" s="837"/>
    </row>
    <row r="18" spans="1:90">
      <c r="A18" s="859"/>
      <c r="B18" s="864"/>
      <c r="C18" s="865" t="s">
        <v>28</v>
      </c>
      <c r="D18" s="874">
        <v>45005</v>
      </c>
      <c r="E18" s="835"/>
      <c r="F18" s="869"/>
      <c r="G18" s="870" t="s">
        <v>29</v>
      </c>
      <c r="H18" s="875">
        <f>IF(Values_Entered,SUMIF(Beg_Bal,"&gt;0",Int),"")</f>
        <v>1552879.4293197605</v>
      </c>
      <c r="I18" s="872"/>
      <c r="J18" s="837"/>
      <c r="M18" s="840" t="s">
        <v>30</v>
      </c>
    </row>
    <row r="19" spans="1:90">
      <c r="A19" s="859"/>
      <c r="B19" s="876"/>
      <c r="C19" s="877" t="s">
        <v>31</v>
      </c>
      <c r="D19" s="878"/>
      <c r="E19" s="835"/>
      <c r="F19" s="869"/>
      <c r="G19" s="869"/>
      <c r="H19" s="869"/>
      <c r="I19" s="872"/>
      <c r="J19" s="837"/>
      <c r="M19" s="840" t="s">
        <v>32</v>
      </c>
    </row>
    <row r="20" spans="1:90">
      <c r="A20" s="838"/>
      <c r="B20" s="838"/>
      <c r="C20" s="838"/>
      <c r="D20" s="838"/>
      <c r="E20" s="838"/>
      <c r="F20" s="838"/>
      <c r="G20" s="838"/>
      <c r="H20" s="838"/>
      <c r="I20" s="838"/>
      <c r="J20" s="837"/>
    </row>
    <row r="21" spans="1:90" ht="19.7" customHeight="1" thickBot="1">
      <c r="A21" s="879"/>
      <c r="B21" s="847"/>
      <c r="C21" s="880"/>
      <c r="D21" s="881"/>
      <c r="E21" s="838"/>
      <c r="F21" s="847"/>
      <c r="G21" s="847"/>
      <c r="H21" s="847"/>
      <c r="I21" s="847"/>
      <c r="J21" s="882"/>
      <c r="L21" s="883" t="s">
        <v>33</v>
      </c>
      <c r="M21" s="884">
        <f>INDEX($B$25:$B$135,COLUMN(A1),1)</f>
        <v>45005</v>
      </c>
      <c r="N21" s="884">
        <f t="shared" ref="N21:BT21" si="0">INDEX($B$25:$B$135,COLUMN(B1),1)</f>
        <v>45036</v>
      </c>
      <c r="O21" s="884">
        <f t="shared" si="0"/>
        <v>45066</v>
      </c>
      <c r="P21" s="884">
        <f t="shared" si="0"/>
        <v>45097</v>
      </c>
      <c r="Q21" s="884">
        <f t="shared" si="0"/>
        <v>45127</v>
      </c>
      <c r="R21" s="884">
        <f t="shared" si="0"/>
        <v>45158</v>
      </c>
      <c r="S21" s="884">
        <f t="shared" si="0"/>
        <v>45189</v>
      </c>
      <c r="T21" s="884">
        <f t="shared" si="0"/>
        <v>45219</v>
      </c>
      <c r="U21" s="884">
        <f t="shared" si="0"/>
        <v>45250</v>
      </c>
      <c r="V21" s="884">
        <f t="shared" si="0"/>
        <v>45280</v>
      </c>
      <c r="W21" s="884">
        <f t="shared" si="0"/>
        <v>45311</v>
      </c>
      <c r="X21" s="884">
        <f t="shared" si="0"/>
        <v>45342</v>
      </c>
      <c r="Y21" s="884">
        <f t="shared" si="0"/>
        <v>45371</v>
      </c>
      <c r="Z21" s="884">
        <f t="shared" si="0"/>
        <v>45402</v>
      </c>
      <c r="AA21" s="884">
        <f t="shared" si="0"/>
        <v>45432</v>
      </c>
      <c r="AB21" s="884">
        <f t="shared" si="0"/>
        <v>45463</v>
      </c>
      <c r="AC21" s="884">
        <f t="shared" si="0"/>
        <v>45493</v>
      </c>
      <c r="AD21" s="884">
        <f t="shared" si="0"/>
        <v>45524</v>
      </c>
      <c r="AE21" s="884">
        <f t="shared" si="0"/>
        <v>45555</v>
      </c>
      <c r="AF21" s="884">
        <f t="shared" si="0"/>
        <v>45585</v>
      </c>
      <c r="AG21" s="884">
        <f t="shared" si="0"/>
        <v>45616</v>
      </c>
      <c r="AH21" s="884">
        <f t="shared" si="0"/>
        <v>45646</v>
      </c>
      <c r="AI21" s="884">
        <f t="shared" si="0"/>
        <v>45677</v>
      </c>
      <c r="AJ21" s="884">
        <f t="shared" si="0"/>
        <v>45708</v>
      </c>
      <c r="AK21" s="884">
        <f t="shared" si="0"/>
        <v>45736</v>
      </c>
      <c r="AL21" s="884">
        <f t="shared" si="0"/>
        <v>45767</v>
      </c>
      <c r="AM21" s="884">
        <f t="shared" si="0"/>
        <v>45797</v>
      </c>
      <c r="AN21" s="884">
        <f t="shared" si="0"/>
        <v>45828</v>
      </c>
      <c r="AO21" s="884">
        <f t="shared" si="0"/>
        <v>45858</v>
      </c>
      <c r="AP21" s="884">
        <f t="shared" si="0"/>
        <v>45889</v>
      </c>
      <c r="AQ21" s="884">
        <f t="shared" si="0"/>
        <v>45920</v>
      </c>
      <c r="AR21" s="884">
        <f t="shared" si="0"/>
        <v>45950</v>
      </c>
      <c r="AS21" s="884">
        <f t="shared" si="0"/>
        <v>45981</v>
      </c>
      <c r="AT21" s="884">
        <f t="shared" si="0"/>
        <v>46011</v>
      </c>
      <c r="AU21" s="884">
        <f t="shared" si="0"/>
        <v>46042</v>
      </c>
      <c r="AV21" s="884">
        <f t="shared" si="0"/>
        <v>46073</v>
      </c>
      <c r="AW21" s="884">
        <f t="shared" si="0"/>
        <v>46101</v>
      </c>
      <c r="AX21" s="884">
        <f t="shared" si="0"/>
        <v>46132</v>
      </c>
      <c r="AY21" s="884">
        <f t="shared" si="0"/>
        <v>46162</v>
      </c>
      <c r="AZ21" s="884">
        <f t="shared" si="0"/>
        <v>46193</v>
      </c>
      <c r="BA21" s="884">
        <f t="shared" si="0"/>
        <v>46223</v>
      </c>
      <c r="BB21" s="884">
        <f t="shared" si="0"/>
        <v>46254</v>
      </c>
      <c r="BC21" s="884">
        <f t="shared" si="0"/>
        <v>46285</v>
      </c>
      <c r="BD21" s="884">
        <f t="shared" si="0"/>
        <v>46315</v>
      </c>
      <c r="BE21" s="884">
        <f t="shared" si="0"/>
        <v>46346</v>
      </c>
      <c r="BF21" s="884">
        <f t="shared" si="0"/>
        <v>46376</v>
      </c>
      <c r="BG21" s="884">
        <f t="shared" si="0"/>
        <v>46407</v>
      </c>
      <c r="BH21" s="884">
        <f t="shared" si="0"/>
        <v>46438</v>
      </c>
      <c r="BI21" s="884">
        <f t="shared" si="0"/>
        <v>46466</v>
      </c>
      <c r="BJ21" s="884">
        <f t="shared" si="0"/>
        <v>46497</v>
      </c>
      <c r="BK21" s="884">
        <f t="shared" si="0"/>
        <v>46527</v>
      </c>
      <c r="BL21" s="884">
        <f t="shared" si="0"/>
        <v>46558</v>
      </c>
      <c r="BM21" s="884">
        <f t="shared" si="0"/>
        <v>46588</v>
      </c>
      <c r="BN21" s="884">
        <f t="shared" si="0"/>
        <v>46619</v>
      </c>
      <c r="BO21" s="884">
        <f t="shared" si="0"/>
        <v>46650</v>
      </c>
      <c r="BP21" s="884">
        <f t="shared" si="0"/>
        <v>46680</v>
      </c>
      <c r="BQ21" s="884">
        <f t="shared" si="0"/>
        <v>46711</v>
      </c>
      <c r="BR21" s="884">
        <f t="shared" si="0"/>
        <v>46741</v>
      </c>
      <c r="BS21" s="884">
        <f t="shared" si="0"/>
        <v>46772</v>
      </c>
      <c r="BT21" s="884">
        <f t="shared" si="0"/>
        <v>46803</v>
      </c>
      <c r="BW21" s="885" t="s">
        <v>34</v>
      </c>
      <c r="BX21" s="885" t="s">
        <v>35</v>
      </c>
      <c r="BY21" s="885" t="s">
        <v>36</v>
      </c>
      <c r="BZ21" s="885" t="s">
        <v>37</v>
      </c>
    </row>
    <row r="22" spans="1:90" ht="3" customHeight="1">
      <c r="A22" s="838"/>
      <c r="B22" s="838"/>
      <c r="C22" s="838"/>
      <c r="D22" s="886"/>
      <c r="E22" s="886"/>
      <c r="F22" s="838"/>
      <c r="G22" s="838"/>
      <c r="H22" s="838"/>
      <c r="I22" s="838"/>
      <c r="J22" s="837"/>
    </row>
    <row r="23" spans="1:90" s="891" customFormat="1" ht="31.5" customHeight="1">
      <c r="A23" s="887" t="s">
        <v>38</v>
      </c>
      <c r="B23" s="887" t="s">
        <v>39</v>
      </c>
      <c r="C23" s="887" t="s">
        <v>40</v>
      </c>
      <c r="D23" s="887" t="s">
        <v>21</v>
      </c>
      <c r="E23" s="887" t="s">
        <v>41</v>
      </c>
      <c r="F23" s="887" t="s">
        <v>42</v>
      </c>
      <c r="G23" s="887" t="s">
        <v>43</v>
      </c>
      <c r="H23" s="887" t="s">
        <v>44</v>
      </c>
      <c r="I23" s="887" t="s">
        <v>45</v>
      </c>
      <c r="J23" s="887" t="s">
        <v>46</v>
      </c>
      <c r="K23" s="888"/>
      <c r="L23" s="889" t="s">
        <v>47</v>
      </c>
      <c r="M23" s="890">
        <v>1</v>
      </c>
      <c r="N23" s="890">
        <f>M23+1</f>
        <v>2</v>
      </c>
      <c r="O23" s="890">
        <f t="shared" ref="O23:BS23" si="1">N23+1</f>
        <v>3</v>
      </c>
      <c r="P23" s="890">
        <f t="shared" si="1"/>
        <v>4</v>
      </c>
      <c r="Q23" s="890">
        <f t="shared" si="1"/>
        <v>5</v>
      </c>
      <c r="R23" s="890">
        <f t="shared" si="1"/>
        <v>6</v>
      </c>
      <c r="S23" s="890">
        <f t="shared" si="1"/>
        <v>7</v>
      </c>
      <c r="T23" s="890">
        <f t="shared" si="1"/>
        <v>8</v>
      </c>
      <c r="U23" s="890">
        <f t="shared" si="1"/>
        <v>9</v>
      </c>
      <c r="V23" s="890">
        <f t="shared" si="1"/>
        <v>10</v>
      </c>
      <c r="W23" s="890">
        <f t="shared" si="1"/>
        <v>11</v>
      </c>
      <c r="X23" s="890">
        <f t="shared" si="1"/>
        <v>12</v>
      </c>
      <c r="Y23" s="890">
        <f t="shared" si="1"/>
        <v>13</v>
      </c>
      <c r="Z23" s="890">
        <f t="shared" si="1"/>
        <v>14</v>
      </c>
      <c r="AA23" s="890">
        <f t="shared" si="1"/>
        <v>15</v>
      </c>
      <c r="AB23" s="890">
        <f t="shared" si="1"/>
        <v>16</v>
      </c>
      <c r="AC23" s="890">
        <f t="shared" si="1"/>
        <v>17</v>
      </c>
      <c r="AD23" s="890">
        <f t="shared" si="1"/>
        <v>18</v>
      </c>
      <c r="AE23" s="890">
        <f t="shared" si="1"/>
        <v>19</v>
      </c>
      <c r="AF23" s="890">
        <f t="shared" si="1"/>
        <v>20</v>
      </c>
      <c r="AG23" s="890">
        <f t="shared" si="1"/>
        <v>21</v>
      </c>
      <c r="AH23" s="890">
        <f t="shared" si="1"/>
        <v>22</v>
      </c>
      <c r="AI23" s="890">
        <f t="shared" si="1"/>
        <v>23</v>
      </c>
      <c r="AJ23" s="890">
        <f t="shared" si="1"/>
        <v>24</v>
      </c>
      <c r="AK23" s="890">
        <f t="shared" si="1"/>
        <v>25</v>
      </c>
      <c r="AL23" s="890">
        <f t="shared" si="1"/>
        <v>26</v>
      </c>
      <c r="AM23" s="890">
        <f t="shared" si="1"/>
        <v>27</v>
      </c>
      <c r="AN23" s="890">
        <f t="shared" si="1"/>
        <v>28</v>
      </c>
      <c r="AO23" s="890">
        <f t="shared" si="1"/>
        <v>29</v>
      </c>
      <c r="AP23" s="890">
        <f t="shared" si="1"/>
        <v>30</v>
      </c>
      <c r="AQ23" s="890">
        <f t="shared" si="1"/>
        <v>31</v>
      </c>
      <c r="AR23" s="890">
        <f t="shared" si="1"/>
        <v>32</v>
      </c>
      <c r="AS23" s="890">
        <f t="shared" si="1"/>
        <v>33</v>
      </c>
      <c r="AT23" s="890">
        <f t="shared" si="1"/>
        <v>34</v>
      </c>
      <c r="AU23" s="890">
        <f t="shared" si="1"/>
        <v>35</v>
      </c>
      <c r="AV23" s="890">
        <f t="shared" si="1"/>
        <v>36</v>
      </c>
      <c r="AW23" s="890">
        <f t="shared" si="1"/>
        <v>37</v>
      </c>
      <c r="AX23" s="890">
        <f t="shared" si="1"/>
        <v>38</v>
      </c>
      <c r="AY23" s="890">
        <f t="shared" si="1"/>
        <v>39</v>
      </c>
      <c r="AZ23" s="890">
        <f t="shared" si="1"/>
        <v>40</v>
      </c>
      <c r="BA23" s="890">
        <f t="shared" si="1"/>
        <v>41</v>
      </c>
      <c r="BB23" s="890">
        <f t="shared" si="1"/>
        <v>42</v>
      </c>
      <c r="BC23" s="890">
        <f t="shared" si="1"/>
        <v>43</v>
      </c>
      <c r="BD23" s="890">
        <f t="shared" si="1"/>
        <v>44</v>
      </c>
      <c r="BE23" s="890">
        <f t="shared" si="1"/>
        <v>45</v>
      </c>
      <c r="BF23" s="890">
        <f t="shared" si="1"/>
        <v>46</v>
      </c>
      <c r="BG23" s="890">
        <f t="shared" si="1"/>
        <v>47</v>
      </c>
      <c r="BH23" s="890">
        <f t="shared" si="1"/>
        <v>48</v>
      </c>
      <c r="BI23" s="890">
        <f t="shared" si="1"/>
        <v>49</v>
      </c>
      <c r="BJ23" s="890">
        <f t="shared" si="1"/>
        <v>50</v>
      </c>
      <c r="BK23" s="890">
        <f t="shared" si="1"/>
        <v>51</v>
      </c>
      <c r="BL23" s="890">
        <f t="shared" si="1"/>
        <v>52</v>
      </c>
      <c r="BM23" s="890">
        <f t="shared" si="1"/>
        <v>53</v>
      </c>
      <c r="BN23" s="890">
        <f t="shared" si="1"/>
        <v>54</v>
      </c>
      <c r="BO23" s="890">
        <f t="shared" si="1"/>
        <v>55</v>
      </c>
      <c r="BP23" s="890">
        <f t="shared" si="1"/>
        <v>56</v>
      </c>
      <c r="BQ23" s="890">
        <f>BP23+1</f>
        <v>57</v>
      </c>
      <c r="BR23" s="890">
        <f t="shared" si="1"/>
        <v>58</v>
      </c>
      <c r="BS23" s="890">
        <f t="shared" si="1"/>
        <v>59</v>
      </c>
      <c r="BT23" s="890">
        <f>BS23+1</f>
        <v>60</v>
      </c>
      <c r="BW23" s="885"/>
      <c r="BX23" s="885"/>
      <c r="BY23" s="885"/>
      <c r="BZ23" s="885">
        <f>Loan_Amount</f>
        <v>3196769.3072874704</v>
      </c>
      <c r="CA23" s="892">
        <f>PMT(16%/12,60,BZ23)</f>
        <v>-77739.218602440524</v>
      </c>
    </row>
    <row r="24" spans="1:90" s="897" customFormat="1" ht="3" customHeight="1">
      <c r="A24" s="849"/>
      <c r="B24" s="893"/>
      <c r="C24" s="893"/>
      <c r="D24" s="893"/>
      <c r="E24" s="893"/>
      <c r="F24" s="894"/>
      <c r="G24" s="893"/>
      <c r="H24" s="893"/>
      <c r="I24" s="895"/>
      <c r="J24" s="895"/>
      <c r="K24" s="896"/>
      <c r="BX24" s="898"/>
      <c r="BY24" s="898"/>
      <c r="BZ24" s="898"/>
    </row>
    <row r="25" spans="1:90" s="897" customFormat="1">
      <c r="A25" s="865">
        <f>IF(Values_Entered,1,"")</f>
        <v>1</v>
      </c>
      <c r="B25" s="899">
        <f>Loan_Start</f>
        <v>45005</v>
      </c>
      <c r="C25" s="900">
        <f>IF(Values_Entered,Loan_Amount,"")</f>
        <v>3196769.3072874704</v>
      </c>
      <c r="D25" s="900">
        <f>IF(Pay_Num&lt;&gt;"",Scheduled_Monthly_Payment,"")</f>
        <v>39635.364473693073</v>
      </c>
      <c r="E25" s="901"/>
      <c r="F25" s="902">
        <f>IF(AND(Pay_Num&lt;&gt;"",Sched_Pay+Extra_Pay&lt;Beg_Bal),Sched_Pay+Extra_Pay,IF(Pay_Num&lt;&gt;"",Beg_Bal,""))</f>
        <v>39635.364473693073</v>
      </c>
      <c r="G25" s="900">
        <f>IF(Pay_Num&lt;&gt;"",Total_Pay-Int,"")</f>
        <v>16991.581880406822</v>
      </c>
      <c r="H25" s="903">
        <f>IF(Pay_Num&lt;&gt;"",Beg_Bal*(Interest_Rate/Num_Pmt_Per_Year),"")</f>
        <v>22643.782593286251</v>
      </c>
      <c r="I25" s="900">
        <f>IF(AND(Pay_Num&lt;&gt;"",Sched_Pay+Extra_Pay&lt;Beg_Bal),Beg_Bal-Princ,IF(Pay_Num&lt;&gt;"",0,""))</f>
        <v>3179777.7254070635</v>
      </c>
      <c r="J25" s="904" t="str">
        <f>'[4]B11-L8'!J32</f>
        <v>PAID</v>
      </c>
      <c r="K25" s="896"/>
      <c r="L25" s="905" t="str">
        <f>G23</f>
        <v>Principal</v>
      </c>
      <c r="M25" s="906">
        <f>INDEX($G$25:$H$288,COLUMN(A1),1)</f>
        <v>16991.581880406822</v>
      </c>
      <c r="N25" s="906">
        <f t="shared" ref="N25:BT25" si="2">INDEX($G$25:$H$288,COLUMN(B1),1)</f>
        <v>17111.938918726373</v>
      </c>
      <c r="O25" s="906">
        <f t="shared" si="2"/>
        <v>17233.148486067352</v>
      </c>
      <c r="P25" s="906">
        <f t="shared" si="2"/>
        <v>17355.216621176995</v>
      </c>
      <c r="Q25" s="906">
        <f t="shared" si="2"/>
        <v>17478.149405576998</v>
      </c>
      <c r="R25" s="906">
        <f t="shared" si="2"/>
        <v>17601.952963866501</v>
      </c>
      <c r="S25" s="906">
        <f t="shared" si="2"/>
        <v>17726.633464027225</v>
      </c>
      <c r="T25" s="906">
        <f t="shared" si="2"/>
        <v>17852.19711773075</v>
      </c>
      <c r="U25" s="906">
        <f t="shared" si="2"/>
        <v>17978.650180648012</v>
      </c>
      <c r="V25" s="906">
        <f t="shared" si="2"/>
        <v>18105.998952760932</v>
      </c>
      <c r="W25" s="906">
        <f t="shared" si="2"/>
        <v>18234.249778676323</v>
      </c>
      <c r="X25" s="906">
        <f t="shared" si="2"/>
        <v>18363.409047941946</v>
      </c>
      <c r="Y25" s="906">
        <f t="shared" si="2"/>
        <v>18493.483195364872</v>
      </c>
      <c r="Z25" s="906">
        <f t="shared" si="2"/>
        <v>18624.478701332038</v>
      </c>
      <c r="AA25" s="906">
        <f t="shared" si="2"/>
        <v>18756.402092133143</v>
      </c>
      <c r="AB25" s="906">
        <f t="shared" si="2"/>
        <v>18889.259940285752</v>
      </c>
      <c r="AC25" s="906">
        <f t="shared" si="2"/>
        <v>19023.058864862774</v>
      </c>
      <c r="AD25" s="906">
        <f t="shared" si="2"/>
        <v>19157.805531822221</v>
      </c>
      <c r="AE25" s="906">
        <f t="shared" si="2"/>
        <v>19293.506654339293</v>
      </c>
      <c r="AF25" s="906">
        <f t="shared" si="2"/>
        <v>19430.168993140865</v>
      </c>
      <c r="AG25" s="906">
        <f t="shared" si="2"/>
        <v>19567.799356842279</v>
      </c>
      <c r="AH25" s="906">
        <f t="shared" si="2"/>
        <v>19706.40460228658</v>
      </c>
      <c r="AI25" s="906">
        <f t="shared" si="2"/>
        <v>19845.991634886108</v>
      </c>
      <c r="AJ25" s="906">
        <f t="shared" si="2"/>
        <v>19986.567408966552</v>
      </c>
      <c r="AK25" s="906">
        <f t="shared" si="2"/>
        <v>20128.1389281134</v>
      </c>
      <c r="AL25" s="906">
        <f t="shared" si="2"/>
        <v>20270.713245520867</v>
      </c>
      <c r="AM25" s="906">
        <f t="shared" si="2"/>
        <v>20414.297464343308</v>
      </c>
      <c r="AN25" s="906">
        <f t="shared" si="2"/>
        <v>20558.898738049073</v>
      </c>
      <c r="AO25" s="906">
        <f t="shared" si="2"/>
        <v>20704.524270776918</v>
      </c>
      <c r="AP25" s="906">
        <f t="shared" si="2"/>
        <v>20851.181317694925</v>
      </c>
      <c r="AQ25" s="906">
        <f t="shared" si="2"/>
        <v>20998.877185361929</v>
      </c>
      <c r="AR25" s="906">
        <f t="shared" si="2"/>
        <v>21147.619232091576</v>
      </c>
      <c r="AS25" s="906">
        <f t="shared" si="2"/>
        <v>21297.414868318894</v>
      </c>
      <c r="AT25" s="906">
        <f t="shared" si="2"/>
        <v>21448.271556969485</v>
      </c>
      <c r="AU25" s="906">
        <f t="shared" si="2"/>
        <v>21600.19681383135</v>
      </c>
      <c r="AV25" s="906">
        <f t="shared" si="2"/>
        <v>21753.198207929323</v>
      </c>
      <c r="AW25" s="906">
        <f t="shared" si="2"/>
        <v>21907.283361902159</v>
      </c>
      <c r="AX25" s="906">
        <f t="shared" si="2"/>
        <v>22062.459952382294</v>
      </c>
      <c r="AY25" s="906">
        <f t="shared" si="2"/>
        <v>22218.735710378336</v>
      </c>
      <c r="AZ25" s="906">
        <f t="shared" si="2"/>
        <v>22376.118421660183</v>
      </c>
      <c r="BA25" s="906">
        <f t="shared" si="2"/>
        <v>22534.615927146944</v>
      </c>
      <c r="BB25" s="906">
        <f t="shared" si="2"/>
        <v>22694.236123297567</v>
      </c>
      <c r="BC25" s="906">
        <f t="shared" si="2"/>
        <v>22854.986962504256</v>
      </c>
      <c r="BD25" s="906">
        <f t="shared" si="2"/>
        <v>23016.876453488661</v>
      </c>
      <c r="BE25" s="906">
        <f t="shared" si="2"/>
        <v>23179.91266170087</v>
      </c>
      <c r="BF25" s="906">
        <f t="shared" si="2"/>
        <v>23344.103709721254</v>
      </c>
      <c r="BG25" s="906">
        <f t="shared" si="2"/>
        <v>23509.457777665113</v>
      </c>
      <c r="BH25" s="906">
        <f t="shared" si="2"/>
        <v>23675.983103590239</v>
      </c>
      <c r="BI25" s="906">
        <f t="shared" si="2"/>
        <v>23843.687983907337</v>
      </c>
      <c r="BJ25" s="906">
        <f t="shared" si="2"/>
        <v>24012.58077379335</v>
      </c>
      <c r="BK25" s="906">
        <f t="shared" si="2"/>
        <v>24182.669887607713</v>
      </c>
      <c r="BL25" s="906">
        <f t="shared" si="2"/>
        <v>24353.963799311605</v>
      </c>
      <c r="BM25" s="906">
        <f t="shared" si="2"/>
        <v>24526.471042890065</v>
      </c>
      <c r="BN25" s="906">
        <f t="shared" si="2"/>
        <v>24700.200212777199</v>
      </c>
      <c r="BO25" s="906">
        <f t="shared" si="2"/>
        <v>24875.159964284372</v>
      </c>
      <c r="BP25" s="906">
        <f t="shared" si="2"/>
        <v>25051.35901403139</v>
      </c>
      <c r="BQ25" s="906">
        <f t="shared" si="2"/>
        <v>25228.806140380781</v>
      </c>
      <c r="BR25" s="906">
        <f t="shared" si="2"/>
        <v>25407.510183875143</v>
      </c>
      <c r="BS25" s="906">
        <f t="shared" si="2"/>
        <v>25587.480047677593</v>
      </c>
      <c r="BT25" s="906">
        <f t="shared" si="2"/>
        <v>25768.724698015307</v>
      </c>
      <c r="BW25" s="907">
        <v>34058</v>
      </c>
      <c r="BX25" s="908">
        <f>BW25-BY25</f>
        <v>-8565.5907638329445</v>
      </c>
      <c r="BY25" s="907">
        <f>BZ23*16%/12</f>
        <v>42623.590763832945</v>
      </c>
      <c r="BZ25" s="908">
        <f>BZ23-BX25</f>
        <v>3205334.8980513033</v>
      </c>
    </row>
    <row r="26" spans="1:90" s="897" customFormat="1">
      <c r="A26" s="865">
        <f>IF(Values_Entered,A25+1,"")</f>
        <v>2</v>
      </c>
      <c r="B26" s="899">
        <f>Loan_Start+31</f>
        <v>45036</v>
      </c>
      <c r="C26" s="909">
        <f>IF(Pay_Num&lt;&gt;"",I25,"")</f>
        <v>3179777.7254070635</v>
      </c>
      <c r="D26" s="909">
        <f>IF(Pay_Num&lt;&gt;"",Scheduled_Monthly_Payment,"")</f>
        <v>39635.364473693073</v>
      </c>
      <c r="E26" s="910"/>
      <c r="F26" s="911">
        <f t="shared" ref="F26:F88" si="3">IF(AND(Pay_Num&lt;&gt;"",Sched_Pay+Extra_Pay&lt;Beg_Bal),Sched_Pay+Extra_Pay,IF(Pay_Num&lt;&gt;"",Beg_Bal,""))</f>
        <v>39635.364473693073</v>
      </c>
      <c r="G26" s="909">
        <f t="shared" ref="G26:G89" si="4">IF(Pay_Num&lt;&gt;"",Total_Pay-Int,"")</f>
        <v>17111.938918726373</v>
      </c>
      <c r="H26" s="912">
        <f t="shared" ref="H26:H89" si="5">IF(Pay_Num&lt;&gt;"",Beg_Bal*Interest_Rate/Num_Pmt_Per_Year,"")</f>
        <v>22523.4255549667</v>
      </c>
      <c r="I26" s="909">
        <f t="shared" ref="I26:I89" si="6">IF(AND(Pay_Num&lt;&gt;"",Sched_Pay+Extra_Pay&lt;Beg_Bal),Beg_Bal-Princ,IF(Pay_Num&lt;&gt;"",0,""))</f>
        <v>3162665.786488337</v>
      </c>
      <c r="J26" s="904" t="str">
        <f>'[4]B11-L8'!J33</f>
        <v>PAID</v>
      </c>
      <c r="K26" s="896"/>
      <c r="L26" s="913" t="str">
        <f>H23</f>
        <v>Interest</v>
      </c>
      <c r="M26" s="914">
        <f>INDEX($H$25:$H$164,COLUMN(A2),1)</f>
        <v>22643.782593286251</v>
      </c>
      <c r="N26" s="914">
        <f t="shared" ref="N26:BT26" si="7">INDEX($H$25:$H$164,COLUMN(B2),1)</f>
        <v>22523.4255549667</v>
      </c>
      <c r="O26" s="914">
        <f t="shared" si="7"/>
        <v>22402.215987625721</v>
      </c>
      <c r="P26" s="914">
        <f t="shared" si="7"/>
        <v>22280.147852516078</v>
      </c>
      <c r="Q26" s="914">
        <f t="shared" si="7"/>
        <v>22157.215068116075</v>
      </c>
      <c r="R26" s="914">
        <f t="shared" si="7"/>
        <v>22033.411509826572</v>
      </c>
      <c r="S26" s="914">
        <f t="shared" si="7"/>
        <v>21908.731009665848</v>
      </c>
      <c r="T26" s="914">
        <f t="shared" si="7"/>
        <v>21783.167355962323</v>
      </c>
      <c r="U26" s="914">
        <f t="shared" si="7"/>
        <v>21656.714293045061</v>
      </c>
      <c r="V26" s="914">
        <f t="shared" si="7"/>
        <v>21529.36552093214</v>
      </c>
      <c r="W26" s="914">
        <f t="shared" si="7"/>
        <v>21401.114695016749</v>
      </c>
      <c r="X26" s="914">
        <f t="shared" si="7"/>
        <v>21271.955425751126</v>
      </c>
      <c r="Y26" s="915">
        <f t="shared" si="7"/>
        <v>21141.881278328201</v>
      </c>
      <c r="Z26" s="915">
        <f t="shared" si="7"/>
        <v>21010.885772361034</v>
      </c>
      <c r="AA26" s="915">
        <f t="shared" si="7"/>
        <v>20878.96238155993</v>
      </c>
      <c r="AB26" s="915">
        <f t="shared" si="7"/>
        <v>20746.104533407321</v>
      </c>
      <c r="AC26" s="915">
        <f t="shared" si="7"/>
        <v>20612.305608830298</v>
      </c>
      <c r="AD26" s="915">
        <f t="shared" si="7"/>
        <v>20477.558941870851</v>
      </c>
      <c r="AE26" s="915">
        <f t="shared" si="7"/>
        <v>20341.85781935378</v>
      </c>
      <c r="AF26" s="915">
        <f t="shared" si="7"/>
        <v>20205.195480552207</v>
      </c>
      <c r="AG26" s="915">
        <f t="shared" si="7"/>
        <v>20067.565116850794</v>
      </c>
      <c r="AH26" s="915">
        <f t="shared" si="7"/>
        <v>19928.959871406492</v>
      </c>
      <c r="AI26" s="915">
        <f t="shared" si="7"/>
        <v>19789.372838806965</v>
      </c>
      <c r="AJ26" s="915">
        <f t="shared" si="7"/>
        <v>19648.797064726521</v>
      </c>
      <c r="AK26" s="915">
        <f t="shared" si="7"/>
        <v>19507.225545579673</v>
      </c>
      <c r="AL26" s="915">
        <f t="shared" si="7"/>
        <v>19364.651228172206</v>
      </c>
      <c r="AM26" s="915">
        <f t="shared" si="7"/>
        <v>19221.067009349765</v>
      </c>
      <c r="AN26" s="915">
        <f t="shared" si="7"/>
        <v>19076.465735644</v>
      </c>
      <c r="AO26" s="915">
        <f t="shared" si="7"/>
        <v>18930.840202916155</v>
      </c>
      <c r="AP26" s="915">
        <f t="shared" si="7"/>
        <v>18784.183155998147</v>
      </c>
      <c r="AQ26" s="915">
        <f t="shared" si="7"/>
        <v>18636.487288331144</v>
      </c>
      <c r="AR26" s="915">
        <f t="shared" si="7"/>
        <v>18487.745241601497</v>
      </c>
      <c r="AS26" s="915">
        <f t="shared" si="7"/>
        <v>18337.949605374179</v>
      </c>
      <c r="AT26" s="915">
        <f t="shared" si="7"/>
        <v>18187.092916723588</v>
      </c>
      <c r="AU26" s="915">
        <f t="shared" si="7"/>
        <v>18035.167659861723</v>
      </c>
      <c r="AV26" s="915">
        <f t="shared" si="7"/>
        <v>17882.16626576375</v>
      </c>
      <c r="AW26" s="915">
        <f t="shared" si="7"/>
        <v>17728.081111790914</v>
      </c>
      <c r="AX26" s="915">
        <f t="shared" si="7"/>
        <v>17572.904521310778</v>
      </c>
      <c r="AY26" s="915">
        <f t="shared" si="7"/>
        <v>17416.628763314737</v>
      </c>
      <c r="AZ26" s="915">
        <f t="shared" si="7"/>
        <v>17259.24605203289</v>
      </c>
      <c r="BA26" s="915">
        <f t="shared" si="7"/>
        <v>17100.748546546129</v>
      </c>
      <c r="BB26" s="915">
        <f t="shared" si="7"/>
        <v>16941.128350395506</v>
      </c>
      <c r="BC26" s="915">
        <f t="shared" si="7"/>
        <v>16780.377511188817</v>
      </c>
      <c r="BD26" s="915">
        <f t="shared" si="7"/>
        <v>16618.488020204411</v>
      </c>
      <c r="BE26" s="915">
        <f t="shared" si="7"/>
        <v>16455.451811992203</v>
      </c>
      <c r="BF26" s="915">
        <f t="shared" si="7"/>
        <v>16291.260763971819</v>
      </c>
      <c r="BG26" s="915">
        <f t="shared" si="7"/>
        <v>16125.90669602796</v>
      </c>
      <c r="BH26" s="915">
        <f t="shared" si="7"/>
        <v>15959.381370102832</v>
      </c>
      <c r="BI26" s="915">
        <f t="shared" si="7"/>
        <v>15791.676489785736</v>
      </c>
      <c r="BJ26" s="915">
        <f t="shared" si="7"/>
        <v>15622.783699899725</v>
      </c>
      <c r="BK26" s="915">
        <f t="shared" si="7"/>
        <v>15452.694586085358</v>
      </c>
      <c r="BL26" s="915">
        <f t="shared" si="7"/>
        <v>15281.400674381468</v>
      </c>
      <c r="BM26" s="915">
        <f t="shared" si="7"/>
        <v>15108.893430803009</v>
      </c>
      <c r="BN26" s="915">
        <f t="shared" si="7"/>
        <v>14935.164260915872</v>
      </c>
      <c r="BO26" s="915">
        <f t="shared" si="7"/>
        <v>14760.204509408699</v>
      </c>
      <c r="BP26" s="915">
        <f t="shared" si="7"/>
        <v>14584.005459661685</v>
      </c>
      <c r="BQ26" s="915">
        <f t="shared" si="7"/>
        <v>14406.558333312294</v>
      </c>
      <c r="BR26" s="915">
        <f t="shared" si="7"/>
        <v>14227.854289817931</v>
      </c>
      <c r="BS26" s="915">
        <f t="shared" si="7"/>
        <v>14047.884426015482</v>
      </c>
      <c r="BT26" s="915">
        <f t="shared" si="7"/>
        <v>13866.639775677766</v>
      </c>
      <c r="BW26" s="907">
        <v>34058</v>
      </c>
      <c r="BX26" s="908">
        <f>BW26-BY26</f>
        <v>-8679.7986406840428</v>
      </c>
      <c r="BY26" s="907">
        <f>BZ25*16%/12</f>
        <v>42737.798640684043</v>
      </c>
      <c r="BZ26" s="908">
        <f>BZ25-BX26</f>
        <v>3214014.6966919876</v>
      </c>
    </row>
    <row r="27" spans="1:90" s="897" customFormat="1" ht="13.5" thickBot="1">
      <c r="A27" s="865">
        <f>IF(Values_Entered,A26+1,"")</f>
        <v>3</v>
      </c>
      <c r="B27" s="899">
        <f>B26+30</f>
        <v>45066</v>
      </c>
      <c r="C27" s="909">
        <f t="shared" ref="C27:C86" si="8">IF(Pay_Num&lt;&gt;"",I26,"")</f>
        <v>3162665.786488337</v>
      </c>
      <c r="D27" s="909">
        <f t="shared" ref="D27:D90" si="9">IF(Pay_Num&lt;&gt;"",Scheduled_Monthly_Payment,"")</f>
        <v>39635.364473693073</v>
      </c>
      <c r="E27" s="910"/>
      <c r="F27" s="911">
        <f t="shared" si="3"/>
        <v>39635.364473693073</v>
      </c>
      <c r="G27" s="909">
        <f t="shared" si="4"/>
        <v>17233.148486067352</v>
      </c>
      <c r="H27" s="912">
        <f t="shared" si="5"/>
        <v>22402.215987625721</v>
      </c>
      <c r="I27" s="916">
        <f t="shared" si="6"/>
        <v>3145432.6380022694</v>
      </c>
      <c r="J27" s="904" t="str">
        <f>'[4]B11-L8'!J34</f>
        <v>PAID</v>
      </c>
      <c r="K27" s="896"/>
      <c r="L27" s="917" t="s">
        <v>48</v>
      </c>
      <c r="M27" s="918">
        <f>SUM(M25:M26)</f>
        <v>39635.364473693073</v>
      </c>
      <c r="N27" s="918">
        <f t="shared" ref="N27:U27" si="10">SUM(N25:N26)</f>
        <v>39635.364473693073</v>
      </c>
      <c r="O27" s="918">
        <f t="shared" si="10"/>
        <v>39635.364473693073</v>
      </c>
      <c r="P27" s="918">
        <f t="shared" si="10"/>
        <v>39635.364473693073</v>
      </c>
      <c r="Q27" s="918">
        <f t="shared" si="10"/>
        <v>39635.364473693073</v>
      </c>
      <c r="R27" s="918">
        <f t="shared" si="10"/>
        <v>39635.364473693073</v>
      </c>
      <c r="S27" s="918">
        <f t="shared" si="10"/>
        <v>39635.364473693073</v>
      </c>
      <c r="T27" s="918">
        <f t="shared" si="10"/>
        <v>39635.364473693073</v>
      </c>
      <c r="U27" s="918">
        <f t="shared" si="10"/>
        <v>39635.364473693073</v>
      </c>
      <c r="V27" s="918">
        <f>SUM(V25:V26)</f>
        <v>39635.364473693073</v>
      </c>
      <c r="W27" s="918">
        <f t="shared" ref="W27:BT27" si="11">SUM(W25:W26)</f>
        <v>39635.364473693073</v>
      </c>
      <c r="X27" s="918">
        <f t="shared" si="11"/>
        <v>39635.364473693073</v>
      </c>
      <c r="Y27" s="918">
        <f t="shared" si="11"/>
        <v>39635.364473693073</v>
      </c>
      <c r="Z27" s="918">
        <f t="shared" si="11"/>
        <v>39635.364473693073</v>
      </c>
      <c r="AA27" s="918">
        <f t="shared" si="11"/>
        <v>39635.364473693073</v>
      </c>
      <c r="AB27" s="918">
        <f t="shared" si="11"/>
        <v>39635.364473693073</v>
      </c>
      <c r="AC27" s="918">
        <f t="shared" si="11"/>
        <v>39635.364473693073</v>
      </c>
      <c r="AD27" s="918">
        <f t="shared" si="11"/>
        <v>39635.364473693073</v>
      </c>
      <c r="AE27" s="918">
        <f t="shared" si="11"/>
        <v>39635.364473693073</v>
      </c>
      <c r="AF27" s="918">
        <f t="shared" si="11"/>
        <v>39635.364473693073</v>
      </c>
      <c r="AG27" s="918">
        <f t="shared" si="11"/>
        <v>39635.364473693073</v>
      </c>
      <c r="AH27" s="918">
        <f t="shared" si="11"/>
        <v>39635.364473693073</v>
      </c>
      <c r="AI27" s="918">
        <f t="shared" si="11"/>
        <v>39635.364473693073</v>
      </c>
      <c r="AJ27" s="918">
        <f t="shared" si="11"/>
        <v>39635.364473693073</v>
      </c>
      <c r="AK27" s="918">
        <f t="shared" si="11"/>
        <v>39635.364473693073</v>
      </c>
      <c r="AL27" s="918">
        <f t="shared" si="11"/>
        <v>39635.364473693073</v>
      </c>
      <c r="AM27" s="918">
        <f t="shared" si="11"/>
        <v>39635.364473693073</v>
      </c>
      <c r="AN27" s="918">
        <f t="shared" si="11"/>
        <v>39635.364473693073</v>
      </c>
      <c r="AO27" s="918">
        <f t="shared" si="11"/>
        <v>39635.364473693073</v>
      </c>
      <c r="AP27" s="918">
        <f t="shared" si="11"/>
        <v>39635.364473693073</v>
      </c>
      <c r="AQ27" s="918">
        <f t="shared" si="11"/>
        <v>39635.364473693073</v>
      </c>
      <c r="AR27" s="918">
        <f t="shared" si="11"/>
        <v>39635.364473693073</v>
      </c>
      <c r="AS27" s="918">
        <f t="shared" si="11"/>
        <v>39635.364473693073</v>
      </c>
      <c r="AT27" s="918">
        <f t="shared" si="11"/>
        <v>39635.364473693073</v>
      </c>
      <c r="AU27" s="918">
        <f t="shared" si="11"/>
        <v>39635.364473693073</v>
      </c>
      <c r="AV27" s="918">
        <f t="shared" si="11"/>
        <v>39635.364473693073</v>
      </c>
      <c r="AW27" s="918">
        <f t="shared" si="11"/>
        <v>39635.364473693073</v>
      </c>
      <c r="AX27" s="918">
        <f t="shared" si="11"/>
        <v>39635.364473693073</v>
      </c>
      <c r="AY27" s="918">
        <f t="shared" si="11"/>
        <v>39635.364473693073</v>
      </c>
      <c r="AZ27" s="918">
        <f t="shared" si="11"/>
        <v>39635.364473693073</v>
      </c>
      <c r="BA27" s="918">
        <f t="shared" si="11"/>
        <v>39635.364473693073</v>
      </c>
      <c r="BB27" s="918">
        <f t="shared" si="11"/>
        <v>39635.364473693073</v>
      </c>
      <c r="BC27" s="918">
        <f t="shared" si="11"/>
        <v>39635.364473693073</v>
      </c>
      <c r="BD27" s="918">
        <f t="shared" si="11"/>
        <v>39635.364473693073</v>
      </c>
      <c r="BE27" s="918">
        <f t="shared" si="11"/>
        <v>39635.364473693073</v>
      </c>
      <c r="BF27" s="918">
        <f t="shared" si="11"/>
        <v>39635.364473693073</v>
      </c>
      <c r="BG27" s="918">
        <f t="shared" si="11"/>
        <v>39635.364473693073</v>
      </c>
      <c r="BH27" s="918">
        <f t="shared" si="11"/>
        <v>39635.364473693073</v>
      </c>
      <c r="BI27" s="918">
        <f t="shared" si="11"/>
        <v>39635.364473693073</v>
      </c>
      <c r="BJ27" s="918">
        <f t="shared" si="11"/>
        <v>39635.364473693073</v>
      </c>
      <c r="BK27" s="918">
        <f t="shared" si="11"/>
        <v>39635.364473693073</v>
      </c>
      <c r="BL27" s="918">
        <f t="shared" si="11"/>
        <v>39635.364473693073</v>
      </c>
      <c r="BM27" s="918">
        <f t="shared" si="11"/>
        <v>39635.364473693073</v>
      </c>
      <c r="BN27" s="918">
        <f t="shared" si="11"/>
        <v>39635.364473693073</v>
      </c>
      <c r="BO27" s="918">
        <f t="shared" si="11"/>
        <v>39635.364473693073</v>
      </c>
      <c r="BP27" s="918">
        <f t="shared" si="11"/>
        <v>39635.364473693073</v>
      </c>
      <c r="BQ27" s="918">
        <f t="shared" si="11"/>
        <v>39635.364473693073</v>
      </c>
      <c r="BR27" s="918">
        <f t="shared" si="11"/>
        <v>39635.364473693073</v>
      </c>
      <c r="BS27" s="918">
        <f t="shared" si="11"/>
        <v>39635.364473693073</v>
      </c>
      <c r="BT27" s="918">
        <f t="shared" si="11"/>
        <v>39635.364473693073</v>
      </c>
      <c r="BW27" s="907">
        <v>34058</v>
      </c>
      <c r="BX27" s="908">
        <f t="shared" ref="BX27:BX83" si="12">BW27-BY27</f>
        <v>-8795.5292892265061</v>
      </c>
      <c r="BY27" s="907">
        <f t="shared" ref="BY27:BY84" si="13">BZ26*16%/12</f>
        <v>42853.529289226506</v>
      </c>
      <c r="BZ27" s="908">
        <f t="shared" ref="BZ27:BZ84" si="14">BZ26-BX27</f>
        <v>3222810.2259812141</v>
      </c>
    </row>
    <row r="28" spans="1:90" s="897" customFormat="1">
      <c r="A28" s="865">
        <f>IF(Values_Entered,A27+1,"")</f>
        <v>4</v>
      </c>
      <c r="B28" s="899">
        <f>B27+31</f>
        <v>45097</v>
      </c>
      <c r="C28" s="909">
        <f t="shared" si="8"/>
        <v>3145432.6380022694</v>
      </c>
      <c r="D28" s="909">
        <f t="shared" si="9"/>
        <v>39635.364473693073</v>
      </c>
      <c r="E28" s="910"/>
      <c r="F28" s="911">
        <f t="shared" si="3"/>
        <v>39635.364473693073</v>
      </c>
      <c r="G28" s="909">
        <f t="shared" si="4"/>
        <v>17355.216621176995</v>
      </c>
      <c r="H28" s="912">
        <f t="shared" si="5"/>
        <v>22280.147852516078</v>
      </c>
      <c r="I28" s="909">
        <f t="shared" si="6"/>
        <v>3128077.4213810926</v>
      </c>
      <c r="J28" s="904" t="str">
        <f>'[4]B11-L8'!J35</f>
        <v>PAID</v>
      </c>
      <c r="K28" s="896"/>
      <c r="M28" s="919" t="str">
        <f>J25</f>
        <v>PAID</v>
      </c>
      <c r="N28" s="919">
        <f>K25</f>
        <v>0</v>
      </c>
      <c r="BW28" s="907">
        <v>34058</v>
      </c>
      <c r="BX28" s="908">
        <f t="shared" si="12"/>
        <v>-8912.8030130828556</v>
      </c>
      <c r="BY28" s="907">
        <f t="shared" si="13"/>
        <v>42970.803013082856</v>
      </c>
      <c r="BZ28" s="908">
        <f t="shared" si="14"/>
        <v>3231723.0289942971</v>
      </c>
    </row>
    <row r="29" spans="1:90" s="897" customFormat="1">
      <c r="A29" s="865">
        <f>IF(Values_Entered,A28+1,"")</f>
        <v>5</v>
      </c>
      <c r="B29" s="899">
        <f t="shared" ref="B29:B89" si="15">B28+30</f>
        <v>45127</v>
      </c>
      <c r="C29" s="909">
        <f t="shared" si="8"/>
        <v>3128077.4213810926</v>
      </c>
      <c r="D29" s="909">
        <f t="shared" si="9"/>
        <v>39635.364473693073</v>
      </c>
      <c r="E29" s="910"/>
      <c r="F29" s="911">
        <f t="shared" si="3"/>
        <v>39635.364473693073</v>
      </c>
      <c r="G29" s="909">
        <f t="shared" si="4"/>
        <v>17478.149405576998</v>
      </c>
      <c r="H29" s="912">
        <f t="shared" si="5"/>
        <v>22157.215068116075</v>
      </c>
      <c r="I29" s="909">
        <f t="shared" si="6"/>
        <v>3110599.2719755154</v>
      </c>
      <c r="J29" s="904" t="str">
        <f>'[4]B11-L8'!J36</f>
        <v>PAID</v>
      </c>
      <c r="K29" s="896"/>
      <c r="M29" s="919"/>
      <c r="BW29" s="907">
        <v>34058</v>
      </c>
      <c r="BX29" s="908">
        <f t="shared" si="12"/>
        <v>-9031.640386590625</v>
      </c>
      <c r="BY29" s="907">
        <f t="shared" si="13"/>
        <v>43089.640386590625</v>
      </c>
      <c r="BZ29" s="908">
        <f t="shared" si="14"/>
        <v>3240754.6693808879</v>
      </c>
    </row>
    <row r="30" spans="1:90">
      <c r="A30" s="865">
        <f>IF(Values_Entered,A29+1,"")</f>
        <v>6</v>
      </c>
      <c r="B30" s="899">
        <f>B29+31</f>
        <v>45158</v>
      </c>
      <c r="C30" s="909">
        <f>IF(Pay_Num&lt;&gt;"",I29,"")</f>
        <v>3110599.2719755154</v>
      </c>
      <c r="D30" s="909">
        <f t="shared" si="9"/>
        <v>39635.364473693073</v>
      </c>
      <c r="E30" s="910"/>
      <c r="F30" s="911">
        <f t="shared" si="3"/>
        <v>39635.364473693073</v>
      </c>
      <c r="G30" s="909">
        <f t="shared" si="4"/>
        <v>17601.952963866501</v>
      </c>
      <c r="H30" s="912">
        <f t="shared" si="5"/>
        <v>22033.411509826572</v>
      </c>
      <c r="I30" s="909">
        <f t="shared" si="6"/>
        <v>3092997.3190116491</v>
      </c>
      <c r="J30" s="904" t="str">
        <f>'[4]B11-L8'!J37</f>
        <v>PAID</v>
      </c>
      <c r="K30" s="896"/>
      <c r="L30" s="919"/>
      <c r="M30" s="919"/>
      <c r="BW30" s="907">
        <v>34058</v>
      </c>
      <c r="BX30" s="908">
        <f t="shared" si="12"/>
        <v>-9152.0622584118391</v>
      </c>
      <c r="BY30" s="907">
        <f t="shared" si="13"/>
        <v>43210.062258411839</v>
      </c>
      <c r="BZ30" s="908">
        <f t="shared" si="14"/>
        <v>3249906.7316392995</v>
      </c>
    </row>
    <row r="31" spans="1:90">
      <c r="A31" s="865">
        <f>IF(Values_Entered,A30+1,"")</f>
        <v>7</v>
      </c>
      <c r="B31" s="899">
        <f>B30+31</f>
        <v>45189</v>
      </c>
      <c r="C31" s="909">
        <f t="shared" si="8"/>
        <v>3092997.3190116491</v>
      </c>
      <c r="D31" s="909">
        <f t="shared" si="9"/>
        <v>39635.364473693073</v>
      </c>
      <c r="E31" s="910"/>
      <c r="F31" s="911">
        <f t="shared" si="3"/>
        <v>39635.364473693073</v>
      </c>
      <c r="G31" s="909">
        <f t="shared" si="4"/>
        <v>17726.633464027225</v>
      </c>
      <c r="H31" s="912">
        <f t="shared" si="5"/>
        <v>21908.731009665848</v>
      </c>
      <c r="I31" s="909">
        <f t="shared" si="6"/>
        <v>3075270.6855476219</v>
      </c>
      <c r="J31" s="904" t="str">
        <f>'[4]B11-L8'!J38</f>
        <v>PAID</v>
      </c>
      <c r="K31" s="896"/>
      <c r="L31" s="897"/>
      <c r="M31" s="920"/>
      <c r="BW31" s="907">
        <v>34058</v>
      </c>
      <c r="BX31" s="908">
        <f t="shared" si="12"/>
        <v>-9274.0897551906601</v>
      </c>
      <c r="BY31" s="907">
        <f t="shared" si="13"/>
        <v>43332.08975519066</v>
      </c>
      <c r="BZ31" s="908">
        <f t="shared" si="14"/>
        <v>3259180.8213944901</v>
      </c>
      <c r="CJ31" s="921" t="s">
        <v>49</v>
      </c>
      <c r="CK31" s="922"/>
      <c r="CL31" s="922"/>
    </row>
    <row r="32" spans="1:90">
      <c r="A32" s="865">
        <f>IF(Values_Entered,A31+1,"")</f>
        <v>8</v>
      </c>
      <c r="B32" s="899">
        <f t="shared" si="15"/>
        <v>45219</v>
      </c>
      <c r="C32" s="909">
        <f>IF(Pay_Num&lt;&gt;"",I31,"")</f>
        <v>3075270.6855476219</v>
      </c>
      <c r="D32" s="909">
        <f t="shared" si="9"/>
        <v>39635.364473693073</v>
      </c>
      <c r="E32" s="910"/>
      <c r="F32" s="911">
        <f t="shared" si="3"/>
        <v>39635.364473693073</v>
      </c>
      <c r="G32" s="909">
        <f t="shared" si="4"/>
        <v>17852.19711773075</v>
      </c>
      <c r="H32" s="912">
        <f t="shared" si="5"/>
        <v>21783.167355962323</v>
      </c>
      <c r="I32" s="909">
        <f t="shared" si="6"/>
        <v>3057418.4884298909</v>
      </c>
      <c r="J32" s="904" t="str">
        <f>'[4]B11-L8'!J39</f>
        <v>PAID</v>
      </c>
      <c r="K32" s="896"/>
      <c r="L32" s="897"/>
      <c r="M32" s="920"/>
      <c r="BW32" s="907">
        <v>34058</v>
      </c>
      <c r="BX32" s="908">
        <f t="shared" si="12"/>
        <v>-9397.7442852598688</v>
      </c>
      <c r="BY32" s="907">
        <f t="shared" si="13"/>
        <v>43455.744285259869</v>
      </c>
      <c r="BZ32" s="908">
        <f t="shared" si="14"/>
        <v>3268578.5656797499</v>
      </c>
      <c r="CJ32" s="923">
        <f>SUM(H25:H33)</f>
        <v>199388.81122501061</v>
      </c>
      <c r="CK32" s="922"/>
      <c r="CL32" s="922"/>
    </row>
    <row r="33" spans="1:78">
      <c r="A33" s="865">
        <f>IF(Values_Entered,A32+1,"")</f>
        <v>9</v>
      </c>
      <c r="B33" s="899">
        <f>B32+31</f>
        <v>45250</v>
      </c>
      <c r="C33" s="909">
        <f t="shared" si="8"/>
        <v>3057418.4884298909</v>
      </c>
      <c r="D33" s="909">
        <f t="shared" si="9"/>
        <v>39635.364473693073</v>
      </c>
      <c r="E33" s="910"/>
      <c r="F33" s="911">
        <f t="shared" si="3"/>
        <v>39635.364473693073</v>
      </c>
      <c r="G33" s="909">
        <f t="shared" si="4"/>
        <v>17978.650180648012</v>
      </c>
      <c r="H33" s="912">
        <f t="shared" si="5"/>
        <v>21656.714293045061</v>
      </c>
      <c r="I33" s="909">
        <f t="shared" si="6"/>
        <v>3039439.8382492429</v>
      </c>
      <c r="J33" s="904" t="str">
        <f>'[4]B11-L8'!J40</f>
        <v>PAID</v>
      </c>
      <c r="K33" s="896"/>
      <c r="L33" s="897"/>
      <c r="M33" s="920"/>
      <c r="BW33" s="907">
        <v>34058</v>
      </c>
      <c r="BX33" s="908">
        <f t="shared" si="12"/>
        <v>-9523.0475423966636</v>
      </c>
      <c r="BY33" s="907">
        <f t="shared" si="13"/>
        <v>43581.047542396664</v>
      </c>
      <c r="BZ33" s="908">
        <f t="shared" si="14"/>
        <v>3278101.6132221464</v>
      </c>
    </row>
    <row r="34" spans="1:78">
      <c r="A34" s="865">
        <f>IF(Values_Entered,A33+1,"")</f>
        <v>10</v>
      </c>
      <c r="B34" s="899">
        <f t="shared" si="15"/>
        <v>45280</v>
      </c>
      <c r="C34" s="909">
        <f t="shared" si="8"/>
        <v>3039439.8382492429</v>
      </c>
      <c r="D34" s="909">
        <f t="shared" si="9"/>
        <v>39635.364473693073</v>
      </c>
      <c r="E34" s="910"/>
      <c r="F34" s="911">
        <f t="shared" si="3"/>
        <v>39635.364473693073</v>
      </c>
      <c r="G34" s="909">
        <f t="shared" si="4"/>
        <v>18105.998952760932</v>
      </c>
      <c r="H34" s="909">
        <f t="shared" si="5"/>
        <v>21529.36552093214</v>
      </c>
      <c r="I34" s="909">
        <f t="shared" si="6"/>
        <v>3021333.839296482</v>
      </c>
      <c r="J34" s="904" t="str">
        <f>'[4]B11-L8'!J41</f>
        <v>PAID</v>
      </c>
      <c r="K34" s="924"/>
      <c r="L34" s="897"/>
      <c r="M34" s="920"/>
      <c r="BW34" s="907">
        <v>34058</v>
      </c>
      <c r="BX34" s="908">
        <f t="shared" si="12"/>
        <v>-9650.0215096286192</v>
      </c>
      <c r="BY34" s="907">
        <f t="shared" si="13"/>
        <v>43708.021509628619</v>
      </c>
      <c r="BZ34" s="908">
        <f t="shared" si="14"/>
        <v>3287751.6347317751</v>
      </c>
    </row>
    <row r="35" spans="1:78">
      <c r="A35" s="865">
        <f>IF(Values_Entered,A34+1,"")</f>
        <v>11</v>
      </c>
      <c r="B35" s="899">
        <f>B34+31</f>
        <v>45311</v>
      </c>
      <c r="C35" s="909">
        <f t="shared" si="8"/>
        <v>3021333.839296482</v>
      </c>
      <c r="D35" s="909">
        <f t="shared" si="9"/>
        <v>39635.364473693073</v>
      </c>
      <c r="E35" s="910"/>
      <c r="F35" s="911">
        <f t="shared" si="3"/>
        <v>39635.364473693073</v>
      </c>
      <c r="G35" s="909">
        <f t="shared" si="4"/>
        <v>18234.249778676323</v>
      </c>
      <c r="H35" s="909">
        <f t="shared" si="5"/>
        <v>21401.114695016749</v>
      </c>
      <c r="I35" s="909">
        <f>IF(AND(Pay_Num&lt;&gt;"",Sched_Pay+Extra_Pay&lt;Beg_Bal),Beg_Bal-Princ,IF(Pay_Num&lt;&gt;"",0,""))</f>
        <v>3003099.5895178057</v>
      </c>
      <c r="J35" s="904" t="str">
        <f>'[4]B11-L8'!J42</f>
        <v>PAID</v>
      </c>
      <c r="K35" s="896"/>
      <c r="L35" s="925" t="s">
        <v>50</v>
      </c>
      <c r="M35" s="920"/>
      <c r="BW35" s="907">
        <v>34058</v>
      </c>
      <c r="BX35" s="908">
        <f t="shared" si="12"/>
        <v>-9778.6884630903369</v>
      </c>
      <c r="BY35" s="907">
        <f t="shared" si="13"/>
        <v>43836.688463090337</v>
      </c>
      <c r="BZ35" s="908">
        <f t="shared" si="14"/>
        <v>3297530.3231948656</v>
      </c>
    </row>
    <row r="36" spans="1:78">
      <c r="A36" s="865">
        <f>IF(Values_Entered,A35+1,"")</f>
        <v>12</v>
      </c>
      <c r="B36" s="899">
        <f>B35+31</f>
        <v>45342</v>
      </c>
      <c r="C36" s="909">
        <f t="shared" si="8"/>
        <v>3003099.5895178057</v>
      </c>
      <c r="D36" s="909">
        <f t="shared" si="9"/>
        <v>39635.364473693073</v>
      </c>
      <c r="E36" s="910"/>
      <c r="F36" s="911">
        <f t="shared" si="3"/>
        <v>39635.364473693073</v>
      </c>
      <c r="G36" s="909">
        <f t="shared" si="4"/>
        <v>18363.409047941946</v>
      </c>
      <c r="H36" s="909">
        <f t="shared" si="5"/>
        <v>21271.955425751126</v>
      </c>
      <c r="I36" s="909">
        <f t="shared" si="6"/>
        <v>2984736.1804698636</v>
      </c>
      <c r="J36" s="904" t="str">
        <f>'[4]B11-L8'!J43</f>
        <v>PAID</v>
      </c>
      <c r="K36" s="896"/>
      <c r="L36" s="919">
        <f>SUM(F25:F84)</f>
        <v>2378121.8684215844</v>
      </c>
      <c r="M36" s="920"/>
      <c r="BW36" s="907">
        <v>34058</v>
      </c>
      <c r="BX36" s="908">
        <f t="shared" si="12"/>
        <v>-9909.0709759315432</v>
      </c>
      <c r="BY36" s="907">
        <f t="shared" si="13"/>
        <v>43967.070975931543</v>
      </c>
      <c r="BZ36" s="908">
        <f t="shared" si="14"/>
        <v>3307439.394170797</v>
      </c>
    </row>
    <row r="37" spans="1:78">
      <c r="A37" s="865">
        <f>IF(Values_Entered,A36+1,"")</f>
        <v>13</v>
      </c>
      <c r="B37" s="899">
        <f>B36+29</f>
        <v>45371</v>
      </c>
      <c r="C37" s="909">
        <f t="shared" si="8"/>
        <v>2984736.1804698636</v>
      </c>
      <c r="D37" s="909">
        <f t="shared" si="9"/>
        <v>39635.364473693073</v>
      </c>
      <c r="E37" s="910"/>
      <c r="F37" s="911">
        <f t="shared" si="3"/>
        <v>39635.364473693073</v>
      </c>
      <c r="G37" s="909">
        <f t="shared" si="4"/>
        <v>18493.483195364872</v>
      </c>
      <c r="H37" s="909">
        <f t="shared" si="5"/>
        <v>21141.881278328201</v>
      </c>
      <c r="I37" s="909">
        <f t="shared" si="6"/>
        <v>2966242.6972744986</v>
      </c>
      <c r="J37" s="904" t="str">
        <f>'[4]B11-L8'!J44</f>
        <v>PAID</v>
      </c>
      <c r="K37" s="896"/>
      <c r="L37" s="897"/>
      <c r="M37" s="920"/>
      <c r="BW37" s="907">
        <v>34058</v>
      </c>
      <c r="BX37" s="908">
        <f t="shared" si="12"/>
        <v>-10041.191922277292</v>
      </c>
      <c r="BY37" s="907">
        <f t="shared" si="13"/>
        <v>44099.191922277292</v>
      </c>
      <c r="BZ37" s="908">
        <f t="shared" si="14"/>
        <v>3317480.5860930742</v>
      </c>
    </row>
    <row r="38" spans="1:78">
      <c r="A38" s="865">
        <f>IF(Values_Entered,A37+1,"")</f>
        <v>14</v>
      </c>
      <c r="B38" s="899">
        <f>B37+31</f>
        <v>45402</v>
      </c>
      <c r="C38" s="909">
        <f t="shared" si="8"/>
        <v>2966242.6972744986</v>
      </c>
      <c r="D38" s="909">
        <f t="shared" si="9"/>
        <v>39635.364473693073</v>
      </c>
      <c r="E38" s="910"/>
      <c r="F38" s="911">
        <f t="shared" si="3"/>
        <v>39635.364473693073</v>
      </c>
      <c r="G38" s="909">
        <f t="shared" si="4"/>
        <v>18624.478701332038</v>
      </c>
      <c r="H38" s="909">
        <f t="shared" si="5"/>
        <v>21010.885772361034</v>
      </c>
      <c r="I38" s="909">
        <f t="shared" si="6"/>
        <v>2947618.2185731665</v>
      </c>
      <c r="J38" s="904" t="str">
        <f>'[4]B11-L8'!J45</f>
        <v>PAID</v>
      </c>
      <c r="K38" s="896"/>
      <c r="L38" s="897"/>
      <c r="M38" s="920"/>
      <c r="BW38" s="907">
        <v>34058</v>
      </c>
      <c r="BX38" s="908">
        <f t="shared" si="12"/>
        <v>-10175.07448124099</v>
      </c>
      <c r="BY38" s="907">
        <f t="shared" si="13"/>
        <v>44233.07448124099</v>
      </c>
      <c r="BZ38" s="908">
        <f t="shared" si="14"/>
        <v>3327655.6605743151</v>
      </c>
    </row>
    <row r="39" spans="1:78">
      <c r="A39" s="865">
        <f>IF(Values_Entered,A38+1,"")</f>
        <v>15</v>
      </c>
      <c r="B39" s="899">
        <f t="shared" si="15"/>
        <v>45432</v>
      </c>
      <c r="C39" s="909">
        <f t="shared" si="8"/>
        <v>2947618.2185731665</v>
      </c>
      <c r="D39" s="909">
        <f t="shared" si="9"/>
        <v>39635.364473693073</v>
      </c>
      <c r="E39" s="910"/>
      <c r="F39" s="911">
        <f t="shared" si="3"/>
        <v>39635.364473693073</v>
      </c>
      <c r="G39" s="909">
        <f t="shared" si="4"/>
        <v>18756.402092133143</v>
      </c>
      <c r="H39" s="909">
        <f t="shared" si="5"/>
        <v>20878.96238155993</v>
      </c>
      <c r="I39" s="909">
        <f t="shared" si="6"/>
        <v>2928861.8164810333</v>
      </c>
      <c r="J39" s="904" t="str">
        <f>'[4]B11-L8'!J46</f>
        <v>PAID</v>
      </c>
      <c r="K39" s="896"/>
      <c r="L39" s="897"/>
      <c r="M39" s="920"/>
      <c r="BW39" s="907">
        <v>34058</v>
      </c>
      <c r="BX39" s="908">
        <f t="shared" si="12"/>
        <v>-10310.742140990864</v>
      </c>
      <c r="BY39" s="907">
        <f t="shared" si="13"/>
        <v>44368.742140990864</v>
      </c>
      <c r="BZ39" s="908">
        <f t="shared" si="14"/>
        <v>3337966.4027153058</v>
      </c>
    </row>
    <row r="40" spans="1:78">
      <c r="A40" s="865">
        <f>IF(Values_Entered,A39+1,"")</f>
        <v>16</v>
      </c>
      <c r="B40" s="899">
        <f>B39+31</f>
        <v>45463</v>
      </c>
      <c r="C40" s="909">
        <f t="shared" si="8"/>
        <v>2928861.8164810333</v>
      </c>
      <c r="D40" s="909">
        <f t="shared" si="9"/>
        <v>39635.364473693073</v>
      </c>
      <c r="E40" s="910"/>
      <c r="F40" s="911">
        <f t="shared" si="3"/>
        <v>39635.364473693073</v>
      </c>
      <c r="G40" s="909">
        <f t="shared" si="4"/>
        <v>18889.259940285752</v>
      </c>
      <c r="H40" s="909">
        <f t="shared" si="5"/>
        <v>20746.104533407321</v>
      </c>
      <c r="I40" s="909">
        <f t="shared" si="6"/>
        <v>2909972.5565407476</v>
      </c>
      <c r="J40" s="904" t="str">
        <f>'[4]B11-L8'!J47</f>
        <v>PAID</v>
      </c>
      <c r="K40" s="896"/>
      <c r="L40" s="897"/>
      <c r="M40" s="920"/>
      <c r="BW40" s="907">
        <v>34058</v>
      </c>
      <c r="BX40" s="908">
        <f t="shared" si="12"/>
        <v>-10448.218702870741</v>
      </c>
      <c r="BY40" s="907">
        <f t="shared" si="13"/>
        <v>44506.218702870741</v>
      </c>
      <c r="BZ40" s="908">
        <f t="shared" si="14"/>
        <v>3348414.6214181767</v>
      </c>
    </row>
    <row r="41" spans="1:78" s="931" customFormat="1">
      <c r="A41" s="926">
        <f>IF(Values_Entered,A40+1,"")</f>
        <v>17</v>
      </c>
      <c r="B41" s="899">
        <f t="shared" si="15"/>
        <v>45493</v>
      </c>
      <c r="C41" s="916">
        <f t="shared" si="8"/>
        <v>2909972.5565407476</v>
      </c>
      <c r="D41" s="916">
        <f t="shared" si="9"/>
        <v>39635.364473693073</v>
      </c>
      <c r="E41" s="910"/>
      <c r="F41" s="927">
        <f t="shared" si="3"/>
        <v>39635.364473693073</v>
      </c>
      <c r="G41" s="916">
        <f t="shared" si="4"/>
        <v>19023.058864862774</v>
      </c>
      <c r="H41" s="916">
        <f t="shared" si="5"/>
        <v>20612.305608830298</v>
      </c>
      <c r="I41" s="916">
        <f t="shared" si="6"/>
        <v>2890949.497675885</v>
      </c>
      <c r="J41" s="928" t="str">
        <f>'[4]B11-L8'!J48</f>
        <v>PAID</v>
      </c>
      <c r="K41" s="929"/>
      <c r="L41" s="929"/>
      <c r="M41" s="930"/>
      <c r="BW41" s="932">
        <v>34058</v>
      </c>
      <c r="BX41" s="933">
        <f t="shared" si="12"/>
        <v>-10587.528285575689</v>
      </c>
      <c r="BY41" s="932">
        <f t="shared" si="13"/>
        <v>44645.528285575689</v>
      </c>
      <c r="BZ41" s="933">
        <f t="shared" si="14"/>
        <v>3359002.1497037522</v>
      </c>
    </row>
    <row r="42" spans="1:78">
      <c r="A42" s="865">
        <f>IF(Values_Entered,A41+1,"")</f>
        <v>18</v>
      </c>
      <c r="B42" s="899">
        <f>B41+31</f>
        <v>45524</v>
      </c>
      <c r="C42" s="909">
        <f t="shared" si="8"/>
        <v>2890949.497675885</v>
      </c>
      <c r="D42" s="909">
        <f t="shared" si="9"/>
        <v>39635.364473693073</v>
      </c>
      <c r="E42" s="910"/>
      <c r="F42" s="911">
        <f t="shared" si="3"/>
        <v>39635.364473693073</v>
      </c>
      <c r="G42" s="909">
        <f t="shared" si="4"/>
        <v>19157.805531822221</v>
      </c>
      <c r="H42" s="909">
        <f t="shared" si="5"/>
        <v>20477.558941870851</v>
      </c>
      <c r="I42" s="909">
        <f t="shared" si="6"/>
        <v>2871791.6921440628</v>
      </c>
      <c r="J42" s="904" t="str">
        <f>'[4]B11-L8'!J49</f>
        <v>PAID</v>
      </c>
      <c r="K42" s="896"/>
      <c r="L42" s="897"/>
      <c r="M42" s="920"/>
      <c r="BW42" s="907">
        <v>34058</v>
      </c>
      <c r="BX42" s="908">
        <f t="shared" si="12"/>
        <v>-10728.695329383365</v>
      </c>
      <c r="BY42" s="907">
        <f t="shared" si="13"/>
        <v>44786.695329383365</v>
      </c>
      <c r="BZ42" s="908">
        <f t="shared" si="14"/>
        <v>3369730.8450331357</v>
      </c>
    </row>
    <row r="43" spans="1:78">
      <c r="A43" s="865">
        <f>IF(Values_Entered,A42+1,"")</f>
        <v>19</v>
      </c>
      <c r="B43" s="899">
        <f>B42+31</f>
        <v>45555</v>
      </c>
      <c r="C43" s="909">
        <f t="shared" si="8"/>
        <v>2871791.6921440628</v>
      </c>
      <c r="D43" s="909">
        <f t="shared" si="9"/>
        <v>39635.364473693073</v>
      </c>
      <c r="E43" s="910"/>
      <c r="F43" s="911">
        <f t="shared" si="3"/>
        <v>39635.364473693073</v>
      </c>
      <c r="G43" s="909">
        <f t="shared" si="4"/>
        <v>19293.506654339293</v>
      </c>
      <c r="H43" s="909">
        <f t="shared" si="5"/>
        <v>20341.85781935378</v>
      </c>
      <c r="I43" s="909">
        <f t="shared" si="6"/>
        <v>2852498.1854897235</v>
      </c>
      <c r="J43" s="904" t="str">
        <f>'[4]B11-L8'!J50</f>
        <v>PAID</v>
      </c>
      <c r="K43" s="896"/>
      <c r="L43" s="897"/>
      <c r="M43" s="920"/>
      <c r="BW43" s="907">
        <v>34058</v>
      </c>
      <c r="BX43" s="908">
        <f t="shared" si="12"/>
        <v>-10871.744600441809</v>
      </c>
      <c r="BY43" s="907">
        <f t="shared" si="13"/>
        <v>44929.744600441809</v>
      </c>
      <c r="BZ43" s="908">
        <f t="shared" si="14"/>
        <v>3380602.5896335775</v>
      </c>
    </row>
    <row r="44" spans="1:78">
      <c r="A44" s="865">
        <f>IF(Values_Entered,A43+1,"")</f>
        <v>20</v>
      </c>
      <c r="B44" s="899">
        <f t="shared" si="15"/>
        <v>45585</v>
      </c>
      <c r="C44" s="909">
        <f t="shared" si="8"/>
        <v>2852498.1854897235</v>
      </c>
      <c r="D44" s="909">
        <f t="shared" si="9"/>
        <v>39635.364473693073</v>
      </c>
      <c r="E44" s="910"/>
      <c r="F44" s="911">
        <f t="shared" si="3"/>
        <v>39635.364473693073</v>
      </c>
      <c r="G44" s="909">
        <f t="shared" si="4"/>
        <v>19430.168993140865</v>
      </c>
      <c r="H44" s="909">
        <f t="shared" si="5"/>
        <v>20205.195480552207</v>
      </c>
      <c r="I44" s="909">
        <f t="shared" si="6"/>
        <v>2833068.0164965824</v>
      </c>
      <c r="J44" s="904" t="str">
        <f>'[4]B11-L8'!J51</f>
        <v>PAID</v>
      </c>
      <c r="K44" s="896"/>
      <c r="L44" s="897"/>
      <c r="M44" s="920"/>
      <c r="BW44" s="907">
        <v>34058</v>
      </c>
      <c r="BX44" s="908">
        <f t="shared" si="12"/>
        <v>-11016.701195114372</v>
      </c>
      <c r="BY44" s="907">
        <f t="shared" si="13"/>
        <v>45074.701195114372</v>
      </c>
      <c r="BZ44" s="908">
        <f t="shared" si="14"/>
        <v>3391619.2908286918</v>
      </c>
    </row>
    <row r="45" spans="1:78">
      <c r="A45" s="865">
        <f>IF(Values_Entered,A44+1,"")</f>
        <v>21</v>
      </c>
      <c r="B45" s="899">
        <f>B44+31</f>
        <v>45616</v>
      </c>
      <c r="C45" s="909">
        <f t="shared" si="8"/>
        <v>2833068.0164965824</v>
      </c>
      <c r="D45" s="909">
        <f t="shared" si="9"/>
        <v>39635.364473693073</v>
      </c>
      <c r="E45" s="910"/>
      <c r="F45" s="911">
        <f t="shared" si="3"/>
        <v>39635.364473693073</v>
      </c>
      <c r="G45" s="909">
        <f t="shared" si="4"/>
        <v>19567.799356842279</v>
      </c>
      <c r="H45" s="909">
        <f t="shared" si="5"/>
        <v>20067.565116850794</v>
      </c>
      <c r="I45" s="909">
        <f t="shared" si="6"/>
        <v>2813500.21713974</v>
      </c>
      <c r="J45" s="904" t="str">
        <f>'[4]B11-L8'!J52</f>
        <v>PAID</v>
      </c>
      <c r="K45" s="896"/>
      <c r="L45" s="897"/>
      <c r="M45" s="920"/>
      <c r="BW45" s="907">
        <v>34058</v>
      </c>
      <c r="BX45" s="908">
        <f t="shared" si="12"/>
        <v>-11163.590544382554</v>
      </c>
      <c r="BY45" s="907">
        <f t="shared" si="13"/>
        <v>45221.590544382554</v>
      </c>
      <c r="BZ45" s="908">
        <f t="shared" si="14"/>
        <v>3402782.8813730744</v>
      </c>
    </row>
    <row r="46" spans="1:78">
      <c r="A46" s="865">
        <f>IF(Values_Entered,A45+1,"")</f>
        <v>22</v>
      </c>
      <c r="B46" s="899">
        <f t="shared" si="15"/>
        <v>45646</v>
      </c>
      <c r="C46" s="909">
        <f t="shared" si="8"/>
        <v>2813500.21713974</v>
      </c>
      <c r="D46" s="909">
        <f t="shared" si="9"/>
        <v>39635.364473693073</v>
      </c>
      <c r="E46" s="910"/>
      <c r="F46" s="911">
        <f t="shared" si="3"/>
        <v>39635.364473693073</v>
      </c>
      <c r="G46" s="909">
        <f t="shared" si="4"/>
        <v>19706.40460228658</v>
      </c>
      <c r="H46" s="909">
        <f t="shared" si="5"/>
        <v>19928.959871406492</v>
      </c>
      <c r="I46" s="909">
        <f t="shared" si="6"/>
        <v>2793793.8125374536</v>
      </c>
      <c r="J46" s="904" t="str">
        <f>'[4]B11-L8'!J53</f>
        <v>PAID</v>
      </c>
      <c r="K46" s="896"/>
      <c r="L46" s="897"/>
      <c r="M46" s="920"/>
      <c r="BW46" s="907">
        <v>34058</v>
      </c>
      <c r="BX46" s="908">
        <f t="shared" si="12"/>
        <v>-11312.438418307662</v>
      </c>
      <c r="BY46" s="907">
        <f t="shared" si="13"/>
        <v>45370.438418307662</v>
      </c>
      <c r="BZ46" s="908">
        <f t="shared" si="14"/>
        <v>3414095.3197913822</v>
      </c>
    </row>
    <row r="47" spans="1:78">
      <c r="A47" s="865">
        <f>IF(Values_Entered,A46+1,"")</f>
        <v>23</v>
      </c>
      <c r="B47" s="899">
        <f>B46+31</f>
        <v>45677</v>
      </c>
      <c r="C47" s="909">
        <f t="shared" si="8"/>
        <v>2793793.8125374536</v>
      </c>
      <c r="D47" s="909">
        <f t="shared" si="9"/>
        <v>39635.364473693073</v>
      </c>
      <c r="E47" s="910"/>
      <c r="F47" s="911">
        <f t="shared" si="3"/>
        <v>39635.364473693073</v>
      </c>
      <c r="G47" s="909">
        <f t="shared" si="4"/>
        <v>19845.991634886108</v>
      </c>
      <c r="H47" s="909">
        <f t="shared" si="5"/>
        <v>19789.372838806965</v>
      </c>
      <c r="I47" s="909">
        <f t="shared" si="6"/>
        <v>2773947.8209025674</v>
      </c>
      <c r="J47" s="904" t="str">
        <f>'[4]B11-L8'!J54</f>
        <v>PAID</v>
      </c>
      <c r="K47" s="896"/>
      <c r="L47" s="897"/>
      <c r="M47" s="920"/>
      <c r="BW47" s="907">
        <v>34058</v>
      </c>
      <c r="BX47" s="908">
        <f t="shared" si="12"/>
        <v>-11463.270930551756</v>
      </c>
      <c r="BY47" s="907">
        <f t="shared" si="13"/>
        <v>45521.270930551756</v>
      </c>
      <c r="BZ47" s="908">
        <f t="shared" si="14"/>
        <v>3425558.5907219341</v>
      </c>
    </row>
    <row r="48" spans="1:78">
      <c r="A48" s="865">
        <f>IF(Values_Entered,A47+1,"")</f>
        <v>24</v>
      </c>
      <c r="B48" s="899">
        <f>B47+31</f>
        <v>45708</v>
      </c>
      <c r="C48" s="909">
        <f t="shared" si="8"/>
        <v>2773947.8209025674</v>
      </c>
      <c r="D48" s="909">
        <f t="shared" si="9"/>
        <v>39635.364473693073</v>
      </c>
      <c r="E48" s="910"/>
      <c r="F48" s="911">
        <f t="shared" si="3"/>
        <v>39635.364473693073</v>
      </c>
      <c r="G48" s="909">
        <f t="shared" si="4"/>
        <v>19986.567408966552</v>
      </c>
      <c r="H48" s="909">
        <f t="shared" si="5"/>
        <v>19648.797064726521</v>
      </c>
      <c r="I48" s="909">
        <f t="shared" si="6"/>
        <v>2753961.253493601</v>
      </c>
      <c r="J48" s="904" t="str">
        <f>'[4]B11-L8'!J55</f>
        <v>PAID</v>
      </c>
      <c r="K48" s="896"/>
      <c r="L48" s="897"/>
      <c r="M48" s="920"/>
      <c r="BW48" s="907">
        <v>34058</v>
      </c>
      <c r="BX48" s="908">
        <f t="shared" si="12"/>
        <v>-11616.11454295912</v>
      </c>
      <c r="BY48" s="907">
        <f t="shared" si="13"/>
        <v>45674.11454295912</v>
      </c>
      <c r="BZ48" s="908">
        <f t="shared" si="14"/>
        <v>3437174.7052648934</v>
      </c>
    </row>
    <row r="49" spans="1:78">
      <c r="A49" s="865">
        <f>IF(Values_Entered,A48+1,"")</f>
        <v>25</v>
      </c>
      <c r="B49" s="899">
        <f>B48+28</f>
        <v>45736</v>
      </c>
      <c r="C49" s="909">
        <f t="shared" si="8"/>
        <v>2753961.253493601</v>
      </c>
      <c r="D49" s="909">
        <f t="shared" si="9"/>
        <v>39635.364473693073</v>
      </c>
      <c r="E49" s="910"/>
      <c r="F49" s="911">
        <f t="shared" si="3"/>
        <v>39635.364473693073</v>
      </c>
      <c r="G49" s="909">
        <f t="shared" si="4"/>
        <v>20128.1389281134</v>
      </c>
      <c r="H49" s="909">
        <f t="shared" si="5"/>
        <v>19507.225545579673</v>
      </c>
      <c r="I49" s="909">
        <f t="shared" si="6"/>
        <v>2733833.1145654875</v>
      </c>
      <c r="J49" s="904" t="str">
        <f>'[4]B11-L8'!J56</f>
        <v>PAID</v>
      </c>
      <c r="K49" s="896"/>
      <c r="BW49" s="907">
        <v>34058</v>
      </c>
      <c r="BX49" s="908">
        <f t="shared" si="12"/>
        <v>-11770.996070198576</v>
      </c>
      <c r="BY49" s="907">
        <f t="shared" si="13"/>
        <v>45828.996070198576</v>
      </c>
      <c r="BZ49" s="908">
        <f t="shared" si="14"/>
        <v>3448945.7013350921</v>
      </c>
    </row>
    <row r="50" spans="1:78">
      <c r="A50" s="865">
        <f>IF(Values_Entered,A49+1,"")</f>
        <v>26</v>
      </c>
      <c r="B50" s="899">
        <f>B49+31</f>
        <v>45767</v>
      </c>
      <c r="C50" s="909">
        <f t="shared" si="8"/>
        <v>2733833.1145654875</v>
      </c>
      <c r="D50" s="909">
        <f t="shared" si="9"/>
        <v>39635.364473693073</v>
      </c>
      <c r="E50" s="910"/>
      <c r="F50" s="911">
        <f t="shared" si="3"/>
        <v>39635.364473693073</v>
      </c>
      <c r="G50" s="909">
        <f t="shared" si="4"/>
        <v>20270.713245520867</v>
      </c>
      <c r="H50" s="909">
        <f t="shared" si="5"/>
        <v>19364.651228172206</v>
      </c>
      <c r="I50" s="909">
        <f t="shared" si="6"/>
        <v>2713562.4013199667</v>
      </c>
      <c r="J50" s="904" t="str">
        <f>'[4]B11-L8'!J57</f>
        <v>PAID</v>
      </c>
      <c r="K50" s="896"/>
      <c r="M50" s="934"/>
      <c r="BW50" s="907">
        <v>34058</v>
      </c>
      <c r="BX50" s="908">
        <f t="shared" si="12"/>
        <v>-11927.942684467889</v>
      </c>
      <c r="BY50" s="907">
        <f t="shared" si="13"/>
        <v>45985.942684467889</v>
      </c>
      <c r="BZ50" s="908">
        <f t="shared" si="14"/>
        <v>3460873.64401956</v>
      </c>
    </row>
    <row r="51" spans="1:78">
      <c r="A51" s="865">
        <f>IF(Values_Entered,A50+1,"")</f>
        <v>27</v>
      </c>
      <c r="B51" s="899">
        <f t="shared" si="15"/>
        <v>45797</v>
      </c>
      <c r="C51" s="909">
        <f t="shared" si="8"/>
        <v>2713562.4013199667</v>
      </c>
      <c r="D51" s="909">
        <f t="shared" si="9"/>
        <v>39635.364473693073</v>
      </c>
      <c r="E51" s="910"/>
      <c r="F51" s="911">
        <f t="shared" si="3"/>
        <v>39635.364473693073</v>
      </c>
      <c r="G51" s="909">
        <f t="shared" si="4"/>
        <v>20414.297464343308</v>
      </c>
      <c r="H51" s="909">
        <f t="shared" si="5"/>
        <v>19221.067009349765</v>
      </c>
      <c r="I51" s="909">
        <f t="shared" si="6"/>
        <v>2693148.1038556234</v>
      </c>
      <c r="J51" s="904" t="str">
        <f>'[4]B11-L8'!J58</f>
        <v>PAID</v>
      </c>
      <c r="K51" s="896"/>
      <c r="M51" s="934"/>
      <c r="BW51" s="907">
        <v>34058</v>
      </c>
      <c r="BX51" s="908">
        <f t="shared" si="12"/>
        <v>-12086.981920260798</v>
      </c>
      <c r="BY51" s="907">
        <f t="shared" si="13"/>
        <v>46144.981920260798</v>
      </c>
      <c r="BZ51" s="908">
        <f t="shared" si="14"/>
        <v>3472960.6259398209</v>
      </c>
    </row>
    <row r="52" spans="1:78">
      <c r="A52" s="865">
        <f>IF(Values_Entered,A51+1,"")</f>
        <v>28</v>
      </c>
      <c r="B52" s="899">
        <f>B51+31</f>
        <v>45828</v>
      </c>
      <c r="C52" s="909">
        <f t="shared" si="8"/>
        <v>2693148.1038556234</v>
      </c>
      <c r="D52" s="909">
        <f t="shared" si="9"/>
        <v>39635.364473693073</v>
      </c>
      <c r="E52" s="910"/>
      <c r="F52" s="911">
        <f t="shared" si="3"/>
        <v>39635.364473693073</v>
      </c>
      <c r="G52" s="909">
        <f t="shared" si="4"/>
        <v>20558.898738049073</v>
      </c>
      <c r="H52" s="909">
        <f t="shared" si="5"/>
        <v>19076.465735644</v>
      </c>
      <c r="I52" s="909">
        <f t="shared" si="6"/>
        <v>2672589.2051175744</v>
      </c>
      <c r="J52" s="904" t="str">
        <f>'[4]B11-L8'!J59</f>
        <v>PAID</v>
      </c>
      <c r="K52" s="896"/>
      <c r="BW52" s="907">
        <v>34058</v>
      </c>
      <c r="BX52" s="908">
        <f t="shared" si="12"/>
        <v>-12248.141679197608</v>
      </c>
      <c r="BY52" s="907">
        <f t="shared" si="13"/>
        <v>46306.141679197608</v>
      </c>
      <c r="BZ52" s="908">
        <f t="shared" si="14"/>
        <v>3485208.7676190184</v>
      </c>
    </row>
    <row r="53" spans="1:78">
      <c r="A53" s="865">
        <f>IF(Values_Entered,A52+1,"")</f>
        <v>29</v>
      </c>
      <c r="B53" s="899">
        <f t="shared" si="15"/>
        <v>45858</v>
      </c>
      <c r="C53" s="909">
        <f t="shared" si="8"/>
        <v>2672589.2051175744</v>
      </c>
      <c r="D53" s="909">
        <f t="shared" si="9"/>
        <v>39635.364473693073</v>
      </c>
      <c r="E53" s="910"/>
      <c r="F53" s="911">
        <f t="shared" si="3"/>
        <v>39635.364473693073</v>
      </c>
      <c r="G53" s="909">
        <f t="shared" si="4"/>
        <v>20704.524270776918</v>
      </c>
      <c r="H53" s="909">
        <f t="shared" si="5"/>
        <v>18930.840202916155</v>
      </c>
      <c r="I53" s="909">
        <f t="shared" si="6"/>
        <v>2651884.6808467973</v>
      </c>
      <c r="J53" s="904" t="str">
        <f>'[4]B11-L8'!J60</f>
        <v>PAID</v>
      </c>
      <c r="K53" s="896"/>
      <c r="BW53" s="907">
        <v>34058</v>
      </c>
      <c r="BX53" s="908">
        <f t="shared" si="12"/>
        <v>-12411.450234920245</v>
      </c>
      <c r="BY53" s="907">
        <f t="shared" si="13"/>
        <v>46469.450234920245</v>
      </c>
      <c r="BZ53" s="908">
        <f t="shared" si="14"/>
        <v>3497620.2178539387</v>
      </c>
    </row>
    <row r="54" spans="1:78">
      <c r="A54" s="865">
        <f>IF(Values_Entered,A53+1,"")</f>
        <v>30</v>
      </c>
      <c r="B54" s="899">
        <f>B53+31</f>
        <v>45889</v>
      </c>
      <c r="C54" s="909">
        <f t="shared" si="8"/>
        <v>2651884.6808467973</v>
      </c>
      <c r="D54" s="909">
        <f t="shared" si="9"/>
        <v>39635.364473693073</v>
      </c>
      <c r="E54" s="910"/>
      <c r="F54" s="911">
        <f t="shared" si="3"/>
        <v>39635.364473693073</v>
      </c>
      <c r="G54" s="909">
        <f t="shared" si="4"/>
        <v>20851.181317694925</v>
      </c>
      <c r="H54" s="909">
        <f t="shared" si="5"/>
        <v>18784.183155998147</v>
      </c>
      <c r="I54" s="909">
        <f t="shared" si="6"/>
        <v>2631033.4995291024</v>
      </c>
      <c r="J54" s="904" t="str">
        <f>'[4]B11-L8'!J61</f>
        <v>PAID</v>
      </c>
      <c r="K54" s="896"/>
      <c r="BW54" s="907">
        <v>34058</v>
      </c>
      <c r="BX54" s="908">
        <f t="shared" si="12"/>
        <v>-12576.93623805252</v>
      </c>
      <c r="BY54" s="907">
        <f t="shared" si="13"/>
        <v>46634.93623805252</v>
      </c>
      <c r="BZ54" s="908">
        <f t="shared" si="14"/>
        <v>3510197.154091991</v>
      </c>
    </row>
    <row r="55" spans="1:78">
      <c r="A55" s="865">
        <f>IF(Values_Entered,A54+1,"")</f>
        <v>31</v>
      </c>
      <c r="B55" s="899">
        <f>B54+31</f>
        <v>45920</v>
      </c>
      <c r="C55" s="909">
        <f t="shared" si="8"/>
        <v>2631033.4995291024</v>
      </c>
      <c r="D55" s="909">
        <f t="shared" si="9"/>
        <v>39635.364473693073</v>
      </c>
      <c r="E55" s="910"/>
      <c r="F55" s="911">
        <f t="shared" si="3"/>
        <v>39635.364473693073</v>
      </c>
      <c r="G55" s="909">
        <f t="shared" si="4"/>
        <v>20998.877185361929</v>
      </c>
      <c r="H55" s="909">
        <f t="shared" si="5"/>
        <v>18636.487288331144</v>
      </c>
      <c r="I55" s="909">
        <f t="shared" si="6"/>
        <v>2610034.6223437404</v>
      </c>
      <c r="J55" s="904" t="str">
        <f>'[4]B11-L8'!J62</f>
        <v>PAID</v>
      </c>
      <c r="K55" s="896"/>
      <c r="BW55" s="907">
        <v>34058</v>
      </c>
      <c r="BX55" s="908">
        <f t="shared" si="12"/>
        <v>-12744.628721226552</v>
      </c>
      <c r="BY55" s="907">
        <f t="shared" si="13"/>
        <v>46802.628721226552</v>
      </c>
      <c r="BZ55" s="908">
        <f t="shared" si="14"/>
        <v>3522941.7828132175</v>
      </c>
    </row>
    <row r="56" spans="1:78">
      <c r="A56" s="865">
        <f>IF(Values_Entered,A55+1,"")</f>
        <v>32</v>
      </c>
      <c r="B56" s="899">
        <f t="shared" si="15"/>
        <v>45950</v>
      </c>
      <c r="C56" s="909">
        <f t="shared" si="8"/>
        <v>2610034.6223437404</v>
      </c>
      <c r="D56" s="909">
        <f t="shared" si="9"/>
        <v>39635.364473693073</v>
      </c>
      <c r="E56" s="910"/>
      <c r="F56" s="911">
        <f t="shared" si="3"/>
        <v>39635.364473693073</v>
      </c>
      <c r="G56" s="909">
        <f t="shared" si="4"/>
        <v>21147.619232091576</v>
      </c>
      <c r="H56" s="909">
        <f t="shared" si="5"/>
        <v>18487.745241601497</v>
      </c>
      <c r="I56" s="909">
        <f t="shared" si="6"/>
        <v>2588887.0031116488</v>
      </c>
      <c r="J56" s="904" t="str">
        <f>'[4]B11-L8'!J63</f>
        <v>PAID</v>
      </c>
      <c r="K56" s="896"/>
      <c r="BW56" s="907">
        <v>34058</v>
      </c>
      <c r="BX56" s="908">
        <f t="shared" si="12"/>
        <v>-12914.55710417623</v>
      </c>
      <c r="BY56" s="907">
        <f t="shared" si="13"/>
        <v>46972.55710417623</v>
      </c>
      <c r="BZ56" s="908">
        <f t="shared" si="14"/>
        <v>3535856.3399173939</v>
      </c>
    </row>
    <row r="57" spans="1:78">
      <c r="A57" s="865">
        <f>IF(Values_Entered,A56+1,"")</f>
        <v>33</v>
      </c>
      <c r="B57" s="899">
        <f>B56+31</f>
        <v>45981</v>
      </c>
      <c r="C57" s="909">
        <f t="shared" si="8"/>
        <v>2588887.0031116488</v>
      </c>
      <c r="D57" s="909">
        <f t="shared" si="9"/>
        <v>39635.364473693073</v>
      </c>
      <c r="E57" s="910"/>
      <c r="F57" s="911">
        <f t="shared" si="3"/>
        <v>39635.364473693073</v>
      </c>
      <c r="G57" s="909">
        <f t="shared" si="4"/>
        <v>21297.414868318894</v>
      </c>
      <c r="H57" s="909">
        <f t="shared" si="5"/>
        <v>18337.949605374179</v>
      </c>
      <c r="I57" s="909">
        <f t="shared" si="6"/>
        <v>2567589.5882433299</v>
      </c>
      <c r="J57" s="904" t="str">
        <f>'[4]B11-L8'!J64</f>
        <v>PAID</v>
      </c>
      <c r="K57" s="896"/>
      <c r="BW57" s="907">
        <v>34058</v>
      </c>
      <c r="BX57" s="908">
        <f t="shared" si="12"/>
        <v>-13086.751198898586</v>
      </c>
      <c r="BY57" s="907">
        <f t="shared" si="13"/>
        <v>47144.751198898586</v>
      </c>
      <c r="BZ57" s="908">
        <f t="shared" si="14"/>
        <v>3548943.0911162924</v>
      </c>
    </row>
    <row r="58" spans="1:78">
      <c r="A58" s="865">
        <f>IF(Values_Entered,A57+1,"")</f>
        <v>34</v>
      </c>
      <c r="B58" s="899">
        <f t="shared" si="15"/>
        <v>46011</v>
      </c>
      <c r="C58" s="909">
        <f t="shared" si="8"/>
        <v>2567589.5882433299</v>
      </c>
      <c r="D58" s="909">
        <f t="shared" si="9"/>
        <v>39635.364473693073</v>
      </c>
      <c r="E58" s="910"/>
      <c r="F58" s="911">
        <f t="shared" si="3"/>
        <v>39635.364473693073</v>
      </c>
      <c r="G58" s="909">
        <f t="shared" si="4"/>
        <v>21448.271556969485</v>
      </c>
      <c r="H58" s="909">
        <f t="shared" si="5"/>
        <v>18187.092916723588</v>
      </c>
      <c r="I58" s="909">
        <f t="shared" si="6"/>
        <v>2546141.3166863606</v>
      </c>
      <c r="J58" s="904" t="str">
        <f>'[4]B11-L8'!J65</f>
        <v>PAID</v>
      </c>
      <c r="K58" s="896"/>
      <c r="BW58" s="907">
        <v>34058</v>
      </c>
      <c r="BX58" s="908">
        <f t="shared" si="12"/>
        <v>-13261.241214883899</v>
      </c>
      <c r="BY58" s="907">
        <f t="shared" si="13"/>
        <v>47319.241214883899</v>
      </c>
      <c r="BZ58" s="908">
        <f t="shared" si="14"/>
        <v>3562204.3323311764</v>
      </c>
    </row>
    <row r="59" spans="1:78">
      <c r="A59" s="865">
        <f>IF(Values_Entered,A58+1,"")</f>
        <v>35</v>
      </c>
      <c r="B59" s="899">
        <f>B58+31</f>
        <v>46042</v>
      </c>
      <c r="C59" s="909">
        <f t="shared" si="8"/>
        <v>2546141.3166863606</v>
      </c>
      <c r="D59" s="909">
        <f t="shared" si="9"/>
        <v>39635.364473693073</v>
      </c>
      <c r="E59" s="910"/>
      <c r="F59" s="911">
        <f t="shared" si="3"/>
        <v>39635.364473693073</v>
      </c>
      <c r="G59" s="909">
        <f t="shared" si="4"/>
        <v>21600.19681383135</v>
      </c>
      <c r="H59" s="909">
        <f t="shared" si="5"/>
        <v>18035.167659861723</v>
      </c>
      <c r="I59" s="909">
        <f t="shared" si="6"/>
        <v>2524541.1198725291</v>
      </c>
      <c r="J59" s="904" t="str">
        <f>'[4]B11-L8'!J66</f>
        <v>PAID</v>
      </c>
      <c r="K59" s="896"/>
      <c r="BW59" s="907">
        <v>34058</v>
      </c>
      <c r="BX59" s="908">
        <f t="shared" si="12"/>
        <v>-13438.057764415687</v>
      </c>
      <c r="BY59" s="907">
        <f t="shared" si="13"/>
        <v>47496.057764415687</v>
      </c>
      <c r="BZ59" s="908">
        <f t="shared" si="14"/>
        <v>3575642.390095592</v>
      </c>
    </row>
    <row r="60" spans="1:78">
      <c r="A60" s="865">
        <f>IF(Values_Entered,A59+1,"")</f>
        <v>36</v>
      </c>
      <c r="B60" s="899">
        <f>B59+31</f>
        <v>46073</v>
      </c>
      <c r="C60" s="909">
        <f t="shared" si="8"/>
        <v>2524541.1198725291</v>
      </c>
      <c r="D60" s="909">
        <f t="shared" si="9"/>
        <v>39635.364473693073</v>
      </c>
      <c r="E60" s="910"/>
      <c r="F60" s="911">
        <f t="shared" si="3"/>
        <v>39635.364473693073</v>
      </c>
      <c r="G60" s="909">
        <f t="shared" si="4"/>
        <v>21753.198207929323</v>
      </c>
      <c r="H60" s="909">
        <f t="shared" si="5"/>
        <v>17882.16626576375</v>
      </c>
      <c r="I60" s="909">
        <f t="shared" si="6"/>
        <v>2502787.9216645998</v>
      </c>
      <c r="J60" s="904" t="str">
        <f>'[4]B11-L8'!J67</f>
        <v>PAID</v>
      </c>
      <c r="K60" s="896"/>
      <c r="BW60" s="907">
        <v>34058</v>
      </c>
      <c r="BX60" s="908">
        <f t="shared" si="12"/>
        <v>-13617.231867941235</v>
      </c>
      <c r="BY60" s="907">
        <f t="shared" si="13"/>
        <v>47675.231867941235</v>
      </c>
      <c r="BZ60" s="908">
        <f t="shared" si="14"/>
        <v>3589259.6219635331</v>
      </c>
    </row>
    <row r="61" spans="1:78">
      <c r="A61" s="865">
        <f>IF(Values_Entered,A60+1,"")</f>
        <v>37</v>
      </c>
      <c r="B61" s="899">
        <f>B60+28</f>
        <v>46101</v>
      </c>
      <c r="C61" s="909">
        <f>IF(Pay_Num&lt;&gt;"",I60,"")</f>
        <v>2502787.9216645998</v>
      </c>
      <c r="D61" s="909">
        <f t="shared" si="9"/>
        <v>39635.364473693073</v>
      </c>
      <c r="E61" s="910"/>
      <c r="F61" s="911">
        <f t="shared" si="3"/>
        <v>39635.364473693073</v>
      </c>
      <c r="G61" s="909">
        <f t="shared" si="4"/>
        <v>21907.283361902159</v>
      </c>
      <c r="H61" s="909">
        <f t="shared" si="5"/>
        <v>17728.081111790914</v>
      </c>
      <c r="I61" s="909">
        <f t="shared" si="6"/>
        <v>2480880.6383026978</v>
      </c>
      <c r="J61" s="904" t="str">
        <f>'[4]B11-L8'!J68</f>
        <v>PAID</v>
      </c>
      <c r="K61" s="896"/>
      <c r="BW61" s="907">
        <v>34058</v>
      </c>
      <c r="BX61" s="908">
        <f t="shared" si="12"/>
        <v>-13798.794959513769</v>
      </c>
      <c r="BY61" s="907">
        <f t="shared" si="13"/>
        <v>47856.794959513769</v>
      </c>
      <c r="BZ61" s="908">
        <f t="shared" si="14"/>
        <v>3603058.416923047</v>
      </c>
    </row>
    <row r="62" spans="1:78">
      <c r="A62" s="865">
        <f>IF(Values_Entered,A61+1,"")</f>
        <v>38</v>
      </c>
      <c r="B62" s="899">
        <f>B61+31</f>
        <v>46132</v>
      </c>
      <c r="C62" s="909">
        <f t="shared" si="8"/>
        <v>2480880.6383026978</v>
      </c>
      <c r="D62" s="909">
        <f t="shared" si="9"/>
        <v>39635.364473693073</v>
      </c>
      <c r="E62" s="910"/>
      <c r="F62" s="911">
        <f t="shared" si="3"/>
        <v>39635.364473693073</v>
      </c>
      <c r="G62" s="909">
        <f t="shared" si="4"/>
        <v>22062.459952382294</v>
      </c>
      <c r="H62" s="909">
        <f t="shared" si="5"/>
        <v>17572.904521310778</v>
      </c>
      <c r="I62" s="909">
        <f t="shared" si="6"/>
        <v>2458818.1783503154</v>
      </c>
      <c r="J62" s="904" t="str">
        <f>'[4]B11-L8'!J69</f>
        <v>BOUNCED CHECK 2.28.2024</v>
      </c>
      <c r="K62" s="896"/>
      <c r="BW62" s="907">
        <v>34058</v>
      </c>
      <c r="BX62" s="908">
        <f t="shared" si="12"/>
        <v>-13982.778892307302</v>
      </c>
      <c r="BY62" s="907">
        <f t="shared" si="13"/>
        <v>48040.778892307302</v>
      </c>
      <c r="BZ62" s="908">
        <f t="shared" si="14"/>
        <v>3617041.1958153541</v>
      </c>
    </row>
    <row r="63" spans="1:78">
      <c r="A63" s="865">
        <f>IF(Values_Entered,A62+1,"")</f>
        <v>39</v>
      </c>
      <c r="B63" s="899">
        <f t="shared" si="15"/>
        <v>46162</v>
      </c>
      <c r="C63" s="909">
        <f t="shared" si="8"/>
        <v>2458818.1783503154</v>
      </c>
      <c r="D63" s="909">
        <f t="shared" si="9"/>
        <v>39635.364473693073</v>
      </c>
      <c r="E63" s="910"/>
      <c r="F63" s="911">
        <f t="shared" si="3"/>
        <v>39635.364473693073</v>
      </c>
      <c r="G63" s="909">
        <f t="shared" si="4"/>
        <v>22218.735710378336</v>
      </c>
      <c r="H63" s="909">
        <f t="shared" si="5"/>
        <v>17416.628763314737</v>
      </c>
      <c r="I63" s="909">
        <f t="shared" si="6"/>
        <v>2436599.4426399372</v>
      </c>
      <c r="J63" s="904">
        <f>'[4]B11-L8'!J70</f>
        <v>0</v>
      </c>
      <c r="K63" s="896"/>
      <c r="BW63" s="907">
        <v>34058</v>
      </c>
      <c r="BX63" s="908">
        <f t="shared" si="12"/>
        <v>-14169.21594420472</v>
      </c>
      <c r="BY63" s="907">
        <f t="shared" si="13"/>
        <v>48227.21594420472</v>
      </c>
      <c r="BZ63" s="908">
        <f t="shared" si="14"/>
        <v>3631210.4117595591</v>
      </c>
    </row>
    <row r="64" spans="1:78">
      <c r="A64" s="865">
        <f>IF(Values_Entered,A63+1,"")</f>
        <v>40</v>
      </c>
      <c r="B64" s="899">
        <f>B63+31</f>
        <v>46193</v>
      </c>
      <c r="C64" s="909">
        <f t="shared" si="8"/>
        <v>2436599.4426399372</v>
      </c>
      <c r="D64" s="909">
        <f t="shared" si="9"/>
        <v>39635.364473693073</v>
      </c>
      <c r="E64" s="910"/>
      <c r="F64" s="911">
        <f t="shared" si="3"/>
        <v>39635.364473693073</v>
      </c>
      <c r="G64" s="909">
        <f t="shared" si="4"/>
        <v>22376.118421660183</v>
      </c>
      <c r="H64" s="909">
        <f t="shared" si="5"/>
        <v>17259.24605203289</v>
      </c>
      <c r="I64" s="909">
        <f t="shared" si="6"/>
        <v>2414223.3242182769</v>
      </c>
      <c r="J64" s="904" t="str">
        <f>'[4]B11-L8'!J71</f>
        <v>PAID</v>
      </c>
      <c r="K64" s="896"/>
      <c r="BW64" s="907">
        <v>34058</v>
      </c>
      <c r="BX64" s="908">
        <f t="shared" si="12"/>
        <v>-14358.138823460788</v>
      </c>
      <c r="BY64" s="907">
        <f t="shared" si="13"/>
        <v>48416.138823460788</v>
      </c>
      <c r="BZ64" s="908">
        <f t="shared" si="14"/>
        <v>3645568.5505830199</v>
      </c>
    </row>
    <row r="65" spans="1:78">
      <c r="A65" s="865">
        <f>IF(Values_Entered,A64+1,"")</f>
        <v>41</v>
      </c>
      <c r="B65" s="899">
        <f t="shared" si="15"/>
        <v>46223</v>
      </c>
      <c r="C65" s="909">
        <f t="shared" si="8"/>
        <v>2414223.3242182769</v>
      </c>
      <c r="D65" s="909">
        <f t="shared" si="9"/>
        <v>39635.364473693073</v>
      </c>
      <c r="E65" s="910"/>
      <c r="F65" s="911">
        <f t="shared" si="3"/>
        <v>39635.364473693073</v>
      </c>
      <c r="G65" s="909">
        <f t="shared" si="4"/>
        <v>22534.615927146944</v>
      </c>
      <c r="H65" s="909">
        <f t="shared" si="5"/>
        <v>17100.748546546129</v>
      </c>
      <c r="I65" s="909">
        <f t="shared" si="6"/>
        <v>2391688.7082911301</v>
      </c>
      <c r="J65" s="904" t="str">
        <f>'[4]B11-L8'!J72</f>
        <v>PAID</v>
      </c>
      <c r="K65" s="896"/>
      <c r="BW65" s="907">
        <v>34058</v>
      </c>
      <c r="BX65" s="908">
        <f t="shared" si="12"/>
        <v>-14549.580674440273</v>
      </c>
      <c r="BY65" s="907">
        <f t="shared" si="13"/>
        <v>48607.580674440273</v>
      </c>
      <c r="BZ65" s="908">
        <f t="shared" si="14"/>
        <v>3660118.13125746</v>
      </c>
    </row>
    <row r="66" spans="1:78">
      <c r="A66" s="865">
        <f>IF(Values_Entered,A65+1,"")</f>
        <v>42</v>
      </c>
      <c r="B66" s="899">
        <f>B65+31</f>
        <v>46254</v>
      </c>
      <c r="C66" s="909">
        <f t="shared" si="8"/>
        <v>2391688.7082911301</v>
      </c>
      <c r="D66" s="909">
        <f t="shared" si="9"/>
        <v>39635.364473693073</v>
      </c>
      <c r="E66" s="910"/>
      <c r="F66" s="911">
        <f t="shared" si="3"/>
        <v>39635.364473693073</v>
      </c>
      <c r="G66" s="909">
        <f t="shared" si="4"/>
        <v>22694.236123297567</v>
      </c>
      <c r="H66" s="909">
        <f t="shared" si="5"/>
        <v>16941.128350395506</v>
      </c>
      <c r="I66" s="909">
        <f t="shared" si="6"/>
        <v>2368994.4721678328</v>
      </c>
      <c r="J66" s="904" t="str">
        <f>'[4]B11-L8'!J73</f>
        <v>PAID</v>
      </c>
      <c r="K66" s="896"/>
      <c r="BW66" s="907">
        <v>34058</v>
      </c>
      <c r="BX66" s="908">
        <f t="shared" si="12"/>
        <v>-14743.575083432799</v>
      </c>
      <c r="BY66" s="907">
        <f t="shared" si="13"/>
        <v>48801.575083432799</v>
      </c>
      <c r="BZ66" s="908">
        <f t="shared" si="14"/>
        <v>3674861.7063408927</v>
      </c>
    </row>
    <row r="67" spans="1:78">
      <c r="A67" s="865">
        <f>IF(Values_Entered,A66+1,"")</f>
        <v>43</v>
      </c>
      <c r="B67" s="899">
        <f>B66+31</f>
        <v>46285</v>
      </c>
      <c r="C67" s="909">
        <f t="shared" si="8"/>
        <v>2368994.4721678328</v>
      </c>
      <c r="D67" s="909">
        <f t="shared" si="9"/>
        <v>39635.364473693073</v>
      </c>
      <c r="E67" s="910"/>
      <c r="F67" s="911">
        <f t="shared" si="3"/>
        <v>39635.364473693073</v>
      </c>
      <c r="G67" s="909">
        <f t="shared" si="4"/>
        <v>22854.986962504256</v>
      </c>
      <c r="H67" s="909">
        <f t="shared" si="5"/>
        <v>16780.377511188817</v>
      </c>
      <c r="I67" s="909">
        <f t="shared" si="6"/>
        <v>2346139.4852053286</v>
      </c>
      <c r="J67" s="904" t="str">
        <f>'[4]B11-L8'!J74</f>
        <v>PAID</v>
      </c>
      <c r="K67" s="896"/>
      <c r="BW67" s="907">
        <v>34058</v>
      </c>
      <c r="BX67" s="908">
        <f t="shared" si="12"/>
        <v>-14940.15608454524</v>
      </c>
      <c r="BY67" s="907">
        <f t="shared" si="13"/>
        <v>48998.15608454524</v>
      </c>
      <c r="BZ67" s="908">
        <f t="shared" si="14"/>
        <v>3689801.8624254381</v>
      </c>
    </row>
    <row r="68" spans="1:78">
      <c r="A68" s="865">
        <f>IF(Values_Entered,A67+1,"")</f>
        <v>44</v>
      </c>
      <c r="B68" s="899">
        <f t="shared" si="15"/>
        <v>46315</v>
      </c>
      <c r="C68" s="909">
        <f t="shared" si="8"/>
        <v>2346139.4852053286</v>
      </c>
      <c r="D68" s="909">
        <f t="shared" si="9"/>
        <v>39635.364473693073</v>
      </c>
      <c r="E68" s="910"/>
      <c r="F68" s="911">
        <f t="shared" si="3"/>
        <v>39635.364473693073</v>
      </c>
      <c r="G68" s="909">
        <f t="shared" si="4"/>
        <v>23016.876453488661</v>
      </c>
      <c r="H68" s="909">
        <f t="shared" si="5"/>
        <v>16618.488020204411</v>
      </c>
      <c r="I68" s="909">
        <f t="shared" si="6"/>
        <v>2323122.60875184</v>
      </c>
      <c r="J68" s="904" t="str">
        <f>'[4]B11-L8'!J75</f>
        <v>PAID</v>
      </c>
      <c r="K68" s="896"/>
      <c r="BW68" s="907">
        <v>34058</v>
      </c>
      <c r="BX68" s="908">
        <f t="shared" si="12"/>
        <v>-15139.358165672507</v>
      </c>
      <c r="BY68" s="907">
        <f t="shared" si="13"/>
        <v>49197.358165672507</v>
      </c>
      <c r="BZ68" s="908">
        <f t="shared" si="14"/>
        <v>3704941.2205911106</v>
      </c>
    </row>
    <row r="69" spans="1:78">
      <c r="A69" s="865">
        <f>IF(Values_Entered,A68+1,"")</f>
        <v>45</v>
      </c>
      <c r="B69" s="899">
        <f>B68+31</f>
        <v>46346</v>
      </c>
      <c r="C69" s="909">
        <f t="shared" si="8"/>
        <v>2323122.60875184</v>
      </c>
      <c r="D69" s="909">
        <f t="shared" si="9"/>
        <v>39635.364473693073</v>
      </c>
      <c r="E69" s="910"/>
      <c r="F69" s="911">
        <f t="shared" si="3"/>
        <v>39635.364473693073</v>
      </c>
      <c r="G69" s="909">
        <f t="shared" si="4"/>
        <v>23179.91266170087</v>
      </c>
      <c r="H69" s="909">
        <f t="shared" si="5"/>
        <v>16455.451811992203</v>
      </c>
      <c r="I69" s="909">
        <f t="shared" si="6"/>
        <v>2299942.696090139</v>
      </c>
      <c r="J69" s="904" t="str">
        <f>'[4]B11-L8'!J76</f>
        <v>PAID</v>
      </c>
      <c r="K69" s="896"/>
      <c r="BW69" s="907">
        <v>34058</v>
      </c>
      <c r="BX69" s="908">
        <f t="shared" si="12"/>
        <v>-15341.216274548147</v>
      </c>
      <c r="BY69" s="907">
        <f t="shared" si="13"/>
        <v>49399.216274548147</v>
      </c>
      <c r="BZ69" s="908">
        <f t="shared" si="14"/>
        <v>3720282.436865659</v>
      </c>
    </row>
    <row r="70" spans="1:78">
      <c r="A70" s="865">
        <f>IF(Values_Entered,A69+1,"")</f>
        <v>46</v>
      </c>
      <c r="B70" s="899">
        <f t="shared" si="15"/>
        <v>46376</v>
      </c>
      <c r="C70" s="909">
        <f t="shared" si="8"/>
        <v>2299942.696090139</v>
      </c>
      <c r="D70" s="909">
        <f t="shared" si="9"/>
        <v>39635.364473693073</v>
      </c>
      <c r="E70" s="910"/>
      <c r="F70" s="911">
        <f t="shared" si="3"/>
        <v>39635.364473693073</v>
      </c>
      <c r="G70" s="909">
        <f t="shared" si="4"/>
        <v>23344.103709721254</v>
      </c>
      <c r="H70" s="909">
        <f t="shared" si="5"/>
        <v>16291.260763971819</v>
      </c>
      <c r="I70" s="909">
        <f t="shared" si="6"/>
        <v>2276598.5923804175</v>
      </c>
      <c r="J70" s="904" t="str">
        <f>'[4]B11-L8'!J77</f>
        <v>PAID</v>
      </c>
      <c r="K70" s="896"/>
      <c r="BW70" s="907">
        <v>34058</v>
      </c>
      <c r="BX70" s="908">
        <f t="shared" si="12"/>
        <v>-15545.765824875452</v>
      </c>
      <c r="BY70" s="907">
        <f t="shared" si="13"/>
        <v>49603.765824875452</v>
      </c>
      <c r="BZ70" s="908">
        <f t="shared" si="14"/>
        <v>3735828.2026905343</v>
      </c>
    </row>
    <row r="71" spans="1:78">
      <c r="A71" s="865">
        <f>IF(Values_Entered,A70+1,"")</f>
        <v>47</v>
      </c>
      <c r="B71" s="899">
        <f>B70+31</f>
        <v>46407</v>
      </c>
      <c r="C71" s="909">
        <f t="shared" si="8"/>
        <v>2276598.5923804175</v>
      </c>
      <c r="D71" s="909">
        <f t="shared" si="9"/>
        <v>39635.364473693073</v>
      </c>
      <c r="E71" s="910"/>
      <c r="F71" s="911">
        <f t="shared" si="3"/>
        <v>39635.364473693073</v>
      </c>
      <c r="G71" s="909">
        <f t="shared" si="4"/>
        <v>23509.457777665113</v>
      </c>
      <c r="H71" s="909">
        <f t="shared" si="5"/>
        <v>16125.90669602796</v>
      </c>
      <c r="I71" s="909">
        <f t="shared" si="6"/>
        <v>2253089.1346027525</v>
      </c>
      <c r="J71" s="904" t="str">
        <f>'[4]B11-L8'!J78</f>
        <v>PAID</v>
      </c>
      <c r="K71" s="896"/>
      <c r="BW71" s="907">
        <v>34058</v>
      </c>
      <c r="BX71" s="908">
        <f t="shared" si="12"/>
        <v>-15753.042702540457</v>
      </c>
      <c r="BY71" s="907">
        <f t="shared" si="13"/>
        <v>49811.042702540457</v>
      </c>
      <c r="BZ71" s="908">
        <f t="shared" si="14"/>
        <v>3751581.2453930746</v>
      </c>
    </row>
    <row r="72" spans="1:78">
      <c r="A72" s="865">
        <f>IF(Values_Entered,A71+1,"")</f>
        <v>48</v>
      </c>
      <c r="B72" s="899">
        <f>B71+31</f>
        <v>46438</v>
      </c>
      <c r="C72" s="909">
        <f t="shared" si="8"/>
        <v>2253089.1346027525</v>
      </c>
      <c r="D72" s="909">
        <f t="shared" si="9"/>
        <v>39635.364473693073</v>
      </c>
      <c r="E72" s="910"/>
      <c r="F72" s="911">
        <f t="shared" si="3"/>
        <v>39635.364473693073</v>
      </c>
      <c r="G72" s="909">
        <f t="shared" si="4"/>
        <v>23675.983103590239</v>
      </c>
      <c r="H72" s="909">
        <f t="shared" si="5"/>
        <v>15959.381370102832</v>
      </c>
      <c r="I72" s="909">
        <f t="shared" si="6"/>
        <v>2229413.1514991624</v>
      </c>
      <c r="J72" s="904" t="str">
        <f>'[4]B11-L8'!J79</f>
        <v>PAID</v>
      </c>
      <c r="K72" s="896"/>
      <c r="BW72" s="907">
        <v>34058</v>
      </c>
      <c r="BX72" s="908">
        <f t="shared" si="12"/>
        <v>-15963.083271907664</v>
      </c>
      <c r="BY72" s="907">
        <f t="shared" si="13"/>
        <v>50021.083271907664</v>
      </c>
      <c r="BZ72" s="908">
        <f t="shared" si="14"/>
        <v>3767544.3286649822</v>
      </c>
    </row>
    <row r="73" spans="1:78">
      <c r="A73" s="865">
        <f>IF(Values_Entered,A72+1,"")</f>
        <v>49</v>
      </c>
      <c r="B73" s="899">
        <f>B72+28</f>
        <v>46466</v>
      </c>
      <c r="C73" s="909">
        <f t="shared" si="8"/>
        <v>2229413.1514991624</v>
      </c>
      <c r="D73" s="909">
        <f t="shared" si="9"/>
        <v>39635.364473693073</v>
      </c>
      <c r="E73" s="910"/>
      <c r="F73" s="911">
        <f t="shared" si="3"/>
        <v>39635.364473693073</v>
      </c>
      <c r="G73" s="909">
        <f t="shared" si="4"/>
        <v>23843.687983907337</v>
      </c>
      <c r="H73" s="909">
        <f t="shared" si="5"/>
        <v>15791.676489785736</v>
      </c>
      <c r="I73" s="909">
        <f t="shared" si="6"/>
        <v>2205569.4635152551</v>
      </c>
      <c r="J73" s="904" t="str">
        <f>'[4]B11-L8'!J80</f>
        <v>PAID</v>
      </c>
      <c r="K73" s="896"/>
      <c r="BW73" s="907">
        <v>34058</v>
      </c>
      <c r="BX73" s="908">
        <f t="shared" si="12"/>
        <v>-16175.924382199766</v>
      </c>
      <c r="BY73" s="907">
        <f t="shared" si="13"/>
        <v>50233.924382199766</v>
      </c>
      <c r="BZ73" s="908">
        <f t="shared" si="14"/>
        <v>3783720.2530471822</v>
      </c>
    </row>
    <row r="74" spans="1:78">
      <c r="A74" s="865">
        <f>IF(Values_Entered,A73+1,"")</f>
        <v>50</v>
      </c>
      <c r="B74" s="899">
        <f>B73+31</f>
        <v>46497</v>
      </c>
      <c r="C74" s="909">
        <f t="shared" si="8"/>
        <v>2205569.4635152551</v>
      </c>
      <c r="D74" s="909">
        <f t="shared" si="9"/>
        <v>39635.364473693073</v>
      </c>
      <c r="E74" s="910"/>
      <c r="F74" s="911">
        <f t="shared" si="3"/>
        <v>39635.364473693073</v>
      </c>
      <c r="G74" s="909">
        <f t="shared" si="4"/>
        <v>24012.58077379335</v>
      </c>
      <c r="H74" s="909">
        <f t="shared" si="5"/>
        <v>15622.783699899725</v>
      </c>
      <c r="I74" s="909">
        <f t="shared" si="6"/>
        <v>2181556.882741462</v>
      </c>
      <c r="J74" s="904" t="str">
        <f>'[4]B11-L8'!J81</f>
        <v>PAID</v>
      </c>
      <c r="K74" s="896"/>
      <c r="BW74" s="907">
        <v>34058</v>
      </c>
      <c r="BX74" s="908">
        <f t="shared" si="12"/>
        <v>-16391.603373962433</v>
      </c>
      <c r="BY74" s="907">
        <f t="shared" si="13"/>
        <v>50449.603373962433</v>
      </c>
      <c r="BZ74" s="908">
        <f t="shared" si="14"/>
        <v>3800111.8564211447</v>
      </c>
    </row>
    <row r="75" spans="1:78">
      <c r="A75" s="865">
        <f>IF(Values_Entered,A74+1,"")</f>
        <v>51</v>
      </c>
      <c r="B75" s="899">
        <f t="shared" si="15"/>
        <v>46527</v>
      </c>
      <c r="C75" s="909">
        <f t="shared" si="8"/>
        <v>2181556.882741462</v>
      </c>
      <c r="D75" s="909">
        <f t="shared" si="9"/>
        <v>39635.364473693073</v>
      </c>
      <c r="E75" s="910"/>
      <c r="F75" s="911">
        <f t="shared" si="3"/>
        <v>39635.364473693073</v>
      </c>
      <c r="G75" s="909">
        <f t="shared" si="4"/>
        <v>24182.669887607713</v>
      </c>
      <c r="H75" s="909">
        <f t="shared" si="5"/>
        <v>15452.694586085358</v>
      </c>
      <c r="I75" s="909">
        <f t="shared" si="6"/>
        <v>2157374.2128538541</v>
      </c>
      <c r="J75" s="904" t="str">
        <f>'[4]B11-L8'!J82</f>
        <v>PAID</v>
      </c>
      <c r="K75" s="896"/>
      <c r="BW75" s="907">
        <v>34058</v>
      </c>
      <c r="BX75" s="908">
        <f t="shared" si="12"/>
        <v>-16610.158085615265</v>
      </c>
      <c r="BY75" s="907">
        <f t="shared" si="13"/>
        <v>50668.158085615265</v>
      </c>
      <c r="BZ75" s="908">
        <f t="shared" si="14"/>
        <v>3816722.0145067601</v>
      </c>
    </row>
    <row r="76" spans="1:78">
      <c r="A76" s="865">
        <f>IF(Values_Entered,A75+1,"")</f>
        <v>52</v>
      </c>
      <c r="B76" s="899">
        <f>B75+31</f>
        <v>46558</v>
      </c>
      <c r="C76" s="909">
        <f t="shared" si="8"/>
        <v>2157374.2128538541</v>
      </c>
      <c r="D76" s="909">
        <f t="shared" si="9"/>
        <v>39635.364473693073</v>
      </c>
      <c r="E76" s="910"/>
      <c r="F76" s="911">
        <f t="shared" si="3"/>
        <v>39635.364473693073</v>
      </c>
      <c r="G76" s="909">
        <f t="shared" si="4"/>
        <v>24353.963799311605</v>
      </c>
      <c r="H76" s="909">
        <f t="shared" si="5"/>
        <v>15281.400674381468</v>
      </c>
      <c r="I76" s="909">
        <f t="shared" si="6"/>
        <v>2133020.2490545423</v>
      </c>
      <c r="J76" s="904" t="str">
        <f>'[4]B11-L8'!J83</f>
        <v>PAID</v>
      </c>
      <c r="K76" s="896"/>
      <c r="BW76" s="907">
        <v>34058</v>
      </c>
      <c r="BX76" s="908">
        <f t="shared" si="12"/>
        <v>-16831.626860090131</v>
      </c>
      <c r="BY76" s="907">
        <f t="shared" si="13"/>
        <v>50889.626860090131</v>
      </c>
      <c r="BZ76" s="908">
        <f t="shared" si="14"/>
        <v>3833553.6413668501</v>
      </c>
    </row>
    <row r="77" spans="1:78">
      <c r="A77" s="865">
        <f>IF(Values_Entered,A76+1,"")</f>
        <v>53</v>
      </c>
      <c r="B77" s="899">
        <f t="shared" si="15"/>
        <v>46588</v>
      </c>
      <c r="C77" s="909">
        <f t="shared" si="8"/>
        <v>2133020.2490545423</v>
      </c>
      <c r="D77" s="909">
        <f t="shared" si="9"/>
        <v>39635.364473693073</v>
      </c>
      <c r="E77" s="910"/>
      <c r="F77" s="911">
        <f t="shared" si="3"/>
        <v>39635.364473693073</v>
      </c>
      <c r="G77" s="909">
        <f t="shared" si="4"/>
        <v>24526.471042890065</v>
      </c>
      <c r="H77" s="909">
        <f t="shared" si="5"/>
        <v>15108.893430803009</v>
      </c>
      <c r="I77" s="909">
        <f t="shared" si="6"/>
        <v>2108493.7780116522</v>
      </c>
      <c r="J77" s="904" t="str">
        <f>'[4]B11-L8'!J84</f>
        <v>PAID</v>
      </c>
      <c r="K77" s="896"/>
      <c r="BW77" s="907">
        <v>34058</v>
      </c>
      <c r="BX77" s="908">
        <f t="shared" si="12"/>
        <v>-17056.048551558</v>
      </c>
      <c r="BY77" s="907">
        <f t="shared" si="13"/>
        <v>51114.048551558</v>
      </c>
      <c r="BZ77" s="908">
        <f t="shared" si="14"/>
        <v>3850609.6899184082</v>
      </c>
    </row>
    <row r="78" spans="1:78">
      <c r="A78" s="865">
        <f>IF(Values_Entered,A77+1,"")</f>
        <v>54</v>
      </c>
      <c r="B78" s="899">
        <f>B77+31</f>
        <v>46619</v>
      </c>
      <c r="C78" s="909">
        <f t="shared" si="8"/>
        <v>2108493.7780116522</v>
      </c>
      <c r="D78" s="909">
        <f t="shared" si="9"/>
        <v>39635.364473693073</v>
      </c>
      <c r="E78" s="910"/>
      <c r="F78" s="911">
        <f t="shared" si="3"/>
        <v>39635.364473693073</v>
      </c>
      <c r="G78" s="909">
        <f t="shared" si="4"/>
        <v>24700.200212777199</v>
      </c>
      <c r="H78" s="909">
        <f t="shared" si="5"/>
        <v>14935.164260915872</v>
      </c>
      <c r="I78" s="909">
        <f t="shared" si="6"/>
        <v>2083793.577798875</v>
      </c>
      <c r="J78" s="904" t="str">
        <f>'[4]B11-L8'!J85</f>
        <v>PAID</v>
      </c>
      <c r="K78" s="896"/>
      <c r="BW78" s="907">
        <v>34058</v>
      </c>
      <c r="BX78" s="908">
        <f t="shared" si="12"/>
        <v>-17283.462532245445</v>
      </c>
      <c r="BY78" s="907">
        <f t="shared" si="13"/>
        <v>51341.462532245445</v>
      </c>
      <c r="BZ78" s="908">
        <f t="shared" si="14"/>
        <v>3867893.1524506537</v>
      </c>
    </row>
    <row r="79" spans="1:78">
      <c r="A79" s="865">
        <f>IF(Values_Entered,A78+1,"")</f>
        <v>55</v>
      </c>
      <c r="B79" s="899">
        <f>B78+31</f>
        <v>46650</v>
      </c>
      <c r="C79" s="909">
        <f t="shared" si="8"/>
        <v>2083793.577798875</v>
      </c>
      <c r="D79" s="909">
        <f t="shared" si="9"/>
        <v>39635.364473693073</v>
      </c>
      <c r="E79" s="910"/>
      <c r="F79" s="911">
        <f t="shared" si="3"/>
        <v>39635.364473693073</v>
      </c>
      <c r="G79" s="909">
        <f t="shared" si="4"/>
        <v>24875.159964284372</v>
      </c>
      <c r="H79" s="909">
        <f t="shared" si="5"/>
        <v>14760.204509408699</v>
      </c>
      <c r="I79" s="909">
        <f t="shared" si="6"/>
        <v>2058918.4178345907</v>
      </c>
      <c r="J79" s="904" t="str">
        <f>'[4]B11-L8'!J86</f>
        <v>PAID</v>
      </c>
      <c r="K79" s="896"/>
      <c r="BW79" s="907">
        <v>34058</v>
      </c>
      <c r="BX79" s="908">
        <f t="shared" si="12"/>
        <v>-17513.90869934205</v>
      </c>
      <c r="BY79" s="907">
        <f t="shared" si="13"/>
        <v>51571.90869934205</v>
      </c>
      <c r="BZ79" s="908">
        <f t="shared" si="14"/>
        <v>3885407.0611499958</v>
      </c>
    </row>
    <row r="80" spans="1:78">
      <c r="A80" s="865">
        <f>IF(Values_Entered,A79+1,"")</f>
        <v>56</v>
      </c>
      <c r="B80" s="899">
        <f t="shared" si="15"/>
        <v>46680</v>
      </c>
      <c r="C80" s="909">
        <f t="shared" si="8"/>
        <v>2058918.4178345907</v>
      </c>
      <c r="D80" s="909">
        <f t="shared" si="9"/>
        <v>39635.364473693073</v>
      </c>
      <c r="E80" s="910"/>
      <c r="F80" s="911">
        <f t="shared" si="3"/>
        <v>39635.364473693073</v>
      </c>
      <c r="G80" s="909">
        <f t="shared" si="4"/>
        <v>25051.35901403139</v>
      </c>
      <c r="H80" s="909">
        <f t="shared" si="5"/>
        <v>14584.005459661685</v>
      </c>
      <c r="I80" s="909">
        <f t="shared" si="6"/>
        <v>2033867.0588205592</v>
      </c>
      <c r="J80" s="904">
        <f>'[4]B11-L8'!J87</f>
        <v>0</v>
      </c>
      <c r="K80" s="896"/>
      <c r="BW80" s="907">
        <v>34058</v>
      </c>
      <c r="BX80" s="908">
        <f t="shared" si="12"/>
        <v>-17747.427481999941</v>
      </c>
      <c r="BY80" s="907">
        <f t="shared" si="13"/>
        <v>51805.427481999941</v>
      </c>
      <c r="BZ80" s="908">
        <f t="shared" si="14"/>
        <v>3903154.4886319959</v>
      </c>
    </row>
    <row r="81" spans="1:78">
      <c r="A81" s="865">
        <f>IF(Values_Entered,A80+1,"")</f>
        <v>57</v>
      </c>
      <c r="B81" s="899">
        <f>B80+31</f>
        <v>46711</v>
      </c>
      <c r="C81" s="909">
        <f t="shared" si="8"/>
        <v>2033867.0588205592</v>
      </c>
      <c r="D81" s="909">
        <f t="shared" si="9"/>
        <v>39635.364473693073</v>
      </c>
      <c r="E81" s="910"/>
      <c r="F81" s="911">
        <f t="shared" si="3"/>
        <v>39635.364473693073</v>
      </c>
      <c r="G81" s="909">
        <f t="shared" si="4"/>
        <v>25228.806140380781</v>
      </c>
      <c r="H81" s="909">
        <f t="shared" si="5"/>
        <v>14406.558333312294</v>
      </c>
      <c r="I81" s="909">
        <f t="shared" si="6"/>
        <v>2008638.2526801785</v>
      </c>
      <c r="J81" s="904">
        <f>'[4]B11-L8'!J88</f>
        <v>0</v>
      </c>
      <c r="K81" s="896"/>
      <c r="BW81" s="907">
        <v>34058</v>
      </c>
      <c r="BX81" s="908">
        <f t="shared" si="12"/>
        <v>-17984.059848426608</v>
      </c>
      <c r="BY81" s="907">
        <f t="shared" si="13"/>
        <v>52042.059848426608</v>
      </c>
      <c r="BZ81" s="908">
        <f t="shared" si="14"/>
        <v>3921138.5484804222</v>
      </c>
    </row>
    <row r="82" spans="1:78">
      <c r="A82" s="865">
        <f>IF(Values_Entered,A81+1,"")</f>
        <v>58</v>
      </c>
      <c r="B82" s="899">
        <f t="shared" si="15"/>
        <v>46741</v>
      </c>
      <c r="C82" s="909">
        <f t="shared" si="8"/>
        <v>2008638.2526801785</v>
      </c>
      <c r="D82" s="909">
        <f t="shared" si="9"/>
        <v>39635.364473693073</v>
      </c>
      <c r="E82" s="910"/>
      <c r="F82" s="911">
        <f t="shared" si="3"/>
        <v>39635.364473693073</v>
      </c>
      <c r="G82" s="909">
        <f t="shared" si="4"/>
        <v>25407.510183875143</v>
      </c>
      <c r="H82" s="909">
        <f t="shared" si="5"/>
        <v>14227.854289817931</v>
      </c>
      <c r="I82" s="909">
        <f t="shared" si="6"/>
        <v>1983230.7424963033</v>
      </c>
      <c r="J82" s="904">
        <f>'[4]B11-L8'!J89</f>
        <v>0</v>
      </c>
      <c r="K82" s="896"/>
      <c r="BW82" s="907">
        <v>34058</v>
      </c>
      <c r="BX82" s="908">
        <f t="shared" si="12"/>
        <v>-18223.8473130723</v>
      </c>
      <c r="BY82" s="907">
        <f t="shared" si="13"/>
        <v>52281.8473130723</v>
      </c>
      <c r="BZ82" s="908">
        <f t="shared" si="14"/>
        <v>3939362.3957934948</v>
      </c>
    </row>
    <row r="83" spans="1:78">
      <c r="A83" s="865">
        <f>IF(Values_Entered,A82+1,"")</f>
        <v>59</v>
      </c>
      <c r="B83" s="899">
        <f>B82+31</f>
        <v>46772</v>
      </c>
      <c r="C83" s="909">
        <f t="shared" si="8"/>
        <v>1983230.7424963033</v>
      </c>
      <c r="D83" s="909">
        <f t="shared" si="9"/>
        <v>39635.364473693073</v>
      </c>
      <c r="E83" s="910"/>
      <c r="F83" s="911">
        <f t="shared" si="3"/>
        <v>39635.364473693073</v>
      </c>
      <c r="G83" s="909">
        <f t="shared" si="4"/>
        <v>25587.480047677593</v>
      </c>
      <c r="H83" s="909">
        <f t="shared" si="5"/>
        <v>14047.884426015482</v>
      </c>
      <c r="I83" s="909">
        <f t="shared" si="6"/>
        <v>1957643.2624486256</v>
      </c>
      <c r="J83" s="904">
        <f>'[4]B11-L8'!J90</f>
        <v>0</v>
      </c>
      <c r="K83" s="896"/>
      <c r="BW83" s="907">
        <v>34058</v>
      </c>
      <c r="BX83" s="908">
        <f t="shared" si="12"/>
        <v>-18466.831943913268</v>
      </c>
      <c r="BY83" s="907">
        <f t="shared" si="13"/>
        <v>52524.831943913268</v>
      </c>
      <c r="BZ83" s="908">
        <f t="shared" si="14"/>
        <v>3957829.2277374081</v>
      </c>
    </row>
    <row r="84" spans="1:78">
      <c r="A84" s="865">
        <f>IF(Values_Entered,A83+1,"")</f>
        <v>60</v>
      </c>
      <c r="B84" s="899">
        <f>B83+31</f>
        <v>46803</v>
      </c>
      <c r="C84" s="909">
        <f t="shared" si="8"/>
        <v>1957643.2624486256</v>
      </c>
      <c r="D84" s="909">
        <f t="shared" si="9"/>
        <v>39635.364473693073</v>
      </c>
      <c r="E84" s="910"/>
      <c r="F84" s="911">
        <f t="shared" si="3"/>
        <v>39635.364473693073</v>
      </c>
      <c r="G84" s="909">
        <f>IF(Pay_Num&lt;&gt;"",Total_Pay-Int,"")</f>
        <v>25768.724698015307</v>
      </c>
      <c r="H84" s="909">
        <f t="shared" si="5"/>
        <v>13866.639775677766</v>
      </c>
      <c r="I84" s="909">
        <f t="shared" si="6"/>
        <v>1931874.5377506104</v>
      </c>
      <c r="J84" s="904">
        <f>'[4]B11-L8'!J91</f>
        <v>0</v>
      </c>
      <c r="K84" s="896"/>
      <c r="BW84" s="907">
        <v>34058</v>
      </c>
      <c r="BX84" s="908">
        <f>BW84-BY84-0.44</f>
        <v>-18713.496369832104</v>
      </c>
      <c r="BY84" s="907">
        <f t="shared" si="13"/>
        <v>52771.056369832106</v>
      </c>
      <c r="BZ84" s="908">
        <f t="shared" si="14"/>
        <v>3976542.7241072403</v>
      </c>
    </row>
    <row r="85" spans="1:78">
      <c r="A85" s="865">
        <f>IF(Values_Entered,A84+1,"")</f>
        <v>61</v>
      </c>
      <c r="B85" s="899">
        <f>B84+29</f>
        <v>46832</v>
      </c>
      <c r="C85" s="909">
        <f t="shared" si="8"/>
        <v>1931874.5377506104</v>
      </c>
      <c r="D85" s="909">
        <f t="shared" si="9"/>
        <v>39635.364473693073</v>
      </c>
      <c r="E85" s="910"/>
      <c r="F85" s="911">
        <f t="shared" si="3"/>
        <v>39635.364473693073</v>
      </c>
      <c r="G85" s="909">
        <f t="shared" si="4"/>
        <v>25951.253164626251</v>
      </c>
      <c r="H85" s="909">
        <f t="shared" si="5"/>
        <v>13684.111309066824</v>
      </c>
      <c r="I85" s="909">
        <f t="shared" si="6"/>
        <v>1905923.2845859842</v>
      </c>
      <c r="J85" s="935"/>
      <c r="K85" s="896"/>
    </row>
    <row r="86" spans="1:78">
      <c r="A86" s="865">
        <f>IF(Values_Entered,A85+1,"")</f>
        <v>62</v>
      </c>
      <c r="B86" s="899">
        <f>B85+31</f>
        <v>46863</v>
      </c>
      <c r="C86" s="909">
        <f t="shared" si="8"/>
        <v>1905923.2845859842</v>
      </c>
      <c r="D86" s="909">
        <f t="shared" si="9"/>
        <v>39635.364473693073</v>
      </c>
      <c r="E86" s="910"/>
      <c r="F86" s="911">
        <f t="shared" si="3"/>
        <v>39635.364473693073</v>
      </c>
      <c r="G86" s="909">
        <f t="shared" si="4"/>
        <v>26135.074541209018</v>
      </c>
      <c r="H86" s="909">
        <f t="shared" si="5"/>
        <v>13500.289932484055</v>
      </c>
      <c r="I86" s="909">
        <f t="shared" si="6"/>
        <v>1879788.2100447752</v>
      </c>
      <c r="J86" s="935"/>
      <c r="K86" s="896"/>
    </row>
    <row r="87" spans="1:78">
      <c r="A87" s="865">
        <f>IF(Values_Entered,A86+1,"")</f>
        <v>63</v>
      </c>
      <c r="B87" s="899">
        <f t="shared" si="15"/>
        <v>46893</v>
      </c>
      <c r="C87" s="909">
        <f t="shared" ref="C87:C145" si="16">IF(Pay_Num&lt;&gt;"",I86,"")</f>
        <v>1879788.2100447752</v>
      </c>
      <c r="D87" s="909">
        <f t="shared" si="9"/>
        <v>39635.364473693073</v>
      </c>
      <c r="E87" s="910"/>
      <c r="F87" s="911">
        <f t="shared" si="3"/>
        <v>39635.364473693073</v>
      </c>
      <c r="G87" s="909">
        <f>F84-H8</f>
        <v>39635.364473693073</v>
      </c>
      <c r="H87" s="909">
        <f t="shared" si="5"/>
        <v>13315.166487817158</v>
      </c>
      <c r="I87" s="909">
        <f t="shared" si="6"/>
        <v>1840152.8455710821</v>
      </c>
      <c r="J87" s="935"/>
      <c r="K87" s="896"/>
    </row>
    <row r="88" spans="1:78">
      <c r="A88" s="865">
        <f>IF(Values_Entered,A87+1,"")</f>
        <v>64</v>
      </c>
      <c r="B88" s="899">
        <f>B87+31</f>
        <v>46924</v>
      </c>
      <c r="C88" s="909">
        <f t="shared" si="16"/>
        <v>1840152.8455710821</v>
      </c>
      <c r="D88" s="909">
        <f t="shared" si="9"/>
        <v>39635.364473693073</v>
      </c>
      <c r="E88" s="910"/>
      <c r="F88" s="911">
        <f t="shared" si="3"/>
        <v>39635.364473693073</v>
      </c>
      <c r="G88" s="909">
        <f t="shared" si="4"/>
        <v>26600.948484231238</v>
      </c>
      <c r="H88" s="909">
        <f t="shared" si="5"/>
        <v>13034.415989461833</v>
      </c>
      <c r="I88" s="909">
        <f t="shared" si="6"/>
        <v>1813551.8970868508</v>
      </c>
      <c r="J88" s="935"/>
      <c r="K88" s="896"/>
    </row>
    <row r="89" spans="1:78">
      <c r="A89" s="865">
        <f>IF(Values_Entered,A88+1,"")</f>
        <v>65</v>
      </c>
      <c r="B89" s="899">
        <f t="shared" si="15"/>
        <v>46954</v>
      </c>
      <c r="C89" s="909">
        <f t="shared" si="16"/>
        <v>1813551.8970868508</v>
      </c>
      <c r="D89" s="909">
        <f t="shared" si="9"/>
        <v>39635.364473693073</v>
      </c>
      <c r="E89" s="910"/>
      <c r="F89" s="911">
        <f t="shared" ref="F89:F152" si="17">IF(AND(Pay_Num&lt;&gt;"",Sched_Pay+Extra_Pay&lt;Beg_Bal),Sched_Pay+Extra_Pay,IF(Pay_Num&lt;&gt;"",Beg_Bal,""))</f>
        <v>39635.364473693073</v>
      </c>
      <c r="G89" s="909">
        <f t="shared" si="4"/>
        <v>26789.371869327879</v>
      </c>
      <c r="H89" s="909">
        <f t="shared" si="5"/>
        <v>12845.992604365194</v>
      </c>
      <c r="I89" s="909">
        <f t="shared" si="6"/>
        <v>1786762.5252175229</v>
      </c>
      <c r="J89" s="935"/>
      <c r="K89" s="896"/>
    </row>
    <row r="90" spans="1:78">
      <c r="A90" s="865">
        <f>IF(Values_Entered,A89+1,"")</f>
        <v>66</v>
      </c>
      <c r="B90" s="899">
        <f>B89+31</f>
        <v>46985</v>
      </c>
      <c r="C90" s="909">
        <f t="shared" si="16"/>
        <v>1786762.5252175229</v>
      </c>
      <c r="D90" s="909">
        <f t="shared" si="9"/>
        <v>39635.364473693073</v>
      </c>
      <c r="E90" s="910"/>
      <c r="F90" s="911">
        <f t="shared" si="17"/>
        <v>39635.364473693073</v>
      </c>
      <c r="G90" s="909">
        <f t="shared" ref="G90:G153" si="18">IF(Pay_Num&lt;&gt;"",Total_Pay-Int,"")</f>
        <v>26979.129920068954</v>
      </c>
      <c r="H90" s="909">
        <f t="shared" ref="H90:H153" si="19">IF(Pay_Num&lt;&gt;"",Beg_Bal*Interest_Rate/Num_Pmt_Per_Year,"")</f>
        <v>12656.234553624121</v>
      </c>
      <c r="I90" s="909">
        <f t="shared" ref="I90:I153" si="20">IF(AND(Pay_Num&lt;&gt;"",Sched_Pay+Extra_Pay&lt;Beg_Bal),Beg_Bal-Princ,IF(Pay_Num&lt;&gt;"",0,""))</f>
        <v>1759783.395297454</v>
      </c>
      <c r="J90" s="935"/>
      <c r="K90" s="896"/>
    </row>
    <row r="91" spans="1:78">
      <c r="A91" s="865">
        <f>IF(Values_Entered,A90+1,"")</f>
        <v>67</v>
      </c>
      <c r="B91" s="899">
        <f>B90+31</f>
        <v>47016</v>
      </c>
      <c r="C91" s="909">
        <f t="shared" si="16"/>
        <v>1759783.395297454</v>
      </c>
      <c r="D91" s="909">
        <f t="shared" ref="D91:D145" si="21">IF(Pay_Num&lt;&gt;"",Scheduled_Monthly_Payment,"")</f>
        <v>39635.364473693073</v>
      </c>
      <c r="E91" s="910"/>
      <c r="F91" s="911">
        <f t="shared" si="17"/>
        <v>39635.364473693073</v>
      </c>
      <c r="G91" s="909">
        <f t="shared" si="18"/>
        <v>27170.232090336103</v>
      </c>
      <c r="H91" s="909">
        <f t="shared" si="19"/>
        <v>12465.132383356968</v>
      </c>
      <c r="I91" s="909">
        <f t="shared" si="20"/>
        <v>1732613.1632071179</v>
      </c>
      <c r="J91" s="935"/>
      <c r="K91" s="896"/>
    </row>
    <row r="92" spans="1:78">
      <c r="A92" s="865">
        <f>IF(Values_Entered,A91+1,"")</f>
        <v>68</v>
      </c>
      <c r="B92" s="899">
        <f t="shared" ref="B92:B142" si="22">B91+30</f>
        <v>47046</v>
      </c>
      <c r="C92" s="909">
        <f t="shared" si="16"/>
        <v>1732613.1632071179</v>
      </c>
      <c r="D92" s="909">
        <f t="shared" si="21"/>
        <v>39635.364473693073</v>
      </c>
      <c r="E92" s="910"/>
      <c r="F92" s="911">
        <f t="shared" si="17"/>
        <v>39635.364473693073</v>
      </c>
      <c r="G92" s="909">
        <f t="shared" si="18"/>
        <v>27362.687900975987</v>
      </c>
      <c r="H92" s="909">
        <f t="shared" si="19"/>
        <v>12272.676572717086</v>
      </c>
      <c r="I92" s="909">
        <f t="shared" si="20"/>
        <v>1705250.4753061419</v>
      </c>
      <c r="J92" s="935"/>
      <c r="K92" s="896"/>
    </row>
    <row r="93" spans="1:78">
      <c r="A93" s="865">
        <f>IF(Values_Entered,A92+1,"")</f>
        <v>69</v>
      </c>
      <c r="B93" s="899">
        <f>B92+31</f>
        <v>47077</v>
      </c>
      <c r="C93" s="909">
        <f t="shared" si="16"/>
        <v>1705250.4753061419</v>
      </c>
      <c r="D93" s="909">
        <f t="shared" si="21"/>
        <v>39635.364473693073</v>
      </c>
      <c r="E93" s="910"/>
      <c r="F93" s="911">
        <f t="shared" si="17"/>
        <v>39635.364473693073</v>
      </c>
      <c r="G93" s="909">
        <f t="shared" si="18"/>
        <v>27556.506940274565</v>
      </c>
      <c r="H93" s="909">
        <f t="shared" si="19"/>
        <v>12078.857533418506</v>
      </c>
      <c r="I93" s="909">
        <f t="shared" si="20"/>
        <v>1677693.9683658674</v>
      </c>
      <c r="J93" s="935"/>
      <c r="K93" s="896"/>
    </row>
    <row r="94" spans="1:78">
      <c r="A94" s="865">
        <f>IF(Values_Entered,A93+1,"")</f>
        <v>70</v>
      </c>
      <c r="B94" s="899">
        <f t="shared" si="22"/>
        <v>47107</v>
      </c>
      <c r="C94" s="909">
        <f t="shared" si="16"/>
        <v>1677693.9683658674</v>
      </c>
      <c r="D94" s="909">
        <f t="shared" si="21"/>
        <v>39635.364473693073</v>
      </c>
      <c r="E94" s="910"/>
      <c r="F94" s="911">
        <f t="shared" si="17"/>
        <v>39635.364473693073</v>
      </c>
      <c r="G94" s="909">
        <f t="shared" si="18"/>
        <v>27751.698864434846</v>
      </c>
      <c r="H94" s="909">
        <f t="shared" si="19"/>
        <v>11883.665609258227</v>
      </c>
      <c r="I94" s="909">
        <f t="shared" si="20"/>
        <v>1649942.2695014325</v>
      </c>
      <c r="J94" s="935"/>
      <c r="K94" s="896"/>
    </row>
    <row r="95" spans="1:78">
      <c r="A95" s="865">
        <f>IF(Values_Entered,A94+1,"")</f>
        <v>71</v>
      </c>
      <c r="B95" s="899">
        <f>B94+31</f>
        <v>47138</v>
      </c>
      <c r="C95" s="909">
        <f t="shared" si="16"/>
        <v>1649942.2695014325</v>
      </c>
      <c r="D95" s="909">
        <f t="shared" si="21"/>
        <v>39635.364473693073</v>
      </c>
      <c r="E95" s="910"/>
      <c r="F95" s="911">
        <f t="shared" si="17"/>
        <v>39635.364473693073</v>
      </c>
      <c r="G95" s="909">
        <f t="shared" si="18"/>
        <v>27948.273398057921</v>
      </c>
      <c r="H95" s="909">
        <f t="shared" si="19"/>
        <v>11687.09107563515</v>
      </c>
      <c r="I95" s="909">
        <f t="shared" si="20"/>
        <v>1621993.9961033745</v>
      </c>
      <c r="J95" s="935"/>
      <c r="K95" s="896"/>
    </row>
    <row r="96" spans="1:78">
      <c r="A96" s="865">
        <f>IF(Values_Entered,A95+1,"")</f>
        <v>72</v>
      </c>
      <c r="B96" s="899">
        <f>B95+31</f>
        <v>47169</v>
      </c>
      <c r="C96" s="909">
        <f t="shared" si="16"/>
        <v>1621993.9961033745</v>
      </c>
      <c r="D96" s="909">
        <f t="shared" si="21"/>
        <v>39635.364473693073</v>
      </c>
      <c r="E96" s="910"/>
      <c r="F96" s="911">
        <f t="shared" si="17"/>
        <v>39635.364473693073</v>
      </c>
      <c r="G96" s="909">
        <f t="shared" si="18"/>
        <v>28146.240334627502</v>
      </c>
      <c r="H96" s="909">
        <f t="shared" si="19"/>
        <v>11489.12413906557</v>
      </c>
      <c r="I96" s="909">
        <f t="shared" si="20"/>
        <v>1593847.7557687471</v>
      </c>
      <c r="J96" s="935"/>
      <c r="K96" s="896"/>
    </row>
    <row r="97" spans="1:11">
      <c r="A97" s="865">
        <f>IF(Values_Entered,A96+1,"")</f>
        <v>73</v>
      </c>
      <c r="B97" s="899">
        <f>B96+28</f>
        <v>47197</v>
      </c>
      <c r="C97" s="909">
        <f t="shared" si="16"/>
        <v>1593847.7557687471</v>
      </c>
      <c r="D97" s="909">
        <f t="shared" si="21"/>
        <v>39635.364473693073</v>
      </c>
      <c r="E97" s="910"/>
      <c r="F97" s="911">
        <f t="shared" si="17"/>
        <v>39635.364473693073</v>
      </c>
      <c r="G97" s="909">
        <f t="shared" si="18"/>
        <v>28345.609536997777</v>
      </c>
      <c r="H97" s="909">
        <f t="shared" si="19"/>
        <v>11289.754936695294</v>
      </c>
      <c r="I97" s="909">
        <f t="shared" si="20"/>
        <v>1565502.1462317493</v>
      </c>
      <c r="J97" s="935"/>
      <c r="K97" s="896"/>
    </row>
    <row r="98" spans="1:11">
      <c r="A98" s="865">
        <f>IF(Values_Entered,A97+1,"")</f>
        <v>74</v>
      </c>
      <c r="B98" s="899">
        <f>B97+31</f>
        <v>47228</v>
      </c>
      <c r="C98" s="909">
        <f t="shared" si="16"/>
        <v>1565502.1462317493</v>
      </c>
      <c r="D98" s="909">
        <f t="shared" si="21"/>
        <v>39635.364473693073</v>
      </c>
      <c r="E98" s="910"/>
      <c r="F98" s="911">
        <f t="shared" si="17"/>
        <v>39635.364473693073</v>
      </c>
      <c r="G98" s="909">
        <f t="shared" si="18"/>
        <v>28546.390937884848</v>
      </c>
      <c r="H98" s="909">
        <f t="shared" si="19"/>
        <v>11088.973535808225</v>
      </c>
      <c r="I98" s="909">
        <f t="shared" si="20"/>
        <v>1536955.7552938645</v>
      </c>
      <c r="J98" s="935"/>
      <c r="K98" s="896"/>
    </row>
    <row r="99" spans="1:11">
      <c r="A99" s="865">
        <f>IF(Values_Entered,A98+1,"")</f>
        <v>75</v>
      </c>
      <c r="B99" s="899">
        <f t="shared" si="22"/>
        <v>47258</v>
      </c>
      <c r="C99" s="909">
        <f t="shared" si="16"/>
        <v>1536955.7552938645</v>
      </c>
      <c r="D99" s="909">
        <f t="shared" si="21"/>
        <v>39635.364473693073</v>
      </c>
      <c r="E99" s="910"/>
      <c r="F99" s="911">
        <f t="shared" si="17"/>
        <v>39635.364473693073</v>
      </c>
      <c r="G99" s="909">
        <f t="shared" si="18"/>
        <v>28748.594540361533</v>
      </c>
      <c r="H99" s="909">
        <f t="shared" si="19"/>
        <v>10886.769933331541</v>
      </c>
      <c r="I99" s="909">
        <f t="shared" si="20"/>
        <v>1508207.160753503</v>
      </c>
      <c r="J99" s="935"/>
      <c r="K99" s="896"/>
    </row>
    <row r="100" spans="1:11">
      <c r="A100" s="865">
        <f>IF(Values_Entered,A99+1,"")</f>
        <v>76</v>
      </c>
      <c r="B100" s="899">
        <f>B99+31</f>
        <v>47289</v>
      </c>
      <c r="C100" s="909">
        <f t="shared" si="16"/>
        <v>1508207.160753503</v>
      </c>
      <c r="D100" s="909">
        <f t="shared" si="21"/>
        <v>39635.364473693073</v>
      </c>
      <c r="E100" s="910"/>
      <c r="F100" s="911">
        <f t="shared" si="17"/>
        <v>39635.364473693073</v>
      </c>
      <c r="G100" s="909">
        <f t="shared" si="18"/>
        <v>28952.230418355757</v>
      </c>
      <c r="H100" s="909">
        <f t="shared" si="19"/>
        <v>10683.134055337314</v>
      </c>
      <c r="I100" s="909">
        <f t="shared" si="20"/>
        <v>1479254.9303351473</v>
      </c>
      <c r="J100" s="935"/>
      <c r="K100" s="896"/>
    </row>
    <row r="101" spans="1:11">
      <c r="A101" s="865">
        <f>IF(Values_Entered,A100+1,"")</f>
        <v>77</v>
      </c>
      <c r="B101" s="899">
        <f t="shared" si="22"/>
        <v>47319</v>
      </c>
      <c r="C101" s="909">
        <f t="shared" si="16"/>
        <v>1479254.9303351473</v>
      </c>
      <c r="D101" s="909">
        <f t="shared" si="21"/>
        <v>39635.364473693073</v>
      </c>
      <c r="E101" s="910"/>
      <c r="F101" s="911">
        <f t="shared" si="17"/>
        <v>39635.364473693073</v>
      </c>
      <c r="G101" s="909">
        <f t="shared" si="18"/>
        <v>29157.308717152446</v>
      </c>
      <c r="H101" s="909">
        <f t="shared" si="19"/>
        <v>10478.055756540627</v>
      </c>
      <c r="I101" s="909">
        <f t="shared" si="20"/>
        <v>1450097.621617995</v>
      </c>
      <c r="J101" s="935"/>
      <c r="K101" s="896"/>
    </row>
    <row r="102" spans="1:11">
      <c r="A102" s="865">
        <f>IF(Values_Entered,A101+1,"")</f>
        <v>78</v>
      </c>
      <c r="B102" s="899">
        <f>B101+31</f>
        <v>47350</v>
      </c>
      <c r="C102" s="909">
        <f t="shared" si="16"/>
        <v>1450097.621617995</v>
      </c>
      <c r="D102" s="909">
        <f t="shared" si="21"/>
        <v>39635.364473693073</v>
      </c>
      <c r="E102" s="910"/>
      <c r="F102" s="911">
        <f t="shared" si="17"/>
        <v>39635.364473693073</v>
      </c>
      <c r="G102" s="909">
        <f t="shared" si="18"/>
        <v>29363.83965389894</v>
      </c>
      <c r="H102" s="909">
        <f t="shared" si="19"/>
        <v>10271.524819794131</v>
      </c>
      <c r="I102" s="909">
        <f t="shared" si="20"/>
        <v>1420733.781964096</v>
      </c>
      <c r="J102" s="935"/>
      <c r="K102" s="896"/>
    </row>
    <row r="103" spans="1:11">
      <c r="A103" s="865">
        <f>IF(Values_Entered,A102+1,"")</f>
        <v>79</v>
      </c>
      <c r="B103" s="899">
        <f>B102+31</f>
        <v>47381</v>
      </c>
      <c r="C103" s="909">
        <f t="shared" si="16"/>
        <v>1420733.781964096</v>
      </c>
      <c r="D103" s="909">
        <f t="shared" si="21"/>
        <v>39635.364473693073</v>
      </c>
      <c r="E103" s="910"/>
      <c r="F103" s="911">
        <f t="shared" si="17"/>
        <v>39635.364473693073</v>
      </c>
      <c r="G103" s="909">
        <f t="shared" si="18"/>
        <v>29571.833518114057</v>
      </c>
      <c r="H103" s="909">
        <f t="shared" si="19"/>
        <v>10063.530955579014</v>
      </c>
      <c r="I103" s="909">
        <f t="shared" si="20"/>
        <v>1391161.9484459818</v>
      </c>
      <c r="J103" s="935"/>
      <c r="K103" s="896"/>
    </row>
    <row r="104" spans="1:11">
      <c r="A104" s="865">
        <f>IF(Values_Entered,A103+1,"")</f>
        <v>80</v>
      </c>
      <c r="B104" s="899">
        <f t="shared" si="22"/>
        <v>47411</v>
      </c>
      <c r="C104" s="909">
        <f t="shared" si="16"/>
        <v>1391161.9484459818</v>
      </c>
      <c r="D104" s="909">
        <f t="shared" si="21"/>
        <v>39635.364473693073</v>
      </c>
      <c r="E104" s="910"/>
      <c r="F104" s="911">
        <f t="shared" si="17"/>
        <v>39635.364473693073</v>
      </c>
      <c r="G104" s="909">
        <f t="shared" si="18"/>
        <v>29781.300672200701</v>
      </c>
      <c r="H104" s="909">
        <f t="shared" si="19"/>
        <v>9854.0638014923716</v>
      </c>
      <c r="I104" s="909">
        <f t="shared" si="20"/>
        <v>1361380.6477737811</v>
      </c>
      <c r="J104" s="935"/>
      <c r="K104" s="896"/>
    </row>
    <row r="105" spans="1:11">
      <c r="A105" s="865">
        <f>IF(Values_Entered,A104+1,"")</f>
        <v>81</v>
      </c>
      <c r="B105" s="899">
        <f>B104+31</f>
        <v>47442</v>
      </c>
      <c r="C105" s="909">
        <f t="shared" si="16"/>
        <v>1361380.6477737811</v>
      </c>
      <c r="D105" s="909">
        <f t="shared" si="21"/>
        <v>39635.364473693073</v>
      </c>
      <c r="E105" s="910"/>
      <c r="F105" s="911">
        <f t="shared" si="17"/>
        <v>39635.364473693073</v>
      </c>
      <c r="G105" s="909">
        <f t="shared" si="18"/>
        <v>29992.251551962123</v>
      </c>
      <c r="H105" s="909">
        <f t="shared" si="19"/>
        <v>9643.1129217309499</v>
      </c>
      <c r="I105" s="909">
        <f t="shared" si="20"/>
        <v>1331388.3962218189</v>
      </c>
      <c r="J105" s="935"/>
      <c r="K105" s="896"/>
    </row>
    <row r="106" spans="1:11">
      <c r="A106" s="865">
        <f>IF(Values_Entered,A105+1,"")</f>
        <v>82</v>
      </c>
      <c r="B106" s="899">
        <f t="shared" si="22"/>
        <v>47472</v>
      </c>
      <c r="C106" s="909">
        <f t="shared" si="16"/>
        <v>1331388.3962218189</v>
      </c>
      <c r="D106" s="909">
        <f t="shared" si="21"/>
        <v>39635.364473693073</v>
      </c>
      <c r="E106" s="910"/>
      <c r="F106" s="911">
        <f t="shared" si="17"/>
        <v>39635.364473693073</v>
      </c>
      <c r="G106" s="909">
        <f t="shared" si="18"/>
        <v>30204.696667121854</v>
      </c>
      <c r="H106" s="909">
        <f t="shared" si="19"/>
        <v>9430.6678065712167</v>
      </c>
      <c r="I106" s="909">
        <f t="shared" si="20"/>
        <v>1301183.6995546969</v>
      </c>
      <c r="J106" s="935"/>
      <c r="K106" s="896"/>
    </row>
    <row r="107" spans="1:11">
      <c r="A107" s="865">
        <f>IF(Values_Entered,A106+1,"")</f>
        <v>83</v>
      </c>
      <c r="B107" s="899">
        <f>B106+31</f>
        <v>47503</v>
      </c>
      <c r="C107" s="909">
        <f t="shared" si="16"/>
        <v>1301183.6995546969</v>
      </c>
      <c r="D107" s="909">
        <f t="shared" si="21"/>
        <v>39635.364473693073</v>
      </c>
      <c r="E107" s="910"/>
      <c r="F107" s="911">
        <f t="shared" si="17"/>
        <v>39635.364473693073</v>
      </c>
      <c r="G107" s="909">
        <f t="shared" si="18"/>
        <v>30418.6466018473</v>
      </c>
      <c r="H107" s="909">
        <f t="shared" si="19"/>
        <v>9216.7178718457708</v>
      </c>
      <c r="I107" s="909">
        <f t="shared" si="20"/>
        <v>1270765.0529528495</v>
      </c>
      <c r="J107" s="935"/>
      <c r="K107" s="896"/>
    </row>
    <row r="108" spans="1:11">
      <c r="A108" s="865">
        <f>IF(Values_Entered,A107+1,"")</f>
        <v>84</v>
      </c>
      <c r="B108" s="899">
        <f>B107+31</f>
        <v>47534</v>
      </c>
      <c r="C108" s="909">
        <f t="shared" si="16"/>
        <v>1270765.0529528495</v>
      </c>
      <c r="D108" s="909">
        <f t="shared" si="21"/>
        <v>39635.364473693073</v>
      </c>
      <c r="E108" s="910"/>
      <c r="F108" s="911">
        <f t="shared" si="17"/>
        <v>39635.364473693073</v>
      </c>
      <c r="G108" s="909">
        <f t="shared" si="18"/>
        <v>30634.112015277053</v>
      </c>
      <c r="H108" s="909">
        <f t="shared" si="19"/>
        <v>9001.2524584160183</v>
      </c>
      <c r="I108" s="909">
        <f t="shared" si="20"/>
        <v>1240130.9409375724</v>
      </c>
      <c r="J108" s="935"/>
      <c r="K108" s="896"/>
    </row>
    <row r="109" spans="1:11">
      <c r="A109" s="865">
        <f>IF(Values_Entered,A108+1,"")</f>
        <v>85</v>
      </c>
      <c r="B109" s="899">
        <f>B108+28</f>
        <v>47562</v>
      </c>
      <c r="C109" s="909">
        <f t="shared" si="16"/>
        <v>1240130.9409375724</v>
      </c>
      <c r="D109" s="909">
        <f t="shared" si="21"/>
        <v>39635.364473693073</v>
      </c>
      <c r="E109" s="910"/>
      <c r="F109" s="911">
        <f t="shared" si="17"/>
        <v>39635.364473693073</v>
      </c>
      <c r="G109" s="909">
        <f t="shared" si="18"/>
        <v>30851.103642051934</v>
      </c>
      <c r="H109" s="909">
        <f t="shared" si="19"/>
        <v>8784.2608316411388</v>
      </c>
      <c r="I109" s="909">
        <f t="shared" si="20"/>
        <v>1209279.8372955204</v>
      </c>
      <c r="J109" s="935"/>
      <c r="K109" s="896"/>
    </row>
    <row r="110" spans="1:11">
      <c r="A110" s="865">
        <f>IF(Values_Entered,A109+1,"")</f>
        <v>86</v>
      </c>
      <c r="B110" s="899">
        <f>B109+31</f>
        <v>47593</v>
      </c>
      <c r="C110" s="909">
        <f t="shared" si="16"/>
        <v>1209279.8372955204</v>
      </c>
      <c r="D110" s="909">
        <f t="shared" si="21"/>
        <v>39635.364473693073</v>
      </c>
      <c r="E110" s="910"/>
      <c r="F110" s="911">
        <f t="shared" si="17"/>
        <v>39635.364473693073</v>
      </c>
      <c r="G110" s="909">
        <f t="shared" si="18"/>
        <v>31069.632292849805</v>
      </c>
      <c r="H110" s="909">
        <f t="shared" si="19"/>
        <v>8565.7321808432698</v>
      </c>
      <c r="I110" s="909">
        <f t="shared" si="20"/>
        <v>1178210.2050026706</v>
      </c>
      <c r="J110" s="935"/>
      <c r="K110" s="896"/>
    </row>
    <row r="111" spans="1:11">
      <c r="A111" s="865">
        <f>IF(Values_Entered,A110+1,"")</f>
        <v>87</v>
      </c>
      <c r="B111" s="899">
        <f t="shared" si="22"/>
        <v>47623</v>
      </c>
      <c r="C111" s="909">
        <f t="shared" si="16"/>
        <v>1178210.2050026706</v>
      </c>
      <c r="D111" s="909">
        <f t="shared" si="21"/>
        <v>39635.364473693073</v>
      </c>
      <c r="E111" s="910"/>
      <c r="F111" s="911">
        <f t="shared" si="17"/>
        <v>39635.364473693073</v>
      </c>
      <c r="G111" s="909">
        <f t="shared" si="18"/>
        <v>31289.708854924153</v>
      </c>
      <c r="H111" s="909">
        <f t="shared" si="19"/>
        <v>8345.6556187689184</v>
      </c>
      <c r="I111" s="909">
        <f t="shared" si="20"/>
        <v>1146920.4961477465</v>
      </c>
      <c r="J111" s="935"/>
      <c r="K111" s="896"/>
    </row>
    <row r="112" spans="1:11">
      <c r="A112" s="865">
        <f>IF(Values_Entered,A111+1,"")</f>
        <v>88</v>
      </c>
      <c r="B112" s="899">
        <f>B111+31</f>
        <v>47654</v>
      </c>
      <c r="C112" s="909">
        <f t="shared" si="16"/>
        <v>1146920.4961477465</v>
      </c>
      <c r="D112" s="909">
        <f t="shared" si="21"/>
        <v>39635.364473693073</v>
      </c>
      <c r="E112" s="910"/>
      <c r="F112" s="911">
        <f t="shared" si="17"/>
        <v>39635.364473693073</v>
      </c>
      <c r="G112" s="909">
        <f t="shared" si="18"/>
        <v>31511.344292646536</v>
      </c>
      <c r="H112" s="909">
        <f t="shared" si="19"/>
        <v>8124.0201810465378</v>
      </c>
      <c r="I112" s="909">
        <f t="shared" si="20"/>
        <v>1115409.1518550999</v>
      </c>
      <c r="J112" s="935"/>
      <c r="K112" s="896"/>
    </row>
    <row r="113" spans="1:11">
      <c r="A113" s="865">
        <f>IF(Values_Entered,A112+1,"")</f>
        <v>89</v>
      </c>
      <c r="B113" s="899">
        <f t="shared" si="22"/>
        <v>47684</v>
      </c>
      <c r="C113" s="909">
        <f t="shared" si="16"/>
        <v>1115409.1518550999</v>
      </c>
      <c r="D113" s="909">
        <f t="shared" si="21"/>
        <v>39635.364473693073</v>
      </c>
      <c r="E113" s="910"/>
      <c r="F113" s="911">
        <f t="shared" si="17"/>
        <v>39635.364473693073</v>
      </c>
      <c r="G113" s="909">
        <f t="shared" si="18"/>
        <v>31734.54964805278</v>
      </c>
      <c r="H113" s="909">
        <f t="shared" si="19"/>
        <v>7900.8148256402919</v>
      </c>
      <c r="I113" s="909">
        <f t="shared" si="20"/>
        <v>1083674.6022070472</v>
      </c>
      <c r="J113" s="935"/>
      <c r="K113" s="896"/>
    </row>
    <row r="114" spans="1:11">
      <c r="A114" s="865">
        <f>IF(Values_Entered,A113+1,"")</f>
        <v>90</v>
      </c>
      <c r="B114" s="899">
        <f>B113+31</f>
        <v>47715</v>
      </c>
      <c r="C114" s="909">
        <f t="shared" si="16"/>
        <v>1083674.6022070472</v>
      </c>
      <c r="D114" s="909">
        <f t="shared" si="21"/>
        <v>39635.364473693073</v>
      </c>
      <c r="E114" s="910"/>
      <c r="F114" s="911">
        <f t="shared" si="17"/>
        <v>39635.364473693073</v>
      </c>
      <c r="G114" s="909">
        <f t="shared" si="18"/>
        <v>31959.336041393155</v>
      </c>
      <c r="H114" s="909">
        <f t="shared" si="19"/>
        <v>7676.0284322999178</v>
      </c>
      <c r="I114" s="909">
        <f t="shared" si="20"/>
        <v>1051715.2661656539</v>
      </c>
      <c r="J114" s="935"/>
      <c r="K114" s="896"/>
    </row>
    <row r="115" spans="1:11">
      <c r="A115" s="865">
        <f>IF(Values_Entered,A114+1,"")</f>
        <v>91</v>
      </c>
      <c r="B115" s="899">
        <f>B114+31</f>
        <v>47746</v>
      </c>
      <c r="C115" s="909">
        <f t="shared" si="16"/>
        <v>1051715.2661656539</v>
      </c>
      <c r="D115" s="909">
        <f t="shared" si="21"/>
        <v>39635.364473693073</v>
      </c>
      <c r="E115" s="910"/>
      <c r="F115" s="911">
        <f t="shared" si="17"/>
        <v>39635.364473693073</v>
      </c>
      <c r="G115" s="909">
        <f t="shared" si="18"/>
        <v>32185.714671686357</v>
      </c>
      <c r="H115" s="909">
        <f t="shared" si="19"/>
        <v>7449.6498020067156</v>
      </c>
      <c r="I115" s="909">
        <f t="shared" si="20"/>
        <v>1019529.5514939675</v>
      </c>
      <c r="J115" s="935"/>
      <c r="K115" s="896"/>
    </row>
    <row r="116" spans="1:11">
      <c r="A116" s="865">
        <f>IF(Values_Entered,A115+1,"")</f>
        <v>92</v>
      </c>
      <c r="B116" s="899">
        <f t="shared" si="22"/>
        <v>47776</v>
      </c>
      <c r="C116" s="909">
        <f t="shared" si="16"/>
        <v>1019529.5514939675</v>
      </c>
      <c r="D116" s="909">
        <f t="shared" si="21"/>
        <v>39635.364473693073</v>
      </c>
      <c r="E116" s="910"/>
      <c r="F116" s="911">
        <f t="shared" si="17"/>
        <v>39635.364473693073</v>
      </c>
      <c r="G116" s="909">
        <f t="shared" si="18"/>
        <v>32413.696817277469</v>
      </c>
      <c r="H116" s="909">
        <f t="shared" si="19"/>
        <v>7221.6676564156041</v>
      </c>
      <c r="I116" s="909">
        <f t="shared" si="20"/>
        <v>987115.85467669007</v>
      </c>
      <c r="J116" s="935"/>
      <c r="K116" s="896"/>
    </row>
    <row r="117" spans="1:11">
      <c r="A117" s="865">
        <f>IF(Values_Entered,A116+1,"")</f>
        <v>93</v>
      </c>
      <c r="B117" s="899">
        <f>B116+31</f>
        <v>47807</v>
      </c>
      <c r="C117" s="909">
        <f t="shared" si="16"/>
        <v>987115.85467669007</v>
      </c>
      <c r="D117" s="909">
        <f t="shared" si="21"/>
        <v>39635.364473693073</v>
      </c>
      <c r="E117" s="910"/>
      <c r="F117" s="911">
        <f t="shared" si="17"/>
        <v>39635.364473693073</v>
      </c>
      <c r="G117" s="909">
        <f t="shared" si="18"/>
        <v>32643.293836399851</v>
      </c>
      <c r="H117" s="909">
        <f t="shared" si="19"/>
        <v>6992.0706372932218</v>
      </c>
      <c r="I117" s="909">
        <f t="shared" si="20"/>
        <v>954472.56084029027</v>
      </c>
      <c r="J117" s="935"/>
      <c r="K117" s="896"/>
    </row>
    <row r="118" spans="1:11">
      <c r="A118" s="865">
        <f>IF(Values_Entered,A117+1,"")</f>
        <v>94</v>
      </c>
      <c r="B118" s="899">
        <f t="shared" si="22"/>
        <v>47837</v>
      </c>
      <c r="C118" s="909">
        <f t="shared" si="16"/>
        <v>954472.56084029027</v>
      </c>
      <c r="D118" s="909">
        <f t="shared" si="21"/>
        <v>39635.364473693073</v>
      </c>
      <c r="E118" s="910"/>
      <c r="F118" s="911">
        <f t="shared" si="17"/>
        <v>39635.364473693073</v>
      </c>
      <c r="G118" s="909">
        <f t="shared" si="18"/>
        <v>32874.517167741018</v>
      </c>
      <c r="H118" s="909">
        <f t="shared" si="19"/>
        <v>6760.8473059520575</v>
      </c>
      <c r="I118" s="909">
        <f t="shared" si="20"/>
        <v>921598.04367254931</v>
      </c>
      <c r="J118" s="935"/>
      <c r="K118" s="896"/>
    </row>
    <row r="119" spans="1:11">
      <c r="A119" s="865">
        <f>IF(Values_Entered,A118+1,"")</f>
        <v>95</v>
      </c>
      <c r="B119" s="899">
        <f>B118+31</f>
        <v>47868</v>
      </c>
      <c r="C119" s="909">
        <f t="shared" si="16"/>
        <v>921598.04367254931</v>
      </c>
      <c r="D119" s="909">
        <f t="shared" si="21"/>
        <v>39635.364473693073</v>
      </c>
      <c r="E119" s="910"/>
      <c r="F119" s="911">
        <f t="shared" si="17"/>
        <v>39635.364473693073</v>
      </c>
      <c r="G119" s="909">
        <f t="shared" si="18"/>
        <v>33107.378331012515</v>
      </c>
      <c r="H119" s="909">
        <f t="shared" si="19"/>
        <v>6527.9861426805583</v>
      </c>
      <c r="I119" s="909">
        <f t="shared" si="20"/>
        <v>888490.66534153675</v>
      </c>
      <c r="J119" s="935"/>
      <c r="K119" s="896"/>
    </row>
    <row r="120" spans="1:11">
      <c r="A120" s="865">
        <f>IF(Values_Entered,A119+1,"")</f>
        <v>96</v>
      </c>
      <c r="B120" s="899">
        <f>B119+31</f>
        <v>47899</v>
      </c>
      <c r="C120" s="909">
        <f t="shared" si="16"/>
        <v>888490.66534153675</v>
      </c>
      <c r="D120" s="909">
        <f t="shared" si="21"/>
        <v>39635.364473693073</v>
      </c>
      <c r="E120" s="910"/>
      <c r="F120" s="911">
        <f t="shared" si="17"/>
        <v>39635.364473693073</v>
      </c>
      <c r="G120" s="909">
        <f t="shared" si="18"/>
        <v>33341.888927523854</v>
      </c>
      <c r="H120" s="909">
        <f t="shared" si="19"/>
        <v>6293.4755461692193</v>
      </c>
      <c r="I120" s="909">
        <f t="shared" si="20"/>
        <v>855148.77641401289</v>
      </c>
      <c r="J120" s="935"/>
      <c r="K120" s="896"/>
    </row>
    <row r="121" spans="1:11">
      <c r="A121" s="865">
        <f>IF(Values_Entered,A120+1,"")</f>
        <v>97</v>
      </c>
      <c r="B121" s="899">
        <f>B120+28</f>
        <v>47927</v>
      </c>
      <c r="C121" s="909">
        <f t="shared" si="16"/>
        <v>855148.77641401289</v>
      </c>
      <c r="D121" s="909">
        <f t="shared" si="21"/>
        <v>39635.364473693073</v>
      </c>
      <c r="E121" s="910"/>
      <c r="F121" s="911">
        <f t="shared" si="17"/>
        <v>39635.364473693073</v>
      </c>
      <c r="G121" s="909">
        <f t="shared" si="18"/>
        <v>33578.060640760479</v>
      </c>
      <c r="H121" s="909">
        <f t="shared" si="19"/>
        <v>6057.3038329325909</v>
      </c>
      <c r="I121" s="909">
        <f t="shared" si="20"/>
        <v>821570.71577325242</v>
      </c>
      <c r="J121" s="935"/>
      <c r="K121" s="896"/>
    </row>
    <row r="122" spans="1:11">
      <c r="A122" s="865">
        <f>IF(Values_Entered,A121+1,"")</f>
        <v>98</v>
      </c>
      <c r="B122" s="899">
        <f>B121+31</f>
        <v>47958</v>
      </c>
      <c r="C122" s="909">
        <f t="shared" si="16"/>
        <v>821570.71577325242</v>
      </c>
      <c r="D122" s="909">
        <f t="shared" si="21"/>
        <v>39635.364473693073</v>
      </c>
      <c r="E122" s="910"/>
      <c r="F122" s="911">
        <f t="shared" si="17"/>
        <v>39635.364473693073</v>
      </c>
      <c r="G122" s="909">
        <f t="shared" si="18"/>
        <v>33815.905236965868</v>
      </c>
      <c r="H122" s="909">
        <f t="shared" si="19"/>
        <v>5819.4592367272053</v>
      </c>
      <c r="I122" s="909">
        <f t="shared" si="20"/>
        <v>787754.81053628656</v>
      </c>
      <c r="J122" s="935"/>
      <c r="K122" s="896"/>
    </row>
    <row r="123" spans="1:11">
      <c r="A123" s="865">
        <f>IF(Values_Entered,A122+1,"")</f>
        <v>99</v>
      </c>
      <c r="B123" s="899">
        <f t="shared" si="22"/>
        <v>47988</v>
      </c>
      <c r="C123" s="909">
        <f t="shared" si="16"/>
        <v>787754.81053628656</v>
      </c>
      <c r="D123" s="909">
        <f t="shared" si="21"/>
        <v>39635.364473693073</v>
      </c>
      <c r="E123" s="910"/>
      <c r="F123" s="911">
        <f t="shared" si="17"/>
        <v>39635.364473693073</v>
      </c>
      <c r="G123" s="909">
        <f t="shared" si="18"/>
        <v>34055.434565727708</v>
      </c>
      <c r="H123" s="909">
        <f t="shared" si="19"/>
        <v>5579.9299079653638</v>
      </c>
      <c r="I123" s="909">
        <f t="shared" si="20"/>
        <v>753699.37597055885</v>
      </c>
      <c r="J123" s="935"/>
      <c r="K123" s="896"/>
    </row>
    <row r="124" spans="1:11">
      <c r="A124" s="865">
        <f>IF(Values_Entered,A123+1,"")</f>
        <v>100</v>
      </c>
      <c r="B124" s="899">
        <f>B123+31</f>
        <v>48019</v>
      </c>
      <c r="C124" s="909">
        <f t="shared" si="16"/>
        <v>753699.37597055885</v>
      </c>
      <c r="D124" s="909">
        <f t="shared" si="21"/>
        <v>39635.364473693073</v>
      </c>
      <c r="E124" s="910"/>
      <c r="F124" s="911">
        <f t="shared" si="17"/>
        <v>39635.364473693073</v>
      </c>
      <c r="G124" s="909">
        <f t="shared" si="18"/>
        <v>34296.660560568278</v>
      </c>
      <c r="H124" s="909">
        <f t="shared" si="19"/>
        <v>5338.7039131247921</v>
      </c>
      <c r="I124" s="909">
        <f t="shared" si="20"/>
        <v>719402.71540999052</v>
      </c>
      <c r="J124" s="935"/>
      <c r="K124" s="896"/>
    </row>
    <row r="125" spans="1:11">
      <c r="A125" s="865">
        <f>IF(Values_Entered,A124+1,"")</f>
        <v>101</v>
      </c>
      <c r="B125" s="899">
        <f t="shared" si="22"/>
        <v>48049</v>
      </c>
      <c r="C125" s="909">
        <f t="shared" si="16"/>
        <v>719402.71540999052</v>
      </c>
      <c r="D125" s="909">
        <f t="shared" si="21"/>
        <v>39635.364473693073</v>
      </c>
      <c r="E125" s="910"/>
      <c r="F125" s="911">
        <f t="shared" si="17"/>
        <v>39635.364473693073</v>
      </c>
      <c r="G125" s="909">
        <f t="shared" si="18"/>
        <v>34539.595239538976</v>
      </c>
      <c r="H125" s="909">
        <f t="shared" si="19"/>
        <v>5095.7692341540996</v>
      </c>
      <c r="I125" s="909">
        <f t="shared" si="20"/>
        <v>684863.12017045158</v>
      </c>
      <c r="J125" s="935"/>
      <c r="K125" s="896"/>
    </row>
    <row r="126" spans="1:11">
      <c r="A126" s="865">
        <f>IF(Values_Entered,A125+1,"")</f>
        <v>102</v>
      </c>
      <c r="B126" s="899">
        <f>B125+31</f>
        <v>48080</v>
      </c>
      <c r="C126" s="909">
        <f t="shared" si="16"/>
        <v>684863.12017045158</v>
      </c>
      <c r="D126" s="909">
        <f t="shared" si="21"/>
        <v>39635.364473693073</v>
      </c>
      <c r="E126" s="910"/>
      <c r="F126" s="911">
        <f t="shared" si="17"/>
        <v>39635.364473693073</v>
      </c>
      <c r="G126" s="909">
        <f t="shared" si="18"/>
        <v>34784.250705819039</v>
      </c>
      <c r="H126" s="909">
        <f t="shared" si="19"/>
        <v>4851.1137678740324</v>
      </c>
      <c r="I126" s="909">
        <f t="shared" si="20"/>
        <v>650078.86946463259</v>
      </c>
      <c r="J126" s="935"/>
      <c r="K126" s="896"/>
    </row>
    <row r="127" spans="1:11">
      <c r="A127" s="865">
        <f>IF(Values_Entered,A126+1,"")</f>
        <v>103</v>
      </c>
      <c r="B127" s="899">
        <f>B126+31</f>
        <v>48111</v>
      </c>
      <c r="C127" s="909">
        <f t="shared" si="16"/>
        <v>650078.86946463259</v>
      </c>
      <c r="D127" s="909">
        <f t="shared" si="21"/>
        <v>39635.364473693073</v>
      </c>
      <c r="E127" s="910"/>
      <c r="F127" s="911">
        <f t="shared" si="17"/>
        <v>39635.364473693073</v>
      </c>
      <c r="G127" s="909">
        <f t="shared" si="18"/>
        <v>35030.639148318594</v>
      </c>
      <c r="H127" s="909">
        <f t="shared" si="19"/>
        <v>4604.7253253744811</v>
      </c>
      <c r="I127" s="909">
        <f t="shared" si="20"/>
        <v>615048.23031631403</v>
      </c>
      <c r="J127" s="935"/>
      <c r="K127" s="896"/>
    </row>
    <row r="128" spans="1:11">
      <c r="A128" s="865">
        <f>IF(Values_Entered,A127+1,"")</f>
        <v>104</v>
      </c>
      <c r="B128" s="899">
        <f t="shared" si="22"/>
        <v>48141</v>
      </c>
      <c r="C128" s="909">
        <f t="shared" si="16"/>
        <v>615048.23031631403</v>
      </c>
      <c r="D128" s="909">
        <f t="shared" si="21"/>
        <v>39635.364473693073</v>
      </c>
      <c r="E128" s="910"/>
      <c r="F128" s="911">
        <f t="shared" si="17"/>
        <v>39635.364473693073</v>
      </c>
      <c r="G128" s="909">
        <f t="shared" si="18"/>
        <v>35278.772842285849</v>
      </c>
      <c r="H128" s="909">
        <f t="shared" si="19"/>
        <v>4356.5916314072247</v>
      </c>
      <c r="I128" s="909">
        <f t="shared" si="20"/>
        <v>579769.45747402823</v>
      </c>
      <c r="J128" s="935"/>
      <c r="K128" s="896"/>
    </row>
    <row r="129" spans="1:11">
      <c r="A129" s="865">
        <f>IF(Values_Entered,A128+1,"")</f>
        <v>105</v>
      </c>
      <c r="B129" s="899">
        <f>B128+31</f>
        <v>48172</v>
      </c>
      <c r="C129" s="909">
        <f t="shared" si="16"/>
        <v>579769.45747402823</v>
      </c>
      <c r="D129" s="909">
        <f t="shared" si="21"/>
        <v>39635.364473693073</v>
      </c>
      <c r="E129" s="910"/>
      <c r="F129" s="911">
        <f t="shared" si="17"/>
        <v>39635.364473693073</v>
      </c>
      <c r="G129" s="909">
        <f t="shared" si="18"/>
        <v>35528.664149918703</v>
      </c>
      <c r="H129" s="909">
        <f t="shared" si="19"/>
        <v>4106.7003237743675</v>
      </c>
      <c r="I129" s="909">
        <f t="shared" si="20"/>
        <v>544240.79332410952</v>
      </c>
      <c r="J129" s="935"/>
      <c r="K129" s="896"/>
    </row>
    <row r="130" spans="1:11">
      <c r="A130" s="865">
        <f>IF(Values_Entered,A129+1,"")</f>
        <v>106</v>
      </c>
      <c r="B130" s="899">
        <f t="shared" si="22"/>
        <v>48202</v>
      </c>
      <c r="C130" s="909">
        <f t="shared" si="16"/>
        <v>544240.79332410952</v>
      </c>
      <c r="D130" s="909">
        <f t="shared" si="21"/>
        <v>39635.364473693073</v>
      </c>
      <c r="E130" s="910"/>
      <c r="F130" s="911">
        <f t="shared" si="17"/>
        <v>39635.364473693073</v>
      </c>
      <c r="G130" s="909">
        <f t="shared" si="18"/>
        <v>35780.32552098063</v>
      </c>
      <c r="H130" s="909">
        <f t="shared" si="19"/>
        <v>3855.0389527124426</v>
      </c>
      <c r="I130" s="909">
        <f t="shared" si="20"/>
        <v>508460.46780312888</v>
      </c>
      <c r="J130" s="935"/>
      <c r="K130" s="896"/>
    </row>
    <row r="131" spans="1:11">
      <c r="A131" s="865">
        <f>IF(Values_Entered,A130+1,"")</f>
        <v>107</v>
      </c>
      <c r="B131" s="899">
        <f>B130+31</f>
        <v>48233</v>
      </c>
      <c r="C131" s="909">
        <f t="shared" si="16"/>
        <v>508460.46780312888</v>
      </c>
      <c r="D131" s="909">
        <f t="shared" si="21"/>
        <v>39635.364473693073</v>
      </c>
      <c r="E131" s="910"/>
      <c r="F131" s="911">
        <f t="shared" si="17"/>
        <v>39635.364473693073</v>
      </c>
      <c r="G131" s="909">
        <f t="shared" si="18"/>
        <v>36033.769493420907</v>
      </c>
      <c r="H131" s="909">
        <f t="shared" si="19"/>
        <v>3601.594980272163</v>
      </c>
      <c r="I131" s="909">
        <f t="shared" si="20"/>
        <v>472426.69830970798</v>
      </c>
      <c r="J131" s="935"/>
      <c r="K131" s="896"/>
    </row>
    <row r="132" spans="1:11">
      <c r="A132" s="865">
        <f>IF(Values_Entered,A131+1,"")</f>
        <v>108</v>
      </c>
      <c r="B132" s="899">
        <f>B131+31</f>
        <v>48264</v>
      </c>
      <c r="C132" s="909">
        <f t="shared" si="16"/>
        <v>472426.69830970798</v>
      </c>
      <c r="D132" s="909">
        <f t="shared" si="21"/>
        <v>39635.364473693073</v>
      </c>
      <c r="E132" s="910"/>
      <c r="F132" s="911">
        <f t="shared" si="17"/>
        <v>39635.364473693073</v>
      </c>
      <c r="G132" s="909">
        <f t="shared" si="18"/>
        <v>36289.008693999305</v>
      </c>
      <c r="H132" s="909">
        <f t="shared" si="19"/>
        <v>3346.3557796937653</v>
      </c>
      <c r="I132" s="909">
        <f t="shared" si="20"/>
        <v>436137.68961570866</v>
      </c>
      <c r="J132" s="935"/>
      <c r="K132" s="896"/>
    </row>
    <row r="133" spans="1:11">
      <c r="A133" s="865">
        <f>IF(Values_Entered,A132+1,"")</f>
        <v>109</v>
      </c>
      <c r="B133" s="899">
        <f>B132+29</f>
        <v>48293</v>
      </c>
      <c r="C133" s="909">
        <f t="shared" si="16"/>
        <v>436137.68961570866</v>
      </c>
      <c r="D133" s="909">
        <f t="shared" si="21"/>
        <v>39635.364473693073</v>
      </c>
      <c r="E133" s="910"/>
      <c r="F133" s="911">
        <f t="shared" si="17"/>
        <v>39635.364473693073</v>
      </c>
      <c r="G133" s="909">
        <f t="shared" si="18"/>
        <v>36546.055838915134</v>
      </c>
      <c r="H133" s="909">
        <f t="shared" si="19"/>
        <v>3089.3086347779367</v>
      </c>
      <c r="I133" s="909">
        <f t="shared" si="20"/>
        <v>399591.63377679355</v>
      </c>
      <c r="J133" s="935"/>
      <c r="K133" s="896"/>
    </row>
    <row r="134" spans="1:11">
      <c r="A134" s="865">
        <f>IF(Values_Entered,A133+1,"")</f>
        <v>110</v>
      </c>
      <c r="B134" s="899">
        <f>B133+31</f>
        <v>48324</v>
      </c>
      <c r="C134" s="909">
        <f t="shared" si="16"/>
        <v>399591.63377679355</v>
      </c>
      <c r="D134" s="909">
        <f t="shared" si="21"/>
        <v>39635.364473693073</v>
      </c>
      <c r="E134" s="910"/>
      <c r="F134" s="911">
        <f t="shared" si="17"/>
        <v>39635.364473693073</v>
      </c>
      <c r="G134" s="909">
        <f t="shared" si="18"/>
        <v>36804.923734440788</v>
      </c>
      <c r="H134" s="909">
        <f t="shared" si="19"/>
        <v>2830.440739252288</v>
      </c>
      <c r="I134" s="909">
        <f t="shared" si="20"/>
        <v>362786.71004235279</v>
      </c>
      <c r="J134" s="935"/>
      <c r="K134" s="896"/>
    </row>
    <row r="135" spans="1:11">
      <c r="A135" s="865">
        <f>IF(Values_Entered,A134+1,"")</f>
        <v>111</v>
      </c>
      <c r="B135" s="899">
        <f t="shared" si="22"/>
        <v>48354</v>
      </c>
      <c r="C135" s="909">
        <f t="shared" si="16"/>
        <v>362786.71004235279</v>
      </c>
      <c r="D135" s="909">
        <f t="shared" si="21"/>
        <v>39635.364473693073</v>
      </c>
      <c r="E135" s="910"/>
      <c r="F135" s="911">
        <f t="shared" si="17"/>
        <v>39635.364473693073</v>
      </c>
      <c r="G135" s="909">
        <f t="shared" si="18"/>
        <v>37065.625277559739</v>
      </c>
      <c r="H135" s="909">
        <f t="shared" si="19"/>
        <v>2569.7391961333324</v>
      </c>
      <c r="I135" s="909">
        <f t="shared" si="20"/>
        <v>325721.08476479305</v>
      </c>
      <c r="J135" s="935"/>
      <c r="K135" s="896"/>
    </row>
    <row r="136" spans="1:11">
      <c r="A136" s="865">
        <f>IF(Values_Entered,A135+1,"")</f>
        <v>112</v>
      </c>
      <c r="B136" s="899">
        <f>B135+31</f>
        <v>48385</v>
      </c>
      <c r="C136" s="909">
        <f t="shared" si="16"/>
        <v>325721.08476479305</v>
      </c>
      <c r="D136" s="909">
        <f t="shared" si="21"/>
        <v>39635.364473693073</v>
      </c>
      <c r="E136" s="910"/>
      <c r="F136" s="911">
        <f t="shared" si="17"/>
        <v>39635.364473693073</v>
      </c>
      <c r="G136" s="909">
        <f t="shared" si="18"/>
        <v>37328.173456609118</v>
      </c>
      <c r="H136" s="909">
        <f t="shared" si="19"/>
        <v>2307.191017083951</v>
      </c>
      <c r="I136" s="909">
        <f t="shared" si="20"/>
        <v>288392.91130818392</v>
      </c>
      <c r="J136" s="935"/>
      <c r="K136" s="896"/>
    </row>
    <row r="137" spans="1:11">
      <c r="A137" s="865">
        <f>IF(Values_Entered,A136+1,"")</f>
        <v>113</v>
      </c>
      <c r="B137" s="899">
        <f t="shared" si="22"/>
        <v>48415</v>
      </c>
      <c r="C137" s="909">
        <f t="shared" si="16"/>
        <v>288392.91130818392</v>
      </c>
      <c r="D137" s="909">
        <f t="shared" si="21"/>
        <v>39635.364473693073</v>
      </c>
      <c r="E137" s="910"/>
      <c r="F137" s="911">
        <f t="shared" si="17"/>
        <v>39635.364473693073</v>
      </c>
      <c r="G137" s="909">
        <f t="shared" si="18"/>
        <v>37592.581351926769</v>
      </c>
      <c r="H137" s="909">
        <f t="shared" si="19"/>
        <v>2042.7831217663031</v>
      </c>
      <c r="I137" s="909">
        <f t="shared" si="20"/>
        <v>250800.32995625713</v>
      </c>
      <c r="J137" s="935"/>
      <c r="K137" s="896"/>
    </row>
    <row r="138" spans="1:11">
      <c r="A138" s="865">
        <f>IF(Values_Entered,A137+1,"")</f>
        <v>114</v>
      </c>
      <c r="B138" s="899">
        <f>B137+31</f>
        <v>48446</v>
      </c>
      <c r="C138" s="909">
        <f t="shared" si="16"/>
        <v>250800.32995625713</v>
      </c>
      <c r="D138" s="909">
        <f t="shared" si="21"/>
        <v>39635.364473693073</v>
      </c>
      <c r="E138" s="910"/>
      <c r="F138" s="911">
        <f t="shared" si="17"/>
        <v>39635.364473693073</v>
      </c>
      <c r="G138" s="909">
        <f t="shared" si="18"/>
        <v>37858.862136502918</v>
      </c>
      <c r="H138" s="909">
        <f t="shared" si="19"/>
        <v>1776.502337190155</v>
      </c>
      <c r="I138" s="909">
        <f t="shared" si="20"/>
        <v>212941.46781975421</v>
      </c>
      <c r="J138" s="935"/>
      <c r="K138" s="896"/>
    </row>
    <row r="139" spans="1:11">
      <c r="A139" s="865">
        <f>IF(Values_Entered,A138+1,"")</f>
        <v>115</v>
      </c>
      <c r="B139" s="899">
        <f>B138+31</f>
        <v>48477</v>
      </c>
      <c r="C139" s="909">
        <f t="shared" si="16"/>
        <v>212941.46781975421</v>
      </c>
      <c r="D139" s="909">
        <f t="shared" si="21"/>
        <v>39635.364473693073</v>
      </c>
      <c r="E139" s="910"/>
      <c r="F139" s="911">
        <f t="shared" si="17"/>
        <v>39635.364473693073</v>
      </c>
      <c r="G139" s="909">
        <f t="shared" si="18"/>
        <v>38127.029076636478</v>
      </c>
      <c r="H139" s="909">
        <f t="shared" si="19"/>
        <v>1508.3353970565925</v>
      </c>
      <c r="I139" s="909">
        <f t="shared" si="20"/>
        <v>174814.43874311773</v>
      </c>
      <c r="J139" s="935"/>
      <c r="K139" s="896"/>
    </row>
    <row r="140" spans="1:11">
      <c r="A140" s="865">
        <f>IF(Values_Entered,A139+1,"")</f>
        <v>116</v>
      </c>
      <c r="B140" s="899">
        <f t="shared" si="22"/>
        <v>48507</v>
      </c>
      <c r="C140" s="909">
        <f t="shared" si="16"/>
        <v>174814.43874311773</v>
      </c>
      <c r="D140" s="909">
        <f t="shared" si="21"/>
        <v>39635.364473693073</v>
      </c>
      <c r="E140" s="910"/>
      <c r="F140" s="911">
        <f t="shared" si="17"/>
        <v>39635.364473693073</v>
      </c>
      <c r="G140" s="909">
        <f t="shared" si="18"/>
        <v>38397.095532595988</v>
      </c>
      <c r="H140" s="909">
        <f t="shared" si="19"/>
        <v>1238.2689410970841</v>
      </c>
      <c r="I140" s="909">
        <f t="shared" si="20"/>
        <v>136417.34321052174</v>
      </c>
      <c r="J140" s="935"/>
      <c r="K140" s="896"/>
    </row>
    <row r="141" spans="1:11">
      <c r="A141" s="865">
        <f>IF(Values_Entered,A140+1,"")</f>
        <v>117</v>
      </c>
      <c r="B141" s="899">
        <f>B140+31</f>
        <v>48538</v>
      </c>
      <c r="C141" s="909">
        <f t="shared" si="16"/>
        <v>136417.34321052174</v>
      </c>
      <c r="D141" s="909">
        <f t="shared" si="21"/>
        <v>39635.364473693073</v>
      </c>
      <c r="E141" s="910"/>
      <c r="F141" s="911">
        <f t="shared" si="17"/>
        <v>39635.364473693073</v>
      </c>
      <c r="G141" s="909">
        <f t="shared" si="18"/>
        <v>38669.074959285208</v>
      </c>
      <c r="H141" s="909">
        <f t="shared" si="19"/>
        <v>966.28951440786238</v>
      </c>
      <c r="I141" s="909">
        <f t="shared" si="20"/>
        <v>97748.268251236528</v>
      </c>
      <c r="J141" s="935"/>
      <c r="K141" s="896"/>
    </row>
    <row r="142" spans="1:11">
      <c r="A142" s="865">
        <f>IF(Values_Entered,A141+1,"")</f>
        <v>118</v>
      </c>
      <c r="B142" s="899">
        <f t="shared" si="22"/>
        <v>48568</v>
      </c>
      <c r="C142" s="909">
        <f t="shared" si="16"/>
        <v>97748.268251236528</v>
      </c>
      <c r="D142" s="909">
        <f t="shared" si="21"/>
        <v>39635.364473693073</v>
      </c>
      <c r="E142" s="910"/>
      <c r="F142" s="911">
        <f t="shared" si="17"/>
        <v>39635.364473693073</v>
      </c>
      <c r="G142" s="909">
        <f t="shared" si="18"/>
        <v>38942.980906913479</v>
      </c>
      <c r="H142" s="909">
        <f t="shared" si="19"/>
        <v>692.38356677959212</v>
      </c>
      <c r="I142" s="909">
        <f t="shared" si="20"/>
        <v>58805.287344323049</v>
      </c>
      <c r="J142" s="935"/>
      <c r="K142" s="896"/>
    </row>
    <row r="143" spans="1:11">
      <c r="A143" s="865">
        <f>IF(Values_Entered,A142+1,"")</f>
        <v>119</v>
      </c>
      <c r="B143" s="899">
        <f>B142+31</f>
        <v>48599</v>
      </c>
      <c r="C143" s="909">
        <f t="shared" si="16"/>
        <v>58805.287344323049</v>
      </c>
      <c r="D143" s="909">
        <f t="shared" si="21"/>
        <v>39635.364473693073</v>
      </c>
      <c r="E143" s="910"/>
      <c r="F143" s="911">
        <f t="shared" si="17"/>
        <v>39635.364473693073</v>
      </c>
      <c r="G143" s="909">
        <f t="shared" si="18"/>
        <v>39218.827021670782</v>
      </c>
      <c r="H143" s="909">
        <f t="shared" si="19"/>
        <v>416.53745202228828</v>
      </c>
      <c r="I143" s="909">
        <f t="shared" si="20"/>
        <v>19586.460322652267</v>
      </c>
      <c r="J143" s="935"/>
      <c r="K143" s="896"/>
    </row>
    <row r="144" spans="1:11">
      <c r="A144" s="865">
        <f>IF(Values_Entered,A143+1,"")</f>
        <v>120</v>
      </c>
      <c r="B144" s="899">
        <f>B143+31</f>
        <v>48630</v>
      </c>
      <c r="C144" s="909">
        <f t="shared" si="16"/>
        <v>19586.460322652267</v>
      </c>
      <c r="D144" s="909">
        <f t="shared" si="21"/>
        <v>39635.364473693073</v>
      </c>
      <c r="E144" s="910"/>
      <c r="F144" s="911">
        <f t="shared" si="17"/>
        <v>19586.460322652267</v>
      </c>
      <c r="G144" s="909">
        <f t="shared" si="18"/>
        <v>19447.722895366813</v>
      </c>
      <c r="H144" s="909">
        <f t="shared" si="19"/>
        <v>138.73742728545355</v>
      </c>
      <c r="I144" s="909">
        <f t="shared" si="20"/>
        <v>0</v>
      </c>
      <c r="J144" s="935"/>
      <c r="K144" s="896"/>
    </row>
    <row r="145" spans="1:11">
      <c r="A145" s="865">
        <f>IF(Values_Entered,A144+1,"")</f>
        <v>121</v>
      </c>
      <c r="B145" s="899">
        <v>42032</v>
      </c>
      <c r="C145" s="909">
        <f t="shared" si="16"/>
        <v>0</v>
      </c>
      <c r="D145" s="909">
        <f t="shared" si="21"/>
        <v>39635.364473693073</v>
      </c>
      <c r="E145" s="910"/>
      <c r="F145" s="911">
        <f t="shared" si="17"/>
        <v>0</v>
      </c>
      <c r="G145" s="909">
        <f t="shared" si="18"/>
        <v>0</v>
      </c>
      <c r="H145" s="909">
        <f t="shared" si="19"/>
        <v>0</v>
      </c>
      <c r="I145" s="909">
        <f t="shared" si="20"/>
        <v>0</v>
      </c>
      <c r="J145" s="935"/>
      <c r="K145" s="896"/>
    </row>
    <row r="146" spans="1:11">
      <c r="A146" s="865">
        <f>IF(Values_Entered,A145+1,"")</f>
        <v>122</v>
      </c>
      <c r="B146" s="899">
        <f t="shared" ref="B146:B152" si="23">IF(Pay_Num&lt;&gt;"",DATE(YEAR(Loan_Start),MONTH(Loan_Start)+(Pay_Num)*12/Num_Pmt_Per_Year,DAY(Loan_Start)),"")</f>
        <v>48719</v>
      </c>
      <c r="C146" s="909">
        <f t="shared" ref="C146:C154" si="24">IF(Pay_Num&lt;&gt;"",I145,"")</f>
        <v>0</v>
      </c>
      <c r="D146" s="909">
        <f t="shared" ref="D146:D154" si="25">IF(Pay_Num&lt;&gt;"",Scheduled_Monthly_Payment,"")</f>
        <v>39635.364473693073</v>
      </c>
      <c r="E146" s="910">
        <f t="shared" ref="E146:E152" si="26">IF(AND(Pay_Num&lt;&gt;"",Sched_Pay+Scheduled_Extra_Payments&lt;Beg_Bal),Scheduled_Extra_Payments,IF(AND(Pay_Num&lt;&gt;"",Beg_Bal-Sched_Pay&gt;0),Beg_Bal-Sched_Pay,IF(Pay_Num&lt;&gt;"",0,"")))</f>
        <v>0</v>
      </c>
      <c r="F146" s="911">
        <f t="shared" si="17"/>
        <v>0</v>
      </c>
      <c r="G146" s="909">
        <f t="shared" si="18"/>
        <v>0</v>
      </c>
      <c r="H146" s="909">
        <f t="shared" si="19"/>
        <v>0</v>
      </c>
      <c r="I146" s="909">
        <f t="shared" si="20"/>
        <v>0</v>
      </c>
      <c r="J146" s="935"/>
      <c r="K146" s="896"/>
    </row>
    <row r="147" spans="1:11">
      <c r="A147" s="865">
        <f>IF(Values_Entered,A146+1,"")</f>
        <v>123</v>
      </c>
      <c r="B147" s="899">
        <f t="shared" si="23"/>
        <v>48750</v>
      </c>
      <c r="C147" s="909">
        <f t="shared" si="24"/>
        <v>0</v>
      </c>
      <c r="D147" s="909">
        <f t="shared" si="25"/>
        <v>39635.364473693073</v>
      </c>
      <c r="E147" s="910">
        <f t="shared" si="26"/>
        <v>0</v>
      </c>
      <c r="F147" s="911">
        <f t="shared" si="17"/>
        <v>0</v>
      </c>
      <c r="G147" s="909">
        <f t="shared" si="18"/>
        <v>0</v>
      </c>
      <c r="H147" s="909">
        <f t="shared" si="19"/>
        <v>0</v>
      </c>
      <c r="I147" s="909">
        <f t="shared" si="20"/>
        <v>0</v>
      </c>
      <c r="J147" s="935"/>
      <c r="K147" s="896"/>
    </row>
    <row r="148" spans="1:11">
      <c r="A148" s="865">
        <f>IF(Values_Entered,A147+1,"")</f>
        <v>124</v>
      </c>
      <c r="B148" s="899">
        <f t="shared" si="23"/>
        <v>48780</v>
      </c>
      <c r="C148" s="909">
        <f t="shared" si="24"/>
        <v>0</v>
      </c>
      <c r="D148" s="909">
        <f t="shared" si="25"/>
        <v>39635.364473693073</v>
      </c>
      <c r="E148" s="910">
        <f t="shared" si="26"/>
        <v>0</v>
      </c>
      <c r="F148" s="911">
        <f t="shared" si="17"/>
        <v>0</v>
      </c>
      <c r="G148" s="909">
        <f t="shared" si="18"/>
        <v>0</v>
      </c>
      <c r="H148" s="909">
        <f t="shared" si="19"/>
        <v>0</v>
      </c>
      <c r="I148" s="909">
        <f t="shared" si="20"/>
        <v>0</v>
      </c>
      <c r="J148" s="935"/>
      <c r="K148" s="896"/>
    </row>
    <row r="149" spans="1:11">
      <c r="A149" s="865">
        <f>IF(Values_Entered,A148+1,"")</f>
        <v>125</v>
      </c>
      <c r="B149" s="899">
        <f t="shared" si="23"/>
        <v>48811</v>
      </c>
      <c r="C149" s="909">
        <f t="shared" si="24"/>
        <v>0</v>
      </c>
      <c r="D149" s="909">
        <f t="shared" si="25"/>
        <v>39635.364473693073</v>
      </c>
      <c r="E149" s="910">
        <f t="shared" si="26"/>
        <v>0</v>
      </c>
      <c r="F149" s="911">
        <f t="shared" si="17"/>
        <v>0</v>
      </c>
      <c r="G149" s="909">
        <f t="shared" si="18"/>
        <v>0</v>
      </c>
      <c r="H149" s="909">
        <f t="shared" si="19"/>
        <v>0</v>
      </c>
      <c r="I149" s="909">
        <f t="shared" si="20"/>
        <v>0</v>
      </c>
      <c r="J149" s="935"/>
      <c r="K149" s="896"/>
    </row>
    <row r="150" spans="1:11">
      <c r="A150" s="865">
        <f>IF(Values_Entered,A149+1,"")</f>
        <v>126</v>
      </c>
      <c r="B150" s="899">
        <f t="shared" si="23"/>
        <v>48842</v>
      </c>
      <c r="C150" s="909">
        <f t="shared" si="24"/>
        <v>0</v>
      </c>
      <c r="D150" s="909">
        <f t="shared" si="25"/>
        <v>39635.364473693073</v>
      </c>
      <c r="E150" s="910">
        <f t="shared" si="26"/>
        <v>0</v>
      </c>
      <c r="F150" s="911">
        <f t="shared" si="17"/>
        <v>0</v>
      </c>
      <c r="G150" s="909">
        <f t="shared" si="18"/>
        <v>0</v>
      </c>
      <c r="H150" s="909">
        <f t="shared" si="19"/>
        <v>0</v>
      </c>
      <c r="I150" s="909">
        <f t="shared" si="20"/>
        <v>0</v>
      </c>
      <c r="J150" s="935"/>
      <c r="K150" s="896"/>
    </row>
    <row r="151" spans="1:11">
      <c r="A151" s="865">
        <f>IF(Values_Entered,A150+1,"")</f>
        <v>127</v>
      </c>
      <c r="B151" s="899">
        <f t="shared" si="23"/>
        <v>48872</v>
      </c>
      <c r="C151" s="909">
        <f t="shared" si="24"/>
        <v>0</v>
      </c>
      <c r="D151" s="909">
        <f t="shared" si="25"/>
        <v>39635.364473693073</v>
      </c>
      <c r="E151" s="910">
        <f t="shared" si="26"/>
        <v>0</v>
      </c>
      <c r="F151" s="911">
        <f t="shared" si="17"/>
        <v>0</v>
      </c>
      <c r="G151" s="909">
        <f t="shared" si="18"/>
        <v>0</v>
      </c>
      <c r="H151" s="909">
        <f t="shared" si="19"/>
        <v>0</v>
      </c>
      <c r="I151" s="909">
        <f t="shared" si="20"/>
        <v>0</v>
      </c>
      <c r="J151" s="935"/>
      <c r="K151" s="896"/>
    </row>
    <row r="152" spans="1:11">
      <c r="A152" s="865">
        <f>IF(Values_Entered,A151+1,"")</f>
        <v>128</v>
      </c>
      <c r="B152" s="899">
        <f t="shared" si="23"/>
        <v>48903</v>
      </c>
      <c r="C152" s="909">
        <f t="shared" si="24"/>
        <v>0</v>
      </c>
      <c r="D152" s="909">
        <f t="shared" si="25"/>
        <v>39635.364473693073</v>
      </c>
      <c r="E152" s="910">
        <f t="shared" si="26"/>
        <v>0</v>
      </c>
      <c r="F152" s="911">
        <f t="shared" si="17"/>
        <v>0</v>
      </c>
      <c r="G152" s="909">
        <f t="shared" si="18"/>
        <v>0</v>
      </c>
      <c r="H152" s="909">
        <f t="shared" si="19"/>
        <v>0</v>
      </c>
      <c r="I152" s="909">
        <f t="shared" si="20"/>
        <v>0</v>
      </c>
      <c r="J152" s="935"/>
      <c r="K152" s="896"/>
    </row>
    <row r="153" spans="1:11">
      <c r="A153" s="865">
        <f>IF(Values_Entered,A152+1,"")</f>
        <v>129</v>
      </c>
      <c r="B153" s="899">
        <f t="shared" ref="B153:B216" si="27">IF(Pay_Num&lt;&gt;"",DATE(YEAR(Loan_Start),MONTH(Loan_Start)+(Pay_Num)*12/Num_Pmt_Per_Year,DAY(Loan_Start)),"")</f>
        <v>48933</v>
      </c>
      <c r="C153" s="909">
        <f t="shared" si="24"/>
        <v>0</v>
      </c>
      <c r="D153" s="909">
        <f t="shared" si="25"/>
        <v>39635.364473693073</v>
      </c>
      <c r="E153" s="910">
        <f t="shared" ref="E153:E216" si="28">IF(AND(Pay_Num&lt;&gt;"",Sched_Pay+Scheduled_Extra_Payments&lt;Beg_Bal),Scheduled_Extra_Payments,IF(AND(Pay_Num&lt;&gt;"",Beg_Bal-Sched_Pay&gt;0),Beg_Bal-Sched_Pay,IF(Pay_Num&lt;&gt;"",0,"")))</f>
        <v>0</v>
      </c>
      <c r="F153" s="911">
        <f t="shared" ref="F153:F204" si="29">IF(AND(Pay_Num&lt;&gt;"",Sched_Pay+Extra_Pay&lt;Beg_Bal),Sched_Pay+Extra_Pay,IF(Pay_Num&lt;&gt;"",Beg_Bal,""))</f>
        <v>0</v>
      </c>
      <c r="G153" s="909">
        <f t="shared" si="18"/>
        <v>0</v>
      </c>
      <c r="H153" s="909">
        <f t="shared" si="19"/>
        <v>0</v>
      </c>
      <c r="I153" s="909">
        <f t="shared" si="20"/>
        <v>0</v>
      </c>
      <c r="J153" s="935"/>
      <c r="K153" s="896"/>
    </row>
    <row r="154" spans="1:11">
      <c r="A154" s="865">
        <f>IF(Values_Entered,A153+1,"")</f>
        <v>130</v>
      </c>
      <c r="B154" s="899">
        <f t="shared" si="27"/>
        <v>48964</v>
      </c>
      <c r="C154" s="909">
        <f t="shared" si="24"/>
        <v>0</v>
      </c>
      <c r="D154" s="909">
        <f t="shared" si="25"/>
        <v>39635.364473693073</v>
      </c>
      <c r="E154" s="910">
        <f t="shared" si="28"/>
        <v>0</v>
      </c>
      <c r="F154" s="911">
        <f t="shared" si="29"/>
        <v>0</v>
      </c>
      <c r="G154" s="909">
        <f t="shared" ref="G154:G204" si="30">IF(Pay_Num&lt;&gt;"",Total_Pay-Int,"")</f>
        <v>0</v>
      </c>
      <c r="H154" s="909">
        <f t="shared" ref="H154:H204" si="31">IF(Pay_Num&lt;&gt;"",Beg_Bal*Interest_Rate/Num_Pmt_Per_Year,"")</f>
        <v>0</v>
      </c>
      <c r="I154" s="909">
        <f t="shared" ref="I154:I204" si="32">IF(AND(Pay_Num&lt;&gt;"",Sched_Pay+Extra_Pay&lt;Beg_Bal),Beg_Bal-Princ,IF(Pay_Num&lt;&gt;"",0,""))</f>
        <v>0</v>
      </c>
      <c r="J154" s="935"/>
      <c r="K154" s="896"/>
    </row>
    <row r="155" spans="1:11">
      <c r="A155" s="865">
        <f>IF(Values_Entered,A154+1,"")</f>
        <v>131</v>
      </c>
      <c r="B155" s="899">
        <f t="shared" si="27"/>
        <v>48995</v>
      </c>
      <c r="C155" s="909">
        <f t="shared" ref="C155:C218" si="33">IF(Pay_Num&lt;&gt;"",I154,"")</f>
        <v>0</v>
      </c>
      <c r="D155" s="909">
        <f t="shared" ref="D155:D218" si="34">IF(Pay_Num&lt;&gt;"",Scheduled_Monthly_Payment,"")</f>
        <v>39635.364473693073</v>
      </c>
      <c r="E155" s="910">
        <f t="shared" si="28"/>
        <v>0</v>
      </c>
      <c r="F155" s="911">
        <f t="shared" si="29"/>
        <v>0</v>
      </c>
      <c r="G155" s="909">
        <f t="shared" si="30"/>
        <v>0</v>
      </c>
      <c r="H155" s="909">
        <f t="shared" si="31"/>
        <v>0</v>
      </c>
      <c r="I155" s="909">
        <f t="shared" si="32"/>
        <v>0</v>
      </c>
      <c r="J155" s="935"/>
      <c r="K155" s="896"/>
    </row>
    <row r="156" spans="1:11">
      <c r="A156" s="865">
        <f>IF(Values_Entered,A155+1,"")</f>
        <v>132</v>
      </c>
      <c r="B156" s="899">
        <f t="shared" si="27"/>
        <v>49023</v>
      </c>
      <c r="C156" s="909">
        <f t="shared" si="33"/>
        <v>0</v>
      </c>
      <c r="D156" s="909">
        <f t="shared" si="34"/>
        <v>39635.364473693073</v>
      </c>
      <c r="E156" s="910">
        <f t="shared" si="28"/>
        <v>0</v>
      </c>
      <c r="F156" s="911">
        <f t="shared" si="29"/>
        <v>0</v>
      </c>
      <c r="G156" s="909">
        <f t="shared" si="30"/>
        <v>0</v>
      </c>
      <c r="H156" s="909">
        <f t="shared" si="31"/>
        <v>0</v>
      </c>
      <c r="I156" s="909">
        <f t="shared" si="32"/>
        <v>0</v>
      </c>
      <c r="J156" s="935"/>
      <c r="K156" s="896"/>
    </row>
    <row r="157" spans="1:11">
      <c r="A157" s="865">
        <f>IF(Values_Entered,A156+1,"")</f>
        <v>133</v>
      </c>
      <c r="B157" s="899">
        <f t="shared" si="27"/>
        <v>49054</v>
      </c>
      <c r="C157" s="909">
        <f t="shared" si="33"/>
        <v>0</v>
      </c>
      <c r="D157" s="909">
        <f t="shared" si="34"/>
        <v>39635.364473693073</v>
      </c>
      <c r="E157" s="910">
        <f t="shared" si="28"/>
        <v>0</v>
      </c>
      <c r="F157" s="911">
        <f t="shared" si="29"/>
        <v>0</v>
      </c>
      <c r="G157" s="909">
        <f t="shared" si="30"/>
        <v>0</v>
      </c>
      <c r="H157" s="909">
        <f t="shared" si="31"/>
        <v>0</v>
      </c>
      <c r="I157" s="909">
        <f t="shared" si="32"/>
        <v>0</v>
      </c>
      <c r="J157" s="935"/>
      <c r="K157" s="896"/>
    </row>
    <row r="158" spans="1:11">
      <c r="A158" s="865">
        <f>IF(Values_Entered,A157+1,"")</f>
        <v>134</v>
      </c>
      <c r="B158" s="899">
        <f t="shared" si="27"/>
        <v>49084</v>
      </c>
      <c r="C158" s="909">
        <f t="shared" si="33"/>
        <v>0</v>
      </c>
      <c r="D158" s="909">
        <f t="shared" si="34"/>
        <v>39635.364473693073</v>
      </c>
      <c r="E158" s="910">
        <f t="shared" si="28"/>
        <v>0</v>
      </c>
      <c r="F158" s="911">
        <f t="shared" si="29"/>
        <v>0</v>
      </c>
      <c r="G158" s="909">
        <f t="shared" si="30"/>
        <v>0</v>
      </c>
      <c r="H158" s="909">
        <f t="shared" si="31"/>
        <v>0</v>
      </c>
      <c r="I158" s="909">
        <f t="shared" si="32"/>
        <v>0</v>
      </c>
      <c r="J158" s="935"/>
      <c r="K158" s="896"/>
    </row>
    <row r="159" spans="1:11">
      <c r="A159" s="865">
        <f>IF(Values_Entered,A158+1,"")</f>
        <v>135</v>
      </c>
      <c r="B159" s="899">
        <f t="shared" si="27"/>
        <v>49115</v>
      </c>
      <c r="C159" s="909">
        <f t="shared" si="33"/>
        <v>0</v>
      </c>
      <c r="D159" s="909">
        <f t="shared" si="34"/>
        <v>39635.364473693073</v>
      </c>
      <c r="E159" s="910">
        <f t="shared" si="28"/>
        <v>0</v>
      </c>
      <c r="F159" s="911">
        <f t="shared" si="29"/>
        <v>0</v>
      </c>
      <c r="G159" s="909">
        <f t="shared" si="30"/>
        <v>0</v>
      </c>
      <c r="H159" s="909">
        <f t="shared" si="31"/>
        <v>0</v>
      </c>
      <c r="I159" s="909">
        <f t="shared" si="32"/>
        <v>0</v>
      </c>
      <c r="J159" s="935"/>
      <c r="K159" s="896"/>
    </row>
    <row r="160" spans="1:11">
      <c r="A160" s="865">
        <f>IF(Values_Entered,A159+1,"")</f>
        <v>136</v>
      </c>
      <c r="B160" s="899">
        <f t="shared" si="27"/>
        <v>49145</v>
      </c>
      <c r="C160" s="909">
        <f t="shared" si="33"/>
        <v>0</v>
      </c>
      <c r="D160" s="909">
        <f t="shared" si="34"/>
        <v>39635.364473693073</v>
      </c>
      <c r="E160" s="910">
        <f t="shared" si="28"/>
        <v>0</v>
      </c>
      <c r="F160" s="911">
        <f t="shared" si="29"/>
        <v>0</v>
      </c>
      <c r="G160" s="909">
        <f t="shared" si="30"/>
        <v>0</v>
      </c>
      <c r="H160" s="909">
        <f t="shared" si="31"/>
        <v>0</v>
      </c>
      <c r="I160" s="909">
        <f t="shared" si="32"/>
        <v>0</v>
      </c>
      <c r="J160" s="935"/>
      <c r="K160" s="896"/>
    </row>
    <row r="161" spans="1:11">
      <c r="A161" s="865">
        <f>IF(Values_Entered,A160+1,"")</f>
        <v>137</v>
      </c>
      <c r="B161" s="899">
        <f t="shared" si="27"/>
        <v>49176</v>
      </c>
      <c r="C161" s="909">
        <f t="shared" si="33"/>
        <v>0</v>
      </c>
      <c r="D161" s="909">
        <f t="shared" si="34"/>
        <v>39635.364473693073</v>
      </c>
      <c r="E161" s="910">
        <f t="shared" si="28"/>
        <v>0</v>
      </c>
      <c r="F161" s="911">
        <f t="shared" si="29"/>
        <v>0</v>
      </c>
      <c r="G161" s="909">
        <f t="shared" si="30"/>
        <v>0</v>
      </c>
      <c r="H161" s="909">
        <f t="shared" si="31"/>
        <v>0</v>
      </c>
      <c r="I161" s="909">
        <f t="shared" si="32"/>
        <v>0</v>
      </c>
      <c r="J161" s="935"/>
      <c r="K161" s="896"/>
    </row>
    <row r="162" spans="1:11">
      <c r="A162" s="865">
        <f>IF(Values_Entered,A161+1,"")</f>
        <v>138</v>
      </c>
      <c r="B162" s="899">
        <f t="shared" si="27"/>
        <v>49207</v>
      </c>
      <c r="C162" s="909">
        <f t="shared" si="33"/>
        <v>0</v>
      </c>
      <c r="D162" s="909">
        <f t="shared" si="34"/>
        <v>39635.364473693073</v>
      </c>
      <c r="E162" s="910">
        <f t="shared" si="28"/>
        <v>0</v>
      </c>
      <c r="F162" s="911">
        <f t="shared" si="29"/>
        <v>0</v>
      </c>
      <c r="G162" s="909">
        <f t="shared" si="30"/>
        <v>0</v>
      </c>
      <c r="H162" s="909">
        <f t="shared" si="31"/>
        <v>0</v>
      </c>
      <c r="I162" s="909">
        <f t="shared" si="32"/>
        <v>0</v>
      </c>
      <c r="J162" s="935"/>
      <c r="K162" s="896"/>
    </row>
    <row r="163" spans="1:11">
      <c r="A163" s="865">
        <f>IF(Values_Entered,A162+1,"")</f>
        <v>139</v>
      </c>
      <c r="B163" s="899">
        <f t="shared" si="27"/>
        <v>49237</v>
      </c>
      <c r="C163" s="909">
        <f t="shared" si="33"/>
        <v>0</v>
      </c>
      <c r="D163" s="909">
        <f t="shared" si="34"/>
        <v>39635.364473693073</v>
      </c>
      <c r="E163" s="910">
        <f t="shared" si="28"/>
        <v>0</v>
      </c>
      <c r="F163" s="911">
        <f t="shared" si="29"/>
        <v>0</v>
      </c>
      <c r="G163" s="909">
        <f t="shared" si="30"/>
        <v>0</v>
      </c>
      <c r="H163" s="909">
        <f t="shared" si="31"/>
        <v>0</v>
      </c>
      <c r="I163" s="909">
        <f t="shared" si="32"/>
        <v>0</v>
      </c>
      <c r="J163" s="935"/>
      <c r="K163" s="896"/>
    </row>
    <row r="164" spans="1:11">
      <c r="A164" s="865">
        <f>IF(Values_Entered,A163+1,"")</f>
        <v>140</v>
      </c>
      <c r="B164" s="899">
        <f t="shared" si="27"/>
        <v>49268</v>
      </c>
      <c r="C164" s="909">
        <f t="shared" si="33"/>
        <v>0</v>
      </c>
      <c r="D164" s="909">
        <f t="shared" si="34"/>
        <v>39635.364473693073</v>
      </c>
      <c r="E164" s="910">
        <f t="shared" si="28"/>
        <v>0</v>
      </c>
      <c r="F164" s="911">
        <f t="shared" si="29"/>
        <v>0</v>
      </c>
      <c r="G164" s="909">
        <f t="shared" si="30"/>
        <v>0</v>
      </c>
      <c r="H164" s="909">
        <f t="shared" si="31"/>
        <v>0</v>
      </c>
      <c r="I164" s="909">
        <f t="shared" si="32"/>
        <v>0</v>
      </c>
      <c r="J164" s="935"/>
      <c r="K164" s="896"/>
    </row>
    <row r="165" spans="1:11">
      <c r="A165" s="865">
        <f>IF(Values_Entered,A164+1,"")</f>
        <v>141</v>
      </c>
      <c r="B165" s="899">
        <f t="shared" si="27"/>
        <v>49298</v>
      </c>
      <c r="C165" s="909">
        <f t="shared" si="33"/>
        <v>0</v>
      </c>
      <c r="D165" s="909">
        <f t="shared" si="34"/>
        <v>39635.364473693073</v>
      </c>
      <c r="E165" s="910">
        <f t="shared" si="28"/>
        <v>0</v>
      </c>
      <c r="F165" s="911">
        <f t="shared" si="29"/>
        <v>0</v>
      </c>
      <c r="G165" s="909">
        <f t="shared" si="30"/>
        <v>0</v>
      </c>
      <c r="H165" s="909">
        <f t="shared" si="31"/>
        <v>0</v>
      </c>
      <c r="I165" s="909">
        <f t="shared" si="32"/>
        <v>0</v>
      </c>
      <c r="J165" s="935"/>
      <c r="K165" s="896"/>
    </row>
    <row r="166" spans="1:11">
      <c r="A166" s="865">
        <f>IF(Values_Entered,A165+1,"")</f>
        <v>142</v>
      </c>
      <c r="B166" s="899">
        <f t="shared" si="27"/>
        <v>49329</v>
      </c>
      <c r="C166" s="909">
        <f t="shared" si="33"/>
        <v>0</v>
      </c>
      <c r="D166" s="909">
        <f t="shared" si="34"/>
        <v>39635.364473693073</v>
      </c>
      <c r="E166" s="910">
        <f t="shared" si="28"/>
        <v>0</v>
      </c>
      <c r="F166" s="911">
        <f t="shared" si="29"/>
        <v>0</v>
      </c>
      <c r="G166" s="909">
        <f t="shared" si="30"/>
        <v>0</v>
      </c>
      <c r="H166" s="909">
        <f t="shared" si="31"/>
        <v>0</v>
      </c>
      <c r="I166" s="909">
        <f t="shared" si="32"/>
        <v>0</v>
      </c>
      <c r="J166" s="935"/>
      <c r="K166" s="896"/>
    </row>
    <row r="167" spans="1:11">
      <c r="A167" s="865">
        <f>IF(Values_Entered,A166+1,"")</f>
        <v>143</v>
      </c>
      <c r="B167" s="899">
        <f t="shared" si="27"/>
        <v>49360</v>
      </c>
      <c r="C167" s="909">
        <f t="shared" si="33"/>
        <v>0</v>
      </c>
      <c r="D167" s="909">
        <f t="shared" si="34"/>
        <v>39635.364473693073</v>
      </c>
      <c r="E167" s="910">
        <f t="shared" si="28"/>
        <v>0</v>
      </c>
      <c r="F167" s="911">
        <f t="shared" si="29"/>
        <v>0</v>
      </c>
      <c r="G167" s="909">
        <f t="shared" si="30"/>
        <v>0</v>
      </c>
      <c r="H167" s="909">
        <f t="shared" si="31"/>
        <v>0</v>
      </c>
      <c r="I167" s="909">
        <f t="shared" si="32"/>
        <v>0</v>
      </c>
      <c r="J167" s="935"/>
      <c r="K167" s="896"/>
    </row>
    <row r="168" spans="1:11">
      <c r="A168" s="865">
        <f>IF(Values_Entered,A167+1,"")</f>
        <v>144</v>
      </c>
      <c r="B168" s="899">
        <f t="shared" si="27"/>
        <v>49388</v>
      </c>
      <c r="C168" s="909">
        <f t="shared" si="33"/>
        <v>0</v>
      </c>
      <c r="D168" s="909">
        <f t="shared" si="34"/>
        <v>39635.364473693073</v>
      </c>
      <c r="E168" s="910">
        <f t="shared" si="28"/>
        <v>0</v>
      </c>
      <c r="F168" s="911">
        <f t="shared" si="29"/>
        <v>0</v>
      </c>
      <c r="G168" s="909">
        <f t="shared" si="30"/>
        <v>0</v>
      </c>
      <c r="H168" s="909">
        <f t="shared" si="31"/>
        <v>0</v>
      </c>
      <c r="I168" s="909">
        <f t="shared" si="32"/>
        <v>0</v>
      </c>
      <c r="J168" s="935"/>
      <c r="K168" s="896"/>
    </row>
    <row r="169" spans="1:11">
      <c r="A169" s="865">
        <f>IF(Values_Entered,A168+1,"")</f>
        <v>145</v>
      </c>
      <c r="B169" s="899">
        <f t="shared" si="27"/>
        <v>49419</v>
      </c>
      <c r="C169" s="909">
        <f t="shared" si="33"/>
        <v>0</v>
      </c>
      <c r="D169" s="909">
        <f t="shared" si="34"/>
        <v>39635.364473693073</v>
      </c>
      <c r="E169" s="910">
        <f t="shared" si="28"/>
        <v>0</v>
      </c>
      <c r="F169" s="911">
        <f t="shared" si="29"/>
        <v>0</v>
      </c>
      <c r="G169" s="909">
        <f t="shared" si="30"/>
        <v>0</v>
      </c>
      <c r="H169" s="909">
        <f t="shared" si="31"/>
        <v>0</v>
      </c>
      <c r="I169" s="909">
        <f t="shared" si="32"/>
        <v>0</v>
      </c>
      <c r="J169" s="935"/>
      <c r="K169" s="896"/>
    </row>
    <row r="170" spans="1:11">
      <c r="A170" s="865">
        <f>IF(Values_Entered,A169+1,"")</f>
        <v>146</v>
      </c>
      <c r="B170" s="899">
        <f t="shared" si="27"/>
        <v>49449</v>
      </c>
      <c r="C170" s="909">
        <f t="shared" si="33"/>
        <v>0</v>
      </c>
      <c r="D170" s="909">
        <f t="shared" si="34"/>
        <v>39635.364473693073</v>
      </c>
      <c r="E170" s="910">
        <f t="shared" si="28"/>
        <v>0</v>
      </c>
      <c r="F170" s="911">
        <f t="shared" si="29"/>
        <v>0</v>
      </c>
      <c r="G170" s="909">
        <f t="shared" si="30"/>
        <v>0</v>
      </c>
      <c r="H170" s="909">
        <f t="shared" si="31"/>
        <v>0</v>
      </c>
      <c r="I170" s="909">
        <f t="shared" si="32"/>
        <v>0</v>
      </c>
      <c r="J170" s="935"/>
      <c r="K170" s="896"/>
    </row>
    <row r="171" spans="1:11">
      <c r="A171" s="865">
        <f>IF(Values_Entered,A170+1,"")</f>
        <v>147</v>
      </c>
      <c r="B171" s="899">
        <f t="shared" si="27"/>
        <v>49480</v>
      </c>
      <c r="C171" s="909">
        <f t="shared" si="33"/>
        <v>0</v>
      </c>
      <c r="D171" s="909">
        <f t="shared" si="34"/>
        <v>39635.364473693073</v>
      </c>
      <c r="E171" s="910">
        <f t="shared" si="28"/>
        <v>0</v>
      </c>
      <c r="F171" s="911">
        <f t="shared" si="29"/>
        <v>0</v>
      </c>
      <c r="G171" s="909">
        <f t="shared" si="30"/>
        <v>0</v>
      </c>
      <c r="H171" s="909">
        <f t="shared" si="31"/>
        <v>0</v>
      </c>
      <c r="I171" s="909">
        <f t="shared" si="32"/>
        <v>0</v>
      </c>
      <c r="J171" s="935"/>
      <c r="K171" s="896"/>
    </row>
    <row r="172" spans="1:11">
      <c r="A172" s="865">
        <f>IF(Values_Entered,A171+1,"")</f>
        <v>148</v>
      </c>
      <c r="B172" s="899">
        <f t="shared" si="27"/>
        <v>49510</v>
      </c>
      <c r="C172" s="909">
        <f t="shared" si="33"/>
        <v>0</v>
      </c>
      <c r="D172" s="909">
        <f t="shared" si="34"/>
        <v>39635.364473693073</v>
      </c>
      <c r="E172" s="910">
        <f t="shared" si="28"/>
        <v>0</v>
      </c>
      <c r="F172" s="911">
        <f t="shared" si="29"/>
        <v>0</v>
      </c>
      <c r="G172" s="909">
        <f t="shared" si="30"/>
        <v>0</v>
      </c>
      <c r="H172" s="909">
        <f t="shared" si="31"/>
        <v>0</v>
      </c>
      <c r="I172" s="909">
        <f t="shared" si="32"/>
        <v>0</v>
      </c>
      <c r="J172" s="935"/>
      <c r="K172" s="896"/>
    </row>
    <row r="173" spans="1:11">
      <c r="A173" s="865">
        <f>IF(Values_Entered,A172+1,"")</f>
        <v>149</v>
      </c>
      <c r="B173" s="899">
        <f t="shared" si="27"/>
        <v>49541</v>
      </c>
      <c r="C173" s="909">
        <f t="shared" si="33"/>
        <v>0</v>
      </c>
      <c r="D173" s="909">
        <f t="shared" si="34"/>
        <v>39635.364473693073</v>
      </c>
      <c r="E173" s="910">
        <f t="shared" si="28"/>
        <v>0</v>
      </c>
      <c r="F173" s="911">
        <f t="shared" si="29"/>
        <v>0</v>
      </c>
      <c r="G173" s="909">
        <f t="shared" si="30"/>
        <v>0</v>
      </c>
      <c r="H173" s="909">
        <f t="shared" si="31"/>
        <v>0</v>
      </c>
      <c r="I173" s="909">
        <f t="shared" si="32"/>
        <v>0</v>
      </c>
      <c r="J173" s="935"/>
      <c r="K173" s="896"/>
    </row>
    <row r="174" spans="1:11">
      <c r="A174" s="865">
        <f>IF(Values_Entered,A173+1,"")</f>
        <v>150</v>
      </c>
      <c r="B174" s="899">
        <f t="shared" si="27"/>
        <v>49572</v>
      </c>
      <c r="C174" s="909">
        <f t="shared" si="33"/>
        <v>0</v>
      </c>
      <c r="D174" s="909">
        <f t="shared" si="34"/>
        <v>39635.364473693073</v>
      </c>
      <c r="E174" s="910">
        <f t="shared" si="28"/>
        <v>0</v>
      </c>
      <c r="F174" s="911">
        <f t="shared" si="29"/>
        <v>0</v>
      </c>
      <c r="G174" s="909">
        <f t="shared" si="30"/>
        <v>0</v>
      </c>
      <c r="H174" s="909">
        <f t="shared" si="31"/>
        <v>0</v>
      </c>
      <c r="I174" s="909">
        <f t="shared" si="32"/>
        <v>0</v>
      </c>
      <c r="J174" s="935"/>
      <c r="K174" s="896"/>
    </row>
    <row r="175" spans="1:11">
      <c r="A175" s="865">
        <f>IF(Values_Entered,A174+1,"")</f>
        <v>151</v>
      </c>
      <c r="B175" s="899">
        <f t="shared" si="27"/>
        <v>49602</v>
      </c>
      <c r="C175" s="909">
        <f t="shared" si="33"/>
        <v>0</v>
      </c>
      <c r="D175" s="909">
        <f t="shared" si="34"/>
        <v>39635.364473693073</v>
      </c>
      <c r="E175" s="910">
        <f t="shared" si="28"/>
        <v>0</v>
      </c>
      <c r="F175" s="911">
        <f t="shared" si="29"/>
        <v>0</v>
      </c>
      <c r="G175" s="909">
        <f t="shared" si="30"/>
        <v>0</v>
      </c>
      <c r="H175" s="909">
        <f t="shared" si="31"/>
        <v>0</v>
      </c>
      <c r="I175" s="909">
        <f t="shared" si="32"/>
        <v>0</v>
      </c>
      <c r="J175" s="935"/>
      <c r="K175" s="896"/>
    </row>
    <row r="176" spans="1:11">
      <c r="A176" s="865">
        <f>IF(Values_Entered,A175+1,"")</f>
        <v>152</v>
      </c>
      <c r="B176" s="899">
        <f t="shared" si="27"/>
        <v>49633</v>
      </c>
      <c r="C176" s="909">
        <f t="shared" si="33"/>
        <v>0</v>
      </c>
      <c r="D176" s="909">
        <f t="shared" si="34"/>
        <v>39635.364473693073</v>
      </c>
      <c r="E176" s="910">
        <f t="shared" si="28"/>
        <v>0</v>
      </c>
      <c r="F176" s="911">
        <f t="shared" si="29"/>
        <v>0</v>
      </c>
      <c r="G176" s="909">
        <f t="shared" si="30"/>
        <v>0</v>
      </c>
      <c r="H176" s="909">
        <f t="shared" si="31"/>
        <v>0</v>
      </c>
      <c r="I176" s="909">
        <f t="shared" si="32"/>
        <v>0</v>
      </c>
      <c r="J176" s="935"/>
      <c r="K176" s="896"/>
    </row>
    <row r="177" spans="1:11">
      <c r="A177" s="865">
        <f>IF(Values_Entered,A176+1,"")</f>
        <v>153</v>
      </c>
      <c r="B177" s="899">
        <f t="shared" si="27"/>
        <v>49663</v>
      </c>
      <c r="C177" s="909">
        <f t="shared" si="33"/>
        <v>0</v>
      </c>
      <c r="D177" s="909">
        <f t="shared" si="34"/>
        <v>39635.364473693073</v>
      </c>
      <c r="E177" s="910">
        <f t="shared" si="28"/>
        <v>0</v>
      </c>
      <c r="F177" s="911">
        <f t="shared" si="29"/>
        <v>0</v>
      </c>
      <c r="G177" s="909">
        <f t="shared" si="30"/>
        <v>0</v>
      </c>
      <c r="H177" s="909">
        <f t="shared" si="31"/>
        <v>0</v>
      </c>
      <c r="I177" s="909">
        <f t="shared" si="32"/>
        <v>0</v>
      </c>
      <c r="J177" s="935"/>
      <c r="K177" s="896"/>
    </row>
    <row r="178" spans="1:11">
      <c r="A178" s="865">
        <f>IF(Values_Entered,A177+1,"")</f>
        <v>154</v>
      </c>
      <c r="B178" s="899">
        <f t="shared" si="27"/>
        <v>49694</v>
      </c>
      <c r="C178" s="909">
        <f t="shared" si="33"/>
        <v>0</v>
      </c>
      <c r="D178" s="909">
        <f t="shared" si="34"/>
        <v>39635.364473693073</v>
      </c>
      <c r="E178" s="910">
        <f t="shared" si="28"/>
        <v>0</v>
      </c>
      <c r="F178" s="911">
        <f t="shared" si="29"/>
        <v>0</v>
      </c>
      <c r="G178" s="909">
        <f t="shared" si="30"/>
        <v>0</v>
      </c>
      <c r="H178" s="909">
        <f t="shared" si="31"/>
        <v>0</v>
      </c>
      <c r="I178" s="909">
        <f t="shared" si="32"/>
        <v>0</v>
      </c>
      <c r="J178" s="935"/>
      <c r="K178" s="896"/>
    </row>
    <row r="179" spans="1:11">
      <c r="A179" s="865">
        <f>IF(Values_Entered,A178+1,"")</f>
        <v>155</v>
      </c>
      <c r="B179" s="899">
        <f t="shared" si="27"/>
        <v>49725</v>
      </c>
      <c r="C179" s="909">
        <f t="shared" si="33"/>
        <v>0</v>
      </c>
      <c r="D179" s="909">
        <f t="shared" si="34"/>
        <v>39635.364473693073</v>
      </c>
      <c r="E179" s="910">
        <f t="shared" si="28"/>
        <v>0</v>
      </c>
      <c r="F179" s="911">
        <f t="shared" si="29"/>
        <v>0</v>
      </c>
      <c r="G179" s="909">
        <f t="shared" si="30"/>
        <v>0</v>
      </c>
      <c r="H179" s="909">
        <f t="shared" si="31"/>
        <v>0</v>
      </c>
      <c r="I179" s="909">
        <f t="shared" si="32"/>
        <v>0</v>
      </c>
      <c r="J179" s="935"/>
      <c r="K179" s="896"/>
    </row>
    <row r="180" spans="1:11">
      <c r="A180" s="865">
        <f>IF(Values_Entered,A179+1,"")</f>
        <v>156</v>
      </c>
      <c r="B180" s="899">
        <f t="shared" si="27"/>
        <v>49754</v>
      </c>
      <c r="C180" s="909">
        <f t="shared" si="33"/>
        <v>0</v>
      </c>
      <c r="D180" s="909">
        <f t="shared" si="34"/>
        <v>39635.364473693073</v>
      </c>
      <c r="E180" s="910">
        <f t="shared" si="28"/>
        <v>0</v>
      </c>
      <c r="F180" s="911">
        <f t="shared" si="29"/>
        <v>0</v>
      </c>
      <c r="G180" s="909">
        <f t="shared" si="30"/>
        <v>0</v>
      </c>
      <c r="H180" s="909">
        <f t="shared" si="31"/>
        <v>0</v>
      </c>
      <c r="I180" s="909">
        <f t="shared" si="32"/>
        <v>0</v>
      </c>
      <c r="J180" s="935"/>
      <c r="K180" s="896"/>
    </row>
    <row r="181" spans="1:11">
      <c r="A181" s="865">
        <f>IF(Values_Entered,A180+1,"")</f>
        <v>157</v>
      </c>
      <c r="B181" s="899">
        <f t="shared" si="27"/>
        <v>49785</v>
      </c>
      <c r="C181" s="909">
        <f t="shared" si="33"/>
        <v>0</v>
      </c>
      <c r="D181" s="909">
        <f t="shared" si="34"/>
        <v>39635.364473693073</v>
      </c>
      <c r="E181" s="910">
        <f t="shared" si="28"/>
        <v>0</v>
      </c>
      <c r="F181" s="911">
        <f t="shared" si="29"/>
        <v>0</v>
      </c>
      <c r="G181" s="909">
        <f t="shared" si="30"/>
        <v>0</v>
      </c>
      <c r="H181" s="909">
        <f t="shared" si="31"/>
        <v>0</v>
      </c>
      <c r="I181" s="909">
        <f t="shared" si="32"/>
        <v>0</v>
      </c>
      <c r="J181" s="935"/>
      <c r="K181" s="896"/>
    </row>
    <row r="182" spans="1:11">
      <c r="A182" s="865">
        <f>IF(Values_Entered,A181+1,"")</f>
        <v>158</v>
      </c>
      <c r="B182" s="899">
        <f t="shared" si="27"/>
        <v>49815</v>
      </c>
      <c r="C182" s="909">
        <f t="shared" si="33"/>
        <v>0</v>
      </c>
      <c r="D182" s="909">
        <f t="shared" si="34"/>
        <v>39635.364473693073</v>
      </c>
      <c r="E182" s="910">
        <f t="shared" si="28"/>
        <v>0</v>
      </c>
      <c r="F182" s="911">
        <f t="shared" si="29"/>
        <v>0</v>
      </c>
      <c r="G182" s="909">
        <f t="shared" si="30"/>
        <v>0</v>
      </c>
      <c r="H182" s="909">
        <f t="shared" si="31"/>
        <v>0</v>
      </c>
      <c r="I182" s="909">
        <f t="shared" si="32"/>
        <v>0</v>
      </c>
      <c r="J182" s="935"/>
      <c r="K182" s="896"/>
    </row>
    <row r="183" spans="1:11">
      <c r="A183" s="865">
        <f>IF(Values_Entered,A182+1,"")</f>
        <v>159</v>
      </c>
      <c r="B183" s="899">
        <f t="shared" si="27"/>
        <v>49846</v>
      </c>
      <c r="C183" s="909">
        <f t="shared" si="33"/>
        <v>0</v>
      </c>
      <c r="D183" s="909">
        <f t="shared" si="34"/>
        <v>39635.364473693073</v>
      </c>
      <c r="E183" s="910">
        <f t="shared" si="28"/>
        <v>0</v>
      </c>
      <c r="F183" s="911">
        <f t="shared" si="29"/>
        <v>0</v>
      </c>
      <c r="G183" s="909">
        <f t="shared" si="30"/>
        <v>0</v>
      </c>
      <c r="H183" s="909">
        <f t="shared" si="31"/>
        <v>0</v>
      </c>
      <c r="I183" s="909">
        <f t="shared" si="32"/>
        <v>0</v>
      </c>
      <c r="J183" s="935"/>
      <c r="K183" s="896"/>
    </row>
    <row r="184" spans="1:11">
      <c r="A184" s="865">
        <f>IF(Values_Entered,A183+1,"")</f>
        <v>160</v>
      </c>
      <c r="B184" s="899">
        <f t="shared" si="27"/>
        <v>49876</v>
      </c>
      <c r="C184" s="909">
        <f t="shared" si="33"/>
        <v>0</v>
      </c>
      <c r="D184" s="909">
        <f t="shared" si="34"/>
        <v>39635.364473693073</v>
      </c>
      <c r="E184" s="910">
        <f t="shared" si="28"/>
        <v>0</v>
      </c>
      <c r="F184" s="911">
        <f t="shared" si="29"/>
        <v>0</v>
      </c>
      <c r="G184" s="909">
        <f t="shared" si="30"/>
        <v>0</v>
      </c>
      <c r="H184" s="909">
        <f t="shared" si="31"/>
        <v>0</v>
      </c>
      <c r="I184" s="909">
        <f t="shared" si="32"/>
        <v>0</v>
      </c>
      <c r="J184" s="935"/>
      <c r="K184" s="896"/>
    </row>
    <row r="185" spans="1:11">
      <c r="A185" s="865">
        <f>IF(Values_Entered,A184+1,"")</f>
        <v>161</v>
      </c>
      <c r="B185" s="899">
        <f t="shared" si="27"/>
        <v>49907</v>
      </c>
      <c r="C185" s="909">
        <f t="shared" si="33"/>
        <v>0</v>
      </c>
      <c r="D185" s="909">
        <f t="shared" si="34"/>
        <v>39635.364473693073</v>
      </c>
      <c r="E185" s="910">
        <f t="shared" si="28"/>
        <v>0</v>
      </c>
      <c r="F185" s="911">
        <f t="shared" si="29"/>
        <v>0</v>
      </c>
      <c r="G185" s="909">
        <f t="shared" si="30"/>
        <v>0</v>
      </c>
      <c r="H185" s="909">
        <f t="shared" si="31"/>
        <v>0</v>
      </c>
      <c r="I185" s="909">
        <f t="shared" si="32"/>
        <v>0</v>
      </c>
      <c r="J185" s="935"/>
      <c r="K185" s="896"/>
    </row>
    <row r="186" spans="1:11">
      <c r="A186" s="865">
        <f>IF(Values_Entered,A185+1,"")</f>
        <v>162</v>
      </c>
      <c r="B186" s="899">
        <f t="shared" si="27"/>
        <v>49938</v>
      </c>
      <c r="C186" s="909">
        <f t="shared" si="33"/>
        <v>0</v>
      </c>
      <c r="D186" s="909">
        <f t="shared" si="34"/>
        <v>39635.364473693073</v>
      </c>
      <c r="E186" s="910">
        <f t="shared" si="28"/>
        <v>0</v>
      </c>
      <c r="F186" s="911">
        <f t="shared" si="29"/>
        <v>0</v>
      </c>
      <c r="G186" s="909">
        <f t="shared" si="30"/>
        <v>0</v>
      </c>
      <c r="H186" s="909">
        <f t="shared" si="31"/>
        <v>0</v>
      </c>
      <c r="I186" s="909">
        <f t="shared" si="32"/>
        <v>0</v>
      </c>
      <c r="J186" s="935"/>
      <c r="K186" s="896"/>
    </row>
    <row r="187" spans="1:11">
      <c r="A187" s="865">
        <f>IF(Values_Entered,A186+1,"")</f>
        <v>163</v>
      </c>
      <c r="B187" s="899">
        <f t="shared" si="27"/>
        <v>49968</v>
      </c>
      <c r="C187" s="909">
        <f t="shared" si="33"/>
        <v>0</v>
      </c>
      <c r="D187" s="909">
        <f t="shared" si="34"/>
        <v>39635.364473693073</v>
      </c>
      <c r="E187" s="910">
        <f t="shared" si="28"/>
        <v>0</v>
      </c>
      <c r="F187" s="911">
        <f t="shared" si="29"/>
        <v>0</v>
      </c>
      <c r="G187" s="909">
        <f t="shared" si="30"/>
        <v>0</v>
      </c>
      <c r="H187" s="909">
        <f t="shared" si="31"/>
        <v>0</v>
      </c>
      <c r="I187" s="909">
        <f t="shared" si="32"/>
        <v>0</v>
      </c>
      <c r="J187" s="935"/>
      <c r="K187" s="896"/>
    </row>
    <row r="188" spans="1:11">
      <c r="A188" s="865">
        <f>IF(Values_Entered,A187+1,"")</f>
        <v>164</v>
      </c>
      <c r="B188" s="899">
        <f t="shared" si="27"/>
        <v>49999</v>
      </c>
      <c r="C188" s="909">
        <f t="shared" si="33"/>
        <v>0</v>
      </c>
      <c r="D188" s="909">
        <f t="shared" si="34"/>
        <v>39635.364473693073</v>
      </c>
      <c r="E188" s="910">
        <f t="shared" si="28"/>
        <v>0</v>
      </c>
      <c r="F188" s="911">
        <f t="shared" si="29"/>
        <v>0</v>
      </c>
      <c r="G188" s="909">
        <f t="shared" si="30"/>
        <v>0</v>
      </c>
      <c r="H188" s="909">
        <f t="shared" si="31"/>
        <v>0</v>
      </c>
      <c r="I188" s="909">
        <f t="shared" si="32"/>
        <v>0</v>
      </c>
      <c r="J188" s="935"/>
      <c r="K188" s="896"/>
    </row>
    <row r="189" spans="1:11">
      <c r="A189" s="865">
        <f>IF(Values_Entered,A188+1,"")</f>
        <v>165</v>
      </c>
      <c r="B189" s="899">
        <f t="shared" si="27"/>
        <v>50029</v>
      </c>
      <c r="C189" s="909">
        <f t="shared" si="33"/>
        <v>0</v>
      </c>
      <c r="D189" s="909">
        <f t="shared" si="34"/>
        <v>39635.364473693073</v>
      </c>
      <c r="E189" s="910">
        <f t="shared" si="28"/>
        <v>0</v>
      </c>
      <c r="F189" s="911">
        <f t="shared" si="29"/>
        <v>0</v>
      </c>
      <c r="G189" s="909">
        <f t="shared" si="30"/>
        <v>0</v>
      </c>
      <c r="H189" s="909">
        <f t="shared" si="31"/>
        <v>0</v>
      </c>
      <c r="I189" s="909">
        <f t="shared" si="32"/>
        <v>0</v>
      </c>
      <c r="J189" s="935"/>
      <c r="K189" s="896"/>
    </row>
    <row r="190" spans="1:11">
      <c r="A190" s="865">
        <f>IF(Values_Entered,A189+1,"")</f>
        <v>166</v>
      </c>
      <c r="B190" s="899">
        <f t="shared" si="27"/>
        <v>50060</v>
      </c>
      <c r="C190" s="909">
        <f t="shared" si="33"/>
        <v>0</v>
      </c>
      <c r="D190" s="909">
        <f t="shared" si="34"/>
        <v>39635.364473693073</v>
      </c>
      <c r="E190" s="910">
        <f t="shared" si="28"/>
        <v>0</v>
      </c>
      <c r="F190" s="911">
        <f t="shared" si="29"/>
        <v>0</v>
      </c>
      <c r="G190" s="909">
        <f t="shared" si="30"/>
        <v>0</v>
      </c>
      <c r="H190" s="909">
        <f t="shared" si="31"/>
        <v>0</v>
      </c>
      <c r="I190" s="909">
        <f t="shared" si="32"/>
        <v>0</v>
      </c>
      <c r="J190" s="935"/>
      <c r="K190" s="896"/>
    </row>
    <row r="191" spans="1:11">
      <c r="A191" s="865">
        <f>IF(Values_Entered,A190+1,"")</f>
        <v>167</v>
      </c>
      <c r="B191" s="899">
        <f t="shared" si="27"/>
        <v>50091</v>
      </c>
      <c r="C191" s="909">
        <f t="shared" si="33"/>
        <v>0</v>
      </c>
      <c r="D191" s="909">
        <f t="shared" si="34"/>
        <v>39635.364473693073</v>
      </c>
      <c r="E191" s="910">
        <f t="shared" si="28"/>
        <v>0</v>
      </c>
      <c r="F191" s="911">
        <f t="shared" si="29"/>
        <v>0</v>
      </c>
      <c r="G191" s="909">
        <f t="shared" si="30"/>
        <v>0</v>
      </c>
      <c r="H191" s="909">
        <f t="shared" si="31"/>
        <v>0</v>
      </c>
      <c r="I191" s="909">
        <f t="shared" si="32"/>
        <v>0</v>
      </c>
      <c r="J191" s="935"/>
      <c r="K191" s="896"/>
    </row>
    <row r="192" spans="1:11">
      <c r="A192" s="865">
        <f>IF(Values_Entered,A191+1,"")</f>
        <v>168</v>
      </c>
      <c r="B192" s="899">
        <f t="shared" si="27"/>
        <v>50119</v>
      </c>
      <c r="C192" s="909">
        <f t="shared" si="33"/>
        <v>0</v>
      </c>
      <c r="D192" s="909">
        <f t="shared" si="34"/>
        <v>39635.364473693073</v>
      </c>
      <c r="E192" s="910">
        <f t="shared" si="28"/>
        <v>0</v>
      </c>
      <c r="F192" s="911">
        <f t="shared" si="29"/>
        <v>0</v>
      </c>
      <c r="G192" s="909">
        <f t="shared" si="30"/>
        <v>0</v>
      </c>
      <c r="H192" s="909">
        <f t="shared" si="31"/>
        <v>0</v>
      </c>
      <c r="I192" s="909">
        <f t="shared" si="32"/>
        <v>0</v>
      </c>
      <c r="J192" s="935"/>
      <c r="K192" s="896"/>
    </row>
    <row r="193" spans="1:11">
      <c r="A193" s="865">
        <f>IF(Values_Entered,A192+1,"")</f>
        <v>169</v>
      </c>
      <c r="B193" s="899">
        <f t="shared" si="27"/>
        <v>50150</v>
      </c>
      <c r="C193" s="909">
        <f t="shared" si="33"/>
        <v>0</v>
      </c>
      <c r="D193" s="909">
        <f t="shared" si="34"/>
        <v>39635.364473693073</v>
      </c>
      <c r="E193" s="910">
        <f t="shared" si="28"/>
        <v>0</v>
      </c>
      <c r="F193" s="911">
        <f t="shared" si="29"/>
        <v>0</v>
      </c>
      <c r="G193" s="909">
        <f t="shared" si="30"/>
        <v>0</v>
      </c>
      <c r="H193" s="909">
        <f t="shared" si="31"/>
        <v>0</v>
      </c>
      <c r="I193" s="909">
        <f t="shared" si="32"/>
        <v>0</v>
      </c>
      <c r="J193" s="935"/>
      <c r="K193" s="896"/>
    </row>
    <row r="194" spans="1:11">
      <c r="A194" s="865">
        <f>IF(Values_Entered,A193+1,"")</f>
        <v>170</v>
      </c>
      <c r="B194" s="899">
        <f t="shared" si="27"/>
        <v>50180</v>
      </c>
      <c r="C194" s="909">
        <f t="shared" si="33"/>
        <v>0</v>
      </c>
      <c r="D194" s="909">
        <f t="shared" si="34"/>
        <v>39635.364473693073</v>
      </c>
      <c r="E194" s="910">
        <f t="shared" si="28"/>
        <v>0</v>
      </c>
      <c r="F194" s="911">
        <f t="shared" si="29"/>
        <v>0</v>
      </c>
      <c r="G194" s="909">
        <f t="shared" si="30"/>
        <v>0</v>
      </c>
      <c r="H194" s="909">
        <f t="shared" si="31"/>
        <v>0</v>
      </c>
      <c r="I194" s="909">
        <f t="shared" si="32"/>
        <v>0</v>
      </c>
      <c r="J194" s="935"/>
      <c r="K194" s="896"/>
    </row>
    <row r="195" spans="1:11">
      <c r="A195" s="865">
        <f>IF(Values_Entered,A194+1,"")</f>
        <v>171</v>
      </c>
      <c r="B195" s="899">
        <f t="shared" si="27"/>
        <v>50211</v>
      </c>
      <c r="C195" s="909">
        <f t="shared" si="33"/>
        <v>0</v>
      </c>
      <c r="D195" s="909">
        <f t="shared" si="34"/>
        <v>39635.364473693073</v>
      </c>
      <c r="E195" s="910">
        <f t="shared" si="28"/>
        <v>0</v>
      </c>
      <c r="F195" s="911">
        <f t="shared" si="29"/>
        <v>0</v>
      </c>
      <c r="G195" s="909">
        <f t="shared" si="30"/>
        <v>0</v>
      </c>
      <c r="H195" s="909">
        <f t="shared" si="31"/>
        <v>0</v>
      </c>
      <c r="I195" s="909">
        <f t="shared" si="32"/>
        <v>0</v>
      </c>
      <c r="J195" s="935"/>
      <c r="K195" s="896"/>
    </row>
    <row r="196" spans="1:11">
      <c r="A196" s="865">
        <f>IF(Values_Entered,A195+1,"")</f>
        <v>172</v>
      </c>
      <c r="B196" s="899">
        <f t="shared" si="27"/>
        <v>50241</v>
      </c>
      <c r="C196" s="909">
        <f t="shared" si="33"/>
        <v>0</v>
      </c>
      <c r="D196" s="909">
        <f t="shared" si="34"/>
        <v>39635.364473693073</v>
      </c>
      <c r="E196" s="910">
        <f t="shared" si="28"/>
        <v>0</v>
      </c>
      <c r="F196" s="911">
        <f t="shared" si="29"/>
        <v>0</v>
      </c>
      <c r="G196" s="909">
        <f t="shared" si="30"/>
        <v>0</v>
      </c>
      <c r="H196" s="909">
        <f t="shared" si="31"/>
        <v>0</v>
      </c>
      <c r="I196" s="909">
        <f t="shared" si="32"/>
        <v>0</v>
      </c>
      <c r="J196" s="935"/>
      <c r="K196" s="896"/>
    </row>
    <row r="197" spans="1:11">
      <c r="A197" s="865">
        <f>IF(Values_Entered,A196+1,"")</f>
        <v>173</v>
      </c>
      <c r="B197" s="899">
        <f t="shared" si="27"/>
        <v>50272</v>
      </c>
      <c r="C197" s="909">
        <f t="shared" si="33"/>
        <v>0</v>
      </c>
      <c r="D197" s="909">
        <f t="shared" si="34"/>
        <v>39635.364473693073</v>
      </c>
      <c r="E197" s="910">
        <f t="shared" si="28"/>
        <v>0</v>
      </c>
      <c r="F197" s="911">
        <f t="shared" si="29"/>
        <v>0</v>
      </c>
      <c r="G197" s="909">
        <f t="shared" si="30"/>
        <v>0</v>
      </c>
      <c r="H197" s="909">
        <f t="shared" si="31"/>
        <v>0</v>
      </c>
      <c r="I197" s="909">
        <f t="shared" si="32"/>
        <v>0</v>
      </c>
      <c r="J197" s="935"/>
      <c r="K197" s="896"/>
    </row>
    <row r="198" spans="1:11">
      <c r="A198" s="865">
        <f>IF(Values_Entered,A197+1,"")</f>
        <v>174</v>
      </c>
      <c r="B198" s="899">
        <f t="shared" si="27"/>
        <v>50303</v>
      </c>
      <c r="C198" s="909">
        <f t="shared" si="33"/>
        <v>0</v>
      </c>
      <c r="D198" s="909">
        <f t="shared" si="34"/>
        <v>39635.364473693073</v>
      </c>
      <c r="E198" s="910">
        <f t="shared" si="28"/>
        <v>0</v>
      </c>
      <c r="F198" s="911">
        <f t="shared" si="29"/>
        <v>0</v>
      </c>
      <c r="G198" s="909">
        <f t="shared" si="30"/>
        <v>0</v>
      </c>
      <c r="H198" s="909">
        <f t="shared" si="31"/>
        <v>0</v>
      </c>
      <c r="I198" s="909">
        <f t="shared" si="32"/>
        <v>0</v>
      </c>
      <c r="J198" s="935"/>
      <c r="K198" s="896"/>
    </row>
    <row r="199" spans="1:11">
      <c r="A199" s="865">
        <f>IF(Values_Entered,A198+1,"")</f>
        <v>175</v>
      </c>
      <c r="B199" s="899">
        <f t="shared" si="27"/>
        <v>50333</v>
      </c>
      <c r="C199" s="909">
        <f t="shared" si="33"/>
        <v>0</v>
      </c>
      <c r="D199" s="909">
        <f t="shared" si="34"/>
        <v>39635.364473693073</v>
      </c>
      <c r="E199" s="910">
        <f t="shared" si="28"/>
        <v>0</v>
      </c>
      <c r="F199" s="911">
        <f t="shared" si="29"/>
        <v>0</v>
      </c>
      <c r="G199" s="909">
        <f t="shared" si="30"/>
        <v>0</v>
      </c>
      <c r="H199" s="909">
        <f t="shared" si="31"/>
        <v>0</v>
      </c>
      <c r="I199" s="909">
        <f t="shared" si="32"/>
        <v>0</v>
      </c>
      <c r="J199" s="935"/>
      <c r="K199" s="896"/>
    </row>
    <row r="200" spans="1:11">
      <c r="A200" s="865">
        <f>IF(Values_Entered,A199+1,"")</f>
        <v>176</v>
      </c>
      <c r="B200" s="899">
        <f t="shared" si="27"/>
        <v>50364</v>
      </c>
      <c r="C200" s="909">
        <f t="shared" si="33"/>
        <v>0</v>
      </c>
      <c r="D200" s="909">
        <f t="shared" si="34"/>
        <v>39635.364473693073</v>
      </c>
      <c r="E200" s="910">
        <f t="shared" si="28"/>
        <v>0</v>
      </c>
      <c r="F200" s="911">
        <f t="shared" si="29"/>
        <v>0</v>
      </c>
      <c r="G200" s="909">
        <f t="shared" si="30"/>
        <v>0</v>
      </c>
      <c r="H200" s="909">
        <f t="shared" si="31"/>
        <v>0</v>
      </c>
      <c r="I200" s="909">
        <f t="shared" si="32"/>
        <v>0</v>
      </c>
      <c r="J200" s="935"/>
      <c r="K200" s="896"/>
    </row>
    <row r="201" spans="1:11">
      <c r="A201" s="865">
        <f>IF(Values_Entered,A200+1,"")</f>
        <v>177</v>
      </c>
      <c r="B201" s="899">
        <f t="shared" si="27"/>
        <v>50394</v>
      </c>
      <c r="C201" s="909">
        <f t="shared" si="33"/>
        <v>0</v>
      </c>
      <c r="D201" s="909">
        <f t="shared" si="34"/>
        <v>39635.364473693073</v>
      </c>
      <c r="E201" s="910">
        <f t="shared" si="28"/>
        <v>0</v>
      </c>
      <c r="F201" s="911">
        <f t="shared" si="29"/>
        <v>0</v>
      </c>
      <c r="G201" s="909">
        <f t="shared" si="30"/>
        <v>0</v>
      </c>
      <c r="H201" s="909">
        <f t="shared" si="31"/>
        <v>0</v>
      </c>
      <c r="I201" s="909">
        <f t="shared" si="32"/>
        <v>0</v>
      </c>
      <c r="J201" s="935"/>
      <c r="K201" s="896"/>
    </row>
    <row r="202" spans="1:11">
      <c r="A202" s="865">
        <f>IF(Values_Entered,A201+1,"")</f>
        <v>178</v>
      </c>
      <c r="B202" s="899">
        <f t="shared" si="27"/>
        <v>50425</v>
      </c>
      <c r="C202" s="909">
        <f t="shared" si="33"/>
        <v>0</v>
      </c>
      <c r="D202" s="909">
        <f t="shared" si="34"/>
        <v>39635.364473693073</v>
      </c>
      <c r="E202" s="910">
        <f t="shared" si="28"/>
        <v>0</v>
      </c>
      <c r="F202" s="911">
        <f t="shared" si="29"/>
        <v>0</v>
      </c>
      <c r="G202" s="909">
        <f t="shared" si="30"/>
        <v>0</v>
      </c>
      <c r="H202" s="909">
        <f t="shared" si="31"/>
        <v>0</v>
      </c>
      <c r="I202" s="909">
        <f t="shared" si="32"/>
        <v>0</v>
      </c>
      <c r="J202" s="935"/>
      <c r="K202" s="896"/>
    </row>
    <row r="203" spans="1:11">
      <c r="A203" s="865">
        <f>IF(Values_Entered,A202+1,"")</f>
        <v>179</v>
      </c>
      <c r="B203" s="899">
        <f t="shared" si="27"/>
        <v>50456</v>
      </c>
      <c r="C203" s="909">
        <f t="shared" si="33"/>
        <v>0</v>
      </c>
      <c r="D203" s="909">
        <f t="shared" si="34"/>
        <v>39635.364473693073</v>
      </c>
      <c r="E203" s="910">
        <f t="shared" si="28"/>
        <v>0</v>
      </c>
      <c r="F203" s="911">
        <f t="shared" si="29"/>
        <v>0</v>
      </c>
      <c r="G203" s="909">
        <f t="shared" si="30"/>
        <v>0</v>
      </c>
      <c r="H203" s="909">
        <f t="shared" si="31"/>
        <v>0</v>
      </c>
      <c r="I203" s="909">
        <f t="shared" si="32"/>
        <v>0</v>
      </c>
      <c r="J203" s="935"/>
      <c r="K203" s="896"/>
    </row>
    <row r="204" spans="1:11">
      <c r="A204" s="865">
        <f>IF(Values_Entered,A203+1,"")</f>
        <v>180</v>
      </c>
      <c r="B204" s="936">
        <f t="shared" si="27"/>
        <v>50484</v>
      </c>
      <c r="C204" s="909">
        <f t="shared" si="33"/>
        <v>0</v>
      </c>
      <c r="D204" s="909">
        <f t="shared" si="34"/>
        <v>39635.364473693073</v>
      </c>
      <c r="E204" s="910">
        <f t="shared" si="28"/>
        <v>0</v>
      </c>
      <c r="F204" s="911">
        <f t="shared" si="29"/>
        <v>0</v>
      </c>
      <c r="G204" s="909">
        <f t="shared" si="30"/>
        <v>0</v>
      </c>
      <c r="H204" s="909">
        <f t="shared" si="31"/>
        <v>0</v>
      </c>
      <c r="I204" s="909">
        <f t="shared" si="32"/>
        <v>0</v>
      </c>
      <c r="J204" s="935"/>
      <c r="K204" s="896"/>
    </row>
    <row r="205" spans="1:11">
      <c r="A205" s="865">
        <f>IF(Values_Entered,A204+1,"")</f>
        <v>181</v>
      </c>
      <c r="B205" s="936">
        <f t="shared" si="27"/>
        <v>50515</v>
      </c>
      <c r="C205" s="909">
        <f t="shared" si="33"/>
        <v>0</v>
      </c>
      <c r="D205" s="909">
        <f t="shared" si="34"/>
        <v>39635.364473693073</v>
      </c>
      <c r="E205" s="910">
        <f t="shared" si="28"/>
        <v>0</v>
      </c>
      <c r="F205" s="911">
        <f t="shared" ref="F205:F216" si="35">IF(AND(Pay_Num&lt;&gt;"",Sched_Pay+Extra_Pay&lt;Beg_Bal),Sched_Pay+Extra_Pay,IF(Pay_Num&lt;&gt;"",Beg_Bal,""))</f>
        <v>0</v>
      </c>
      <c r="G205" s="909">
        <f t="shared" ref="G205:G217" si="36">IF(Pay_Num&lt;&gt;"",Total_Pay-Int,"")</f>
        <v>0</v>
      </c>
      <c r="H205" s="909">
        <f t="shared" ref="H205:H217" si="37">IF(Pay_Num&lt;&gt;"",Beg_Bal*Interest_Rate/Num_Pmt_Per_Year,"")</f>
        <v>0</v>
      </c>
      <c r="I205" s="909">
        <f t="shared" ref="I205:I216" si="38">IF(AND(Pay_Num&lt;&gt;"",Sched_Pay+Extra_Pay&lt;Beg_Bal),Beg_Bal-Princ,IF(Pay_Num&lt;&gt;"",0,""))</f>
        <v>0</v>
      </c>
      <c r="J205" s="935"/>
      <c r="K205" s="896"/>
    </row>
    <row r="206" spans="1:11">
      <c r="A206" s="865">
        <f>IF(Values_Entered,A205+1,"")</f>
        <v>182</v>
      </c>
      <c r="B206" s="936">
        <f t="shared" si="27"/>
        <v>50545</v>
      </c>
      <c r="C206" s="909">
        <f t="shared" si="33"/>
        <v>0</v>
      </c>
      <c r="D206" s="909">
        <f t="shared" si="34"/>
        <v>39635.364473693073</v>
      </c>
      <c r="E206" s="910">
        <f t="shared" si="28"/>
        <v>0</v>
      </c>
      <c r="F206" s="911">
        <f t="shared" si="35"/>
        <v>0</v>
      </c>
      <c r="G206" s="909">
        <f t="shared" si="36"/>
        <v>0</v>
      </c>
      <c r="H206" s="909">
        <f t="shared" si="37"/>
        <v>0</v>
      </c>
      <c r="I206" s="909">
        <f t="shared" si="38"/>
        <v>0</v>
      </c>
      <c r="J206" s="935"/>
      <c r="K206" s="896"/>
    </row>
    <row r="207" spans="1:11">
      <c r="A207" s="865">
        <f>IF(Values_Entered,A206+1,"")</f>
        <v>183</v>
      </c>
      <c r="B207" s="936">
        <f t="shared" si="27"/>
        <v>50576</v>
      </c>
      <c r="C207" s="909">
        <f t="shared" si="33"/>
        <v>0</v>
      </c>
      <c r="D207" s="909">
        <f t="shared" si="34"/>
        <v>39635.364473693073</v>
      </c>
      <c r="E207" s="910">
        <f t="shared" si="28"/>
        <v>0</v>
      </c>
      <c r="F207" s="911">
        <f t="shared" si="35"/>
        <v>0</v>
      </c>
      <c r="G207" s="909">
        <f t="shared" si="36"/>
        <v>0</v>
      </c>
      <c r="H207" s="909">
        <f t="shared" si="37"/>
        <v>0</v>
      </c>
      <c r="I207" s="909">
        <f t="shared" si="38"/>
        <v>0</v>
      </c>
      <c r="J207" s="935"/>
      <c r="K207" s="896"/>
    </row>
    <row r="208" spans="1:11">
      <c r="A208" s="865">
        <f>IF(Values_Entered,A207+1,"")</f>
        <v>184</v>
      </c>
      <c r="B208" s="937">
        <f t="shared" si="27"/>
        <v>50606</v>
      </c>
      <c r="C208" s="909">
        <f t="shared" si="33"/>
        <v>0</v>
      </c>
      <c r="D208" s="909">
        <f t="shared" si="34"/>
        <v>39635.364473693073</v>
      </c>
      <c r="E208" s="910">
        <f t="shared" si="28"/>
        <v>0</v>
      </c>
      <c r="F208" s="911">
        <f t="shared" si="35"/>
        <v>0</v>
      </c>
      <c r="G208" s="909">
        <f t="shared" si="36"/>
        <v>0</v>
      </c>
      <c r="H208" s="909">
        <f t="shared" si="37"/>
        <v>0</v>
      </c>
      <c r="I208" s="909">
        <f t="shared" si="38"/>
        <v>0</v>
      </c>
      <c r="J208" s="935"/>
      <c r="K208" s="896"/>
    </row>
    <row r="209" spans="1:11">
      <c r="A209" s="865">
        <f>IF(Values_Entered,A208+1,"")</f>
        <v>185</v>
      </c>
      <c r="B209" s="937">
        <f t="shared" si="27"/>
        <v>50637</v>
      </c>
      <c r="C209" s="909">
        <f t="shared" si="33"/>
        <v>0</v>
      </c>
      <c r="D209" s="909">
        <f t="shared" si="34"/>
        <v>39635.364473693073</v>
      </c>
      <c r="E209" s="910">
        <f t="shared" si="28"/>
        <v>0</v>
      </c>
      <c r="F209" s="911">
        <f t="shared" si="35"/>
        <v>0</v>
      </c>
      <c r="G209" s="909">
        <f t="shared" si="36"/>
        <v>0</v>
      </c>
      <c r="H209" s="909">
        <f t="shared" si="37"/>
        <v>0</v>
      </c>
      <c r="I209" s="909">
        <f t="shared" si="38"/>
        <v>0</v>
      </c>
      <c r="J209" s="935"/>
      <c r="K209" s="896"/>
    </row>
    <row r="210" spans="1:11">
      <c r="A210" s="865">
        <f>IF(Values_Entered,A209+1,"")</f>
        <v>186</v>
      </c>
      <c r="B210" s="937">
        <f t="shared" si="27"/>
        <v>50668</v>
      </c>
      <c r="C210" s="909">
        <f t="shared" si="33"/>
        <v>0</v>
      </c>
      <c r="D210" s="909">
        <f t="shared" si="34"/>
        <v>39635.364473693073</v>
      </c>
      <c r="E210" s="910">
        <f t="shared" si="28"/>
        <v>0</v>
      </c>
      <c r="F210" s="911">
        <f t="shared" si="35"/>
        <v>0</v>
      </c>
      <c r="G210" s="909">
        <f t="shared" si="36"/>
        <v>0</v>
      </c>
      <c r="H210" s="909">
        <f t="shared" si="37"/>
        <v>0</v>
      </c>
      <c r="I210" s="909">
        <f t="shared" si="38"/>
        <v>0</v>
      </c>
      <c r="J210" s="935"/>
      <c r="K210" s="896"/>
    </row>
    <row r="211" spans="1:11">
      <c r="A211" s="865">
        <f>IF(Values_Entered,A210+1,"")</f>
        <v>187</v>
      </c>
      <c r="B211" s="937">
        <f t="shared" si="27"/>
        <v>50698</v>
      </c>
      <c r="C211" s="909">
        <f t="shared" si="33"/>
        <v>0</v>
      </c>
      <c r="D211" s="909">
        <f t="shared" si="34"/>
        <v>39635.364473693073</v>
      </c>
      <c r="E211" s="910">
        <f t="shared" si="28"/>
        <v>0</v>
      </c>
      <c r="F211" s="911">
        <f t="shared" si="35"/>
        <v>0</v>
      </c>
      <c r="G211" s="909">
        <f t="shared" si="36"/>
        <v>0</v>
      </c>
      <c r="H211" s="909">
        <f t="shared" si="37"/>
        <v>0</v>
      </c>
      <c r="I211" s="909">
        <f t="shared" si="38"/>
        <v>0</v>
      </c>
      <c r="J211" s="935"/>
      <c r="K211" s="896"/>
    </row>
    <row r="212" spans="1:11">
      <c r="A212" s="865">
        <f>IF(Values_Entered,A211+1,"")</f>
        <v>188</v>
      </c>
      <c r="B212" s="937">
        <f t="shared" si="27"/>
        <v>50729</v>
      </c>
      <c r="C212" s="909">
        <f t="shared" si="33"/>
        <v>0</v>
      </c>
      <c r="D212" s="909">
        <f t="shared" si="34"/>
        <v>39635.364473693073</v>
      </c>
      <c r="E212" s="910">
        <f t="shared" si="28"/>
        <v>0</v>
      </c>
      <c r="F212" s="911">
        <f t="shared" si="35"/>
        <v>0</v>
      </c>
      <c r="G212" s="909">
        <f t="shared" si="36"/>
        <v>0</v>
      </c>
      <c r="H212" s="909">
        <f t="shared" si="37"/>
        <v>0</v>
      </c>
      <c r="I212" s="909">
        <f t="shared" si="38"/>
        <v>0</v>
      </c>
      <c r="J212" s="935"/>
      <c r="K212" s="896"/>
    </row>
    <row r="213" spans="1:11">
      <c r="A213" s="865">
        <f>IF(Values_Entered,A212+1,"")</f>
        <v>189</v>
      </c>
      <c r="B213" s="937">
        <f t="shared" si="27"/>
        <v>50759</v>
      </c>
      <c r="C213" s="909">
        <f t="shared" si="33"/>
        <v>0</v>
      </c>
      <c r="D213" s="909">
        <f t="shared" si="34"/>
        <v>39635.364473693073</v>
      </c>
      <c r="E213" s="910">
        <f t="shared" si="28"/>
        <v>0</v>
      </c>
      <c r="F213" s="911">
        <f t="shared" si="35"/>
        <v>0</v>
      </c>
      <c r="G213" s="909">
        <f t="shared" si="36"/>
        <v>0</v>
      </c>
      <c r="H213" s="909">
        <f t="shared" si="37"/>
        <v>0</v>
      </c>
      <c r="I213" s="909">
        <f t="shared" si="38"/>
        <v>0</v>
      </c>
      <c r="J213" s="935"/>
      <c r="K213" s="896"/>
    </row>
    <row r="214" spans="1:11">
      <c r="A214" s="865">
        <f>IF(Values_Entered,A213+1,"")</f>
        <v>190</v>
      </c>
      <c r="B214" s="937">
        <f t="shared" si="27"/>
        <v>50790</v>
      </c>
      <c r="C214" s="909">
        <f t="shared" si="33"/>
        <v>0</v>
      </c>
      <c r="D214" s="909">
        <f t="shared" si="34"/>
        <v>39635.364473693073</v>
      </c>
      <c r="E214" s="910">
        <f t="shared" si="28"/>
        <v>0</v>
      </c>
      <c r="F214" s="911">
        <f t="shared" si="35"/>
        <v>0</v>
      </c>
      <c r="G214" s="909">
        <f t="shared" si="36"/>
        <v>0</v>
      </c>
      <c r="H214" s="909">
        <f t="shared" si="37"/>
        <v>0</v>
      </c>
      <c r="I214" s="909">
        <f t="shared" si="38"/>
        <v>0</v>
      </c>
      <c r="J214" s="935"/>
      <c r="K214" s="896"/>
    </row>
    <row r="215" spans="1:11">
      <c r="A215" s="865">
        <f>IF(Values_Entered,A214+1,"")</f>
        <v>191</v>
      </c>
      <c r="B215" s="937">
        <f t="shared" si="27"/>
        <v>50821</v>
      </c>
      <c r="C215" s="909">
        <f t="shared" si="33"/>
        <v>0</v>
      </c>
      <c r="D215" s="909">
        <f t="shared" si="34"/>
        <v>39635.364473693073</v>
      </c>
      <c r="E215" s="910">
        <f t="shared" si="28"/>
        <v>0</v>
      </c>
      <c r="F215" s="911">
        <f t="shared" si="35"/>
        <v>0</v>
      </c>
      <c r="G215" s="909">
        <f t="shared" si="36"/>
        <v>0</v>
      </c>
      <c r="H215" s="909">
        <f t="shared" si="37"/>
        <v>0</v>
      </c>
      <c r="I215" s="909">
        <f t="shared" si="38"/>
        <v>0</v>
      </c>
      <c r="J215" s="935"/>
      <c r="K215" s="896"/>
    </row>
    <row r="216" spans="1:11">
      <c r="A216" s="865">
        <f>IF(Values_Entered,A215+1,"")</f>
        <v>192</v>
      </c>
      <c r="B216" s="937">
        <f t="shared" si="27"/>
        <v>50849</v>
      </c>
      <c r="C216" s="909">
        <f t="shared" si="33"/>
        <v>0</v>
      </c>
      <c r="D216" s="909">
        <f t="shared" si="34"/>
        <v>39635.364473693073</v>
      </c>
      <c r="E216" s="910">
        <f t="shared" si="28"/>
        <v>0</v>
      </c>
      <c r="F216" s="911">
        <f t="shared" si="35"/>
        <v>0</v>
      </c>
      <c r="G216" s="909">
        <f t="shared" si="36"/>
        <v>0</v>
      </c>
      <c r="H216" s="909">
        <f t="shared" si="37"/>
        <v>0</v>
      </c>
      <c r="I216" s="909">
        <f t="shared" si="38"/>
        <v>0</v>
      </c>
      <c r="J216" s="935"/>
      <c r="K216" s="896"/>
    </row>
    <row r="217" spans="1:11">
      <c r="A217" s="865">
        <f>IF(Values_Entered,A216+1,"")</f>
        <v>193</v>
      </c>
      <c r="B217" s="937">
        <f t="shared" ref="B217:B280" si="39">IF(Pay_Num&lt;&gt;"",DATE(YEAR(Loan_Start),MONTH(Loan_Start)+(Pay_Num)*12/Num_Pmt_Per_Year,DAY(Loan_Start)),"")</f>
        <v>50880</v>
      </c>
      <c r="C217" s="909">
        <f t="shared" si="33"/>
        <v>0</v>
      </c>
      <c r="D217" s="909">
        <f t="shared" si="34"/>
        <v>39635.364473693073</v>
      </c>
      <c r="E217" s="910">
        <f t="shared" ref="E217:E280" si="40">IF(AND(Pay_Num&lt;&gt;"",Sched_Pay+Scheduled_Extra_Payments&lt;Beg_Bal),Scheduled_Extra_Payments,IF(AND(Pay_Num&lt;&gt;"",Beg_Bal-Sched_Pay&gt;0),Beg_Bal-Sched_Pay,IF(Pay_Num&lt;&gt;"",0,"")))</f>
        <v>0</v>
      </c>
      <c r="F217" s="911">
        <f t="shared" ref="F217:F280" si="41">IF(AND(Pay_Num&lt;&gt;"",Sched_Pay+Extra_Pay&lt;Beg_Bal),Sched_Pay+Extra_Pay,IF(Pay_Num&lt;&gt;"",Beg_Bal,""))</f>
        <v>0</v>
      </c>
      <c r="G217" s="909">
        <f t="shared" si="36"/>
        <v>0</v>
      </c>
      <c r="H217" s="909">
        <f t="shared" si="37"/>
        <v>0</v>
      </c>
      <c r="I217" s="909">
        <f t="shared" ref="I217:I280" si="42">IF(AND(Pay_Num&lt;&gt;"",Sched_Pay+Extra_Pay&lt;Beg_Bal),Beg_Bal-Princ,IF(Pay_Num&lt;&gt;"",0,""))</f>
        <v>0</v>
      </c>
      <c r="J217" s="935"/>
      <c r="K217" s="896"/>
    </row>
    <row r="218" spans="1:11">
      <c r="A218" s="865">
        <f>IF(Values_Entered,A217+1,"")</f>
        <v>194</v>
      </c>
      <c r="B218" s="937">
        <f t="shared" si="39"/>
        <v>50910</v>
      </c>
      <c r="C218" s="909">
        <f t="shared" si="33"/>
        <v>0</v>
      </c>
      <c r="D218" s="909">
        <f t="shared" si="34"/>
        <v>39635.364473693073</v>
      </c>
      <c r="E218" s="910">
        <f t="shared" si="40"/>
        <v>0</v>
      </c>
      <c r="F218" s="911">
        <f t="shared" si="41"/>
        <v>0</v>
      </c>
      <c r="G218" s="909">
        <f t="shared" ref="G218:G281" si="43">IF(Pay_Num&lt;&gt;"",Total_Pay-Int,"")</f>
        <v>0</v>
      </c>
      <c r="H218" s="909">
        <f t="shared" ref="H218:H281" si="44">IF(Pay_Num&lt;&gt;"",Beg_Bal*Interest_Rate/Num_Pmt_Per_Year,"")</f>
        <v>0</v>
      </c>
      <c r="I218" s="909">
        <f t="shared" si="42"/>
        <v>0</v>
      </c>
      <c r="J218" s="935"/>
      <c r="K218" s="896"/>
    </row>
    <row r="219" spans="1:11">
      <c r="A219" s="865">
        <f>IF(Values_Entered,A218+1,"")</f>
        <v>195</v>
      </c>
      <c r="B219" s="937">
        <f t="shared" si="39"/>
        <v>50941</v>
      </c>
      <c r="C219" s="909">
        <f t="shared" ref="C219:C282" si="45">IF(Pay_Num&lt;&gt;"",I218,"")</f>
        <v>0</v>
      </c>
      <c r="D219" s="909">
        <f t="shared" ref="D219:D282" si="46">IF(Pay_Num&lt;&gt;"",Scheduled_Monthly_Payment,"")</f>
        <v>39635.364473693073</v>
      </c>
      <c r="E219" s="910">
        <f t="shared" si="40"/>
        <v>0</v>
      </c>
      <c r="F219" s="911">
        <f t="shared" si="41"/>
        <v>0</v>
      </c>
      <c r="G219" s="909">
        <f t="shared" si="43"/>
        <v>0</v>
      </c>
      <c r="H219" s="909">
        <f t="shared" si="44"/>
        <v>0</v>
      </c>
      <c r="I219" s="909">
        <f t="shared" si="42"/>
        <v>0</v>
      </c>
      <c r="J219" s="935"/>
      <c r="K219" s="896"/>
    </row>
    <row r="220" spans="1:11">
      <c r="A220" s="865">
        <f>IF(Values_Entered,A219+1,"")</f>
        <v>196</v>
      </c>
      <c r="B220" s="937">
        <f t="shared" si="39"/>
        <v>50971</v>
      </c>
      <c r="C220" s="909">
        <f t="shared" si="45"/>
        <v>0</v>
      </c>
      <c r="D220" s="909">
        <f t="shared" si="46"/>
        <v>39635.364473693073</v>
      </c>
      <c r="E220" s="910">
        <f t="shared" si="40"/>
        <v>0</v>
      </c>
      <c r="F220" s="911">
        <f t="shared" si="41"/>
        <v>0</v>
      </c>
      <c r="G220" s="909">
        <f t="shared" si="43"/>
        <v>0</v>
      </c>
      <c r="H220" s="909">
        <f t="shared" si="44"/>
        <v>0</v>
      </c>
      <c r="I220" s="909">
        <f t="shared" si="42"/>
        <v>0</v>
      </c>
      <c r="J220" s="935"/>
      <c r="K220" s="896"/>
    </row>
    <row r="221" spans="1:11">
      <c r="A221" s="865">
        <f>IF(Values_Entered,A220+1,"")</f>
        <v>197</v>
      </c>
      <c r="B221" s="937">
        <f t="shared" si="39"/>
        <v>51002</v>
      </c>
      <c r="C221" s="909">
        <f t="shared" si="45"/>
        <v>0</v>
      </c>
      <c r="D221" s="909">
        <f t="shared" si="46"/>
        <v>39635.364473693073</v>
      </c>
      <c r="E221" s="910">
        <f t="shared" si="40"/>
        <v>0</v>
      </c>
      <c r="F221" s="911">
        <f t="shared" si="41"/>
        <v>0</v>
      </c>
      <c r="G221" s="909">
        <f t="shared" si="43"/>
        <v>0</v>
      </c>
      <c r="H221" s="909">
        <f t="shared" si="44"/>
        <v>0</v>
      </c>
      <c r="I221" s="909">
        <f t="shared" si="42"/>
        <v>0</v>
      </c>
      <c r="J221" s="935"/>
      <c r="K221" s="896"/>
    </row>
    <row r="222" spans="1:11">
      <c r="A222" s="865">
        <f>IF(Values_Entered,A221+1,"")</f>
        <v>198</v>
      </c>
      <c r="B222" s="937">
        <f t="shared" si="39"/>
        <v>51033</v>
      </c>
      <c r="C222" s="909">
        <f t="shared" si="45"/>
        <v>0</v>
      </c>
      <c r="D222" s="909">
        <f t="shared" si="46"/>
        <v>39635.364473693073</v>
      </c>
      <c r="E222" s="910">
        <f t="shared" si="40"/>
        <v>0</v>
      </c>
      <c r="F222" s="911">
        <f t="shared" si="41"/>
        <v>0</v>
      </c>
      <c r="G222" s="909">
        <f t="shared" si="43"/>
        <v>0</v>
      </c>
      <c r="H222" s="909">
        <f t="shared" si="44"/>
        <v>0</v>
      </c>
      <c r="I222" s="909">
        <f t="shared" si="42"/>
        <v>0</v>
      </c>
      <c r="J222" s="935"/>
      <c r="K222" s="896"/>
    </row>
    <row r="223" spans="1:11">
      <c r="A223" s="865">
        <f>IF(Values_Entered,A222+1,"")</f>
        <v>199</v>
      </c>
      <c r="B223" s="937">
        <f t="shared" si="39"/>
        <v>51063</v>
      </c>
      <c r="C223" s="909">
        <f t="shared" si="45"/>
        <v>0</v>
      </c>
      <c r="D223" s="909">
        <f t="shared" si="46"/>
        <v>39635.364473693073</v>
      </c>
      <c r="E223" s="910">
        <f t="shared" si="40"/>
        <v>0</v>
      </c>
      <c r="F223" s="911">
        <f t="shared" si="41"/>
        <v>0</v>
      </c>
      <c r="G223" s="909">
        <f t="shared" si="43"/>
        <v>0</v>
      </c>
      <c r="H223" s="909">
        <f t="shared" si="44"/>
        <v>0</v>
      </c>
      <c r="I223" s="909">
        <f t="shared" si="42"/>
        <v>0</v>
      </c>
      <c r="J223" s="935"/>
      <c r="K223" s="896"/>
    </row>
    <row r="224" spans="1:11">
      <c r="A224" s="865">
        <f>IF(Values_Entered,A223+1,"")</f>
        <v>200</v>
      </c>
      <c r="B224" s="937">
        <f t="shared" si="39"/>
        <v>51094</v>
      </c>
      <c r="C224" s="909">
        <f t="shared" si="45"/>
        <v>0</v>
      </c>
      <c r="D224" s="909">
        <f t="shared" si="46"/>
        <v>39635.364473693073</v>
      </c>
      <c r="E224" s="910">
        <f t="shared" si="40"/>
        <v>0</v>
      </c>
      <c r="F224" s="911">
        <f t="shared" si="41"/>
        <v>0</v>
      </c>
      <c r="G224" s="909">
        <f t="shared" si="43"/>
        <v>0</v>
      </c>
      <c r="H224" s="909">
        <f t="shared" si="44"/>
        <v>0</v>
      </c>
      <c r="I224" s="909">
        <f t="shared" si="42"/>
        <v>0</v>
      </c>
      <c r="J224" s="935"/>
      <c r="K224" s="896"/>
    </row>
    <row r="225" spans="1:11">
      <c r="A225" s="865">
        <f>IF(Values_Entered,A224+1,"")</f>
        <v>201</v>
      </c>
      <c r="B225" s="937">
        <f t="shared" si="39"/>
        <v>51124</v>
      </c>
      <c r="C225" s="909">
        <f t="shared" si="45"/>
        <v>0</v>
      </c>
      <c r="D225" s="909">
        <f t="shared" si="46"/>
        <v>39635.364473693073</v>
      </c>
      <c r="E225" s="910">
        <f t="shared" si="40"/>
        <v>0</v>
      </c>
      <c r="F225" s="911">
        <f t="shared" si="41"/>
        <v>0</v>
      </c>
      <c r="G225" s="909">
        <f t="shared" si="43"/>
        <v>0</v>
      </c>
      <c r="H225" s="909">
        <f t="shared" si="44"/>
        <v>0</v>
      </c>
      <c r="I225" s="909">
        <f t="shared" si="42"/>
        <v>0</v>
      </c>
      <c r="J225" s="935"/>
      <c r="K225" s="896"/>
    </row>
    <row r="226" spans="1:11">
      <c r="A226" s="865">
        <f>IF(Values_Entered,A225+1,"")</f>
        <v>202</v>
      </c>
      <c r="B226" s="937">
        <f t="shared" si="39"/>
        <v>51155</v>
      </c>
      <c r="C226" s="909">
        <f t="shared" si="45"/>
        <v>0</v>
      </c>
      <c r="D226" s="909">
        <f t="shared" si="46"/>
        <v>39635.364473693073</v>
      </c>
      <c r="E226" s="910">
        <f t="shared" si="40"/>
        <v>0</v>
      </c>
      <c r="F226" s="911">
        <f t="shared" si="41"/>
        <v>0</v>
      </c>
      <c r="G226" s="909">
        <f t="shared" si="43"/>
        <v>0</v>
      </c>
      <c r="H226" s="909">
        <f t="shared" si="44"/>
        <v>0</v>
      </c>
      <c r="I226" s="909">
        <f t="shared" si="42"/>
        <v>0</v>
      </c>
      <c r="J226" s="935"/>
      <c r="K226" s="896"/>
    </row>
    <row r="227" spans="1:11">
      <c r="A227" s="865">
        <f>IF(Values_Entered,A226+1,"")</f>
        <v>203</v>
      </c>
      <c r="B227" s="937">
        <f t="shared" si="39"/>
        <v>51186</v>
      </c>
      <c r="C227" s="909">
        <f t="shared" si="45"/>
        <v>0</v>
      </c>
      <c r="D227" s="909">
        <f t="shared" si="46"/>
        <v>39635.364473693073</v>
      </c>
      <c r="E227" s="910">
        <f t="shared" si="40"/>
        <v>0</v>
      </c>
      <c r="F227" s="911">
        <f t="shared" si="41"/>
        <v>0</v>
      </c>
      <c r="G227" s="909">
        <f t="shared" si="43"/>
        <v>0</v>
      </c>
      <c r="H227" s="909">
        <f t="shared" si="44"/>
        <v>0</v>
      </c>
      <c r="I227" s="909">
        <f t="shared" si="42"/>
        <v>0</v>
      </c>
      <c r="J227" s="938"/>
      <c r="K227" s="896"/>
    </row>
    <row r="228" spans="1:11">
      <c r="A228" s="865">
        <f>IF(Values_Entered,A227+1,"")</f>
        <v>204</v>
      </c>
      <c r="B228" s="937">
        <f t="shared" si="39"/>
        <v>51215</v>
      </c>
      <c r="C228" s="909">
        <f t="shared" si="45"/>
        <v>0</v>
      </c>
      <c r="D228" s="909">
        <f t="shared" si="46"/>
        <v>39635.364473693073</v>
      </c>
      <c r="E228" s="910">
        <f t="shared" si="40"/>
        <v>0</v>
      </c>
      <c r="F228" s="911">
        <f t="shared" si="41"/>
        <v>0</v>
      </c>
      <c r="G228" s="909">
        <f t="shared" si="43"/>
        <v>0</v>
      </c>
      <c r="H228" s="909">
        <f t="shared" si="44"/>
        <v>0</v>
      </c>
      <c r="I228" s="909">
        <f t="shared" si="42"/>
        <v>0</v>
      </c>
      <c r="J228" s="935"/>
      <c r="K228" s="896"/>
    </row>
    <row r="229" spans="1:11">
      <c r="A229" s="865">
        <f>IF(Values_Entered,A228+1,"")</f>
        <v>205</v>
      </c>
      <c r="B229" s="937">
        <f t="shared" si="39"/>
        <v>51246</v>
      </c>
      <c r="C229" s="909">
        <f t="shared" si="45"/>
        <v>0</v>
      </c>
      <c r="D229" s="909">
        <f t="shared" si="46"/>
        <v>39635.364473693073</v>
      </c>
      <c r="E229" s="910">
        <f t="shared" si="40"/>
        <v>0</v>
      </c>
      <c r="F229" s="911">
        <f t="shared" si="41"/>
        <v>0</v>
      </c>
      <c r="G229" s="909">
        <f t="shared" si="43"/>
        <v>0</v>
      </c>
      <c r="H229" s="909">
        <f t="shared" si="44"/>
        <v>0</v>
      </c>
      <c r="I229" s="909">
        <f t="shared" si="42"/>
        <v>0</v>
      </c>
      <c r="J229" s="935"/>
      <c r="K229" s="896"/>
    </row>
    <row r="230" spans="1:11">
      <c r="A230" s="865">
        <f>IF(Values_Entered,A229+1,"")</f>
        <v>206</v>
      </c>
      <c r="B230" s="937">
        <f t="shared" si="39"/>
        <v>51276</v>
      </c>
      <c r="C230" s="909">
        <f t="shared" si="45"/>
        <v>0</v>
      </c>
      <c r="D230" s="909">
        <f t="shared" si="46"/>
        <v>39635.364473693073</v>
      </c>
      <c r="E230" s="910">
        <f t="shared" si="40"/>
        <v>0</v>
      </c>
      <c r="F230" s="911">
        <f t="shared" si="41"/>
        <v>0</v>
      </c>
      <c r="G230" s="909">
        <f t="shared" si="43"/>
        <v>0</v>
      </c>
      <c r="H230" s="909">
        <f t="shared" si="44"/>
        <v>0</v>
      </c>
      <c r="I230" s="909">
        <f t="shared" si="42"/>
        <v>0</v>
      </c>
      <c r="J230" s="935"/>
      <c r="K230" s="896"/>
    </row>
    <row r="231" spans="1:11">
      <c r="A231" s="865">
        <f>IF(Values_Entered,A230+1,"")</f>
        <v>207</v>
      </c>
      <c r="B231" s="937">
        <f t="shared" si="39"/>
        <v>51307</v>
      </c>
      <c r="C231" s="909">
        <f t="shared" si="45"/>
        <v>0</v>
      </c>
      <c r="D231" s="909">
        <f t="shared" si="46"/>
        <v>39635.364473693073</v>
      </c>
      <c r="E231" s="910">
        <f t="shared" si="40"/>
        <v>0</v>
      </c>
      <c r="F231" s="911">
        <f t="shared" si="41"/>
        <v>0</v>
      </c>
      <c r="G231" s="909">
        <f t="shared" si="43"/>
        <v>0</v>
      </c>
      <c r="H231" s="909">
        <f t="shared" si="44"/>
        <v>0</v>
      </c>
      <c r="I231" s="909">
        <f t="shared" si="42"/>
        <v>0</v>
      </c>
      <c r="J231" s="935"/>
      <c r="K231" s="896"/>
    </row>
    <row r="232" spans="1:11">
      <c r="A232" s="865">
        <f>IF(Values_Entered,A231+1,"")</f>
        <v>208</v>
      </c>
      <c r="B232" s="937">
        <f t="shared" si="39"/>
        <v>51337</v>
      </c>
      <c r="C232" s="909">
        <f t="shared" si="45"/>
        <v>0</v>
      </c>
      <c r="D232" s="909">
        <f t="shared" si="46"/>
        <v>39635.364473693073</v>
      </c>
      <c r="E232" s="910">
        <f t="shared" si="40"/>
        <v>0</v>
      </c>
      <c r="F232" s="911">
        <f t="shared" si="41"/>
        <v>0</v>
      </c>
      <c r="G232" s="909">
        <f t="shared" si="43"/>
        <v>0</v>
      </c>
      <c r="H232" s="909">
        <f t="shared" si="44"/>
        <v>0</v>
      </c>
      <c r="I232" s="909">
        <f t="shared" si="42"/>
        <v>0</v>
      </c>
      <c r="J232" s="935"/>
      <c r="K232" s="896"/>
    </row>
    <row r="233" spans="1:11">
      <c r="A233" s="865">
        <f>IF(Values_Entered,A232+1,"")</f>
        <v>209</v>
      </c>
      <c r="B233" s="937">
        <f t="shared" si="39"/>
        <v>51368</v>
      </c>
      <c r="C233" s="909">
        <f t="shared" si="45"/>
        <v>0</v>
      </c>
      <c r="D233" s="909">
        <f t="shared" si="46"/>
        <v>39635.364473693073</v>
      </c>
      <c r="E233" s="910">
        <f t="shared" si="40"/>
        <v>0</v>
      </c>
      <c r="F233" s="911">
        <f t="shared" si="41"/>
        <v>0</v>
      </c>
      <c r="G233" s="909">
        <f t="shared" si="43"/>
        <v>0</v>
      </c>
      <c r="H233" s="909">
        <f t="shared" si="44"/>
        <v>0</v>
      </c>
      <c r="I233" s="909">
        <f t="shared" si="42"/>
        <v>0</v>
      </c>
      <c r="J233" s="935"/>
      <c r="K233" s="896"/>
    </row>
    <row r="234" spans="1:11">
      <c r="A234" s="865">
        <f>IF(Values_Entered,A233+1,"")</f>
        <v>210</v>
      </c>
      <c r="B234" s="937">
        <f t="shared" si="39"/>
        <v>51399</v>
      </c>
      <c r="C234" s="909">
        <f t="shared" si="45"/>
        <v>0</v>
      </c>
      <c r="D234" s="909">
        <f t="shared" si="46"/>
        <v>39635.364473693073</v>
      </c>
      <c r="E234" s="910">
        <f t="shared" si="40"/>
        <v>0</v>
      </c>
      <c r="F234" s="911">
        <f t="shared" si="41"/>
        <v>0</v>
      </c>
      <c r="G234" s="909">
        <f t="shared" si="43"/>
        <v>0</v>
      </c>
      <c r="H234" s="909">
        <f t="shared" si="44"/>
        <v>0</v>
      </c>
      <c r="I234" s="909">
        <f t="shared" si="42"/>
        <v>0</v>
      </c>
      <c r="J234" s="935"/>
      <c r="K234" s="896"/>
    </row>
    <row r="235" spans="1:11">
      <c r="A235" s="865">
        <f>IF(Values_Entered,A234+1,"")</f>
        <v>211</v>
      </c>
      <c r="B235" s="937">
        <f t="shared" si="39"/>
        <v>51429</v>
      </c>
      <c r="C235" s="909">
        <f t="shared" si="45"/>
        <v>0</v>
      </c>
      <c r="D235" s="909">
        <f t="shared" si="46"/>
        <v>39635.364473693073</v>
      </c>
      <c r="E235" s="910">
        <f t="shared" si="40"/>
        <v>0</v>
      </c>
      <c r="F235" s="911">
        <f t="shared" si="41"/>
        <v>0</v>
      </c>
      <c r="G235" s="909">
        <f t="shared" si="43"/>
        <v>0</v>
      </c>
      <c r="H235" s="909">
        <f t="shared" si="44"/>
        <v>0</v>
      </c>
      <c r="I235" s="909">
        <f t="shared" si="42"/>
        <v>0</v>
      </c>
      <c r="J235" s="935"/>
      <c r="K235" s="896"/>
    </row>
    <row r="236" spans="1:11">
      <c r="A236" s="865">
        <f>IF(Values_Entered,A235+1,"")</f>
        <v>212</v>
      </c>
      <c r="B236" s="937">
        <f t="shared" si="39"/>
        <v>51460</v>
      </c>
      <c r="C236" s="909">
        <f t="shared" si="45"/>
        <v>0</v>
      </c>
      <c r="D236" s="909">
        <f t="shared" si="46"/>
        <v>39635.364473693073</v>
      </c>
      <c r="E236" s="910">
        <f t="shared" si="40"/>
        <v>0</v>
      </c>
      <c r="F236" s="911">
        <f t="shared" si="41"/>
        <v>0</v>
      </c>
      <c r="G236" s="909">
        <f t="shared" si="43"/>
        <v>0</v>
      </c>
      <c r="H236" s="909">
        <f t="shared" si="44"/>
        <v>0</v>
      </c>
      <c r="I236" s="909">
        <f t="shared" si="42"/>
        <v>0</v>
      </c>
      <c r="J236" s="935"/>
      <c r="K236" s="896"/>
    </row>
    <row r="237" spans="1:11">
      <c r="A237" s="865">
        <f>IF(Values_Entered,A236+1,"")</f>
        <v>213</v>
      </c>
      <c r="B237" s="937">
        <f t="shared" si="39"/>
        <v>51490</v>
      </c>
      <c r="C237" s="909">
        <f t="shared" si="45"/>
        <v>0</v>
      </c>
      <c r="D237" s="909">
        <f t="shared" si="46"/>
        <v>39635.364473693073</v>
      </c>
      <c r="E237" s="910">
        <f t="shared" si="40"/>
        <v>0</v>
      </c>
      <c r="F237" s="911">
        <f t="shared" si="41"/>
        <v>0</v>
      </c>
      <c r="G237" s="909">
        <f t="shared" si="43"/>
        <v>0</v>
      </c>
      <c r="H237" s="909">
        <f t="shared" si="44"/>
        <v>0</v>
      </c>
      <c r="I237" s="909">
        <f t="shared" si="42"/>
        <v>0</v>
      </c>
      <c r="J237" s="935"/>
      <c r="K237" s="896"/>
    </row>
    <row r="238" spans="1:11">
      <c r="A238" s="865">
        <f>IF(Values_Entered,A237+1,"")</f>
        <v>214</v>
      </c>
      <c r="B238" s="937">
        <f t="shared" si="39"/>
        <v>51521</v>
      </c>
      <c r="C238" s="909">
        <f t="shared" si="45"/>
        <v>0</v>
      </c>
      <c r="D238" s="909">
        <f t="shared" si="46"/>
        <v>39635.364473693073</v>
      </c>
      <c r="E238" s="910">
        <f t="shared" si="40"/>
        <v>0</v>
      </c>
      <c r="F238" s="911">
        <f t="shared" si="41"/>
        <v>0</v>
      </c>
      <c r="G238" s="909">
        <f t="shared" si="43"/>
        <v>0</v>
      </c>
      <c r="H238" s="909">
        <f t="shared" si="44"/>
        <v>0</v>
      </c>
      <c r="I238" s="909">
        <f t="shared" si="42"/>
        <v>0</v>
      </c>
      <c r="J238" s="935"/>
      <c r="K238" s="896"/>
    </row>
    <row r="239" spans="1:11">
      <c r="A239" s="865">
        <f>IF(Values_Entered,A238+1,"")</f>
        <v>215</v>
      </c>
      <c r="B239" s="937">
        <f t="shared" si="39"/>
        <v>51552</v>
      </c>
      <c r="C239" s="909">
        <f t="shared" si="45"/>
        <v>0</v>
      </c>
      <c r="D239" s="909">
        <f t="shared" si="46"/>
        <v>39635.364473693073</v>
      </c>
      <c r="E239" s="910">
        <f t="shared" si="40"/>
        <v>0</v>
      </c>
      <c r="F239" s="911">
        <f t="shared" si="41"/>
        <v>0</v>
      </c>
      <c r="G239" s="909">
        <f t="shared" si="43"/>
        <v>0</v>
      </c>
      <c r="H239" s="909">
        <f t="shared" si="44"/>
        <v>0</v>
      </c>
      <c r="I239" s="909">
        <f t="shared" si="42"/>
        <v>0</v>
      </c>
      <c r="J239" s="935"/>
      <c r="K239" s="896"/>
    </row>
    <row r="240" spans="1:11">
      <c r="A240" s="865">
        <f>IF(Values_Entered,A239+1,"")</f>
        <v>216</v>
      </c>
      <c r="B240" s="937">
        <f t="shared" si="39"/>
        <v>51580</v>
      </c>
      <c r="C240" s="909">
        <f t="shared" si="45"/>
        <v>0</v>
      </c>
      <c r="D240" s="909">
        <f t="shared" si="46"/>
        <v>39635.364473693073</v>
      </c>
      <c r="E240" s="910">
        <f t="shared" si="40"/>
        <v>0</v>
      </c>
      <c r="F240" s="911">
        <f t="shared" si="41"/>
        <v>0</v>
      </c>
      <c r="G240" s="909">
        <f t="shared" si="43"/>
        <v>0</v>
      </c>
      <c r="H240" s="909">
        <f t="shared" si="44"/>
        <v>0</v>
      </c>
      <c r="I240" s="909">
        <f t="shared" si="42"/>
        <v>0</v>
      </c>
      <c r="J240" s="935"/>
      <c r="K240" s="896"/>
    </row>
    <row r="241" spans="1:11">
      <c r="A241" s="865">
        <f>IF(Values_Entered,A240+1,"")</f>
        <v>217</v>
      </c>
      <c r="B241" s="937">
        <f t="shared" si="39"/>
        <v>51611</v>
      </c>
      <c r="C241" s="909">
        <f t="shared" si="45"/>
        <v>0</v>
      </c>
      <c r="D241" s="909">
        <f t="shared" si="46"/>
        <v>39635.364473693073</v>
      </c>
      <c r="E241" s="910">
        <f t="shared" si="40"/>
        <v>0</v>
      </c>
      <c r="F241" s="911">
        <f t="shared" si="41"/>
        <v>0</v>
      </c>
      <c r="G241" s="909">
        <f t="shared" si="43"/>
        <v>0</v>
      </c>
      <c r="H241" s="909">
        <f t="shared" si="44"/>
        <v>0</v>
      </c>
      <c r="I241" s="909">
        <f t="shared" si="42"/>
        <v>0</v>
      </c>
      <c r="J241" s="935"/>
      <c r="K241" s="896"/>
    </row>
    <row r="242" spans="1:11">
      <c r="A242" s="865">
        <f>IF(Values_Entered,A241+1,"")</f>
        <v>218</v>
      </c>
      <c r="B242" s="937">
        <f t="shared" si="39"/>
        <v>51641</v>
      </c>
      <c r="C242" s="909">
        <f t="shared" si="45"/>
        <v>0</v>
      </c>
      <c r="D242" s="909">
        <f t="shared" si="46"/>
        <v>39635.364473693073</v>
      </c>
      <c r="E242" s="910">
        <f t="shared" si="40"/>
        <v>0</v>
      </c>
      <c r="F242" s="911">
        <f t="shared" si="41"/>
        <v>0</v>
      </c>
      <c r="G242" s="909">
        <f t="shared" si="43"/>
        <v>0</v>
      </c>
      <c r="H242" s="909">
        <f t="shared" si="44"/>
        <v>0</v>
      </c>
      <c r="I242" s="909">
        <f t="shared" si="42"/>
        <v>0</v>
      </c>
      <c r="J242" s="935"/>
      <c r="K242" s="896"/>
    </row>
    <row r="243" spans="1:11">
      <c r="A243" s="865">
        <f>IF(Values_Entered,A242+1,"")</f>
        <v>219</v>
      </c>
      <c r="B243" s="937">
        <f t="shared" si="39"/>
        <v>51672</v>
      </c>
      <c r="C243" s="909">
        <f t="shared" si="45"/>
        <v>0</v>
      </c>
      <c r="D243" s="909">
        <f t="shared" si="46"/>
        <v>39635.364473693073</v>
      </c>
      <c r="E243" s="910">
        <f t="shared" si="40"/>
        <v>0</v>
      </c>
      <c r="F243" s="911">
        <f t="shared" si="41"/>
        <v>0</v>
      </c>
      <c r="G243" s="909">
        <f t="shared" si="43"/>
        <v>0</v>
      </c>
      <c r="H243" s="909">
        <f t="shared" si="44"/>
        <v>0</v>
      </c>
      <c r="I243" s="909">
        <f t="shared" si="42"/>
        <v>0</v>
      </c>
      <c r="J243" s="935"/>
      <c r="K243" s="896"/>
    </row>
    <row r="244" spans="1:11">
      <c r="A244" s="865">
        <f>IF(Values_Entered,A243+1,"")</f>
        <v>220</v>
      </c>
      <c r="B244" s="937">
        <f t="shared" si="39"/>
        <v>51702</v>
      </c>
      <c r="C244" s="909">
        <f t="shared" si="45"/>
        <v>0</v>
      </c>
      <c r="D244" s="909">
        <f t="shared" si="46"/>
        <v>39635.364473693073</v>
      </c>
      <c r="E244" s="910">
        <f t="shared" si="40"/>
        <v>0</v>
      </c>
      <c r="F244" s="911">
        <f t="shared" si="41"/>
        <v>0</v>
      </c>
      <c r="G244" s="909">
        <f t="shared" si="43"/>
        <v>0</v>
      </c>
      <c r="H244" s="909">
        <f t="shared" si="44"/>
        <v>0</v>
      </c>
      <c r="I244" s="909">
        <f t="shared" si="42"/>
        <v>0</v>
      </c>
      <c r="J244" s="935"/>
      <c r="K244" s="896"/>
    </row>
    <row r="245" spans="1:11">
      <c r="A245" s="865">
        <f>IF(Values_Entered,A244+1,"")</f>
        <v>221</v>
      </c>
      <c r="B245" s="937">
        <f t="shared" si="39"/>
        <v>51733</v>
      </c>
      <c r="C245" s="909">
        <f t="shared" si="45"/>
        <v>0</v>
      </c>
      <c r="D245" s="909">
        <f t="shared" si="46"/>
        <v>39635.364473693073</v>
      </c>
      <c r="E245" s="910">
        <f t="shared" si="40"/>
        <v>0</v>
      </c>
      <c r="F245" s="911">
        <f t="shared" si="41"/>
        <v>0</v>
      </c>
      <c r="G245" s="909">
        <f t="shared" si="43"/>
        <v>0</v>
      </c>
      <c r="H245" s="909">
        <f t="shared" si="44"/>
        <v>0</v>
      </c>
      <c r="I245" s="909">
        <f t="shared" si="42"/>
        <v>0</v>
      </c>
      <c r="J245" s="935"/>
      <c r="K245" s="896"/>
    </row>
    <row r="246" spans="1:11">
      <c r="A246" s="865">
        <f>IF(Values_Entered,A245+1,"")</f>
        <v>222</v>
      </c>
      <c r="B246" s="937">
        <f t="shared" si="39"/>
        <v>51764</v>
      </c>
      <c r="C246" s="909">
        <f t="shared" si="45"/>
        <v>0</v>
      </c>
      <c r="D246" s="909">
        <f t="shared" si="46"/>
        <v>39635.364473693073</v>
      </c>
      <c r="E246" s="910">
        <f t="shared" si="40"/>
        <v>0</v>
      </c>
      <c r="F246" s="911">
        <f t="shared" si="41"/>
        <v>0</v>
      </c>
      <c r="G246" s="909">
        <f t="shared" si="43"/>
        <v>0</v>
      </c>
      <c r="H246" s="909">
        <f t="shared" si="44"/>
        <v>0</v>
      </c>
      <c r="I246" s="909">
        <f t="shared" si="42"/>
        <v>0</v>
      </c>
      <c r="J246" s="935"/>
      <c r="K246" s="896"/>
    </row>
    <row r="247" spans="1:11">
      <c r="A247" s="865">
        <f>IF(Values_Entered,A246+1,"")</f>
        <v>223</v>
      </c>
      <c r="B247" s="937">
        <f t="shared" si="39"/>
        <v>51794</v>
      </c>
      <c r="C247" s="909">
        <f t="shared" si="45"/>
        <v>0</v>
      </c>
      <c r="D247" s="909">
        <f t="shared" si="46"/>
        <v>39635.364473693073</v>
      </c>
      <c r="E247" s="910">
        <f t="shared" si="40"/>
        <v>0</v>
      </c>
      <c r="F247" s="911">
        <f t="shared" si="41"/>
        <v>0</v>
      </c>
      <c r="G247" s="909">
        <f t="shared" si="43"/>
        <v>0</v>
      </c>
      <c r="H247" s="909">
        <f t="shared" si="44"/>
        <v>0</v>
      </c>
      <c r="I247" s="909">
        <f t="shared" si="42"/>
        <v>0</v>
      </c>
      <c r="J247" s="935"/>
      <c r="K247" s="896"/>
    </row>
    <row r="248" spans="1:11">
      <c r="A248" s="865">
        <f>IF(Values_Entered,A247+1,"")</f>
        <v>224</v>
      </c>
      <c r="B248" s="937">
        <f t="shared" si="39"/>
        <v>51825</v>
      </c>
      <c r="C248" s="909">
        <f t="shared" si="45"/>
        <v>0</v>
      </c>
      <c r="D248" s="909">
        <f t="shared" si="46"/>
        <v>39635.364473693073</v>
      </c>
      <c r="E248" s="910">
        <f t="shared" si="40"/>
        <v>0</v>
      </c>
      <c r="F248" s="911">
        <f t="shared" si="41"/>
        <v>0</v>
      </c>
      <c r="G248" s="909">
        <f t="shared" si="43"/>
        <v>0</v>
      </c>
      <c r="H248" s="909">
        <f t="shared" si="44"/>
        <v>0</v>
      </c>
      <c r="I248" s="909">
        <f t="shared" si="42"/>
        <v>0</v>
      </c>
      <c r="J248" s="935"/>
      <c r="K248" s="896"/>
    </row>
    <row r="249" spans="1:11">
      <c r="A249" s="865">
        <f>IF(Values_Entered,A248+1,"")</f>
        <v>225</v>
      </c>
      <c r="B249" s="937">
        <f t="shared" si="39"/>
        <v>51855</v>
      </c>
      <c r="C249" s="909">
        <f t="shared" si="45"/>
        <v>0</v>
      </c>
      <c r="D249" s="909">
        <f t="shared" si="46"/>
        <v>39635.364473693073</v>
      </c>
      <c r="E249" s="910">
        <f t="shared" si="40"/>
        <v>0</v>
      </c>
      <c r="F249" s="911">
        <f t="shared" si="41"/>
        <v>0</v>
      </c>
      <c r="G249" s="909">
        <f t="shared" si="43"/>
        <v>0</v>
      </c>
      <c r="H249" s="909">
        <f t="shared" si="44"/>
        <v>0</v>
      </c>
      <c r="I249" s="909">
        <f t="shared" si="42"/>
        <v>0</v>
      </c>
      <c r="J249" s="935"/>
      <c r="K249" s="896"/>
    </row>
    <row r="250" spans="1:11">
      <c r="A250" s="865">
        <f>IF(Values_Entered,A249+1,"")</f>
        <v>226</v>
      </c>
      <c r="B250" s="937">
        <f t="shared" si="39"/>
        <v>51886</v>
      </c>
      <c r="C250" s="909">
        <f t="shared" si="45"/>
        <v>0</v>
      </c>
      <c r="D250" s="909">
        <f t="shared" si="46"/>
        <v>39635.364473693073</v>
      </c>
      <c r="E250" s="910">
        <f t="shared" si="40"/>
        <v>0</v>
      </c>
      <c r="F250" s="911">
        <f t="shared" si="41"/>
        <v>0</v>
      </c>
      <c r="G250" s="909">
        <f t="shared" si="43"/>
        <v>0</v>
      </c>
      <c r="H250" s="909">
        <f t="shared" si="44"/>
        <v>0</v>
      </c>
      <c r="I250" s="909">
        <f t="shared" si="42"/>
        <v>0</v>
      </c>
      <c r="J250" s="935"/>
      <c r="K250" s="896"/>
    </row>
    <row r="251" spans="1:11">
      <c r="A251" s="865">
        <f>IF(Values_Entered,A250+1,"")</f>
        <v>227</v>
      </c>
      <c r="B251" s="937">
        <f t="shared" si="39"/>
        <v>51917</v>
      </c>
      <c r="C251" s="909">
        <f t="shared" si="45"/>
        <v>0</v>
      </c>
      <c r="D251" s="909">
        <f t="shared" si="46"/>
        <v>39635.364473693073</v>
      </c>
      <c r="E251" s="910">
        <f t="shared" si="40"/>
        <v>0</v>
      </c>
      <c r="F251" s="911">
        <f t="shared" si="41"/>
        <v>0</v>
      </c>
      <c r="G251" s="909">
        <f t="shared" si="43"/>
        <v>0</v>
      </c>
      <c r="H251" s="909">
        <f t="shared" si="44"/>
        <v>0</v>
      </c>
      <c r="I251" s="909">
        <f t="shared" si="42"/>
        <v>0</v>
      </c>
      <c r="J251" s="935"/>
      <c r="K251" s="896"/>
    </row>
    <row r="252" spans="1:11">
      <c r="A252" s="865">
        <f>IF(Values_Entered,A251+1,"")</f>
        <v>228</v>
      </c>
      <c r="B252" s="937">
        <f t="shared" si="39"/>
        <v>51945</v>
      </c>
      <c r="C252" s="909">
        <f t="shared" si="45"/>
        <v>0</v>
      </c>
      <c r="D252" s="909">
        <f t="shared" si="46"/>
        <v>39635.364473693073</v>
      </c>
      <c r="E252" s="910">
        <f t="shared" si="40"/>
        <v>0</v>
      </c>
      <c r="F252" s="911">
        <f t="shared" si="41"/>
        <v>0</v>
      </c>
      <c r="G252" s="909">
        <f t="shared" si="43"/>
        <v>0</v>
      </c>
      <c r="H252" s="909">
        <f t="shared" si="44"/>
        <v>0</v>
      </c>
      <c r="I252" s="909">
        <f t="shared" si="42"/>
        <v>0</v>
      </c>
      <c r="J252" s="935"/>
      <c r="K252" s="896"/>
    </row>
    <row r="253" spans="1:11">
      <c r="A253" s="865">
        <f>IF(Values_Entered,A252+1,"")</f>
        <v>229</v>
      </c>
      <c r="B253" s="937">
        <f t="shared" si="39"/>
        <v>51976</v>
      </c>
      <c r="C253" s="909">
        <f t="shared" si="45"/>
        <v>0</v>
      </c>
      <c r="D253" s="909">
        <f t="shared" si="46"/>
        <v>39635.364473693073</v>
      </c>
      <c r="E253" s="910">
        <f t="shared" si="40"/>
        <v>0</v>
      </c>
      <c r="F253" s="911">
        <f t="shared" si="41"/>
        <v>0</v>
      </c>
      <c r="G253" s="909">
        <f t="shared" si="43"/>
        <v>0</v>
      </c>
      <c r="H253" s="909">
        <f t="shared" si="44"/>
        <v>0</v>
      </c>
      <c r="I253" s="909">
        <f t="shared" si="42"/>
        <v>0</v>
      </c>
      <c r="J253" s="935"/>
      <c r="K253" s="896"/>
    </row>
    <row r="254" spans="1:11">
      <c r="A254" s="865">
        <f>IF(Values_Entered,A253+1,"")</f>
        <v>230</v>
      </c>
      <c r="B254" s="937">
        <f t="shared" si="39"/>
        <v>52006</v>
      </c>
      <c r="C254" s="909">
        <f t="shared" si="45"/>
        <v>0</v>
      </c>
      <c r="D254" s="909">
        <f t="shared" si="46"/>
        <v>39635.364473693073</v>
      </c>
      <c r="E254" s="910">
        <f t="shared" si="40"/>
        <v>0</v>
      </c>
      <c r="F254" s="911">
        <f t="shared" si="41"/>
        <v>0</v>
      </c>
      <c r="G254" s="909">
        <f t="shared" si="43"/>
        <v>0</v>
      </c>
      <c r="H254" s="909">
        <f t="shared" si="44"/>
        <v>0</v>
      </c>
      <c r="I254" s="909">
        <f t="shared" si="42"/>
        <v>0</v>
      </c>
      <c r="J254" s="935"/>
      <c r="K254" s="896"/>
    </row>
    <row r="255" spans="1:11">
      <c r="A255" s="865">
        <f>IF(Values_Entered,A254+1,"")</f>
        <v>231</v>
      </c>
      <c r="B255" s="937">
        <f t="shared" si="39"/>
        <v>52037</v>
      </c>
      <c r="C255" s="909">
        <f t="shared" si="45"/>
        <v>0</v>
      </c>
      <c r="D255" s="909">
        <f t="shared" si="46"/>
        <v>39635.364473693073</v>
      </c>
      <c r="E255" s="910">
        <f t="shared" si="40"/>
        <v>0</v>
      </c>
      <c r="F255" s="911">
        <f t="shared" si="41"/>
        <v>0</v>
      </c>
      <c r="G255" s="909">
        <f t="shared" si="43"/>
        <v>0</v>
      </c>
      <c r="H255" s="909">
        <f t="shared" si="44"/>
        <v>0</v>
      </c>
      <c r="I255" s="909">
        <f t="shared" si="42"/>
        <v>0</v>
      </c>
      <c r="J255" s="935"/>
      <c r="K255" s="896"/>
    </row>
    <row r="256" spans="1:11">
      <c r="A256" s="865">
        <f>IF(Values_Entered,A255+1,"")</f>
        <v>232</v>
      </c>
      <c r="B256" s="937">
        <f t="shared" si="39"/>
        <v>52067</v>
      </c>
      <c r="C256" s="909">
        <f t="shared" si="45"/>
        <v>0</v>
      </c>
      <c r="D256" s="909">
        <f t="shared" si="46"/>
        <v>39635.364473693073</v>
      </c>
      <c r="E256" s="910">
        <f t="shared" si="40"/>
        <v>0</v>
      </c>
      <c r="F256" s="911">
        <f t="shared" si="41"/>
        <v>0</v>
      </c>
      <c r="G256" s="909">
        <f t="shared" si="43"/>
        <v>0</v>
      </c>
      <c r="H256" s="909">
        <f t="shared" si="44"/>
        <v>0</v>
      </c>
      <c r="I256" s="909">
        <f t="shared" si="42"/>
        <v>0</v>
      </c>
      <c r="J256" s="935"/>
      <c r="K256" s="896"/>
    </row>
    <row r="257" spans="1:11">
      <c r="A257" s="865">
        <f>IF(Values_Entered,A256+1,"")</f>
        <v>233</v>
      </c>
      <c r="B257" s="937">
        <f t="shared" si="39"/>
        <v>52098</v>
      </c>
      <c r="C257" s="909">
        <f t="shared" si="45"/>
        <v>0</v>
      </c>
      <c r="D257" s="909">
        <f t="shared" si="46"/>
        <v>39635.364473693073</v>
      </c>
      <c r="E257" s="910">
        <f t="shared" si="40"/>
        <v>0</v>
      </c>
      <c r="F257" s="911">
        <f t="shared" si="41"/>
        <v>0</v>
      </c>
      <c r="G257" s="909">
        <f t="shared" si="43"/>
        <v>0</v>
      </c>
      <c r="H257" s="909">
        <f t="shared" si="44"/>
        <v>0</v>
      </c>
      <c r="I257" s="909">
        <f t="shared" si="42"/>
        <v>0</v>
      </c>
      <c r="J257" s="935"/>
      <c r="K257" s="896"/>
    </row>
    <row r="258" spans="1:11">
      <c r="A258" s="865">
        <f>IF(Values_Entered,A257+1,"")</f>
        <v>234</v>
      </c>
      <c r="B258" s="937">
        <f t="shared" si="39"/>
        <v>52129</v>
      </c>
      <c r="C258" s="909">
        <f t="shared" si="45"/>
        <v>0</v>
      </c>
      <c r="D258" s="909">
        <f t="shared" si="46"/>
        <v>39635.364473693073</v>
      </c>
      <c r="E258" s="910">
        <f t="shared" si="40"/>
        <v>0</v>
      </c>
      <c r="F258" s="911">
        <f t="shared" si="41"/>
        <v>0</v>
      </c>
      <c r="G258" s="909">
        <f t="shared" si="43"/>
        <v>0</v>
      </c>
      <c r="H258" s="909">
        <f t="shared" si="44"/>
        <v>0</v>
      </c>
      <c r="I258" s="909">
        <f t="shared" si="42"/>
        <v>0</v>
      </c>
      <c r="J258" s="935"/>
      <c r="K258" s="896"/>
    </row>
    <row r="259" spans="1:11">
      <c r="A259" s="865">
        <f>IF(Values_Entered,A258+1,"")</f>
        <v>235</v>
      </c>
      <c r="B259" s="937">
        <f t="shared" si="39"/>
        <v>52159</v>
      </c>
      <c r="C259" s="909">
        <f t="shared" si="45"/>
        <v>0</v>
      </c>
      <c r="D259" s="909">
        <f t="shared" si="46"/>
        <v>39635.364473693073</v>
      </c>
      <c r="E259" s="910">
        <f t="shared" si="40"/>
        <v>0</v>
      </c>
      <c r="F259" s="911">
        <f t="shared" si="41"/>
        <v>0</v>
      </c>
      <c r="G259" s="909">
        <f t="shared" si="43"/>
        <v>0</v>
      </c>
      <c r="H259" s="909">
        <f t="shared" si="44"/>
        <v>0</v>
      </c>
      <c r="I259" s="909">
        <f t="shared" si="42"/>
        <v>0</v>
      </c>
      <c r="J259" s="935"/>
      <c r="K259" s="896"/>
    </row>
    <row r="260" spans="1:11">
      <c r="A260" s="865">
        <f>IF(Values_Entered,A259+1,"")</f>
        <v>236</v>
      </c>
      <c r="B260" s="937">
        <f t="shared" si="39"/>
        <v>52190</v>
      </c>
      <c r="C260" s="909">
        <f t="shared" si="45"/>
        <v>0</v>
      </c>
      <c r="D260" s="909">
        <f t="shared" si="46"/>
        <v>39635.364473693073</v>
      </c>
      <c r="E260" s="910">
        <f t="shared" si="40"/>
        <v>0</v>
      </c>
      <c r="F260" s="911">
        <f t="shared" si="41"/>
        <v>0</v>
      </c>
      <c r="G260" s="909">
        <f t="shared" si="43"/>
        <v>0</v>
      </c>
      <c r="H260" s="909">
        <f t="shared" si="44"/>
        <v>0</v>
      </c>
      <c r="I260" s="909">
        <f t="shared" si="42"/>
        <v>0</v>
      </c>
      <c r="J260" s="935"/>
      <c r="K260" s="896"/>
    </row>
    <row r="261" spans="1:11">
      <c r="A261" s="865">
        <f>IF(Values_Entered,A260+1,"")</f>
        <v>237</v>
      </c>
      <c r="B261" s="937">
        <f t="shared" si="39"/>
        <v>52220</v>
      </c>
      <c r="C261" s="909">
        <f t="shared" si="45"/>
        <v>0</v>
      </c>
      <c r="D261" s="909">
        <f t="shared" si="46"/>
        <v>39635.364473693073</v>
      </c>
      <c r="E261" s="910">
        <f t="shared" si="40"/>
        <v>0</v>
      </c>
      <c r="F261" s="911">
        <f t="shared" si="41"/>
        <v>0</v>
      </c>
      <c r="G261" s="909">
        <f t="shared" si="43"/>
        <v>0</v>
      </c>
      <c r="H261" s="909">
        <f t="shared" si="44"/>
        <v>0</v>
      </c>
      <c r="I261" s="909">
        <f t="shared" si="42"/>
        <v>0</v>
      </c>
      <c r="J261" s="935"/>
      <c r="K261" s="896"/>
    </row>
    <row r="262" spans="1:11">
      <c r="A262" s="865">
        <f>IF(Values_Entered,A261+1,"")</f>
        <v>238</v>
      </c>
      <c r="B262" s="937">
        <f t="shared" si="39"/>
        <v>52251</v>
      </c>
      <c r="C262" s="909">
        <f t="shared" si="45"/>
        <v>0</v>
      </c>
      <c r="D262" s="909">
        <f t="shared" si="46"/>
        <v>39635.364473693073</v>
      </c>
      <c r="E262" s="910">
        <f t="shared" si="40"/>
        <v>0</v>
      </c>
      <c r="F262" s="911">
        <f t="shared" si="41"/>
        <v>0</v>
      </c>
      <c r="G262" s="909">
        <f t="shared" si="43"/>
        <v>0</v>
      </c>
      <c r="H262" s="909">
        <f t="shared" si="44"/>
        <v>0</v>
      </c>
      <c r="I262" s="909">
        <f t="shared" si="42"/>
        <v>0</v>
      </c>
      <c r="J262" s="935"/>
      <c r="K262" s="896"/>
    </row>
    <row r="263" spans="1:11">
      <c r="A263" s="865">
        <f>IF(Values_Entered,A262+1,"")</f>
        <v>239</v>
      </c>
      <c r="B263" s="937">
        <f t="shared" si="39"/>
        <v>52282</v>
      </c>
      <c r="C263" s="909">
        <f t="shared" si="45"/>
        <v>0</v>
      </c>
      <c r="D263" s="909">
        <f t="shared" si="46"/>
        <v>39635.364473693073</v>
      </c>
      <c r="E263" s="910">
        <f t="shared" si="40"/>
        <v>0</v>
      </c>
      <c r="F263" s="911">
        <f t="shared" si="41"/>
        <v>0</v>
      </c>
      <c r="G263" s="909">
        <f t="shared" si="43"/>
        <v>0</v>
      </c>
      <c r="H263" s="909">
        <f t="shared" si="44"/>
        <v>0</v>
      </c>
      <c r="I263" s="909">
        <f t="shared" si="42"/>
        <v>0</v>
      </c>
      <c r="J263" s="935"/>
      <c r="K263" s="896"/>
    </row>
    <row r="264" spans="1:11">
      <c r="A264" s="865">
        <f>IF(Values_Entered,A263+1,"")</f>
        <v>240</v>
      </c>
      <c r="B264" s="937">
        <f t="shared" si="39"/>
        <v>52310</v>
      </c>
      <c r="C264" s="909">
        <f t="shared" si="45"/>
        <v>0</v>
      </c>
      <c r="D264" s="909">
        <f t="shared" si="46"/>
        <v>39635.364473693073</v>
      </c>
      <c r="E264" s="910">
        <f t="shared" si="40"/>
        <v>0</v>
      </c>
      <c r="F264" s="911">
        <f t="shared" si="41"/>
        <v>0</v>
      </c>
      <c r="G264" s="909">
        <f t="shared" si="43"/>
        <v>0</v>
      </c>
      <c r="H264" s="909">
        <f t="shared" si="44"/>
        <v>0</v>
      </c>
      <c r="I264" s="909">
        <f t="shared" si="42"/>
        <v>0</v>
      </c>
      <c r="J264" s="935"/>
      <c r="K264" s="896"/>
    </row>
    <row r="265" spans="1:11">
      <c r="A265" s="865">
        <f>IF(Values_Entered,A264+1,"")</f>
        <v>241</v>
      </c>
      <c r="B265" s="937">
        <f t="shared" si="39"/>
        <v>52341</v>
      </c>
      <c r="C265" s="909">
        <f t="shared" si="45"/>
        <v>0</v>
      </c>
      <c r="D265" s="909">
        <f t="shared" si="46"/>
        <v>39635.364473693073</v>
      </c>
      <c r="E265" s="910">
        <f t="shared" si="40"/>
        <v>0</v>
      </c>
      <c r="F265" s="911">
        <f t="shared" si="41"/>
        <v>0</v>
      </c>
      <c r="G265" s="909">
        <f t="shared" si="43"/>
        <v>0</v>
      </c>
      <c r="H265" s="909">
        <f t="shared" si="44"/>
        <v>0</v>
      </c>
      <c r="I265" s="909">
        <f t="shared" si="42"/>
        <v>0</v>
      </c>
      <c r="J265" s="935"/>
      <c r="K265" s="896"/>
    </row>
    <row r="266" spans="1:11">
      <c r="A266" s="865">
        <f>IF(Values_Entered,A265+1,"")</f>
        <v>242</v>
      </c>
      <c r="B266" s="937">
        <f t="shared" si="39"/>
        <v>52371</v>
      </c>
      <c r="C266" s="909">
        <f t="shared" si="45"/>
        <v>0</v>
      </c>
      <c r="D266" s="909">
        <f t="shared" si="46"/>
        <v>39635.364473693073</v>
      </c>
      <c r="E266" s="910">
        <f t="shared" si="40"/>
        <v>0</v>
      </c>
      <c r="F266" s="911">
        <f t="shared" si="41"/>
        <v>0</v>
      </c>
      <c r="G266" s="909">
        <f t="shared" si="43"/>
        <v>0</v>
      </c>
      <c r="H266" s="909">
        <f t="shared" si="44"/>
        <v>0</v>
      </c>
      <c r="I266" s="909">
        <f t="shared" si="42"/>
        <v>0</v>
      </c>
      <c r="J266" s="935"/>
      <c r="K266" s="896"/>
    </row>
    <row r="267" spans="1:11">
      <c r="A267" s="865">
        <f>IF(Values_Entered,A266+1,"")</f>
        <v>243</v>
      </c>
      <c r="B267" s="937">
        <f t="shared" si="39"/>
        <v>52402</v>
      </c>
      <c r="C267" s="909">
        <f t="shared" si="45"/>
        <v>0</v>
      </c>
      <c r="D267" s="909">
        <f t="shared" si="46"/>
        <v>39635.364473693073</v>
      </c>
      <c r="E267" s="910">
        <f t="shared" si="40"/>
        <v>0</v>
      </c>
      <c r="F267" s="911">
        <f t="shared" si="41"/>
        <v>0</v>
      </c>
      <c r="G267" s="909">
        <f t="shared" si="43"/>
        <v>0</v>
      </c>
      <c r="H267" s="909">
        <f t="shared" si="44"/>
        <v>0</v>
      </c>
      <c r="I267" s="909">
        <f t="shared" si="42"/>
        <v>0</v>
      </c>
      <c r="J267" s="935"/>
      <c r="K267" s="896"/>
    </row>
    <row r="268" spans="1:11">
      <c r="A268" s="865">
        <f>IF(Values_Entered,A267+1,"")</f>
        <v>244</v>
      </c>
      <c r="B268" s="937">
        <f t="shared" si="39"/>
        <v>52432</v>
      </c>
      <c r="C268" s="909">
        <f t="shared" si="45"/>
        <v>0</v>
      </c>
      <c r="D268" s="909">
        <f t="shared" si="46"/>
        <v>39635.364473693073</v>
      </c>
      <c r="E268" s="910">
        <f t="shared" si="40"/>
        <v>0</v>
      </c>
      <c r="F268" s="911">
        <f t="shared" si="41"/>
        <v>0</v>
      </c>
      <c r="G268" s="909">
        <f t="shared" si="43"/>
        <v>0</v>
      </c>
      <c r="H268" s="909">
        <f t="shared" si="44"/>
        <v>0</v>
      </c>
      <c r="I268" s="909">
        <f t="shared" si="42"/>
        <v>0</v>
      </c>
      <c r="J268" s="935"/>
      <c r="K268" s="896"/>
    </row>
    <row r="269" spans="1:11">
      <c r="A269" s="865">
        <f>IF(Values_Entered,A268+1,"")</f>
        <v>245</v>
      </c>
      <c r="B269" s="937">
        <f t="shared" si="39"/>
        <v>52463</v>
      </c>
      <c r="C269" s="909">
        <f t="shared" si="45"/>
        <v>0</v>
      </c>
      <c r="D269" s="909">
        <f t="shared" si="46"/>
        <v>39635.364473693073</v>
      </c>
      <c r="E269" s="910">
        <f t="shared" si="40"/>
        <v>0</v>
      </c>
      <c r="F269" s="911">
        <f t="shared" si="41"/>
        <v>0</v>
      </c>
      <c r="G269" s="909">
        <f t="shared" si="43"/>
        <v>0</v>
      </c>
      <c r="H269" s="909">
        <f t="shared" si="44"/>
        <v>0</v>
      </c>
      <c r="I269" s="909">
        <f t="shared" si="42"/>
        <v>0</v>
      </c>
      <c r="J269" s="935"/>
      <c r="K269" s="896"/>
    </row>
    <row r="270" spans="1:11">
      <c r="A270" s="865">
        <f>IF(Values_Entered,A269+1,"")</f>
        <v>246</v>
      </c>
      <c r="B270" s="937">
        <f t="shared" si="39"/>
        <v>52494</v>
      </c>
      <c r="C270" s="909">
        <f t="shared" si="45"/>
        <v>0</v>
      </c>
      <c r="D270" s="909">
        <f t="shared" si="46"/>
        <v>39635.364473693073</v>
      </c>
      <c r="E270" s="910">
        <f t="shared" si="40"/>
        <v>0</v>
      </c>
      <c r="F270" s="911">
        <f t="shared" si="41"/>
        <v>0</v>
      </c>
      <c r="G270" s="909">
        <f t="shared" si="43"/>
        <v>0</v>
      </c>
      <c r="H270" s="909">
        <f t="shared" si="44"/>
        <v>0</v>
      </c>
      <c r="I270" s="909">
        <f t="shared" si="42"/>
        <v>0</v>
      </c>
      <c r="J270" s="935"/>
      <c r="K270" s="896"/>
    </row>
    <row r="271" spans="1:11">
      <c r="A271" s="865">
        <f>IF(Values_Entered,A270+1,"")</f>
        <v>247</v>
      </c>
      <c r="B271" s="937">
        <f t="shared" si="39"/>
        <v>52524</v>
      </c>
      <c r="C271" s="909">
        <f t="shared" si="45"/>
        <v>0</v>
      </c>
      <c r="D271" s="909">
        <f t="shared" si="46"/>
        <v>39635.364473693073</v>
      </c>
      <c r="E271" s="910">
        <f t="shared" si="40"/>
        <v>0</v>
      </c>
      <c r="F271" s="911">
        <f t="shared" si="41"/>
        <v>0</v>
      </c>
      <c r="G271" s="909">
        <f t="shared" si="43"/>
        <v>0</v>
      </c>
      <c r="H271" s="909">
        <f t="shared" si="44"/>
        <v>0</v>
      </c>
      <c r="I271" s="909">
        <f t="shared" si="42"/>
        <v>0</v>
      </c>
      <c r="J271" s="935"/>
      <c r="K271" s="896"/>
    </row>
    <row r="272" spans="1:11">
      <c r="A272" s="865">
        <f>IF(Values_Entered,A271+1,"")</f>
        <v>248</v>
      </c>
      <c r="B272" s="937">
        <f t="shared" si="39"/>
        <v>52555</v>
      </c>
      <c r="C272" s="909">
        <f t="shared" si="45"/>
        <v>0</v>
      </c>
      <c r="D272" s="909">
        <f t="shared" si="46"/>
        <v>39635.364473693073</v>
      </c>
      <c r="E272" s="910">
        <f t="shared" si="40"/>
        <v>0</v>
      </c>
      <c r="F272" s="911">
        <f t="shared" si="41"/>
        <v>0</v>
      </c>
      <c r="G272" s="909">
        <f t="shared" si="43"/>
        <v>0</v>
      </c>
      <c r="H272" s="909">
        <f t="shared" si="44"/>
        <v>0</v>
      </c>
      <c r="I272" s="909">
        <f t="shared" si="42"/>
        <v>0</v>
      </c>
      <c r="J272" s="935"/>
      <c r="K272" s="896"/>
    </row>
    <row r="273" spans="1:11">
      <c r="A273" s="865">
        <f>IF(Values_Entered,A272+1,"")</f>
        <v>249</v>
      </c>
      <c r="B273" s="937">
        <f t="shared" si="39"/>
        <v>52585</v>
      </c>
      <c r="C273" s="909">
        <f t="shared" si="45"/>
        <v>0</v>
      </c>
      <c r="D273" s="909">
        <f t="shared" si="46"/>
        <v>39635.364473693073</v>
      </c>
      <c r="E273" s="910">
        <f t="shared" si="40"/>
        <v>0</v>
      </c>
      <c r="F273" s="911">
        <f t="shared" si="41"/>
        <v>0</v>
      </c>
      <c r="G273" s="909">
        <f t="shared" si="43"/>
        <v>0</v>
      </c>
      <c r="H273" s="909">
        <f t="shared" si="44"/>
        <v>0</v>
      </c>
      <c r="I273" s="909">
        <f t="shared" si="42"/>
        <v>0</v>
      </c>
      <c r="J273" s="935"/>
      <c r="K273" s="896"/>
    </row>
    <row r="274" spans="1:11">
      <c r="A274" s="865">
        <f>IF(Values_Entered,A273+1,"")</f>
        <v>250</v>
      </c>
      <c r="B274" s="937">
        <f t="shared" si="39"/>
        <v>52616</v>
      </c>
      <c r="C274" s="909">
        <f t="shared" si="45"/>
        <v>0</v>
      </c>
      <c r="D274" s="909">
        <f t="shared" si="46"/>
        <v>39635.364473693073</v>
      </c>
      <c r="E274" s="910">
        <f t="shared" si="40"/>
        <v>0</v>
      </c>
      <c r="F274" s="911">
        <f t="shared" si="41"/>
        <v>0</v>
      </c>
      <c r="G274" s="909">
        <f t="shared" si="43"/>
        <v>0</v>
      </c>
      <c r="H274" s="909">
        <f t="shared" si="44"/>
        <v>0</v>
      </c>
      <c r="I274" s="909">
        <f t="shared" si="42"/>
        <v>0</v>
      </c>
      <c r="J274" s="935"/>
      <c r="K274" s="896"/>
    </row>
    <row r="275" spans="1:11">
      <c r="A275" s="865">
        <f>IF(Values_Entered,A274+1,"")</f>
        <v>251</v>
      </c>
      <c r="B275" s="937">
        <f t="shared" si="39"/>
        <v>52647</v>
      </c>
      <c r="C275" s="909">
        <f t="shared" si="45"/>
        <v>0</v>
      </c>
      <c r="D275" s="909">
        <f t="shared" si="46"/>
        <v>39635.364473693073</v>
      </c>
      <c r="E275" s="910">
        <f t="shared" si="40"/>
        <v>0</v>
      </c>
      <c r="F275" s="911">
        <f t="shared" si="41"/>
        <v>0</v>
      </c>
      <c r="G275" s="909">
        <f t="shared" si="43"/>
        <v>0</v>
      </c>
      <c r="H275" s="909">
        <f t="shared" si="44"/>
        <v>0</v>
      </c>
      <c r="I275" s="909">
        <f t="shared" si="42"/>
        <v>0</v>
      </c>
      <c r="J275" s="935"/>
      <c r="K275" s="896"/>
    </row>
    <row r="276" spans="1:11">
      <c r="A276" s="865">
        <f>IF(Values_Entered,A275+1,"")</f>
        <v>252</v>
      </c>
      <c r="B276" s="937">
        <f t="shared" si="39"/>
        <v>52676</v>
      </c>
      <c r="C276" s="909">
        <f t="shared" si="45"/>
        <v>0</v>
      </c>
      <c r="D276" s="909">
        <f t="shared" si="46"/>
        <v>39635.364473693073</v>
      </c>
      <c r="E276" s="910">
        <f t="shared" si="40"/>
        <v>0</v>
      </c>
      <c r="F276" s="911">
        <f t="shared" si="41"/>
        <v>0</v>
      </c>
      <c r="G276" s="909">
        <f t="shared" si="43"/>
        <v>0</v>
      </c>
      <c r="H276" s="909">
        <f t="shared" si="44"/>
        <v>0</v>
      </c>
      <c r="I276" s="909">
        <f t="shared" si="42"/>
        <v>0</v>
      </c>
      <c r="J276" s="935"/>
      <c r="K276" s="896"/>
    </row>
    <row r="277" spans="1:11">
      <c r="A277" s="865">
        <f>IF(Values_Entered,A276+1,"")</f>
        <v>253</v>
      </c>
      <c r="B277" s="937">
        <f t="shared" si="39"/>
        <v>52707</v>
      </c>
      <c r="C277" s="909">
        <f t="shared" si="45"/>
        <v>0</v>
      </c>
      <c r="D277" s="909">
        <f t="shared" si="46"/>
        <v>39635.364473693073</v>
      </c>
      <c r="E277" s="910">
        <f t="shared" si="40"/>
        <v>0</v>
      </c>
      <c r="F277" s="911">
        <f t="shared" si="41"/>
        <v>0</v>
      </c>
      <c r="G277" s="909">
        <f t="shared" si="43"/>
        <v>0</v>
      </c>
      <c r="H277" s="909">
        <f t="shared" si="44"/>
        <v>0</v>
      </c>
      <c r="I277" s="909">
        <f t="shared" si="42"/>
        <v>0</v>
      </c>
      <c r="J277" s="935"/>
      <c r="K277" s="896"/>
    </row>
    <row r="278" spans="1:11">
      <c r="A278" s="865">
        <f>IF(Values_Entered,A277+1,"")</f>
        <v>254</v>
      </c>
      <c r="B278" s="937">
        <f t="shared" si="39"/>
        <v>52737</v>
      </c>
      <c r="C278" s="909">
        <f t="shared" si="45"/>
        <v>0</v>
      </c>
      <c r="D278" s="909">
        <f t="shared" si="46"/>
        <v>39635.364473693073</v>
      </c>
      <c r="E278" s="910">
        <f t="shared" si="40"/>
        <v>0</v>
      </c>
      <c r="F278" s="911">
        <f t="shared" si="41"/>
        <v>0</v>
      </c>
      <c r="G278" s="909">
        <f t="shared" si="43"/>
        <v>0</v>
      </c>
      <c r="H278" s="909">
        <f t="shared" si="44"/>
        <v>0</v>
      </c>
      <c r="I278" s="909">
        <f t="shared" si="42"/>
        <v>0</v>
      </c>
      <c r="J278" s="935"/>
      <c r="K278" s="896"/>
    </row>
    <row r="279" spans="1:11">
      <c r="A279" s="865">
        <f>IF(Values_Entered,A278+1,"")</f>
        <v>255</v>
      </c>
      <c r="B279" s="937">
        <f t="shared" si="39"/>
        <v>52768</v>
      </c>
      <c r="C279" s="909">
        <f t="shared" si="45"/>
        <v>0</v>
      </c>
      <c r="D279" s="909">
        <f t="shared" si="46"/>
        <v>39635.364473693073</v>
      </c>
      <c r="E279" s="910">
        <f t="shared" si="40"/>
        <v>0</v>
      </c>
      <c r="F279" s="911">
        <f t="shared" si="41"/>
        <v>0</v>
      </c>
      <c r="G279" s="909">
        <f t="shared" si="43"/>
        <v>0</v>
      </c>
      <c r="H279" s="909">
        <f t="shared" si="44"/>
        <v>0</v>
      </c>
      <c r="I279" s="909">
        <f t="shared" si="42"/>
        <v>0</v>
      </c>
      <c r="J279" s="935"/>
      <c r="K279" s="896"/>
    </row>
    <row r="280" spans="1:11">
      <c r="A280" s="865">
        <f>IF(Values_Entered,A279+1,"")</f>
        <v>256</v>
      </c>
      <c r="B280" s="937">
        <f t="shared" si="39"/>
        <v>52798</v>
      </c>
      <c r="C280" s="909">
        <f t="shared" si="45"/>
        <v>0</v>
      </c>
      <c r="D280" s="909">
        <f t="shared" si="46"/>
        <v>39635.364473693073</v>
      </c>
      <c r="E280" s="910">
        <f t="shared" si="40"/>
        <v>0</v>
      </c>
      <c r="F280" s="911">
        <f t="shared" si="41"/>
        <v>0</v>
      </c>
      <c r="G280" s="909">
        <f t="shared" si="43"/>
        <v>0</v>
      </c>
      <c r="H280" s="909">
        <f t="shared" si="44"/>
        <v>0</v>
      </c>
      <c r="I280" s="909">
        <f t="shared" si="42"/>
        <v>0</v>
      </c>
      <c r="J280" s="935"/>
      <c r="K280" s="896"/>
    </row>
    <row r="281" spans="1:11">
      <c r="A281" s="865">
        <f>IF(Values_Entered,A280+1,"")</f>
        <v>257</v>
      </c>
      <c r="B281" s="937">
        <f t="shared" ref="B281:B344" si="47">IF(Pay_Num&lt;&gt;"",DATE(YEAR(Loan_Start),MONTH(Loan_Start)+(Pay_Num)*12/Num_Pmt_Per_Year,DAY(Loan_Start)),"")</f>
        <v>52829</v>
      </c>
      <c r="C281" s="909">
        <f t="shared" si="45"/>
        <v>0</v>
      </c>
      <c r="D281" s="909">
        <f t="shared" si="46"/>
        <v>39635.364473693073</v>
      </c>
      <c r="E281" s="910">
        <f t="shared" ref="E281:E344" si="48">IF(AND(Pay_Num&lt;&gt;"",Sched_Pay+Scheduled_Extra_Payments&lt;Beg_Bal),Scheduled_Extra_Payments,IF(AND(Pay_Num&lt;&gt;"",Beg_Bal-Sched_Pay&gt;0),Beg_Bal-Sched_Pay,IF(Pay_Num&lt;&gt;"",0,"")))</f>
        <v>0</v>
      </c>
      <c r="F281" s="911">
        <f t="shared" ref="F281:F344" si="49">IF(AND(Pay_Num&lt;&gt;"",Sched_Pay+Extra_Pay&lt;Beg_Bal),Sched_Pay+Extra_Pay,IF(Pay_Num&lt;&gt;"",Beg_Bal,""))</f>
        <v>0</v>
      </c>
      <c r="G281" s="909">
        <f t="shared" si="43"/>
        <v>0</v>
      </c>
      <c r="H281" s="909">
        <f t="shared" si="44"/>
        <v>0</v>
      </c>
      <c r="I281" s="909">
        <f t="shared" ref="I281:I344" si="50">IF(AND(Pay_Num&lt;&gt;"",Sched_Pay+Extra_Pay&lt;Beg_Bal),Beg_Bal-Princ,IF(Pay_Num&lt;&gt;"",0,""))</f>
        <v>0</v>
      </c>
      <c r="J281" s="935"/>
      <c r="K281" s="896"/>
    </row>
    <row r="282" spans="1:11">
      <c r="A282" s="865">
        <f>IF(Values_Entered,A281+1,"")</f>
        <v>258</v>
      </c>
      <c r="B282" s="937">
        <f t="shared" si="47"/>
        <v>52860</v>
      </c>
      <c r="C282" s="909">
        <f t="shared" si="45"/>
        <v>0</v>
      </c>
      <c r="D282" s="909">
        <f t="shared" si="46"/>
        <v>39635.364473693073</v>
      </c>
      <c r="E282" s="910">
        <f t="shared" si="48"/>
        <v>0</v>
      </c>
      <c r="F282" s="911">
        <f t="shared" si="49"/>
        <v>0</v>
      </c>
      <c r="G282" s="909">
        <f t="shared" ref="G282:G345" si="51">IF(Pay_Num&lt;&gt;"",Total_Pay-Int,"")</f>
        <v>0</v>
      </c>
      <c r="H282" s="909">
        <f t="shared" ref="H282:H345" si="52">IF(Pay_Num&lt;&gt;"",Beg_Bal*Interest_Rate/Num_Pmt_Per_Year,"")</f>
        <v>0</v>
      </c>
      <c r="I282" s="909">
        <f t="shared" si="50"/>
        <v>0</v>
      </c>
      <c r="J282" s="935"/>
      <c r="K282" s="896"/>
    </row>
    <row r="283" spans="1:11">
      <c r="A283" s="865">
        <f>IF(Values_Entered,A282+1,"")</f>
        <v>259</v>
      </c>
      <c r="B283" s="937">
        <f t="shared" si="47"/>
        <v>52890</v>
      </c>
      <c r="C283" s="909">
        <f t="shared" ref="C283:C346" si="53">IF(Pay_Num&lt;&gt;"",I282,"")</f>
        <v>0</v>
      </c>
      <c r="D283" s="909">
        <f t="shared" ref="D283:D346" si="54">IF(Pay_Num&lt;&gt;"",Scheduled_Monthly_Payment,"")</f>
        <v>39635.364473693073</v>
      </c>
      <c r="E283" s="910">
        <f t="shared" si="48"/>
        <v>0</v>
      </c>
      <c r="F283" s="911">
        <f t="shared" si="49"/>
        <v>0</v>
      </c>
      <c r="G283" s="909">
        <f t="shared" si="51"/>
        <v>0</v>
      </c>
      <c r="H283" s="909">
        <f t="shared" si="52"/>
        <v>0</v>
      </c>
      <c r="I283" s="909">
        <f t="shared" si="50"/>
        <v>0</v>
      </c>
      <c r="J283" s="935"/>
      <c r="K283" s="896"/>
    </row>
    <row r="284" spans="1:11">
      <c r="A284" s="865">
        <f>IF(Values_Entered,A283+1,"")</f>
        <v>260</v>
      </c>
      <c r="B284" s="937">
        <f t="shared" si="47"/>
        <v>52921</v>
      </c>
      <c r="C284" s="909">
        <f t="shared" si="53"/>
        <v>0</v>
      </c>
      <c r="D284" s="909">
        <f t="shared" si="54"/>
        <v>39635.364473693073</v>
      </c>
      <c r="E284" s="910">
        <f t="shared" si="48"/>
        <v>0</v>
      </c>
      <c r="F284" s="911">
        <f t="shared" si="49"/>
        <v>0</v>
      </c>
      <c r="G284" s="909">
        <f t="shared" si="51"/>
        <v>0</v>
      </c>
      <c r="H284" s="909">
        <f t="shared" si="52"/>
        <v>0</v>
      </c>
      <c r="I284" s="909">
        <f t="shared" si="50"/>
        <v>0</v>
      </c>
      <c r="J284" s="935"/>
      <c r="K284" s="896"/>
    </row>
    <row r="285" spans="1:11">
      <c r="A285" s="865">
        <f>IF(Values_Entered,A284+1,"")</f>
        <v>261</v>
      </c>
      <c r="B285" s="937">
        <f t="shared" si="47"/>
        <v>52951</v>
      </c>
      <c r="C285" s="909">
        <f t="shared" si="53"/>
        <v>0</v>
      </c>
      <c r="D285" s="909">
        <f t="shared" si="54"/>
        <v>39635.364473693073</v>
      </c>
      <c r="E285" s="910">
        <f t="shared" si="48"/>
        <v>0</v>
      </c>
      <c r="F285" s="911">
        <f t="shared" si="49"/>
        <v>0</v>
      </c>
      <c r="G285" s="909">
        <f t="shared" si="51"/>
        <v>0</v>
      </c>
      <c r="H285" s="909">
        <f t="shared" si="52"/>
        <v>0</v>
      </c>
      <c r="I285" s="909">
        <f t="shared" si="50"/>
        <v>0</v>
      </c>
      <c r="J285" s="935"/>
      <c r="K285" s="896"/>
    </row>
    <row r="286" spans="1:11">
      <c r="A286" s="865">
        <f>IF(Values_Entered,A285+1,"")</f>
        <v>262</v>
      </c>
      <c r="B286" s="937">
        <f t="shared" si="47"/>
        <v>52982</v>
      </c>
      <c r="C286" s="909">
        <f t="shared" si="53"/>
        <v>0</v>
      </c>
      <c r="D286" s="909">
        <f t="shared" si="54"/>
        <v>39635.364473693073</v>
      </c>
      <c r="E286" s="910">
        <f t="shared" si="48"/>
        <v>0</v>
      </c>
      <c r="F286" s="911">
        <f t="shared" si="49"/>
        <v>0</v>
      </c>
      <c r="G286" s="909">
        <f t="shared" si="51"/>
        <v>0</v>
      </c>
      <c r="H286" s="909">
        <f t="shared" si="52"/>
        <v>0</v>
      </c>
      <c r="I286" s="909">
        <f t="shared" si="50"/>
        <v>0</v>
      </c>
      <c r="J286" s="935"/>
      <c r="K286" s="896"/>
    </row>
    <row r="287" spans="1:11">
      <c r="A287" s="865">
        <f>IF(Values_Entered,A286+1,"")</f>
        <v>263</v>
      </c>
      <c r="B287" s="937">
        <f t="shared" si="47"/>
        <v>53013</v>
      </c>
      <c r="C287" s="909">
        <f t="shared" si="53"/>
        <v>0</v>
      </c>
      <c r="D287" s="909">
        <f t="shared" si="54"/>
        <v>39635.364473693073</v>
      </c>
      <c r="E287" s="910">
        <f t="shared" si="48"/>
        <v>0</v>
      </c>
      <c r="F287" s="911">
        <f t="shared" si="49"/>
        <v>0</v>
      </c>
      <c r="G287" s="909">
        <f t="shared" si="51"/>
        <v>0</v>
      </c>
      <c r="H287" s="909">
        <f t="shared" si="52"/>
        <v>0</v>
      </c>
      <c r="I287" s="909">
        <f t="shared" si="50"/>
        <v>0</v>
      </c>
      <c r="J287" s="935"/>
      <c r="K287" s="896"/>
    </row>
    <row r="288" spans="1:11">
      <c r="A288" s="865">
        <f>IF(Values_Entered,A287+1,"")</f>
        <v>264</v>
      </c>
      <c r="B288" s="937">
        <f t="shared" si="47"/>
        <v>53041</v>
      </c>
      <c r="C288" s="909">
        <f t="shared" si="53"/>
        <v>0</v>
      </c>
      <c r="D288" s="909">
        <f t="shared" si="54"/>
        <v>39635.364473693073</v>
      </c>
      <c r="E288" s="910">
        <f t="shared" si="48"/>
        <v>0</v>
      </c>
      <c r="F288" s="911">
        <f t="shared" si="49"/>
        <v>0</v>
      </c>
      <c r="G288" s="909">
        <f t="shared" si="51"/>
        <v>0</v>
      </c>
      <c r="H288" s="909">
        <f t="shared" si="52"/>
        <v>0</v>
      </c>
      <c r="I288" s="909">
        <f t="shared" si="50"/>
        <v>0</v>
      </c>
      <c r="J288" s="935"/>
      <c r="K288" s="896"/>
    </row>
    <row r="289" spans="1:11">
      <c r="A289" s="865">
        <f>IF(Values_Entered,A288+1,"")</f>
        <v>265</v>
      </c>
      <c r="B289" s="937">
        <f t="shared" si="47"/>
        <v>53072</v>
      </c>
      <c r="C289" s="909">
        <f t="shared" si="53"/>
        <v>0</v>
      </c>
      <c r="D289" s="909">
        <f t="shared" si="54"/>
        <v>39635.364473693073</v>
      </c>
      <c r="E289" s="910">
        <f t="shared" si="48"/>
        <v>0</v>
      </c>
      <c r="F289" s="911">
        <f t="shared" si="49"/>
        <v>0</v>
      </c>
      <c r="G289" s="909">
        <f t="shared" si="51"/>
        <v>0</v>
      </c>
      <c r="H289" s="909">
        <f t="shared" si="52"/>
        <v>0</v>
      </c>
      <c r="I289" s="909">
        <f t="shared" si="50"/>
        <v>0</v>
      </c>
      <c r="J289" s="935"/>
      <c r="K289" s="896"/>
    </row>
    <row r="290" spans="1:11">
      <c r="A290" s="865">
        <f>IF(Values_Entered,A289+1,"")</f>
        <v>266</v>
      </c>
      <c r="B290" s="937">
        <f t="shared" si="47"/>
        <v>53102</v>
      </c>
      <c r="C290" s="909">
        <f t="shared" si="53"/>
        <v>0</v>
      </c>
      <c r="D290" s="909">
        <f t="shared" si="54"/>
        <v>39635.364473693073</v>
      </c>
      <c r="E290" s="910">
        <f t="shared" si="48"/>
        <v>0</v>
      </c>
      <c r="F290" s="911">
        <f t="shared" si="49"/>
        <v>0</v>
      </c>
      <c r="G290" s="909">
        <f t="shared" si="51"/>
        <v>0</v>
      </c>
      <c r="H290" s="909">
        <f t="shared" si="52"/>
        <v>0</v>
      </c>
      <c r="I290" s="909">
        <f t="shared" si="50"/>
        <v>0</v>
      </c>
      <c r="J290" s="935"/>
      <c r="K290" s="896"/>
    </row>
    <row r="291" spans="1:11">
      <c r="A291" s="865">
        <f>IF(Values_Entered,A290+1,"")</f>
        <v>267</v>
      </c>
      <c r="B291" s="937">
        <f t="shared" si="47"/>
        <v>53133</v>
      </c>
      <c r="C291" s="909">
        <f t="shared" si="53"/>
        <v>0</v>
      </c>
      <c r="D291" s="909">
        <f t="shared" si="54"/>
        <v>39635.364473693073</v>
      </c>
      <c r="E291" s="910">
        <f t="shared" si="48"/>
        <v>0</v>
      </c>
      <c r="F291" s="911">
        <f t="shared" si="49"/>
        <v>0</v>
      </c>
      <c r="G291" s="909">
        <f t="shared" si="51"/>
        <v>0</v>
      </c>
      <c r="H291" s="909">
        <f t="shared" si="52"/>
        <v>0</v>
      </c>
      <c r="I291" s="909">
        <f t="shared" si="50"/>
        <v>0</v>
      </c>
      <c r="J291" s="935"/>
      <c r="K291" s="896"/>
    </row>
    <row r="292" spans="1:11" ht="14.1">
      <c r="A292" s="865">
        <f>IF(Values_Entered,A291+1,"")</f>
        <v>268</v>
      </c>
      <c r="B292" s="937">
        <f t="shared" si="47"/>
        <v>53163</v>
      </c>
      <c r="C292" s="909">
        <f t="shared" si="53"/>
        <v>0</v>
      </c>
      <c r="D292" s="909">
        <f t="shared" si="54"/>
        <v>39635.364473693073</v>
      </c>
      <c r="E292" s="910">
        <f t="shared" si="48"/>
        <v>0</v>
      </c>
      <c r="F292" s="911">
        <f t="shared" si="49"/>
        <v>0</v>
      </c>
      <c r="G292" s="939">
        <f>SUM(G25:G291)</f>
        <v>3196630.5698601846</v>
      </c>
      <c r="H292" s="909">
        <f t="shared" si="52"/>
        <v>0</v>
      </c>
      <c r="I292" s="909">
        <f t="shared" si="50"/>
        <v>0</v>
      </c>
      <c r="J292" s="935"/>
      <c r="K292" s="896"/>
    </row>
    <row r="293" spans="1:11">
      <c r="A293" s="865">
        <f>IF(Values_Entered,A292+1,"")</f>
        <v>269</v>
      </c>
      <c r="B293" s="937">
        <f t="shared" si="47"/>
        <v>53194</v>
      </c>
      <c r="C293" s="909">
        <f t="shared" si="53"/>
        <v>0</v>
      </c>
      <c r="D293" s="909">
        <f t="shared" si="54"/>
        <v>39635.364473693073</v>
      </c>
      <c r="E293" s="910">
        <f t="shared" si="48"/>
        <v>0</v>
      </c>
      <c r="F293" s="911">
        <f t="shared" si="49"/>
        <v>0</v>
      </c>
      <c r="G293" s="909">
        <f t="shared" si="51"/>
        <v>0</v>
      </c>
      <c r="H293" s="909">
        <f t="shared" si="52"/>
        <v>0</v>
      </c>
      <c r="I293" s="909">
        <f t="shared" si="50"/>
        <v>0</v>
      </c>
      <c r="J293" s="935"/>
      <c r="K293" s="896"/>
    </row>
    <row r="294" spans="1:11">
      <c r="A294" s="865">
        <f>IF(Values_Entered,A293+1,"")</f>
        <v>270</v>
      </c>
      <c r="B294" s="937">
        <f t="shared" si="47"/>
        <v>53225</v>
      </c>
      <c r="C294" s="909">
        <f t="shared" si="53"/>
        <v>0</v>
      </c>
      <c r="D294" s="909">
        <f t="shared" si="54"/>
        <v>39635.364473693073</v>
      </c>
      <c r="E294" s="910">
        <f t="shared" si="48"/>
        <v>0</v>
      </c>
      <c r="F294" s="911">
        <f t="shared" si="49"/>
        <v>0</v>
      </c>
      <c r="G294" s="909">
        <f t="shared" si="51"/>
        <v>0</v>
      </c>
      <c r="H294" s="909">
        <f t="shared" si="52"/>
        <v>0</v>
      </c>
      <c r="I294" s="909">
        <f t="shared" si="50"/>
        <v>0</v>
      </c>
      <c r="J294" s="935"/>
      <c r="K294" s="896"/>
    </row>
    <row r="295" spans="1:11">
      <c r="A295" s="865">
        <f>IF(Values_Entered,A294+1,"")</f>
        <v>271</v>
      </c>
      <c r="B295" s="937">
        <f t="shared" si="47"/>
        <v>53255</v>
      </c>
      <c r="C295" s="909">
        <f t="shared" si="53"/>
        <v>0</v>
      </c>
      <c r="D295" s="909">
        <f t="shared" si="54"/>
        <v>39635.364473693073</v>
      </c>
      <c r="E295" s="910">
        <f t="shared" si="48"/>
        <v>0</v>
      </c>
      <c r="F295" s="911">
        <f t="shared" si="49"/>
        <v>0</v>
      </c>
      <c r="G295" s="909">
        <f t="shared" si="51"/>
        <v>0</v>
      </c>
      <c r="H295" s="909">
        <f t="shared" si="52"/>
        <v>0</v>
      </c>
      <c r="I295" s="909">
        <f t="shared" si="50"/>
        <v>0</v>
      </c>
      <c r="J295" s="935"/>
      <c r="K295" s="896"/>
    </row>
    <row r="296" spans="1:11">
      <c r="A296" s="865">
        <f>IF(Values_Entered,A295+1,"")</f>
        <v>272</v>
      </c>
      <c r="B296" s="937">
        <f t="shared" si="47"/>
        <v>53286</v>
      </c>
      <c r="C296" s="909">
        <f t="shared" si="53"/>
        <v>0</v>
      </c>
      <c r="D296" s="909">
        <f t="shared" si="54"/>
        <v>39635.364473693073</v>
      </c>
      <c r="E296" s="910">
        <f t="shared" si="48"/>
        <v>0</v>
      </c>
      <c r="F296" s="911">
        <f t="shared" si="49"/>
        <v>0</v>
      </c>
      <c r="G296" s="909">
        <f t="shared" si="51"/>
        <v>0</v>
      </c>
      <c r="H296" s="909">
        <f t="shared" si="52"/>
        <v>0</v>
      </c>
      <c r="I296" s="909">
        <f t="shared" si="50"/>
        <v>0</v>
      </c>
      <c r="J296" s="935"/>
      <c r="K296" s="896"/>
    </row>
    <row r="297" spans="1:11">
      <c r="A297" s="865">
        <f>IF(Values_Entered,A296+1,"")</f>
        <v>273</v>
      </c>
      <c r="B297" s="937">
        <f t="shared" si="47"/>
        <v>53316</v>
      </c>
      <c r="C297" s="909">
        <f t="shared" si="53"/>
        <v>0</v>
      </c>
      <c r="D297" s="909">
        <f t="shared" si="54"/>
        <v>39635.364473693073</v>
      </c>
      <c r="E297" s="910">
        <f t="shared" si="48"/>
        <v>0</v>
      </c>
      <c r="F297" s="911">
        <f t="shared" si="49"/>
        <v>0</v>
      </c>
      <c r="G297" s="909">
        <f t="shared" si="51"/>
        <v>0</v>
      </c>
      <c r="H297" s="909">
        <f t="shared" si="52"/>
        <v>0</v>
      </c>
      <c r="I297" s="909">
        <f t="shared" si="50"/>
        <v>0</v>
      </c>
      <c r="J297" s="935"/>
      <c r="K297" s="896"/>
    </row>
    <row r="298" spans="1:11">
      <c r="A298" s="865">
        <f>IF(Values_Entered,A297+1,"")</f>
        <v>274</v>
      </c>
      <c r="B298" s="937">
        <f t="shared" si="47"/>
        <v>53347</v>
      </c>
      <c r="C298" s="909">
        <f t="shared" si="53"/>
        <v>0</v>
      </c>
      <c r="D298" s="909">
        <f t="shared" si="54"/>
        <v>39635.364473693073</v>
      </c>
      <c r="E298" s="910">
        <f t="shared" si="48"/>
        <v>0</v>
      </c>
      <c r="F298" s="911">
        <f t="shared" si="49"/>
        <v>0</v>
      </c>
      <c r="G298" s="909">
        <f t="shared" si="51"/>
        <v>0</v>
      </c>
      <c r="H298" s="909">
        <f t="shared" si="52"/>
        <v>0</v>
      </c>
      <c r="I298" s="909">
        <f t="shared" si="50"/>
        <v>0</v>
      </c>
      <c r="J298" s="935"/>
      <c r="K298" s="896"/>
    </row>
    <row r="299" spans="1:11">
      <c r="A299" s="865">
        <f>IF(Values_Entered,A298+1,"")</f>
        <v>275</v>
      </c>
      <c r="B299" s="937">
        <f t="shared" si="47"/>
        <v>53378</v>
      </c>
      <c r="C299" s="909">
        <f t="shared" si="53"/>
        <v>0</v>
      </c>
      <c r="D299" s="909">
        <f t="shared" si="54"/>
        <v>39635.364473693073</v>
      </c>
      <c r="E299" s="910">
        <f t="shared" si="48"/>
        <v>0</v>
      </c>
      <c r="F299" s="911">
        <f t="shared" si="49"/>
        <v>0</v>
      </c>
      <c r="G299" s="909">
        <f t="shared" si="51"/>
        <v>0</v>
      </c>
      <c r="H299" s="909">
        <f t="shared" si="52"/>
        <v>0</v>
      </c>
      <c r="I299" s="909">
        <f t="shared" si="50"/>
        <v>0</v>
      </c>
      <c r="J299" s="935"/>
      <c r="K299" s="896"/>
    </row>
    <row r="300" spans="1:11">
      <c r="A300" s="865">
        <f>IF(Values_Entered,A299+1,"")</f>
        <v>276</v>
      </c>
      <c r="B300" s="937">
        <f t="shared" si="47"/>
        <v>53406</v>
      </c>
      <c r="C300" s="909">
        <f t="shared" si="53"/>
        <v>0</v>
      </c>
      <c r="D300" s="909">
        <f t="shared" si="54"/>
        <v>39635.364473693073</v>
      </c>
      <c r="E300" s="910">
        <f t="shared" si="48"/>
        <v>0</v>
      </c>
      <c r="F300" s="911">
        <f t="shared" si="49"/>
        <v>0</v>
      </c>
      <c r="G300" s="909">
        <f t="shared" si="51"/>
        <v>0</v>
      </c>
      <c r="H300" s="909">
        <f t="shared" si="52"/>
        <v>0</v>
      </c>
      <c r="I300" s="909">
        <f t="shared" si="50"/>
        <v>0</v>
      </c>
      <c r="J300" s="935"/>
      <c r="K300" s="896"/>
    </row>
    <row r="301" spans="1:11">
      <c r="A301" s="865">
        <f>IF(Values_Entered,A300+1,"")</f>
        <v>277</v>
      </c>
      <c r="B301" s="937">
        <f t="shared" si="47"/>
        <v>53437</v>
      </c>
      <c r="C301" s="909">
        <f t="shared" si="53"/>
        <v>0</v>
      </c>
      <c r="D301" s="909">
        <f t="shared" si="54"/>
        <v>39635.364473693073</v>
      </c>
      <c r="E301" s="910">
        <f t="shared" si="48"/>
        <v>0</v>
      </c>
      <c r="F301" s="911">
        <f t="shared" si="49"/>
        <v>0</v>
      </c>
      <c r="G301" s="909">
        <f t="shared" si="51"/>
        <v>0</v>
      </c>
      <c r="H301" s="909">
        <f t="shared" si="52"/>
        <v>0</v>
      </c>
      <c r="I301" s="909">
        <f t="shared" si="50"/>
        <v>0</v>
      </c>
      <c r="J301" s="935"/>
      <c r="K301" s="896"/>
    </row>
    <row r="302" spans="1:11">
      <c r="A302" s="865">
        <f>IF(Values_Entered,A301+1,"")</f>
        <v>278</v>
      </c>
      <c r="B302" s="937">
        <f t="shared" si="47"/>
        <v>53467</v>
      </c>
      <c r="C302" s="909">
        <f t="shared" si="53"/>
        <v>0</v>
      </c>
      <c r="D302" s="909">
        <f t="shared" si="54"/>
        <v>39635.364473693073</v>
      </c>
      <c r="E302" s="910">
        <f t="shared" si="48"/>
        <v>0</v>
      </c>
      <c r="F302" s="911">
        <f t="shared" si="49"/>
        <v>0</v>
      </c>
      <c r="G302" s="909">
        <f t="shared" si="51"/>
        <v>0</v>
      </c>
      <c r="H302" s="909">
        <f t="shared" si="52"/>
        <v>0</v>
      </c>
      <c r="I302" s="909">
        <f t="shared" si="50"/>
        <v>0</v>
      </c>
      <c r="J302" s="935"/>
      <c r="K302" s="896"/>
    </row>
    <row r="303" spans="1:11">
      <c r="A303" s="865">
        <f>IF(Values_Entered,A302+1,"")</f>
        <v>279</v>
      </c>
      <c r="B303" s="937">
        <f t="shared" si="47"/>
        <v>53498</v>
      </c>
      <c r="C303" s="909">
        <f t="shared" si="53"/>
        <v>0</v>
      </c>
      <c r="D303" s="909">
        <f t="shared" si="54"/>
        <v>39635.364473693073</v>
      </c>
      <c r="E303" s="910">
        <f t="shared" si="48"/>
        <v>0</v>
      </c>
      <c r="F303" s="911">
        <f t="shared" si="49"/>
        <v>0</v>
      </c>
      <c r="G303" s="909">
        <f t="shared" si="51"/>
        <v>0</v>
      </c>
      <c r="H303" s="909">
        <f t="shared" si="52"/>
        <v>0</v>
      </c>
      <c r="I303" s="909">
        <f t="shared" si="50"/>
        <v>0</v>
      </c>
      <c r="J303" s="935"/>
      <c r="K303" s="896"/>
    </row>
    <row r="304" spans="1:11">
      <c r="A304" s="865">
        <f>IF(Values_Entered,A303+1,"")</f>
        <v>280</v>
      </c>
      <c r="B304" s="937">
        <f t="shared" si="47"/>
        <v>53528</v>
      </c>
      <c r="C304" s="909">
        <f t="shared" si="53"/>
        <v>0</v>
      </c>
      <c r="D304" s="909">
        <f t="shared" si="54"/>
        <v>39635.364473693073</v>
      </c>
      <c r="E304" s="910">
        <f t="shared" si="48"/>
        <v>0</v>
      </c>
      <c r="F304" s="911">
        <f t="shared" si="49"/>
        <v>0</v>
      </c>
      <c r="G304" s="909">
        <f t="shared" si="51"/>
        <v>0</v>
      </c>
      <c r="H304" s="909">
        <f t="shared" si="52"/>
        <v>0</v>
      </c>
      <c r="I304" s="909">
        <f t="shared" si="50"/>
        <v>0</v>
      </c>
      <c r="J304" s="935"/>
      <c r="K304" s="896"/>
    </row>
    <row r="305" spans="1:11">
      <c r="A305" s="865">
        <f>IF(Values_Entered,A304+1,"")</f>
        <v>281</v>
      </c>
      <c r="B305" s="937">
        <f t="shared" si="47"/>
        <v>53559</v>
      </c>
      <c r="C305" s="909">
        <f t="shared" si="53"/>
        <v>0</v>
      </c>
      <c r="D305" s="909">
        <f t="shared" si="54"/>
        <v>39635.364473693073</v>
      </c>
      <c r="E305" s="910">
        <f t="shared" si="48"/>
        <v>0</v>
      </c>
      <c r="F305" s="911">
        <f t="shared" si="49"/>
        <v>0</v>
      </c>
      <c r="G305" s="909">
        <f t="shared" si="51"/>
        <v>0</v>
      </c>
      <c r="H305" s="909">
        <f t="shared" si="52"/>
        <v>0</v>
      </c>
      <c r="I305" s="909">
        <f t="shared" si="50"/>
        <v>0</v>
      </c>
      <c r="J305" s="935"/>
      <c r="K305" s="896"/>
    </row>
    <row r="306" spans="1:11">
      <c r="A306" s="865">
        <f>IF(Values_Entered,A305+1,"")</f>
        <v>282</v>
      </c>
      <c r="B306" s="937">
        <f t="shared" si="47"/>
        <v>53590</v>
      </c>
      <c r="C306" s="909">
        <f t="shared" si="53"/>
        <v>0</v>
      </c>
      <c r="D306" s="909">
        <f t="shared" si="54"/>
        <v>39635.364473693073</v>
      </c>
      <c r="E306" s="910">
        <f t="shared" si="48"/>
        <v>0</v>
      </c>
      <c r="F306" s="911">
        <f t="shared" si="49"/>
        <v>0</v>
      </c>
      <c r="G306" s="909">
        <f t="shared" si="51"/>
        <v>0</v>
      </c>
      <c r="H306" s="909">
        <f t="shared" si="52"/>
        <v>0</v>
      </c>
      <c r="I306" s="909">
        <f t="shared" si="50"/>
        <v>0</v>
      </c>
      <c r="J306" s="935"/>
      <c r="K306" s="896"/>
    </row>
    <row r="307" spans="1:11">
      <c r="A307" s="865">
        <f>IF(Values_Entered,A306+1,"")</f>
        <v>283</v>
      </c>
      <c r="B307" s="937">
        <f t="shared" si="47"/>
        <v>53620</v>
      </c>
      <c r="C307" s="909">
        <f t="shared" si="53"/>
        <v>0</v>
      </c>
      <c r="D307" s="909">
        <f t="shared" si="54"/>
        <v>39635.364473693073</v>
      </c>
      <c r="E307" s="910">
        <f t="shared" si="48"/>
        <v>0</v>
      </c>
      <c r="F307" s="911">
        <f t="shared" si="49"/>
        <v>0</v>
      </c>
      <c r="G307" s="909">
        <f t="shared" si="51"/>
        <v>0</v>
      </c>
      <c r="H307" s="909">
        <f t="shared" si="52"/>
        <v>0</v>
      </c>
      <c r="I307" s="909">
        <f t="shared" si="50"/>
        <v>0</v>
      </c>
      <c r="J307" s="935"/>
      <c r="K307" s="896"/>
    </row>
    <row r="308" spans="1:11">
      <c r="A308" s="865">
        <f>IF(Values_Entered,A307+1,"")</f>
        <v>284</v>
      </c>
      <c r="B308" s="937">
        <f t="shared" si="47"/>
        <v>53651</v>
      </c>
      <c r="C308" s="909">
        <f t="shared" si="53"/>
        <v>0</v>
      </c>
      <c r="D308" s="909">
        <f t="shared" si="54"/>
        <v>39635.364473693073</v>
      </c>
      <c r="E308" s="910">
        <f t="shared" si="48"/>
        <v>0</v>
      </c>
      <c r="F308" s="911">
        <f t="shared" si="49"/>
        <v>0</v>
      </c>
      <c r="G308" s="909">
        <f t="shared" si="51"/>
        <v>0</v>
      </c>
      <c r="H308" s="909">
        <f t="shared" si="52"/>
        <v>0</v>
      </c>
      <c r="I308" s="909">
        <f t="shared" si="50"/>
        <v>0</v>
      </c>
      <c r="J308" s="935"/>
      <c r="K308" s="896"/>
    </row>
    <row r="309" spans="1:11">
      <c r="A309" s="865">
        <f>IF(Values_Entered,A308+1,"")</f>
        <v>285</v>
      </c>
      <c r="B309" s="937">
        <f t="shared" si="47"/>
        <v>53681</v>
      </c>
      <c r="C309" s="909">
        <f t="shared" si="53"/>
        <v>0</v>
      </c>
      <c r="D309" s="909">
        <f t="shared" si="54"/>
        <v>39635.364473693073</v>
      </c>
      <c r="E309" s="910">
        <f t="shared" si="48"/>
        <v>0</v>
      </c>
      <c r="F309" s="911">
        <f t="shared" si="49"/>
        <v>0</v>
      </c>
      <c r="G309" s="909">
        <f t="shared" si="51"/>
        <v>0</v>
      </c>
      <c r="H309" s="909">
        <f t="shared" si="52"/>
        <v>0</v>
      </c>
      <c r="I309" s="909">
        <f t="shared" si="50"/>
        <v>0</v>
      </c>
      <c r="J309" s="935"/>
      <c r="K309" s="896"/>
    </row>
    <row r="310" spans="1:11">
      <c r="A310" s="865">
        <f>IF(Values_Entered,A309+1,"")</f>
        <v>286</v>
      </c>
      <c r="B310" s="937">
        <f t="shared" si="47"/>
        <v>53712</v>
      </c>
      <c r="C310" s="909">
        <f t="shared" si="53"/>
        <v>0</v>
      </c>
      <c r="D310" s="909">
        <f t="shared" si="54"/>
        <v>39635.364473693073</v>
      </c>
      <c r="E310" s="910">
        <f t="shared" si="48"/>
        <v>0</v>
      </c>
      <c r="F310" s="911">
        <f t="shared" si="49"/>
        <v>0</v>
      </c>
      <c r="G310" s="909">
        <f t="shared" si="51"/>
        <v>0</v>
      </c>
      <c r="H310" s="909">
        <f t="shared" si="52"/>
        <v>0</v>
      </c>
      <c r="I310" s="909">
        <f t="shared" si="50"/>
        <v>0</v>
      </c>
      <c r="J310" s="935"/>
      <c r="K310" s="896"/>
    </row>
    <row r="311" spans="1:11">
      <c r="A311" s="865">
        <f>IF(Values_Entered,A310+1,"")</f>
        <v>287</v>
      </c>
      <c r="B311" s="937">
        <f t="shared" si="47"/>
        <v>53743</v>
      </c>
      <c r="C311" s="909">
        <f t="shared" si="53"/>
        <v>0</v>
      </c>
      <c r="D311" s="909">
        <f t="shared" si="54"/>
        <v>39635.364473693073</v>
      </c>
      <c r="E311" s="910">
        <f t="shared" si="48"/>
        <v>0</v>
      </c>
      <c r="F311" s="911">
        <f t="shared" si="49"/>
        <v>0</v>
      </c>
      <c r="G311" s="909">
        <f t="shared" si="51"/>
        <v>0</v>
      </c>
      <c r="H311" s="909">
        <f t="shared" si="52"/>
        <v>0</v>
      </c>
      <c r="I311" s="909">
        <f t="shared" si="50"/>
        <v>0</v>
      </c>
      <c r="J311" s="935"/>
      <c r="K311" s="896"/>
    </row>
    <row r="312" spans="1:11">
      <c r="A312" s="865">
        <f>IF(Values_Entered,A311+1,"")</f>
        <v>288</v>
      </c>
      <c r="B312" s="937">
        <f t="shared" si="47"/>
        <v>53771</v>
      </c>
      <c r="C312" s="909">
        <f t="shared" si="53"/>
        <v>0</v>
      </c>
      <c r="D312" s="909">
        <f t="shared" si="54"/>
        <v>39635.364473693073</v>
      </c>
      <c r="E312" s="910">
        <f t="shared" si="48"/>
        <v>0</v>
      </c>
      <c r="F312" s="911">
        <f t="shared" si="49"/>
        <v>0</v>
      </c>
      <c r="G312" s="909">
        <f t="shared" si="51"/>
        <v>0</v>
      </c>
      <c r="H312" s="909">
        <f t="shared" si="52"/>
        <v>0</v>
      </c>
      <c r="I312" s="909">
        <f t="shared" si="50"/>
        <v>0</v>
      </c>
      <c r="J312" s="935"/>
      <c r="K312" s="896"/>
    </row>
    <row r="313" spans="1:11">
      <c r="A313" s="865">
        <f>IF(Values_Entered,A312+1,"")</f>
        <v>289</v>
      </c>
      <c r="B313" s="937">
        <f t="shared" si="47"/>
        <v>53802</v>
      </c>
      <c r="C313" s="909">
        <f t="shared" si="53"/>
        <v>0</v>
      </c>
      <c r="D313" s="909">
        <f t="shared" si="54"/>
        <v>39635.364473693073</v>
      </c>
      <c r="E313" s="910">
        <f t="shared" si="48"/>
        <v>0</v>
      </c>
      <c r="F313" s="911">
        <f t="shared" si="49"/>
        <v>0</v>
      </c>
      <c r="G313" s="909">
        <f t="shared" si="51"/>
        <v>0</v>
      </c>
      <c r="H313" s="909">
        <f t="shared" si="52"/>
        <v>0</v>
      </c>
      <c r="I313" s="909">
        <f t="shared" si="50"/>
        <v>0</v>
      </c>
      <c r="J313" s="935"/>
      <c r="K313" s="896"/>
    </row>
    <row r="314" spans="1:11">
      <c r="A314" s="865">
        <f>IF(Values_Entered,A313+1,"")</f>
        <v>290</v>
      </c>
      <c r="B314" s="937">
        <f t="shared" si="47"/>
        <v>53832</v>
      </c>
      <c r="C314" s="909">
        <f t="shared" si="53"/>
        <v>0</v>
      </c>
      <c r="D314" s="909">
        <f t="shared" si="54"/>
        <v>39635.364473693073</v>
      </c>
      <c r="E314" s="910">
        <f t="shared" si="48"/>
        <v>0</v>
      </c>
      <c r="F314" s="911">
        <f t="shared" si="49"/>
        <v>0</v>
      </c>
      <c r="G314" s="909">
        <f t="shared" si="51"/>
        <v>0</v>
      </c>
      <c r="H314" s="909">
        <f t="shared" si="52"/>
        <v>0</v>
      </c>
      <c r="I314" s="909">
        <f t="shared" si="50"/>
        <v>0</v>
      </c>
      <c r="J314" s="935"/>
      <c r="K314" s="896"/>
    </row>
    <row r="315" spans="1:11">
      <c r="A315" s="865">
        <f>IF(Values_Entered,A314+1,"")</f>
        <v>291</v>
      </c>
      <c r="B315" s="937">
        <f t="shared" si="47"/>
        <v>53863</v>
      </c>
      <c r="C315" s="909">
        <f t="shared" si="53"/>
        <v>0</v>
      </c>
      <c r="D315" s="909">
        <f t="shared" si="54"/>
        <v>39635.364473693073</v>
      </c>
      <c r="E315" s="910">
        <f t="shared" si="48"/>
        <v>0</v>
      </c>
      <c r="F315" s="911">
        <f t="shared" si="49"/>
        <v>0</v>
      </c>
      <c r="G315" s="909">
        <f t="shared" si="51"/>
        <v>0</v>
      </c>
      <c r="H315" s="909">
        <f t="shared" si="52"/>
        <v>0</v>
      </c>
      <c r="I315" s="909">
        <f t="shared" si="50"/>
        <v>0</v>
      </c>
      <c r="J315" s="935"/>
      <c r="K315" s="896"/>
    </row>
    <row r="316" spans="1:11">
      <c r="A316" s="865">
        <f>IF(Values_Entered,A315+1,"")</f>
        <v>292</v>
      </c>
      <c r="B316" s="937">
        <f t="shared" si="47"/>
        <v>53893</v>
      </c>
      <c r="C316" s="909">
        <f t="shared" si="53"/>
        <v>0</v>
      </c>
      <c r="D316" s="909">
        <f t="shared" si="54"/>
        <v>39635.364473693073</v>
      </c>
      <c r="E316" s="910">
        <f t="shared" si="48"/>
        <v>0</v>
      </c>
      <c r="F316" s="911">
        <f t="shared" si="49"/>
        <v>0</v>
      </c>
      <c r="G316" s="909">
        <f t="shared" si="51"/>
        <v>0</v>
      </c>
      <c r="H316" s="909">
        <f t="shared" si="52"/>
        <v>0</v>
      </c>
      <c r="I316" s="909">
        <f t="shared" si="50"/>
        <v>0</v>
      </c>
      <c r="J316" s="935"/>
      <c r="K316" s="896"/>
    </row>
    <row r="317" spans="1:11">
      <c r="A317" s="865">
        <f>IF(Values_Entered,A316+1,"")</f>
        <v>293</v>
      </c>
      <c r="B317" s="937">
        <f t="shared" si="47"/>
        <v>53924</v>
      </c>
      <c r="C317" s="909">
        <f t="shared" si="53"/>
        <v>0</v>
      </c>
      <c r="D317" s="909">
        <f t="shared" si="54"/>
        <v>39635.364473693073</v>
      </c>
      <c r="E317" s="910">
        <f t="shared" si="48"/>
        <v>0</v>
      </c>
      <c r="F317" s="911">
        <f t="shared" si="49"/>
        <v>0</v>
      </c>
      <c r="G317" s="909">
        <f t="shared" si="51"/>
        <v>0</v>
      </c>
      <c r="H317" s="909">
        <f t="shared" si="52"/>
        <v>0</v>
      </c>
      <c r="I317" s="909">
        <f t="shared" si="50"/>
        <v>0</v>
      </c>
      <c r="J317" s="935"/>
      <c r="K317" s="896"/>
    </row>
    <row r="318" spans="1:11">
      <c r="A318" s="865">
        <f>IF(Values_Entered,A317+1,"")</f>
        <v>294</v>
      </c>
      <c r="B318" s="937">
        <f t="shared" si="47"/>
        <v>53955</v>
      </c>
      <c r="C318" s="909">
        <f t="shared" si="53"/>
        <v>0</v>
      </c>
      <c r="D318" s="909">
        <f t="shared" si="54"/>
        <v>39635.364473693073</v>
      </c>
      <c r="E318" s="910">
        <f t="shared" si="48"/>
        <v>0</v>
      </c>
      <c r="F318" s="911">
        <f t="shared" si="49"/>
        <v>0</v>
      </c>
      <c r="G318" s="909">
        <f t="shared" si="51"/>
        <v>0</v>
      </c>
      <c r="H318" s="909">
        <f t="shared" si="52"/>
        <v>0</v>
      </c>
      <c r="I318" s="909">
        <f t="shared" si="50"/>
        <v>0</v>
      </c>
      <c r="J318" s="935"/>
      <c r="K318" s="896"/>
    </row>
    <row r="319" spans="1:11">
      <c r="A319" s="865">
        <f>IF(Values_Entered,A318+1,"")</f>
        <v>295</v>
      </c>
      <c r="B319" s="937">
        <f t="shared" si="47"/>
        <v>53985</v>
      </c>
      <c r="C319" s="909">
        <f t="shared" si="53"/>
        <v>0</v>
      </c>
      <c r="D319" s="909">
        <f t="shared" si="54"/>
        <v>39635.364473693073</v>
      </c>
      <c r="E319" s="910">
        <f t="shared" si="48"/>
        <v>0</v>
      </c>
      <c r="F319" s="911">
        <f t="shared" si="49"/>
        <v>0</v>
      </c>
      <c r="G319" s="909">
        <f t="shared" si="51"/>
        <v>0</v>
      </c>
      <c r="H319" s="909">
        <f t="shared" si="52"/>
        <v>0</v>
      </c>
      <c r="I319" s="909">
        <f t="shared" si="50"/>
        <v>0</v>
      </c>
      <c r="J319" s="935"/>
      <c r="K319" s="896"/>
    </row>
    <row r="320" spans="1:11">
      <c r="A320" s="865">
        <f>IF(Values_Entered,A319+1,"")</f>
        <v>296</v>
      </c>
      <c r="B320" s="937">
        <f t="shared" si="47"/>
        <v>54016</v>
      </c>
      <c r="C320" s="909">
        <f t="shared" si="53"/>
        <v>0</v>
      </c>
      <c r="D320" s="909">
        <f t="shared" si="54"/>
        <v>39635.364473693073</v>
      </c>
      <c r="E320" s="910">
        <f t="shared" si="48"/>
        <v>0</v>
      </c>
      <c r="F320" s="911">
        <f t="shared" si="49"/>
        <v>0</v>
      </c>
      <c r="G320" s="909">
        <f t="shared" si="51"/>
        <v>0</v>
      </c>
      <c r="H320" s="909">
        <f t="shared" si="52"/>
        <v>0</v>
      </c>
      <c r="I320" s="909">
        <f t="shared" si="50"/>
        <v>0</v>
      </c>
      <c r="J320" s="935"/>
      <c r="K320" s="896"/>
    </row>
    <row r="321" spans="1:11">
      <c r="A321" s="865">
        <f>IF(Values_Entered,A320+1,"")</f>
        <v>297</v>
      </c>
      <c r="B321" s="937">
        <f t="shared" si="47"/>
        <v>54046</v>
      </c>
      <c r="C321" s="909">
        <f t="shared" si="53"/>
        <v>0</v>
      </c>
      <c r="D321" s="909">
        <f t="shared" si="54"/>
        <v>39635.364473693073</v>
      </c>
      <c r="E321" s="910">
        <f t="shared" si="48"/>
        <v>0</v>
      </c>
      <c r="F321" s="911">
        <f t="shared" si="49"/>
        <v>0</v>
      </c>
      <c r="G321" s="909">
        <f t="shared" si="51"/>
        <v>0</v>
      </c>
      <c r="H321" s="909">
        <f t="shared" si="52"/>
        <v>0</v>
      </c>
      <c r="I321" s="909">
        <f t="shared" si="50"/>
        <v>0</v>
      </c>
      <c r="J321" s="935"/>
      <c r="K321" s="896"/>
    </row>
    <row r="322" spans="1:11">
      <c r="A322" s="865">
        <f>IF(Values_Entered,A321+1,"")</f>
        <v>298</v>
      </c>
      <c r="B322" s="937">
        <f t="shared" si="47"/>
        <v>54077</v>
      </c>
      <c r="C322" s="909">
        <f t="shared" si="53"/>
        <v>0</v>
      </c>
      <c r="D322" s="909">
        <f t="shared" si="54"/>
        <v>39635.364473693073</v>
      </c>
      <c r="E322" s="910">
        <f t="shared" si="48"/>
        <v>0</v>
      </c>
      <c r="F322" s="911">
        <f t="shared" si="49"/>
        <v>0</v>
      </c>
      <c r="G322" s="909">
        <f t="shared" si="51"/>
        <v>0</v>
      </c>
      <c r="H322" s="909">
        <f t="shared" si="52"/>
        <v>0</v>
      </c>
      <c r="I322" s="909">
        <f t="shared" si="50"/>
        <v>0</v>
      </c>
      <c r="J322" s="935"/>
      <c r="K322" s="896"/>
    </row>
    <row r="323" spans="1:11">
      <c r="A323" s="865">
        <f>IF(Values_Entered,A322+1,"")</f>
        <v>299</v>
      </c>
      <c r="B323" s="937">
        <f t="shared" si="47"/>
        <v>54108</v>
      </c>
      <c r="C323" s="909">
        <f t="shared" si="53"/>
        <v>0</v>
      </c>
      <c r="D323" s="909">
        <f t="shared" si="54"/>
        <v>39635.364473693073</v>
      </c>
      <c r="E323" s="910">
        <f t="shared" si="48"/>
        <v>0</v>
      </c>
      <c r="F323" s="911">
        <f t="shared" si="49"/>
        <v>0</v>
      </c>
      <c r="G323" s="909">
        <f t="shared" si="51"/>
        <v>0</v>
      </c>
      <c r="H323" s="909">
        <f t="shared" si="52"/>
        <v>0</v>
      </c>
      <c r="I323" s="909">
        <f t="shared" si="50"/>
        <v>0</v>
      </c>
      <c r="J323" s="935"/>
      <c r="K323" s="896"/>
    </row>
    <row r="324" spans="1:11">
      <c r="A324" s="865">
        <f>IF(Values_Entered,A323+1,"")</f>
        <v>300</v>
      </c>
      <c r="B324" s="937">
        <f t="shared" si="47"/>
        <v>54137</v>
      </c>
      <c r="C324" s="909">
        <f t="shared" si="53"/>
        <v>0</v>
      </c>
      <c r="D324" s="909">
        <f t="shared" si="54"/>
        <v>39635.364473693073</v>
      </c>
      <c r="E324" s="910">
        <f t="shared" si="48"/>
        <v>0</v>
      </c>
      <c r="F324" s="911">
        <f t="shared" si="49"/>
        <v>0</v>
      </c>
      <c r="G324" s="909">
        <f t="shared" si="51"/>
        <v>0</v>
      </c>
      <c r="H324" s="909">
        <f t="shared" si="52"/>
        <v>0</v>
      </c>
      <c r="I324" s="909">
        <f t="shared" si="50"/>
        <v>0</v>
      </c>
      <c r="J324" s="935"/>
      <c r="K324" s="896"/>
    </row>
    <row r="325" spans="1:11">
      <c r="A325" s="865">
        <f>IF(Values_Entered,A324+1,"")</f>
        <v>301</v>
      </c>
      <c r="B325" s="937">
        <f t="shared" si="47"/>
        <v>54168</v>
      </c>
      <c r="C325" s="909">
        <f t="shared" si="53"/>
        <v>0</v>
      </c>
      <c r="D325" s="909">
        <f t="shared" si="54"/>
        <v>39635.364473693073</v>
      </c>
      <c r="E325" s="910">
        <f t="shared" si="48"/>
        <v>0</v>
      </c>
      <c r="F325" s="911">
        <f t="shared" si="49"/>
        <v>0</v>
      </c>
      <c r="G325" s="909">
        <f t="shared" si="51"/>
        <v>0</v>
      </c>
      <c r="H325" s="909">
        <f t="shared" si="52"/>
        <v>0</v>
      </c>
      <c r="I325" s="909">
        <f t="shared" si="50"/>
        <v>0</v>
      </c>
      <c r="J325" s="935"/>
      <c r="K325" s="896"/>
    </row>
    <row r="326" spans="1:11">
      <c r="A326" s="865">
        <f>IF(Values_Entered,A325+1,"")</f>
        <v>302</v>
      </c>
      <c r="B326" s="937">
        <f t="shared" si="47"/>
        <v>54198</v>
      </c>
      <c r="C326" s="909">
        <f t="shared" si="53"/>
        <v>0</v>
      </c>
      <c r="D326" s="909">
        <f t="shared" si="54"/>
        <v>39635.364473693073</v>
      </c>
      <c r="E326" s="910">
        <f t="shared" si="48"/>
        <v>0</v>
      </c>
      <c r="F326" s="911">
        <f t="shared" si="49"/>
        <v>0</v>
      </c>
      <c r="G326" s="909">
        <f t="shared" si="51"/>
        <v>0</v>
      </c>
      <c r="H326" s="909">
        <f t="shared" si="52"/>
        <v>0</v>
      </c>
      <c r="I326" s="909">
        <f t="shared" si="50"/>
        <v>0</v>
      </c>
      <c r="J326" s="935"/>
      <c r="K326" s="896"/>
    </row>
    <row r="327" spans="1:11">
      <c r="A327" s="865">
        <f>IF(Values_Entered,A326+1,"")</f>
        <v>303</v>
      </c>
      <c r="B327" s="937">
        <f t="shared" si="47"/>
        <v>54229</v>
      </c>
      <c r="C327" s="909">
        <f t="shared" si="53"/>
        <v>0</v>
      </c>
      <c r="D327" s="909">
        <f t="shared" si="54"/>
        <v>39635.364473693073</v>
      </c>
      <c r="E327" s="910">
        <f t="shared" si="48"/>
        <v>0</v>
      </c>
      <c r="F327" s="911">
        <f t="shared" si="49"/>
        <v>0</v>
      </c>
      <c r="G327" s="909">
        <f t="shared" si="51"/>
        <v>0</v>
      </c>
      <c r="H327" s="909">
        <f t="shared" si="52"/>
        <v>0</v>
      </c>
      <c r="I327" s="909">
        <f t="shared" si="50"/>
        <v>0</v>
      </c>
      <c r="J327" s="935"/>
      <c r="K327" s="896"/>
    </row>
    <row r="328" spans="1:11">
      <c r="A328" s="865">
        <f>IF(Values_Entered,A327+1,"")</f>
        <v>304</v>
      </c>
      <c r="B328" s="937">
        <f t="shared" si="47"/>
        <v>54259</v>
      </c>
      <c r="C328" s="909">
        <f t="shared" si="53"/>
        <v>0</v>
      </c>
      <c r="D328" s="909">
        <f t="shared" si="54"/>
        <v>39635.364473693073</v>
      </c>
      <c r="E328" s="910">
        <f t="shared" si="48"/>
        <v>0</v>
      </c>
      <c r="F328" s="911">
        <f t="shared" si="49"/>
        <v>0</v>
      </c>
      <c r="G328" s="909">
        <f t="shared" si="51"/>
        <v>0</v>
      </c>
      <c r="H328" s="909">
        <f t="shared" si="52"/>
        <v>0</v>
      </c>
      <c r="I328" s="909">
        <f t="shared" si="50"/>
        <v>0</v>
      </c>
      <c r="J328" s="935"/>
      <c r="K328" s="896"/>
    </row>
    <row r="329" spans="1:11">
      <c r="A329" s="865">
        <f>IF(Values_Entered,A328+1,"")</f>
        <v>305</v>
      </c>
      <c r="B329" s="937">
        <f t="shared" si="47"/>
        <v>54290</v>
      </c>
      <c r="C329" s="909">
        <f t="shared" si="53"/>
        <v>0</v>
      </c>
      <c r="D329" s="909">
        <f t="shared" si="54"/>
        <v>39635.364473693073</v>
      </c>
      <c r="E329" s="910">
        <f t="shared" si="48"/>
        <v>0</v>
      </c>
      <c r="F329" s="911">
        <f t="shared" si="49"/>
        <v>0</v>
      </c>
      <c r="G329" s="909">
        <f t="shared" si="51"/>
        <v>0</v>
      </c>
      <c r="H329" s="909">
        <f t="shared" si="52"/>
        <v>0</v>
      </c>
      <c r="I329" s="909">
        <f t="shared" si="50"/>
        <v>0</v>
      </c>
      <c r="J329" s="935"/>
      <c r="K329" s="896"/>
    </row>
    <row r="330" spans="1:11">
      <c r="A330" s="865">
        <f>IF(Values_Entered,A329+1,"")</f>
        <v>306</v>
      </c>
      <c r="B330" s="937">
        <f t="shared" si="47"/>
        <v>54321</v>
      </c>
      <c r="C330" s="909">
        <f t="shared" si="53"/>
        <v>0</v>
      </c>
      <c r="D330" s="909">
        <f t="shared" si="54"/>
        <v>39635.364473693073</v>
      </c>
      <c r="E330" s="910">
        <f t="shared" si="48"/>
        <v>0</v>
      </c>
      <c r="F330" s="911">
        <f t="shared" si="49"/>
        <v>0</v>
      </c>
      <c r="G330" s="909">
        <f t="shared" si="51"/>
        <v>0</v>
      </c>
      <c r="H330" s="909">
        <f t="shared" si="52"/>
        <v>0</v>
      </c>
      <c r="I330" s="909">
        <f t="shared" si="50"/>
        <v>0</v>
      </c>
      <c r="J330" s="935"/>
      <c r="K330" s="896"/>
    </row>
    <row r="331" spans="1:11">
      <c r="A331" s="865">
        <f>IF(Values_Entered,A330+1,"")</f>
        <v>307</v>
      </c>
      <c r="B331" s="937">
        <f t="shared" si="47"/>
        <v>54351</v>
      </c>
      <c r="C331" s="909">
        <f t="shared" si="53"/>
        <v>0</v>
      </c>
      <c r="D331" s="909">
        <f t="shared" si="54"/>
        <v>39635.364473693073</v>
      </c>
      <c r="E331" s="910">
        <f t="shared" si="48"/>
        <v>0</v>
      </c>
      <c r="F331" s="911">
        <f t="shared" si="49"/>
        <v>0</v>
      </c>
      <c r="G331" s="909">
        <f t="shared" si="51"/>
        <v>0</v>
      </c>
      <c r="H331" s="909">
        <f t="shared" si="52"/>
        <v>0</v>
      </c>
      <c r="I331" s="909">
        <f t="shared" si="50"/>
        <v>0</v>
      </c>
      <c r="J331" s="935"/>
      <c r="K331" s="896"/>
    </row>
    <row r="332" spans="1:11">
      <c r="A332" s="865">
        <f>IF(Values_Entered,A331+1,"")</f>
        <v>308</v>
      </c>
      <c r="B332" s="937">
        <f t="shared" si="47"/>
        <v>54382</v>
      </c>
      <c r="C332" s="909">
        <f t="shared" si="53"/>
        <v>0</v>
      </c>
      <c r="D332" s="909">
        <f t="shared" si="54"/>
        <v>39635.364473693073</v>
      </c>
      <c r="E332" s="910">
        <f t="shared" si="48"/>
        <v>0</v>
      </c>
      <c r="F332" s="911">
        <f t="shared" si="49"/>
        <v>0</v>
      </c>
      <c r="G332" s="909">
        <f t="shared" si="51"/>
        <v>0</v>
      </c>
      <c r="H332" s="909">
        <f t="shared" si="52"/>
        <v>0</v>
      </c>
      <c r="I332" s="909">
        <f t="shared" si="50"/>
        <v>0</v>
      </c>
      <c r="J332" s="935"/>
      <c r="K332" s="896"/>
    </row>
    <row r="333" spans="1:11">
      <c r="A333" s="865">
        <f>IF(Values_Entered,A332+1,"")</f>
        <v>309</v>
      </c>
      <c r="B333" s="937">
        <f t="shared" si="47"/>
        <v>54412</v>
      </c>
      <c r="C333" s="909">
        <f t="shared" si="53"/>
        <v>0</v>
      </c>
      <c r="D333" s="909">
        <f t="shared" si="54"/>
        <v>39635.364473693073</v>
      </c>
      <c r="E333" s="910">
        <f t="shared" si="48"/>
        <v>0</v>
      </c>
      <c r="F333" s="911">
        <f t="shared" si="49"/>
        <v>0</v>
      </c>
      <c r="G333" s="909">
        <f t="shared" si="51"/>
        <v>0</v>
      </c>
      <c r="H333" s="909">
        <f t="shared" si="52"/>
        <v>0</v>
      </c>
      <c r="I333" s="909">
        <f t="shared" si="50"/>
        <v>0</v>
      </c>
      <c r="J333" s="935"/>
      <c r="K333" s="896"/>
    </row>
    <row r="334" spans="1:11">
      <c r="A334" s="865">
        <f>IF(Values_Entered,A333+1,"")</f>
        <v>310</v>
      </c>
      <c r="B334" s="937">
        <f t="shared" si="47"/>
        <v>54443</v>
      </c>
      <c r="C334" s="909">
        <f t="shared" si="53"/>
        <v>0</v>
      </c>
      <c r="D334" s="909">
        <f t="shared" si="54"/>
        <v>39635.364473693073</v>
      </c>
      <c r="E334" s="910">
        <f t="shared" si="48"/>
        <v>0</v>
      </c>
      <c r="F334" s="911">
        <f t="shared" si="49"/>
        <v>0</v>
      </c>
      <c r="G334" s="909">
        <f t="shared" si="51"/>
        <v>0</v>
      </c>
      <c r="H334" s="909">
        <f t="shared" si="52"/>
        <v>0</v>
      </c>
      <c r="I334" s="909">
        <f t="shared" si="50"/>
        <v>0</v>
      </c>
      <c r="J334" s="935"/>
      <c r="K334" s="896"/>
    </row>
    <row r="335" spans="1:11">
      <c r="A335" s="865">
        <f>IF(Values_Entered,A334+1,"")</f>
        <v>311</v>
      </c>
      <c r="B335" s="937">
        <f t="shared" si="47"/>
        <v>54474</v>
      </c>
      <c r="C335" s="909">
        <f t="shared" si="53"/>
        <v>0</v>
      </c>
      <c r="D335" s="909">
        <f t="shared" si="54"/>
        <v>39635.364473693073</v>
      </c>
      <c r="E335" s="910">
        <f t="shared" si="48"/>
        <v>0</v>
      </c>
      <c r="F335" s="911">
        <f t="shared" si="49"/>
        <v>0</v>
      </c>
      <c r="G335" s="909">
        <f t="shared" si="51"/>
        <v>0</v>
      </c>
      <c r="H335" s="909">
        <f t="shared" si="52"/>
        <v>0</v>
      </c>
      <c r="I335" s="909">
        <f t="shared" si="50"/>
        <v>0</v>
      </c>
      <c r="J335" s="935"/>
      <c r="K335" s="896"/>
    </row>
    <row r="336" spans="1:11">
      <c r="A336" s="865">
        <f>IF(Values_Entered,A335+1,"")</f>
        <v>312</v>
      </c>
      <c r="B336" s="937">
        <f t="shared" si="47"/>
        <v>54502</v>
      </c>
      <c r="C336" s="909">
        <f t="shared" si="53"/>
        <v>0</v>
      </c>
      <c r="D336" s="909">
        <f t="shared" si="54"/>
        <v>39635.364473693073</v>
      </c>
      <c r="E336" s="910">
        <f t="shared" si="48"/>
        <v>0</v>
      </c>
      <c r="F336" s="911">
        <f t="shared" si="49"/>
        <v>0</v>
      </c>
      <c r="G336" s="909">
        <f t="shared" si="51"/>
        <v>0</v>
      </c>
      <c r="H336" s="909">
        <f t="shared" si="52"/>
        <v>0</v>
      </c>
      <c r="I336" s="909">
        <f t="shared" si="50"/>
        <v>0</v>
      </c>
      <c r="J336" s="935"/>
      <c r="K336" s="896"/>
    </row>
    <row r="337" spans="1:11">
      <c r="A337" s="865">
        <f>IF(Values_Entered,A336+1,"")</f>
        <v>313</v>
      </c>
      <c r="B337" s="937">
        <f t="shared" si="47"/>
        <v>54533</v>
      </c>
      <c r="C337" s="909">
        <f t="shared" si="53"/>
        <v>0</v>
      </c>
      <c r="D337" s="909">
        <f t="shared" si="54"/>
        <v>39635.364473693073</v>
      </c>
      <c r="E337" s="910">
        <f t="shared" si="48"/>
        <v>0</v>
      </c>
      <c r="F337" s="911">
        <f t="shared" si="49"/>
        <v>0</v>
      </c>
      <c r="G337" s="909">
        <f t="shared" si="51"/>
        <v>0</v>
      </c>
      <c r="H337" s="909">
        <f t="shared" si="52"/>
        <v>0</v>
      </c>
      <c r="I337" s="909">
        <f t="shared" si="50"/>
        <v>0</v>
      </c>
      <c r="J337" s="935"/>
      <c r="K337" s="896"/>
    </row>
    <row r="338" spans="1:11">
      <c r="A338" s="865">
        <f>IF(Values_Entered,A337+1,"")</f>
        <v>314</v>
      </c>
      <c r="B338" s="937">
        <f t="shared" si="47"/>
        <v>54563</v>
      </c>
      <c r="C338" s="909">
        <f t="shared" si="53"/>
        <v>0</v>
      </c>
      <c r="D338" s="909">
        <f t="shared" si="54"/>
        <v>39635.364473693073</v>
      </c>
      <c r="E338" s="910">
        <f t="shared" si="48"/>
        <v>0</v>
      </c>
      <c r="F338" s="911">
        <f t="shared" si="49"/>
        <v>0</v>
      </c>
      <c r="G338" s="909">
        <f t="shared" si="51"/>
        <v>0</v>
      </c>
      <c r="H338" s="909">
        <f t="shared" si="52"/>
        <v>0</v>
      </c>
      <c r="I338" s="909">
        <f t="shared" si="50"/>
        <v>0</v>
      </c>
      <c r="J338" s="935"/>
      <c r="K338" s="896"/>
    </row>
    <row r="339" spans="1:11">
      <c r="A339" s="865">
        <f>IF(Values_Entered,A338+1,"")</f>
        <v>315</v>
      </c>
      <c r="B339" s="937">
        <f t="shared" si="47"/>
        <v>54594</v>
      </c>
      <c r="C339" s="909">
        <f t="shared" si="53"/>
        <v>0</v>
      </c>
      <c r="D339" s="909">
        <f t="shared" si="54"/>
        <v>39635.364473693073</v>
      </c>
      <c r="E339" s="910">
        <f t="shared" si="48"/>
        <v>0</v>
      </c>
      <c r="F339" s="911">
        <f t="shared" si="49"/>
        <v>0</v>
      </c>
      <c r="G339" s="909">
        <f t="shared" si="51"/>
        <v>0</v>
      </c>
      <c r="H339" s="909">
        <f t="shared" si="52"/>
        <v>0</v>
      </c>
      <c r="I339" s="909">
        <f t="shared" si="50"/>
        <v>0</v>
      </c>
      <c r="J339" s="935"/>
      <c r="K339" s="896"/>
    </row>
    <row r="340" spans="1:11">
      <c r="A340" s="865">
        <f>IF(Values_Entered,A339+1,"")</f>
        <v>316</v>
      </c>
      <c r="B340" s="937">
        <f t="shared" si="47"/>
        <v>54624</v>
      </c>
      <c r="C340" s="909">
        <f t="shared" si="53"/>
        <v>0</v>
      </c>
      <c r="D340" s="909">
        <f t="shared" si="54"/>
        <v>39635.364473693073</v>
      </c>
      <c r="E340" s="910">
        <f t="shared" si="48"/>
        <v>0</v>
      </c>
      <c r="F340" s="911">
        <f t="shared" si="49"/>
        <v>0</v>
      </c>
      <c r="G340" s="909">
        <f t="shared" si="51"/>
        <v>0</v>
      </c>
      <c r="H340" s="909">
        <f t="shared" si="52"/>
        <v>0</v>
      </c>
      <c r="I340" s="909">
        <f t="shared" si="50"/>
        <v>0</v>
      </c>
      <c r="J340" s="935"/>
      <c r="K340" s="896"/>
    </row>
    <row r="341" spans="1:11">
      <c r="A341" s="865">
        <f>IF(Values_Entered,A340+1,"")</f>
        <v>317</v>
      </c>
      <c r="B341" s="937">
        <f t="shared" si="47"/>
        <v>54655</v>
      </c>
      <c r="C341" s="909">
        <f t="shared" si="53"/>
        <v>0</v>
      </c>
      <c r="D341" s="909">
        <f t="shared" si="54"/>
        <v>39635.364473693073</v>
      </c>
      <c r="E341" s="910">
        <f t="shared" si="48"/>
        <v>0</v>
      </c>
      <c r="F341" s="911">
        <f t="shared" si="49"/>
        <v>0</v>
      </c>
      <c r="G341" s="909">
        <f t="shared" si="51"/>
        <v>0</v>
      </c>
      <c r="H341" s="909">
        <f t="shared" si="52"/>
        <v>0</v>
      </c>
      <c r="I341" s="909">
        <f t="shared" si="50"/>
        <v>0</v>
      </c>
      <c r="J341" s="935"/>
      <c r="K341" s="896"/>
    </row>
    <row r="342" spans="1:11">
      <c r="A342" s="865">
        <f>IF(Values_Entered,A341+1,"")</f>
        <v>318</v>
      </c>
      <c r="B342" s="937">
        <f t="shared" si="47"/>
        <v>54686</v>
      </c>
      <c r="C342" s="909">
        <f t="shared" si="53"/>
        <v>0</v>
      </c>
      <c r="D342" s="909">
        <f t="shared" si="54"/>
        <v>39635.364473693073</v>
      </c>
      <c r="E342" s="910">
        <f t="shared" si="48"/>
        <v>0</v>
      </c>
      <c r="F342" s="911">
        <f t="shared" si="49"/>
        <v>0</v>
      </c>
      <c r="G342" s="909">
        <f t="shared" si="51"/>
        <v>0</v>
      </c>
      <c r="H342" s="909">
        <f t="shared" si="52"/>
        <v>0</v>
      </c>
      <c r="I342" s="909">
        <f t="shared" si="50"/>
        <v>0</v>
      </c>
      <c r="J342" s="935"/>
      <c r="K342" s="896"/>
    </row>
    <row r="343" spans="1:11">
      <c r="A343" s="865">
        <f>IF(Values_Entered,A342+1,"")</f>
        <v>319</v>
      </c>
      <c r="B343" s="937">
        <f t="shared" si="47"/>
        <v>54716</v>
      </c>
      <c r="C343" s="909">
        <f t="shared" si="53"/>
        <v>0</v>
      </c>
      <c r="D343" s="909">
        <f t="shared" si="54"/>
        <v>39635.364473693073</v>
      </c>
      <c r="E343" s="910">
        <f t="shared" si="48"/>
        <v>0</v>
      </c>
      <c r="F343" s="911">
        <f t="shared" si="49"/>
        <v>0</v>
      </c>
      <c r="G343" s="909">
        <f t="shared" si="51"/>
        <v>0</v>
      </c>
      <c r="H343" s="909">
        <f t="shared" si="52"/>
        <v>0</v>
      </c>
      <c r="I343" s="909">
        <f t="shared" si="50"/>
        <v>0</v>
      </c>
      <c r="J343" s="935"/>
      <c r="K343" s="896"/>
    </row>
    <row r="344" spans="1:11">
      <c r="A344" s="865">
        <f>IF(Values_Entered,A343+1,"")</f>
        <v>320</v>
      </c>
      <c r="B344" s="937">
        <f t="shared" si="47"/>
        <v>54747</v>
      </c>
      <c r="C344" s="909">
        <f t="shared" si="53"/>
        <v>0</v>
      </c>
      <c r="D344" s="909">
        <f t="shared" si="54"/>
        <v>39635.364473693073</v>
      </c>
      <c r="E344" s="910">
        <f t="shared" si="48"/>
        <v>0</v>
      </c>
      <c r="F344" s="911">
        <f t="shared" si="49"/>
        <v>0</v>
      </c>
      <c r="G344" s="909">
        <f t="shared" si="51"/>
        <v>0</v>
      </c>
      <c r="H344" s="909">
        <f t="shared" si="52"/>
        <v>0</v>
      </c>
      <c r="I344" s="909">
        <f t="shared" si="50"/>
        <v>0</v>
      </c>
      <c r="J344" s="935"/>
      <c r="K344" s="896"/>
    </row>
    <row r="345" spans="1:11">
      <c r="A345" s="865">
        <f>IF(Values_Entered,A344+1,"")</f>
        <v>321</v>
      </c>
      <c r="B345" s="937">
        <f t="shared" ref="B345:B384" si="55">IF(Pay_Num&lt;&gt;"",DATE(YEAR(Loan_Start),MONTH(Loan_Start)+(Pay_Num)*12/Num_Pmt_Per_Year,DAY(Loan_Start)),"")</f>
        <v>54777</v>
      </c>
      <c r="C345" s="909">
        <f t="shared" si="53"/>
        <v>0</v>
      </c>
      <c r="D345" s="909">
        <f t="shared" si="54"/>
        <v>39635.364473693073</v>
      </c>
      <c r="E345" s="910">
        <f t="shared" ref="E345:E384" si="56">IF(AND(Pay_Num&lt;&gt;"",Sched_Pay+Scheduled_Extra_Payments&lt;Beg_Bal),Scheduled_Extra_Payments,IF(AND(Pay_Num&lt;&gt;"",Beg_Bal-Sched_Pay&gt;0),Beg_Bal-Sched_Pay,IF(Pay_Num&lt;&gt;"",0,"")))</f>
        <v>0</v>
      </c>
      <c r="F345" s="911">
        <f t="shared" ref="F345:F384" si="57">IF(AND(Pay_Num&lt;&gt;"",Sched_Pay+Extra_Pay&lt;Beg_Bal),Sched_Pay+Extra_Pay,IF(Pay_Num&lt;&gt;"",Beg_Bal,""))</f>
        <v>0</v>
      </c>
      <c r="G345" s="909">
        <f t="shared" si="51"/>
        <v>0</v>
      </c>
      <c r="H345" s="909">
        <f t="shared" si="52"/>
        <v>0</v>
      </c>
      <c r="I345" s="909">
        <f t="shared" ref="I345:I384" si="58">IF(AND(Pay_Num&lt;&gt;"",Sched_Pay+Extra_Pay&lt;Beg_Bal),Beg_Bal-Princ,IF(Pay_Num&lt;&gt;"",0,""))</f>
        <v>0</v>
      </c>
      <c r="J345" s="935"/>
      <c r="K345" s="896"/>
    </row>
    <row r="346" spans="1:11">
      <c r="A346" s="865">
        <f>IF(Values_Entered,A345+1,"")</f>
        <v>322</v>
      </c>
      <c r="B346" s="937">
        <f t="shared" si="55"/>
        <v>54808</v>
      </c>
      <c r="C346" s="909">
        <f t="shared" si="53"/>
        <v>0</v>
      </c>
      <c r="D346" s="909">
        <f t="shared" si="54"/>
        <v>39635.364473693073</v>
      </c>
      <c r="E346" s="910">
        <f t="shared" si="56"/>
        <v>0</v>
      </c>
      <c r="F346" s="911">
        <f t="shared" si="57"/>
        <v>0</v>
      </c>
      <c r="G346" s="909">
        <f t="shared" ref="G346:G384" si="59">IF(Pay_Num&lt;&gt;"",Total_Pay-Int,"")</f>
        <v>0</v>
      </c>
      <c r="H346" s="909">
        <f t="shared" ref="H346:H384" si="60">IF(Pay_Num&lt;&gt;"",Beg_Bal*Interest_Rate/Num_Pmt_Per_Year,"")</f>
        <v>0</v>
      </c>
      <c r="I346" s="909">
        <f t="shared" si="58"/>
        <v>0</v>
      </c>
      <c r="J346" s="935"/>
      <c r="K346" s="896"/>
    </row>
    <row r="347" spans="1:11">
      <c r="A347" s="865">
        <f>IF(Values_Entered,A346+1,"")</f>
        <v>323</v>
      </c>
      <c r="B347" s="937">
        <f t="shared" si="55"/>
        <v>54839</v>
      </c>
      <c r="C347" s="909">
        <f t="shared" ref="C347:C384" si="61">IF(Pay_Num&lt;&gt;"",I346,"")</f>
        <v>0</v>
      </c>
      <c r="D347" s="909">
        <f t="shared" ref="D347:D384" si="62">IF(Pay_Num&lt;&gt;"",Scheduled_Monthly_Payment,"")</f>
        <v>39635.364473693073</v>
      </c>
      <c r="E347" s="910">
        <f t="shared" si="56"/>
        <v>0</v>
      </c>
      <c r="F347" s="911">
        <f t="shared" si="57"/>
        <v>0</v>
      </c>
      <c r="G347" s="909">
        <f t="shared" si="59"/>
        <v>0</v>
      </c>
      <c r="H347" s="909">
        <f t="shared" si="60"/>
        <v>0</v>
      </c>
      <c r="I347" s="909">
        <f t="shared" si="58"/>
        <v>0</v>
      </c>
      <c r="J347" s="935"/>
      <c r="K347" s="896"/>
    </row>
    <row r="348" spans="1:11">
      <c r="A348" s="865">
        <f>IF(Values_Entered,A347+1,"")</f>
        <v>324</v>
      </c>
      <c r="B348" s="937">
        <f t="shared" si="55"/>
        <v>54867</v>
      </c>
      <c r="C348" s="909">
        <f t="shared" si="61"/>
        <v>0</v>
      </c>
      <c r="D348" s="909">
        <f t="shared" si="62"/>
        <v>39635.364473693073</v>
      </c>
      <c r="E348" s="910">
        <f t="shared" si="56"/>
        <v>0</v>
      </c>
      <c r="F348" s="911">
        <f t="shared" si="57"/>
        <v>0</v>
      </c>
      <c r="G348" s="909">
        <f t="shared" si="59"/>
        <v>0</v>
      </c>
      <c r="H348" s="909">
        <f t="shared" si="60"/>
        <v>0</v>
      </c>
      <c r="I348" s="909">
        <f t="shared" si="58"/>
        <v>0</v>
      </c>
      <c r="J348" s="935"/>
      <c r="K348" s="896"/>
    </row>
    <row r="349" spans="1:11">
      <c r="A349" s="865">
        <f>IF(Values_Entered,A348+1,"")</f>
        <v>325</v>
      </c>
      <c r="B349" s="937">
        <f t="shared" si="55"/>
        <v>54898</v>
      </c>
      <c r="C349" s="909">
        <f t="shared" si="61"/>
        <v>0</v>
      </c>
      <c r="D349" s="909">
        <f t="shared" si="62"/>
        <v>39635.364473693073</v>
      </c>
      <c r="E349" s="910">
        <f t="shared" si="56"/>
        <v>0</v>
      </c>
      <c r="F349" s="911">
        <f t="shared" si="57"/>
        <v>0</v>
      </c>
      <c r="G349" s="909">
        <f t="shared" si="59"/>
        <v>0</v>
      </c>
      <c r="H349" s="909">
        <f t="shared" si="60"/>
        <v>0</v>
      </c>
      <c r="I349" s="909">
        <f t="shared" si="58"/>
        <v>0</v>
      </c>
      <c r="J349" s="935"/>
      <c r="K349" s="896"/>
    </row>
    <row r="350" spans="1:11">
      <c r="A350" s="865">
        <f>IF(Values_Entered,A349+1,"")</f>
        <v>326</v>
      </c>
      <c r="B350" s="937">
        <f t="shared" si="55"/>
        <v>54928</v>
      </c>
      <c r="C350" s="909">
        <f t="shared" si="61"/>
        <v>0</v>
      </c>
      <c r="D350" s="909">
        <f t="shared" si="62"/>
        <v>39635.364473693073</v>
      </c>
      <c r="E350" s="910">
        <f t="shared" si="56"/>
        <v>0</v>
      </c>
      <c r="F350" s="911">
        <f t="shared" si="57"/>
        <v>0</v>
      </c>
      <c r="G350" s="909">
        <f t="shared" si="59"/>
        <v>0</v>
      </c>
      <c r="H350" s="909">
        <f t="shared" si="60"/>
        <v>0</v>
      </c>
      <c r="I350" s="909">
        <f t="shared" si="58"/>
        <v>0</v>
      </c>
      <c r="J350" s="935"/>
      <c r="K350" s="896"/>
    </row>
    <row r="351" spans="1:11">
      <c r="A351" s="865">
        <f>IF(Values_Entered,A350+1,"")</f>
        <v>327</v>
      </c>
      <c r="B351" s="937">
        <f t="shared" si="55"/>
        <v>54959</v>
      </c>
      <c r="C351" s="909">
        <f t="shared" si="61"/>
        <v>0</v>
      </c>
      <c r="D351" s="909">
        <f t="shared" si="62"/>
        <v>39635.364473693073</v>
      </c>
      <c r="E351" s="910">
        <f t="shared" si="56"/>
        <v>0</v>
      </c>
      <c r="F351" s="911">
        <f t="shared" si="57"/>
        <v>0</v>
      </c>
      <c r="G351" s="909">
        <f t="shared" si="59"/>
        <v>0</v>
      </c>
      <c r="H351" s="909">
        <f t="shared" si="60"/>
        <v>0</v>
      </c>
      <c r="I351" s="909">
        <f t="shared" si="58"/>
        <v>0</v>
      </c>
      <c r="J351" s="935"/>
      <c r="K351" s="896"/>
    </row>
    <row r="352" spans="1:11">
      <c r="A352" s="865">
        <f>IF(Values_Entered,A351+1,"")</f>
        <v>328</v>
      </c>
      <c r="B352" s="937">
        <f t="shared" si="55"/>
        <v>54989</v>
      </c>
      <c r="C352" s="909">
        <f t="shared" si="61"/>
        <v>0</v>
      </c>
      <c r="D352" s="909">
        <f t="shared" si="62"/>
        <v>39635.364473693073</v>
      </c>
      <c r="E352" s="910">
        <f t="shared" si="56"/>
        <v>0</v>
      </c>
      <c r="F352" s="911">
        <f t="shared" si="57"/>
        <v>0</v>
      </c>
      <c r="G352" s="909">
        <f t="shared" si="59"/>
        <v>0</v>
      </c>
      <c r="H352" s="909">
        <f t="shared" si="60"/>
        <v>0</v>
      </c>
      <c r="I352" s="909">
        <f t="shared" si="58"/>
        <v>0</v>
      </c>
      <c r="J352" s="935"/>
      <c r="K352" s="896"/>
    </row>
    <row r="353" spans="1:11">
      <c r="A353" s="865">
        <f>IF(Values_Entered,A352+1,"")</f>
        <v>329</v>
      </c>
      <c r="B353" s="937">
        <f t="shared" si="55"/>
        <v>55020</v>
      </c>
      <c r="C353" s="909">
        <f t="shared" si="61"/>
        <v>0</v>
      </c>
      <c r="D353" s="909">
        <f t="shared" si="62"/>
        <v>39635.364473693073</v>
      </c>
      <c r="E353" s="910">
        <f t="shared" si="56"/>
        <v>0</v>
      </c>
      <c r="F353" s="911">
        <f t="shared" si="57"/>
        <v>0</v>
      </c>
      <c r="G353" s="909">
        <f t="shared" si="59"/>
        <v>0</v>
      </c>
      <c r="H353" s="909">
        <f t="shared" si="60"/>
        <v>0</v>
      </c>
      <c r="I353" s="909">
        <f t="shared" si="58"/>
        <v>0</v>
      </c>
      <c r="J353" s="935"/>
      <c r="K353" s="896"/>
    </row>
    <row r="354" spans="1:11">
      <c r="A354" s="865">
        <f>IF(Values_Entered,A353+1,"")</f>
        <v>330</v>
      </c>
      <c r="B354" s="937">
        <f t="shared" si="55"/>
        <v>55051</v>
      </c>
      <c r="C354" s="909">
        <f t="shared" si="61"/>
        <v>0</v>
      </c>
      <c r="D354" s="909">
        <f t="shared" si="62"/>
        <v>39635.364473693073</v>
      </c>
      <c r="E354" s="910">
        <f t="shared" si="56"/>
        <v>0</v>
      </c>
      <c r="F354" s="911">
        <f t="shared" si="57"/>
        <v>0</v>
      </c>
      <c r="G354" s="909">
        <f t="shared" si="59"/>
        <v>0</v>
      </c>
      <c r="H354" s="909">
        <f t="shared" si="60"/>
        <v>0</v>
      </c>
      <c r="I354" s="909">
        <f t="shared" si="58"/>
        <v>0</v>
      </c>
      <c r="J354" s="935"/>
      <c r="K354" s="896"/>
    </row>
    <row r="355" spans="1:11">
      <c r="A355" s="865">
        <f>IF(Values_Entered,A354+1,"")</f>
        <v>331</v>
      </c>
      <c r="B355" s="937">
        <f t="shared" si="55"/>
        <v>55081</v>
      </c>
      <c r="C355" s="909">
        <f t="shared" si="61"/>
        <v>0</v>
      </c>
      <c r="D355" s="909">
        <f t="shared" si="62"/>
        <v>39635.364473693073</v>
      </c>
      <c r="E355" s="910">
        <f t="shared" si="56"/>
        <v>0</v>
      </c>
      <c r="F355" s="911">
        <f t="shared" si="57"/>
        <v>0</v>
      </c>
      <c r="G355" s="909">
        <f t="shared" si="59"/>
        <v>0</v>
      </c>
      <c r="H355" s="909">
        <f t="shared" si="60"/>
        <v>0</v>
      </c>
      <c r="I355" s="909">
        <f t="shared" si="58"/>
        <v>0</v>
      </c>
      <c r="J355" s="935"/>
      <c r="K355" s="896"/>
    </row>
    <row r="356" spans="1:11">
      <c r="A356" s="865">
        <f>IF(Values_Entered,A355+1,"")</f>
        <v>332</v>
      </c>
      <c r="B356" s="937">
        <f t="shared" si="55"/>
        <v>55112</v>
      </c>
      <c r="C356" s="909">
        <f t="shared" si="61"/>
        <v>0</v>
      </c>
      <c r="D356" s="909">
        <f t="shared" si="62"/>
        <v>39635.364473693073</v>
      </c>
      <c r="E356" s="910">
        <f t="shared" si="56"/>
        <v>0</v>
      </c>
      <c r="F356" s="911">
        <f t="shared" si="57"/>
        <v>0</v>
      </c>
      <c r="G356" s="909">
        <f t="shared" si="59"/>
        <v>0</v>
      </c>
      <c r="H356" s="909">
        <f t="shared" si="60"/>
        <v>0</v>
      </c>
      <c r="I356" s="909">
        <f t="shared" si="58"/>
        <v>0</v>
      </c>
      <c r="J356" s="935"/>
      <c r="K356" s="896"/>
    </row>
    <row r="357" spans="1:11">
      <c r="A357" s="865">
        <f>IF(Values_Entered,A356+1,"")</f>
        <v>333</v>
      </c>
      <c r="B357" s="937">
        <f t="shared" si="55"/>
        <v>55142</v>
      </c>
      <c r="C357" s="909">
        <f t="shared" si="61"/>
        <v>0</v>
      </c>
      <c r="D357" s="909">
        <f t="shared" si="62"/>
        <v>39635.364473693073</v>
      </c>
      <c r="E357" s="910">
        <f t="shared" si="56"/>
        <v>0</v>
      </c>
      <c r="F357" s="911">
        <f t="shared" si="57"/>
        <v>0</v>
      </c>
      <c r="G357" s="909">
        <f t="shared" si="59"/>
        <v>0</v>
      </c>
      <c r="H357" s="909">
        <f t="shared" si="60"/>
        <v>0</v>
      </c>
      <c r="I357" s="909">
        <f t="shared" si="58"/>
        <v>0</v>
      </c>
      <c r="J357" s="935"/>
      <c r="K357" s="896"/>
    </row>
    <row r="358" spans="1:11">
      <c r="A358" s="865">
        <f>IF(Values_Entered,A357+1,"")</f>
        <v>334</v>
      </c>
      <c r="B358" s="937">
        <f t="shared" si="55"/>
        <v>55173</v>
      </c>
      <c r="C358" s="909">
        <f t="shared" si="61"/>
        <v>0</v>
      </c>
      <c r="D358" s="909">
        <f t="shared" si="62"/>
        <v>39635.364473693073</v>
      </c>
      <c r="E358" s="910">
        <f t="shared" si="56"/>
        <v>0</v>
      </c>
      <c r="F358" s="911">
        <f t="shared" si="57"/>
        <v>0</v>
      </c>
      <c r="G358" s="909">
        <f t="shared" si="59"/>
        <v>0</v>
      </c>
      <c r="H358" s="909">
        <f t="shared" si="60"/>
        <v>0</v>
      </c>
      <c r="I358" s="909">
        <f t="shared" si="58"/>
        <v>0</v>
      </c>
      <c r="J358" s="935"/>
      <c r="K358" s="896"/>
    </row>
    <row r="359" spans="1:11">
      <c r="A359" s="865">
        <f>IF(Values_Entered,A358+1,"")</f>
        <v>335</v>
      </c>
      <c r="B359" s="937">
        <f t="shared" si="55"/>
        <v>55204</v>
      </c>
      <c r="C359" s="909">
        <f t="shared" si="61"/>
        <v>0</v>
      </c>
      <c r="D359" s="909">
        <f t="shared" si="62"/>
        <v>39635.364473693073</v>
      </c>
      <c r="E359" s="910">
        <f t="shared" si="56"/>
        <v>0</v>
      </c>
      <c r="F359" s="911">
        <f t="shared" si="57"/>
        <v>0</v>
      </c>
      <c r="G359" s="909">
        <f t="shared" si="59"/>
        <v>0</v>
      </c>
      <c r="H359" s="909">
        <f t="shared" si="60"/>
        <v>0</v>
      </c>
      <c r="I359" s="909">
        <f t="shared" si="58"/>
        <v>0</v>
      </c>
      <c r="J359" s="935"/>
      <c r="K359" s="896"/>
    </row>
    <row r="360" spans="1:11">
      <c r="A360" s="865">
        <f>IF(Values_Entered,A359+1,"")</f>
        <v>336</v>
      </c>
      <c r="B360" s="937">
        <f t="shared" si="55"/>
        <v>55232</v>
      </c>
      <c r="C360" s="909">
        <f t="shared" si="61"/>
        <v>0</v>
      </c>
      <c r="D360" s="909">
        <f t="shared" si="62"/>
        <v>39635.364473693073</v>
      </c>
      <c r="E360" s="910">
        <f t="shared" si="56"/>
        <v>0</v>
      </c>
      <c r="F360" s="911">
        <f t="shared" si="57"/>
        <v>0</v>
      </c>
      <c r="G360" s="909">
        <f t="shared" si="59"/>
        <v>0</v>
      </c>
      <c r="H360" s="909">
        <f t="shared" si="60"/>
        <v>0</v>
      </c>
      <c r="I360" s="909">
        <f t="shared" si="58"/>
        <v>0</v>
      </c>
      <c r="J360" s="935"/>
      <c r="K360" s="896"/>
    </row>
    <row r="361" spans="1:11">
      <c r="A361" s="865">
        <f>IF(Values_Entered,A360+1,"")</f>
        <v>337</v>
      </c>
      <c r="B361" s="937">
        <f t="shared" si="55"/>
        <v>55263</v>
      </c>
      <c r="C361" s="909">
        <f t="shared" si="61"/>
        <v>0</v>
      </c>
      <c r="D361" s="909">
        <f t="shared" si="62"/>
        <v>39635.364473693073</v>
      </c>
      <c r="E361" s="910">
        <f t="shared" si="56"/>
        <v>0</v>
      </c>
      <c r="F361" s="911">
        <f t="shared" si="57"/>
        <v>0</v>
      </c>
      <c r="G361" s="909">
        <f t="shared" si="59"/>
        <v>0</v>
      </c>
      <c r="H361" s="909">
        <f t="shared" si="60"/>
        <v>0</v>
      </c>
      <c r="I361" s="909">
        <f t="shared" si="58"/>
        <v>0</v>
      </c>
      <c r="J361" s="935"/>
      <c r="K361" s="896"/>
    </row>
    <row r="362" spans="1:11">
      <c r="A362" s="865">
        <f>IF(Values_Entered,A361+1,"")</f>
        <v>338</v>
      </c>
      <c r="B362" s="937">
        <f t="shared" si="55"/>
        <v>55293</v>
      </c>
      <c r="C362" s="909">
        <f t="shared" si="61"/>
        <v>0</v>
      </c>
      <c r="D362" s="909">
        <f t="shared" si="62"/>
        <v>39635.364473693073</v>
      </c>
      <c r="E362" s="910">
        <f t="shared" si="56"/>
        <v>0</v>
      </c>
      <c r="F362" s="911">
        <f t="shared" si="57"/>
        <v>0</v>
      </c>
      <c r="G362" s="909">
        <f t="shared" si="59"/>
        <v>0</v>
      </c>
      <c r="H362" s="909">
        <f t="shared" si="60"/>
        <v>0</v>
      </c>
      <c r="I362" s="909">
        <f t="shared" si="58"/>
        <v>0</v>
      </c>
      <c r="J362" s="935"/>
      <c r="K362" s="896"/>
    </row>
    <row r="363" spans="1:11">
      <c r="A363" s="865">
        <f>IF(Values_Entered,A362+1,"")</f>
        <v>339</v>
      </c>
      <c r="B363" s="937">
        <f t="shared" si="55"/>
        <v>55324</v>
      </c>
      <c r="C363" s="909">
        <f t="shared" si="61"/>
        <v>0</v>
      </c>
      <c r="D363" s="909">
        <f t="shared" si="62"/>
        <v>39635.364473693073</v>
      </c>
      <c r="E363" s="910">
        <f t="shared" si="56"/>
        <v>0</v>
      </c>
      <c r="F363" s="911">
        <f t="shared" si="57"/>
        <v>0</v>
      </c>
      <c r="G363" s="909">
        <f t="shared" si="59"/>
        <v>0</v>
      </c>
      <c r="H363" s="909">
        <f t="shared" si="60"/>
        <v>0</v>
      </c>
      <c r="I363" s="909">
        <f t="shared" si="58"/>
        <v>0</v>
      </c>
      <c r="J363" s="935"/>
      <c r="K363" s="896"/>
    </row>
    <row r="364" spans="1:11">
      <c r="A364" s="865">
        <f>IF(Values_Entered,A363+1,"")</f>
        <v>340</v>
      </c>
      <c r="B364" s="937">
        <f t="shared" si="55"/>
        <v>55354</v>
      </c>
      <c r="C364" s="909">
        <f t="shared" si="61"/>
        <v>0</v>
      </c>
      <c r="D364" s="909">
        <f t="shared" si="62"/>
        <v>39635.364473693073</v>
      </c>
      <c r="E364" s="910">
        <f t="shared" si="56"/>
        <v>0</v>
      </c>
      <c r="F364" s="911">
        <f t="shared" si="57"/>
        <v>0</v>
      </c>
      <c r="G364" s="909">
        <f t="shared" si="59"/>
        <v>0</v>
      </c>
      <c r="H364" s="909">
        <f t="shared" si="60"/>
        <v>0</v>
      </c>
      <c r="I364" s="909">
        <f t="shared" si="58"/>
        <v>0</v>
      </c>
      <c r="J364" s="935"/>
      <c r="K364" s="896"/>
    </row>
    <row r="365" spans="1:11">
      <c r="A365" s="865">
        <f>IF(Values_Entered,A364+1,"")</f>
        <v>341</v>
      </c>
      <c r="B365" s="937">
        <f t="shared" si="55"/>
        <v>55385</v>
      </c>
      <c r="C365" s="909">
        <f t="shared" si="61"/>
        <v>0</v>
      </c>
      <c r="D365" s="909">
        <f t="shared" si="62"/>
        <v>39635.364473693073</v>
      </c>
      <c r="E365" s="910">
        <f t="shared" si="56"/>
        <v>0</v>
      </c>
      <c r="F365" s="911">
        <f t="shared" si="57"/>
        <v>0</v>
      </c>
      <c r="G365" s="909">
        <f t="shared" si="59"/>
        <v>0</v>
      </c>
      <c r="H365" s="909">
        <f t="shared" si="60"/>
        <v>0</v>
      </c>
      <c r="I365" s="909">
        <f t="shared" si="58"/>
        <v>0</v>
      </c>
      <c r="J365" s="935"/>
      <c r="K365" s="896"/>
    </row>
    <row r="366" spans="1:11">
      <c r="A366" s="865">
        <f>IF(Values_Entered,A365+1,"")</f>
        <v>342</v>
      </c>
      <c r="B366" s="937">
        <f t="shared" si="55"/>
        <v>55416</v>
      </c>
      <c r="C366" s="909">
        <f t="shared" si="61"/>
        <v>0</v>
      </c>
      <c r="D366" s="909">
        <f t="shared" si="62"/>
        <v>39635.364473693073</v>
      </c>
      <c r="E366" s="910">
        <f t="shared" si="56"/>
        <v>0</v>
      </c>
      <c r="F366" s="911">
        <f t="shared" si="57"/>
        <v>0</v>
      </c>
      <c r="G366" s="909">
        <f t="shared" si="59"/>
        <v>0</v>
      </c>
      <c r="H366" s="909">
        <f t="shared" si="60"/>
        <v>0</v>
      </c>
      <c r="I366" s="909">
        <f t="shared" si="58"/>
        <v>0</v>
      </c>
      <c r="J366" s="935"/>
      <c r="K366" s="896"/>
    </row>
    <row r="367" spans="1:11">
      <c r="A367" s="865">
        <f>IF(Values_Entered,A366+1,"")</f>
        <v>343</v>
      </c>
      <c r="B367" s="937">
        <f t="shared" si="55"/>
        <v>55446</v>
      </c>
      <c r="C367" s="909">
        <f t="shared" si="61"/>
        <v>0</v>
      </c>
      <c r="D367" s="909">
        <f t="shared" si="62"/>
        <v>39635.364473693073</v>
      </c>
      <c r="E367" s="910">
        <f t="shared" si="56"/>
        <v>0</v>
      </c>
      <c r="F367" s="911">
        <f t="shared" si="57"/>
        <v>0</v>
      </c>
      <c r="G367" s="909">
        <f t="shared" si="59"/>
        <v>0</v>
      </c>
      <c r="H367" s="909">
        <f t="shared" si="60"/>
        <v>0</v>
      </c>
      <c r="I367" s="909">
        <f t="shared" si="58"/>
        <v>0</v>
      </c>
      <c r="J367" s="935"/>
      <c r="K367" s="896"/>
    </row>
    <row r="368" spans="1:11">
      <c r="A368" s="865">
        <f>IF(Values_Entered,A367+1,"")</f>
        <v>344</v>
      </c>
      <c r="B368" s="937">
        <f t="shared" si="55"/>
        <v>55477</v>
      </c>
      <c r="C368" s="909">
        <f t="shared" si="61"/>
        <v>0</v>
      </c>
      <c r="D368" s="909">
        <f t="shared" si="62"/>
        <v>39635.364473693073</v>
      </c>
      <c r="E368" s="910">
        <f t="shared" si="56"/>
        <v>0</v>
      </c>
      <c r="F368" s="911">
        <f t="shared" si="57"/>
        <v>0</v>
      </c>
      <c r="G368" s="909">
        <f t="shared" si="59"/>
        <v>0</v>
      </c>
      <c r="H368" s="909">
        <f t="shared" si="60"/>
        <v>0</v>
      </c>
      <c r="I368" s="909">
        <f t="shared" si="58"/>
        <v>0</v>
      </c>
      <c r="J368" s="935"/>
      <c r="K368" s="896"/>
    </row>
    <row r="369" spans="1:11">
      <c r="A369" s="865">
        <f>IF(Values_Entered,A368+1,"")</f>
        <v>345</v>
      </c>
      <c r="B369" s="937">
        <f t="shared" si="55"/>
        <v>55507</v>
      </c>
      <c r="C369" s="909">
        <f t="shared" si="61"/>
        <v>0</v>
      </c>
      <c r="D369" s="909">
        <f t="shared" si="62"/>
        <v>39635.364473693073</v>
      </c>
      <c r="E369" s="910">
        <f t="shared" si="56"/>
        <v>0</v>
      </c>
      <c r="F369" s="911">
        <f t="shared" si="57"/>
        <v>0</v>
      </c>
      <c r="G369" s="909">
        <f t="shared" si="59"/>
        <v>0</v>
      </c>
      <c r="H369" s="909">
        <f t="shared" si="60"/>
        <v>0</v>
      </c>
      <c r="I369" s="909">
        <f t="shared" si="58"/>
        <v>0</v>
      </c>
      <c r="J369" s="935"/>
      <c r="K369" s="896"/>
    </row>
    <row r="370" spans="1:11">
      <c r="A370" s="865">
        <f>IF(Values_Entered,A369+1,"")</f>
        <v>346</v>
      </c>
      <c r="B370" s="937">
        <f t="shared" si="55"/>
        <v>55538</v>
      </c>
      <c r="C370" s="909">
        <f t="shared" si="61"/>
        <v>0</v>
      </c>
      <c r="D370" s="909">
        <f t="shared" si="62"/>
        <v>39635.364473693073</v>
      </c>
      <c r="E370" s="910">
        <f t="shared" si="56"/>
        <v>0</v>
      </c>
      <c r="F370" s="911">
        <f t="shared" si="57"/>
        <v>0</v>
      </c>
      <c r="G370" s="909">
        <f t="shared" si="59"/>
        <v>0</v>
      </c>
      <c r="H370" s="909">
        <f t="shared" si="60"/>
        <v>0</v>
      </c>
      <c r="I370" s="909">
        <f t="shared" si="58"/>
        <v>0</v>
      </c>
      <c r="J370" s="935"/>
      <c r="K370" s="896"/>
    </row>
    <row r="371" spans="1:11">
      <c r="A371" s="865">
        <f>IF(Values_Entered,A370+1,"")</f>
        <v>347</v>
      </c>
      <c r="B371" s="937">
        <f t="shared" si="55"/>
        <v>55569</v>
      </c>
      <c r="C371" s="909">
        <f t="shared" si="61"/>
        <v>0</v>
      </c>
      <c r="D371" s="909">
        <f t="shared" si="62"/>
        <v>39635.364473693073</v>
      </c>
      <c r="E371" s="910">
        <f t="shared" si="56"/>
        <v>0</v>
      </c>
      <c r="F371" s="911">
        <f t="shared" si="57"/>
        <v>0</v>
      </c>
      <c r="G371" s="909">
        <f t="shared" si="59"/>
        <v>0</v>
      </c>
      <c r="H371" s="909">
        <f t="shared" si="60"/>
        <v>0</v>
      </c>
      <c r="I371" s="909">
        <f t="shared" si="58"/>
        <v>0</v>
      </c>
      <c r="J371" s="935"/>
      <c r="K371" s="896"/>
    </row>
    <row r="372" spans="1:11">
      <c r="A372" s="865">
        <f>IF(Values_Entered,A371+1,"")</f>
        <v>348</v>
      </c>
      <c r="B372" s="937">
        <f t="shared" si="55"/>
        <v>55598</v>
      </c>
      <c r="C372" s="909">
        <f t="shared" si="61"/>
        <v>0</v>
      </c>
      <c r="D372" s="909">
        <f t="shared" si="62"/>
        <v>39635.364473693073</v>
      </c>
      <c r="E372" s="910">
        <f t="shared" si="56"/>
        <v>0</v>
      </c>
      <c r="F372" s="911">
        <f t="shared" si="57"/>
        <v>0</v>
      </c>
      <c r="G372" s="909">
        <f t="shared" si="59"/>
        <v>0</v>
      </c>
      <c r="H372" s="909">
        <f t="shared" si="60"/>
        <v>0</v>
      </c>
      <c r="I372" s="909">
        <f t="shared" si="58"/>
        <v>0</v>
      </c>
      <c r="J372" s="935"/>
      <c r="K372" s="896"/>
    </row>
    <row r="373" spans="1:11">
      <c r="A373" s="865">
        <f>IF(Values_Entered,A372+1,"")</f>
        <v>349</v>
      </c>
      <c r="B373" s="937">
        <f t="shared" si="55"/>
        <v>55629</v>
      </c>
      <c r="C373" s="909">
        <f t="shared" si="61"/>
        <v>0</v>
      </c>
      <c r="D373" s="909">
        <f t="shared" si="62"/>
        <v>39635.364473693073</v>
      </c>
      <c r="E373" s="910">
        <f t="shared" si="56"/>
        <v>0</v>
      </c>
      <c r="F373" s="911">
        <f t="shared" si="57"/>
        <v>0</v>
      </c>
      <c r="G373" s="909">
        <f t="shared" si="59"/>
        <v>0</v>
      </c>
      <c r="H373" s="909">
        <f t="shared" si="60"/>
        <v>0</v>
      </c>
      <c r="I373" s="909">
        <f t="shared" si="58"/>
        <v>0</v>
      </c>
      <c r="J373" s="935"/>
      <c r="K373" s="896"/>
    </row>
    <row r="374" spans="1:11">
      <c r="A374" s="865">
        <f>IF(Values_Entered,A373+1,"")</f>
        <v>350</v>
      </c>
      <c r="B374" s="937">
        <f t="shared" si="55"/>
        <v>55659</v>
      </c>
      <c r="C374" s="909">
        <f t="shared" si="61"/>
        <v>0</v>
      </c>
      <c r="D374" s="909">
        <f t="shared" si="62"/>
        <v>39635.364473693073</v>
      </c>
      <c r="E374" s="910">
        <f t="shared" si="56"/>
        <v>0</v>
      </c>
      <c r="F374" s="911">
        <f t="shared" si="57"/>
        <v>0</v>
      </c>
      <c r="G374" s="909">
        <f t="shared" si="59"/>
        <v>0</v>
      </c>
      <c r="H374" s="909">
        <f t="shared" si="60"/>
        <v>0</v>
      </c>
      <c r="I374" s="909">
        <f t="shared" si="58"/>
        <v>0</v>
      </c>
      <c r="J374" s="935"/>
      <c r="K374" s="896"/>
    </row>
    <row r="375" spans="1:11">
      <c r="A375" s="865">
        <f>IF(Values_Entered,A374+1,"")</f>
        <v>351</v>
      </c>
      <c r="B375" s="937">
        <f t="shared" si="55"/>
        <v>55690</v>
      </c>
      <c r="C375" s="909">
        <f t="shared" si="61"/>
        <v>0</v>
      </c>
      <c r="D375" s="909">
        <f t="shared" si="62"/>
        <v>39635.364473693073</v>
      </c>
      <c r="E375" s="910">
        <f t="shared" si="56"/>
        <v>0</v>
      </c>
      <c r="F375" s="911">
        <f t="shared" si="57"/>
        <v>0</v>
      </c>
      <c r="G375" s="909">
        <f t="shared" si="59"/>
        <v>0</v>
      </c>
      <c r="H375" s="909">
        <f t="shared" si="60"/>
        <v>0</v>
      </c>
      <c r="I375" s="909">
        <f t="shared" si="58"/>
        <v>0</v>
      </c>
      <c r="J375" s="935"/>
      <c r="K375" s="896"/>
    </row>
    <row r="376" spans="1:11">
      <c r="A376" s="865">
        <f>IF(Values_Entered,A375+1,"")</f>
        <v>352</v>
      </c>
      <c r="B376" s="937">
        <f t="shared" si="55"/>
        <v>55720</v>
      </c>
      <c r="C376" s="909">
        <f t="shared" si="61"/>
        <v>0</v>
      </c>
      <c r="D376" s="909">
        <f t="shared" si="62"/>
        <v>39635.364473693073</v>
      </c>
      <c r="E376" s="910">
        <f t="shared" si="56"/>
        <v>0</v>
      </c>
      <c r="F376" s="911">
        <f t="shared" si="57"/>
        <v>0</v>
      </c>
      <c r="G376" s="909">
        <f t="shared" si="59"/>
        <v>0</v>
      </c>
      <c r="H376" s="909">
        <f t="shared" si="60"/>
        <v>0</v>
      </c>
      <c r="I376" s="909">
        <f t="shared" si="58"/>
        <v>0</v>
      </c>
      <c r="J376" s="935"/>
      <c r="K376" s="896"/>
    </row>
    <row r="377" spans="1:11">
      <c r="A377" s="865">
        <f>IF(Values_Entered,A376+1,"")</f>
        <v>353</v>
      </c>
      <c r="B377" s="937">
        <f t="shared" si="55"/>
        <v>55751</v>
      </c>
      <c r="C377" s="909">
        <f t="shared" si="61"/>
        <v>0</v>
      </c>
      <c r="D377" s="909">
        <f t="shared" si="62"/>
        <v>39635.364473693073</v>
      </c>
      <c r="E377" s="910">
        <f t="shared" si="56"/>
        <v>0</v>
      </c>
      <c r="F377" s="911">
        <f t="shared" si="57"/>
        <v>0</v>
      </c>
      <c r="G377" s="909">
        <f t="shared" si="59"/>
        <v>0</v>
      </c>
      <c r="H377" s="909">
        <f t="shared" si="60"/>
        <v>0</v>
      </c>
      <c r="I377" s="909">
        <f t="shared" si="58"/>
        <v>0</v>
      </c>
      <c r="J377" s="935"/>
      <c r="K377" s="896"/>
    </row>
    <row r="378" spans="1:11">
      <c r="A378" s="865">
        <f>IF(Values_Entered,A377+1,"")</f>
        <v>354</v>
      </c>
      <c r="B378" s="937">
        <f t="shared" si="55"/>
        <v>55782</v>
      </c>
      <c r="C378" s="909">
        <f t="shared" si="61"/>
        <v>0</v>
      </c>
      <c r="D378" s="909">
        <f t="shared" si="62"/>
        <v>39635.364473693073</v>
      </c>
      <c r="E378" s="910">
        <f t="shared" si="56"/>
        <v>0</v>
      </c>
      <c r="F378" s="911">
        <f t="shared" si="57"/>
        <v>0</v>
      </c>
      <c r="G378" s="909">
        <f t="shared" si="59"/>
        <v>0</v>
      </c>
      <c r="H378" s="909">
        <f t="shared" si="60"/>
        <v>0</v>
      </c>
      <c r="I378" s="909">
        <f t="shared" si="58"/>
        <v>0</v>
      </c>
      <c r="J378" s="935"/>
      <c r="K378" s="896"/>
    </row>
    <row r="379" spans="1:11">
      <c r="A379" s="865">
        <f>IF(Values_Entered,A378+1,"")</f>
        <v>355</v>
      </c>
      <c r="B379" s="937">
        <f t="shared" si="55"/>
        <v>55812</v>
      </c>
      <c r="C379" s="909">
        <f t="shared" si="61"/>
        <v>0</v>
      </c>
      <c r="D379" s="909">
        <f t="shared" si="62"/>
        <v>39635.364473693073</v>
      </c>
      <c r="E379" s="910">
        <f t="shared" si="56"/>
        <v>0</v>
      </c>
      <c r="F379" s="911">
        <f t="shared" si="57"/>
        <v>0</v>
      </c>
      <c r="G379" s="909">
        <f t="shared" si="59"/>
        <v>0</v>
      </c>
      <c r="H379" s="909">
        <f t="shared" si="60"/>
        <v>0</v>
      </c>
      <c r="I379" s="909">
        <f t="shared" si="58"/>
        <v>0</v>
      </c>
      <c r="J379" s="935"/>
      <c r="K379" s="896"/>
    </row>
    <row r="380" spans="1:11">
      <c r="A380" s="865">
        <f>IF(Values_Entered,A379+1,"")</f>
        <v>356</v>
      </c>
      <c r="B380" s="937">
        <f t="shared" si="55"/>
        <v>55843</v>
      </c>
      <c r="C380" s="909">
        <f t="shared" si="61"/>
        <v>0</v>
      </c>
      <c r="D380" s="909">
        <f t="shared" si="62"/>
        <v>39635.364473693073</v>
      </c>
      <c r="E380" s="910">
        <f t="shared" si="56"/>
        <v>0</v>
      </c>
      <c r="F380" s="911">
        <f t="shared" si="57"/>
        <v>0</v>
      </c>
      <c r="G380" s="909">
        <f t="shared" si="59"/>
        <v>0</v>
      </c>
      <c r="H380" s="909">
        <f t="shared" si="60"/>
        <v>0</v>
      </c>
      <c r="I380" s="909">
        <f t="shared" si="58"/>
        <v>0</v>
      </c>
      <c r="J380" s="935"/>
      <c r="K380" s="896"/>
    </row>
    <row r="381" spans="1:11">
      <c r="A381" s="865">
        <f>IF(Values_Entered,A380+1,"")</f>
        <v>357</v>
      </c>
      <c r="B381" s="937">
        <f t="shared" si="55"/>
        <v>55873</v>
      </c>
      <c r="C381" s="909">
        <f t="shared" si="61"/>
        <v>0</v>
      </c>
      <c r="D381" s="909">
        <f t="shared" si="62"/>
        <v>39635.364473693073</v>
      </c>
      <c r="E381" s="910">
        <f t="shared" si="56"/>
        <v>0</v>
      </c>
      <c r="F381" s="911">
        <f t="shared" si="57"/>
        <v>0</v>
      </c>
      <c r="G381" s="909">
        <f t="shared" si="59"/>
        <v>0</v>
      </c>
      <c r="H381" s="909">
        <f t="shared" si="60"/>
        <v>0</v>
      </c>
      <c r="I381" s="909">
        <f t="shared" si="58"/>
        <v>0</v>
      </c>
      <c r="J381" s="935"/>
      <c r="K381" s="896"/>
    </row>
    <row r="382" spans="1:11">
      <c r="A382" s="865">
        <f>IF(Values_Entered,A381+1,"")</f>
        <v>358</v>
      </c>
      <c r="B382" s="937">
        <f t="shared" si="55"/>
        <v>55904</v>
      </c>
      <c r="C382" s="909">
        <f t="shared" si="61"/>
        <v>0</v>
      </c>
      <c r="D382" s="909">
        <f t="shared" si="62"/>
        <v>39635.364473693073</v>
      </c>
      <c r="E382" s="910">
        <f t="shared" si="56"/>
        <v>0</v>
      </c>
      <c r="F382" s="911">
        <f t="shared" si="57"/>
        <v>0</v>
      </c>
      <c r="G382" s="909">
        <f t="shared" si="59"/>
        <v>0</v>
      </c>
      <c r="H382" s="909">
        <f t="shared" si="60"/>
        <v>0</v>
      </c>
      <c r="I382" s="909">
        <f t="shared" si="58"/>
        <v>0</v>
      </c>
      <c r="J382" s="935"/>
      <c r="K382" s="896"/>
    </row>
    <row r="383" spans="1:11">
      <c r="A383" s="865">
        <f>IF(Values_Entered,A382+1,"")</f>
        <v>359</v>
      </c>
      <c r="B383" s="937">
        <f t="shared" si="55"/>
        <v>55935</v>
      </c>
      <c r="C383" s="909">
        <f t="shared" si="61"/>
        <v>0</v>
      </c>
      <c r="D383" s="909">
        <f t="shared" si="62"/>
        <v>39635.364473693073</v>
      </c>
      <c r="E383" s="910">
        <f t="shared" si="56"/>
        <v>0</v>
      </c>
      <c r="F383" s="911">
        <f t="shared" si="57"/>
        <v>0</v>
      </c>
      <c r="G383" s="909">
        <f t="shared" si="59"/>
        <v>0</v>
      </c>
      <c r="H383" s="909">
        <f t="shared" si="60"/>
        <v>0</v>
      </c>
      <c r="I383" s="909">
        <f t="shared" si="58"/>
        <v>0</v>
      </c>
      <c r="J383" s="935"/>
      <c r="K383" s="896"/>
    </row>
    <row r="384" spans="1:11">
      <c r="A384" s="865">
        <f>IF(Values_Entered,A383+1,"")</f>
        <v>360</v>
      </c>
      <c r="B384" s="937">
        <f t="shared" si="55"/>
        <v>55963</v>
      </c>
      <c r="C384" s="909">
        <f t="shared" si="61"/>
        <v>0</v>
      </c>
      <c r="D384" s="909">
        <f t="shared" si="62"/>
        <v>39635.364473693073</v>
      </c>
      <c r="E384" s="910">
        <f t="shared" si="56"/>
        <v>0</v>
      </c>
      <c r="F384" s="911">
        <f t="shared" si="57"/>
        <v>0</v>
      </c>
      <c r="G384" s="909">
        <f t="shared" si="59"/>
        <v>0</v>
      </c>
      <c r="H384" s="909">
        <f t="shared" si="60"/>
        <v>0</v>
      </c>
      <c r="I384" s="909">
        <f t="shared" si="58"/>
        <v>0</v>
      </c>
      <c r="J384" s="935"/>
      <c r="K384" s="896"/>
    </row>
    <row r="385" spans="1:9">
      <c r="A385" s="840"/>
      <c r="B385" s="840"/>
      <c r="C385" s="840"/>
      <c r="D385" s="840"/>
      <c r="E385" s="840"/>
      <c r="G385" s="840"/>
      <c r="H385" s="840"/>
      <c r="I385" s="840"/>
    </row>
  </sheetData>
  <sheetProtection password="CC2E" sheet="1" selectLockedCells="1"/>
  <mergeCells count="4">
    <mergeCell ref="H2:J2"/>
    <mergeCell ref="G7:I8"/>
    <mergeCell ref="B13:D13"/>
    <mergeCell ref="F13:H13"/>
  </mergeCells>
  <conditionalFormatting sqref="A25:D384">
    <cfRule type="expression" dxfId="5" priority="2" stopIfTrue="1">
      <formula>IF(ROW(A25)=Last_Row,TRUE, FALSE)</formula>
    </cfRule>
    <cfRule type="expression" dxfId="4" priority="3" stopIfTrue="1">
      <formula>IF(ROW(A25)&lt;Last_Row,TRUE, FALSE)</formula>
    </cfRule>
  </conditionalFormatting>
  <conditionalFormatting sqref="A25:J384">
    <cfRule type="expression" dxfId="3" priority="1" stopIfTrue="1">
      <formula>IF(ROW(A25)&gt;Last_Row,TRUE, FALSE)</formula>
    </cfRule>
  </conditionalFormatting>
  <conditionalFormatting sqref="E25:E384">
    <cfRule type="expression" dxfId="2" priority="8" stopIfTrue="1">
      <formula>IF(ROW(E25)=Last_Row,TRUE, FALSE)</formula>
    </cfRule>
  </conditionalFormatting>
  <conditionalFormatting sqref="F25:J384">
    <cfRule type="expression" dxfId="1" priority="5" stopIfTrue="1">
      <formula>IF(ROW(F25)=Last_Row,TRUE, FALSE)</formula>
    </cfRule>
    <cfRule type="expression" dxfId="0" priority="6" stopIfTrue="1">
      <formula>IF(ROW(F25)&lt;=Last_Row,TRUE, FALSE)</formula>
    </cfRule>
  </conditionalFormatting>
  <dataValidations count="3">
    <dataValidation type="whole" allowBlank="1" showInputMessage="1" showErrorMessage="1" errorTitle="Years" error="Please enter a whole number of years from 1 to 30." sqref="D16 IP16 SL16 ACH16 AMD16 AVZ16 BFV16 BPR16 BZN16 CJJ16 CTF16 DDB16 DMX16 DWT16 EGP16 EQL16 FAH16 FKD16 FTZ16 GDV16 GNR16 GXN16 HHJ16 HRF16 IBB16 IKX16 IUT16 JEP16 JOL16 JYH16 KID16 KRZ16 LBV16 LLR16 LVN16 MFJ16 MPF16 MZB16 NIX16 NST16 OCP16 OML16 OWH16 PGD16 PPZ16 PZV16 QJR16 QTN16 RDJ16 RNF16 RXB16 SGX16 SQT16 TAP16 TKL16 TUH16 UED16 UNZ16 UXV16 VHR16 VRN16 WBJ16 WLF16 WVB16 D65552 IP65552 SL65552 ACH65552 AMD65552 AVZ65552 BFV65552 BPR65552 BZN65552 CJJ65552 CTF65552 DDB65552 DMX65552 DWT65552 EGP65552 EQL65552 FAH65552 FKD65552 FTZ65552 GDV65552 GNR65552 GXN65552 HHJ65552 HRF65552 IBB65552 IKX65552 IUT65552 JEP65552 JOL65552 JYH65552 KID65552 KRZ65552 LBV65552 LLR65552 LVN65552 MFJ65552 MPF65552 MZB65552 NIX65552 NST65552 OCP65552 OML65552 OWH65552 PGD65552 PPZ65552 PZV65552 QJR65552 QTN65552 RDJ65552 RNF65552 RXB65552 SGX65552 SQT65552 TAP65552 TKL65552 TUH65552 UED65552 UNZ65552 UXV65552 VHR65552 VRN65552 WBJ65552 WLF65552 WVB65552 D131088 IP131088 SL131088 ACH131088 AMD131088 AVZ131088 BFV131088 BPR131088 BZN131088 CJJ131088 CTF131088 DDB131088 DMX131088 DWT131088 EGP131088 EQL131088 FAH131088 FKD131088 FTZ131088 GDV131088 GNR131088 GXN131088 HHJ131088 HRF131088 IBB131088 IKX131088 IUT131088 JEP131088 JOL131088 JYH131088 KID131088 KRZ131088 LBV131088 LLR131088 LVN131088 MFJ131088 MPF131088 MZB131088 NIX131088 NST131088 OCP131088 OML131088 OWH131088 PGD131088 PPZ131088 PZV131088 QJR131088 QTN131088 RDJ131088 RNF131088 RXB131088 SGX131088 SQT131088 TAP131088 TKL131088 TUH131088 UED131088 UNZ131088 UXV131088 VHR131088 VRN131088 WBJ131088 WLF131088 WVB131088 D196624 IP196624 SL196624 ACH196624 AMD196624 AVZ196624 BFV196624 BPR196624 BZN196624 CJJ196624 CTF196624 DDB196624 DMX196624 DWT196624 EGP196624 EQL196624 FAH196624 FKD196624 FTZ196624 GDV196624 GNR196624 GXN196624 HHJ196624 HRF196624 IBB196624 IKX196624 IUT196624 JEP196624 JOL196624 JYH196624 KID196624 KRZ196624 LBV196624 LLR196624 LVN196624 MFJ196624 MPF196624 MZB196624 NIX196624 NST196624 OCP196624 OML196624 OWH196624 PGD196624 PPZ196624 PZV196624 QJR196624 QTN196624 RDJ196624 RNF196624 RXB196624 SGX196624 SQT196624 TAP196624 TKL196624 TUH196624 UED196624 UNZ196624 UXV196624 VHR196624 VRN196624 WBJ196624 WLF196624 WVB196624 D262160 IP262160 SL262160 ACH262160 AMD262160 AVZ262160 BFV262160 BPR262160 BZN262160 CJJ262160 CTF262160 DDB262160 DMX262160 DWT262160 EGP262160 EQL262160 FAH262160 FKD262160 FTZ262160 GDV262160 GNR262160 GXN262160 HHJ262160 HRF262160 IBB262160 IKX262160 IUT262160 JEP262160 JOL262160 JYH262160 KID262160 KRZ262160 LBV262160 LLR262160 LVN262160 MFJ262160 MPF262160 MZB262160 NIX262160 NST262160 OCP262160 OML262160 OWH262160 PGD262160 PPZ262160 PZV262160 QJR262160 QTN262160 RDJ262160 RNF262160 RXB262160 SGX262160 SQT262160 TAP262160 TKL262160 TUH262160 UED262160 UNZ262160 UXV262160 VHR262160 VRN262160 WBJ262160 WLF262160 WVB262160 D327696 IP327696 SL327696 ACH327696 AMD327696 AVZ327696 BFV327696 BPR327696 BZN327696 CJJ327696 CTF327696 DDB327696 DMX327696 DWT327696 EGP327696 EQL327696 FAH327696 FKD327696 FTZ327696 GDV327696 GNR327696 GXN327696 HHJ327696 HRF327696 IBB327696 IKX327696 IUT327696 JEP327696 JOL327696 JYH327696 KID327696 KRZ327696 LBV327696 LLR327696 LVN327696 MFJ327696 MPF327696 MZB327696 NIX327696 NST327696 OCP327696 OML327696 OWH327696 PGD327696 PPZ327696 PZV327696 QJR327696 QTN327696 RDJ327696 RNF327696 RXB327696 SGX327696 SQT327696 TAP327696 TKL327696 TUH327696 UED327696 UNZ327696 UXV327696 VHR327696 VRN327696 WBJ327696 WLF327696 WVB327696 D393232 IP393232 SL393232 ACH393232 AMD393232 AVZ393232 BFV393232 BPR393232 BZN393232 CJJ393232 CTF393232 DDB393232 DMX393232 DWT393232 EGP393232 EQL393232 FAH393232 FKD393232 FTZ393232 GDV393232 GNR393232 GXN393232 HHJ393232 HRF393232 IBB393232 IKX393232 IUT393232 JEP393232 JOL393232 JYH393232 KID393232 KRZ393232 LBV393232 LLR393232 LVN393232 MFJ393232 MPF393232 MZB393232 NIX393232 NST393232 OCP393232 OML393232 OWH393232 PGD393232 PPZ393232 PZV393232 QJR393232 QTN393232 RDJ393232 RNF393232 RXB393232 SGX393232 SQT393232 TAP393232 TKL393232 TUH393232 UED393232 UNZ393232 UXV393232 VHR393232 VRN393232 WBJ393232 WLF393232 WVB393232 D458768 IP458768 SL458768 ACH458768 AMD458768 AVZ458768 BFV458768 BPR458768 BZN458768 CJJ458768 CTF458768 DDB458768 DMX458768 DWT458768 EGP458768 EQL458768 FAH458768 FKD458768 FTZ458768 GDV458768 GNR458768 GXN458768 HHJ458768 HRF458768 IBB458768 IKX458768 IUT458768 JEP458768 JOL458768 JYH458768 KID458768 KRZ458768 LBV458768 LLR458768 LVN458768 MFJ458768 MPF458768 MZB458768 NIX458768 NST458768 OCP458768 OML458768 OWH458768 PGD458768 PPZ458768 PZV458768 QJR458768 QTN458768 RDJ458768 RNF458768 RXB458768 SGX458768 SQT458768 TAP458768 TKL458768 TUH458768 UED458768 UNZ458768 UXV458768 VHR458768 VRN458768 WBJ458768 WLF458768 WVB458768 D524304 IP524304 SL524304 ACH524304 AMD524304 AVZ524304 BFV524304 BPR524304 BZN524304 CJJ524304 CTF524304 DDB524304 DMX524304 DWT524304 EGP524304 EQL524304 FAH524304 FKD524304 FTZ524304 GDV524304 GNR524304 GXN524304 HHJ524304 HRF524304 IBB524304 IKX524304 IUT524304 JEP524304 JOL524304 JYH524304 KID524304 KRZ524304 LBV524304 LLR524304 LVN524304 MFJ524304 MPF524304 MZB524304 NIX524304 NST524304 OCP524304 OML524304 OWH524304 PGD524304 PPZ524304 PZV524304 QJR524304 QTN524304 RDJ524304 RNF524304 RXB524304 SGX524304 SQT524304 TAP524304 TKL524304 TUH524304 UED524304 UNZ524304 UXV524304 VHR524304 VRN524304 WBJ524304 WLF524304 WVB524304 D589840 IP589840 SL589840 ACH589840 AMD589840 AVZ589840 BFV589840 BPR589840 BZN589840 CJJ589840 CTF589840 DDB589840 DMX589840 DWT589840 EGP589840 EQL589840 FAH589840 FKD589840 FTZ589840 GDV589840 GNR589840 GXN589840 HHJ589840 HRF589840 IBB589840 IKX589840 IUT589840 JEP589840 JOL589840 JYH589840 KID589840 KRZ589840 LBV589840 LLR589840 LVN589840 MFJ589840 MPF589840 MZB589840 NIX589840 NST589840 OCP589840 OML589840 OWH589840 PGD589840 PPZ589840 PZV589840 QJR589840 QTN589840 RDJ589840 RNF589840 RXB589840 SGX589840 SQT589840 TAP589840 TKL589840 TUH589840 UED589840 UNZ589840 UXV589840 VHR589840 VRN589840 WBJ589840 WLF589840 WVB589840 D655376 IP655376 SL655376 ACH655376 AMD655376 AVZ655376 BFV655376 BPR655376 BZN655376 CJJ655376 CTF655376 DDB655376 DMX655376 DWT655376 EGP655376 EQL655376 FAH655376 FKD655376 FTZ655376 GDV655376 GNR655376 GXN655376 HHJ655376 HRF655376 IBB655376 IKX655376 IUT655376 JEP655376 JOL655376 JYH655376 KID655376 KRZ655376 LBV655376 LLR655376 LVN655376 MFJ655376 MPF655376 MZB655376 NIX655376 NST655376 OCP655376 OML655376 OWH655376 PGD655376 PPZ655376 PZV655376 QJR655376 QTN655376 RDJ655376 RNF655376 RXB655376 SGX655376 SQT655376 TAP655376 TKL655376 TUH655376 UED655376 UNZ655376 UXV655376 VHR655376 VRN655376 WBJ655376 WLF655376 WVB655376 D720912 IP720912 SL720912 ACH720912 AMD720912 AVZ720912 BFV720912 BPR720912 BZN720912 CJJ720912 CTF720912 DDB720912 DMX720912 DWT720912 EGP720912 EQL720912 FAH720912 FKD720912 FTZ720912 GDV720912 GNR720912 GXN720912 HHJ720912 HRF720912 IBB720912 IKX720912 IUT720912 JEP720912 JOL720912 JYH720912 KID720912 KRZ720912 LBV720912 LLR720912 LVN720912 MFJ720912 MPF720912 MZB720912 NIX720912 NST720912 OCP720912 OML720912 OWH720912 PGD720912 PPZ720912 PZV720912 QJR720912 QTN720912 RDJ720912 RNF720912 RXB720912 SGX720912 SQT720912 TAP720912 TKL720912 TUH720912 UED720912 UNZ720912 UXV720912 VHR720912 VRN720912 WBJ720912 WLF720912 WVB720912 D786448 IP786448 SL786448 ACH786448 AMD786448 AVZ786448 BFV786448 BPR786448 BZN786448 CJJ786448 CTF786448 DDB786448 DMX786448 DWT786448 EGP786448 EQL786448 FAH786448 FKD786448 FTZ786448 GDV786448 GNR786448 GXN786448 HHJ786448 HRF786448 IBB786448 IKX786448 IUT786448 JEP786448 JOL786448 JYH786448 KID786448 KRZ786448 LBV786448 LLR786448 LVN786448 MFJ786448 MPF786448 MZB786448 NIX786448 NST786448 OCP786448 OML786448 OWH786448 PGD786448 PPZ786448 PZV786448 QJR786448 QTN786448 RDJ786448 RNF786448 RXB786448 SGX786448 SQT786448 TAP786448 TKL786448 TUH786448 UED786448 UNZ786448 UXV786448 VHR786448 VRN786448 WBJ786448 WLF786448 WVB786448 D851984 IP851984 SL851984 ACH851984 AMD851984 AVZ851984 BFV851984 BPR851984 BZN851984 CJJ851984 CTF851984 DDB851984 DMX851984 DWT851984 EGP851984 EQL851984 FAH851984 FKD851984 FTZ851984 GDV851984 GNR851984 GXN851984 HHJ851984 HRF851984 IBB851984 IKX851984 IUT851984 JEP851984 JOL851984 JYH851984 KID851984 KRZ851984 LBV851984 LLR851984 LVN851984 MFJ851984 MPF851984 MZB851984 NIX851984 NST851984 OCP851984 OML851984 OWH851984 PGD851984 PPZ851984 PZV851984 QJR851984 QTN851984 RDJ851984 RNF851984 RXB851984 SGX851984 SQT851984 TAP851984 TKL851984 TUH851984 UED851984 UNZ851984 UXV851984 VHR851984 VRN851984 WBJ851984 WLF851984 WVB851984 D917520 IP917520 SL917520 ACH917520 AMD917520 AVZ917520 BFV917520 BPR917520 BZN917520 CJJ917520 CTF917520 DDB917520 DMX917520 DWT917520 EGP917520 EQL917520 FAH917520 FKD917520 FTZ917520 GDV917520 GNR917520 GXN917520 HHJ917520 HRF917520 IBB917520 IKX917520 IUT917520 JEP917520 JOL917520 JYH917520 KID917520 KRZ917520 LBV917520 LLR917520 LVN917520 MFJ917520 MPF917520 MZB917520 NIX917520 NST917520 OCP917520 OML917520 OWH917520 PGD917520 PPZ917520 PZV917520 QJR917520 QTN917520 RDJ917520 RNF917520 RXB917520 SGX917520 SQT917520 TAP917520 TKL917520 TUH917520 UED917520 UNZ917520 UXV917520 VHR917520 VRN917520 WBJ917520 WLF917520 WVB917520 D983056 IP983056 SL983056 ACH983056 AMD983056 AVZ983056 BFV983056 BPR983056 BZN983056 CJJ983056 CTF983056 DDB983056 DMX983056 DWT983056 EGP983056 EQL983056 FAH983056 FKD983056 FTZ983056 GDV983056 GNR983056 GXN983056 HHJ983056 HRF983056 IBB983056 IKX983056 IUT983056 JEP983056 JOL983056 JYH983056 KID983056 KRZ983056 LBV983056 LLR983056 LVN983056 MFJ983056 MPF983056 MZB983056 NIX983056 NST983056 OCP983056 OML983056 OWH983056 PGD983056 PPZ983056 PZV983056 QJR983056 QTN983056 RDJ983056 RNF983056 RXB983056 SGX983056 SQT983056 TAP983056 TKL983056 TUH983056 UED983056 UNZ983056 UXV983056 VHR983056 VRN983056 WBJ983056 WLF983056 WVB983056" xr:uid="{00000000-0002-0000-0100-000000000000}">
      <formula1>1</formula1>
      <formula2>30</formula2>
    </dataValidation>
    <dataValidation type="date" operator="greaterThanOrEqual" allowBlank="1" showInputMessage="1" showErrorMessage="1" errorTitle="Date" error="Please enter a valid date greater than or equal to January 1, 1900." sqref="D17:D18 IP17:IP18 SL17:SL18 ACH17:ACH18 AMD17:AMD18 AVZ17:AVZ18 BFV17:BFV18 BPR17:BPR18 BZN17:BZN18 CJJ17:CJJ18 CTF17:CTF18 DDB17:DDB18 DMX17:DMX18 DWT17:DWT18 EGP17:EGP18 EQL17:EQL18 FAH17:FAH18 FKD17:FKD18 FTZ17:FTZ18 GDV17:GDV18 GNR17:GNR18 GXN17:GXN18 HHJ17:HHJ18 HRF17:HRF18 IBB17:IBB18 IKX17:IKX18 IUT17:IUT18 JEP17:JEP18 JOL17:JOL18 JYH17:JYH18 KID17:KID18 KRZ17:KRZ18 LBV17:LBV18 LLR17:LLR18 LVN17:LVN18 MFJ17:MFJ18 MPF17:MPF18 MZB17:MZB18 NIX17:NIX18 NST17:NST18 OCP17:OCP18 OML17:OML18 OWH17:OWH18 PGD17:PGD18 PPZ17:PPZ18 PZV17:PZV18 QJR17:QJR18 QTN17:QTN18 RDJ17:RDJ18 RNF17:RNF18 RXB17:RXB18 SGX17:SGX18 SQT17:SQT18 TAP17:TAP18 TKL17:TKL18 TUH17:TUH18 UED17:UED18 UNZ17:UNZ18 UXV17:UXV18 VHR17:VHR18 VRN17:VRN18 WBJ17:WBJ18 WLF17:WLF18 WVB17:WVB18 D65553:D65554 IP65553:IP65554 SL65553:SL65554 ACH65553:ACH65554 AMD65553:AMD65554 AVZ65553:AVZ65554 BFV65553:BFV65554 BPR65553:BPR65554 BZN65553:BZN65554 CJJ65553:CJJ65554 CTF65553:CTF65554 DDB65553:DDB65554 DMX65553:DMX65554 DWT65553:DWT65554 EGP65553:EGP65554 EQL65553:EQL65554 FAH65553:FAH65554 FKD65553:FKD65554 FTZ65553:FTZ65554 GDV65553:GDV65554 GNR65553:GNR65554 GXN65553:GXN65554 HHJ65553:HHJ65554 HRF65553:HRF65554 IBB65553:IBB65554 IKX65553:IKX65554 IUT65553:IUT65554 JEP65553:JEP65554 JOL65553:JOL65554 JYH65553:JYH65554 KID65553:KID65554 KRZ65553:KRZ65554 LBV65553:LBV65554 LLR65553:LLR65554 LVN65553:LVN65554 MFJ65553:MFJ65554 MPF65553:MPF65554 MZB65553:MZB65554 NIX65553:NIX65554 NST65553:NST65554 OCP65553:OCP65554 OML65553:OML65554 OWH65553:OWH65554 PGD65553:PGD65554 PPZ65553:PPZ65554 PZV65553:PZV65554 QJR65553:QJR65554 QTN65553:QTN65554 RDJ65553:RDJ65554 RNF65553:RNF65554 RXB65553:RXB65554 SGX65553:SGX65554 SQT65553:SQT65554 TAP65553:TAP65554 TKL65553:TKL65554 TUH65553:TUH65554 UED65553:UED65554 UNZ65553:UNZ65554 UXV65553:UXV65554 VHR65553:VHR65554 VRN65553:VRN65554 WBJ65553:WBJ65554 WLF65553:WLF65554 WVB65553:WVB65554 D131089:D131090 IP131089:IP131090 SL131089:SL131090 ACH131089:ACH131090 AMD131089:AMD131090 AVZ131089:AVZ131090 BFV131089:BFV131090 BPR131089:BPR131090 BZN131089:BZN131090 CJJ131089:CJJ131090 CTF131089:CTF131090 DDB131089:DDB131090 DMX131089:DMX131090 DWT131089:DWT131090 EGP131089:EGP131090 EQL131089:EQL131090 FAH131089:FAH131090 FKD131089:FKD131090 FTZ131089:FTZ131090 GDV131089:GDV131090 GNR131089:GNR131090 GXN131089:GXN131090 HHJ131089:HHJ131090 HRF131089:HRF131090 IBB131089:IBB131090 IKX131089:IKX131090 IUT131089:IUT131090 JEP131089:JEP131090 JOL131089:JOL131090 JYH131089:JYH131090 KID131089:KID131090 KRZ131089:KRZ131090 LBV131089:LBV131090 LLR131089:LLR131090 LVN131089:LVN131090 MFJ131089:MFJ131090 MPF131089:MPF131090 MZB131089:MZB131090 NIX131089:NIX131090 NST131089:NST131090 OCP131089:OCP131090 OML131089:OML131090 OWH131089:OWH131090 PGD131089:PGD131090 PPZ131089:PPZ131090 PZV131089:PZV131090 QJR131089:QJR131090 QTN131089:QTN131090 RDJ131089:RDJ131090 RNF131089:RNF131090 RXB131089:RXB131090 SGX131089:SGX131090 SQT131089:SQT131090 TAP131089:TAP131090 TKL131089:TKL131090 TUH131089:TUH131090 UED131089:UED131090 UNZ131089:UNZ131090 UXV131089:UXV131090 VHR131089:VHR131090 VRN131089:VRN131090 WBJ131089:WBJ131090 WLF131089:WLF131090 WVB131089:WVB131090 D196625:D196626 IP196625:IP196626 SL196625:SL196626 ACH196625:ACH196626 AMD196625:AMD196626 AVZ196625:AVZ196626 BFV196625:BFV196626 BPR196625:BPR196626 BZN196625:BZN196626 CJJ196625:CJJ196626 CTF196625:CTF196626 DDB196625:DDB196626 DMX196625:DMX196626 DWT196625:DWT196626 EGP196625:EGP196626 EQL196625:EQL196626 FAH196625:FAH196626 FKD196625:FKD196626 FTZ196625:FTZ196626 GDV196625:GDV196626 GNR196625:GNR196626 GXN196625:GXN196626 HHJ196625:HHJ196626 HRF196625:HRF196626 IBB196625:IBB196626 IKX196625:IKX196626 IUT196625:IUT196626 JEP196625:JEP196626 JOL196625:JOL196626 JYH196625:JYH196626 KID196625:KID196626 KRZ196625:KRZ196626 LBV196625:LBV196626 LLR196625:LLR196626 LVN196625:LVN196626 MFJ196625:MFJ196626 MPF196625:MPF196626 MZB196625:MZB196626 NIX196625:NIX196626 NST196625:NST196626 OCP196625:OCP196626 OML196625:OML196626 OWH196625:OWH196626 PGD196625:PGD196626 PPZ196625:PPZ196626 PZV196625:PZV196626 QJR196625:QJR196626 QTN196625:QTN196626 RDJ196625:RDJ196626 RNF196625:RNF196626 RXB196625:RXB196626 SGX196625:SGX196626 SQT196625:SQT196626 TAP196625:TAP196626 TKL196625:TKL196626 TUH196625:TUH196626 UED196625:UED196626 UNZ196625:UNZ196626 UXV196625:UXV196626 VHR196625:VHR196626 VRN196625:VRN196626 WBJ196625:WBJ196626 WLF196625:WLF196626 WVB196625:WVB196626 D262161:D262162 IP262161:IP262162 SL262161:SL262162 ACH262161:ACH262162 AMD262161:AMD262162 AVZ262161:AVZ262162 BFV262161:BFV262162 BPR262161:BPR262162 BZN262161:BZN262162 CJJ262161:CJJ262162 CTF262161:CTF262162 DDB262161:DDB262162 DMX262161:DMX262162 DWT262161:DWT262162 EGP262161:EGP262162 EQL262161:EQL262162 FAH262161:FAH262162 FKD262161:FKD262162 FTZ262161:FTZ262162 GDV262161:GDV262162 GNR262161:GNR262162 GXN262161:GXN262162 HHJ262161:HHJ262162 HRF262161:HRF262162 IBB262161:IBB262162 IKX262161:IKX262162 IUT262161:IUT262162 JEP262161:JEP262162 JOL262161:JOL262162 JYH262161:JYH262162 KID262161:KID262162 KRZ262161:KRZ262162 LBV262161:LBV262162 LLR262161:LLR262162 LVN262161:LVN262162 MFJ262161:MFJ262162 MPF262161:MPF262162 MZB262161:MZB262162 NIX262161:NIX262162 NST262161:NST262162 OCP262161:OCP262162 OML262161:OML262162 OWH262161:OWH262162 PGD262161:PGD262162 PPZ262161:PPZ262162 PZV262161:PZV262162 QJR262161:QJR262162 QTN262161:QTN262162 RDJ262161:RDJ262162 RNF262161:RNF262162 RXB262161:RXB262162 SGX262161:SGX262162 SQT262161:SQT262162 TAP262161:TAP262162 TKL262161:TKL262162 TUH262161:TUH262162 UED262161:UED262162 UNZ262161:UNZ262162 UXV262161:UXV262162 VHR262161:VHR262162 VRN262161:VRN262162 WBJ262161:WBJ262162 WLF262161:WLF262162 WVB262161:WVB262162 D327697:D327698 IP327697:IP327698 SL327697:SL327698 ACH327697:ACH327698 AMD327697:AMD327698 AVZ327697:AVZ327698 BFV327697:BFV327698 BPR327697:BPR327698 BZN327697:BZN327698 CJJ327697:CJJ327698 CTF327697:CTF327698 DDB327697:DDB327698 DMX327697:DMX327698 DWT327697:DWT327698 EGP327697:EGP327698 EQL327697:EQL327698 FAH327697:FAH327698 FKD327697:FKD327698 FTZ327697:FTZ327698 GDV327697:GDV327698 GNR327697:GNR327698 GXN327697:GXN327698 HHJ327697:HHJ327698 HRF327697:HRF327698 IBB327697:IBB327698 IKX327697:IKX327698 IUT327697:IUT327698 JEP327697:JEP327698 JOL327697:JOL327698 JYH327697:JYH327698 KID327697:KID327698 KRZ327697:KRZ327698 LBV327697:LBV327698 LLR327697:LLR327698 LVN327697:LVN327698 MFJ327697:MFJ327698 MPF327697:MPF327698 MZB327697:MZB327698 NIX327697:NIX327698 NST327697:NST327698 OCP327697:OCP327698 OML327697:OML327698 OWH327697:OWH327698 PGD327697:PGD327698 PPZ327697:PPZ327698 PZV327697:PZV327698 QJR327697:QJR327698 QTN327697:QTN327698 RDJ327697:RDJ327698 RNF327697:RNF327698 RXB327697:RXB327698 SGX327697:SGX327698 SQT327697:SQT327698 TAP327697:TAP327698 TKL327697:TKL327698 TUH327697:TUH327698 UED327697:UED327698 UNZ327697:UNZ327698 UXV327697:UXV327698 VHR327697:VHR327698 VRN327697:VRN327698 WBJ327697:WBJ327698 WLF327697:WLF327698 WVB327697:WVB327698 D393233:D393234 IP393233:IP393234 SL393233:SL393234 ACH393233:ACH393234 AMD393233:AMD393234 AVZ393233:AVZ393234 BFV393233:BFV393234 BPR393233:BPR393234 BZN393233:BZN393234 CJJ393233:CJJ393234 CTF393233:CTF393234 DDB393233:DDB393234 DMX393233:DMX393234 DWT393233:DWT393234 EGP393233:EGP393234 EQL393233:EQL393234 FAH393233:FAH393234 FKD393233:FKD393234 FTZ393233:FTZ393234 GDV393233:GDV393234 GNR393233:GNR393234 GXN393233:GXN393234 HHJ393233:HHJ393234 HRF393233:HRF393234 IBB393233:IBB393234 IKX393233:IKX393234 IUT393233:IUT393234 JEP393233:JEP393234 JOL393233:JOL393234 JYH393233:JYH393234 KID393233:KID393234 KRZ393233:KRZ393234 LBV393233:LBV393234 LLR393233:LLR393234 LVN393233:LVN393234 MFJ393233:MFJ393234 MPF393233:MPF393234 MZB393233:MZB393234 NIX393233:NIX393234 NST393233:NST393234 OCP393233:OCP393234 OML393233:OML393234 OWH393233:OWH393234 PGD393233:PGD393234 PPZ393233:PPZ393234 PZV393233:PZV393234 QJR393233:QJR393234 QTN393233:QTN393234 RDJ393233:RDJ393234 RNF393233:RNF393234 RXB393233:RXB393234 SGX393233:SGX393234 SQT393233:SQT393234 TAP393233:TAP393234 TKL393233:TKL393234 TUH393233:TUH393234 UED393233:UED393234 UNZ393233:UNZ393234 UXV393233:UXV393234 VHR393233:VHR393234 VRN393233:VRN393234 WBJ393233:WBJ393234 WLF393233:WLF393234 WVB393233:WVB393234 D458769:D458770 IP458769:IP458770 SL458769:SL458770 ACH458769:ACH458770 AMD458769:AMD458770 AVZ458769:AVZ458770 BFV458769:BFV458770 BPR458769:BPR458770 BZN458769:BZN458770 CJJ458769:CJJ458770 CTF458769:CTF458770 DDB458769:DDB458770 DMX458769:DMX458770 DWT458769:DWT458770 EGP458769:EGP458770 EQL458769:EQL458770 FAH458769:FAH458770 FKD458769:FKD458770 FTZ458769:FTZ458770 GDV458769:GDV458770 GNR458769:GNR458770 GXN458769:GXN458770 HHJ458769:HHJ458770 HRF458769:HRF458770 IBB458769:IBB458770 IKX458769:IKX458770 IUT458769:IUT458770 JEP458769:JEP458770 JOL458769:JOL458770 JYH458769:JYH458770 KID458769:KID458770 KRZ458769:KRZ458770 LBV458769:LBV458770 LLR458769:LLR458770 LVN458769:LVN458770 MFJ458769:MFJ458770 MPF458769:MPF458770 MZB458769:MZB458770 NIX458769:NIX458770 NST458769:NST458770 OCP458769:OCP458770 OML458769:OML458770 OWH458769:OWH458770 PGD458769:PGD458770 PPZ458769:PPZ458770 PZV458769:PZV458770 QJR458769:QJR458770 QTN458769:QTN458770 RDJ458769:RDJ458770 RNF458769:RNF458770 RXB458769:RXB458770 SGX458769:SGX458770 SQT458769:SQT458770 TAP458769:TAP458770 TKL458769:TKL458770 TUH458769:TUH458770 UED458769:UED458770 UNZ458769:UNZ458770 UXV458769:UXV458770 VHR458769:VHR458770 VRN458769:VRN458770 WBJ458769:WBJ458770 WLF458769:WLF458770 WVB458769:WVB458770 D524305:D524306 IP524305:IP524306 SL524305:SL524306 ACH524305:ACH524306 AMD524305:AMD524306 AVZ524305:AVZ524306 BFV524305:BFV524306 BPR524305:BPR524306 BZN524305:BZN524306 CJJ524305:CJJ524306 CTF524305:CTF524306 DDB524305:DDB524306 DMX524305:DMX524306 DWT524305:DWT524306 EGP524305:EGP524306 EQL524305:EQL524306 FAH524305:FAH524306 FKD524305:FKD524306 FTZ524305:FTZ524306 GDV524305:GDV524306 GNR524305:GNR524306 GXN524305:GXN524306 HHJ524305:HHJ524306 HRF524305:HRF524306 IBB524305:IBB524306 IKX524305:IKX524306 IUT524305:IUT524306 JEP524305:JEP524306 JOL524305:JOL524306 JYH524305:JYH524306 KID524305:KID524306 KRZ524305:KRZ524306 LBV524305:LBV524306 LLR524305:LLR524306 LVN524305:LVN524306 MFJ524305:MFJ524306 MPF524305:MPF524306 MZB524305:MZB524306 NIX524305:NIX524306 NST524305:NST524306 OCP524305:OCP524306 OML524305:OML524306 OWH524305:OWH524306 PGD524305:PGD524306 PPZ524305:PPZ524306 PZV524305:PZV524306 QJR524305:QJR524306 QTN524305:QTN524306 RDJ524305:RDJ524306 RNF524305:RNF524306 RXB524305:RXB524306 SGX524305:SGX524306 SQT524305:SQT524306 TAP524305:TAP524306 TKL524305:TKL524306 TUH524305:TUH524306 UED524305:UED524306 UNZ524305:UNZ524306 UXV524305:UXV524306 VHR524305:VHR524306 VRN524305:VRN524306 WBJ524305:WBJ524306 WLF524305:WLF524306 WVB524305:WVB524306 D589841:D589842 IP589841:IP589842 SL589841:SL589842 ACH589841:ACH589842 AMD589841:AMD589842 AVZ589841:AVZ589842 BFV589841:BFV589842 BPR589841:BPR589842 BZN589841:BZN589842 CJJ589841:CJJ589842 CTF589841:CTF589842 DDB589841:DDB589842 DMX589841:DMX589842 DWT589841:DWT589842 EGP589841:EGP589842 EQL589841:EQL589842 FAH589841:FAH589842 FKD589841:FKD589842 FTZ589841:FTZ589842 GDV589841:GDV589842 GNR589841:GNR589842 GXN589841:GXN589842 HHJ589841:HHJ589842 HRF589841:HRF589842 IBB589841:IBB589842 IKX589841:IKX589842 IUT589841:IUT589842 JEP589841:JEP589842 JOL589841:JOL589842 JYH589841:JYH589842 KID589841:KID589842 KRZ589841:KRZ589842 LBV589841:LBV589842 LLR589841:LLR589842 LVN589841:LVN589842 MFJ589841:MFJ589842 MPF589841:MPF589842 MZB589841:MZB589842 NIX589841:NIX589842 NST589841:NST589842 OCP589841:OCP589842 OML589841:OML589842 OWH589841:OWH589842 PGD589841:PGD589842 PPZ589841:PPZ589842 PZV589841:PZV589842 QJR589841:QJR589842 QTN589841:QTN589842 RDJ589841:RDJ589842 RNF589841:RNF589842 RXB589841:RXB589842 SGX589841:SGX589842 SQT589841:SQT589842 TAP589841:TAP589842 TKL589841:TKL589842 TUH589841:TUH589842 UED589841:UED589842 UNZ589841:UNZ589842 UXV589841:UXV589842 VHR589841:VHR589842 VRN589841:VRN589842 WBJ589841:WBJ589842 WLF589841:WLF589842 WVB589841:WVB589842 D655377:D655378 IP655377:IP655378 SL655377:SL655378 ACH655377:ACH655378 AMD655377:AMD655378 AVZ655377:AVZ655378 BFV655377:BFV655378 BPR655377:BPR655378 BZN655377:BZN655378 CJJ655377:CJJ655378 CTF655377:CTF655378 DDB655377:DDB655378 DMX655377:DMX655378 DWT655377:DWT655378 EGP655377:EGP655378 EQL655377:EQL655378 FAH655377:FAH655378 FKD655377:FKD655378 FTZ655377:FTZ655378 GDV655377:GDV655378 GNR655377:GNR655378 GXN655377:GXN655378 HHJ655377:HHJ655378 HRF655377:HRF655378 IBB655377:IBB655378 IKX655377:IKX655378 IUT655377:IUT655378 JEP655377:JEP655378 JOL655377:JOL655378 JYH655377:JYH655378 KID655377:KID655378 KRZ655377:KRZ655378 LBV655377:LBV655378 LLR655377:LLR655378 LVN655377:LVN655378 MFJ655377:MFJ655378 MPF655377:MPF655378 MZB655377:MZB655378 NIX655377:NIX655378 NST655377:NST655378 OCP655377:OCP655378 OML655377:OML655378 OWH655377:OWH655378 PGD655377:PGD655378 PPZ655377:PPZ655378 PZV655377:PZV655378 QJR655377:QJR655378 QTN655377:QTN655378 RDJ655377:RDJ655378 RNF655377:RNF655378 RXB655377:RXB655378 SGX655377:SGX655378 SQT655377:SQT655378 TAP655377:TAP655378 TKL655377:TKL655378 TUH655377:TUH655378 UED655377:UED655378 UNZ655377:UNZ655378 UXV655377:UXV655378 VHR655377:VHR655378 VRN655377:VRN655378 WBJ655377:WBJ655378 WLF655377:WLF655378 WVB655377:WVB655378 D720913:D720914 IP720913:IP720914 SL720913:SL720914 ACH720913:ACH720914 AMD720913:AMD720914 AVZ720913:AVZ720914 BFV720913:BFV720914 BPR720913:BPR720914 BZN720913:BZN720914 CJJ720913:CJJ720914 CTF720913:CTF720914 DDB720913:DDB720914 DMX720913:DMX720914 DWT720913:DWT720914 EGP720913:EGP720914 EQL720913:EQL720914 FAH720913:FAH720914 FKD720913:FKD720914 FTZ720913:FTZ720914 GDV720913:GDV720914 GNR720913:GNR720914 GXN720913:GXN720914 HHJ720913:HHJ720914 HRF720913:HRF720914 IBB720913:IBB720914 IKX720913:IKX720914 IUT720913:IUT720914 JEP720913:JEP720914 JOL720913:JOL720914 JYH720913:JYH720914 KID720913:KID720914 KRZ720913:KRZ720914 LBV720913:LBV720914 LLR720913:LLR720914 LVN720913:LVN720914 MFJ720913:MFJ720914 MPF720913:MPF720914 MZB720913:MZB720914 NIX720913:NIX720914 NST720913:NST720914 OCP720913:OCP720914 OML720913:OML720914 OWH720913:OWH720914 PGD720913:PGD720914 PPZ720913:PPZ720914 PZV720913:PZV720914 QJR720913:QJR720914 QTN720913:QTN720914 RDJ720913:RDJ720914 RNF720913:RNF720914 RXB720913:RXB720914 SGX720913:SGX720914 SQT720913:SQT720914 TAP720913:TAP720914 TKL720913:TKL720914 TUH720913:TUH720914 UED720913:UED720914 UNZ720913:UNZ720914 UXV720913:UXV720914 VHR720913:VHR720914 VRN720913:VRN720914 WBJ720913:WBJ720914 WLF720913:WLF720914 WVB720913:WVB720914 D786449:D786450 IP786449:IP786450 SL786449:SL786450 ACH786449:ACH786450 AMD786449:AMD786450 AVZ786449:AVZ786450 BFV786449:BFV786450 BPR786449:BPR786450 BZN786449:BZN786450 CJJ786449:CJJ786450 CTF786449:CTF786450 DDB786449:DDB786450 DMX786449:DMX786450 DWT786449:DWT786450 EGP786449:EGP786450 EQL786449:EQL786450 FAH786449:FAH786450 FKD786449:FKD786450 FTZ786449:FTZ786450 GDV786449:GDV786450 GNR786449:GNR786450 GXN786449:GXN786450 HHJ786449:HHJ786450 HRF786449:HRF786450 IBB786449:IBB786450 IKX786449:IKX786450 IUT786449:IUT786450 JEP786449:JEP786450 JOL786449:JOL786450 JYH786449:JYH786450 KID786449:KID786450 KRZ786449:KRZ786450 LBV786449:LBV786450 LLR786449:LLR786450 LVN786449:LVN786450 MFJ786449:MFJ786450 MPF786449:MPF786450 MZB786449:MZB786450 NIX786449:NIX786450 NST786449:NST786450 OCP786449:OCP786450 OML786449:OML786450 OWH786449:OWH786450 PGD786449:PGD786450 PPZ786449:PPZ786450 PZV786449:PZV786450 QJR786449:QJR786450 QTN786449:QTN786450 RDJ786449:RDJ786450 RNF786449:RNF786450 RXB786449:RXB786450 SGX786449:SGX786450 SQT786449:SQT786450 TAP786449:TAP786450 TKL786449:TKL786450 TUH786449:TUH786450 UED786449:UED786450 UNZ786449:UNZ786450 UXV786449:UXV786450 VHR786449:VHR786450 VRN786449:VRN786450 WBJ786449:WBJ786450 WLF786449:WLF786450 WVB786449:WVB786450 D851985:D851986 IP851985:IP851986 SL851985:SL851986 ACH851985:ACH851986 AMD851985:AMD851986 AVZ851985:AVZ851986 BFV851985:BFV851986 BPR851985:BPR851986 BZN851985:BZN851986 CJJ851985:CJJ851986 CTF851985:CTF851986 DDB851985:DDB851986 DMX851985:DMX851986 DWT851985:DWT851986 EGP851985:EGP851986 EQL851985:EQL851986 FAH851985:FAH851986 FKD851985:FKD851986 FTZ851985:FTZ851986 GDV851985:GDV851986 GNR851985:GNR851986 GXN851985:GXN851986 HHJ851985:HHJ851986 HRF851985:HRF851986 IBB851985:IBB851986 IKX851985:IKX851986 IUT851985:IUT851986 JEP851985:JEP851986 JOL851985:JOL851986 JYH851985:JYH851986 KID851985:KID851986 KRZ851985:KRZ851986 LBV851985:LBV851986 LLR851985:LLR851986 LVN851985:LVN851986 MFJ851985:MFJ851986 MPF851985:MPF851986 MZB851985:MZB851986 NIX851985:NIX851986 NST851985:NST851986 OCP851985:OCP851986 OML851985:OML851986 OWH851985:OWH851986 PGD851985:PGD851986 PPZ851985:PPZ851986 PZV851985:PZV851986 QJR851985:QJR851986 QTN851985:QTN851986 RDJ851985:RDJ851986 RNF851985:RNF851986 RXB851985:RXB851986 SGX851985:SGX851986 SQT851985:SQT851986 TAP851985:TAP851986 TKL851985:TKL851986 TUH851985:TUH851986 UED851985:UED851986 UNZ851985:UNZ851986 UXV851985:UXV851986 VHR851985:VHR851986 VRN851985:VRN851986 WBJ851985:WBJ851986 WLF851985:WLF851986 WVB851985:WVB851986 D917521:D917522 IP917521:IP917522 SL917521:SL917522 ACH917521:ACH917522 AMD917521:AMD917522 AVZ917521:AVZ917522 BFV917521:BFV917522 BPR917521:BPR917522 BZN917521:BZN917522 CJJ917521:CJJ917522 CTF917521:CTF917522 DDB917521:DDB917522 DMX917521:DMX917522 DWT917521:DWT917522 EGP917521:EGP917522 EQL917521:EQL917522 FAH917521:FAH917522 FKD917521:FKD917522 FTZ917521:FTZ917522 GDV917521:GDV917522 GNR917521:GNR917522 GXN917521:GXN917522 HHJ917521:HHJ917522 HRF917521:HRF917522 IBB917521:IBB917522 IKX917521:IKX917522 IUT917521:IUT917522 JEP917521:JEP917522 JOL917521:JOL917522 JYH917521:JYH917522 KID917521:KID917522 KRZ917521:KRZ917522 LBV917521:LBV917522 LLR917521:LLR917522 LVN917521:LVN917522 MFJ917521:MFJ917522 MPF917521:MPF917522 MZB917521:MZB917522 NIX917521:NIX917522 NST917521:NST917522 OCP917521:OCP917522 OML917521:OML917522 OWH917521:OWH917522 PGD917521:PGD917522 PPZ917521:PPZ917522 PZV917521:PZV917522 QJR917521:QJR917522 QTN917521:QTN917522 RDJ917521:RDJ917522 RNF917521:RNF917522 RXB917521:RXB917522 SGX917521:SGX917522 SQT917521:SQT917522 TAP917521:TAP917522 TKL917521:TKL917522 TUH917521:TUH917522 UED917521:UED917522 UNZ917521:UNZ917522 UXV917521:UXV917522 VHR917521:VHR917522 VRN917521:VRN917522 WBJ917521:WBJ917522 WLF917521:WLF917522 WVB917521:WVB917522 D983057:D983058 IP983057:IP983058 SL983057:SL983058 ACH983057:ACH983058 AMD983057:AMD983058 AVZ983057:AVZ983058 BFV983057:BFV983058 BPR983057:BPR983058 BZN983057:BZN983058 CJJ983057:CJJ983058 CTF983057:CTF983058 DDB983057:DDB983058 DMX983057:DMX983058 DWT983057:DWT983058 EGP983057:EGP983058 EQL983057:EQL983058 FAH983057:FAH983058 FKD983057:FKD983058 FTZ983057:FTZ983058 GDV983057:GDV983058 GNR983057:GNR983058 GXN983057:GXN983058 HHJ983057:HHJ983058 HRF983057:HRF983058 IBB983057:IBB983058 IKX983057:IKX983058 IUT983057:IUT983058 JEP983057:JEP983058 JOL983057:JOL983058 JYH983057:JYH983058 KID983057:KID983058 KRZ983057:KRZ983058 LBV983057:LBV983058 LLR983057:LLR983058 LVN983057:LVN983058 MFJ983057:MFJ983058 MPF983057:MPF983058 MZB983057:MZB983058 NIX983057:NIX983058 NST983057:NST983058 OCP983057:OCP983058 OML983057:OML983058 OWH983057:OWH983058 PGD983057:PGD983058 PPZ983057:PPZ983058 PZV983057:PZV983058 QJR983057:QJR983058 QTN983057:QTN983058 RDJ983057:RDJ983058 RNF983057:RNF983058 RXB983057:RXB983058 SGX983057:SGX983058 SQT983057:SQT983058 TAP983057:TAP983058 TKL983057:TKL983058 TUH983057:TUH983058 UED983057:UED983058 UNZ983057:UNZ983058 UXV983057:UXV983058 VHR983057:VHR983058 VRN983057:VRN983058 WBJ983057:WBJ983058 WLF983057:WLF983058 WVB983057:WVB983058" xr:uid="{00000000-0002-0000-0100-000001000000}">
      <formula1>1</formula1>
    </dataValidation>
    <dataValidation allowBlank="1" showInputMessage="1" showErrorMessage="1" promptTitle="Extra Payments" prompt="Enter an amount here if you want to make additional principal payments every pay period._x000a__x000a_For occasional extra payments, enter the extra principal amounts directly in the 'Extra Payment' column below." sqref="D19 IP19 SL19 ACH19 AMD19 AVZ19 BFV19 BPR19 BZN19 CJJ19 CTF19 DDB19 DMX19 DWT19 EGP19 EQL19 FAH19 FKD19 FTZ19 GDV19 GNR19 GXN19 HHJ19 HRF19 IBB19 IKX19 IUT19 JEP19 JOL19 JYH19 KID19 KRZ19 LBV19 LLR19 LVN19 MFJ19 MPF19 MZB19 NIX19 NST19 OCP19 OML19 OWH19 PGD19 PPZ19 PZV19 QJR19 QTN19 RDJ19 RNF19 RXB19 SGX19 SQT19 TAP19 TKL19 TUH19 UED19 UNZ19 UXV19 VHR19 VRN19 WBJ19 WLF19 WVB19 D65555 IP65555 SL65555 ACH65555 AMD65555 AVZ65555 BFV65555 BPR65555 BZN65555 CJJ65555 CTF65555 DDB65555 DMX65555 DWT65555 EGP65555 EQL65555 FAH65555 FKD65555 FTZ65555 GDV65555 GNR65555 GXN65555 HHJ65555 HRF65555 IBB65555 IKX65555 IUT65555 JEP65555 JOL65555 JYH65555 KID65555 KRZ65555 LBV65555 LLR65555 LVN65555 MFJ65555 MPF65555 MZB65555 NIX65555 NST65555 OCP65555 OML65555 OWH65555 PGD65555 PPZ65555 PZV65555 QJR65555 QTN65555 RDJ65555 RNF65555 RXB65555 SGX65555 SQT65555 TAP65555 TKL65555 TUH65555 UED65555 UNZ65555 UXV65555 VHR65555 VRN65555 WBJ65555 WLF65555 WVB65555 D131091 IP131091 SL131091 ACH131091 AMD131091 AVZ131091 BFV131091 BPR131091 BZN131091 CJJ131091 CTF131091 DDB131091 DMX131091 DWT131091 EGP131091 EQL131091 FAH131091 FKD131091 FTZ131091 GDV131091 GNR131091 GXN131091 HHJ131091 HRF131091 IBB131091 IKX131091 IUT131091 JEP131091 JOL131091 JYH131091 KID131091 KRZ131091 LBV131091 LLR131091 LVN131091 MFJ131091 MPF131091 MZB131091 NIX131091 NST131091 OCP131091 OML131091 OWH131091 PGD131091 PPZ131091 PZV131091 QJR131091 QTN131091 RDJ131091 RNF131091 RXB131091 SGX131091 SQT131091 TAP131091 TKL131091 TUH131091 UED131091 UNZ131091 UXV131091 VHR131091 VRN131091 WBJ131091 WLF131091 WVB131091 D196627 IP196627 SL196627 ACH196627 AMD196627 AVZ196627 BFV196627 BPR196627 BZN196627 CJJ196627 CTF196627 DDB196627 DMX196627 DWT196627 EGP196627 EQL196627 FAH196627 FKD196627 FTZ196627 GDV196627 GNR196627 GXN196627 HHJ196627 HRF196627 IBB196627 IKX196627 IUT196627 JEP196627 JOL196627 JYH196627 KID196627 KRZ196627 LBV196627 LLR196627 LVN196627 MFJ196627 MPF196627 MZB196627 NIX196627 NST196627 OCP196627 OML196627 OWH196627 PGD196627 PPZ196627 PZV196627 QJR196627 QTN196627 RDJ196627 RNF196627 RXB196627 SGX196627 SQT196627 TAP196627 TKL196627 TUH196627 UED196627 UNZ196627 UXV196627 VHR196627 VRN196627 WBJ196627 WLF196627 WVB196627 D262163 IP262163 SL262163 ACH262163 AMD262163 AVZ262163 BFV262163 BPR262163 BZN262163 CJJ262163 CTF262163 DDB262163 DMX262163 DWT262163 EGP262163 EQL262163 FAH262163 FKD262163 FTZ262163 GDV262163 GNR262163 GXN262163 HHJ262163 HRF262163 IBB262163 IKX262163 IUT262163 JEP262163 JOL262163 JYH262163 KID262163 KRZ262163 LBV262163 LLR262163 LVN262163 MFJ262163 MPF262163 MZB262163 NIX262163 NST262163 OCP262163 OML262163 OWH262163 PGD262163 PPZ262163 PZV262163 QJR262163 QTN262163 RDJ262163 RNF262163 RXB262163 SGX262163 SQT262163 TAP262163 TKL262163 TUH262163 UED262163 UNZ262163 UXV262163 VHR262163 VRN262163 WBJ262163 WLF262163 WVB262163 D327699 IP327699 SL327699 ACH327699 AMD327699 AVZ327699 BFV327699 BPR327699 BZN327699 CJJ327699 CTF327699 DDB327699 DMX327699 DWT327699 EGP327699 EQL327699 FAH327699 FKD327699 FTZ327699 GDV327699 GNR327699 GXN327699 HHJ327699 HRF327699 IBB327699 IKX327699 IUT327699 JEP327699 JOL327699 JYH327699 KID327699 KRZ327699 LBV327699 LLR327699 LVN327699 MFJ327699 MPF327699 MZB327699 NIX327699 NST327699 OCP327699 OML327699 OWH327699 PGD327699 PPZ327699 PZV327699 QJR327699 QTN327699 RDJ327699 RNF327699 RXB327699 SGX327699 SQT327699 TAP327699 TKL327699 TUH327699 UED327699 UNZ327699 UXV327699 VHR327699 VRN327699 WBJ327699 WLF327699 WVB327699 D393235 IP393235 SL393235 ACH393235 AMD393235 AVZ393235 BFV393235 BPR393235 BZN393235 CJJ393235 CTF393235 DDB393235 DMX393235 DWT393235 EGP393235 EQL393235 FAH393235 FKD393235 FTZ393235 GDV393235 GNR393235 GXN393235 HHJ393235 HRF393235 IBB393235 IKX393235 IUT393235 JEP393235 JOL393235 JYH393235 KID393235 KRZ393235 LBV393235 LLR393235 LVN393235 MFJ393235 MPF393235 MZB393235 NIX393235 NST393235 OCP393235 OML393235 OWH393235 PGD393235 PPZ393235 PZV393235 QJR393235 QTN393235 RDJ393235 RNF393235 RXB393235 SGX393235 SQT393235 TAP393235 TKL393235 TUH393235 UED393235 UNZ393235 UXV393235 VHR393235 VRN393235 WBJ393235 WLF393235 WVB393235 D458771 IP458771 SL458771 ACH458771 AMD458771 AVZ458771 BFV458771 BPR458771 BZN458771 CJJ458771 CTF458771 DDB458771 DMX458771 DWT458771 EGP458771 EQL458771 FAH458771 FKD458771 FTZ458771 GDV458771 GNR458771 GXN458771 HHJ458771 HRF458771 IBB458771 IKX458771 IUT458771 JEP458771 JOL458771 JYH458771 KID458771 KRZ458771 LBV458771 LLR458771 LVN458771 MFJ458771 MPF458771 MZB458771 NIX458771 NST458771 OCP458771 OML458771 OWH458771 PGD458771 PPZ458771 PZV458771 QJR458771 QTN458771 RDJ458771 RNF458771 RXB458771 SGX458771 SQT458771 TAP458771 TKL458771 TUH458771 UED458771 UNZ458771 UXV458771 VHR458771 VRN458771 WBJ458771 WLF458771 WVB458771 D524307 IP524307 SL524307 ACH524307 AMD524307 AVZ524307 BFV524307 BPR524307 BZN524307 CJJ524307 CTF524307 DDB524307 DMX524307 DWT524307 EGP524307 EQL524307 FAH524307 FKD524307 FTZ524307 GDV524307 GNR524307 GXN524307 HHJ524307 HRF524307 IBB524307 IKX524307 IUT524307 JEP524307 JOL524307 JYH524307 KID524307 KRZ524307 LBV524307 LLR524307 LVN524307 MFJ524307 MPF524307 MZB524307 NIX524307 NST524307 OCP524307 OML524307 OWH524307 PGD524307 PPZ524307 PZV524307 QJR524307 QTN524307 RDJ524307 RNF524307 RXB524307 SGX524307 SQT524307 TAP524307 TKL524307 TUH524307 UED524307 UNZ524307 UXV524307 VHR524307 VRN524307 WBJ524307 WLF524307 WVB524307 D589843 IP589843 SL589843 ACH589843 AMD589843 AVZ589843 BFV589843 BPR589843 BZN589843 CJJ589843 CTF589843 DDB589843 DMX589843 DWT589843 EGP589843 EQL589843 FAH589843 FKD589843 FTZ589843 GDV589843 GNR589843 GXN589843 HHJ589843 HRF589843 IBB589843 IKX589843 IUT589843 JEP589843 JOL589843 JYH589843 KID589843 KRZ589843 LBV589843 LLR589843 LVN589843 MFJ589843 MPF589843 MZB589843 NIX589843 NST589843 OCP589843 OML589843 OWH589843 PGD589843 PPZ589843 PZV589843 QJR589843 QTN589843 RDJ589843 RNF589843 RXB589843 SGX589843 SQT589843 TAP589843 TKL589843 TUH589843 UED589843 UNZ589843 UXV589843 VHR589843 VRN589843 WBJ589843 WLF589843 WVB589843 D655379 IP655379 SL655379 ACH655379 AMD655379 AVZ655379 BFV655379 BPR655379 BZN655379 CJJ655379 CTF655379 DDB655379 DMX655379 DWT655379 EGP655379 EQL655379 FAH655379 FKD655379 FTZ655379 GDV655379 GNR655379 GXN655379 HHJ655379 HRF655379 IBB655379 IKX655379 IUT655379 JEP655379 JOL655379 JYH655379 KID655379 KRZ655379 LBV655379 LLR655379 LVN655379 MFJ655379 MPF655379 MZB655379 NIX655379 NST655379 OCP655379 OML655379 OWH655379 PGD655379 PPZ655379 PZV655379 QJR655379 QTN655379 RDJ655379 RNF655379 RXB655379 SGX655379 SQT655379 TAP655379 TKL655379 TUH655379 UED655379 UNZ655379 UXV655379 VHR655379 VRN655379 WBJ655379 WLF655379 WVB655379 D720915 IP720915 SL720915 ACH720915 AMD720915 AVZ720915 BFV720915 BPR720915 BZN720915 CJJ720915 CTF720915 DDB720915 DMX720915 DWT720915 EGP720915 EQL720915 FAH720915 FKD720915 FTZ720915 GDV720915 GNR720915 GXN720915 HHJ720915 HRF720915 IBB720915 IKX720915 IUT720915 JEP720915 JOL720915 JYH720915 KID720915 KRZ720915 LBV720915 LLR720915 LVN720915 MFJ720915 MPF720915 MZB720915 NIX720915 NST720915 OCP720915 OML720915 OWH720915 PGD720915 PPZ720915 PZV720915 QJR720915 QTN720915 RDJ720915 RNF720915 RXB720915 SGX720915 SQT720915 TAP720915 TKL720915 TUH720915 UED720915 UNZ720915 UXV720915 VHR720915 VRN720915 WBJ720915 WLF720915 WVB720915 D786451 IP786451 SL786451 ACH786451 AMD786451 AVZ786451 BFV786451 BPR786451 BZN786451 CJJ786451 CTF786451 DDB786451 DMX786451 DWT786451 EGP786451 EQL786451 FAH786451 FKD786451 FTZ786451 GDV786451 GNR786451 GXN786451 HHJ786451 HRF786451 IBB786451 IKX786451 IUT786451 JEP786451 JOL786451 JYH786451 KID786451 KRZ786451 LBV786451 LLR786451 LVN786451 MFJ786451 MPF786451 MZB786451 NIX786451 NST786451 OCP786451 OML786451 OWH786451 PGD786451 PPZ786451 PZV786451 QJR786451 QTN786451 RDJ786451 RNF786451 RXB786451 SGX786451 SQT786451 TAP786451 TKL786451 TUH786451 UED786451 UNZ786451 UXV786451 VHR786451 VRN786451 WBJ786451 WLF786451 WVB786451 D851987 IP851987 SL851987 ACH851987 AMD851987 AVZ851987 BFV851987 BPR851987 BZN851987 CJJ851987 CTF851987 DDB851987 DMX851987 DWT851987 EGP851987 EQL851987 FAH851987 FKD851987 FTZ851987 GDV851987 GNR851987 GXN851987 HHJ851987 HRF851987 IBB851987 IKX851987 IUT851987 JEP851987 JOL851987 JYH851987 KID851987 KRZ851987 LBV851987 LLR851987 LVN851987 MFJ851987 MPF851987 MZB851987 NIX851987 NST851987 OCP851987 OML851987 OWH851987 PGD851987 PPZ851987 PZV851987 QJR851987 QTN851987 RDJ851987 RNF851987 RXB851987 SGX851987 SQT851987 TAP851987 TKL851987 TUH851987 UED851987 UNZ851987 UXV851987 VHR851987 VRN851987 WBJ851987 WLF851987 WVB851987 D917523 IP917523 SL917523 ACH917523 AMD917523 AVZ917523 BFV917523 BPR917523 BZN917523 CJJ917523 CTF917523 DDB917523 DMX917523 DWT917523 EGP917523 EQL917523 FAH917523 FKD917523 FTZ917523 GDV917523 GNR917523 GXN917523 HHJ917523 HRF917523 IBB917523 IKX917523 IUT917523 JEP917523 JOL917523 JYH917523 KID917523 KRZ917523 LBV917523 LLR917523 LVN917523 MFJ917523 MPF917523 MZB917523 NIX917523 NST917523 OCP917523 OML917523 OWH917523 PGD917523 PPZ917523 PZV917523 QJR917523 QTN917523 RDJ917523 RNF917523 RXB917523 SGX917523 SQT917523 TAP917523 TKL917523 TUH917523 UED917523 UNZ917523 UXV917523 VHR917523 VRN917523 WBJ917523 WLF917523 WVB917523 D983059 IP983059 SL983059 ACH983059 AMD983059 AVZ983059 BFV983059 BPR983059 BZN983059 CJJ983059 CTF983059 DDB983059 DMX983059 DWT983059 EGP983059 EQL983059 FAH983059 FKD983059 FTZ983059 GDV983059 GNR983059 GXN983059 HHJ983059 HRF983059 IBB983059 IKX983059 IUT983059 JEP983059 JOL983059 JYH983059 KID983059 KRZ983059 LBV983059 LLR983059 LVN983059 MFJ983059 MPF983059 MZB983059 NIX983059 NST983059 OCP983059 OML983059 OWH983059 PGD983059 PPZ983059 PZV983059 QJR983059 QTN983059 RDJ983059 RNF983059 RXB983059 SGX983059 SQT983059 TAP983059 TKL983059 TUH983059 UED983059 UNZ983059 UXV983059 VHR983059 VRN983059 WBJ983059 WLF983059 WVB983059" xr:uid="{00000000-0002-0000-0100-000002000000}"/>
  </dataValidations>
  <printOptions horizontalCentered="1"/>
  <pageMargins left="0.25" right="0.25" top="0.75" bottom="0.75" header="0.3" footer="0.3"/>
  <pageSetup paperSize="5" scale="70" orientation="portrait"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6" filterMode="1">
    <tabColor theme="1" tint="0.34998626667073579"/>
  </sheetPr>
  <dimension ref="A1:IF1235"/>
  <sheetViews>
    <sheetView zoomScale="70" zoomScaleNormal="70" workbookViewId="0">
      <pane xSplit="7" ySplit="6" topLeftCell="BW44" activePane="bottomRight" state="frozen"/>
      <selection pane="bottomRight" activeCell="BX17" sqref="BX17"/>
      <selection pane="bottomLeft" activeCell="A7" sqref="A7"/>
      <selection pane="topRight" activeCell="H1" sqref="H1"/>
    </sheetView>
  </sheetViews>
  <sheetFormatPr defaultColWidth="14.42578125" defaultRowHeight="12.95"/>
  <cols>
    <col min="1" max="1" width="9.42578125" style="702" customWidth="1"/>
    <col min="2" max="2" width="8.5703125" style="702" customWidth="1"/>
    <col min="3" max="3" width="12.42578125" style="702" customWidth="1"/>
    <col min="4" max="4" width="10.5703125" style="702" customWidth="1"/>
    <col min="5" max="5" width="14.5703125" style="699" customWidth="1"/>
    <col min="6" max="6" width="14.5703125" style="702" customWidth="1"/>
    <col min="7" max="7" width="8.5703125" style="497" customWidth="1"/>
    <col min="8" max="8" width="12.140625" style="702" customWidth="1"/>
    <col min="9" max="9" width="14.140625" style="497" customWidth="1"/>
    <col min="10" max="10" width="10.85546875" style="497" customWidth="1"/>
    <col min="11" max="11" width="10.85546875" style="702" customWidth="1"/>
    <col min="12" max="12" width="10.85546875" style="520" customWidth="1"/>
    <col min="13" max="13" width="11.85546875" style="497" customWidth="1"/>
    <col min="14" max="14" width="13.5703125" style="699" customWidth="1"/>
    <col min="15" max="15" width="14.5703125" style="699" customWidth="1"/>
    <col min="16" max="24" width="13.140625" style="699" hidden="1" customWidth="1"/>
    <col min="25" max="25" width="18" style="699" hidden="1" customWidth="1"/>
    <col min="26" max="29" width="17.85546875" style="699" customWidth="1"/>
    <col min="30" max="31" width="14.5703125" style="705" customWidth="1"/>
    <col min="32" max="32" width="13.5703125" style="699" customWidth="1"/>
    <col min="33" max="33" width="16.140625" style="699" customWidth="1"/>
    <col min="34" max="34" width="13.5703125" style="699" customWidth="1"/>
    <col min="35" max="35" width="16.140625" style="699" customWidth="1"/>
    <col min="36" max="36" width="13.5703125" style="699" customWidth="1"/>
    <col min="37" max="37" width="16.140625" style="699" customWidth="1"/>
    <col min="38" max="40" width="13.5703125" style="699" customWidth="1"/>
    <col min="41" max="43" width="16.140625" style="705" customWidth="1"/>
    <col min="44" max="44" width="14.5703125" style="1172" hidden="1" customWidth="1"/>
    <col min="45" max="45" width="13.140625" style="1172" hidden="1" customWidth="1"/>
    <col min="46" max="46" width="14.5703125" style="1172" hidden="1" customWidth="1"/>
    <col min="47" max="47" width="13.140625" style="1172" hidden="1" customWidth="1"/>
    <col min="48" max="48" width="14.5703125" style="1172" hidden="1" customWidth="1"/>
    <col min="49" max="49" width="14.5703125" style="1172" customWidth="1"/>
    <col min="50" max="70" width="14.5703125" style="699" customWidth="1"/>
    <col min="71" max="71" width="18.85546875" style="699" customWidth="1"/>
    <col min="72" max="75" width="14.5703125" style="699" customWidth="1"/>
    <col min="76" max="76" width="18.85546875" style="699" customWidth="1"/>
    <col min="77" max="77" width="14.5703125" style="699" customWidth="1"/>
    <col min="78" max="83" width="14.5703125" style="1183" customWidth="1"/>
    <col min="84" max="84" width="18.140625" style="1196" customWidth="1"/>
    <col min="85" max="85" width="15.140625" style="497" customWidth="1"/>
    <col min="86" max="86" width="15.140625" style="702" customWidth="1"/>
    <col min="87" max="87" width="13.85546875" style="497" customWidth="1"/>
    <col min="88" max="88" width="13.42578125" style="497" customWidth="1"/>
    <col min="89" max="89" width="18.140625" style="520" customWidth="1"/>
    <col min="90" max="90" width="10.5703125" style="819" customWidth="1"/>
    <col min="91" max="93" width="14.5703125" style="497" customWidth="1"/>
    <col min="94" max="94" width="11" style="497" customWidth="1"/>
    <col min="95" max="95" width="13.140625" style="497" customWidth="1"/>
    <col min="96" max="96" width="13.140625" style="520" customWidth="1"/>
    <col min="97" max="97" width="16.140625" style="497" customWidth="1"/>
    <col min="98" max="98" width="13.42578125" style="497" customWidth="1"/>
    <col min="99" max="105" width="13.5703125" style="497" customWidth="1"/>
    <col min="106" max="106" width="11.5703125" style="497" hidden="1" customWidth="1"/>
    <col min="107" max="107" width="17.42578125" style="497" customWidth="1"/>
    <col min="108" max="108" width="28.85546875" style="520" customWidth="1"/>
    <col min="109" max="110" width="17.42578125" style="497" customWidth="1"/>
    <col min="111" max="111" width="17.42578125" style="1006" hidden="1" customWidth="1"/>
    <col min="112" max="113" width="17.42578125" style="1005" hidden="1" customWidth="1"/>
    <col min="114" max="114" width="21.42578125" style="1006" hidden="1" customWidth="1"/>
    <col min="115" max="115" width="17.42578125" style="1005" hidden="1" customWidth="1"/>
    <col min="116" max="116" width="17.42578125" style="497" hidden="1" customWidth="1"/>
    <col min="117" max="117" width="17.42578125" style="520" hidden="1" customWidth="1"/>
    <col min="118" max="121" width="17.42578125" style="497" hidden="1" customWidth="1"/>
    <col min="122" max="122" width="19.42578125" style="497" hidden="1" customWidth="1"/>
    <col min="123" max="123" width="17.42578125" style="497" hidden="1" customWidth="1"/>
    <col min="124" max="124" width="17.42578125" style="705" hidden="1" customWidth="1"/>
    <col min="125" max="126" width="17.42578125" style="497" hidden="1" customWidth="1"/>
    <col min="127" max="127" width="17.140625" style="497" hidden="1" customWidth="1"/>
    <col min="128" max="130" width="9.85546875" style="520" hidden="1" customWidth="1"/>
    <col min="131" max="131" width="5.42578125" style="497" hidden="1" customWidth="1"/>
    <col min="132" max="135" width="14.42578125" style="497" hidden="1" customWidth="1"/>
    <col min="136" max="136" width="33.140625" style="497" hidden="1" customWidth="1"/>
    <col min="137" max="137" width="20.5703125" style="497" hidden="1" customWidth="1"/>
    <col min="138" max="138" width="15.5703125" style="826" customWidth="1"/>
    <col min="139" max="139" width="19.140625" style="497" customWidth="1"/>
    <col min="140" max="140" width="18.140625" style="497" customWidth="1"/>
    <col min="141" max="144" width="14.42578125" style="497" customWidth="1"/>
    <col min="145" max="145" width="21.5703125" style="497" customWidth="1"/>
    <col min="146" max="146" width="17.85546875" style="520" customWidth="1"/>
    <col min="147" max="147" width="15.85546875" style="708" customWidth="1"/>
    <col min="148" max="148" width="11.85546875" style="708" customWidth="1"/>
    <col min="149" max="149" width="14.42578125" style="497" hidden="1" customWidth="1"/>
    <col min="150" max="150" width="14.42578125" style="497" customWidth="1"/>
    <col min="151" max="151" width="14.42578125" style="497" hidden="1" customWidth="1"/>
    <col min="152" max="152" width="11.5703125" style="497" hidden="1" customWidth="1"/>
    <col min="153" max="153" width="14.42578125" style="497" hidden="1" customWidth="1"/>
    <col min="154" max="154" width="5.42578125" style="999" customWidth="1"/>
    <col min="155" max="157" width="14.42578125" style="497" hidden="1" customWidth="1"/>
    <col min="158" max="158" width="18" style="497" hidden="1" customWidth="1"/>
    <col min="159" max="159" width="17.42578125" style="497" hidden="1" customWidth="1"/>
    <col min="160" max="161" width="14.42578125" style="497" customWidth="1"/>
    <col min="162" max="162" width="18.85546875" style="497" customWidth="1"/>
    <col min="163" max="163" width="14.42578125" style="497" customWidth="1"/>
    <col min="164" max="164" width="18.85546875" style="497" customWidth="1"/>
    <col min="165" max="165" width="9" style="497" customWidth="1"/>
    <col min="166" max="166" width="0" style="497" hidden="1" customWidth="1"/>
    <col min="167" max="168" width="18.42578125" style="497" hidden="1" customWidth="1"/>
    <col min="169" max="169" width="5.140625" style="999" hidden="1" customWidth="1"/>
    <col min="170" max="176" width="0" style="497" hidden="1" customWidth="1"/>
    <col min="177" max="177" width="6.42578125" style="999" hidden="1" customWidth="1"/>
    <col min="178" max="178" width="19.42578125" style="497" hidden="1" customWidth="1"/>
    <col min="179" max="184" width="0" style="497" hidden="1" customWidth="1"/>
    <col min="185" max="185" width="4.42578125" style="999" hidden="1" customWidth="1"/>
    <col min="186" max="186" width="13" style="999" customWidth="1"/>
    <col min="187" max="188" width="14.42578125" style="497"/>
    <col min="189" max="189" width="7.140625" style="999" customWidth="1"/>
    <col min="190" max="190" width="0" style="497" hidden="1" customWidth="1"/>
    <col min="191" max="191" width="0" style="1096" hidden="1" customWidth="1"/>
    <col min="192" max="196" width="0" style="497" hidden="1" customWidth="1"/>
    <col min="197" max="197" width="0" style="1096" hidden="1" customWidth="1"/>
    <col min="198" max="202" width="0" style="497" hidden="1" customWidth="1"/>
    <col min="203" max="203" width="6.140625" style="999" hidden="1" customWidth="1"/>
    <col min="204" max="204" width="0" style="497" hidden="1" customWidth="1"/>
    <col min="205" max="205" width="0" style="1096" hidden="1" customWidth="1"/>
    <col min="206" max="208" width="0" style="497" hidden="1" customWidth="1"/>
    <col min="209" max="209" width="0" style="1103" hidden="1" customWidth="1"/>
    <col min="210" max="210" width="0" style="705" hidden="1" customWidth="1"/>
    <col min="211" max="211" width="14.42578125" style="1096" hidden="1" customWidth="1"/>
    <col min="212" max="216" width="14.42578125" style="497" hidden="1" customWidth="1"/>
    <col min="217" max="217" width="6" style="999" hidden="1" customWidth="1"/>
    <col min="218" max="218" width="0" style="497" hidden="1" customWidth="1"/>
    <col min="219" max="224" width="14.42578125" style="497"/>
    <col min="225" max="228" width="14.42578125" style="699"/>
    <col min="229" max="230" width="14.42578125" style="702"/>
    <col min="231" max="16384" width="14.42578125" style="497"/>
  </cols>
  <sheetData>
    <row r="1" spans="1:240" ht="14.25" customHeight="1">
      <c r="A1" s="697" t="s">
        <v>51</v>
      </c>
      <c r="B1" s="698"/>
      <c r="C1" s="698"/>
      <c r="D1" s="698"/>
      <c r="F1" s="698"/>
      <c r="G1" s="700"/>
      <c r="H1" s="701"/>
      <c r="I1" s="700"/>
      <c r="M1" s="703"/>
      <c r="N1" s="704"/>
      <c r="O1" s="699">
        <v>110000</v>
      </c>
      <c r="AE1" s="705" t="s">
        <v>52</v>
      </c>
      <c r="CL1" s="706"/>
      <c r="CP1" s="700"/>
      <c r="DG1" s="1004"/>
      <c r="EY1" s="208" t="s">
        <v>53</v>
      </c>
      <c r="EZ1" s="208" t="s">
        <v>54</v>
      </c>
      <c r="FA1" s="208" t="s">
        <v>55</v>
      </c>
      <c r="FB1" s="208" t="s">
        <v>56</v>
      </c>
      <c r="FC1" s="208" t="s">
        <v>57</v>
      </c>
      <c r="GH1" s="1310" t="s">
        <v>58</v>
      </c>
      <c r="GI1" s="1310"/>
      <c r="GJ1" s="1310"/>
      <c r="GK1" s="1310"/>
      <c r="GL1" s="1310"/>
      <c r="GM1" s="1310"/>
      <c r="GN1" s="1310"/>
      <c r="GO1" s="1310"/>
      <c r="GP1" s="1310"/>
      <c r="GQ1" s="1310"/>
      <c r="GR1" s="1310"/>
      <c r="GS1" s="1310"/>
      <c r="GT1" s="1310"/>
      <c r="GV1" s="1314" t="s">
        <v>59</v>
      </c>
      <c r="GW1" s="1314"/>
      <c r="GX1" s="1314"/>
      <c r="GY1" s="1314"/>
      <c r="GZ1" s="1314"/>
      <c r="HA1" s="1314"/>
      <c r="HB1" s="1314"/>
      <c r="HC1" s="1314"/>
      <c r="HD1" s="1314"/>
      <c r="HE1" s="1314"/>
      <c r="HF1" s="1314"/>
      <c r="HG1" s="1314"/>
      <c r="HH1" s="1314"/>
      <c r="HQ1" s="699" t="s">
        <v>60</v>
      </c>
    </row>
    <row r="2" spans="1:240" ht="14.25" customHeight="1">
      <c r="A2" s="697" t="s">
        <v>61</v>
      </c>
      <c r="B2" s="698"/>
      <c r="C2" s="698"/>
      <c r="D2" s="698"/>
      <c r="F2" s="698"/>
      <c r="G2" s="700"/>
      <c r="H2" s="701"/>
      <c r="I2" s="700"/>
      <c r="M2" s="697"/>
      <c r="N2" s="704"/>
      <c r="O2" s="699">
        <v>2000000</v>
      </c>
      <c r="AE2" s="705">
        <v>50</v>
      </c>
      <c r="AR2" s="1173" t="s">
        <v>62</v>
      </c>
      <c r="BU2" s="699" t="s">
        <v>63</v>
      </c>
      <c r="BV2" s="699">
        <v>75000</v>
      </c>
      <c r="BZ2" s="1184"/>
      <c r="CA2" s="1185" t="s">
        <v>62</v>
      </c>
      <c r="CG2" s="497" t="s">
        <v>64</v>
      </c>
      <c r="CL2" s="707"/>
      <c r="CP2" s="700"/>
      <c r="CT2" s="497">
        <f>CT17/CS17</f>
        <v>7.7529893561887461E-3</v>
      </c>
      <c r="EY2" s="246">
        <v>10</v>
      </c>
      <c r="EZ2" s="247">
        <v>8.5000000000000006E-2</v>
      </c>
      <c r="FA2" s="248">
        <f>PMT(EZ2/12,EY2*12,-1)</f>
        <v>1.2398568887451111E-2</v>
      </c>
      <c r="FB2" s="770">
        <f>EY391</f>
        <v>3196769.3072874704</v>
      </c>
      <c r="FC2" s="770">
        <f>'Amort Computation'!CJ32</f>
        <v>199388.81122501061</v>
      </c>
      <c r="FN2" s="1318" t="s">
        <v>65</v>
      </c>
      <c r="FO2" s="1318"/>
      <c r="FP2" s="1318"/>
      <c r="FQ2" s="1318"/>
      <c r="FR2" s="1318"/>
      <c r="FS2" s="1318"/>
      <c r="FT2" s="1318"/>
      <c r="FV2" s="1318" t="s">
        <v>66</v>
      </c>
      <c r="FW2" s="1318"/>
      <c r="FX2" s="1318"/>
      <c r="FY2" s="1318"/>
      <c r="FZ2" s="1318"/>
      <c r="GA2" s="1318"/>
      <c r="GB2" s="1318"/>
    </row>
    <row r="3" spans="1:240" ht="14.25" customHeight="1" thickBot="1">
      <c r="A3" s="697" t="s">
        <v>67</v>
      </c>
      <c r="B3" s="698"/>
      <c r="C3" s="698"/>
      <c r="D3" s="698"/>
      <c r="F3" s="698"/>
      <c r="G3" s="700"/>
      <c r="H3" s="701"/>
      <c r="I3" s="949">
        <v>0.125</v>
      </c>
      <c r="J3" s="497" t="s">
        <v>68</v>
      </c>
      <c r="K3" s="708" t="s">
        <v>69</v>
      </c>
      <c r="L3" s="520" t="s">
        <v>70</v>
      </c>
      <c r="M3" s="700" t="s">
        <v>71</v>
      </c>
      <c r="N3" s="704"/>
      <c r="O3" s="709" t="s">
        <v>72</v>
      </c>
      <c r="AE3" s="705">
        <v>31</v>
      </c>
      <c r="AL3" s="699">
        <f>SUBTOTAL(9,AL7:AL378)</f>
        <v>2420450.4318688181</v>
      </c>
      <c r="AM3" s="699">
        <f>SUBTOTAL(9,AM7:AM378)</f>
        <v>1872543.8772841205</v>
      </c>
      <c r="AR3" s="1173">
        <v>3199200</v>
      </c>
      <c r="BU3" s="699" t="s">
        <v>73</v>
      </c>
      <c r="BV3" s="699">
        <v>10000</v>
      </c>
      <c r="BZ3" s="1184"/>
      <c r="CA3" s="1185">
        <v>3600000</v>
      </c>
      <c r="CG3" s="512" t="s">
        <v>74</v>
      </c>
      <c r="CH3" s="710"/>
      <c r="CI3" s="512"/>
      <c r="CJ3" s="705">
        <v>3199200</v>
      </c>
      <c r="CL3" s="707"/>
      <c r="CP3" s="700"/>
      <c r="CT3" s="497">
        <f>CT30/CS30</f>
        <v>7.7529893561887452E-3</v>
      </c>
      <c r="DG3" s="1006" t="s">
        <v>75</v>
      </c>
      <c r="DK3" s="1006"/>
      <c r="EY3" s="520"/>
      <c r="EZ3" s="520"/>
      <c r="FA3" s="520"/>
      <c r="FB3" s="940">
        <v>0.12</v>
      </c>
      <c r="FC3" s="775">
        <f>FC2*FB3</f>
        <v>23926.657347001274</v>
      </c>
    </row>
    <row r="4" spans="1:240" ht="14.25" customHeight="1">
      <c r="A4" s="711"/>
      <c r="B4" s="712"/>
      <c r="C4" s="712"/>
      <c r="D4" s="712"/>
      <c r="F4" s="698"/>
      <c r="G4" s="700"/>
      <c r="H4" s="701"/>
      <c r="I4" s="949">
        <v>0.125</v>
      </c>
      <c r="J4" s="497" t="s">
        <v>76</v>
      </c>
      <c r="K4" s="708" t="s">
        <v>77</v>
      </c>
      <c r="L4" s="520" t="s">
        <v>78</v>
      </c>
      <c r="M4" s="700" t="s">
        <v>79</v>
      </c>
      <c r="N4" s="713"/>
      <c r="O4" s="713" t="s">
        <v>80</v>
      </c>
      <c r="P4" s="709">
        <f>P5*12%</f>
        <v>2400</v>
      </c>
      <c r="Q4" s="709"/>
      <c r="R4" s="709" t="s">
        <v>81</v>
      </c>
      <c r="S4" s="709"/>
      <c r="T4" s="709"/>
      <c r="U4" s="709"/>
      <c r="V4" s="709"/>
      <c r="W4" s="709"/>
      <c r="X4" s="709"/>
      <c r="Y4" s="709"/>
      <c r="Z4" s="709"/>
      <c r="AA4" s="709"/>
      <c r="AB4" s="709"/>
      <c r="AC4" s="709"/>
      <c r="AD4" s="714"/>
      <c r="AE4" s="714">
        <f>AE2-AE3</f>
        <v>19</v>
      </c>
      <c r="AF4" s="709"/>
      <c r="AG4" s="709"/>
      <c r="AH4" s="709"/>
      <c r="AI4" s="709"/>
      <c r="AJ4" s="709"/>
      <c r="AK4" s="709"/>
      <c r="AL4" s="709"/>
      <c r="AM4" s="709"/>
      <c r="AN4" s="709"/>
      <c r="AO4" s="714"/>
      <c r="AP4" s="714"/>
      <c r="AQ4" s="714"/>
      <c r="AR4" s="1174" t="s">
        <v>82</v>
      </c>
      <c r="AS4" s="1174"/>
      <c r="AT4" s="1174"/>
      <c r="AU4" s="1174"/>
      <c r="AV4" s="1174"/>
      <c r="AW4" s="1174"/>
      <c r="AX4" s="709"/>
      <c r="AY4" s="709"/>
      <c r="AZ4" s="709"/>
      <c r="BA4" s="709"/>
      <c r="BB4" s="709"/>
      <c r="BC4" s="709"/>
      <c r="BD4" s="709"/>
      <c r="BE4" s="709"/>
      <c r="BF4" s="709"/>
      <c r="BG4" s="709"/>
      <c r="BH4" s="709"/>
      <c r="BI4" s="709"/>
      <c r="BJ4" s="709"/>
      <c r="BK4" s="709"/>
      <c r="BL4" s="709"/>
      <c r="BM4" s="709"/>
      <c r="BN4" s="709"/>
      <c r="BO4" s="709"/>
      <c r="BP4" s="709"/>
      <c r="BQ4" s="709"/>
      <c r="BR4" s="709"/>
      <c r="BS4" s="709"/>
      <c r="BT4" s="709"/>
      <c r="BU4" s="709" t="s">
        <v>83</v>
      </c>
      <c r="BV4" s="709">
        <v>-33600</v>
      </c>
      <c r="BW4" s="709"/>
      <c r="BX4" s="709"/>
      <c r="BY4" s="709"/>
      <c r="BZ4" s="1186"/>
      <c r="CA4" s="1187" t="s">
        <v>82</v>
      </c>
      <c r="CB4" s="1187"/>
      <c r="CC4" s="1187"/>
      <c r="CD4" s="1187"/>
      <c r="CE4" s="1187"/>
      <c r="CF4" s="1197"/>
      <c r="CG4" s="715"/>
      <c r="CH4" s="716"/>
      <c r="CI4" s="715"/>
      <c r="CJ4" s="493"/>
      <c r="CL4" s="707"/>
      <c r="CP4" s="700"/>
      <c r="CT4" s="982" t="s">
        <v>54</v>
      </c>
      <c r="CU4" s="700"/>
      <c r="CV4" s="700"/>
      <c r="CW4" s="700"/>
      <c r="CX4" s="1311" t="s">
        <v>84</v>
      </c>
      <c r="CY4" s="1312"/>
      <c r="CZ4" s="1312"/>
      <c r="DA4" s="1313"/>
      <c r="DB4" s="700"/>
      <c r="DG4" s="1004">
        <v>46082</v>
      </c>
      <c r="DH4" s="1007" t="s">
        <v>85</v>
      </c>
      <c r="DK4" s="1006"/>
      <c r="EY4" s="520"/>
      <c r="EZ4" s="520"/>
      <c r="FA4" s="520"/>
      <c r="FB4" s="940">
        <v>0.08</v>
      </c>
      <c r="FC4" s="775">
        <f>FC2*FB4</f>
        <v>15951.104898000849</v>
      </c>
    </row>
    <row r="5" spans="1:240" ht="26.45" thickBot="1">
      <c r="E5" s="713"/>
      <c r="F5" s="701"/>
      <c r="G5" s="700"/>
      <c r="H5" s="701"/>
      <c r="I5" s="700"/>
      <c r="J5" s="700"/>
      <c r="K5" s="701" t="s">
        <v>86</v>
      </c>
      <c r="L5" s="700"/>
      <c r="M5" s="700"/>
      <c r="N5" s="713">
        <f>SUM('[5]TSF 3 Price study with Additive'!L5)</f>
        <v>106005.26567735759</v>
      </c>
      <c r="O5" s="713" t="s">
        <v>80</v>
      </c>
      <c r="P5" s="717">
        <v>20000</v>
      </c>
      <c r="Q5" s="718">
        <v>50000</v>
      </c>
      <c r="R5" s="719">
        <v>0</v>
      </c>
      <c r="S5" s="719">
        <v>8000</v>
      </c>
      <c r="T5" s="719">
        <v>3000</v>
      </c>
      <c r="U5" s="719">
        <v>1000</v>
      </c>
      <c r="V5" s="719">
        <v>2500</v>
      </c>
      <c r="W5" s="719">
        <v>1000</v>
      </c>
      <c r="X5" s="719">
        <v>200</v>
      </c>
      <c r="Y5" s="720">
        <v>20000</v>
      </c>
      <c r="Z5" s="720">
        <f>'[6]INTERNAL PRICELIST'!K7+'[6]INTERNAL PRICELIST'!L7</f>
        <v>142461</v>
      </c>
      <c r="AA5" s="720"/>
      <c r="AB5" s="720"/>
      <c r="AC5" s="720"/>
      <c r="AD5" s="1315" t="s">
        <v>87</v>
      </c>
      <c r="AE5" s="721">
        <v>44848</v>
      </c>
      <c r="AF5" s="722">
        <v>2.5000000000000001E-2</v>
      </c>
      <c r="AG5" s="723"/>
      <c r="AH5" s="722">
        <v>2.5000000000000001E-2</v>
      </c>
      <c r="AI5" s="723"/>
      <c r="AJ5" s="830">
        <v>0.05</v>
      </c>
      <c r="AK5" s="723"/>
      <c r="AL5" s="947">
        <v>0.01</v>
      </c>
      <c r="AM5" s="948">
        <v>27537.409960060559</v>
      </c>
      <c r="AN5" s="948"/>
      <c r="AO5" s="724">
        <v>44849</v>
      </c>
      <c r="AP5" s="1113">
        <v>0.16500000000000001</v>
      </c>
      <c r="AQ5" s="1114"/>
      <c r="AR5" s="1175">
        <v>3000000</v>
      </c>
      <c r="AS5" s="1175"/>
      <c r="AT5" s="1175"/>
      <c r="AU5" s="1176">
        <v>0.12</v>
      </c>
      <c r="AV5" s="1175"/>
      <c r="AW5" s="1175" t="s">
        <v>75</v>
      </c>
      <c r="AX5" s="1182">
        <v>1.2500000000000001E-2</v>
      </c>
      <c r="AY5" s="1206">
        <f>RECOVERIES!G11</f>
        <v>234837.26560000001</v>
      </c>
      <c r="AZ5" s="1206"/>
      <c r="BA5" s="1182">
        <v>3.7499999999999999E-2</v>
      </c>
      <c r="BB5" s="1206"/>
      <c r="BC5" s="1206">
        <v>30000</v>
      </c>
      <c r="BD5" s="1206"/>
      <c r="BE5" s="1206">
        <f>RECOVERIES!G29</f>
        <v>569402.75840000017</v>
      </c>
      <c r="BF5" s="1206"/>
      <c r="BG5" s="1206">
        <f>RECOVERIES!G37</f>
        <v>14728.000000000002</v>
      </c>
      <c r="BH5" s="1206"/>
      <c r="BI5" s="1206">
        <f>RECOVERIES!G43</f>
        <v>29456.000000000004</v>
      </c>
      <c r="BJ5" s="1206"/>
      <c r="BK5" s="1206"/>
      <c r="BL5" s="1206"/>
      <c r="BM5" s="1206">
        <f>RECOVERIES!G51</f>
        <v>42560.000000000007</v>
      </c>
      <c r="BN5" s="1206"/>
      <c r="BO5" s="1206">
        <f>RECOVERIES!G75</f>
        <v>371742.98560000001</v>
      </c>
      <c r="BP5" s="1206"/>
      <c r="BQ5" s="1206">
        <v>250231.75520000001</v>
      </c>
      <c r="BR5" s="1206"/>
      <c r="BS5" s="1206">
        <f>RECOVERIES!G97</f>
        <v>169694.63548480772</v>
      </c>
      <c r="BT5" s="1206"/>
      <c r="BU5" s="1206">
        <f>RECOVERIES!G105</f>
        <v>13720.000000000002</v>
      </c>
      <c r="BV5" s="1206"/>
      <c r="BW5" s="1206"/>
      <c r="BX5" s="1206">
        <f>RECOVERIES!G112+RECOVERIES!L110</f>
        <v>1880273.3404669126</v>
      </c>
      <c r="BY5" s="1206"/>
      <c r="BZ5" s="1188"/>
      <c r="CA5" s="1189"/>
      <c r="CB5" s="1190">
        <v>40000</v>
      </c>
      <c r="CC5" s="1190"/>
      <c r="CD5" s="1191">
        <v>0.12</v>
      </c>
      <c r="CE5" s="1190"/>
      <c r="CF5" s="1198"/>
      <c r="CG5" s="725"/>
      <c r="CH5" s="726"/>
      <c r="CI5" s="727">
        <f>7.5%+2.75%</f>
        <v>0.10249999999999999</v>
      </c>
      <c r="CJ5" s="727">
        <v>2.5000000000000001E-2</v>
      </c>
      <c r="CK5" s="700"/>
      <c r="CL5" s="946">
        <v>0.125</v>
      </c>
      <c r="CM5" s="700"/>
      <c r="CN5" s="728">
        <v>30000</v>
      </c>
      <c r="CO5" s="700"/>
      <c r="CP5" s="1003"/>
      <c r="CQ5" s="700"/>
      <c r="CR5" s="700"/>
      <c r="CS5" s="700"/>
      <c r="CT5" s="981">
        <v>7.0000000000000007E-2</v>
      </c>
      <c r="CU5" s="729"/>
      <c r="CV5" s="730"/>
      <c r="CW5" s="730"/>
      <c r="CX5" s="1150">
        <v>8.8848788999999997E-2</v>
      </c>
      <c r="CY5" s="1150">
        <v>3.5157032999999997E-2</v>
      </c>
      <c r="CZ5" s="1150">
        <v>2.5393427E-2</v>
      </c>
      <c r="DA5" s="1150">
        <v>1.9325566999999998E-2</v>
      </c>
      <c r="DB5" s="700"/>
      <c r="DC5" s="700"/>
      <c r="DD5" s="700"/>
      <c r="DE5" s="700"/>
      <c r="DF5" s="700"/>
      <c r="DG5" s="1008" t="s">
        <v>88</v>
      </c>
      <c r="DH5" s="1009">
        <v>45231</v>
      </c>
      <c r="DI5" s="1010"/>
      <c r="DJ5" s="1011" t="s">
        <v>89</v>
      </c>
      <c r="DK5" s="1009">
        <f>DH5</f>
        <v>45231</v>
      </c>
      <c r="DL5" s="700"/>
      <c r="DM5" s="700"/>
      <c r="DN5" s="700"/>
      <c r="DO5" s="700"/>
      <c r="DP5" s="700"/>
      <c r="DQ5" s="700"/>
      <c r="DR5" s="731" t="s">
        <v>90</v>
      </c>
      <c r="DS5" s="732" t="s">
        <v>91</v>
      </c>
      <c r="DT5" s="728"/>
      <c r="DU5" s="700"/>
      <c r="DV5" s="700"/>
      <c r="DW5" s="700"/>
      <c r="EF5" s="497" t="s">
        <v>92</v>
      </c>
      <c r="EU5" s="1305" t="s">
        <v>93</v>
      </c>
      <c r="EV5" s="1306"/>
      <c r="EY5" s="941">
        <v>0.9</v>
      </c>
      <c r="EZ5" s="520"/>
      <c r="FB5" s="942" t="s">
        <v>94</v>
      </c>
      <c r="FC5" s="943">
        <f>SUM(FC2:FC4)</f>
        <v>239266.57347001275</v>
      </c>
      <c r="FD5" s="952" t="s">
        <v>95</v>
      </c>
      <c r="FE5" s="953"/>
      <c r="FF5" s="952" t="s">
        <v>96</v>
      </c>
      <c r="FG5" s="954"/>
      <c r="FK5" s="989">
        <v>45108</v>
      </c>
      <c r="FL5" s="989">
        <v>45139</v>
      </c>
      <c r="FO5" s="995">
        <v>0.15</v>
      </c>
      <c r="FS5" s="996">
        <v>40</v>
      </c>
      <c r="FT5" s="705"/>
      <c r="FW5" s="995">
        <v>0.1</v>
      </c>
      <c r="FX5" s="995">
        <v>2.5000000000000001E-2</v>
      </c>
      <c r="GA5" s="996">
        <f>37+9</f>
        <v>46</v>
      </c>
      <c r="GB5" s="705"/>
      <c r="HA5" s="1104">
        <v>48</v>
      </c>
      <c r="ID5" s="472"/>
      <c r="IE5" s="472"/>
      <c r="IF5" s="1276">
        <f>DATE(2025,9,1)</f>
        <v>45901</v>
      </c>
    </row>
    <row r="6" spans="1:240" s="512" customFormat="1" ht="65.45" thickBot="1">
      <c r="A6" s="733" t="s">
        <v>97</v>
      </c>
      <c r="B6" s="733" t="s">
        <v>98</v>
      </c>
      <c r="C6" s="734" t="s">
        <v>99</v>
      </c>
      <c r="D6" s="733" t="s">
        <v>100</v>
      </c>
      <c r="E6" s="735" t="s">
        <v>101</v>
      </c>
      <c r="F6" s="736" t="s">
        <v>102</v>
      </c>
      <c r="G6" s="737" t="s">
        <v>103</v>
      </c>
      <c r="H6" s="738" t="s">
        <v>104</v>
      </c>
      <c r="I6" s="737" t="s">
        <v>105</v>
      </c>
      <c r="J6" s="737" t="s">
        <v>106</v>
      </c>
      <c r="K6" s="738" t="s">
        <v>107</v>
      </c>
      <c r="L6" s="737" t="s">
        <v>108</v>
      </c>
      <c r="M6" s="737" t="s">
        <v>109</v>
      </c>
      <c r="N6" s="733" t="s">
        <v>110</v>
      </c>
      <c r="O6" s="733" t="s">
        <v>111</v>
      </c>
      <c r="P6" s="733" t="s">
        <v>112</v>
      </c>
      <c r="Q6" s="733" t="s">
        <v>113</v>
      </c>
      <c r="R6" s="739" t="s">
        <v>114</v>
      </c>
      <c r="S6" s="739" t="s">
        <v>115</v>
      </c>
      <c r="T6" s="739" t="s">
        <v>116</v>
      </c>
      <c r="U6" s="740" t="s">
        <v>117</v>
      </c>
      <c r="V6" s="740" t="s">
        <v>118</v>
      </c>
      <c r="W6" s="740" t="s">
        <v>119</v>
      </c>
      <c r="X6" s="740" t="s">
        <v>120</v>
      </c>
      <c r="Y6" s="739" t="s">
        <v>121</v>
      </c>
      <c r="Z6" s="739" t="s">
        <v>122</v>
      </c>
      <c r="AA6" s="739" t="s">
        <v>123</v>
      </c>
      <c r="AB6" s="739" t="s">
        <v>124</v>
      </c>
      <c r="AC6" s="739" t="s">
        <v>125</v>
      </c>
      <c r="AD6" s="1315"/>
      <c r="AE6" s="741" t="s">
        <v>126</v>
      </c>
      <c r="AF6" s="739" t="s">
        <v>127</v>
      </c>
      <c r="AG6" s="742" t="s">
        <v>126</v>
      </c>
      <c r="AH6" s="739" t="s">
        <v>128</v>
      </c>
      <c r="AI6" s="742" t="s">
        <v>126</v>
      </c>
      <c r="AJ6" s="739" t="s">
        <v>129</v>
      </c>
      <c r="AK6" s="739" t="s">
        <v>126</v>
      </c>
      <c r="AL6" s="739" t="s">
        <v>130</v>
      </c>
      <c r="AM6" s="739" t="s">
        <v>131</v>
      </c>
      <c r="AN6" s="739" t="s">
        <v>132</v>
      </c>
      <c r="AO6" s="743" t="s">
        <v>126</v>
      </c>
      <c r="AP6" s="1115" t="s">
        <v>133</v>
      </c>
      <c r="AQ6" s="1115" t="s">
        <v>126</v>
      </c>
      <c r="AR6" s="1177" t="s">
        <v>134</v>
      </c>
      <c r="AS6" s="1177" t="s">
        <v>135</v>
      </c>
      <c r="AT6" s="1177" t="s">
        <v>136</v>
      </c>
      <c r="AU6" s="1177" t="s">
        <v>137</v>
      </c>
      <c r="AV6" s="1177" t="s">
        <v>138</v>
      </c>
      <c r="AW6" s="1180" t="s">
        <v>126</v>
      </c>
      <c r="AX6" s="1181" t="s">
        <v>139</v>
      </c>
      <c r="AY6" s="1181" t="s">
        <v>140</v>
      </c>
      <c r="AZ6" s="1181" t="s">
        <v>126</v>
      </c>
      <c r="BA6" s="1181" t="s">
        <v>141</v>
      </c>
      <c r="BB6" s="1181" t="s">
        <v>142</v>
      </c>
      <c r="BC6" s="1181" t="s">
        <v>143</v>
      </c>
      <c r="BD6" s="1181" t="s">
        <v>144</v>
      </c>
      <c r="BE6" s="1181" t="s">
        <v>145</v>
      </c>
      <c r="BF6" s="1181" t="s">
        <v>146</v>
      </c>
      <c r="BG6" s="1181" t="s">
        <v>147</v>
      </c>
      <c r="BH6" s="1181" t="s">
        <v>148</v>
      </c>
      <c r="BI6" s="1181" t="s">
        <v>149</v>
      </c>
      <c r="BJ6" s="1181" t="s">
        <v>150</v>
      </c>
      <c r="BK6" s="1181" t="s">
        <v>151</v>
      </c>
      <c r="BL6" s="1181" t="s">
        <v>152</v>
      </c>
      <c r="BM6" s="1181" t="s">
        <v>153</v>
      </c>
      <c r="BN6" s="1181" t="s">
        <v>154</v>
      </c>
      <c r="BO6" s="1181" t="s">
        <v>155</v>
      </c>
      <c r="BP6" s="1181" t="s">
        <v>156</v>
      </c>
      <c r="BQ6" s="1181" t="s">
        <v>157</v>
      </c>
      <c r="BR6" s="1181" t="s">
        <v>158</v>
      </c>
      <c r="BS6" s="1181" t="s">
        <v>159</v>
      </c>
      <c r="BT6" s="1181" t="s">
        <v>160</v>
      </c>
      <c r="BU6" s="1181" t="s">
        <v>161</v>
      </c>
      <c r="BV6" s="1181" t="s">
        <v>162</v>
      </c>
      <c r="BW6" s="1181" t="s">
        <v>163</v>
      </c>
      <c r="BX6" s="1181" t="s">
        <v>164</v>
      </c>
      <c r="BY6" s="1181" t="s">
        <v>165</v>
      </c>
      <c r="BZ6" s="1192" t="s">
        <v>126</v>
      </c>
      <c r="CA6" s="1193" t="s">
        <v>134</v>
      </c>
      <c r="CB6" s="1193" t="s">
        <v>135</v>
      </c>
      <c r="CC6" s="1193" t="s">
        <v>136</v>
      </c>
      <c r="CD6" s="1193" t="s">
        <v>137</v>
      </c>
      <c r="CE6" s="1193" t="s">
        <v>138</v>
      </c>
      <c r="CF6" s="1199" t="s">
        <v>126</v>
      </c>
      <c r="CG6" s="744" t="s">
        <v>166</v>
      </c>
      <c r="CH6" s="745" t="s">
        <v>167</v>
      </c>
      <c r="CI6" s="744" t="s">
        <v>168</v>
      </c>
      <c r="CJ6" s="737" t="s">
        <v>169</v>
      </c>
      <c r="CK6" s="737" t="s">
        <v>170</v>
      </c>
      <c r="CL6" s="746" t="s">
        <v>171</v>
      </c>
      <c r="CM6" s="737" t="s">
        <v>172</v>
      </c>
      <c r="CN6" s="737" t="s">
        <v>173</v>
      </c>
      <c r="CO6" s="737" t="s">
        <v>174</v>
      </c>
      <c r="CP6" s="744" t="s">
        <v>175</v>
      </c>
      <c r="CQ6" s="737" t="s">
        <v>176</v>
      </c>
      <c r="CR6" s="737" t="s">
        <v>177</v>
      </c>
      <c r="CS6" s="737" t="s">
        <v>178</v>
      </c>
      <c r="CT6" s="962" t="s">
        <v>179</v>
      </c>
      <c r="CU6" s="962" t="s">
        <v>180</v>
      </c>
      <c r="CV6" s="962" t="s">
        <v>181</v>
      </c>
      <c r="CW6" s="1139" t="s">
        <v>182</v>
      </c>
      <c r="CX6" s="1151" t="s">
        <v>183</v>
      </c>
      <c r="CY6" s="1151" t="s">
        <v>184</v>
      </c>
      <c r="CZ6" s="1151" t="s">
        <v>185</v>
      </c>
      <c r="DA6" s="1151" t="s">
        <v>186</v>
      </c>
      <c r="DB6" s="1142" t="s">
        <v>187</v>
      </c>
      <c r="DC6" s="738" t="s">
        <v>188</v>
      </c>
      <c r="DD6" s="738" t="s">
        <v>189</v>
      </c>
      <c r="DE6" s="1135"/>
      <c r="DF6" s="1202"/>
      <c r="DG6" s="1012" t="s">
        <v>190</v>
      </c>
      <c r="DH6" s="1012" t="s">
        <v>191</v>
      </c>
      <c r="DI6" s="1013"/>
      <c r="DJ6" s="1012" t="s">
        <v>192</v>
      </c>
      <c r="DK6" s="1014" t="s">
        <v>193</v>
      </c>
      <c r="DL6" s="743" t="s">
        <v>194</v>
      </c>
      <c r="DM6" s="743" t="s">
        <v>195</v>
      </c>
      <c r="DN6" s="743" t="s">
        <v>196</v>
      </c>
      <c r="DO6" s="743" t="s">
        <v>197</v>
      </c>
      <c r="DP6" s="743" t="s">
        <v>198</v>
      </c>
      <c r="DQ6" s="748"/>
      <c r="DR6" s="749" t="s">
        <v>199</v>
      </c>
      <c r="DS6" s="749" t="s">
        <v>200</v>
      </c>
      <c r="DT6" s="750" t="s">
        <v>201</v>
      </c>
      <c r="DU6" s="747"/>
      <c r="DV6" s="950" t="s">
        <v>202</v>
      </c>
      <c r="DW6" s="1135"/>
      <c r="DX6" s="1316" t="s">
        <v>203</v>
      </c>
      <c r="DY6" s="1316"/>
      <c r="DZ6" s="1316"/>
      <c r="ED6" s="752" t="s">
        <v>204</v>
      </c>
      <c r="EE6" s="752" t="s">
        <v>201</v>
      </c>
      <c r="EF6" s="752" t="s">
        <v>205</v>
      </c>
      <c r="EG6" s="752" t="s">
        <v>206</v>
      </c>
      <c r="EH6" s="1138"/>
      <c r="EI6" s="1308" t="s">
        <v>207</v>
      </c>
      <c r="EJ6" s="1309"/>
      <c r="EK6" s="1706"/>
      <c r="EL6" s="1706"/>
      <c r="EM6" s="1706"/>
      <c r="EN6" s="1707"/>
      <c r="EP6" s="751" t="s">
        <v>208</v>
      </c>
      <c r="EQ6" s="823" t="s">
        <v>209</v>
      </c>
      <c r="ER6" s="823" t="s">
        <v>210</v>
      </c>
      <c r="EU6" s="751" t="s">
        <v>211</v>
      </c>
      <c r="EV6" s="829" t="s">
        <v>208</v>
      </c>
      <c r="EX6" s="1000"/>
      <c r="EY6" s="780" t="s">
        <v>212</v>
      </c>
      <c r="EZ6" s="944"/>
      <c r="FA6" s="944"/>
      <c r="FD6" s="955" t="s">
        <v>213</v>
      </c>
      <c r="FE6" s="956" t="s">
        <v>214</v>
      </c>
      <c r="FF6" s="957" t="s">
        <v>215</v>
      </c>
      <c r="FG6" s="956" t="s">
        <v>214</v>
      </c>
      <c r="FH6" s="980" t="s">
        <v>216</v>
      </c>
      <c r="FI6" s="991"/>
      <c r="FJ6" s="512" t="s">
        <v>217</v>
      </c>
      <c r="FK6" s="990" t="s">
        <v>218</v>
      </c>
      <c r="FL6" s="990" t="s">
        <v>219</v>
      </c>
      <c r="FM6" s="1000"/>
      <c r="FN6" s="512" t="s">
        <v>170</v>
      </c>
      <c r="FO6" s="512" t="s">
        <v>220</v>
      </c>
      <c r="FP6" s="512" t="s">
        <v>172</v>
      </c>
      <c r="FQ6" s="512" t="s">
        <v>173</v>
      </c>
      <c r="FR6" s="512" t="s">
        <v>174</v>
      </c>
      <c r="FS6" s="997" t="s">
        <v>175</v>
      </c>
      <c r="FT6" s="998" t="s">
        <v>176</v>
      </c>
      <c r="FU6" s="1000"/>
      <c r="FV6" s="512" t="s">
        <v>170</v>
      </c>
      <c r="FW6" s="512" t="s">
        <v>221</v>
      </c>
      <c r="FX6" s="512" t="s">
        <v>222</v>
      </c>
      <c r="FY6" s="512" t="s">
        <v>173</v>
      </c>
      <c r="FZ6" s="512" t="s">
        <v>174</v>
      </c>
      <c r="GA6" s="997" t="s">
        <v>175</v>
      </c>
      <c r="GB6" s="998" t="s">
        <v>176</v>
      </c>
      <c r="GC6" s="1000"/>
      <c r="GD6" s="1000"/>
      <c r="GG6" s="1000"/>
      <c r="GH6" s="1094" t="str">
        <f t="shared" ref="GH6:GH69" si="0">CK6</f>
        <v>Total Contract Price</v>
      </c>
      <c r="GI6" s="1097" t="str">
        <f t="shared" ref="GI6:GI69" si="1">CL6</f>
        <v>Equity Rate</v>
      </c>
      <c r="GJ6" s="1094" t="str">
        <f t="shared" ref="GJ6:GJ69" si="2">CM6</f>
        <v>Equity</v>
      </c>
      <c r="GK6" s="1094" t="str">
        <f t="shared" ref="GK6:GK69" si="3">CN6</f>
        <v>Reservation Fee</v>
      </c>
      <c r="GL6" s="1094" t="str">
        <f t="shared" ref="GL6:GL69" si="4">CO6</f>
        <v>Net Equity</v>
      </c>
      <c r="GM6" s="1094" t="str">
        <f t="shared" ref="GM6:GM69" si="5">CP6</f>
        <v>Equity Term (Months)</v>
      </c>
      <c r="GN6" s="1094" t="str">
        <f t="shared" ref="GN6:GN69" si="6">CQ6</f>
        <v>Monthly Equity</v>
      </c>
      <c r="GO6" s="1097" t="str">
        <f t="shared" ref="GO6:GO69" si="7">CR6</f>
        <v>Balance %</v>
      </c>
      <c r="GP6" s="1094" t="str">
        <f t="shared" ref="GP6:GP69" si="8">CS6</f>
        <v>Loanable Amount</v>
      </c>
      <c r="GQ6" s="1094" t="str">
        <f t="shared" ref="GQ6:GQ69" si="9">CT6</f>
        <v>Monthly Amort. 20 years @ 7% fixed 3 yrs only</v>
      </c>
      <c r="GR6" s="1094" t="str">
        <f t="shared" ref="GR6:GR69" si="10">CU6</f>
        <v>Monthly Amort. 15 years @ 7% fixed 3 yrs only</v>
      </c>
      <c r="GS6" s="1094" t="str">
        <f t="shared" ref="GS6:GS69" si="11">CV6</f>
        <v>Monthly Amort. 10 years @ 7% fixed 3 yrs only</v>
      </c>
      <c r="GT6" s="1094" t="str">
        <f t="shared" ref="GT6:GT69" si="12">CW6</f>
        <v>Monthly Amort. 5 years @ 7% fixed 3 yrs only</v>
      </c>
      <c r="GU6" s="1093"/>
      <c r="GV6" s="1094" t="str">
        <f>GH6</f>
        <v>Total Contract Price</v>
      </c>
      <c r="GW6" s="1097" t="str">
        <f t="shared" ref="GW6:HH7" si="13">GI6</f>
        <v>Equity Rate</v>
      </c>
      <c r="GX6" s="1094" t="str">
        <f t="shared" si="13"/>
        <v>Equity</v>
      </c>
      <c r="GY6" s="1094" t="str">
        <f t="shared" si="13"/>
        <v>Reservation Fee</v>
      </c>
      <c r="GZ6" s="1094" t="str">
        <f t="shared" si="13"/>
        <v>Net Equity</v>
      </c>
      <c r="HA6" s="1105" t="str">
        <f t="shared" si="13"/>
        <v>Equity Term (Months)</v>
      </c>
      <c r="HB6" s="810" t="str">
        <f t="shared" si="13"/>
        <v>Monthly Equity</v>
      </c>
      <c r="HC6" s="1097" t="str">
        <f t="shared" si="13"/>
        <v>Balance %</v>
      </c>
      <c r="HD6" s="1094" t="str">
        <f t="shared" si="13"/>
        <v>Loanable Amount</v>
      </c>
      <c r="HE6" s="1094" t="str">
        <f t="shared" si="13"/>
        <v>Monthly Amort. 20 years @ 7% fixed 3 yrs only</v>
      </c>
      <c r="HF6" s="1094" t="str">
        <f t="shared" si="13"/>
        <v>Monthly Amort. 15 years @ 7% fixed 3 yrs only</v>
      </c>
      <c r="HG6" s="1094" t="str">
        <f t="shared" si="13"/>
        <v>Monthly Amort. 10 years @ 7% fixed 3 yrs only</v>
      </c>
      <c r="HH6" s="1094" t="str">
        <f t="shared" si="13"/>
        <v>Monthly Amort. 5 years @ 7% fixed 3 yrs only</v>
      </c>
      <c r="HI6" s="1100"/>
      <c r="HJ6" s="1094" t="s">
        <v>223</v>
      </c>
      <c r="HK6" s="1099"/>
      <c r="HL6" s="1099"/>
      <c r="HM6" s="1099"/>
      <c r="HN6" s="1099"/>
      <c r="HO6" s="1099"/>
      <c r="HQ6" s="791"/>
      <c r="HR6" s="791"/>
      <c r="HS6" s="791"/>
      <c r="HT6" s="791"/>
      <c r="HU6" s="710"/>
      <c r="HV6" s="710"/>
      <c r="ID6" s="1277" t="s">
        <v>224</v>
      </c>
      <c r="IE6" s="1278" t="s">
        <v>225</v>
      </c>
      <c r="IF6" s="1277" t="s">
        <v>226</v>
      </c>
    </row>
    <row r="7" spans="1:240" ht="14.25" hidden="1" customHeight="1">
      <c r="A7" s="753">
        <v>1</v>
      </c>
      <c r="B7" s="753"/>
      <c r="C7" s="753">
        <v>1</v>
      </c>
      <c r="D7" s="753" t="s">
        <v>227</v>
      </c>
      <c r="E7" s="717" t="str">
        <f>D7</f>
        <v>3rd Floor</v>
      </c>
      <c r="F7" s="754"/>
      <c r="G7" s="755" t="s">
        <v>228</v>
      </c>
      <c r="H7" s="756"/>
      <c r="I7" s="755" t="s">
        <v>229</v>
      </c>
      <c r="J7" s="757">
        <v>22</v>
      </c>
      <c r="K7" s="758"/>
      <c r="L7" s="759" t="s">
        <v>69</v>
      </c>
      <c r="M7" s="760" t="s">
        <v>230</v>
      </c>
      <c r="N7" s="761">
        <f>$N$5</f>
        <v>106005.26567735759</v>
      </c>
      <c r="O7" s="762">
        <f>J7*N7</f>
        <v>2332115.8449018667</v>
      </c>
      <c r="P7" s="762">
        <f>(P4+P5)</f>
        <v>22400</v>
      </c>
      <c r="Q7" s="762">
        <f t="shared" ref="Q7:Q70" si="14">$Q$5</f>
        <v>50000</v>
      </c>
      <c r="R7" s="762"/>
      <c r="S7" s="762"/>
      <c r="T7" s="762"/>
      <c r="U7" s="762"/>
      <c r="V7" s="762">
        <f>J7*$V$5</f>
        <v>55000</v>
      </c>
      <c r="W7" s="762"/>
      <c r="X7" s="762"/>
      <c r="Y7" s="762"/>
      <c r="Z7" s="762">
        <f t="shared" ref="Z7:Z70" si="15">$Z$5</f>
        <v>142461</v>
      </c>
      <c r="AA7" s="762"/>
      <c r="AB7" s="762"/>
      <c r="AC7" s="762"/>
      <c r="AD7" s="763">
        <f>SUM(P7:AC7)</f>
        <v>269861</v>
      </c>
      <c r="AE7" s="763">
        <f t="shared" ref="AE7:AE70" si="16">O7+AD7</f>
        <v>2601976.8449018667</v>
      </c>
      <c r="AF7" s="762">
        <f t="shared" ref="AF7:AF70" si="17">AE7*$AF$5</f>
        <v>65049.421122546672</v>
      </c>
      <c r="AG7" s="762">
        <f>AE7+AF7</f>
        <v>2667026.2660244135</v>
      </c>
      <c r="AH7" s="762">
        <f t="shared" ref="AH7:AH70" si="18">AG7*$AH$5</f>
        <v>66675.656650610341</v>
      </c>
      <c r="AI7" s="762">
        <f>AG7+AH7</f>
        <v>2733701.9226750238</v>
      </c>
      <c r="AJ7" s="762">
        <f>AJ5*AI$7</f>
        <v>136685.09613375118</v>
      </c>
      <c r="AK7" s="762">
        <f>AI7+AJ7</f>
        <v>2870387.0188087751</v>
      </c>
      <c r="AL7" s="762">
        <f>AK7*AL$5</f>
        <v>28703.870188087752</v>
      </c>
      <c r="AM7" s="762">
        <f>$AM$5</f>
        <v>27537.409960060559</v>
      </c>
      <c r="AN7" s="762"/>
      <c r="AO7" s="763">
        <f>AK7+AL7+AM7+AN7</f>
        <v>2926628.2989569232</v>
      </c>
      <c r="AP7" s="763">
        <f>AO7*$AP$5</f>
        <v>482893.66932789236</v>
      </c>
      <c r="AQ7" s="763">
        <f>AO7+AP7</f>
        <v>3409521.9682848155</v>
      </c>
      <c r="AR7" s="1178">
        <f t="shared" ref="AR7:AR70" si="19">$AR$5</f>
        <v>3000000</v>
      </c>
      <c r="AS7" s="1178">
        <f>AT7/J7</f>
        <v>18614.634922037072</v>
      </c>
      <c r="AT7" s="1178">
        <f>AQ7-AR7</f>
        <v>409521.96828481555</v>
      </c>
      <c r="AU7" s="1178">
        <f t="shared" ref="AU7:AU70" si="20">AT7*$AU$5</f>
        <v>49142.636194177867</v>
      </c>
      <c r="AV7" s="1178">
        <f>AT7+AU7</f>
        <v>458664.60447899339</v>
      </c>
      <c r="AW7" s="1178">
        <f>AR7+AT7+AU7</f>
        <v>3458664.6044789935</v>
      </c>
      <c r="AX7" s="762">
        <f>AW7*$AX$5</f>
        <v>43233.30755598742</v>
      </c>
      <c r="AY7" s="717" t="s">
        <v>231</v>
      </c>
      <c r="AZ7" s="717">
        <f>AW7+AX7+AY7</f>
        <v>3501897.912034981</v>
      </c>
      <c r="BA7" s="717">
        <f>AZ7*$BA$5</f>
        <v>131321.17170131177</v>
      </c>
      <c r="BB7" s="717"/>
      <c r="BC7" s="717">
        <f t="shared" ref="BC7:BC70" si="21">$BC$5*1.12</f>
        <v>33600</v>
      </c>
      <c r="BD7" s="717">
        <f>AZ7+BA7+BB7+BC7</f>
        <v>3666819.0837362926</v>
      </c>
      <c r="BE7" s="717"/>
      <c r="BF7" s="717">
        <f>BD7+BE7</f>
        <v>3666819.0837362926</v>
      </c>
      <c r="BG7" s="1209"/>
      <c r="BH7" s="717">
        <f>BF7+BG7</f>
        <v>3666819.0837362926</v>
      </c>
      <c r="BI7" s="717"/>
      <c r="BJ7" s="717">
        <f>BH7+BI7</f>
        <v>3666819.0837362926</v>
      </c>
      <c r="BK7" s="717"/>
      <c r="BL7" s="717">
        <f>BJ7+BK7</f>
        <v>3666819.0837362926</v>
      </c>
      <c r="BM7" s="717"/>
      <c r="BN7" s="717">
        <f>BL7+BM7</f>
        <v>3666819.0837362926</v>
      </c>
      <c r="BO7" s="717"/>
      <c r="BP7" s="717">
        <f t="shared" ref="BP7:BP70" si="22">BN7+BO7</f>
        <v>3666819.0837362926</v>
      </c>
      <c r="BQ7" s="717"/>
      <c r="BR7" s="717">
        <f t="shared" ref="BR7:BR16" si="23">BP7+BQ7</f>
        <v>3666819.0837362926</v>
      </c>
      <c r="BS7" s="717"/>
      <c r="BT7" s="717">
        <f>BS7+BR7</f>
        <v>3666819.0837362926</v>
      </c>
      <c r="BU7" s="717"/>
      <c r="BV7" s="1235">
        <f t="shared" ref="BV7:BV70" si="24">$BV$2+$BV$3-BC7</f>
        <v>51400</v>
      </c>
      <c r="BW7" s="717">
        <f>SUM(BT7:BV7)</f>
        <v>3718219.0837362926</v>
      </c>
      <c r="BX7" s="717"/>
      <c r="BY7" s="717">
        <f>BW7+BX7</f>
        <v>3718219.0837362926</v>
      </c>
      <c r="BZ7" s="1194">
        <f>BY7</f>
        <v>3718219.0837362926</v>
      </c>
      <c r="CA7" s="1194">
        <f>BZ7-CC7</f>
        <v>3036219.0837362926</v>
      </c>
      <c r="CB7" s="1194">
        <v>31000</v>
      </c>
      <c r="CC7" s="1194">
        <f>CB7*J7</f>
        <v>682000</v>
      </c>
      <c r="CD7" s="1194">
        <f>CC7*$CD$5</f>
        <v>81840</v>
      </c>
      <c r="CE7" s="1194">
        <f>SUM(CC7:CD7)</f>
        <v>763840</v>
      </c>
      <c r="CF7" s="1200">
        <f>BZ7+CD7</f>
        <v>3800059.0837362926</v>
      </c>
      <c r="CG7" s="757">
        <f>CF7</f>
        <v>3800059.0837362926</v>
      </c>
      <c r="CH7" s="758">
        <f>IF(CA7&lt;=$CA$3,0,12%*CA7)</f>
        <v>0</v>
      </c>
      <c r="CI7" s="757">
        <f t="shared" ref="CI7:CI70" si="25">CG7*CI$5</f>
        <v>389506.05608296994</v>
      </c>
      <c r="CJ7" s="757">
        <f t="shared" ref="CJ7:CJ70" si="26">CG7*CJ$5</f>
        <v>95001.477093407317</v>
      </c>
      <c r="CK7" s="759">
        <f>SUM(CG7:CJ7)</f>
        <v>4284566.6169126695</v>
      </c>
      <c r="CL7" s="764">
        <f>$CL$5</f>
        <v>0.125</v>
      </c>
      <c r="CM7" s="757">
        <f>CK7*CL7</f>
        <v>535570.82711408369</v>
      </c>
      <c r="CN7" s="757">
        <f>CN5</f>
        <v>30000</v>
      </c>
      <c r="CO7" s="757">
        <f>CM7-CN7</f>
        <v>505570.82711408369</v>
      </c>
      <c r="CP7" s="755">
        <f>VLOOKUP(E7,$ID$6:$IF$20,3,FALSE)</f>
        <v>29</v>
      </c>
      <c r="CQ7" s="757">
        <f>CO7/CP7</f>
        <v>17433.476797037369</v>
      </c>
      <c r="CR7" s="764">
        <f>100%-CL7</f>
        <v>0.875</v>
      </c>
      <c r="CS7" s="757">
        <f>CK7*CR7</f>
        <v>3748995.7897985857</v>
      </c>
      <c r="CT7" s="822">
        <f>-PMT($CT$5/12,240,CS7,0)</f>
        <v>29065.924454704858</v>
      </c>
      <c r="CU7" s="822">
        <f>-PMT($CT$5/12,180,CS7,0)</f>
        <v>33697.034031776915</v>
      </c>
      <c r="CV7" s="822">
        <f>-PMT($CT$5/12,120,CS7,0)</f>
        <v>43529.019975053816</v>
      </c>
      <c r="CW7" s="1140">
        <f t="shared" ref="CW7:CW70" si="27">-PMT($CT$5/12,60,CS7,0)</f>
        <v>74234.609960736314</v>
      </c>
      <c r="CX7" s="1152">
        <f>(CK7*80%)*$CX$5</f>
        <v>304542.84424201411</v>
      </c>
      <c r="CY7" s="1152">
        <f>(CK7*80%)*$CY$5</f>
        <v>120506.11995319766</v>
      </c>
      <c r="CZ7" s="1152">
        <f>(CK7*80%)*$CZ$5</f>
        <v>87039.863690567072</v>
      </c>
      <c r="DA7" s="1152">
        <f>(CK7*80%)*$DA$5</f>
        <v>66241.343376887307</v>
      </c>
      <c r="DB7" s="1143">
        <f t="shared" ref="DB7:DB70" si="28">AT7/AR7</f>
        <v>0.13650732276160518</v>
      </c>
      <c r="DC7" s="1143">
        <f>CE7/CA7</f>
        <v>0.25157604867565692</v>
      </c>
      <c r="DD7" s="1098" t="s">
        <v>232</v>
      </c>
      <c r="DE7" s="1144"/>
      <c r="DF7" s="705"/>
      <c r="DG7" s="1004">
        <f>$DG$4</f>
        <v>46082</v>
      </c>
      <c r="DH7" s="1015">
        <f t="shared" ref="DH7:DH70" si="29">(YEAR(DG7)-YEAR($DH$5))*12+MONTH(DG7)-MONTH($DH$5)</f>
        <v>28</v>
      </c>
      <c r="DJ7" s="1016">
        <f>DG7+65</f>
        <v>46147</v>
      </c>
      <c r="DK7" s="1015">
        <f>(YEAR(DJ7)-YEAR($DK$5))*12+MONTH(DJ7)-MONTH($DK$5)+$DK$4+$DK$3</f>
        <v>30</v>
      </c>
      <c r="DL7" s="766" t="s">
        <v>233</v>
      </c>
      <c r="DM7" s="766" t="s">
        <v>234</v>
      </c>
      <c r="DN7" s="767">
        <f t="shared" ref="DN7:DN70" si="30">DO7/J7</f>
        <v>20848.391112681518</v>
      </c>
      <c r="DO7" s="767">
        <f t="shared" ref="DO7:DO70" si="31">AV7</f>
        <v>458664.60447899339</v>
      </c>
      <c r="DP7" s="768">
        <f t="shared" ref="DP7:DP70" si="32">AV7/AR7</f>
        <v>0.15288820149299781</v>
      </c>
      <c r="DQ7" s="769"/>
      <c r="DR7" s="767">
        <f t="shared" ref="DR7:DR70" si="33">CG7</f>
        <v>3800059.0837362926</v>
      </c>
      <c r="DS7" s="767">
        <f>SUM('[6]INTERNAL PRICELIST'!M7)</f>
        <v>2329361</v>
      </c>
      <c r="DT7" s="767">
        <f>DR7-DS7</f>
        <v>1470698.0837362926</v>
      </c>
      <c r="DV7" s="951">
        <f t="shared" ref="DV7:DV70" si="34">DR7/J7</f>
        <v>172729.95835164966</v>
      </c>
      <c r="DW7" s="697"/>
      <c r="DX7" s="772">
        <v>1</v>
      </c>
      <c r="DY7" s="773" t="s">
        <v>235</v>
      </c>
      <c r="DZ7" s="774">
        <v>22</v>
      </c>
      <c r="EA7" s="775">
        <f t="shared" ref="EA7:EA38" si="35">DZ7-J7</f>
        <v>0</v>
      </c>
      <c r="ED7" s="776" t="s">
        <v>228</v>
      </c>
      <c r="EE7" s="777" t="b">
        <f t="shared" ref="EE7:EE70" si="36">G7=ED7</f>
        <v>1</v>
      </c>
      <c r="EF7" s="777"/>
      <c r="EG7" s="777"/>
      <c r="EH7" s="1203"/>
      <c r="EI7" s="324" t="s">
        <v>174</v>
      </c>
      <c r="EJ7" s="403"/>
      <c r="EK7" s="325">
        <f>CO7</f>
        <v>505570.82711408369</v>
      </c>
      <c r="EL7" s="326"/>
      <c r="EM7" s="326"/>
      <c r="EN7" s="327"/>
      <c r="EP7" s="1230" t="s">
        <v>236</v>
      </c>
      <c r="EQ7" s="1145" t="s">
        <v>236</v>
      </c>
      <c r="ER7" s="753" t="b">
        <f>EP7=EQ7</f>
        <v>1</v>
      </c>
      <c r="EU7" s="705">
        <v>2172480</v>
      </c>
      <c r="EV7" s="520" t="s">
        <v>236</v>
      </c>
      <c r="FD7" s="958">
        <v>36</v>
      </c>
      <c r="FE7" s="959">
        <f>EDATE($DK$5,FD7)</f>
        <v>46327</v>
      </c>
      <c r="FF7" s="961">
        <v>40</v>
      </c>
      <c r="FG7" s="960">
        <f t="shared" ref="FG7:FG12" si="37">EDATE(FH7,FF7)</f>
        <v>46266</v>
      </c>
      <c r="FH7" s="765">
        <v>45047</v>
      </c>
      <c r="FI7" s="992"/>
      <c r="FJ7" s="994">
        <v>0.15</v>
      </c>
      <c r="FK7" s="993">
        <v>13378.682179649855</v>
      </c>
      <c r="FL7" s="993">
        <v>13740.268184505258</v>
      </c>
      <c r="FM7" s="497"/>
      <c r="FN7" s="993">
        <f t="shared" ref="FN7:FN70" si="38">CK7</f>
        <v>4284566.6169126695</v>
      </c>
      <c r="FO7" s="994">
        <f>$FO$5</f>
        <v>0.15</v>
      </c>
      <c r="FP7" s="775">
        <f t="shared" ref="FP7:FP70" si="39">FN7*FO7</f>
        <v>642684.99253690045</v>
      </c>
      <c r="FQ7" s="993">
        <f t="shared" ref="FQ7:FQ70" si="40">CN7</f>
        <v>30000</v>
      </c>
      <c r="FR7" s="775">
        <f>FP7-FQ7</f>
        <v>612684.99253690045</v>
      </c>
      <c r="FS7" s="497">
        <f>$FS$5</f>
        <v>40</v>
      </c>
      <c r="FT7" s="775">
        <f>FR7/FS7</f>
        <v>15317.124813422512</v>
      </c>
      <c r="FV7" s="993">
        <f>FN7</f>
        <v>4284566.6169126695</v>
      </c>
      <c r="FW7" s="705">
        <f>FV7*$FW$5</f>
        <v>428456.66169126699</v>
      </c>
      <c r="FX7" s="705">
        <f>FV7*$FX$5</f>
        <v>107114.16542281675</v>
      </c>
      <c r="FY7" s="705">
        <v>15000</v>
      </c>
      <c r="FZ7" s="705">
        <f>FW7-FY7</f>
        <v>413456.66169126699</v>
      </c>
      <c r="GA7" s="497">
        <f>$GA$5</f>
        <v>46</v>
      </c>
      <c r="GB7" s="775">
        <f>FZ7/GA7</f>
        <v>8988.1882976362394</v>
      </c>
      <c r="GC7" s="497"/>
      <c r="GD7" s="497"/>
      <c r="GH7" s="1095">
        <f t="shared" si="0"/>
        <v>4284566.6169126695</v>
      </c>
      <c r="GI7" s="1098">
        <f t="shared" si="1"/>
        <v>0.125</v>
      </c>
      <c r="GJ7" s="1095">
        <f t="shared" si="2"/>
        <v>535570.82711408369</v>
      </c>
      <c r="GK7" s="1095">
        <f t="shared" si="3"/>
        <v>30000</v>
      </c>
      <c r="GL7" s="1095">
        <f t="shared" si="4"/>
        <v>505570.82711408369</v>
      </c>
      <c r="GM7" s="1095">
        <f t="shared" si="5"/>
        <v>29</v>
      </c>
      <c r="GN7" s="1095">
        <f t="shared" si="6"/>
        <v>17433.476797037369</v>
      </c>
      <c r="GO7" s="1098">
        <f t="shared" si="7"/>
        <v>0.875</v>
      </c>
      <c r="GP7" s="1095">
        <f t="shared" si="8"/>
        <v>3748995.7897985857</v>
      </c>
      <c r="GQ7" s="1095">
        <f t="shared" si="9"/>
        <v>29065.924454704858</v>
      </c>
      <c r="GR7" s="1095">
        <f t="shared" si="10"/>
        <v>33697.034031776915</v>
      </c>
      <c r="GS7" s="1095">
        <f t="shared" si="11"/>
        <v>43529.019975053816</v>
      </c>
      <c r="GT7" s="1095">
        <f t="shared" si="12"/>
        <v>74234.609960736314</v>
      </c>
      <c r="GV7" s="1095">
        <f>GH7</f>
        <v>4284566.6169126695</v>
      </c>
      <c r="GW7" s="1098">
        <f t="shared" si="13"/>
        <v>0.125</v>
      </c>
      <c r="GX7" s="1095">
        <f t="shared" si="13"/>
        <v>535570.82711408369</v>
      </c>
      <c r="GY7" s="1095">
        <f t="shared" si="13"/>
        <v>30000</v>
      </c>
      <c r="GZ7" s="1095">
        <f t="shared" si="13"/>
        <v>505570.82711408369</v>
      </c>
      <c r="HA7" s="1106">
        <f>$HA$5</f>
        <v>48</v>
      </c>
      <c r="HB7" s="770">
        <f>GZ7/HA7</f>
        <v>10532.725564876744</v>
      </c>
      <c r="HC7" s="1098">
        <f>100%-GW7</f>
        <v>0.875</v>
      </c>
      <c r="HD7" s="1102">
        <f>GV7*HC7</f>
        <v>3748995.7897985857</v>
      </c>
      <c r="HE7" s="1101">
        <f>-PMT(7%/12,240,HD7,0)</f>
        <v>29065.924454704858</v>
      </c>
      <c r="HF7" s="1101">
        <f>-PMT(7%/12,180,HD7,0)</f>
        <v>33697.034031776915</v>
      </c>
      <c r="HG7" s="1101">
        <f>-PMT(7%/12,120,HD7,0)</f>
        <v>43529.019975053816</v>
      </c>
      <c r="HH7" s="1101">
        <f>-PMT(7%/12,60,HD7,0)</f>
        <v>74234.609960736314</v>
      </c>
      <c r="HJ7" s="1102">
        <f>HB7-GN7</f>
        <v>-6900.7512321606246</v>
      </c>
      <c r="HL7" s="775"/>
      <c r="HN7" s="775"/>
      <c r="HO7" s="775"/>
      <c r="HQ7" s="702"/>
      <c r="HR7" s="1171"/>
      <c r="HS7" s="702"/>
      <c r="HT7" s="1171"/>
      <c r="ID7" s="1279"/>
      <c r="IE7" s="1280"/>
      <c r="IF7" s="1279"/>
    </row>
    <row r="8" spans="1:240" ht="14.25" hidden="1" customHeight="1">
      <c r="A8" s="753">
        <f>A7+1</f>
        <v>2</v>
      </c>
      <c r="B8" s="753"/>
      <c r="C8" s="753">
        <f>C7+1</f>
        <v>2</v>
      </c>
      <c r="D8" s="753" t="s">
        <v>227</v>
      </c>
      <c r="E8" s="717" t="str">
        <f t="shared" ref="E8:E71" si="41">D8</f>
        <v>3rd Floor</v>
      </c>
      <c r="F8" s="754"/>
      <c r="G8" s="755" t="s">
        <v>237</v>
      </c>
      <c r="H8" s="756"/>
      <c r="I8" s="755" t="s">
        <v>229</v>
      </c>
      <c r="J8" s="757">
        <v>22</v>
      </c>
      <c r="K8" s="758"/>
      <c r="L8" s="759" t="s">
        <v>69</v>
      </c>
      <c r="M8" s="760" t="s">
        <v>68</v>
      </c>
      <c r="N8" s="761">
        <f t="shared" ref="N8:N71" si="42">$N$5</f>
        <v>106005.26567735759</v>
      </c>
      <c r="O8" s="762">
        <f t="shared" ref="O8:O71" si="43">J8*N8</f>
        <v>2332115.8449018667</v>
      </c>
      <c r="P8" s="762">
        <f t="shared" ref="P8:P71" si="44">$P$7</f>
        <v>22400</v>
      </c>
      <c r="Q8" s="762">
        <f t="shared" si="14"/>
        <v>50000</v>
      </c>
      <c r="R8" s="762"/>
      <c r="S8" s="762"/>
      <c r="T8" s="762"/>
      <c r="U8" s="762"/>
      <c r="V8" s="762"/>
      <c r="W8" s="762"/>
      <c r="X8" s="762"/>
      <c r="Y8" s="762"/>
      <c r="Z8" s="762">
        <f t="shared" si="15"/>
        <v>142461</v>
      </c>
      <c r="AA8" s="762"/>
      <c r="AB8" s="762"/>
      <c r="AC8" s="762"/>
      <c r="AD8" s="763">
        <f t="shared" ref="AD8:AD71" si="45">SUM(P8:AC8)</f>
        <v>214861</v>
      </c>
      <c r="AE8" s="763">
        <f t="shared" si="16"/>
        <v>2546976.8449018667</v>
      </c>
      <c r="AF8" s="762">
        <f t="shared" si="17"/>
        <v>63674.421122546672</v>
      </c>
      <c r="AG8" s="762">
        <f t="shared" ref="AG8:AG71" si="46">AE8+AF8</f>
        <v>2610651.2660244135</v>
      </c>
      <c r="AH8" s="762">
        <f t="shared" si="18"/>
        <v>65266.281650610341</v>
      </c>
      <c r="AI8" s="762">
        <f t="shared" ref="AI8:AI71" si="47">AG8+AH8</f>
        <v>2675917.5476750238</v>
      </c>
      <c r="AJ8" s="762">
        <f t="shared" ref="AJ8:AJ71" si="48">AI8*$AJ$5</f>
        <v>133795.87738375118</v>
      </c>
      <c r="AK8" s="762">
        <f>AI8+AJ8</f>
        <v>2809713.4250587751</v>
      </c>
      <c r="AL8" s="762">
        <f t="shared" ref="AL8:AL71" si="49">AK8*AL$5</f>
        <v>28097.134250587751</v>
      </c>
      <c r="AM8" s="762">
        <f t="shared" ref="AM8:AM71" si="50">$AM$5</f>
        <v>27537.409960060559</v>
      </c>
      <c r="AN8" s="762"/>
      <c r="AO8" s="763">
        <f t="shared" ref="AO8:AO71" si="51">AK8+AL8+AM8+AN8</f>
        <v>2865347.9692694233</v>
      </c>
      <c r="AP8" s="763">
        <f t="shared" ref="AP8:AP71" si="52">AO8*$AP$5</f>
        <v>472782.41492945486</v>
      </c>
      <c r="AQ8" s="763">
        <f t="shared" ref="AQ8:AQ71" si="53">AO8+AP8</f>
        <v>3338130.384198878</v>
      </c>
      <c r="AR8" s="1178">
        <f>$AR$5</f>
        <v>3000000</v>
      </c>
      <c r="AS8" s="1178">
        <f>AT8/J8</f>
        <v>15369.562918130816</v>
      </c>
      <c r="AT8" s="1178">
        <f t="shared" ref="AT8:AT71" si="54">AQ8-AR8</f>
        <v>338130.38419887796</v>
      </c>
      <c r="AU8" s="1178">
        <f t="shared" si="20"/>
        <v>40575.646103865351</v>
      </c>
      <c r="AV8" s="1178">
        <f t="shared" ref="AV8:AV71" si="55">AT8+AU8</f>
        <v>378706.03030274331</v>
      </c>
      <c r="AW8" s="1178">
        <f t="shared" ref="AW8:AW71" si="56">AR8+AT8+AU8</f>
        <v>3378706.0303027434</v>
      </c>
      <c r="AX8" s="762">
        <f t="shared" ref="AX8:AX71" si="57">AW8*$AX$5</f>
        <v>42233.825378784299</v>
      </c>
      <c r="AY8" s="717" t="s">
        <v>231</v>
      </c>
      <c r="AZ8" s="717">
        <f t="shared" ref="AZ8:AZ71" si="58">AW8+AX8+AY8</f>
        <v>3420939.8556815279</v>
      </c>
      <c r="BA8" s="717">
        <f t="shared" ref="BA8:BA71" si="59">AZ8*$BA$5</f>
        <v>128285.24458805729</v>
      </c>
      <c r="BB8" s="717"/>
      <c r="BC8" s="717">
        <f t="shared" si="21"/>
        <v>33600</v>
      </c>
      <c r="BD8" s="717">
        <f t="shared" ref="BD8:BD71" si="60">AZ8+BA8+BB8+BC8</f>
        <v>3582825.1002695854</v>
      </c>
      <c r="BE8" s="717"/>
      <c r="BF8" s="717">
        <f t="shared" ref="BF8:BF71" si="61">BD8+BE8</f>
        <v>3582825.1002695854</v>
      </c>
      <c r="BG8" s="1209"/>
      <c r="BH8" s="717">
        <f t="shared" ref="BH8:BH71" si="62">BF8+BG8</f>
        <v>3582825.1002695854</v>
      </c>
      <c r="BI8" s="717"/>
      <c r="BJ8" s="717">
        <f t="shared" ref="BJ8:BJ71" si="63">BH8+BI8</f>
        <v>3582825.1002695854</v>
      </c>
      <c r="BK8" s="717"/>
      <c r="BL8" s="717">
        <f t="shared" ref="BL8:BL71" si="64">BJ8+BK8</f>
        <v>3582825.1002695854</v>
      </c>
      <c r="BM8" s="717"/>
      <c r="BN8" s="717">
        <f t="shared" ref="BN8:BN71" si="65">BL8+BM8</f>
        <v>3582825.1002695854</v>
      </c>
      <c r="BO8" s="717"/>
      <c r="BP8" s="717">
        <f t="shared" si="22"/>
        <v>3582825.1002695854</v>
      </c>
      <c r="BQ8" s="717"/>
      <c r="BR8" s="717">
        <f t="shared" si="23"/>
        <v>3582825.1002695854</v>
      </c>
      <c r="BS8" s="717"/>
      <c r="BT8" s="717">
        <f t="shared" ref="BT8:BT71" si="66">BS8+BR8</f>
        <v>3582825.1002695854</v>
      </c>
      <c r="BU8" s="717"/>
      <c r="BV8" s="1235">
        <f t="shared" si="24"/>
        <v>51400</v>
      </c>
      <c r="BW8" s="717">
        <f t="shared" ref="BW8:BW71" si="67">SUM(BT8:BV8)</f>
        <v>3634225.1002695854</v>
      </c>
      <c r="BX8" s="717"/>
      <c r="BY8" s="717">
        <f t="shared" ref="BY8:BY71" si="68">BW8+BX8</f>
        <v>3634225.1002695854</v>
      </c>
      <c r="BZ8" s="1194">
        <f t="shared" ref="BZ8:BZ71" si="69">BY8</f>
        <v>3634225.1002695854</v>
      </c>
      <c r="CA8" s="1194">
        <f t="shared" ref="CA8:CA71" si="70">BZ8-CC8</f>
        <v>3040225.1002695854</v>
      </c>
      <c r="CB8" s="1194">
        <v>27000</v>
      </c>
      <c r="CC8" s="1194">
        <f t="shared" ref="CC8:CC71" si="71">CB8*J8</f>
        <v>594000</v>
      </c>
      <c r="CD8" s="1194">
        <f t="shared" ref="CD8:CD71" si="72">CC8*$CD$5</f>
        <v>71280</v>
      </c>
      <c r="CE8" s="1194">
        <f t="shared" ref="CE8:CE71" si="73">SUM(CC8:CD8)</f>
        <v>665280</v>
      </c>
      <c r="CF8" s="1200">
        <f t="shared" ref="CF8:CF71" si="74">BZ8+CD8</f>
        <v>3705505.1002695854</v>
      </c>
      <c r="CG8" s="757">
        <f t="shared" ref="CG8:CG71" si="75">CF8</f>
        <v>3705505.1002695854</v>
      </c>
      <c r="CH8" s="758">
        <f t="shared" ref="CH8:CH71" si="76">IF(CA8&lt;=$CA$3,0,12%*CA8)</f>
        <v>0</v>
      </c>
      <c r="CI8" s="757">
        <f t="shared" si="25"/>
        <v>379814.27277763246</v>
      </c>
      <c r="CJ8" s="757">
        <f t="shared" si="26"/>
        <v>92637.627506739635</v>
      </c>
      <c r="CK8" s="759">
        <f t="shared" ref="CK8:CK34" si="77">SUM(CG8:CJ8)</f>
        <v>4177957.0005539572</v>
      </c>
      <c r="CL8" s="764">
        <f t="shared" ref="CL8:CL71" si="78">$CL$5</f>
        <v>0.125</v>
      </c>
      <c r="CM8" s="757">
        <f t="shared" ref="CM8:CM71" si="79">CK8*CL8</f>
        <v>522244.62506924465</v>
      </c>
      <c r="CN8" s="757">
        <f>CN$5</f>
        <v>30000</v>
      </c>
      <c r="CO8" s="757">
        <f t="shared" ref="CO8:CO71" si="80">CM8-CN8</f>
        <v>492244.62506924465</v>
      </c>
      <c r="CP8" s="755">
        <f t="shared" ref="CP8:CP71" si="81">VLOOKUP(E8,$ID$6:$IF$20,3,FALSE)</f>
        <v>29</v>
      </c>
      <c r="CQ8" s="757">
        <f t="shared" ref="CQ8:CQ9" si="82">CO8/CP8</f>
        <v>16973.952588594642</v>
      </c>
      <c r="CR8" s="764">
        <f t="shared" ref="CR8:CR71" si="83">100%-CL8</f>
        <v>0.875</v>
      </c>
      <c r="CS8" s="757">
        <f t="shared" ref="CS8:CS71" si="84">CK8*CR8</f>
        <v>3655712.3754847124</v>
      </c>
      <c r="CT8" s="1101">
        <f t="shared" ref="CT8:CT71" si="85">-PMT($CT$5/12,240,CS8,0)</f>
        <v>28342.699136420455</v>
      </c>
      <c r="CU8" s="1101">
        <f t="shared" ref="CU8:CU71" si="86">-PMT($CT$5/12,180,CS8,0)</f>
        <v>32858.576331907425</v>
      </c>
      <c r="CV8" s="1101">
        <f t="shared" ref="CV8:CV71" si="87">-PMT($CT$5/12,120,CS8,0)</f>
        <v>42445.920437823348</v>
      </c>
      <c r="CW8" s="1141">
        <f t="shared" si="27"/>
        <v>72387.486553385621</v>
      </c>
      <c r="CX8" s="1152">
        <f t="shared" ref="CX8:CX71" si="88">(CK8*80%)*$CX$5</f>
        <v>296965.13599463314</v>
      </c>
      <c r="CY8" s="1152">
        <f t="shared" ref="CY8:CY71" si="89">(CK8*80%)*$CY$5</f>
        <v>117507.65771284519</v>
      </c>
      <c r="CZ8" s="1152">
        <f t="shared" ref="CZ8:CZ71" si="90">(CK8*80%)*$CZ$5</f>
        <v>84874.116882164701</v>
      </c>
      <c r="DA8" s="1152">
        <f t="shared" ref="DA8:DA71" si="91">(CK8*80%)*$DA$5</f>
        <v>64593.11034985962</v>
      </c>
      <c r="DB8" s="1143">
        <f t="shared" si="28"/>
        <v>0.11271012806629266</v>
      </c>
      <c r="DC8" s="1143">
        <f>CE8/CA8</f>
        <v>0.21882590204949223</v>
      </c>
      <c r="DD8" s="1098" t="s">
        <v>232</v>
      </c>
      <c r="DE8" s="1144"/>
      <c r="DF8" s="705"/>
      <c r="DG8" s="765">
        <f>$DG$7</f>
        <v>46082</v>
      </c>
      <c r="DH8" s="1116">
        <f t="shared" si="29"/>
        <v>28</v>
      </c>
      <c r="DI8" s="497"/>
      <c r="DJ8" s="1117">
        <f t="shared" ref="DJ8:DJ71" si="92">DG8+65</f>
        <v>46147</v>
      </c>
      <c r="DK8" s="1116">
        <f t="shared" ref="DK8:DK71" si="93">(YEAR(DJ8)-YEAR($DK$5))*12+MONTH(DJ8)-MONTH($DK$5)+$DK$4+$DK$3</f>
        <v>30</v>
      </c>
      <c r="DL8" s="766" t="s">
        <v>233</v>
      </c>
      <c r="DM8" s="766" t="s">
        <v>234</v>
      </c>
      <c r="DN8" s="767">
        <f t="shared" si="30"/>
        <v>17213.910468306512</v>
      </c>
      <c r="DO8" s="767">
        <f t="shared" si="31"/>
        <v>378706.03030274331</v>
      </c>
      <c r="DP8" s="768">
        <f t="shared" si="32"/>
        <v>0.12623534343424778</v>
      </c>
      <c r="DR8" s="767">
        <f t="shared" si="33"/>
        <v>3705505.1002695854</v>
      </c>
      <c r="DS8" s="767">
        <f>SUM('[6]INTERNAL PRICELIST'!M8)</f>
        <v>2329361</v>
      </c>
      <c r="DT8" s="767">
        <f t="shared" ref="DT8:DT71" si="94">DR8-DS8</f>
        <v>1376144.1002695854</v>
      </c>
      <c r="DV8" s="951">
        <f t="shared" si="34"/>
        <v>168432.05001225389</v>
      </c>
      <c r="DW8" s="703"/>
      <c r="DX8" s="772">
        <v>2</v>
      </c>
      <c r="DY8" s="773" t="s">
        <v>238</v>
      </c>
      <c r="DZ8" s="774">
        <v>22</v>
      </c>
      <c r="EA8" s="775">
        <f t="shared" si="35"/>
        <v>0</v>
      </c>
      <c r="ED8" s="755" t="s">
        <v>237</v>
      </c>
      <c r="EE8" s="777" t="b">
        <f t="shared" si="36"/>
        <v>1</v>
      </c>
      <c r="EF8" s="777"/>
      <c r="EG8" s="777"/>
      <c r="EH8" s="1203"/>
      <c r="EI8" s="1118"/>
      <c r="EJ8" s="1119" t="s">
        <v>239</v>
      </c>
      <c r="EK8" s="1120" t="s">
        <v>240</v>
      </c>
      <c r="EL8" s="1120" t="s">
        <v>241</v>
      </c>
      <c r="EM8" s="1120" t="s">
        <v>94</v>
      </c>
      <c r="EN8" s="1121" t="s">
        <v>242</v>
      </c>
      <c r="EP8" s="1230" t="s">
        <v>236</v>
      </c>
      <c r="EQ8" s="1145" t="s">
        <v>236</v>
      </c>
      <c r="ER8" s="753" t="b">
        <f t="shared" ref="ER8:ER71" si="95">EP8=EQ8</f>
        <v>1</v>
      </c>
      <c r="EU8" s="770">
        <v>2172480</v>
      </c>
      <c r="EV8" s="771" t="s">
        <v>236</v>
      </c>
      <c r="EY8" s="775">
        <v>2949755.5018477989</v>
      </c>
      <c r="FA8" s="778"/>
      <c r="FF8" s="771">
        <v>39</v>
      </c>
      <c r="FG8" s="1122">
        <f t="shared" si="37"/>
        <v>46266</v>
      </c>
      <c r="FH8" s="765">
        <v>45078</v>
      </c>
      <c r="FI8" s="992"/>
      <c r="FJ8" s="994">
        <v>0.15</v>
      </c>
      <c r="FK8" s="993">
        <v>12820.110851026688</v>
      </c>
      <c r="FL8" s="993">
        <v>13166.600333486867</v>
      </c>
      <c r="FM8" s="497"/>
      <c r="FN8" s="993">
        <f t="shared" si="38"/>
        <v>4177957.0005539572</v>
      </c>
      <c r="FO8" s="994">
        <f t="shared" ref="FO8:FO71" si="96">$FO$5</f>
        <v>0.15</v>
      </c>
      <c r="FP8" s="775">
        <f t="shared" si="39"/>
        <v>626693.55008309358</v>
      </c>
      <c r="FQ8" s="993">
        <f t="shared" si="40"/>
        <v>30000</v>
      </c>
      <c r="FR8" s="775">
        <f t="shared" ref="FR8:FR71" si="97">FP8-FQ8</f>
        <v>596693.55008309358</v>
      </c>
      <c r="FS8" s="497">
        <f t="shared" ref="FS8:FS71" si="98">$FS$5</f>
        <v>40</v>
      </c>
      <c r="FT8" s="775">
        <f t="shared" ref="FT8:FT71" si="99">FR8/FS8</f>
        <v>14917.338752077339</v>
      </c>
      <c r="FU8" s="497"/>
      <c r="FV8" s="993">
        <f t="shared" ref="FV8:FV71" si="100">FN8</f>
        <v>4177957.0005539572</v>
      </c>
      <c r="FW8" s="705">
        <f t="shared" ref="FW8:FW71" si="101">FV8*$FW$5</f>
        <v>417795.70005539572</v>
      </c>
      <c r="FX8" s="705">
        <f t="shared" ref="FX8:FX71" si="102">FV8*$FX$5</f>
        <v>104448.92501384893</v>
      </c>
      <c r="FY8" s="705">
        <v>15000</v>
      </c>
      <c r="FZ8" s="705">
        <f t="shared" ref="FZ8:FZ71" si="103">FW8-FY8</f>
        <v>402795.70005539572</v>
      </c>
      <c r="GA8" s="497">
        <f t="shared" ref="GA8:GA71" si="104">$GA$5</f>
        <v>46</v>
      </c>
      <c r="GB8" s="775">
        <f t="shared" ref="GB8:GB71" si="105">FZ8/GA8</f>
        <v>8756.4282620738195</v>
      </c>
      <c r="GC8" s="497"/>
      <c r="GD8" s="497"/>
      <c r="GH8" s="1095">
        <f t="shared" si="0"/>
        <v>4177957.0005539572</v>
      </c>
      <c r="GI8" s="1098">
        <f t="shared" si="1"/>
        <v>0.125</v>
      </c>
      <c r="GJ8" s="1095">
        <f t="shared" si="2"/>
        <v>522244.62506924465</v>
      </c>
      <c r="GK8" s="1095">
        <f t="shared" si="3"/>
        <v>30000</v>
      </c>
      <c r="GL8" s="1095">
        <f t="shared" si="4"/>
        <v>492244.62506924465</v>
      </c>
      <c r="GM8" s="1095">
        <f t="shared" si="5"/>
        <v>29</v>
      </c>
      <c r="GN8" s="1095">
        <f t="shared" si="6"/>
        <v>16973.952588594642</v>
      </c>
      <c r="GO8" s="1098">
        <f t="shared" si="7"/>
        <v>0.875</v>
      </c>
      <c r="GP8" s="1095">
        <f t="shared" si="8"/>
        <v>3655712.3754847124</v>
      </c>
      <c r="GQ8" s="1095">
        <f t="shared" si="9"/>
        <v>28342.699136420455</v>
      </c>
      <c r="GR8" s="1095">
        <f t="shared" si="10"/>
        <v>32858.576331907425</v>
      </c>
      <c r="GS8" s="1095">
        <f t="shared" si="11"/>
        <v>42445.920437823348</v>
      </c>
      <c r="GT8" s="1095">
        <f t="shared" si="12"/>
        <v>72387.486553385621</v>
      </c>
      <c r="GU8" s="497"/>
      <c r="GV8" s="1095">
        <f t="shared" ref="GV8:GV71" si="106">GH8</f>
        <v>4177957.0005539572</v>
      </c>
      <c r="GW8" s="1098">
        <f t="shared" ref="GW8:GW71" si="107">GI8</f>
        <v>0.125</v>
      </c>
      <c r="GX8" s="1095">
        <f t="shared" ref="GX8:GX71" si="108">GJ8</f>
        <v>522244.62506924465</v>
      </c>
      <c r="GY8" s="1095">
        <f t="shared" ref="GY8:GY71" si="109">GK8</f>
        <v>30000</v>
      </c>
      <c r="GZ8" s="1095">
        <f t="shared" ref="GZ8:GZ71" si="110">GL8</f>
        <v>492244.62506924465</v>
      </c>
      <c r="HA8" s="1106">
        <f t="shared" ref="HA8:HA71" si="111">$HA$5</f>
        <v>48</v>
      </c>
      <c r="HB8" s="770">
        <f t="shared" ref="HB8:HB71" si="112">GZ8/HA8</f>
        <v>10255.096355609263</v>
      </c>
      <c r="HC8" s="1098">
        <f t="shared" ref="HC8:HC71" si="113">100%-GW8</f>
        <v>0.875</v>
      </c>
      <c r="HD8" s="1102">
        <f t="shared" ref="HD8:HD71" si="114">GV8*HC8</f>
        <v>3655712.3754847124</v>
      </c>
      <c r="HE8" s="1101">
        <f t="shared" ref="HE8:HE71" si="115">-PMT(7%/12,240,HD8,0)</f>
        <v>28342.699136420455</v>
      </c>
      <c r="HF8" s="1101">
        <f t="shared" ref="HF8:HF71" si="116">-PMT(7%/12,180,HD8,0)</f>
        <v>32858.576331907425</v>
      </c>
      <c r="HG8" s="1101">
        <f t="shared" ref="HG8:HG71" si="117">-PMT(7%/12,120,HD8,0)</f>
        <v>42445.920437823348</v>
      </c>
      <c r="HH8" s="1101">
        <f t="shared" ref="HH8:HH71" si="118">-PMT(7%/12,60,HD8,0)</f>
        <v>72387.486553385621</v>
      </c>
      <c r="HI8" s="497"/>
      <c r="HJ8" s="1102">
        <f t="shared" ref="HJ8:HJ71" si="119">HB8-GN8</f>
        <v>-6718.8562329853794</v>
      </c>
      <c r="HL8" s="775"/>
      <c r="HN8" s="775"/>
      <c r="HO8" s="775"/>
      <c r="HQ8" s="702"/>
      <c r="HR8" s="1171"/>
      <c r="HS8" s="702"/>
      <c r="HT8" s="1171"/>
      <c r="ID8" s="1279" t="s">
        <v>243</v>
      </c>
      <c r="IE8" s="1280">
        <f>DATE(2028,2,1)</f>
        <v>46784</v>
      </c>
      <c r="IF8" s="1281">
        <f>DATEDIF($IF$5,IE8,"m")</f>
        <v>29</v>
      </c>
    </row>
    <row r="9" spans="1:240" ht="14.25" hidden="1" customHeight="1">
      <c r="A9" s="753">
        <f t="shared" ref="A9:A72" si="120">A8+1</f>
        <v>3</v>
      </c>
      <c r="B9" s="753" t="s">
        <v>236</v>
      </c>
      <c r="C9" s="753">
        <f t="shared" ref="C9:C68" si="121">C8+1</f>
        <v>3</v>
      </c>
      <c r="D9" s="753" t="s">
        <v>227</v>
      </c>
      <c r="E9" s="717" t="str">
        <f t="shared" si="41"/>
        <v>3rd Floor</v>
      </c>
      <c r="F9" s="754"/>
      <c r="G9" s="755" t="s">
        <v>244</v>
      </c>
      <c r="H9" s="756"/>
      <c r="I9" s="755" t="s">
        <v>229</v>
      </c>
      <c r="J9" s="757">
        <v>22</v>
      </c>
      <c r="K9" s="758"/>
      <c r="L9" s="759" t="s">
        <v>69</v>
      </c>
      <c r="M9" s="760" t="s">
        <v>68</v>
      </c>
      <c r="N9" s="761">
        <f t="shared" si="42"/>
        <v>106005.26567735759</v>
      </c>
      <c r="O9" s="762">
        <f t="shared" si="43"/>
        <v>2332115.8449018667</v>
      </c>
      <c r="P9" s="762">
        <f t="shared" si="44"/>
        <v>22400</v>
      </c>
      <c r="Q9" s="762">
        <f t="shared" si="14"/>
        <v>50000</v>
      </c>
      <c r="R9" s="762"/>
      <c r="S9" s="762"/>
      <c r="T9" s="762"/>
      <c r="U9" s="762"/>
      <c r="V9" s="762"/>
      <c r="W9" s="762"/>
      <c r="X9" s="762"/>
      <c r="Y9" s="762"/>
      <c r="Z9" s="762">
        <f t="shared" si="15"/>
        <v>142461</v>
      </c>
      <c r="AA9" s="762"/>
      <c r="AB9" s="762"/>
      <c r="AC9" s="762"/>
      <c r="AD9" s="763">
        <f t="shared" si="45"/>
        <v>214861</v>
      </c>
      <c r="AE9" s="763">
        <f t="shared" si="16"/>
        <v>2546976.8449018667</v>
      </c>
      <c r="AF9" s="762">
        <f t="shared" si="17"/>
        <v>63674.421122546672</v>
      </c>
      <c r="AG9" s="762">
        <f t="shared" si="46"/>
        <v>2610651.2660244135</v>
      </c>
      <c r="AH9" s="762">
        <f t="shared" si="18"/>
        <v>65266.281650610341</v>
      </c>
      <c r="AI9" s="762">
        <f t="shared" si="47"/>
        <v>2675917.5476750238</v>
      </c>
      <c r="AJ9" s="762">
        <f t="shared" si="48"/>
        <v>133795.87738375118</v>
      </c>
      <c r="AK9" s="762">
        <f t="shared" ref="AK9:AK71" si="122">AI9+AJ9</f>
        <v>2809713.4250587751</v>
      </c>
      <c r="AL9" s="762">
        <f t="shared" si="49"/>
        <v>28097.134250587751</v>
      </c>
      <c r="AM9" s="762">
        <f t="shared" si="50"/>
        <v>27537.409960060559</v>
      </c>
      <c r="AN9" s="762"/>
      <c r="AO9" s="763">
        <f t="shared" si="51"/>
        <v>2865347.9692694233</v>
      </c>
      <c r="AP9" s="763">
        <f t="shared" si="52"/>
        <v>472782.41492945486</v>
      </c>
      <c r="AQ9" s="763">
        <f t="shared" si="53"/>
        <v>3338130.384198878</v>
      </c>
      <c r="AR9" s="1178">
        <f t="shared" si="19"/>
        <v>3000000</v>
      </c>
      <c r="AS9" s="1178">
        <f t="shared" ref="AS9:AS71" si="123">AT9/J9</f>
        <v>15369.562918130816</v>
      </c>
      <c r="AT9" s="1178">
        <f t="shared" si="54"/>
        <v>338130.38419887796</v>
      </c>
      <c r="AU9" s="1178">
        <f t="shared" si="20"/>
        <v>40575.646103865351</v>
      </c>
      <c r="AV9" s="1178">
        <f t="shared" si="55"/>
        <v>378706.03030274331</v>
      </c>
      <c r="AW9" s="1178">
        <f t="shared" si="56"/>
        <v>3378706.0303027434</v>
      </c>
      <c r="AX9" s="762">
        <f t="shared" si="57"/>
        <v>42233.825378784299</v>
      </c>
      <c r="AY9" s="717" t="s">
        <v>231</v>
      </c>
      <c r="AZ9" s="717">
        <f t="shared" si="58"/>
        <v>3420939.8556815279</v>
      </c>
      <c r="BA9" s="717">
        <f t="shared" si="59"/>
        <v>128285.24458805729</v>
      </c>
      <c r="BB9" s="717"/>
      <c r="BC9" s="717">
        <f t="shared" si="21"/>
        <v>33600</v>
      </c>
      <c r="BD9" s="717">
        <f t="shared" si="60"/>
        <v>3582825.1002695854</v>
      </c>
      <c r="BE9" s="717"/>
      <c r="BF9" s="717">
        <f t="shared" si="61"/>
        <v>3582825.1002695854</v>
      </c>
      <c r="BG9" s="1209"/>
      <c r="BH9" s="717">
        <f t="shared" si="62"/>
        <v>3582825.1002695854</v>
      </c>
      <c r="BI9" s="717"/>
      <c r="BJ9" s="717">
        <f t="shared" si="63"/>
        <v>3582825.1002695854</v>
      </c>
      <c r="BK9" s="717"/>
      <c r="BL9" s="717">
        <f t="shared" si="64"/>
        <v>3582825.1002695854</v>
      </c>
      <c r="BM9" s="717"/>
      <c r="BN9" s="717">
        <f t="shared" si="65"/>
        <v>3582825.1002695854</v>
      </c>
      <c r="BO9" s="717"/>
      <c r="BP9" s="717">
        <f t="shared" si="22"/>
        <v>3582825.1002695854</v>
      </c>
      <c r="BQ9" s="717"/>
      <c r="BR9" s="717">
        <f t="shared" si="23"/>
        <v>3582825.1002695854</v>
      </c>
      <c r="BS9" s="717"/>
      <c r="BT9" s="717">
        <f t="shared" si="66"/>
        <v>3582825.1002695854</v>
      </c>
      <c r="BU9" s="717"/>
      <c r="BV9" s="1235">
        <f t="shared" si="24"/>
        <v>51400</v>
      </c>
      <c r="BW9" s="717">
        <f t="shared" si="67"/>
        <v>3634225.1002695854</v>
      </c>
      <c r="BX9" s="717"/>
      <c r="BY9" s="717">
        <f t="shared" si="68"/>
        <v>3634225.1002695854</v>
      </c>
      <c r="BZ9" s="1194">
        <f t="shared" si="69"/>
        <v>3634225.1002695854</v>
      </c>
      <c r="CA9" s="1194">
        <f t="shared" si="70"/>
        <v>3040225.1002695854</v>
      </c>
      <c r="CB9" s="1194">
        <v>27000</v>
      </c>
      <c r="CC9" s="1194">
        <f t="shared" si="71"/>
        <v>594000</v>
      </c>
      <c r="CD9" s="1194">
        <f t="shared" si="72"/>
        <v>71280</v>
      </c>
      <c r="CE9" s="1194">
        <f t="shared" si="73"/>
        <v>665280</v>
      </c>
      <c r="CF9" s="1200">
        <f t="shared" si="74"/>
        <v>3705505.1002695854</v>
      </c>
      <c r="CG9" s="757">
        <f t="shared" si="75"/>
        <v>3705505.1002695854</v>
      </c>
      <c r="CH9" s="758">
        <f t="shared" si="76"/>
        <v>0</v>
      </c>
      <c r="CI9" s="757">
        <f t="shared" si="25"/>
        <v>379814.27277763246</v>
      </c>
      <c r="CJ9" s="757">
        <f t="shared" si="26"/>
        <v>92637.627506739635</v>
      </c>
      <c r="CK9" s="759">
        <f t="shared" si="77"/>
        <v>4177957.0005539572</v>
      </c>
      <c r="CL9" s="764">
        <f t="shared" si="78"/>
        <v>0.125</v>
      </c>
      <c r="CM9" s="757">
        <f t="shared" si="79"/>
        <v>522244.62506924465</v>
      </c>
      <c r="CN9" s="757">
        <f t="shared" ref="CN9:CN72" si="124">CN$5</f>
        <v>30000</v>
      </c>
      <c r="CO9" s="757">
        <f t="shared" si="80"/>
        <v>492244.62506924465</v>
      </c>
      <c r="CP9" s="755">
        <f t="shared" si="81"/>
        <v>29</v>
      </c>
      <c r="CQ9" s="757">
        <f t="shared" si="82"/>
        <v>16973.952588594642</v>
      </c>
      <c r="CR9" s="764">
        <f t="shared" si="83"/>
        <v>0.875</v>
      </c>
      <c r="CS9" s="757">
        <f t="shared" si="84"/>
        <v>3655712.3754847124</v>
      </c>
      <c r="CT9" s="1101">
        <f t="shared" si="85"/>
        <v>28342.699136420455</v>
      </c>
      <c r="CU9" s="1101">
        <f t="shared" si="86"/>
        <v>32858.576331907425</v>
      </c>
      <c r="CV9" s="1101">
        <f t="shared" si="87"/>
        <v>42445.920437823348</v>
      </c>
      <c r="CW9" s="1141">
        <f t="shared" si="27"/>
        <v>72387.486553385621</v>
      </c>
      <c r="CX9" s="1152">
        <f t="shared" si="88"/>
        <v>296965.13599463314</v>
      </c>
      <c r="CY9" s="1152">
        <f t="shared" si="89"/>
        <v>117507.65771284519</v>
      </c>
      <c r="CZ9" s="1152">
        <f t="shared" si="90"/>
        <v>84874.116882164701</v>
      </c>
      <c r="DA9" s="1152">
        <f t="shared" si="91"/>
        <v>64593.11034985962</v>
      </c>
      <c r="DB9" s="1143">
        <f t="shared" si="28"/>
        <v>0.11271012806629266</v>
      </c>
      <c r="DC9" s="1143">
        <f t="shared" ref="DC9:DC71" si="125">CE9/CA9</f>
        <v>0.21882590204949223</v>
      </c>
      <c r="DD9" s="1098" t="s">
        <v>232</v>
      </c>
      <c r="DE9" s="1144"/>
      <c r="DF9" s="705"/>
      <c r="DG9" s="765">
        <f t="shared" ref="DG9:DG72" si="126">$DG$7</f>
        <v>46082</v>
      </c>
      <c r="DH9" s="1116">
        <f t="shared" si="29"/>
        <v>28</v>
      </c>
      <c r="DI9" s="497"/>
      <c r="DJ9" s="1117">
        <f t="shared" si="92"/>
        <v>46147</v>
      </c>
      <c r="DK9" s="1116">
        <f t="shared" si="93"/>
        <v>30</v>
      </c>
      <c r="DL9" s="766" t="s">
        <v>233</v>
      </c>
      <c r="DM9" s="766" t="s">
        <v>234</v>
      </c>
      <c r="DN9" s="767">
        <f t="shared" si="30"/>
        <v>17213.910468306512</v>
      </c>
      <c r="DO9" s="767">
        <f t="shared" si="31"/>
        <v>378706.03030274331</v>
      </c>
      <c r="DP9" s="768">
        <f t="shared" si="32"/>
        <v>0.12623534343424778</v>
      </c>
      <c r="DR9" s="767">
        <f t="shared" si="33"/>
        <v>3705505.1002695854</v>
      </c>
      <c r="DS9" s="767">
        <f>SUM('[6]INTERNAL PRICELIST'!M9)</f>
        <v>2329361</v>
      </c>
      <c r="DT9" s="767">
        <f t="shared" si="94"/>
        <v>1376144.1002695854</v>
      </c>
      <c r="DV9" s="951">
        <f t="shared" si="34"/>
        <v>168432.05001225389</v>
      </c>
      <c r="DW9" s="703"/>
      <c r="DX9" s="772">
        <v>3</v>
      </c>
      <c r="DY9" s="773" t="s">
        <v>245</v>
      </c>
      <c r="DZ9" s="774">
        <v>22</v>
      </c>
      <c r="EA9" s="775">
        <f t="shared" si="35"/>
        <v>0</v>
      </c>
      <c r="ED9" s="755" t="s">
        <v>244</v>
      </c>
      <c r="EE9" s="777" t="b">
        <f t="shared" si="36"/>
        <v>1</v>
      </c>
      <c r="EF9" s="1123" t="s">
        <v>246</v>
      </c>
      <c r="EG9" s="1123" t="s">
        <v>247</v>
      </c>
      <c r="EH9" s="1203"/>
      <c r="EI9" s="1118" t="s">
        <v>248</v>
      </c>
      <c r="EJ9" s="1221"/>
      <c r="EK9" s="1222"/>
      <c r="EL9" s="1223">
        <v>0.25</v>
      </c>
      <c r="EM9" s="1124">
        <f>EK7*EL9</f>
        <v>126392.70677852092</v>
      </c>
      <c r="EN9" s="1125" t="e">
        <f>EM9/EK9</f>
        <v>#DIV/0!</v>
      </c>
      <c r="EP9" s="1230" t="s">
        <v>236</v>
      </c>
      <c r="EQ9" s="1145" t="s">
        <v>236</v>
      </c>
      <c r="ER9" s="753" t="b">
        <f t="shared" si="95"/>
        <v>1</v>
      </c>
      <c r="EU9" s="770">
        <v>2123200</v>
      </c>
      <c r="EV9" s="771" t="s">
        <v>236</v>
      </c>
      <c r="EZ9" s="520"/>
      <c r="FA9" s="778"/>
      <c r="FF9" s="771">
        <v>40</v>
      </c>
      <c r="FG9" s="1122">
        <f t="shared" si="37"/>
        <v>46357</v>
      </c>
      <c r="FH9" s="765">
        <v>45139</v>
      </c>
      <c r="FJ9" s="994">
        <v>0.15</v>
      </c>
      <c r="FK9" s="993">
        <v>12820.110851026688</v>
      </c>
      <c r="FL9" s="993">
        <v>13166.600333486867</v>
      </c>
      <c r="FM9" s="497"/>
      <c r="FN9" s="993">
        <f t="shared" si="38"/>
        <v>4177957.0005539572</v>
      </c>
      <c r="FO9" s="994">
        <f t="shared" si="96"/>
        <v>0.15</v>
      </c>
      <c r="FP9" s="775">
        <f t="shared" si="39"/>
        <v>626693.55008309358</v>
      </c>
      <c r="FQ9" s="993">
        <f t="shared" si="40"/>
        <v>30000</v>
      </c>
      <c r="FR9" s="775">
        <f t="shared" si="97"/>
        <v>596693.55008309358</v>
      </c>
      <c r="FS9" s="497">
        <f t="shared" si="98"/>
        <v>40</v>
      </c>
      <c r="FT9" s="775">
        <f t="shared" si="99"/>
        <v>14917.338752077339</v>
      </c>
      <c r="FU9" s="497"/>
      <c r="FV9" s="993">
        <f t="shared" si="100"/>
        <v>4177957.0005539572</v>
      </c>
      <c r="FW9" s="705">
        <f t="shared" si="101"/>
        <v>417795.70005539572</v>
      </c>
      <c r="FX9" s="705">
        <f t="shared" si="102"/>
        <v>104448.92501384893</v>
      </c>
      <c r="FY9" s="705">
        <v>15000</v>
      </c>
      <c r="FZ9" s="705">
        <f t="shared" si="103"/>
        <v>402795.70005539572</v>
      </c>
      <c r="GA9" s="497">
        <f t="shared" si="104"/>
        <v>46</v>
      </c>
      <c r="GB9" s="775">
        <f t="shared" si="105"/>
        <v>8756.4282620738195</v>
      </c>
      <c r="GC9" s="497"/>
      <c r="GD9" s="497"/>
      <c r="GH9" s="1095">
        <f t="shared" si="0"/>
        <v>4177957.0005539572</v>
      </c>
      <c r="GI9" s="1098">
        <f t="shared" si="1"/>
        <v>0.125</v>
      </c>
      <c r="GJ9" s="1095">
        <f t="shared" si="2"/>
        <v>522244.62506924465</v>
      </c>
      <c r="GK9" s="1095">
        <f t="shared" si="3"/>
        <v>30000</v>
      </c>
      <c r="GL9" s="1095">
        <f t="shared" si="4"/>
        <v>492244.62506924465</v>
      </c>
      <c r="GM9" s="1095">
        <f t="shared" si="5"/>
        <v>29</v>
      </c>
      <c r="GN9" s="1095">
        <f t="shared" si="6"/>
        <v>16973.952588594642</v>
      </c>
      <c r="GO9" s="1098">
        <f t="shared" si="7"/>
        <v>0.875</v>
      </c>
      <c r="GP9" s="1095">
        <f t="shared" si="8"/>
        <v>3655712.3754847124</v>
      </c>
      <c r="GQ9" s="1095">
        <f t="shared" si="9"/>
        <v>28342.699136420455</v>
      </c>
      <c r="GR9" s="1095">
        <f t="shared" si="10"/>
        <v>32858.576331907425</v>
      </c>
      <c r="GS9" s="1095">
        <f t="shared" si="11"/>
        <v>42445.920437823348</v>
      </c>
      <c r="GT9" s="1095">
        <f t="shared" si="12"/>
        <v>72387.486553385621</v>
      </c>
      <c r="GU9" s="497"/>
      <c r="GV9" s="1095">
        <f t="shared" si="106"/>
        <v>4177957.0005539572</v>
      </c>
      <c r="GW9" s="1098">
        <f t="shared" si="107"/>
        <v>0.125</v>
      </c>
      <c r="GX9" s="1095">
        <f t="shared" si="108"/>
        <v>522244.62506924465</v>
      </c>
      <c r="GY9" s="1095">
        <f t="shared" si="109"/>
        <v>30000</v>
      </c>
      <c r="GZ9" s="1095">
        <f t="shared" si="110"/>
        <v>492244.62506924465</v>
      </c>
      <c r="HA9" s="1106">
        <f t="shared" si="111"/>
        <v>48</v>
      </c>
      <c r="HB9" s="770">
        <f t="shared" si="112"/>
        <v>10255.096355609263</v>
      </c>
      <c r="HC9" s="1098">
        <f t="shared" si="113"/>
        <v>0.875</v>
      </c>
      <c r="HD9" s="1102">
        <f t="shared" si="114"/>
        <v>3655712.3754847124</v>
      </c>
      <c r="HE9" s="1101">
        <f t="shared" si="115"/>
        <v>28342.699136420455</v>
      </c>
      <c r="HF9" s="1101">
        <f t="shared" si="116"/>
        <v>32858.576331907425</v>
      </c>
      <c r="HG9" s="1101">
        <f t="shared" si="117"/>
        <v>42445.920437823348</v>
      </c>
      <c r="HH9" s="1101">
        <f t="shared" si="118"/>
        <v>72387.486553385621</v>
      </c>
      <c r="HI9" s="497"/>
      <c r="HJ9" s="1102">
        <f t="shared" si="119"/>
        <v>-6718.8562329853794</v>
      </c>
      <c r="HL9" s="775"/>
      <c r="HN9" s="775"/>
      <c r="HO9" s="775"/>
      <c r="HQ9" s="702"/>
      <c r="HR9" s="1171"/>
      <c r="HS9" s="702"/>
      <c r="HT9" s="1171"/>
      <c r="ID9" s="1279" t="s">
        <v>227</v>
      </c>
      <c r="IE9" s="1280">
        <f t="shared" ref="IE9:IE17" si="127">DATE(2028,2,1)</f>
        <v>46784</v>
      </c>
      <c r="IF9" s="1281">
        <f t="shared" ref="IF9:IF20" si="128">DATEDIF($IF$5,IE9,"m")</f>
        <v>29</v>
      </c>
    </row>
    <row r="10" spans="1:240" ht="14.25" hidden="1" customHeight="1">
      <c r="A10" s="753">
        <f t="shared" si="120"/>
        <v>4</v>
      </c>
      <c r="B10" s="753" t="s">
        <v>236</v>
      </c>
      <c r="C10" s="753">
        <f t="shared" si="121"/>
        <v>4</v>
      </c>
      <c r="D10" s="753" t="s">
        <v>227</v>
      </c>
      <c r="E10" s="717" t="str">
        <f t="shared" si="41"/>
        <v>3rd Floor</v>
      </c>
      <c r="F10" s="754"/>
      <c r="G10" s="755" t="s">
        <v>249</v>
      </c>
      <c r="H10" s="756"/>
      <c r="I10" s="755" t="s">
        <v>229</v>
      </c>
      <c r="J10" s="757">
        <v>22</v>
      </c>
      <c r="K10" s="758"/>
      <c r="L10" s="759" t="s">
        <v>69</v>
      </c>
      <c r="M10" s="760" t="s">
        <v>68</v>
      </c>
      <c r="N10" s="761">
        <f t="shared" si="42"/>
        <v>106005.26567735759</v>
      </c>
      <c r="O10" s="762">
        <f t="shared" si="43"/>
        <v>2332115.8449018667</v>
      </c>
      <c r="P10" s="762">
        <f t="shared" si="44"/>
        <v>22400</v>
      </c>
      <c r="Q10" s="762">
        <f t="shared" si="14"/>
        <v>50000</v>
      </c>
      <c r="R10" s="762"/>
      <c r="S10" s="762"/>
      <c r="T10" s="762"/>
      <c r="U10" s="762"/>
      <c r="V10" s="762"/>
      <c r="W10" s="762"/>
      <c r="X10" s="762"/>
      <c r="Y10" s="762"/>
      <c r="Z10" s="762">
        <f t="shared" si="15"/>
        <v>142461</v>
      </c>
      <c r="AA10" s="762"/>
      <c r="AB10" s="762"/>
      <c r="AC10" s="762"/>
      <c r="AD10" s="763">
        <f t="shared" si="45"/>
        <v>214861</v>
      </c>
      <c r="AE10" s="763">
        <f t="shared" si="16"/>
        <v>2546976.8449018667</v>
      </c>
      <c r="AF10" s="762">
        <f t="shared" si="17"/>
        <v>63674.421122546672</v>
      </c>
      <c r="AG10" s="762">
        <f t="shared" si="46"/>
        <v>2610651.2660244135</v>
      </c>
      <c r="AH10" s="762">
        <f t="shared" si="18"/>
        <v>65266.281650610341</v>
      </c>
      <c r="AI10" s="762">
        <f t="shared" si="47"/>
        <v>2675917.5476750238</v>
      </c>
      <c r="AJ10" s="762">
        <f t="shared" si="48"/>
        <v>133795.87738375118</v>
      </c>
      <c r="AK10" s="762">
        <f t="shared" si="122"/>
        <v>2809713.4250587751</v>
      </c>
      <c r="AL10" s="762">
        <f t="shared" si="49"/>
        <v>28097.134250587751</v>
      </c>
      <c r="AM10" s="762">
        <f t="shared" si="50"/>
        <v>27537.409960060559</v>
      </c>
      <c r="AN10" s="762"/>
      <c r="AO10" s="763">
        <f t="shared" si="51"/>
        <v>2865347.9692694233</v>
      </c>
      <c r="AP10" s="763">
        <f t="shared" si="52"/>
        <v>472782.41492945486</v>
      </c>
      <c r="AQ10" s="763">
        <f t="shared" si="53"/>
        <v>3338130.384198878</v>
      </c>
      <c r="AR10" s="1178">
        <f t="shared" si="19"/>
        <v>3000000</v>
      </c>
      <c r="AS10" s="1178">
        <f t="shared" si="123"/>
        <v>15369.562918130816</v>
      </c>
      <c r="AT10" s="1178">
        <f t="shared" si="54"/>
        <v>338130.38419887796</v>
      </c>
      <c r="AU10" s="1178">
        <f t="shared" si="20"/>
        <v>40575.646103865351</v>
      </c>
      <c r="AV10" s="1178">
        <f t="shared" si="55"/>
        <v>378706.03030274331</v>
      </c>
      <c r="AW10" s="1178">
        <f t="shared" si="56"/>
        <v>3378706.0303027434</v>
      </c>
      <c r="AX10" s="762">
        <f t="shared" si="57"/>
        <v>42233.825378784299</v>
      </c>
      <c r="AY10" s="717" t="s">
        <v>231</v>
      </c>
      <c r="AZ10" s="717">
        <f t="shared" si="58"/>
        <v>3420939.8556815279</v>
      </c>
      <c r="BA10" s="717">
        <f t="shared" si="59"/>
        <v>128285.24458805729</v>
      </c>
      <c r="BB10" s="717"/>
      <c r="BC10" s="717">
        <f t="shared" si="21"/>
        <v>33600</v>
      </c>
      <c r="BD10" s="717">
        <f t="shared" si="60"/>
        <v>3582825.1002695854</v>
      </c>
      <c r="BE10" s="717"/>
      <c r="BF10" s="717">
        <f t="shared" si="61"/>
        <v>3582825.1002695854</v>
      </c>
      <c r="BG10" s="1209"/>
      <c r="BH10" s="717">
        <f t="shared" si="62"/>
        <v>3582825.1002695854</v>
      </c>
      <c r="BI10" s="717"/>
      <c r="BJ10" s="717">
        <f t="shared" si="63"/>
        <v>3582825.1002695854</v>
      </c>
      <c r="BK10" s="717"/>
      <c r="BL10" s="717">
        <f t="shared" si="64"/>
        <v>3582825.1002695854</v>
      </c>
      <c r="BM10" s="717"/>
      <c r="BN10" s="717">
        <f t="shared" si="65"/>
        <v>3582825.1002695854</v>
      </c>
      <c r="BO10" s="717"/>
      <c r="BP10" s="717">
        <f t="shared" si="22"/>
        <v>3582825.1002695854</v>
      </c>
      <c r="BQ10" s="717"/>
      <c r="BR10" s="717">
        <f t="shared" si="23"/>
        <v>3582825.1002695854</v>
      </c>
      <c r="BS10" s="717"/>
      <c r="BT10" s="717">
        <f t="shared" si="66"/>
        <v>3582825.1002695854</v>
      </c>
      <c r="BU10" s="717"/>
      <c r="BV10" s="1235">
        <f t="shared" si="24"/>
        <v>51400</v>
      </c>
      <c r="BW10" s="717">
        <f t="shared" si="67"/>
        <v>3634225.1002695854</v>
      </c>
      <c r="BX10" s="717"/>
      <c r="BY10" s="717">
        <f t="shared" si="68"/>
        <v>3634225.1002695854</v>
      </c>
      <c r="BZ10" s="1194">
        <f t="shared" si="69"/>
        <v>3634225.1002695854</v>
      </c>
      <c r="CA10" s="1194">
        <f t="shared" si="70"/>
        <v>3040225.1002695854</v>
      </c>
      <c r="CB10" s="1194">
        <v>27000</v>
      </c>
      <c r="CC10" s="1194">
        <f t="shared" si="71"/>
        <v>594000</v>
      </c>
      <c r="CD10" s="1194">
        <f t="shared" si="72"/>
        <v>71280</v>
      </c>
      <c r="CE10" s="1194">
        <f t="shared" si="73"/>
        <v>665280</v>
      </c>
      <c r="CF10" s="1200">
        <f t="shared" si="74"/>
        <v>3705505.1002695854</v>
      </c>
      <c r="CG10" s="757">
        <f t="shared" si="75"/>
        <v>3705505.1002695854</v>
      </c>
      <c r="CH10" s="758">
        <f t="shared" si="76"/>
        <v>0</v>
      </c>
      <c r="CI10" s="757">
        <f t="shared" si="25"/>
        <v>379814.27277763246</v>
      </c>
      <c r="CJ10" s="757">
        <f t="shared" si="26"/>
        <v>92637.627506739635</v>
      </c>
      <c r="CK10" s="759">
        <f t="shared" si="77"/>
        <v>4177957.0005539572</v>
      </c>
      <c r="CL10" s="764">
        <f t="shared" si="78"/>
        <v>0.125</v>
      </c>
      <c r="CM10" s="757">
        <f t="shared" si="79"/>
        <v>522244.62506924465</v>
      </c>
      <c r="CN10" s="757">
        <f t="shared" si="124"/>
        <v>30000</v>
      </c>
      <c r="CO10" s="757">
        <f t="shared" si="80"/>
        <v>492244.62506924465</v>
      </c>
      <c r="CP10" s="755">
        <f t="shared" si="81"/>
        <v>29</v>
      </c>
      <c r="CQ10" s="757">
        <f>CO10/CP10</f>
        <v>16973.952588594642</v>
      </c>
      <c r="CR10" s="764">
        <f t="shared" si="83"/>
        <v>0.875</v>
      </c>
      <c r="CS10" s="757">
        <f t="shared" si="84"/>
        <v>3655712.3754847124</v>
      </c>
      <c r="CT10" s="1101">
        <f t="shared" si="85"/>
        <v>28342.699136420455</v>
      </c>
      <c r="CU10" s="1101">
        <f t="shared" si="86"/>
        <v>32858.576331907425</v>
      </c>
      <c r="CV10" s="1101">
        <f t="shared" si="87"/>
        <v>42445.920437823348</v>
      </c>
      <c r="CW10" s="1141">
        <f t="shared" si="27"/>
        <v>72387.486553385621</v>
      </c>
      <c r="CX10" s="1152">
        <f t="shared" si="88"/>
        <v>296965.13599463314</v>
      </c>
      <c r="CY10" s="1152">
        <f t="shared" si="89"/>
        <v>117507.65771284519</v>
      </c>
      <c r="CZ10" s="1152">
        <f t="shared" si="90"/>
        <v>84874.116882164701</v>
      </c>
      <c r="DA10" s="1152">
        <f t="shared" si="91"/>
        <v>64593.11034985962</v>
      </c>
      <c r="DB10" s="1143">
        <f t="shared" si="28"/>
        <v>0.11271012806629266</v>
      </c>
      <c r="DC10" s="1143">
        <f t="shared" si="125"/>
        <v>0.21882590204949223</v>
      </c>
      <c r="DD10" s="1098" t="s">
        <v>232</v>
      </c>
      <c r="DE10" s="1144"/>
      <c r="DF10" s="705"/>
      <c r="DG10" s="765">
        <f t="shared" si="126"/>
        <v>46082</v>
      </c>
      <c r="DH10" s="1116">
        <f t="shared" si="29"/>
        <v>28</v>
      </c>
      <c r="DI10" s="497"/>
      <c r="DJ10" s="1117">
        <f t="shared" si="92"/>
        <v>46147</v>
      </c>
      <c r="DK10" s="1116">
        <f t="shared" si="93"/>
        <v>30</v>
      </c>
      <c r="DL10" s="766" t="s">
        <v>233</v>
      </c>
      <c r="DM10" s="766" t="s">
        <v>234</v>
      </c>
      <c r="DN10" s="767">
        <f t="shared" si="30"/>
        <v>17213.910468306512</v>
      </c>
      <c r="DO10" s="767">
        <f t="shared" si="31"/>
        <v>378706.03030274331</v>
      </c>
      <c r="DP10" s="768">
        <f t="shared" si="32"/>
        <v>0.12623534343424778</v>
      </c>
      <c r="DR10" s="767">
        <f t="shared" si="33"/>
        <v>3705505.1002695854</v>
      </c>
      <c r="DS10" s="767">
        <f>SUM('[6]INTERNAL PRICELIST'!M10)</f>
        <v>2329361</v>
      </c>
      <c r="DT10" s="767">
        <f t="shared" si="94"/>
        <v>1376144.1002695854</v>
      </c>
      <c r="DV10" s="951">
        <f t="shared" si="34"/>
        <v>168432.05001225389</v>
      </c>
      <c r="DW10" s="703"/>
      <c r="DX10" s="772">
        <v>4</v>
      </c>
      <c r="DY10" s="773" t="s">
        <v>250</v>
      </c>
      <c r="DZ10" s="774">
        <v>22</v>
      </c>
      <c r="EA10" s="775">
        <f t="shared" si="35"/>
        <v>0</v>
      </c>
      <c r="ED10" s="755" t="s">
        <v>249</v>
      </c>
      <c r="EE10" s="777" t="b">
        <f t="shared" si="36"/>
        <v>1</v>
      </c>
      <c r="EF10" s="1123" t="s">
        <v>251</v>
      </c>
      <c r="EG10" s="1123" t="s">
        <v>247</v>
      </c>
      <c r="EH10" s="1203"/>
      <c r="EI10" s="1118" t="s">
        <v>252</v>
      </c>
      <c r="EJ10" s="1221"/>
      <c r="EK10" s="1222"/>
      <c r="EL10" s="1223">
        <v>0.35</v>
      </c>
      <c r="EM10" s="1124">
        <f>EK7*EL10</f>
        <v>176949.78948992927</v>
      </c>
      <c r="EN10" s="1125" t="e">
        <f>EM10/EK10</f>
        <v>#DIV/0!</v>
      </c>
      <c r="EP10" s="1230" t="s">
        <v>236</v>
      </c>
      <c r="EQ10" s="1145" t="s">
        <v>236</v>
      </c>
      <c r="ER10" s="753" t="b">
        <f t="shared" si="95"/>
        <v>1</v>
      </c>
      <c r="EU10" s="770">
        <v>2757027.65</v>
      </c>
      <c r="EV10" s="771" t="s">
        <v>236</v>
      </c>
      <c r="EZ10" s="520"/>
      <c r="FA10" s="778"/>
      <c r="FF10" s="771">
        <v>39</v>
      </c>
      <c r="FG10" s="1122">
        <f t="shared" si="37"/>
        <v>46357</v>
      </c>
      <c r="FH10" s="765">
        <v>45170</v>
      </c>
      <c r="FJ10" s="994">
        <v>0.15</v>
      </c>
      <c r="FK10" s="993">
        <v>12820.110851026688</v>
      </c>
      <c r="FL10" s="993">
        <v>13166.600333486867</v>
      </c>
      <c r="FM10" s="497"/>
      <c r="FN10" s="993">
        <f t="shared" si="38"/>
        <v>4177957.0005539572</v>
      </c>
      <c r="FO10" s="994">
        <f t="shared" si="96"/>
        <v>0.15</v>
      </c>
      <c r="FP10" s="775">
        <f t="shared" si="39"/>
        <v>626693.55008309358</v>
      </c>
      <c r="FQ10" s="993">
        <f t="shared" si="40"/>
        <v>30000</v>
      </c>
      <c r="FR10" s="775">
        <f t="shared" si="97"/>
        <v>596693.55008309358</v>
      </c>
      <c r="FS10" s="497">
        <f t="shared" si="98"/>
        <v>40</v>
      </c>
      <c r="FT10" s="775">
        <f t="shared" si="99"/>
        <v>14917.338752077339</v>
      </c>
      <c r="FU10" s="497"/>
      <c r="FV10" s="993">
        <f t="shared" si="100"/>
        <v>4177957.0005539572</v>
      </c>
      <c r="FW10" s="705">
        <f t="shared" si="101"/>
        <v>417795.70005539572</v>
      </c>
      <c r="FX10" s="705">
        <f t="shared" si="102"/>
        <v>104448.92501384893</v>
      </c>
      <c r="FY10" s="705">
        <v>15000</v>
      </c>
      <c r="FZ10" s="705">
        <f t="shared" si="103"/>
        <v>402795.70005539572</v>
      </c>
      <c r="GA10" s="497">
        <f t="shared" si="104"/>
        <v>46</v>
      </c>
      <c r="GB10" s="775">
        <f t="shared" si="105"/>
        <v>8756.4282620738195</v>
      </c>
      <c r="GC10" s="497"/>
      <c r="GD10" s="497"/>
      <c r="GH10" s="1095">
        <f t="shared" si="0"/>
        <v>4177957.0005539572</v>
      </c>
      <c r="GI10" s="1098">
        <f t="shared" si="1"/>
        <v>0.125</v>
      </c>
      <c r="GJ10" s="1095">
        <f t="shared" si="2"/>
        <v>522244.62506924465</v>
      </c>
      <c r="GK10" s="1095">
        <f t="shared" si="3"/>
        <v>30000</v>
      </c>
      <c r="GL10" s="1095">
        <f t="shared" si="4"/>
        <v>492244.62506924465</v>
      </c>
      <c r="GM10" s="1095">
        <f t="shared" si="5"/>
        <v>29</v>
      </c>
      <c r="GN10" s="1095">
        <f t="shared" si="6"/>
        <v>16973.952588594642</v>
      </c>
      <c r="GO10" s="1098">
        <f t="shared" si="7"/>
        <v>0.875</v>
      </c>
      <c r="GP10" s="1095">
        <f t="shared" si="8"/>
        <v>3655712.3754847124</v>
      </c>
      <c r="GQ10" s="1095">
        <f t="shared" si="9"/>
        <v>28342.699136420455</v>
      </c>
      <c r="GR10" s="1095">
        <f t="shared" si="10"/>
        <v>32858.576331907425</v>
      </c>
      <c r="GS10" s="1095">
        <f t="shared" si="11"/>
        <v>42445.920437823348</v>
      </c>
      <c r="GT10" s="1095">
        <f t="shared" si="12"/>
        <v>72387.486553385621</v>
      </c>
      <c r="GU10" s="497"/>
      <c r="GV10" s="1095">
        <f t="shared" si="106"/>
        <v>4177957.0005539572</v>
      </c>
      <c r="GW10" s="1098">
        <f t="shared" si="107"/>
        <v>0.125</v>
      </c>
      <c r="GX10" s="1095">
        <f t="shared" si="108"/>
        <v>522244.62506924465</v>
      </c>
      <c r="GY10" s="1095">
        <f t="shared" si="109"/>
        <v>30000</v>
      </c>
      <c r="GZ10" s="1095">
        <f t="shared" si="110"/>
        <v>492244.62506924465</v>
      </c>
      <c r="HA10" s="1106">
        <f t="shared" si="111"/>
        <v>48</v>
      </c>
      <c r="HB10" s="770">
        <f t="shared" si="112"/>
        <v>10255.096355609263</v>
      </c>
      <c r="HC10" s="1098">
        <f t="shared" si="113"/>
        <v>0.875</v>
      </c>
      <c r="HD10" s="1102">
        <f t="shared" si="114"/>
        <v>3655712.3754847124</v>
      </c>
      <c r="HE10" s="1101">
        <f t="shared" si="115"/>
        <v>28342.699136420455</v>
      </c>
      <c r="HF10" s="1101">
        <f t="shared" si="116"/>
        <v>32858.576331907425</v>
      </c>
      <c r="HG10" s="1101">
        <f t="shared" si="117"/>
        <v>42445.920437823348</v>
      </c>
      <c r="HH10" s="1101">
        <f t="shared" si="118"/>
        <v>72387.486553385621</v>
      </c>
      <c r="HI10" s="497"/>
      <c r="HJ10" s="1102">
        <f t="shared" si="119"/>
        <v>-6718.8562329853794</v>
      </c>
      <c r="HL10" s="775"/>
      <c r="HN10" s="775"/>
      <c r="HO10" s="775"/>
      <c r="HQ10" s="702"/>
      <c r="HR10" s="1171"/>
      <c r="HS10" s="702"/>
      <c r="HT10" s="1171"/>
      <c r="ID10" s="1279" t="s">
        <v>253</v>
      </c>
      <c r="IE10" s="1280">
        <f t="shared" si="127"/>
        <v>46784</v>
      </c>
      <c r="IF10" s="1281">
        <f t="shared" si="128"/>
        <v>29</v>
      </c>
    </row>
    <row r="11" spans="1:240" ht="14.25" hidden="1" customHeight="1">
      <c r="A11" s="753">
        <f t="shared" si="120"/>
        <v>5</v>
      </c>
      <c r="B11" s="753" t="s">
        <v>236</v>
      </c>
      <c r="C11" s="753">
        <f t="shared" si="121"/>
        <v>5</v>
      </c>
      <c r="D11" s="753" t="s">
        <v>227</v>
      </c>
      <c r="E11" s="717" t="str">
        <f t="shared" si="41"/>
        <v>3rd Floor</v>
      </c>
      <c r="F11" s="754"/>
      <c r="G11" s="755" t="s">
        <v>254</v>
      </c>
      <c r="H11" s="756"/>
      <c r="I11" s="755" t="s">
        <v>229</v>
      </c>
      <c r="J11" s="757">
        <v>22</v>
      </c>
      <c r="K11" s="758"/>
      <c r="L11" s="759" t="s">
        <v>69</v>
      </c>
      <c r="M11" s="760" t="s">
        <v>68</v>
      </c>
      <c r="N11" s="761">
        <f t="shared" si="42"/>
        <v>106005.26567735759</v>
      </c>
      <c r="O11" s="762">
        <f t="shared" si="43"/>
        <v>2332115.8449018667</v>
      </c>
      <c r="P11" s="762">
        <f t="shared" si="44"/>
        <v>22400</v>
      </c>
      <c r="Q11" s="762">
        <f t="shared" si="14"/>
        <v>50000</v>
      </c>
      <c r="R11" s="762"/>
      <c r="S11" s="762"/>
      <c r="T11" s="762"/>
      <c r="U11" s="762"/>
      <c r="V11" s="762"/>
      <c r="W11" s="762"/>
      <c r="X11" s="762"/>
      <c r="Y11" s="762"/>
      <c r="Z11" s="762">
        <f t="shared" si="15"/>
        <v>142461</v>
      </c>
      <c r="AA11" s="762"/>
      <c r="AB11" s="762"/>
      <c r="AC11" s="762"/>
      <c r="AD11" s="763">
        <f t="shared" si="45"/>
        <v>214861</v>
      </c>
      <c r="AE11" s="763">
        <f t="shared" si="16"/>
        <v>2546976.8449018667</v>
      </c>
      <c r="AF11" s="762">
        <f t="shared" si="17"/>
        <v>63674.421122546672</v>
      </c>
      <c r="AG11" s="762">
        <f t="shared" si="46"/>
        <v>2610651.2660244135</v>
      </c>
      <c r="AH11" s="762">
        <f t="shared" si="18"/>
        <v>65266.281650610341</v>
      </c>
      <c r="AI11" s="762">
        <f t="shared" si="47"/>
        <v>2675917.5476750238</v>
      </c>
      <c r="AJ11" s="762">
        <f t="shared" si="48"/>
        <v>133795.87738375118</v>
      </c>
      <c r="AK11" s="762">
        <f t="shared" si="122"/>
        <v>2809713.4250587751</v>
      </c>
      <c r="AL11" s="762">
        <f t="shared" si="49"/>
        <v>28097.134250587751</v>
      </c>
      <c r="AM11" s="762">
        <f t="shared" si="50"/>
        <v>27537.409960060559</v>
      </c>
      <c r="AN11" s="762"/>
      <c r="AO11" s="763">
        <f t="shared" si="51"/>
        <v>2865347.9692694233</v>
      </c>
      <c r="AP11" s="763">
        <f t="shared" si="52"/>
        <v>472782.41492945486</v>
      </c>
      <c r="AQ11" s="763">
        <f t="shared" si="53"/>
        <v>3338130.384198878</v>
      </c>
      <c r="AR11" s="1178">
        <f t="shared" si="19"/>
        <v>3000000</v>
      </c>
      <c r="AS11" s="1178">
        <f t="shared" si="123"/>
        <v>15369.562918130816</v>
      </c>
      <c r="AT11" s="1178">
        <f t="shared" si="54"/>
        <v>338130.38419887796</v>
      </c>
      <c r="AU11" s="1178">
        <f t="shared" si="20"/>
        <v>40575.646103865351</v>
      </c>
      <c r="AV11" s="1178">
        <f t="shared" si="55"/>
        <v>378706.03030274331</v>
      </c>
      <c r="AW11" s="1178">
        <f t="shared" si="56"/>
        <v>3378706.0303027434</v>
      </c>
      <c r="AX11" s="762">
        <f t="shared" si="57"/>
        <v>42233.825378784299</v>
      </c>
      <c r="AY11" s="717" t="s">
        <v>231</v>
      </c>
      <c r="AZ11" s="717">
        <f t="shared" si="58"/>
        <v>3420939.8556815279</v>
      </c>
      <c r="BA11" s="717">
        <f t="shared" si="59"/>
        <v>128285.24458805729</v>
      </c>
      <c r="BB11" s="717"/>
      <c r="BC11" s="717">
        <f t="shared" si="21"/>
        <v>33600</v>
      </c>
      <c r="BD11" s="717">
        <f t="shared" si="60"/>
        <v>3582825.1002695854</v>
      </c>
      <c r="BE11" s="717"/>
      <c r="BF11" s="717">
        <f t="shared" si="61"/>
        <v>3582825.1002695854</v>
      </c>
      <c r="BG11" s="1209"/>
      <c r="BH11" s="717">
        <f t="shared" si="62"/>
        <v>3582825.1002695854</v>
      </c>
      <c r="BI11" s="717"/>
      <c r="BJ11" s="717">
        <f t="shared" si="63"/>
        <v>3582825.1002695854</v>
      </c>
      <c r="BK11" s="717"/>
      <c r="BL11" s="717">
        <f t="shared" si="64"/>
        <v>3582825.1002695854</v>
      </c>
      <c r="BM11" s="717"/>
      <c r="BN11" s="717">
        <f t="shared" si="65"/>
        <v>3582825.1002695854</v>
      </c>
      <c r="BO11" s="717"/>
      <c r="BP11" s="717">
        <f t="shared" si="22"/>
        <v>3582825.1002695854</v>
      </c>
      <c r="BQ11" s="717"/>
      <c r="BR11" s="717">
        <f t="shared" si="23"/>
        <v>3582825.1002695854</v>
      </c>
      <c r="BS11" s="717"/>
      <c r="BT11" s="717">
        <f t="shared" si="66"/>
        <v>3582825.1002695854</v>
      </c>
      <c r="BU11" s="717"/>
      <c r="BV11" s="1235">
        <f t="shared" si="24"/>
        <v>51400</v>
      </c>
      <c r="BW11" s="717">
        <f t="shared" si="67"/>
        <v>3634225.1002695854</v>
      </c>
      <c r="BX11" s="717"/>
      <c r="BY11" s="717">
        <f t="shared" si="68"/>
        <v>3634225.1002695854</v>
      </c>
      <c r="BZ11" s="1194">
        <f t="shared" si="69"/>
        <v>3634225.1002695854</v>
      </c>
      <c r="CA11" s="1194">
        <f t="shared" si="70"/>
        <v>3040225.1002695854</v>
      </c>
      <c r="CB11" s="1194">
        <v>27000</v>
      </c>
      <c r="CC11" s="1194">
        <f t="shared" si="71"/>
        <v>594000</v>
      </c>
      <c r="CD11" s="1194">
        <f t="shared" si="72"/>
        <v>71280</v>
      </c>
      <c r="CE11" s="1194">
        <f t="shared" si="73"/>
        <v>665280</v>
      </c>
      <c r="CF11" s="1200">
        <f t="shared" si="74"/>
        <v>3705505.1002695854</v>
      </c>
      <c r="CG11" s="757">
        <f t="shared" si="75"/>
        <v>3705505.1002695854</v>
      </c>
      <c r="CH11" s="758">
        <f t="shared" si="76"/>
        <v>0</v>
      </c>
      <c r="CI11" s="757">
        <f t="shared" si="25"/>
        <v>379814.27277763246</v>
      </c>
      <c r="CJ11" s="757">
        <f t="shared" si="26"/>
        <v>92637.627506739635</v>
      </c>
      <c r="CK11" s="759">
        <f t="shared" si="77"/>
        <v>4177957.0005539572</v>
      </c>
      <c r="CL11" s="764">
        <f t="shared" si="78"/>
        <v>0.125</v>
      </c>
      <c r="CM11" s="757">
        <f t="shared" si="79"/>
        <v>522244.62506924465</v>
      </c>
      <c r="CN11" s="757">
        <f t="shared" si="124"/>
        <v>30000</v>
      </c>
      <c r="CO11" s="757">
        <f t="shared" si="80"/>
        <v>492244.62506924465</v>
      </c>
      <c r="CP11" s="755">
        <f t="shared" si="81"/>
        <v>29</v>
      </c>
      <c r="CQ11" s="757">
        <f t="shared" ref="CQ11:CQ74" si="129">CO11/CP11</f>
        <v>16973.952588594642</v>
      </c>
      <c r="CR11" s="764">
        <f t="shared" si="83"/>
        <v>0.875</v>
      </c>
      <c r="CS11" s="757">
        <f t="shared" si="84"/>
        <v>3655712.3754847124</v>
      </c>
      <c r="CT11" s="1101">
        <f t="shared" si="85"/>
        <v>28342.699136420455</v>
      </c>
      <c r="CU11" s="1101">
        <f t="shared" si="86"/>
        <v>32858.576331907425</v>
      </c>
      <c r="CV11" s="1101">
        <f t="shared" si="87"/>
        <v>42445.920437823348</v>
      </c>
      <c r="CW11" s="1141">
        <f t="shared" si="27"/>
        <v>72387.486553385621</v>
      </c>
      <c r="CX11" s="1152">
        <f t="shared" si="88"/>
        <v>296965.13599463314</v>
      </c>
      <c r="CY11" s="1152">
        <f t="shared" si="89"/>
        <v>117507.65771284519</v>
      </c>
      <c r="CZ11" s="1152">
        <f t="shared" si="90"/>
        <v>84874.116882164701</v>
      </c>
      <c r="DA11" s="1152">
        <f t="shared" si="91"/>
        <v>64593.11034985962</v>
      </c>
      <c r="DB11" s="1143">
        <f t="shared" si="28"/>
        <v>0.11271012806629266</v>
      </c>
      <c r="DC11" s="1143">
        <f t="shared" si="125"/>
        <v>0.21882590204949223</v>
      </c>
      <c r="DD11" s="1098" t="s">
        <v>232</v>
      </c>
      <c r="DE11" s="1144"/>
      <c r="DF11" s="705"/>
      <c r="DG11" s="765">
        <f t="shared" si="126"/>
        <v>46082</v>
      </c>
      <c r="DH11" s="1116">
        <f t="shared" si="29"/>
        <v>28</v>
      </c>
      <c r="DI11" s="497"/>
      <c r="DJ11" s="1117">
        <f t="shared" si="92"/>
        <v>46147</v>
      </c>
      <c r="DK11" s="1116">
        <f t="shared" si="93"/>
        <v>30</v>
      </c>
      <c r="DL11" s="766" t="s">
        <v>233</v>
      </c>
      <c r="DM11" s="766" t="s">
        <v>234</v>
      </c>
      <c r="DN11" s="767">
        <f t="shared" si="30"/>
        <v>17213.910468306512</v>
      </c>
      <c r="DO11" s="767">
        <f t="shared" si="31"/>
        <v>378706.03030274331</v>
      </c>
      <c r="DP11" s="768">
        <f t="shared" si="32"/>
        <v>0.12623534343424778</v>
      </c>
      <c r="DR11" s="767">
        <f t="shared" si="33"/>
        <v>3705505.1002695854</v>
      </c>
      <c r="DS11" s="767">
        <f>SUM('[6]INTERNAL PRICELIST'!M11)</f>
        <v>2329361</v>
      </c>
      <c r="DT11" s="767">
        <f t="shared" si="94"/>
        <v>1376144.1002695854</v>
      </c>
      <c r="DV11" s="951">
        <f t="shared" si="34"/>
        <v>168432.05001225389</v>
      </c>
      <c r="DW11" s="703"/>
      <c r="DX11" s="772">
        <v>5</v>
      </c>
      <c r="DY11" s="773" t="s">
        <v>255</v>
      </c>
      <c r="DZ11" s="774">
        <v>22</v>
      </c>
      <c r="EA11" s="775">
        <f t="shared" si="35"/>
        <v>0</v>
      </c>
      <c r="ED11" s="755" t="s">
        <v>254</v>
      </c>
      <c r="EE11" s="777" t="b">
        <f t="shared" si="36"/>
        <v>1</v>
      </c>
      <c r="EF11" s="1123" t="s">
        <v>256</v>
      </c>
      <c r="EG11" s="1123" t="s">
        <v>247</v>
      </c>
      <c r="EH11" s="1203"/>
      <c r="EI11" s="1118" t="s">
        <v>257</v>
      </c>
      <c r="EJ11" s="1221"/>
      <c r="EK11" s="1222"/>
      <c r="EL11" s="1223">
        <v>0.4</v>
      </c>
      <c r="EM11" s="1124">
        <f>EK7*EL11</f>
        <v>202228.33084563349</v>
      </c>
      <c r="EN11" s="1125" t="e">
        <f>EM11/EK11</f>
        <v>#DIV/0!</v>
      </c>
      <c r="EP11" s="1230" t="s">
        <v>236</v>
      </c>
      <c r="EQ11" s="1145" t="s">
        <v>236</v>
      </c>
      <c r="ER11" s="753" t="b">
        <f t="shared" si="95"/>
        <v>1</v>
      </c>
      <c r="EU11" s="770">
        <v>2981804.7274007285</v>
      </c>
      <c r="EV11" s="771" t="s">
        <v>258</v>
      </c>
      <c r="EW11" s="775">
        <f>EU11-CG11</f>
        <v>-723700.37286885688</v>
      </c>
      <c r="EZ11" s="520"/>
      <c r="FA11" s="778"/>
      <c r="FF11" s="771">
        <f>FF10-1+12</f>
        <v>50</v>
      </c>
      <c r="FG11" s="1122">
        <f t="shared" si="37"/>
        <v>46722</v>
      </c>
      <c r="FH11" s="765">
        <v>45200</v>
      </c>
      <c r="FI11" s="497" t="s">
        <v>259</v>
      </c>
      <c r="FJ11" s="994">
        <v>0.15</v>
      </c>
      <c r="FK11" s="993">
        <v>12820.110851026688</v>
      </c>
      <c r="FL11" s="993">
        <v>13166.600333486867</v>
      </c>
      <c r="FM11" s="497"/>
      <c r="FN11" s="993">
        <f t="shared" si="38"/>
        <v>4177957.0005539572</v>
      </c>
      <c r="FO11" s="994">
        <f t="shared" si="96"/>
        <v>0.15</v>
      </c>
      <c r="FP11" s="775">
        <f t="shared" si="39"/>
        <v>626693.55008309358</v>
      </c>
      <c r="FQ11" s="993">
        <f t="shared" si="40"/>
        <v>30000</v>
      </c>
      <c r="FR11" s="775">
        <f t="shared" si="97"/>
        <v>596693.55008309358</v>
      </c>
      <c r="FS11" s="497">
        <f t="shared" si="98"/>
        <v>40</v>
      </c>
      <c r="FT11" s="775">
        <f t="shared" si="99"/>
        <v>14917.338752077339</v>
      </c>
      <c r="FU11" s="497"/>
      <c r="FV11" s="993">
        <f t="shared" si="100"/>
        <v>4177957.0005539572</v>
      </c>
      <c r="FW11" s="705">
        <f t="shared" si="101"/>
        <v>417795.70005539572</v>
      </c>
      <c r="FX11" s="705">
        <f t="shared" si="102"/>
        <v>104448.92501384893</v>
      </c>
      <c r="FY11" s="705">
        <v>15000</v>
      </c>
      <c r="FZ11" s="705">
        <f t="shared" si="103"/>
        <v>402795.70005539572</v>
      </c>
      <c r="GA11" s="497">
        <f t="shared" si="104"/>
        <v>46</v>
      </c>
      <c r="GB11" s="775">
        <f t="shared" si="105"/>
        <v>8756.4282620738195</v>
      </c>
      <c r="GC11" s="497"/>
      <c r="GD11" s="497"/>
      <c r="GH11" s="1095">
        <f t="shared" si="0"/>
        <v>4177957.0005539572</v>
      </c>
      <c r="GI11" s="1098">
        <f t="shared" si="1"/>
        <v>0.125</v>
      </c>
      <c r="GJ11" s="1095">
        <f t="shared" si="2"/>
        <v>522244.62506924465</v>
      </c>
      <c r="GK11" s="1095">
        <f t="shared" si="3"/>
        <v>30000</v>
      </c>
      <c r="GL11" s="1095">
        <f t="shared" si="4"/>
        <v>492244.62506924465</v>
      </c>
      <c r="GM11" s="1095">
        <f t="shared" si="5"/>
        <v>29</v>
      </c>
      <c r="GN11" s="1095">
        <f t="shared" si="6"/>
        <v>16973.952588594642</v>
      </c>
      <c r="GO11" s="1098">
        <f t="shared" si="7"/>
        <v>0.875</v>
      </c>
      <c r="GP11" s="1095">
        <f t="shared" si="8"/>
        <v>3655712.3754847124</v>
      </c>
      <c r="GQ11" s="1095">
        <f t="shared" si="9"/>
        <v>28342.699136420455</v>
      </c>
      <c r="GR11" s="1095">
        <f t="shared" si="10"/>
        <v>32858.576331907425</v>
      </c>
      <c r="GS11" s="1095">
        <f t="shared" si="11"/>
        <v>42445.920437823348</v>
      </c>
      <c r="GT11" s="1095">
        <f t="shared" si="12"/>
        <v>72387.486553385621</v>
      </c>
      <c r="GU11" s="497"/>
      <c r="GV11" s="1095">
        <f t="shared" si="106"/>
        <v>4177957.0005539572</v>
      </c>
      <c r="GW11" s="1098">
        <f t="shared" si="107"/>
        <v>0.125</v>
      </c>
      <c r="GX11" s="1095">
        <f t="shared" si="108"/>
        <v>522244.62506924465</v>
      </c>
      <c r="GY11" s="1095">
        <f t="shared" si="109"/>
        <v>30000</v>
      </c>
      <c r="GZ11" s="1095">
        <f t="shared" si="110"/>
        <v>492244.62506924465</v>
      </c>
      <c r="HA11" s="1106">
        <f t="shared" si="111"/>
        <v>48</v>
      </c>
      <c r="HB11" s="770">
        <f t="shared" si="112"/>
        <v>10255.096355609263</v>
      </c>
      <c r="HC11" s="1098">
        <f t="shared" si="113"/>
        <v>0.875</v>
      </c>
      <c r="HD11" s="1102">
        <f t="shared" si="114"/>
        <v>3655712.3754847124</v>
      </c>
      <c r="HE11" s="1101">
        <f t="shared" si="115"/>
        <v>28342.699136420455</v>
      </c>
      <c r="HF11" s="1101">
        <f t="shared" si="116"/>
        <v>32858.576331907425</v>
      </c>
      <c r="HG11" s="1101">
        <f t="shared" si="117"/>
        <v>42445.920437823348</v>
      </c>
      <c r="HH11" s="1101">
        <f t="shared" si="118"/>
        <v>72387.486553385621</v>
      </c>
      <c r="HI11" s="497"/>
      <c r="HJ11" s="1102">
        <f t="shared" si="119"/>
        <v>-6718.8562329853794</v>
      </c>
      <c r="HL11" s="775"/>
      <c r="HN11" s="775"/>
      <c r="HO11" s="775"/>
      <c r="HQ11" s="702"/>
      <c r="HR11" s="1171"/>
      <c r="HS11" s="702"/>
      <c r="HT11" s="1171"/>
      <c r="ID11" s="1279" t="s">
        <v>260</v>
      </c>
      <c r="IE11" s="1280">
        <f t="shared" si="127"/>
        <v>46784</v>
      </c>
      <c r="IF11" s="1281">
        <f t="shared" si="128"/>
        <v>29</v>
      </c>
    </row>
    <row r="12" spans="1:240" ht="14.25" hidden="1" customHeight="1" thickBot="1">
      <c r="A12" s="753">
        <f t="shared" si="120"/>
        <v>6</v>
      </c>
      <c r="B12" s="753" t="s">
        <v>236</v>
      </c>
      <c r="C12" s="753">
        <f t="shared" si="121"/>
        <v>6</v>
      </c>
      <c r="D12" s="753" t="s">
        <v>227</v>
      </c>
      <c r="E12" s="717" t="str">
        <f t="shared" si="41"/>
        <v>3rd Floor</v>
      </c>
      <c r="F12" s="754"/>
      <c r="G12" s="755" t="s">
        <v>261</v>
      </c>
      <c r="H12" s="756"/>
      <c r="I12" s="755" t="s">
        <v>229</v>
      </c>
      <c r="J12" s="757">
        <v>22</v>
      </c>
      <c r="K12" s="758"/>
      <c r="L12" s="759" t="s">
        <v>69</v>
      </c>
      <c r="M12" s="760" t="s">
        <v>68</v>
      </c>
      <c r="N12" s="761">
        <f t="shared" si="42"/>
        <v>106005.26567735759</v>
      </c>
      <c r="O12" s="762">
        <f t="shared" si="43"/>
        <v>2332115.8449018667</v>
      </c>
      <c r="P12" s="762">
        <f t="shared" si="44"/>
        <v>22400</v>
      </c>
      <c r="Q12" s="762">
        <f t="shared" si="14"/>
        <v>50000</v>
      </c>
      <c r="R12" s="762"/>
      <c r="S12" s="762"/>
      <c r="T12" s="762"/>
      <c r="U12" s="762"/>
      <c r="V12" s="762"/>
      <c r="W12" s="762"/>
      <c r="X12" s="762"/>
      <c r="Y12" s="762"/>
      <c r="Z12" s="762">
        <f t="shared" si="15"/>
        <v>142461</v>
      </c>
      <c r="AA12" s="762"/>
      <c r="AB12" s="762"/>
      <c r="AC12" s="762"/>
      <c r="AD12" s="763">
        <f t="shared" si="45"/>
        <v>214861</v>
      </c>
      <c r="AE12" s="763">
        <f t="shared" si="16"/>
        <v>2546976.8449018667</v>
      </c>
      <c r="AF12" s="762">
        <f t="shared" si="17"/>
        <v>63674.421122546672</v>
      </c>
      <c r="AG12" s="762">
        <f t="shared" si="46"/>
        <v>2610651.2660244135</v>
      </c>
      <c r="AH12" s="762">
        <f t="shared" si="18"/>
        <v>65266.281650610341</v>
      </c>
      <c r="AI12" s="762">
        <f t="shared" si="47"/>
        <v>2675917.5476750238</v>
      </c>
      <c r="AJ12" s="762">
        <f t="shared" si="48"/>
        <v>133795.87738375118</v>
      </c>
      <c r="AK12" s="762">
        <f t="shared" si="122"/>
        <v>2809713.4250587751</v>
      </c>
      <c r="AL12" s="762">
        <f t="shared" si="49"/>
        <v>28097.134250587751</v>
      </c>
      <c r="AM12" s="762">
        <f t="shared" si="50"/>
        <v>27537.409960060559</v>
      </c>
      <c r="AN12" s="762"/>
      <c r="AO12" s="763">
        <f t="shared" si="51"/>
        <v>2865347.9692694233</v>
      </c>
      <c r="AP12" s="763">
        <f t="shared" si="52"/>
        <v>472782.41492945486</v>
      </c>
      <c r="AQ12" s="763">
        <f t="shared" si="53"/>
        <v>3338130.384198878</v>
      </c>
      <c r="AR12" s="1178">
        <f t="shared" si="19"/>
        <v>3000000</v>
      </c>
      <c r="AS12" s="1178">
        <f t="shared" si="123"/>
        <v>15369.562918130816</v>
      </c>
      <c r="AT12" s="1178">
        <f t="shared" si="54"/>
        <v>338130.38419887796</v>
      </c>
      <c r="AU12" s="1178">
        <f t="shared" si="20"/>
        <v>40575.646103865351</v>
      </c>
      <c r="AV12" s="1178">
        <f t="shared" si="55"/>
        <v>378706.03030274331</v>
      </c>
      <c r="AW12" s="1178">
        <f t="shared" si="56"/>
        <v>3378706.0303027434</v>
      </c>
      <c r="AX12" s="762">
        <f t="shared" si="57"/>
        <v>42233.825378784299</v>
      </c>
      <c r="AY12" s="717" t="s">
        <v>231</v>
      </c>
      <c r="AZ12" s="717">
        <f t="shared" si="58"/>
        <v>3420939.8556815279</v>
      </c>
      <c r="BA12" s="717">
        <f t="shared" si="59"/>
        <v>128285.24458805729</v>
      </c>
      <c r="BB12" s="717"/>
      <c r="BC12" s="717">
        <f t="shared" si="21"/>
        <v>33600</v>
      </c>
      <c r="BD12" s="717">
        <f t="shared" si="60"/>
        <v>3582825.1002695854</v>
      </c>
      <c r="BE12" s="717"/>
      <c r="BF12" s="717">
        <f t="shared" si="61"/>
        <v>3582825.1002695854</v>
      </c>
      <c r="BG12" s="1209"/>
      <c r="BH12" s="717">
        <f t="shared" si="62"/>
        <v>3582825.1002695854</v>
      </c>
      <c r="BI12" s="717"/>
      <c r="BJ12" s="717">
        <f t="shared" si="63"/>
        <v>3582825.1002695854</v>
      </c>
      <c r="BK12" s="717"/>
      <c r="BL12" s="717">
        <f t="shared" si="64"/>
        <v>3582825.1002695854</v>
      </c>
      <c r="BM12" s="717"/>
      <c r="BN12" s="717">
        <f t="shared" si="65"/>
        <v>3582825.1002695854</v>
      </c>
      <c r="BO12" s="717"/>
      <c r="BP12" s="717">
        <f t="shared" si="22"/>
        <v>3582825.1002695854</v>
      </c>
      <c r="BQ12" s="717"/>
      <c r="BR12" s="717">
        <f t="shared" si="23"/>
        <v>3582825.1002695854</v>
      </c>
      <c r="BS12" s="717"/>
      <c r="BT12" s="717">
        <f t="shared" si="66"/>
        <v>3582825.1002695854</v>
      </c>
      <c r="BU12" s="717"/>
      <c r="BV12" s="1235">
        <f t="shared" si="24"/>
        <v>51400</v>
      </c>
      <c r="BW12" s="717">
        <f t="shared" si="67"/>
        <v>3634225.1002695854</v>
      </c>
      <c r="BX12" s="717"/>
      <c r="BY12" s="717">
        <f t="shared" si="68"/>
        <v>3634225.1002695854</v>
      </c>
      <c r="BZ12" s="1194">
        <f t="shared" si="69"/>
        <v>3634225.1002695854</v>
      </c>
      <c r="CA12" s="1194">
        <f t="shared" si="70"/>
        <v>3040225.1002695854</v>
      </c>
      <c r="CB12" s="1194">
        <v>27000</v>
      </c>
      <c r="CC12" s="1194">
        <f t="shared" si="71"/>
        <v>594000</v>
      </c>
      <c r="CD12" s="1194">
        <f t="shared" si="72"/>
        <v>71280</v>
      </c>
      <c r="CE12" s="1194">
        <f t="shared" si="73"/>
        <v>665280</v>
      </c>
      <c r="CF12" s="1200">
        <f t="shared" si="74"/>
        <v>3705505.1002695854</v>
      </c>
      <c r="CG12" s="757">
        <f t="shared" si="75"/>
        <v>3705505.1002695854</v>
      </c>
      <c r="CH12" s="758">
        <f t="shared" si="76"/>
        <v>0</v>
      </c>
      <c r="CI12" s="757">
        <f t="shared" si="25"/>
        <v>379814.27277763246</v>
      </c>
      <c r="CJ12" s="757">
        <f t="shared" si="26"/>
        <v>92637.627506739635</v>
      </c>
      <c r="CK12" s="759">
        <f t="shared" si="77"/>
        <v>4177957.0005539572</v>
      </c>
      <c r="CL12" s="764">
        <f t="shared" si="78"/>
        <v>0.125</v>
      </c>
      <c r="CM12" s="757">
        <f t="shared" si="79"/>
        <v>522244.62506924465</v>
      </c>
      <c r="CN12" s="757">
        <f t="shared" si="124"/>
        <v>30000</v>
      </c>
      <c r="CO12" s="757">
        <f t="shared" si="80"/>
        <v>492244.62506924465</v>
      </c>
      <c r="CP12" s="755">
        <f t="shared" si="81"/>
        <v>29</v>
      </c>
      <c r="CQ12" s="757">
        <f t="shared" si="129"/>
        <v>16973.952588594642</v>
      </c>
      <c r="CR12" s="764">
        <f t="shared" si="83"/>
        <v>0.875</v>
      </c>
      <c r="CS12" s="757">
        <f t="shared" si="84"/>
        <v>3655712.3754847124</v>
      </c>
      <c r="CT12" s="1101">
        <f t="shared" si="85"/>
        <v>28342.699136420455</v>
      </c>
      <c r="CU12" s="1101">
        <f t="shared" si="86"/>
        <v>32858.576331907425</v>
      </c>
      <c r="CV12" s="1101">
        <f t="shared" si="87"/>
        <v>42445.920437823348</v>
      </c>
      <c r="CW12" s="1141">
        <f t="shared" si="27"/>
        <v>72387.486553385621</v>
      </c>
      <c r="CX12" s="1152">
        <f t="shared" si="88"/>
        <v>296965.13599463314</v>
      </c>
      <c r="CY12" s="1152">
        <f t="shared" si="89"/>
        <v>117507.65771284519</v>
      </c>
      <c r="CZ12" s="1152">
        <f t="shared" si="90"/>
        <v>84874.116882164701</v>
      </c>
      <c r="DA12" s="1152">
        <f t="shared" si="91"/>
        <v>64593.11034985962</v>
      </c>
      <c r="DB12" s="1143">
        <f t="shared" si="28"/>
        <v>0.11271012806629266</v>
      </c>
      <c r="DC12" s="1143">
        <f t="shared" si="125"/>
        <v>0.21882590204949223</v>
      </c>
      <c r="DD12" s="1098" t="s">
        <v>232</v>
      </c>
      <c r="DE12" s="1144"/>
      <c r="DF12" s="705"/>
      <c r="DG12" s="765">
        <f t="shared" si="126"/>
        <v>46082</v>
      </c>
      <c r="DH12" s="1116">
        <f t="shared" si="29"/>
        <v>28</v>
      </c>
      <c r="DI12" s="497"/>
      <c r="DJ12" s="1117">
        <f t="shared" si="92"/>
        <v>46147</v>
      </c>
      <c r="DK12" s="1116">
        <f t="shared" si="93"/>
        <v>30</v>
      </c>
      <c r="DL12" s="766" t="s">
        <v>233</v>
      </c>
      <c r="DM12" s="766" t="s">
        <v>234</v>
      </c>
      <c r="DN12" s="767">
        <f t="shared" si="30"/>
        <v>17213.910468306512</v>
      </c>
      <c r="DO12" s="767">
        <f t="shared" si="31"/>
        <v>378706.03030274331</v>
      </c>
      <c r="DP12" s="768">
        <f t="shared" si="32"/>
        <v>0.12623534343424778</v>
      </c>
      <c r="DR12" s="767">
        <f t="shared" si="33"/>
        <v>3705505.1002695854</v>
      </c>
      <c r="DS12" s="767">
        <f>SUM('[6]INTERNAL PRICELIST'!M12)</f>
        <v>2329361</v>
      </c>
      <c r="DT12" s="767">
        <f t="shared" si="94"/>
        <v>1376144.1002695854</v>
      </c>
      <c r="DV12" s="951">
        <f t="shared" si="34"/>
        <v>168432.05001225389</v>
      </c>
      <c r="DW12" s="697"/>
      <c r="DX12" s="773">
        <v>6</v>
      </c>
      <c r="DY12" s="773" t="s">
        <v>262</v>
      </c>
      <c r="DZ12" s="774">
        <v>22</v>
      </c>
      <c r="EA12" s="775">
        <f t="shared" si="35"/>
        <v>0</v>
      </c>
      <c r="ED12" s="755" t="s">
        <v>261</v>
      </c>
      <c r="EE12" s="777" t="b">
        <f t="shared" si="36"/>
        <v>1</v>
      </c>
      <c r="EF12" s="1123" t="s">
        <v>263</v>
      </c>
      <c r="EG12" s="1123" t="s">
        <v>247</v>
      </c>
      <c r="EH12" s="1203"/>
      <c r="EI12" s="1126" t="s">
        <v>94</v>
      </c>
      <c r="EJ12" s="1127"/>
      <c r="EK12" s="1128">
        <f>SUM(EK9:EK11)</f>
        <v>0</v>
      </c>
      <c r="EL12" s="1129">
        <f t="shared" ref="EL12:EM12" si="130">SUM(EL9:EL11)</f>
        <v>1</v>
      </c>
      <c r="EM12" s="1130">
        <f t="shared" si="130"/>
        <v>505570.82711408369</v>
      </c>
      <c r="EN12" s="1131"/>
      <c r="EP12" s="1230" t="s">
        <v>236</v>
      </c>
      <c r="EQ12" s="1145" t="s">
        <v>236</v>
      </c>
      <c r="ER12" s="753" t="b">
        <f t="shared" si="95"/>
        <v>1</v>
      </c>
      <c r="EU12" s="770">
        <v>2123200</v>
      </c>
      <c r="EV12" s="771" t="s">
        <v>236</v>
      </c>
      <c r="EZ12" s="520"/>
      <c r="FA12" s="778"/>
      <c r="FF12" s="771">
        <f t="shared" ref="FF12:FF17" si="131">FF11-1</f>
        <v>49</v>
      </c>
      <c r="FG12" s="1122">
        <f t="shared" si="37"/>
        <v>46722</v>
      </c>
      <c r="FH12" s="765">
        <v>45231</v>
      </c>
      <c r="FI12" s="497" t="s">
        <v>264</v>
      </c>
      <c r="FJ12" s="994">
        <v>0.15</v>
      </c>
      <c r="FK12" s="993">
        <v>12820.110851026688</v>
      </c>
      <c r="FL12" s="993">
        <v>13166.600333486867</v>
      </c>
      <c r="FM12" s="497"/>
      <c r="FN12" s="993">
        <f t="shared" si="38"/>
        <v>4177957.0005539572</v>
      </c>
      <c r="FO12" s="994">
        <f t="shared" si="96"/>
        <v>0.15</v>
      </c>
      <c r="FP12" s="775">
        <f t="shared" si="39"/>
        <v>626693.55008309358</v>
      </c>
      <c r="FQ12" s="993">
        <f t="shared" si="40"/>
        <v>30000</v>
      </c>
      <c r="FR12" s="775">
        <f t="shared" si="97"/>
        <v>596693.55008309358</v>
      </c>
      <c r="FS12" s="497">
        <f t="shared" si="98"/>
        <v>40</v>
      </c>
      <c r="FT12" s="775">
        <f t="shared" si="99"/>
        <v>14917.338752077339</v>
      </c>
      <c r="FU12" s="497"/>
      <c r="FV12" s="993">
        <f t="shared" si="100"/>
        <v>4177957.0005539572</v>
      </c>
      <c r="FW12" s="705">
        <f t="shared" si="101"/>
        <v>417795.70005539572</v>
      </c>
      <c r="FX12" s="705">
        <f t="shared" si="102"/>
        <v>104448.92501384893</v>
      </c>
      <c r="FY12" s="705">
        <v>15000</v>
      </c>
      <c r="FZ12" s="705">
        <f t="shared" si="103"/>
        <v>402795.70005539572</v>
      </c>
      <c r="GA12" s="497">
        <f t="shared" si="104"/>
        <v>46</v>
      </c>
      <c r="GB12" s="775">
        <f t="shared" si="105"/>
        <v>8756.4282620738195</v>
      </c>
      <c r="GC12" s="497"/>
      <c r="GD12" s="497"/>
      <c r="GH12" s="1095">
        <f t="shared" si="0"/>
        <v>4177957.0005539572</v>
      </c>
      <c r="GI12" s="1098">
        <f t="shared" si="1"/>
        <v>0.125</v>
      </c>
      <c r="GJ12" s="1095">
        <f t="shared" si="2"/>
        <v>522244.62506924465</v>
      </c>
      <c r="GK12" s="1095">
        <f t="shared" si="3"/>
        <v>30000</v>
      </c>
      <c r="GL12" s="1095">
        <f t="shared" si="4"/>
        <v>492244.62506924465</v>
      </c>
      <c r="GM12" s="1095">
        <f t="shared" si="5"/>
        <v>29</v>
      </c>
      <c r="GN12" s="1095">
        <f t="shared" si="6"/>
        <v>16973.952588594642</v>
      </c>
      <c r="GO12" s="1098">
        <f t="shared" si="7"/>
        <v>0.875</v>
      </c>
      <c r="GP12" s="1095">
        <f t="shared" si="8"/>
        <v>3655712.3754847124</v>
      </c>
      <c r="GQ12" s="1095">
        <f t="shared" si="9"/>
        <v>28342.699136420455</v>
      </c>
      <c r="GR12" s="1095">
        <f t="shared" si="10"/>
        <v>32858.576331907425</v>
      </c>
      <c r="GS12" s="1095">
        <f t="shared" si="11"/>
        <v>42445.920437823348</v>
      </c>
      <c r="GT12" s="1095">
        <f t="shared" si="12"/>
        <v>72387.486553385621</v>
      </c>
      <c r="GU12" s="497"/>
      <c r="GV12" s="1095">
        <f t="shared" si="106"/>
        <v>4177957.0005539572</v>
      </c>
      <c r="GW12" s="1098">
        <f t="shared" si="107"/>
        <v>0.125</v>
      </c>
      <c r="GX12" s="1095">
        <f t="shared" si="108"/>
        <v>522244.62506924465</v>
      </c>
      <c r="GY12" s="1095">
        <f t="shared" si="109"/>
        <v>30000</v>
      </c>
      <c r="GZ12" s="1095">
        <f t="shared" si="110"/>
        <v>492244.62506924465</v>
      </c>
      <c r="HA12" s="1106">
        <f t="shared" si="111"/>
        <v>48</v>
      </c>
      <c r="HB12" s="770">
        <f t="shared" si="112"/>
        <v>10255.096355609263</v>
      </c>
      <c r="HC12" s="1098">
        <f t="shared" si="113"/>
        <v>0.875</v>
      </c>
      <c r="HD12" s="1102">
        <f t="shared" si="114"/>
        <v>3655712.3754847124</v>
      </c>
      <c r="HE12" s="1101">
        <f t="shared" si="115"/>
        <v>28342.699136420455</v>
      </c>
      <c r="HF12" s="1101">
        <f t="shared" si="116"/>
        <v>32858.576331907425</v>
      </c>
      <c r="HG12" s="1101">
        <f t="shared" si="117"/>
        <v>42445.920437823348</v>
      </c>
      <c r="HH12" s="1101">
        <f t="shared" si="118"/>
        <v>72387.486553385621</v>
      </c>
      <c r="HI12" s="497"/>
      <c r="HJ12" s="1102">
        <f t="shared" si="119"/>
        <v>-6718.8562329853794</v>
      </c>
      <c r="HL12" s="775"/>
      <c r="HN12" s="775"/>
      <c r="HO12" s="775"/>
      <c r="HQ12" s="702"/>
      <c r="HR12" s="1171"/>
      <c r="HS12" s="702"/>
      <c r="HT12" s="1171"/>
      <c r="ID12" s="1279" t="s">
        <v>265</v>
      </c>
      <c r="IE12" s="1280">
        <f t="shared" si="127"/>
        <v>46784</v>
      </c>
      <c r="IF12" s="1281">
        <f t="shared" si="128"/>
        <v>29</v>
      </c>
    </row>
    <row r="13" spans="1:240" ht="14.25" hidden="1" customHeight="1">
      <c r="A13" s="753">
        <f t="shared" si="120"/>
        <v>7</v>
      </c>
      <c r="B13" s="753"/>
      <c r="C13" s="753">
        <f t="shared" si="121"/>
        <v>7</v>
      </c>
      <c r="D13" s="753" t="s">
        <v>227</v>
      </c>
      <c r="E13" s="717" t="str">
        <f t="shared" si="41"/>
        <v>3rd Floor</v>
      </c>
      <c r="F13" s="754"/>
      <c r="G13" s="755" t="s">
        <v>266</v>
      </c>
      <c r="H13" s="756"/>
      <c r="I13" s="755" t="s">
        <v>229</v>
      </c>
      <c r="J13" s="757">
        <v>22</v>
      </c>
      <c r="K13" s="758"/>
      <c r="L13" s="759" t="s">
        <v>69</v>
      </c>
      <c r="M13" s="760" t="s">
        <v>68</v>
      </c>
      <c r="N13" s="761">
        <f t="shared" si="42"/>
        <v>106005.26567735759</v>
      </c>
      <c r="O13" s="762">
        <f t="shared" si="43"/>
        <v>2332115.8449018667</v>
      </c>
      <c r="P13" s="762">
        <f t="shared" si="44"/>
        <v>22400</v>
      </c>
      <c r="Q13" s="762">
        <f t="shared" si="14"/>
        <v>50000</v>
      </c>
      <c r="R13" s="762"/>
      <c r="S13" s="762"/>
      <c r="T13" s="762"/>
      <c r="U13" s="762"/>
      <c r="V13" s="762"/>
      <c r="W13" s="762"/>
      <c r="X13" s="762"/>
      <c r="Y13" s="762"/>
      <c r="Z13" s="762">
        <f t="shared" si="15"/>
        <v>142461</v>
      </c>
      <c r="AA13" s="762"/>
      <c r="AB13" s="762"/>
      <c r="AC13" s="762"/>
      <c r="AD13" s="763">
        <f t="shared" si="45"/>
        <v>214861</v>
      </c>
      <c r="AE13" s="763">
        <f t="shared" si="16"/>
        <v>2546976.8449018667</v>
      </c>
      <c r="AF13" s="762">
        <f t="shared" si="17"/>
        <v>63674.421122546672</v>
      </c>
      <c r="AG13" s="762">
        <f t="shared" si="46"/>
        <v>2610651.2660244135</v>
      </c>
      <c r="AH13" s="762">
        <f t="shared" si="18"/>
        <v>65266.281650610341</v>
      </c>
      <c r="AI13" s="762">
        <f t="shared" si="47"/>
        <v>2675917.5476750238</v>
      </c>
      <c r="AJ13" s="762">
        <f t="shared" si="48"/>
        <v>133795.87738375118</v>
      </c>
      <c r="AK13" s="762">
        <f t="shared" si="122"/>
        <v>2809713.4250587751</v>
      </c>
      <c r="AL13" s="762">
        <f t="shared" si="49"/>
        <v>28097.134250587751</v>
      </c>
      <c r="AM13" s="762">
        <f t="shared" si="50"/>
        <v>27537.409960060559</v>
      </c>
      <c r="AN13" s="762"/>
      <c r="AO13" s="763">
        <f t="shared" si="51"/>
        <v>2865347.9692694233</v>
      </c>
      <c r="AP13" s="763">
        <f t="shared" si="52"/>
        <v>472782.41492945486</v>
      </c>
      <c r="AQ13" s="763">
        <f t="shared" si="53"/>
        <v>3338130.384198878</v>
      </c>
      <c r="AR13" s="1178">
        <f t="shared" si="19"/>
        <v>3000000</v>
      </c>
      <c r="AS13" s="1178">
        <f t="shared" si="123"/>
        <v>15369.562918130816</v>
      </c>
      <c r="AT13" s="1178">
        <f t="shared" si="54"/>
        <v>338130.38419887796</v>
      </c>
      <c r="AU13" s="1178">
        <f t="shared" si="20"/>
        <v>40575.646103865351</v>
      </c>
      <c r="AV13" s="1178">
        <f t="shared" si="55"/>
        <v>378706.03030274331</v>
      </c>
      <c r="AW13" s="1178">
        <f t="shared" si="56"/>
        <v>3378706.0303027434</v>
      </c>
      <c r="AX13" s="762">
        <f t="shared" si="57"/>
        <v>42233.825378784299</v>
      </c>
      <c r="AY13" s="717" t="s">
        <v>231</v>
      </c>
      <c r="AZ13" s="717">
        <f t="shared" si="58"/>
        <v>3420939.8556815279</v>
      </c>
      <c r="BA13" s="717">
        <f t="shared" si="59"/>
        <v>128285.24458805729</v>
      </c>
      <c r="BB13" s="717"/>
      <c r="BC13" s="717">
        <f t="shared" si="21"/>
        <v>33600</v>
      </c>
      <c r="BD13" s="717">
        <f t="shared" si="60"/>
        <v>3582825.1002695854</v>
      </c>
      <c r="BE13" s="717"/>
      <c r="BF13" s="717">
        <f t="shared" si="61"/>
        <v>3582825.1002695854</v>
      </c>
      <c r="BG13" s="1209"/>
      <c r="BH13" s="717">
        <f t="shared" si="62"/>
        <v>3582825.1002695854</v>
      </c>
      <c r="BI13" s="717"/>
      <c r="BJ13" s="717">
        <f t="shared" si="63"/>
        <v>3582825.1002695854</v>
      </c>
      <c r="BK13" s="717"/>
      <c r="BL13" s="717">
        <f t="shared" si="64"/>
        <v>3582825.1002695854</v>
      </c>
      <c r="BM13" s="717"/>
      <c r="BN13" s="717">
        <f t="shared" si="65"/>
        <v>3582825.1002695854</v>
      </c>
      <c r="BO13" s="717"/>
      <c r="BP13" s="717">
        <f t="shared" si="22"/>
        <v>3582825.1002695854</v>
      </c>
      <c r="BQ13" s="717"/>
      <c r="BR13" s="717">
        <f t="shared" si="23"/>
        <v>3582825.1002695854</v>
      </c>
      <c r="BS13" s="717"/>
      <c r="BT13" s="717">
        <f t="shared" si="66"/>
        <v>3582825.1002695854</v>
      </c>
      <c r="BU13" s="717"/>
      <c r="BV13" s="1235">
        <f t="shared" si="24"/>
        <v>51400</v>
      </c>
      <c r="BW13" s="717">
        <f t="shared" si="67"/>
        <v>3634225.1002695854</v>
      </c>
      <c r="BX13" s="717"/>
      <c r="BY13" s="717">
        <f t="shared" si="68"/>
        <v>3634225.1002695854</v>
      </c>
      <c r="BZ13" s="1194">
        <f t="shared" si="69"/>
        <v>3634225.1002695854</v>
      </c>
      <c r="CA13" s="1194">
        <f t="shared" si="70"/>
        <v>3040225.1002695854</v>
      </c>
      <c r="CB13" s="1194">
        <v>27000</v>
      </c>
      <c r="CC13" s="1194">
        <f t="shared" si="71"/>
        <v>594000</v>
      </c>
      <c r="CD13" s="1194">
        <f t="shared" si="72"/>
        <v>71280</v>
      </c>
      <c r="CE13" s="1194">
        <f t="shared" si="73"/>
        <v>665280</v>
      </c>
      <c r="CF13" s="1200">
        <f t="shared" si="74"/>
        <v>3705505.1002695854</v>
      </c>
      <c r="CG13" s="757">
        <f t="shared" si="75"/>
        <v>3705505.1002695854</v>
      </c>
      <c r="CH13" s="758">
        <f t="shared" si="76"/>
        <v>0</v>
      </c>
      <c r="CI13" s="757">
        <f t="shared" si="25"/>
        <v>379814.27277763246</v>
      </c>
      <c r="CJ13" s="757">
        <f t="shared" si="26"/>
        <v>92637.627506739635</v>
      </c>
      <c r="CK13" s="759">
        <f t="shared" si="77"/>
        <v>4177957.0005539572</v>
      </c>
      <c r="CL13" s="764">
        <f t="shared" si="78"/>
        <v>0.125</v>
      </c>
      <c r="CM13" s="757">
        <f t="shared" si="79"/>
        <v>522244.62506924465</v>
      </c>
      <c r="CN13" s="757">
        <f t="shared" si="124"/>
        <v>30000</v>
      </c>
      <c r="CO13" s="757">
        <f t="shared" si="80"/>
        <v>492244.62506924465</v>
      </c>
      <c r="CP13" s="755">
        <f t="shared" si="81"/>
        <v>29</v>
      </c>
      <c r="CQ13" s="757">
        <f t="shared" si="129"/>
        <v>16973.952588594642</v>
      </c>
      <c r="CR13" s="764">
        <f t="shared" si="83"/>
        <v>0.875</v>
      </c>
      <c r="CS13" s="757">
        <f t="shared" si="84"/>
        <v>3655712.3754847124</v>
      </c>
      <c r="CT13" s="1101">
        <f t="shared" si="85"/>
        <v>28342.699136420455</v>
      </c>
      <c r="CU13" s="1101">
        <f t="shared" si="86"/>
        <v>32858.576331907425</v>
      </c>
      <c r="CV13" s="1101">
        <f t="shared" si="87"/>
        <v>42445.920437823348</v>
      </c>
      <c r="CW13" s="1141">
        <f t="shared" si="27"/>
        <v>72387.486553385621</v>
      </c>
      <c r="CX13" s="1152">
        <f t="shared" si="88"/>
        <v>296965.13599463314</v>
      </c>
      <c r="CY13" s="1152">
        <f t="shared" si="89"/>
        <v>117507.65771284519</v>
      </c>
      <c r="CZ13" s="1152">
        <f t="shared" si="90"/>
        <v>84874.116882164701</v>
      </c>
      <c r="DA13" s="1152">
        <f t="shared" si="91"/>
        <v>64593.11034985962</v>
      </c>
      <c r="DB13" s="1143">
        <f t="shared" si="28"/>
        <v>0.11271012806629266</v>
      </c>
      <c r="DC13" s="1143">
        <f t="shared" si="125"/>
        <v>0.21882590204949223</v>
      </c>
      <c r="DD13" s="1098" t="s">
        <v>232</v>
      </c>
      <c r="DE13" s="1144"/>
      <c r="DF13" s="705"/>
      <c r="DG13" s="765">
        <f t="shared" si="126"/>
        <v>46082</v>
      </c>
      <c r="DH13" s="1116">
        <f t="shared" si="29"/>
        <v>28</v>
      </c>
      <c r="DI13" s="497"/>
      <c r="DJ13" s="1117">
        <f t="shared" si="92"/>
        <v>46147</v>
      </c>
      <c r="DK13" s="1116">
        <f t="shared" si="93"/>
        <v>30</v>
      </c>
      <c r="DL13" s="766" t="s">
        <v>233</v>
      </c>
      <c r="DM13" s="766" t="s">
        <v>234</v>
      </c>
      <c r="DN13" s="767">
        <f t="shared" si="30"/>
        <v>17213.910468306512</v>
      </c>
      <c r="DO13" s="767">
        <f t="shared" si="31"/>
        <v>378706.03030274331</v>
      </c>
      <c r="DP13" s="768">
        <f t="shared" si="32"/>
        <v>0.12623534343424778</v>
      </c>
      <c r="DR13" s="767">
        <f t="shared" si="33"/>
        <v>3705505.1002695854</v>
      </c>
      <c r="DS13" s="767">
        <f>SUM('[6]INTERNAL PRICELIST'!M13)</f>
        <v>2331316</v>
      </c>
      <c r="DT13" s="767">
        <f t="shared" si="94"/>
        <v>1374189.1002695854</v>
      </c>
      <c r="DV13" s="951">
        <f t="shared" si="34"/>
        <v>168432.05001225389</v>
      </c>
      <c r="DW13" s="703"/>
      <c r="DX13" s="772">
        <v>7</v>
      </c>
      <c r="DY13" s="773" t="s">
        <v>267</v>
      </c>
      <c r="DZ13" s="772">
        <v>22.34</v>
      </c>
      <c r="EA13" s="775">
        <f t="shared" si="35"/>
        <v>0.33999999999999986</v>
      </c>
      <c r="ED13" s="755" t="s">
        <v>266</v>
      </c>
      <c r="EE13" s="777" t="b">
        <f t="shared" si="36"/>
        <v>1</v>
      </c>
      <c r="EF13" s="777"/>
      <c r="EG13" s="777"/>
      <c r="EH13" s="1203"/>
      <c r="EP13" s="1230" t="s">
        <v>236</v>
      </c>
      <c r="EQ13" s="1145" t="s">
        <v>236</v>
      </c>
      <c r="ER13" s="753" t="b">
        <f t="shared" si="95"/>
        <v>1</v>
      </c>
      <c r="EU13" s="770">
        <v>2172480</v>
      </c>
      <c r="EV13" s="771" t="s">
        <v>236</v>
      </c>
      <c r="EZ13" s="520"/>
      <c r="FA13" s="778"/>
      <c r="FF13" s="771">
        <f t="shared" si="131"/>
        <v>48</v>
      </c>
      <c r="FG13" s="1122">
        <f t="shared" ref="FG13:FG18" si="132">EDATE(FH13,FF13)</f>
        <v>46692</v>
      </c>
      <c r="FH13" s="765">
        <v>45231</v>
      </c>
      <c r="FI13" s="497" t="s">
        <v>268</v>
      </c>
      <c r="FJ13" s="994">
        <v>0.15</v>
      </c>
      <c r="FK13" s="993">
        <v>12820.110851026688</v>
      </c>
      <c r="FL13" s="993">
        <v>13166.600333486867</v>
      </c>
      <c r="FM13" s="497"/>
      <c r="FN13" s="993">
        <f t="shared" si="38"/>
        <v>4177957.0005539572</v>
      </c>
      <c r="FO13" s="994">
        <f t="shared" si="96"/>
        <v>0.15</v>
      </c>
      <c r="FP13" s="775">
        <f t="shared" si="39"/>
        <v>626693.55008309358</v>
      </c>
      <c r="FQ13" s="993">
        <f t="shared" si="40"/>
        <v>30000</v>
      </c>
      <c r="FR13" s="775">
        <f t="shared" si="97"/>
        <v>596693.55008309358</v>
      </c>
      <c r="FS13" s="497">
        <f t="shared" si="98"/>
        <v>40</v>
      </c>
      <c r="FT13" s="775">
        <f t="shared" si="99"/>
        <v>14917.338752077339</v>
      </c>
      <c r="FU13" s="497"/>
      <c r="FV13" s="993">
        <f t="shared" si="100"/>
        <v>4177957.0005539572</v>
      </c>
      <c r="FW13" s="705">
        <f t="shared" si="101"/>
        <v>417795.70005539572</v>
      </c>
      <c r="FX13" s="705">
        <f t="shared" si="102"/>
        <v>104448.92501384893</v>
      </c>
      <c r="FY13" s="705">
        <v>15000</v>
      </c>
      <c r="FZ13" s="705">
        <f t="shared" si="103"/>
        <v>402795.70005539572</v>
      </c>
      <c r="GA13" s="497">
        <f t="shared" si="104"/>
        <v>46</v>
      </c>
      <c r="GB13" s="775">
        <f t="shared" si="105"/>
        <v>8756.4282620738195</v>
      </c>
      <c r="GC13" s="497"/>
      <c r="GD13" s="497"/>
      <c r="GH13" s="1095">
        <f t="shared" si="0"/>
        <v>4177957.0005539572</v>
      </c>
      <c r="GI13" s="1098">
        <f t="shared" si="1"/>
        <v>0.125</v>
      </c>
      <c r="GJ13" s="1095">
        <f t="shared" si="2"/>
        <v>522244.62506924465</v>
      </c>
      <c r="GK13" s="1095">
        <f t="shared" si="3"/>
        <v>30000</v>
      </c>
      <c r="GL13" s="1095">
        <f t="shared" si="4"/>
        <v>492244.62506924465</v>
      </c>
      <c r="GM13" s="1095">
        <f t="shared" si="5"/>
        <v>29</v>
      </c>
      <c r="GN13" s="1095">
        <f t="shared" si="6"/>
        <v>16973.952588594642</v>
      </c>
      <c r="GO13" s="1098">
        <f t="shared" si="7"/>
        <v>0.875</v>
      </c>
      <c r="GP13" s="1095">
        <f t="shared" si="8"/>
        <v>3655712.3754847124</v>
      </c>
      <c r="GQ13" s="1095">
        <f t="shared" si="9"/>
        <v>28342.699136420455</v>
      </c>
      <c r="GR13" s="1095">
        <f t="shared" si="10"/>
        <v>32858.576331907425</v>
      </c>
      <c r="GS13" s="1095">
        <f t="shared" si="11"/>
        <v>42445.920437823348</v>
      </c>
      <c r="GT13" s="1095">
        <f t="shared" si="12"/>
        <v>72387.486553385621</v>
      </c>
      <c r="GU13" s="497"/>
      <c r="GV13" s="1095">
        <f t="shared" si="106"/>
        <v>4177957.0005539572</v>
      </c>
      <c r="GW13" s="1098">
        <f t="shared" si="107"/>
        <v>0.125</v>
      </c>
      <c r="GX13" s="1095">
        <f t="shared" si="108"/>
        <v>522244.62506924465</v>
      </c>
      <c r="GY13" s="1095">
        <f t="shared" si="109"/>
        <v>30000</v>
      </c>
      <c r="GZ13" s="1095">
        <f t="shared" si="110"/>
        <v>492244.62506924465</v>
      </c>
      <c r="HA13" s="1106">
        <f t="shared" si="111"/>
        <v>48</v>
      </c>
      <c r="HB13" s="770">
        <f t="shared" si="112"/>
        <v>10255.096355609263</v>
      </c>
      <c r="HC13" s="1098">
        <f t="shared" si="113"/>
        <v>0.875</v>
      </c>
      <c r="HD13" s="1102">
        <f t="shared" si="114"/>
        <v>3655712.3754847124</v>
      </c>
      <c r="HE13" s="1101">
        <f t="shared" si="115"/>
        <v>28342.699136420455</v>
      </c>
      <c r="HF13" s="1101">
        <f t="shared" si="116"/>
        <v>32858.576331907425</v>
      </c>
      <c r="HG13" s="1101">
        <f t="shared" si="117"/>
        <v>42445.920437823348</v>
      </c>
      <c r="HH13" s="1101">
        <f t="shared" si="118"/>
        <v>72387.486553385621</v>
      </c>
      <c r="HI13" s="497"/>
      <c r="HJ13" s="1102">
        <f t="shared" si="119"/>
        <v>-6718.8562329853794</v>
      </c>
      <c r="HL13" s="775"/>
      <c r="HN13" s="775"/>
      <c r="HO13" s="775"/>
      <c r="HQ13" s="702"/>
      <c r="HR13" s="1171"/>
      <c r="HS13" s="702"/>
      <c r="HT13" s="1171"/>
      <c r="ID13" s="1279" t="s">
        <v>269</v>
      </c>
      <c r="IE13" s="1280">
        <f t="shared" si="127"/>
        <v>46784</v>
      </c>
      <c r="IF13" s="1281">
        <f t="shared" si="128"/>
        <v>29</v>
      </c>
    </row>
    <row r="14" spans="1:240" ht="14.25" hidden="1" customHeight="1">
      <c r="A14" s="753">
        <f t="shared" si="120"/>
        <v>8</v>
      </c>
      <c r="B14" s="753"/>
      <c r="C14" s="753">
        <f t="shared" si="121"/>
        <v>8</v>
      </c>
      <c r="D14" s="753" t="s">
        <v>227</v>
      </c>
      <c r="E14" s="717" t="str">
        <f t="shared" si="41"/>
        <v>3rd Floor</v>
      </c>
      <c r="F14" s="754"/>
      <c r="G14" s="755" t="s">
        <v>270</v>
      </c>
      <c r="H14" s="756"/>
      <c r="I14" s="755" t="s">
        <v>229</v>
      </c>
      <c r="J14" s="757">
        <v>22</v>
      </c>
      <c r="K14" s="758"/>
      <c r="L14" s="759" t="s">
        <v>69</v>
      </c>
      <c r="M14" s="760" t="s">
        <v>68</v>
      </c>
      <c r="N14" s="761">
        <f t="shared" si="42"/>
        <v>106005.26567735759</v>
      </c>
      <c r="O14" s="762">
        <f t="shared" si="43"/>
        <v>2332115.8449018667</v>
      </c>
      <c r="P14" s="762">
        <f t="shared" si="44"/>
        <v>22400</v>
      </c>
      <c r="Q14" s="762">
        <f t="shared" si="14"/>
        <v>50000</v>
      </c>
      <c r="R14" s="762"/>
      <c r="S14" s="762"/>
      <c r="T14" s="762"/>
      <c r="U14" s="762"/>
      <c r="V14" s="762"/>
      <c r="W14" s="762"/>
      <c r="X14" s="762"/>
      <c r="Y14" s="762"/>
      <c r="Z14" s="762">
        <f t="shared" si="15"/>
        <v>142461</v>
      </c>
      <c r="AA14" s="762"/>
      <c r="AB14" s="762"/>
      <c r="AC14" s="762"/>
      <c r="AD14" s="763">
        <f t="shared" si="45"/>
        <v>214861</v>
      </c>
      <c r="AE14" s="763">
        <f t="shared" si="16"/>
        <v>2546976.8449018667</v>
      </c>
      <c r="AF14" s="762">
        <f t="shared" si="17"/>
        <v>63674.421122546672</v>
      </c>
      <c r="AG14" s="762">
        <f t="shared" si="46"/>
        <v>2610651.2660244135</v>
      </c>
      <c r="AH14" s="762">
        <f t="shared" si="18"/>
        <v>65266.281650610341</v>
      </c>
      <c r="AI14" s="762">
        <f t="shared" si="47"/>
        <v>2675917.5476750238</v>
      </c>
      <c r="AJ14" s="762">
        <f t="shared" si="48"/>
        <v>133795.87738375118</v>
      </c>
      <c r="AK14" s="762">
        <f t="shared" si="122"/>
        <v>2809713.4250587751</v>
      </c>
      <c r="AL14" s="762">
        <f t="shared" si="49"/>
        <v>28097.134250587751</v>
      </c>
      <c r="AM14" s="762">
        <f t="shared" si="50"/>
        <v>27537.409960060559</v>
      </c>
      <c r="AN14" s="762"/>
      <c r="AO14" s="763">
        <f t="shared" si="51"/>
        <v>2865347.9692694233</v>
      </c>
      <c r="AP14" s="763">
        <f t="shared" si="52"/>
        <v>472782.41492945486</v>
      </c>
      <c r="AQ14" s="763">
        <f t="shared" si="53"/>
        <v>3338130.384198878</v>
      </c>
      <c r="AR14" s="1178">
        <f t="shared" si="19"/>
        <v>3000000</v>
      </c>
      <c r="AS14" s="1178">
        <f t="shared" si="123"/>
        <v>15369.562918130816</v>
      </c>
      <c r="AT14" s="1178">
        <f t="shared" si="54"/>
        <v>338130.38419887796</v>
      </c>
      <c r="AU14" s="1178">
        <f t="shared" si="20"/>
        <v>40575.646103865351</v>
      </c>
      <c r="AV14" s="1178">
        <f t="shared" si="55"/>
        <v>378706.03030274331</v>
      </c>
      <c r="AW14" s="1178">
        <f t="shared" si="56"/>
        <v>3378706.0303027434</v>
      </c>
      <c r="AX14" s="762">
        <f t="shared" si="57"/>
        <v>42233.825378784299</v>
      </c>
      <c r="AY14" s="717" t="s">
        <v>231</v>
      </c>
      <c r="AZ14" s="717">
        <f t="shared" si="58"/>
        <v>3420939.8556815279</v>
      </c>
      <c r="BA14" s="717">
        <f t="shared" si="59"/>
        <v>128285.24458805729</v>
      </c>
      <c r="BB14" s="717"/>
      <c r="BC14" s="717">
        <f t="shared" si="21"/>
        <v>33600</v>
      </c>
      <c r="BD14" s="717">
        <f t="shared" si="60"/>
        <v>3582825.1002695854</v>
      </c>
      <c r="BE14" s="717">
        <v>18367.830916129038</v>
      </c>
      <c r="BF14" s="717">
        <f t="shared" si="61"/>
        <v>3601192.9311857144</v>
      </c>
      <c r="BG14" s="1209"/>
      <c r="BH14" s="717">
        <f t="shared" si="62"/>
        <v>3601192.9311857144</v>
      </c>
      <c r="BI14" s="717"/>
      <c r="BJ14" s="717">
        <f t="shared" si="63"/>
        <v>3601192.9311857144</v>
      </c>
      <c r="BK14" s="717"/>
      <c r="BL14" s="717">
        <f t="shared" si="64"/>
        <v>3601192.9311857144</v>
      </c>
      <c r="BM14" s="717"/>
      <c r="BN14" s="717">
        <f t="shared" si="65"/>
        <v>3601192.9311857144</v>
      </c>
      <c r="BO14" s="717"/>
      <c r="BP14" s="717">
        <f t="shared" si="22"/>
        <v>3601192.9311857144</v>
      </c>
      <c r="BQ14" s="717"/>
      <c r="BR14" s="717">
        <f t="shared" si="23"/>
        <v>3601192.9311857144</v>
      </c>
      <c r="BS14" s="717"/>
      <c r="BT14" s="717">
        <f t="shared" si="66"/>
        <v>3601192.9311857144</v>
      </c>
      <c r="BU14" s="717"/>
      <c r="BV14" s="1235">
        <f t="shared" si="24"/>
        <v>51400</v>
      </c>
      <c r="BW14" s="717">
        <f t="shared" si="67"/>
        <v>3652592.9311857144</v>
      </c>
      <c r="BX14" s="717"/>
      <c r="BY14" s="717">
        <f t="shared" si="68"/>
        <v>3652592.9311857144</v>
      </c>
      <c r="BZ14" s="1194">
        <f t="shared" si="69"/>
        <v>3652592.9311857144</v>
      </c>
      <c r="CA14" s="1194">
        <f t="shared" si="70"/>
        <v>2970592.9311857144</v>
      </c>
      <c r="CB14" s="1194">
        <v>31000</v>
      </c>
      <c r="CC14" s="1194">
        <f t="shared" si="71"/>
        <v>682000</v>
      </c>
      <c r="CD14" s="1194">
        <f t="shared" si="72"/>
        <v>81840</v>
      </c>
      <c r="CE14" s="1194">
        <f t="shared" si="73"/>
        <v>763840</v>
      </c>
      <c r="CF14" s="1200">
        <f t="shared" si="74"/>
        <v>3734432.9311857144</v>
      </c>
      <c r="CG14" s="757">
        <f t="shared" si="75"/>
        <v>3734432.9311857144</v>
      </c>
      <c r="CH14" s="758">
        <f t="shared" si="76"/>
        <v>0</v>
      </c>
      <c r="CI14" s="757">
        <f t="shared" si="25"/>
        <v>382779.37544653571</v>
      </c>
      <c r="CJ14" s="757">
        <f t="shared" si="26"/>
        <v>93360.823279642864</v>
      </c>
      <c r="CK14" s="759">
        <f t="shared" si="77"/>
        <v>4210573.129911893</v>
      </c>
      <c r="CL14" s="764">
        <f t="shared" si="78"/>
        <v>0.125</v>
      </c>
      <c r="CM14" s="757">
        <f t="shared" si="79"/>
        <v>526321.64123898663</v>
      </c>
      <c r="CN14" s="757">
        <f t="shared" si="124"/>
        <v>30000</v>
      </c>
      <c r="CO14" s="757">
        <f t="shared" si="80"/>
        <v>496321.64123898663</v>
      </c>
      <c r="CP14" s="755">
        <f t="shared" si="81"/>
        <v>29</v>
      </c>
      <c r="CQ14" s="757">
        <f t="shared" si="129"/>
        <v>17114.539353068503</v>
      </c>
      <c r="CR14" s="764">
        <f t="shared" si="83"/>
        <v>0.875</v>
      </c>
      <c r="CS14" s="757">
        <f t="shared" si="84"/>
        <v>3684251.4886729065</v>
      </c>
      <c r="CT14" s="1101">
        <f t="shared" si="85"/>
        <v>28563.962577203583</v>
      </c>
      <c r="CU14" s="1101">
        <f t="shared" si="86"/>
        <v>33115.093949493486</v>
      </c>
      <c r="CV14" s="1101">
        <f t="shared" si="87"/>
        <v>42777.283740876293</v>
      </c>
      <c r="CW14" s="1141">
        <f t="shared" si="27"/>
        <v>72952.595199790565</v>
      </c>
      <c r="CX14" s="1152">
        <f t="shared" si="88"/>
        <v>299283.4588708891</v>
      </c>
      <c r="CY14" s="1152">
        <f t="shared" si="89"/>
        <v>118425.00678178055</v>
      </c>
      <c r="CZ14" s="1152">
        <f t="shared" si="90"/>
        <v>85536.705122063344</v>
      </c>
      <c r="DA14" s="1152">
        <f t="shared" si="91"/>
        <v>65097.370504409591</v>
      </c>
      <c r="DB14" s="1143">
        <f t="shared" si="28"/>
        <v>0.11271012806629266</v>
      </c>
      <c r="DC14" s="1143">
        <f t="shared" si="125"/>
        <v>0.25713385094978752</v>
      </c>
      <c r="DD14" s="1098" t="s">
        <v>232</v>
      </c>
      <c r="DE14" s="1144"/>
      <c r="DF14" s="705"/>
      <c r="DG14" s="765">
        <f t="shared" si="126"/>
        <v>46082</v>
      </c>
      <c r="DH14" s="1116">
        <f t="shared" si="29"/>
        <v>28</v>
      </c>
      <c r="DI14" s="497"/>
      <c r="DJ14" s="1117">
        <f t="shared" si="92"/>
        <v>46147</v>
      </c>
      <c r="DK14" s="1116">
        <f t="shared" si="93"/>
        <v>30</v>
      </c>
      <c r="DL14" s="766" t="s">
        <v>233</v>
      </c>
      <c r="DM14" s="766" t="s">
        <v>234</v>
      </c>
      <c r="DN14" s="767">
        <f t="shared" si="30"/>
        <v>17213.910468306512</v>
      </c>
      <c r="DO14" s="767">
        <f t="shared" si="31"/>
        <v>378706.03030274331</v>
      </c>
      <c r="DP14" s="768">
        <f t="shared" si="32"/>
        <v>0.12623534343424778</v>
      </c>
      <c r="DR14" s="767">
        <f t="shared" si="33"/>
        <v>3734432.9311857144</v>
      </c>
      <c r="DS14" s="767">
        <f>SUM('[6]INTERNAL PRICELIST'!M14)</f>
        <v>2329361</v>
      </c>
      <c r="DT14" s="767">
        <f t="shared" si="94"/>
        <v>1405071.9311857144</v>
      </c>
      <c r="DV14" s="951">
        <f t="shared" si="34"/>
        <v>169746.95141753249</v>
      </c>
      <c r="DW14" s="697"/>
      <c r="DX14" s="772">
        <v>8</v>
      </c>
      <c r="DY14" s="773" t="s">
        <v>271</v>
      </c>
      <c r="DZ14" s="774">
        <v>22</v>
      </c>
      <c r="EA14" s="775">
        <f t="shared" si="35"/>
        <v>0</v>
      </c>
      <c r="ED14" s="755" t="s">
        <v>270</v>
      </c>
      <c r="EE14" s="777" t="b">
        <f t="shared" si="36"/>
        <v>1</v>
      </c>
      <c r="EF14" s="777"/>
      <c r="EG14" s="777"/>
      <c r="EH14" s="1203"/>
      <c r="EP14" s="1230" t="s">
        <v>236</v>
      </c>
      <c r="EQ14" s="1145" t="s">
        <v>236</v>
      </c>
      <c r="ER14" s="753" t="b">
        <f t="shared" si="95"/>
        <v>1</v>
      </c>
      <c r="EU14" s="770">
        <v>2172480</v>
      </c>
      <c r="EV14" s="771" t="s">
        <v>236</v>
      </c>
      <c r="EZ14" s="520"/>
      <c r="FA14" s="778"/>
      <c r="FF14" s="771">
        <f t="shared" si="131"/>
        <v>47</v>
      </c>
      <c r="FG14" s="1122">
        <f t="shared" si="132"/>
        <v>46692</v>
      </c>
      <c r="FH14" s="765">
        <v>45261</v>
      </c>
      <c r="FJ14" s="994">
        <v>0.15</v>
      </c>
      <c r="FK14" s="993">
        <v>12820.110851026688</v>
      </c>
      <c r="FL14" s="993">
        <v>13166.600333486867</v>
      </c>
      <c r="FM14" s="497"/>
      <c r="FN14" s="993">
        <f t="shared" si="38"/>
        <v>4210573.129911893</v>
      </c>
      <c r="FO14" s="994">
        <f t="shared" si="96"/>
        <v>0.15</v>
      </c>
      <c r="FP14" s="775">
        <f t="shared" si="39"/>
        <v>631585.96948678396</v>
      </c>
      <c r="FQ14" s="993">
        <f t="shared" si="40"/>
        <v>30000</v>
      </c>
      <c r="FR14" s="775">
        <f t="shared" si="97"/>
        <v>601585.96948678396</v>
      </c>
      <c r="FS14" s="497">
        <f t="shared" si="98"/>
        <v>40</v>
      </c>
      <c r="FT14" s="775">
        <f t="shared" si="99"/>
        <v>15039.649237169599</v>
      </c>
      <c r="FU14" s="497"/>
      <c r="FV14" s="993">
        <f t="shared" si="100"/>
        <v>4210573.129911893</v>
      </c>
      <c r="FW14" s="705">
        <f t="shared" si="101"/>
        <v>421057.3129911893</v>
      </c>
      <c r="FX14" s="705">
        <f t="shared" si="102"/>
        <v>105264.32824779733</v>
      </c>
      <c r="FY14" s="705">
        <v>15000</v>
      </c>
      <c r="FZ14" s="705">
        <f t="shared" si="103"/>
        <v>406057.3129911893</v>
      </c>
      <c r="GA14" s="497">
        <f t="shared" si="104"/>
        <v>46</v>
      </c>
      <c r="GB14" s="775">
        <f t="shared" si="105"/>
        <v>8827.3328911128101</v>
      </c>
      <c r="GC14" s="497"/>
      <c r="GD14" s="497"/>
      <c r="GH14" s="1095">
        <f t="shared" si="0"/>
        <v>4210573.129911893</v>
      </c>
      <c r="GI14" s="1098">
        <f t="shared" si="1"/>
        <v>0.125</v>
      </c>
      <c r="GJ14" s="1095">
        <f t="shared" si="2"/>
        <v>526321.64123898663</v>
      </c>
      <c r="GK14" s="1095">
        <f t="shared" si="3"/>
        <v>30000</v>
      </c>
      <c r="GL14" s="1095">
        <f t="shared" si="4"/>
        <v>496321.64123898663</v>
      </c>
      <c r="GM14" s="1095">
        <f t="shared" si="5"/>
        <v>29</v>
      </c>
      <c r="GN14" s="1095">
        <f t="shared" si="6"/>
        <v>17114.539353068503</v>
      </c>
      <c r="GO14" s="1098">
        <f t="shared" si="7"/>
        <v>0.875</v>
      </c>
      <c r="GP14" s="1095">
        <f t="shared" si="8"/>
        <v>3684251.4886729065</v>
      </c>
      <c r="GQ14" s="1095">
        <f t="shared" si="9"/>
        <v>28563.962577203583</v>
      </c>
      <c r="GR14" s="1095">
        <f t="shared" si="10"/>
        <v>33115.093949493486</v>
      </c>
      <c r="GS14" s="1095">
        <f t="shared" si="11"/>
        <v>42777.283740876293</v>
      </c>
      <c r="GT14" s="1095">
        <f t="shared" si="12"/>
        <v>72952.595199790565</v>
      </c>
      <c r="GU14" s="497"/>
      <c r="GV14" s="1095">
        <f t="shared" si="106"/>
        <v>4210573.129911893</v>
      </c>
      <c r="GW14" s="1098">
        <f t="shared" si="107"/>
        <v>0.125</v>
      </c>
      <c r="GX14" s="1095">
        <f t="shared" si="108"/>
        <v>526321.64123898663</v>
      </c>
      <c r="GY14" s="1095">
        <f t="shared" si="109"/>
        <v>30000</v>
      </c>
      <c r="GZ14" s="1095">
        <f t="shared" si="110"/>
        <v>496321.64123898663</v>
      </c>
      <c r="HA14" s="1106">
        <f t="shared" si="111"/>
        <v>48</v>
      </c>
      <c r="HB14" s="770">
        <f t="shared" si="112"/>
        <v>10340.034192478888</v>
      </c>
      <c r="HC14" s="1098">
        <f t="shared" si="113"/>
        <v>0.875</v>
      </c>
      <c r="HD14" s="1102">
        <f t="shared" si="114"/>
        <v>3684251.4886729065</v>
      </c>
      <c r="HE14" s="1101">
        <f t="shared" si="115"/>
        <v>28563.962577203583</v>
      </c>
      <c r="HF14" s="1101">
        <f t="shared" si="116"/>
        <v>33115.093949493486</v>
      </c>
      <c r="HG14" s="1101">
        <f t="shared" si="117"/>
        <v>42777.283740876293</v>
      </c>
      <c r="HH14" s="1101">
        <f t="shared" si="118"/>
        <v>72952.595199790565</v>
      </c>
      <c r="HI14" s="497"/>
      <c r="HJ14" s="1102">
        <f t="shared" si="119"/>
        <v>-6774.5051605896151</v>
      </c>
      <c r="HL14" s="775"/>
      <c r="HN14" s="775"/>
      <c r="HO14" s="775"/>
      <c r="HQ14" s="702"/>
      <c r="HR14" s="1171"/>
      <c r="HS14" s="702"/>
      <c r="HT14" s="1171"/>
      <c r="ID14" s="1279" t="s">
        <v>272</v>
      </c>
      <c r="IE14" s="1280">
        <f t="shared" si="127"/>
        <v>46784</v>
      </c>
      <c r="IF14" s="1281">
        <f t="shared" si="128"/>
        <v>29</v>
      </c>
    </row>
    <row r="15" spans="1:240" ht="14.25" hidden="1" customHeight="1">
      <c r="A15" s="753">
        <f t="shared" si="120"/>
        <v>9</v>
      </c>
      <c r="B15" s="753"/>
      <c r="C15" s="753">
        <f t="shared" si="121"/>
        <v>9</v>
      </c>
      <c r="D15" s="753" t="s">
        <v>227</v>
      </c>
      <c r="E15" s="717" t="str">
        <f t="shared" si="41"/>
        <v>3rd Floor</v>
      </c>
      <c r="F15" s="754"/>
      <c r="G15" s="755" t="s">
        <v>273</v>
      </c>
      <c r="H15" s="756"/>
      <c r="I15" s="755" t="s">
        <v>229</v>
      </c>
      <c r="J15" s="757">
        <v>22</v>
      </c>
      <c r="K15" s="758"/>
      <c r="L15" s="759" t="s">
        <v>69</v>
      </c>
      <c r="M15" s="760" t="s">
        <v>68</v>
      </c>
      <c r="N15" s="761">
        <f t="shared" si="42"/>
        <v>106005.26567735759</v>
      </c>
      <c r="O15" s="762">
        <f t="shared" si="43"/>
        <v>2332115.8449018667</v>
      </c>
      <c r="P15" s="762">
        <f t="shared" si="44"/>
        <v>22400</v>
      </c>
      <c r="Q15" s="762">
        <f t="shared" si="14"/>
        <v>50000</v>
      </c>
      <c r="R15" s="762"/>
      <c r="S15" s="762"/>
      <c r="T15" s="762"/>
      <c r="U15" s="762"/>
      <c r="V15" s="762"/>
      <c r="W15" s="762"/>
      <c r="X15" s="762"/>
      <c r="Y15" s="762"/>
      <c r="Z15" s="762">
        <f t="shared" si="15"/>
        <v>142461</v>
      </c>
      <c r="AA15" s="762">
        <v>49222.732758620703</v>
      </c>
      <c r="AB15" s="762"/>
      <c r="AC15" s="762"/>
      <c r="AD15" s="763">
        <f>SUM(P15:AC15)</f>
        <v>264083.7327586207</v>
      </c>
      <c r="AE15" s="763">
        <f>O15+AD15</f>
        <v>2596199.5776604875</v>
      </c>
      <c r="AF15" s="762">
        <f t="shared" si="17"/>
        <v>64904.989441512189</v>
      </c>
      <c r="AG15" s="762">
        <f t="shared" si="46"/>
        <v>2661104.5671019997</v>
      </c>
      <c r="AH15" s="762">
        <f t="shared" si="18"/>
        <v>66527.61417755</v>
      </c>
      <c r="AI15" s="762">
        <f t="shared" si="47"/>
        <v>2727632.1812795498</v>
      </c>
      <c r="AJ15" s="762">
        <f t="shared" si="48"/>
        <v>136381.60906397749</v>
      </c>
      <c r="AK15" s="762">
        <f t="shared" si="122"/>
        <v>2864013.7903435272</v>
      </c>
      <c r="AL15" s="762">
        <f t="shared" si="49"/>
        <v>28640.137903435272</v>
      </c>
      <c r="AM15" s="762">
        <f t="shared" si="50"/>
        <v>27537.409960060559</v>
      </c>
      <c r="AN15" s="762"/>
      <c r="AO15" s="763">
        <f t="shared" si="51"/>
        <v>2920191.3382070228</v>
      </c>
      <c r="AP15" s="763">
        <f t="shared" si="52"/>
        <v>481831.57080415875</v>
      </c>
      <c r="AQ15" s="763">
        <f t="shared" si="53"/>
        <v>3402022.9090111814</v>
      </c>
      <c r="AR15" s="1178">
        <f t="shared" si="19"/>
        <v>3000000</v>
      </c>
      <c r="AS15" s="1178">
        <f t="shared" si="123"/>
        <v>18273.768591417338</v>
      </c>
      <c r="AT15" s="1178">
        <f t="shared" si="54"/>
        <v>402022.90901118144</v>
      </c>
      <c r="AU15" s="1178">
        <f t="shared" si="20"/>
        <v>48242.749081341768</v>
      </c>
      <c r="AV15" s="1178">
        <f t="shared" si="55"/>
        <v>450265.65809252323</v>
      </c>
      <c r="AW15" s="1178">
        <f t="shared" si="56"/>
        <v>3450265.658092523</v>
      </c>
      <c r="AX15" s="762">
        <f t="shared" si="57"/>
        <v>43128.32072615654</v>
      </c>
      <c r="AY15" s="717">
        <v>7575.3956645161297</v>
      </c>
      <c r="AZ15" s="717">
        <f t="shared" si="58"/>
        <v>3500969.3744831956</v>
      </c>
      <c r="BA15" s="717">
        <f t="shared" si="59"/>
        <v>131286.35154311982</v>
      </c>
      <c r="BB15" s="717"/>
      <c r="BC15" s="717">
        <f t="shared" si="21"/>
        <v>33600</v>
      </c>
      <c r="BD15" s="717">
        <f t="shared" si="60"/>
        <v>3665855.7260263152</v>
      </c>
      <c r="BE15" s="717">
        <v>18367.830916129038</v>
      </c>
      <c r="BF15" s="717">
        <f t="shared" si="61"/>
        <v>3684223.5569424443</v>
      </c>
      <c r="BG15" s="1209"/>
      <c r="BH15" s="717">
        <f t="shared" si="62"/>
        <v>3684223.5569424443</v>
      </c>
      <c r="BI15" s="717">
        <v>718.43902439024396</v>
      </c>
      <c r="BJ15" s="717">
        <f t="shared" si="63"/>
        <v>3684941.9959668345</v>
      </c>
      <c r="BK15" s="717"/>
      <c r="BL15" s="717">
        <f t="shared" si="64"/>
        <v>3684941.9959668345</v>
      </c>
      <c r="BM15" s="717">
        <f>$BM$5/41</f>
        <v>1038.0487804878051</v>
      </c>
      <c r="BN15" s="717">
        <f t="shared" si="65"/>
        <v>3685980.0447473223</v>
      </c>
      <c r="BO15" s="717"/>
      <c r="BP15" s="717">
        <f t="shared" si="22"/>
        <v>3685980.0447473223</v>
      </c>
      <c r="BQ15" s="717"/>
      <c r="BR15" s="717">
        <f t="shared" si="23"/>
        <v>3685980.0447473223</v>
      </c>
      <c r="BS15" s="717"/>
      <c r="BT15" s="717">
        <f t="shared" si="66"/>
        <v>3685980.0447473223</v>
      </c>
      <c r="BU15" s="717"/>
      <c r="BV15" s="1235">
        <f t="shared" si="24"/>
        <v>51400</v>
      </c>
      <c r="BW15" s="717">
        <f t="shared" si="67"/>
        <v>3737380.0447473223</v>
      </c>
      <c r="BX15" s="717"/>
      <c r="BY15" s="717">
        <f t="shared" si="68"/>
        <v>3737380.0447473223</v>
      </c>
      <c r="BZ15" s="1194">
        <f t="shared" si="69"/>
        <v>3737380.0447473223</v>
      </c>
      <c r="CA15" s="1194">
        <f t="shared" si="70"/>
        <v>3033380.0447473223</v>
      </c>
      <c r="CB15" s="1194">
        <v>32000</v>
      </c>
      <c r="CC15" s="1194">
        <f t="shared" si="71"/>
        <v>704000</v>
      </c>
      <c r="CD15" s="1194">
        <f t="shared" si="72"/>
        <v>84480</v>
      </c>
      <c r="CE15" s="1194">
        <f t="shared" si="73"/>
        <v>788480</v>
      </c>
      <c r="CF15" s="1200">
        <f t="shared" si="74"/>
        <v>3821860.0447473223</v>
      </c>
      <c r="CG15" s="757">
        <f t="shared" si="75"/>
        <v>3821860.0447473223</v>
      </c>
      <c r="CH15" s="758">
        <f t="shared" si="76"/>
        <v>0</v>
      </c>
      <c r="CI15" s="757">
        <f t="shared" si="25"/>
        <v>391740.65458660049</v>
      </c>
      <c r="CJ15" s="757">
        <f t="shared" si="26"/>
        <v>95546.501118683067</v>
      </c>
      <c r="CK15" s="759">
        <f t="shared" si="77"/>
        <v>4309147.2004526062</v>
      </c>
      <c r="CL15" s="764">
        <f t="shared" si="78"/>
        <v>0.125</v>
      </c>
      <c r="CM15" s="757">
        <f t="shared" si="79"/>
        <v>538643.40005657577</v>
      </c>
      <c r="CN15" s="757">
        <f t="shared" si="124"/>
        <v>30000</v>
      </c>
      <c r="CO15" s="757">
        <f t="shared" si="80"/>
        <v>508643.40005657577</v>
      </c>
      <c r="CP15" s="755">
        <f t="shared" si="81"/>
        <v>29</v>
      </c>
      <c r="CQ15" s="757">
        <f t="shared" si="129"/>
        <v>17539.427588157785</v>
      </c>
      <c r="CR15" s="764">
        <f t="shared" si="83"/>
        <v>0.875</v>
      </c>
      <c r="CS15" s="757">
        <f t="shared" si="84"/>
        <v>3770503.8003960303</v>
      </c>
      <c r="CT15" s="1101">
        <f t="shared" si="85"/>
        <v>29232.675831939636</v>
      </c>
      <c r="CU15" s="1101">
        <f t="shared" si="86"/>
        <v>33890.354111524684</v>
      </c>
      <c r="CV15" s="1101">
        <f t="shared" si="87"/>
        <v>43778.746215202555</v>
      </c>
      <c r="CW15" s="1141">
        <f t="shared" si="27"/>
        <v>74660.494348784239</v>
      </c>
      <c r="CX15" s="1152">
        <f t="shared" si="88"/>
        <v>306290.00830636342</v>
      </c>
      <c r="CY15" s="1152">
        <f t="shared" si="89"/>
        <v>121197.4642625359</v>
      </c>
      <c r="CZ15" s="1152">
        <f t="shared" si="90"/>
        <v>87539.211893558095</v>
      </c>
      <c r="DA15" s="1152">
        <f t="shared" si="91"/>
        <v>66621.370348167417</v>
      </c>
      <c r="DB15" s="1143">
        <f t="shared" si="28"/>
        <v>0.13400763633706048</v>
      </c>
      <c r="DC15" s="1143">
        <f t="shared" si="125"/>
        <v>0.25993445871227111</v>
      </c>
      <c r="DD15" s="1098" t="s">
        <v>232</v>
      </c>
      <c r="DE15" s="1144"/>
      <c r="DF15" s="705"/>
      <c r="DG15" s="765">
        <f t="shared" si="126"/>
        <v>46082</v>
      </c>
      <c r="DH15" s="1116">
        <f t="shared" si="29"/>
        <v>28</v>
      </c>
      <c r="DI15" s="497"/>
      <c r="DJ15" s="1117">
        <f t="shared" si="92"/>
        <v>46147</v>
      </c>
      <c r="DK15" s="1116">
        <f t="shared" si="93"/>
        <v>30</v>
      </c>
      <c r="DL15" s="766" t="s">
        <v>233</v>
      </c>
      <c r="DM15" s="766" t="s">
        <v>234</v>
      </c>
      <c r="DN15" s="767">
        <f t="shared" si="30"/>
        <v>20466.62082238742</v>
      </c>
      <c r="DO15" s="767">
        <f t="shared" si="31"/>
        <v>450265.65809252323</v>
      </c>
      <c r="DP15" s="768">
        <f t="shared" si="32"/>
        <v>0.15008855269750773</v>
      </c>
      <c r="DR15" s="767">
        <f t="shared" si="33"/>
        <v>3821860.0447473223</v>
      </c>
      <c r="DS15" s="767">
        <f>SUM('[6]INTERNAL PRICELIST'!M15)</f>
        <v>2329361</v>
      </c>
      <c r="DT15" s="767">
        <f t="shared" si="94"/>
        <v>1492499.0447473223</v>
      </c>
      <c r="DV15" s="951">
        <f t="shared" si="34"/>
        <v>173720.9111248783</v>
      </c>
      <c r="DW15" s="703"/>
      <c r="DX15" s="772">
        <v>9</v>
      </c>
      <c r="DY15" s="773" t="s">
        <v>274</v>
      </c>
      <c r="DZ15" s="774">
        <v>22</v>
      </c>
      <c r="EA15" s="775">
        <f t="shared" si="35"/>
        <v>0</v>
      </c>
      <c r="ED15" s="755" t="s">
        <v>273</v>
      </c>
      <c r="EE15" s="777" t="b">
        <f t="shared" si="36"/>
        <v>1</v>
      </c>
      <c r="EF15" s="777"/>
      <c r="EG15" s="777"/>
      <c r="EH15" s="1203"/>
      <c r="EP15" s="1230" t="s">
        <v>236</v>
      </c>
      <c r="EQ15" s="1145" t="s">
        <v>236</v>
      </c>
      <c r="ER15" s="753" t="b">
        <f t="shared" si="95"/>
        <v>1</v>
      </c>
      <c r="EU15" s="770">
        <v>2172480</v>
      </c>
      <c r="EV15" s="771" t="s">
        <v>236</v>
      </c>
      <c r="EZ15" s="520"/>
      <c r="FA15" s="778"/>
      <c r="FF15" s="771">
        <f t="shared" si="131"/>
        <v>46</v>
      </c>
      <c r="FG15" s="1122">
        <f t="shared" si="132"/>
        <v>46692</v>
      </c>
      <c r="FH15" s="765">
        <v>45292</v>
      </c>
      <c r="FJ15" s="994">
        <v>0.15</v>
      </c>
      <c r="FK15" s="993">
        <v>12820.110851026688</v>
      </c>
      <c r="FL15" s="993">
        <v>13166.600333486867</v>
      </c>
      <c r="FM15" s="497"/>
      <c r="FN15" s="993">
        <f t="shared" si="38"/>
        <v>4309147.2004526062</v>
      </c>
      <c r="FO15" s="994">
        <f t="shared" si="96"/>
        <v>0.15</v>
      </c>
      <c r="FP15" s="775">
        <f t="shared" si="39"/>
        <v>646372.08006789093</v>
      </c>
      <c r="FQ15" s="993">
        <f t="shared" si="40"/>
        <v>30000</v>
      </c>
      <c r="FR15" s="775">
        <f t="shared" si="97"/>
        <v>616372.08006789093</v>
      </c>
      <c r="FS15" s="497">
        <f t="shared" si="98"/>
        <v>40</v>
      </c>
      <c r="FT15" s="775">
        <f t="shared" si="99"/>
        <v>15409.302001697273</v>
      </c>
      <c r="FU15" s="497"/>
      <c r="FV15" s="993">
        <f t="shared" si="100"/>
        <v>4309147.2004526062</v>
      </c>
      <c r="FW15" s="705">
        <f t="shared" si="101"/>
        <v>430914.72004526062</v>
      </c>
      <c r="FX15" s="705">
        <f t="shared" si="102"/>
        <v>107728.68001131515</v>
      </c>
      <c r="FY15" s="705">
        <v>15000</v>
      </c>
      <c r="FZ15" s="705">
        <f t="shared" si="103"/>
        <v>415914.72004526062</v>
      </c>
      <c r="GA15" s="497">
        <f t="shared" si="104"/>
        <v>46</v>
      </c>
      <c r="GB15" s="775">
        <f t="shared" si="105"/>
        <v>9041.6243488100135</v>
      </c>
      <c r="GC15" s="497"/>
      <c r="GD15" s="497"/>
      <c r="GH15" s="1095">
        <f t="shared" si="0"/>
        <v>4309147.2004526062</v>
      </c>
      <c r="GI15" s="1098">
        <f t="shared" si="1"/>
        <v>0.125</v>
      </c>
      <c r="GJ15" s="1095">
        <f t="shared" si="2"/>
        <v>538643.40005657577</v>
      </c>
      <c r="GK15" s="1095">
        <f t="shared" si="3"/>
        <v>30000</v>
      </c>
      <c r="GL15" s="1095">
        <f t="shared" si="4"/>
        <v>508643.40005657577</v>
      </c>
      <c r="GM15" s="1095">
        <f t="shared" si="5"/>
        <v>29</v>
      </c>
      <c r="GN15" s="1095">
        <f t="shared" si="6"/>
        <v>17539.427588157785</v>
      </c>
      <c r="GO15" s="1098">
        <f t="shared" si="7"/>
        <v>0.875</v>
      </c>
      <c r="GP15" s="1095">
        <f t="shared" si="8"/>
        <v>3770503.8003960303</v>
      </c>
      <c r="GQ15" s="1095">
        <f t="shared" si="9"/>
        <v>29232.675831939636</v>
      </c>
      <c r="GR15" s="1095">
        <f t="shared" si="10"/>
        <v>33890.354111524684</v>
      </c>
      <c r="GS15" s="1095">
        <f t="shared" si="11"/>
        <v>43778.746215202555</v>
      </c>
      <c r="GT15" s="1095">
        <f t="shared" si="12"/>
        <v>74660.494348784239</v>
      </c>
      <c r="GU15" s="497"/>
      <c r="GV15" s="1095">
        <f t="shared" si="106"/>
        <v>4309147.2004526062</v>
      </c>
      <c r="GW15" s="1098">
        <f t="shared" si="107"/>
        <v>0.125</v>
      </c>
      <c r="GX15" s="1095">
        <f t="shared" si="108"/>
        <v>538643.40005657577</v>
      </c>
      <c r="GY15" s="1095">
        <f t="shared" si="109"/>
        <v>30000</v>
      </c>
      <c r="GZ15" s="1095">
        <f t="shared" si="110"/>
        <v>508643.40005657577</v>
      </c>
      <c r="HA15" s="1106">
        <f t="shared" si="111"/>
        <v>48</v>
      </c>
      <c r="HB15" s="770">
        <f t="shared" si="112"/>
        <v>10596.737501178663</v>
      </c>
      <c r="HC15" s="1098">
        <f t="shared" si="113"/>
        <v>0.875</v>
      </c>
      <c r="HD15" s="1102">
        <f t="shared" si="114"/>
        <v>3770503.8003960303</v>
      </c>
      <c r="HE15" s="1101">
        <f t="shared" si="115"/>
        <v>29232.675831939636</v>
      </c>
      <c r="HF15" s="1101">
        <f t="shared" si="116"/>
        <v>33890.354111524684</v>
      </c>
      <c r="HG15" s="1101">
        <f t="shared" si="117"/>
        <v>43778.746215202555</v>
      </c>
      <c r="HH15" s="1101">
        <f t="shared" si="118"/>
        <v>74660.494348784239</v>
      </c>
      <c r="HI15" s="497"/>
      <c r="HJ15" s="1102">
        <f t="shared" si="119"/>
        <v>-6942.6900869791225</v>
      </c>
      <c r="HL15" s="775"/>
      <c r="HN15" s="775"/>
      <c r="HO15" s="775"/>
      <c r="HQ15" s="702"/>
      <c r="HR15" s="1171"/>
      <c r="HS15" s="702"/>
      <c r="HT15" s="1171"/>
      <c r="ID15" s="1279" t="s">
        <v>275</v>
      </c>
      <c r="IE15" s="1280">
        <f t="shared" si="127"/>
        <v>46784</v>
      </c>
      <c r="IF15" s="1281">
        <f t="shared" si="128"/>
        <v>29</v>
      </c>
    </row>
    <row r="16" spans="1:240" ht="14.25" hidden="1" customHeight="1">
      <c r="A16" s="753">
        <f t="shared" si="120"/>
        <v>10</v>
      </c>
      <c r="B16" s="753"/>
      <c r="C16" s="753">
        <f t="shared" si="121"/>
        <v>10</v>
      </c>
      <c r="D16" s="753" t="s">
        <v>227</v>
      </c>
      <c r="E16" s="717" t="str">
        <f t="shared" si="41"/>
        <v>3rd Floor</v>
      </c>
      <c r="F16" s="754"/>
      <c r="G16" s="755" t="s">
        <v>276</v>
      </c>
      <c r="H16" s="756"/>
      <c r="I16" s="755" t="s">
        <v>229</v>
      </c>
      <c r="J16" s="757">
        <v>22</v>
      </c>
      <c r="K16" s="758"/>
      <c r="L16" s="759" t="s">
        <v>277</v>
      </c>
      <c r="M16" s="760" t="s">
        <v>278</v>
      </c>
      <c r="N16" s="761">
        <f t="shared" si="42"/>
        <v>106005.26567735759</v>
      </c>
      <c r="O16" s="762">
        <f t="shared" si="43"/>
        <v>2332115.8449018667</v>
      </c>
      <c r="P16" s="762">
        <f t="shared" si="44"/>
        <v>22400</v>
      </c>
      <c r="Q16" s="762">
        <f t="shared" si="14"/>
        <v>50000</v>
      </c>
      <c r="R16" s="762"/>
      <c r="S16" s="762"/>
      <c r="T16" s="762"/>
      <c r="U16" s="762"/>
      <c r="V16" s="762"/>
      <c r="W16" s="762">
        <f>J16*$W$5</f>
        <v>22000</v>
      </c>
      <c r="X16" s="762"/>
      <c r="Y16" s="762"/>
      <c r="Z16" s="762">
        <f t="shared" si="15"/>
        <v>142461</v>
      </c>
      <c r="AA16" s="762">
        <v>45722.732758620688</v>
      </c>
      <c r="AB16" s="762"/>
      <c r="AC16" s="762"/>
      <c r="AD16" s="763">
        <f>SUM(P16:AC16)</f>
        <v>282583.7327586207</v>
      </c>
      <c r="AE16" s="763">
        <f t="shared" si="16"/>
        <v>2614699.5776604875</v>
      </c>
      <c r="AF16" s="762">
        <f t="shared" si="17"/>
        <v>65367.489441512189</v>
      </c>
      <c r="AG16" s="762">
        <f t="shared" si="46"/>
        <v>2680067.0671019997</v>
      </c>
      <c r="AH16" s="762">
        <f t="shared" si="18"/>
        <v>67001.67667755</v>
      </c>
      <c r="AI16" s="762">
        <f t="shared" si="47"/>
        <v>2747068.7437795498</v>
      </c>
      <c r="AJ16" s="762">
        <f t="shared" si="48"/>
        <v>137353.43718897749</v>
      </c>
      <c r="AK16" s="762">
        <f t="shared" si="122"/>
        <v>2884422.1809685272</v>
      </c>
      <c r="AL16" s="762">
        <f t="shared" si="49"/>
        <v>28844.221809685274</v>
      </c>
      <c r="AM16" s="762">
        <f t="shared" si="50"/>
        <v>27537.409960060559</v>
      </c>
      <c r="AN16" s="762"/>
      <c r="AO16" s="763">
        <f t="shared" si="51"/>
        <v>2940803.8127382728</v>
      </c>
      <c r="AP16" s="763">
        <f t="shared" si="52"/>
        <v>485232.62910181505</v>
      </c>
      <c r="AQ16" s="763">
        <f t="shared" si="53"/>
        <v>3426036.441840088</v>
      </c>
      <c r="AR16" s="1178">
        <f t="shared" si="19"/>
        <v>3000000</v>
      </c>
      <c r="AS16" s="1178">
        <f t="shared" si="123"/>
        <v>19365.292810913092</v>
      </c>
      <c r="AT16" s="1178">
        <f t="shared" si="54"/>
        <v>426036.44184008799</v>
      </c>
      <c r="AU16" s="1178">
        <f t="shared" si="20"/>
        <v>51124.373020810555</v>
      </c>
      <c r="AV16" s="1178">
        <f t="shared" si="55"/>
        <v>477160.81486089854</v>
      </c>
      <c r="AW16" s="1178">
        <f t="shared" si="56"/>
        <v>3477160.8148608985</v>
      </c>
      <c r="AX16" s="762">
        <f t="shared" si="57"/>
        <v>43464.510185761232</v>
      </c>
      <c r="AY16" s="717" t="s">
        <v>231</v>
      </c>
      <c r="AZ16" s="717">
        <f t="shared" si="58"/>
        <v>3520625.3250466599</v>
      </c>
      <c r="BA16" s="717">
        <f t="shared" si="59"/>
        <v>132023.44968924974</v>
      </c>
      <c r="BB16" s="717"/>
      <c r="BC16" s="717">
        <f t="shared" si="21"/>
        <v>33600</v>
      </c>
      <c r="BD16" s="717">
        <f t="shared" si="60"/>
        <v>3686248.7747359099</v>
      </c>
      <c r="BE16" s="717"/>
      <c r="BF16" s="717">
        <f t="shared" si="61"/>
        <v>3686248.7747359099</v>
      </c>
      <c r="BG16" s="1209"/>
      <c r="BH16" s="717">
        <f t="shared" si="62"/>
        <v>3686248.7747359099</v>
      </c>
      <c r="BI16" s="717"/>
      <c r="BJ16" s="717">
        <f t="shared" si="63"/>
        <v>3686248.7747359099</v>
      </c>
      <c r="BK16" s="717"/>
      <c r="BL16" s="717">
        <f t="shared" si="64"/>
        <v>3686248.7747359099</v>
      </c>
      <c r="BM16" s="717"/>
      <c r="BN16" s="717">
        <f t="shared" si="65"/>
        <v>3686248.7747359099</v>
      </c>
      <c r="BO16" s="717"/>
      <c r="BP16" s="717">
        <f t="shared" si="22"/>
        <v>3686248.7747359099</v>
      </c>
      <c r="BQ16" s="717"/>
      <c r="BR16" s="717">
        <f t="shared" si="23"/>
        <v>3686248.7747359099</v>
      </c>
      <c r="BS16" s="717"/>
      <c r="BT16" s="717">
        <f t="shared" si="66"/>
        <v>3686248.7747359099</v>
      </c>
      <c r="BU16" s="717"/>
      <c r="BV16" s="1235">
        <f t="shared" si="24"/>
        <v>51400</v>
      </c>
      <c r="BW16" s="717">
        <f t="shared" si="67"/>
        <v>3737648.7747359099</v>
      </c>
      <c r="BX16" s="717"/>
      <c r="BY16" s="717">
        <f t="shared" si="68"/>
        <v>3737648.7747359099</v>
      </c>
      <c r="BZ16" s="1194">
        <f t="shared" si="69"/>
        <v>3737648.7747359099</v>
      </c>
      <c r="CA16" s="1194">
        <f t="shared" si="70"/>
        <v>3033648.7747359099</v>
      </c>
      <c r="CB16" s="1194">
        <v>32000</v>
      </c>
      <c r="CC16" s="1194">
        <f t="shared" si="71"/>
        <v>704000</v>
      </c>
      <c r="CD16" s="1194">
        <f t="shared" si="72"/>
        <v>84480</v>
      </c>
      <c r="CE16" s="1194">
        <f t="shared" si="73"/>
        <v>788480</v>
      </c>
      <c r="CF16" s="1200">
        <f t="shared" si="74"/>
        <v>3822128.7747359099</v>
      </c>
      <c r="CG16" s="757">
        <f t="shared" si="75"/>
        <v>3822128.7747359099</v>
      </c>
      <c r="CH16" s="758">
        <f t="shared" si="76"/>
        <v>0</v>
      </c>
      <c r="CI16" s="757">
        <f t="shared" si="25"/>
        <v>391768.19941043074</v>
      </c>
      <c r="CJ16" s="757">
        <f t="shared" si="26"/>
        <v>95553.219368397753</v>
      </c>
      <c r="CK16" s="759">
        <f t="shared" si="77"/>
        <v>4309450.1935147392</v>
      </c>
      <c r="CL16" s="764">
        <f t="shared" si="78"/>
        <v>0.125</v>
      </c>
      <c r="CM16" s="757">
        <f t="shared" si="79"/>
        <v>538681.2741893424</v>
      </c>
      <c r="CN16" s="757">
        <f t="shared" si="124"/>
        <v>30000</v>
      </c>
      <c r="CO16" s="757">
        <f t="shared" si="80"/>
        <v>508681.2741893424</v>
      </c>
      <c r="CP16" s="755">
        <f t="shared" si="81"/>
        <v>29</v>
      </c>
      <c r="CQ16" s="757">
        <f t="shared" si="129"/>
        <v>17540.733592735945</v>
      </c>
      <c r="CR16" s="764">
        <f t="shared" si="83"/>
        <v>0.875</v>
      </c>
      <c r="CS16" s="757">
        <f t="shared" si="84"/>
        <v>3770768.9193253969</v>
      </c>
      <c r="CT16" s="1101">
        <f t="shared" si="85"/>
        <v>29234.731296177142</v>
      </c>
      <c r="CU16" s="1101">
        <f t="shared" si="86"/>
        <v>33892.737075413213</v>
      </c>
      <c r="CV16" s="1101">
        <f t="shared" si="87"/>
        <v>43781.824470772634</v>
      </c>
      <c r="CW16" s="1141">
        <f t="shared" si="27"/>
        <v>74665.744021341437</v>
      </c>
      <c r="CX16" s="1152">
        <f t="shared" si="88"/>
        <v>306311.54475968023</v>
      </c>
      <c r="CY16" s="1152">
        <f t="shared" si="89"/>
        <v>121205.98613220325</v>
      </c>
      <c r="CZ16" s="1152">
        <f t="shared" si="90"/>
        <v>87545.367119321934</v>
      </c>
      <c r="DA16" s="1152">
        <f t="shared" si="91"/>
        <v>66626.05475834565</v>
      </c>
      <c r="DB16" s="1143">
        <f t="shared" si="28"/>
        <v>0.14201214728002934</v>
      </c>
      <c r="DC16" s="1143">
        <f t="shared" si="125"/>
        <v>0.25991143291419422</v>
      </c>
      <c r="DD16" s="1098" t="s">
        <v>232</v>
      </c>
      <c r="DE16" s="1144"/>
      <c r="DF16" s="705"/>
      <c r="DG16" s="765">
        <f t="shared" si="126"/>
        <v>46082</v>
      </c>
      <c r="DH16" s="1116">
        <f t="shared" si="29"/>
        <v>28</v>
      </c>
      <c r="DI16" s="497"/>
      <c r="DJ16" s="1117">
        <f t="shared" si="92"/>
        <v>46147</v>
      </c>
      <c r="DK16" s="1116">
        <f t="shared" si="93"/>
        <v>30</v>
      </c>
      <c r="DL16" s="766" t="s">
        <v>233</v>
      </c>
      <c r="DM16" s="766" t="s">
        <v>234</v>
      </c>
      <c r="DN16" s="767">
        <f t="shared" si="30"/>
        <v>21689.12794822266</v>
      </c>
      <c r="DO16" s="767">
        <f t="shared" si="31"/>
        <v>477160.81486089854</v>
      </c>
      <c r="DP16" s="768">
        <f t="shared" si="32"/>
        <v>0.15905360495363285</v>
      </c>
      <c r="DR16" s="767">
        <f t="shared" si="33"/>
        <v>3822128.7747359099</v>
      </c>
      <c r="DS16" s="767">
        <f>SUM('[6]INTERNAL PRICELIST'!M16)</f>
        <v>2329361</v>
      </c>
      <c r="DT16" s="767">
        <f t="shared" si="94"/>
        <v>1492767.7747359099</v>
      </c>
      <c r="DV16" s="951">
        <f t="shared" si="34"/>
        <v>173733.12612435955</v>
      </c>
      <c r="DW16" s="703"/>
      <c r="DX16" s="772">
        <v>10</v>
      </c>
      <c r="DY16" s="773" t="s">
        <v>279</v>
      </c>
      <c r="DZ16" s="774">
        <v>22</v>
      </c>
      <c r="EA16" s="775">
        <f t="shared" si="35"/>
        <v>0</v>
      </c>
      <c r="ED16" s="755" t="s">
        <v>276</v>
      </c>
      <c r="EE16" s="777" t="b">
        <f t="shared" si="36"/>
        <v>1</v>
      </c>
      <c r="EF16" s="777"/>
      <c r="EG16" s="777"/>
      <c r="EH16" s="1203"/>
      <c r="EJ16" s="1132" t="s">
        <v>280</v>
      </c>
      <c r="EP16" s="1230" t="s">
        <v>236</v>
      </c>
      <c r="EQ16" s="1145" t="s">
        <v>236</v>
      </c>
      <c r="ER16" s="753" t="b">
        <f t="shared" si="95"/>
        <v>1</v>
      </c>
      <c r="EU16" s="770">
        <v>2329361</v>
      </c>
      <c r="EV16" s="771" t="s">
        <v>236</v>
      </c>
      <c r="EZ16" s="520"/>
      <c r="FA16" s="778"/>
      <c r="FF16" s="771">
        <f t="shared" si="131"/>
        <v>45</v>
      </c>
      <c r="FG16" s="1122">
        <f t="shared" si="132"/>
        <v>46692</v>
      </c>
      <c r="FH16" s="765">
        <v>45323</v>
      </c>
      <c r="FJ16" s="994">
        <v>0.15</v>
      </c>
      <c r="FK16" s="993">
        <v>12942.297377862546</v>
      </c>
      <c r="FL16" s="993">
        <v>13292.089198885857</v>
      </c>
      <c r="FM16" s="497"/>
      <c r="FN16" s="993">
        <f t="shared" si="38"/>
        <v>4309450.1935147392</v>
      </c>
      <c r="FO16" s="994">
        <f t="shared" si="96"/>
        <v>0.15</v>
      </c>
      <c r="FP16" s="775">
        <f t="shared" si="39"/>
        <v>646417.5290272109</v>
      </c>
      <c r="FQ16" s="993">
        <f t="shared" si="40"/>
        <v>30000</v>
      </c>
      <c r="FR16" s="775">
        <f t="shared" si="97"/>
        <v>616417.5290272109</v>
      </c>
      <c r="FS16" s="497">
        <f t="shared" si="98"/>
        <v>40</v>
      </c>
      <c r="FT16" s="775">
        <f t="shared" si="99"/>
        <v>15410.438225680273</v>
      </c>
      <c r="FU16" s="497"/>
      <c r="FV16" s="993">
        <f t="shared" si="100"/>
        <v>4309450.1935147392</v>
      </c>
      <c r="FW16" s="705">
        <f t="shared" si="101"/>
        <v>430945.01935147395</v>
      </c>
      <c r="FX16" s="705">
        <f t="shared" si="102"/>
        <v>107736.25483786849</v>
      </c>
      <c r="FY16" s="705">
        <v>15000</v>
      </c>
      <c r="FZ16" s="705">
        <f t="shared" si="103"/>
        <v>415945.01935147395</v>
      </c>
      <c r="GA16" s="497">
        <f t="shared" si="104"/>
        <v>46</v>
      </c>
      <c r="GB16" s="775">
        <f t="shared" si="105"/>
        <v>9042.2830293798688</v>
      </c>
      <c r="GC16" s="497"/>
      <c r="GD16" s="497"/>
      <c r="GH16" s="1095">
        <f t="shared" si="0"/>
        <v>4309450.1935147392</v>
      </c>
      <c r="GI16" s="1098">
        <f t="shared" si="1"/>
        <v>0.125</v>
      </c>
      <c r="GJ16" s="1095">
        <f t="shared" si="2"/>
        <v>538681.2741893424</v>
      </c>
      <c r="GK16" s="1095">
        <f t="shared" si="3"/>
        <v>30000</v>
      </c>
      <c r="GL16" s="1095">
        <f t="shared" si="4"/>
        <v>508681.2741893424</v>
      </c>
      <c r="GM16" s="1095">
        <f t="shared" si="5"/>
        <v>29</v>
      </c>
      <c r="GN16" s="1095">
        <f t="shared" si="6"/>
        <v>17540.733592735945</v>
      </c>
      <c r="GO16" s="1098">
        <f t="shared" si="7"/>
        <v>0.875</v>
      </c>
      <c r="GP16" s="1095">
        <f t="shared" si="8"/>
        <v>3770768.9193253969</v>
      </c>
      <c r="GQ16" s="1095">
        <f t="shared" si="9"/>
        <v>29234.731296177142</v>
      </c>
      <c r="GR16" s="1095">
        <f t="shared" si="10"/>
        <v>33892.737075413213</v>
      </c>
      <c r="GS16" s="1095">
        <f t="shared" si="11"/>
        <v>43781.824470772634</v>
      </c>
      <c r="GT16" s="1095">
        <f t="shared" si="12"/>
        <v>74665.744021341437</v>
      </c>
      <c r="GU16" s="497"/>
      <c r="GV16" s="1095">
        <f t="shared" si="106"/>
        <v>4309450.1935147392</v>
      </c>
      <c r="GW16" s="1098">
        <f t="shared" si="107"/>
        <v>0.125</v>
      </c>
      <c r="GX16" s="1095">
        <f t="shared" si="108"/>
        <v>538681.2741893424</v>
      </c>
      <c r="GY16" s="1095">
        <f t="shared" si="109"/>
        <v>30000</v>
      </c>
      <c r="GZ16" s="1095">
        <f t="shared" si="110"/>
        <v>508681.2741893424</v>
      </c>
      <c r="HA16" s="1106">
        <f t="shared" si="111"/>
        <v>48</v>
      </c>
      <c r="HB16" s="770">
        <f t="shared" si="112"/>
        <v>10597.526545611299</v>
      </c>
      <c r="HC16" s="1098">
        <f t="shared" si="113"/>
        <v>0.875</v>
      </c>
      <c r="HD16" s="1102">
        <f t="shared" si="114"/>
        <v>3770768.9193253969</v>
      </c>
      <c r="HE16" s="1101">
        <f t="shared" si="115"/>
        <v>29234.731296177142</v>
      </c>
      <c r="HF16" s="1101">
        <f t="shared" si="116"/>
        <v>33892.737075413213</v>
      </c>
      <c r="HG16" s="1101">
        <f t="shared" si="117"/>
        <v>43781.824470772634</v>
      </c>
      <c r="HH16" s="1101">
        <f t="shared" si="118"/>
        <v>74665.744021341437</v>
      </c>
      <c r="HI16" s="497"/>
      <c r="HJ16" s="1102">
        <f t="shared" si="119"/>
        <v>-6943.2070471246461</v>
      </c>
      <c r="HL16" s="775"/>
      <c r="HN16" s="775"/>
      <c r="HO16" s="775"/>
      <c r="HQ16" s="702"/>
      <c r="HR16" s="1171"/>
      <c r="HS16" s="702"/>
      <c r="HT16" s="1171"/>
      <c r="ID16" s="1279" t="s">
        <v>281</v>
      </c>
      <c r="IE16" s="1280">
        <f t="shared" si="127"/>
        <v>46784</v>
      </c>
      <c r="IF16" s="1281">
        <f t="shared" si="128"/>
        <v>29</v>
      </c>
    </row>
    <row r="17" spans="1:240" ht="14.25" customHeight="1">
      <c r="A17" s="753">
        <f t="shared" si="120"/>
        <v>11</v>
      </c>
      <c r="B17" s="753"/>
      <c r="C17" s="753">
        <f t="shared" si="121"/>
        <v>11</v>
      </c>
      <c r="D17" s="753" t="s">
        <v>227</v>
      </c>
      <c r="E17" s="717" t="str">
        <f t="shared" si="41"/>
        <v>3rd Floor</v>
      </c>
      <c r="F17" s="754"/>
      <c r="G17" s="755" t="s">
        <v>282</v>
      </c>
      <c r="H17" s="756"/>
      <c r="I17" s="755" t="s">
        <v>229</v>
      </c>
      <c r="J17" s="757">
        <v>22</v>
      </c>
      <c r="K17" s="758"/>
      <c r="L17" s="759" t="s">
        <v>277</v>
      </c>
      <c r="M17" s="760" t="s">
        <v>68</v>
      </c>
      <c r="N17" s="761">
        <f t="shared" si="42"/>
        <v>106005.26567735759</v>
      </c>
      <c r="O17" s="762">
        <f t="shared" si="43"/>
        <v>2332115.8449018667</v>
      </c>
      <c r="P17" s="762">
        <f t="shared" si="44"/>
        <v>22400</v>
      </c>
      <c r="Q17" s="762">
        <f t="shared" si="14"/>
        <v>50000</v>
      </c>
      <c r="R17" s="762"/>
      <c r="S17" s="762"/>
      <c r="T17" s="762"/>
      <c r="U17" s="762"/>
      <c r="V17" s="762"/>
      <c r="W17" s="762"/>
      <c r="X17" s="762"/>
      <c r="Y17" s="762"/>
      <c r="Z17" s="762">
        <f t="shared" si="15"/>
        <v>142461</v>
      </c>
      <c r="AA17" s="762">
        <v>49222.732758620703</v>
      </c>
      <c r="AB17" s="762"/>
      <c r="AC17" s="762"/>
      <c r="AD17" s="763">
        <f t="shared" si="45"/>
        <v>264083.7327586207</v>
      </c>
      <c r="AE17" s="763">
        <f t="shared" si="16"/>
        <v>2596199.5776604875</v>
      </c>
      <c r="AF17" s="762">
        <f t="shared" si="17"/>
        <v>64904.989441512189</v>
      </c>
      <c r="AG17" s="762">
        <f t="shared" si="46"/>
        <v>2661104.5671019997</v>
      </c>
      <c r="AH17" s="762">
        <f t="shared" si="18"/>
        <v>66527.61417755</v>
      </c>
      <c r="AI17" s="762">
        <f t="shared" si="47"/>
        <v>2727632.1812795498</v>
      </c>
      <c r="AJ17" s="762">
        <f t="shared" si="48"/>
        <v>136381.60906397749</v>
      </c>
      <c r="AK17" s="762">
        <f t="shared" si="122"/>
        <v>2864013.7903435272</v>
      </c>
      <c r="AL17" s="762">
        <f>AK17*AL$5+29772.4420833333</f>
        <v>58412.579986768571</v>
      </c>
      <c r="AM17" s="762">
        <f t="shared" si="50"/>
        <v>27537.409960060559</v>
      </c>
      <c r="AN17" s="762"/>
      <c r="AO17" s="763">
        <f t="shared" si="51"/>
        <v>2949963.7802903564</v>
      </c>
      <c r="AP17" s="763">
        <f t="shared" si="52"/>
        <v>486744.02374790882</v>
      </c>
      <c r="AQ17" s="763">
        <f t="shared" si="53"/>
        <v>3436707.8040382653</v>
      </c>
      <c r="AR17" s="1178">
        <f t="shared" si="19"/>
        <v>3000000</v>
      </c>
      <c r="AS17" s="1178">
        <f t="shared" si="123"/>
        <v>19850.354729012059</v>
      </c>
      <c r="AT17" s="1178">
        <f t="shared" si="54"/>
        <v>436707.80403826525</v>
      </c>
      <c r="AU17" s="1178">
        <f t="shared" si="20"/>
        <v>52404.936484591832</v>
      </c>
      <c r="AV17" s="1178">
        <f t="shared" si="55"/>
        <v>489112.74052285706</v>
      </c>
      <c r="AW17" s="1178">
        <f t="shared" si="56"/>
        <v>3489112.7405228573</v>
      </c>
      <c r="AX17" s="762">
        <f t="shared" si="57"/>
        <v>43613.90925653572</v>
      </c>
      <c r="AY17" s="717">
        <v>7575.3956645161297</v>
      </c>
      <c r="AZ17" s="717">
        <f t="shared" si="58"/>
        <v>3540302.0454439088</v>
      </c>
      <c r="BA17" s="717">
        <f t="shared" si="59"/>
        <v>132761.32670414657</v>
      </c>
      <c r="BB17" s="717"/>
      <c r="BC17" s="717">
        <f t="shared" si="21"/>
        <v>33600</v>
      </c>
      <c r="BD17" s="717">
        <f t="shared" si="60"/>
        <v>3706663.3721480556</v>
      </c>
      <c r="BE17" s="717">
        <v>18367.830916129038</v>
      </c>
      <c r="BF17" s="717">
        <f t="shared" si="61"/>
        <v>3725031.2030641846</v>
      </c>
      <c r="BG17" s="1209"/>
      <c r="BH17" s="717">
        <f t="shared" si="62"/>
        <v>3725031.2030641846</v>
      </c>
      <c r="BI17" s="717">
        <v>718.43902439024396</v>
      </c>
      <c r="BJ17" s="717">
        <f t="shared" si="63"/>
        <v>3725749.6420885748</v>
      </c>
      <c r="BK17" s="717"/>
      <c r="BL17" s="717">
        <f t="shared" si="64"/>
        <v>3725749.6420885748</v>
      </c>
      <c r="BM17" s="717">
        <f>$BM$5/41</f>
        <v>1038.0487804878051</v>
      </c>
      <c r="BN17" s="717">
        <f t="shared" si="65"/>
        <v>3726787.6908690627</v>
      </c>
      <c r="BO17" s="717">
        <f>$BO$5/51</f>
        <v>7289.0781490196077</v>
      </c>
      <c r="BP17" s="717">
        <f>BN17+BO17</f>
        <v>3734076.7690180824</v>
      </c>
      <c r="BQ17" s="717">
        <f>$BQ$5/56</f>
        <v>4468.4242000000004</v>
      </c>
      <c r="BR17" s="717">
        <f>BP17+BQ17</f>
        <v>3738545.1932180822</v>
      </c>
      <c r="BS17" s="1234">
        <f>$BS$5/64</f>
        <v>2651.4786794501206</v>
      </c>
      <c r="BT17" s="1235">
        <f t="shared" si="66"/>
        <v>3741196.6718975324</v>
      </c>
      <c r="BU17" s="1235">
        <f>$BU$5/65</f>
        <v>211.07692307692309</v>
      </c>
      <c r="BV17" s="1235">
        <f>$BV$2+$BV$3-BC17</f>
        <v>51400</v>
      </c>
      <c r="BW17" s="717">
        <f t="shared" si="67"/>
        <v>3792807.7488206094</v>
      </c>
      <c r="BX17" s="1234">
        <f>BX5/68</f>
        <v>27651.078536278128</v>
      </c>
      <c r="BY17" s="717">
        <f t="shared" si="68"/>
        <v>3820458.8273568875</v>
      </c>
      <c r="BZ17" s="1194">
        <f t="shared" si="69"/>
        <v>3820458.8273568875</v>
      </c>
      <c r="CA17" s="1194">
        <f>BZ17-CC17</f>
        <v>2940458.8273568875</v>
      </c>
      <c r="CB17" s="1194">
        <f>$CB$5</f>
        <v>40000</v>
      </c>
      <c r="CC17" s="1194">
        <f t="shared" si="71"/>
        <v>880000</v>
      </c>
      <c r="CD17" s="1194">
        <f t="shared" si="72"/>
        <v>105600</v>
      </c>
      <c r="CE17" s="1194">
        <f>SUM(CC17:CD17)</f>
        <v>985600</v>
      </c>
      <c r="CF17" s="1200">
        <f>BZ17+CD17</f>
        <v>3926058.8273568875</v>
      </c>
      <c r="CG17" s="757">
        <f t="shared" si="75"/>
        <v>3926058.8273568875</v>
      </c>
      <c r="CH17" s="758">
        <f t="shared" si="76"/>
        <v>0</v>
      </c>
      <c r="CI17" s="757">
        <f t="shared" si="25"/>
        <v>402421.02980408096</v>
      </c>
      <c r="CJ17" s="757">
        <f t="shared" si="26"/>
        <v>98151.470683922191</v>
      </c>
      <c r="CK17" s="759">
        <f t="shared" si="77"/>
        <v>4426631.3278448908</v>
      </c>
      <c r="CL17" s="764">
        <f t="shared" si="78"/>
        <v>0.125</v>
      </c>
      <c r="CM17" s="757">
        <f t="shared" si="79"/>
        <v>553328.91598061135</v>
      </c>
      <c r="CN17" s="757">
        <f t="shared" si="124"/>
        <v>30000</v>
      </c>
      <c r="CO17" s="757">
        <f t="shared" si="80"/>
        <v>523328.91598061135</v>
      </c>
      <c r="CP17" s="755">
        <f t="shared" si="81"/>
        <v>29</v>
      </c>
      <c r="CQ17" s="757">
        <f t="shared" si="129"/>
        <v>18045.824688986599</v>
      </c>
      <c r="CR17" s="764">
        <f t="shared" si="83"/>
        <v>0.875</v>
      </c>
      <c r="CS17" s="757">
        <f t="shared" si="84"/>
        <v>3873302.4118642793</v>
      </c>
      <c r="CT17" s="1101">
        <f t="shared" si="85"/>
        <v>30029.672372483958</v>
      </c>
      <c r="CU17" s="1101">
        <f t="shared" si="86"/>
        <v>34814.337093445058</v>
      </c>
      <c r="CV17" s="1101">
        <f t="shared" si="87"/>
        <v>44972.325259539015</v>
      </c>
      <c r="CW17" s="1141">
        <f t="shared" si="27"/>
        <v>76696.030064139311</v>
      </c>
      <c r="CX17" s="1152">
        <f t="shared" si="88"/>
        <v>314640.66626278439</v>
      </c>
      <c r="CY17" s="1152">
        <f t="shared" si="89"/>
        <v>124501.77893750131</v>
      </c>
      <c r="CZ17" s="1152">
        <f t="shared" si="90"/>
        <v>89925.871583633838</v>
      </c>
      <c r="DA17" s="1152">
        <f t="shared" si="91"/>
        <v>68437.728248452317</v>
      </c>
      <c r="DB17" s="1143">
        <f t="shared" si="28"/>
        <v>0.14556926801275508</v>
      </c>
      <c r="DC17" s="1143">
        <f t="shared" si="125"/>
        <v>0.33518578489532319</v>
      </c>
      <c r="DD17" s="1098" t="s">
        <v>232</v>
      </c>
      <c r="DE17" s="1144"/>
      <c r="DF17" s="705"/>
      <c r="DG17" s="765">
        <f t="shared" si="126"/>
        <v>46082</v>
      </c>
      <c r="DH17" s="1116">
        <f t="shared" si="29"/>
        <v>28</v>
      </c>
      <c r="DI17" s="497"/>
      <c r="DJ17" s="1117">
        <f t="shared" si="92"/>
        <v>46147</v>
      </c>
      <c r="DK17" s="1116">
        <f t="shared" si="93"/>
        <v>30</v>
      </c>
      <c r="DL17" s="766" t="s">
        <v>233</v>
      </c>
      <c r="DM17" s="766" t="s">
        <v>234</v>
      </c>
      <c r="DN17" s="767">
        <f t="shared" si="30"/>
        <v>22232.397296493502</v>
      </c>
      <c r="DO17" s="767">
        <f t="shared" si="31"/>
        <v>489112.74052285706</v>
      </c>
      <c r="DP17" s="768">
        <f t="shared" si="32"/>
        <v>0.16303758017428568</v>
      </c>
      <c r="DR17" s="767">
        <f t="shared" si="33"/>
        <v>3926058.8273568875</v>
      </c>
      <c r="DS17" s="767">
        <f>SUM('[6]INTERNAL PRICELIST'!M17)</f>
        <v>2329361</v>
      </c>
      <c r="DT17" s="767">
        <f t="shared" si="94"/>
        <v>1596697.8273568875</v>
      </c>
      <c r="DV17" s="951">
        <f t="shared" si="34"/>
        <v>178457.21942531306</v>
      </c>
      <c r="DW17" s="703"/>
      <c r="DX17" s="772">
        <v>11</v>
      </c>
      <c r="DY17" s="773" t="s">
        <v>283</v>
      </c>
      <c r="DZ17" s="774">
        <v>22</v>
      </c>
      <c r="EA17" s="775">
        <f t="shared" si="35"/>
        <v>0</v>
      </c>
      <c r="ED17" s="755" t="s">
        <v>282</v>
      </c>
      <c r="EE17" s="777" t="b">
        <f t="shared" si="36"/>
        <v>1</v>
      </c>
      <c r="EF17" s="777"/>
      <c r="EG17" s="777"/>
      <c r="EH17" s="1203"/>
      <c r="EJ17" s="1224"/>
      <c r="EK17" s="1225"/>
      <c r="EP17" s="1230" t="s">
        <v>258</v>
      </c>
      <c r="EQ17" s="1145" t="s">
        <v>258</v>
      </c>
      <c r="ER17" s="753" t="b">
        <f t="shared" si="95"/>
        <v>1</v>
      </c>
      <c r="EU17" s="770">
        <v>2172480</v>
      </c>
      <c r="EV17" s="771" t="s">
        <v>236</v>
      </c>
      <c r="EZ17" s="520"/>
      <c r="FA17" s="778"/>
      <c r="FF17" s="771">
        <f t="shared" si="131"/>
        <v>44</v>
      </c>
      <c r="FG17" s="1122">
        <f t="shared" si="132"/>
        <v>46692</v>
      </c>
      <c r="FH17" s="765">
        <v>45352</v>
      </c>
      <c r="FJ17" s="994">
        <v>0.15</v>
      </c>
      <c r="FK17" s="993">
        <v>12820.110851026688</v>
      </c>
      <c r="FL17" s="993">
        <v>13166.600333486867</v>
      </c>
      <c r="FM17" s="497"/>
      <c r="FN17" s="993">
        <f t="shared" si="38"/>
        <v>4426631.3278448908</v>
      </c>
      <c r="FO17" s="994">
        <f t="shared" si="96"/>
        <v>0.15</v>
      </c>
      <c r="FP17" s="775">
        <f t="shared" si="39"/>
        <v>663994.69917673361</v>
      </c>
      <c r="FQ17" s="993">
        <f t="shared" si="40"/>
        <v>30000</v>
      </c>
      <c r="FR17" s="775">
        <f t="shared" si="97"/>
        <v>633994.69917673361</v>
      </c>
      <c r="FS17" s="497">
        <f t="shared" si="98"/>
        <v>40</v>
      </c>
      <c r="FT17" s="775">
        <f t="shared" si="99"/>
        <v>15849.867479418341</v>
      </c>
      <c r="FU17" s="497"/>
      <c r="FV17" s="993">
        <f t="shared" si="100"/>
        <v>4426631.3278448908</v>
      </c>
      <c r="FW17" s="705">
        <f t="shared" si="101"/>
        <v>442663.13278448908</v>
      </c>
      <c r="FX17" s="705">
        <f t="shared" si="102"/>
        <v>110665.78319612227</v>
      </c>
      <c r="FY17" s="705">
        <v>15000</v>
      </c>
      <c r="FZ17" s="705">
        <f t="shared" si="103"/>
        <v>427663.13278448908</v>
      </c>
      <c r="GA17" s="497">
        <f t="shared" si="104"/>
        <v>46</v>
      </c>
      <c r="GB17" s="775">
        <f t="shared" si="105"/>
        <v>9297.024625749762</v>
      </c>
      <c r="GC17" s="497"/>
      <c r="GD17" s="497"/>
      <c r="GH17" s="1095">
        <f t="shared" si="0"/>
        <v>4426631.3278448908</v>
      </c>
      <c r="GI17" s="1098">
        <f t="shared" si="1"/>
        <v>0.125</v>
      </c>
      <c r="GJ17" s="1095">
        <f t="shared" si="2"/>
        <v>553328.91598061135</v>
      </c>
      <c r="GK17" s="1095">
        <f t="shared" si="3"/>
        <v>30000</v>
      </c>
      <c r="GL17" s="1095">
        <f t="shared" si="4"/>
        <v>523328.91598061135</v>
      </c>
      <c r="GM17" s="1095">
        <f t="shared" si="5"/>
        <v>29</v>
      </c>
      <c r="GN17" s="1095">
        <f t="shared" si="6"/>
        <v>18045.824688986599</v>
      </c>
      <c r="GO17" s="1098">
        <f t="shared" si="7"/>
        <v>0.875</v>
      </c>
      <c r="GP17" s="1095">
        <f t="shared" si="8"/>
        <v>3873302.4118642793</v>
      </c>
      <c r="GQ17" s="1095">
        <f t="shared" si="9"/>
        <v>30029.672372483958</v>
      </c>
      <c r="GR17" s="1095">
        <f t="shared" si="10"/>
        <v>34814.337093445058</v>
      </c>
      <c r="GS17" s="1095">
        <f t="shared" si="11"/>
        <v>44972.325259539015</v>
      </c>
      <c r="GT17" s="1095">
        <f t="shared" si="12"/>
        <v>76696.030064139311</v>
      </c>
      <c r="GU17" s="497"/>
      <c r="GV17" s="1095">
        <f t="shared" si="106"/>
        <v>4426631.3278448908</v>
      </c>
      <c r="GW17" s="1098">
        <f t="shared" si="107"/>
        <v>0.125</v>
      </c>
      <c r="GX17" s="1095">
        <f t="shared" si="108"/>
        <v>553328.91598061135</v>
      </c>
      <c r="GY17" s="1095">
        <f t="shared" si="109"/>
        <v>30000</v>
      </c>
      <c r="GZ17" s="1095">
        <f t="shared" si="110"/>
        <v>523328.91598061135</v>
      </c>
      <c r="HA17" s="1106">
        <f t="shared" si="111"/>
        <v>48</v>
      </c>
      <c r="HB17" s="770">
        <f t="shared" si="112"/>
        <v>10902.68574959607</v>
      </c>
      <c r="HC17" s="1098">
        <f t="shared" si="113"/>
        <v>0.875</v>
      </c>
      <c r="HD17" s="1102">
        <f t="shared" si="114"/>
        <v>3873302.4118642793</v>
      </c>
      <c r="HE17" s="1101">
        <f t="shared" si="115"/>
        <v>30029.672372483958</v>
      </c>
      <c r="HF17" s="1101">
        <f t="shared" si="116"/>
        <v>34814.337093445058</v>
      </c>
      <c r="HG17" s="1101">
        <f t="shared" si="117"/>
        <v>44972.325259539015</v>
      </c>
      <c r="HH17" s="1101">
        <f t="shared" si="118"/>
        <v>76696.030064139311</v>
      </c>
      <c r="HI17" s="497"/>
      <c r="HJ17" s="1102">
        <f t="shared" si="119"/>
        <v>-7143.1389393905283</v>
      </c>
      <c r="HL17" s="775"/>
      <c r="HN17" s="775"/>
      <c r="HO17" s="775"/>
      <c r="HQ17" s="702"/>
      <c r="HR17" s="1171"/>
      <c r="HS17" s="702"/>
      <c r="HT17" s="1171"/>
      <c r="ID17" s="1279" t="s">
        <v>284</v>
      </c>
      <c r="IE17" s="1280">
        <f t="shared" si="127"/>
        <v>46784</v>
      </c>
      <c r="IF17" s="1281">
        <f t="shared" si="128"/>
        <v>29</v>
      </c>
    </row>
    <row r="18" spans="1:240" ht="14.25" hidden="1" customHeight="1">
      <c r="A18" s="753">
        <f t="shared" si="120"/>
        <v>12</v>
      </c>
      <c r="B18" s="753"/>
      <c r="C18" s="753">
        <f t="shared" si="121"/>
        <v>12</v>
      </c>
      <c r="D18" s="753" t="s">
        <v>227</v>
      </c>
      <c r="E18" s="717" t="str">
        <f t="shared" si="41"/>
        <v>3rd Floor</v>
      </c>
      <c r="F18" s="754"/>
      <c r="G18" s="755" t="s">
        <v>285</v>
      </c>
      <c r="H18" s="756"/>
      <c r="I18" s="755" t="s">
        <v>229</v>
      </c>
      <c r="J18" s="757">
        <v>22</v>
      </c>
      <c r="K18" s="758"/>
      <c r="L18" s="759" t="s">
        <v>277</v>
      </c>
      <c r="M18" s="760" t="s">
        <v>68</v>
      </c>
      <c r="N18" s="761">
        <f t="shared" si="42"/>
        <v>106005.26567735759</v>
      </c>
      <c r="O18" s="762">
        <f t="shared" si="43"/>
        <v>2332115.8449018667</v>
      </c>
      <c r="P18" s="762">
        <f t="shared" si="44"/>
        <v>22400</v>
      </c>
      <c r="Q18" s="762">
        <f t="shared" si="14"/>
        <v>50000</v>
      </c>
      <c r="R18" s="762"/>
      <c r="S18" s="762"/>
      <c r="T18" s="762"/>
      <c r="U18" s="762"/>
      <c r="V18" s="762"/>
      <c r="W18" s="762"/>
      <c r="X18" s="762"/>
      <c r="Y18" s="762"/>
      <c r="Z18" s="762">
        <f t="shared" si="15"/>
        <v>142461</v>
      </c>
      <c r="AA18" s="762">
        <v>45722.732758620688</v>
      </c>
      <c r="AB18" s="762"/>
      <c r="AC18" s="762"/>
      <c r="AD18" s="763">
        <f t="shared" si="45"/>
        <v>260583.7327586207</v>
      </c>
      <c r="AE18" s="763">
        <f t="shared" si="16"/>
        <v>2592699.5776604875</v>
      </c>
      <c r="AF18" s="762">
        <f t="shared" si="17"/>
        <v>64817.489441512189</v>
      </c>
      <c r="AG18" s="762">
        <f t="shared" si="46"/>
        <v>2657517.0671019997</v>
      </c>
      <c r="AH18" s="762">
        <f t="shared" si="18"/>
        <v>66437.92667755</v>
      </c>
      <c r="AI18" s="762">
        <f t="shared" si="47"/>
        <v>2723954.9937795498</v>
      </c>
      <c r="AJ18" s="762">
        <f t="shared" si="48"/>
        <v>136197.74968897749</v>
      </c>
      <c r="AK18" s="762">
        <f t="shared" si="122"/>
        <v>2860152.7434685272</v>
      </c>
      <c r="AL18" s="762">
        <f t="shared" si="49"/>
        <v>28601.527434685271</v>
      </c>
      <c r="AM18" s="762">
        <f t="shared" si="50"/>
        <v>27537.409960060559</v>
      </c>
      <c r="AN18" s="762"/>
      <c r="AO18" s="763">
        <f t="shared" si="51"/>
        <v>2916291.6808632729</v>
      </c>
      <c r="AP18" s="763">
        <f t="shared" si="52"/>
        <v>481188.12734244007</v>
      </c>
      <c r="AQ18" s="763">
        <f t="shared" si="53"/>
        <v>3397479.8082057131</v>
      </c>
      <c r="AR18" s="1178">
        <f t="shared" si="19"/>
        <v>3000000</v>
      </c>
      <c r="AS18" s="1178">
        <f t="shared" si="123"/>
        <v>18067.264009350594</v>
      </c>
      <c r="AT18" s="1178">
        <f t="shared" si="54"/>
        <v>397479.80820571305</v>
      </c>
      <c r="AU18" s="1178">
        <f t="shared" si="20"/>
        <v>47697.576984685562</v>
      </c>
      <c r="AV18" s="1178">
        <f t="shared" si="55"/>
        <v>445177.38519039861</v>
      </c>
      <c r="AW18" s="1178">
        <f t="shared" si="56"/>
        <v>3445177.3851903984</v>
      </c>
      <c r="AX18" s="762">
        <f t="shared" si="57"/>
        <v>43064.717314879985</v>
      </c>
      <c r="AY18" s="717" t="s">
        <v>231</v>
      </c>
      <c r="AZ18" s="717">
        <f t="shared" si="58"/>
        <v>3488242.1025052783</v>
      </c>
      <c r="BA18" s="717">
        <f t="shared" si="59"/>
        <v>130809.07884394794</v>
      </c>
      <c r="BB18" s="717"/>
      <c r="BC18" s="717">
        <f t="shared" si="21"/>
        <v>33600</v>
      </c>
      <c r="BD18" s="717">
        <f t="shared" si="60"/>
        <v>3652651.1813492263</v>
      </c>
      <c r="BE18" s="717"/>
      <c r="BF18" s="717">
        <f t="shared" si="61"/>
        <v>3652651.1813492263</v>
      </c>
      <c r="BG18" s="1209"/>
      <c r="BH18" s="717">
        <f t="shared" si="62"/>
        <v>3652651.1813492263</v>
      </c>
      <c r="BI18" s="717"/>
      <c r="BJ18" s="717">
        <f t="shared" si="63"/>
        <v>3652651.1813492263</v>
      </c>
      <c r="BK18" s="717"/>
      <c r="BL18" s="717">
        <f t="shared" si="64"/>
        <v>3652651.1813492263</v>
      </c>
      <c r="BM18" s="717"/>
      <c r="BN18" s="717">
        <f t="shared" si="65"/>
        <v>3652651.1813492263</v>
      </c>
      <c r="BO18" s="717"/>
      <c r="BP18" s="717">
        <f t="shared" si="22"/>
        <v>3652651.1813492263</v>
      </c>
      <c r="BQ18" s="717"/>
      <c r="BR18" s="717">
        <f t="shared" ref="BR18:BR81" si="133">BP18+BQ18</f>
        <v>3652651.1813492263</v>
      </c>
      <c r="BS18" s="717"/>
      <c r="BT18" s="717">
        <f t="shared" si="66"/>
        <v>3652651.1813492263</v>
      </c>
      <c r="BU18" s="717"/>
      <c r="BV18" s="1235">
        <f t="shared" ref="BV18:BV81" si="134">$BV$2+$BV$3-BC18</f>
        <v>51400</v>
      </c>
      <c r="BW18" s="717">
        <f t="shared" si="67"/>
        <v>3704051.1813492263</v>
      </c>
      <c r="BX18" s="717"/>
      <c r="BY18" s="717">
        <f t="shared" si="68"/>
        <v>3704051.1813492263</v>
      </c>
      <c r="BZ18" s="1194">
        <f t="shared" si="69"/>
        <v>3704051.1813492263</v>
      </c>
      <c r="CA18" s="1194">
        <f t="shared" si="70"/>
        <v>3022051.1813492263</v>
      </c>
      <c r="CB18" s="1194">
        <v>31000</v>
      </c>
      <c r="CC18" s="1194">
        <f t="shared" si="71"/>
        <v>682000</v>
      </c>
      <c r="CD18" s="1194">
        <f t="shared" si="72"/>
        <v>81840</v>
      </c>
      <c r="CE18" s="1194">
        <f t="shared" si="73"/>
        <v>763840</v>
      </c>
      <c r="CF18" s="1200">
        <f t="shared" si="74"/>
        <v>3785891.1813492263</v>
      </c>
      <c r="CG18" s="757">
        <f t="shared" si="75"/>
        <v>3785891.1813492263</v>
      </c>
      <c r="CH18" s="758">
        <f t="shared" si="76"/>
        <v>0</v>
      </c>
      <c r="CI18" s="757">
        <f t="shared" si="25"/>
        <v>388053.84608829569</v>
      </c>
      <c r="CJ18" s="757">
        <f t="shared" si="26"/>
        <v>94647.27953373066</v>
      </c>
      <c r="CK18" s="759">
        <f t="shared" si="77"/>
        <v>4268592.3069712529</v>
      </c>
      <c r="CL18" s="764">
        <f t="shared" si="78"/>
        <v>0.125</v>
      </c>
      <c r="CM18" s="757">
        <f t="shared" si="79"/>
        <v>533574.03837140661</v>
      </c>
      <c r="CN18" s="757">
        <f t="shared" si="124"/>
        <v>30000</v>
      </c>
      <c r="CO18" s="757">
        <f t="shared" si="80"/>
        <v>503574.03837140661</v>
      </c>
      <c r="CP18" s="755">
        <f t="shared" si="81"/>
        <v>29</v>
      </c>
      <c r="CQ18" s="757">
        <f t="shared" si="129"/>
        <v>17364.622012807125</v>
      </c>
      <c r="CR18" s="764">
        <f t="shared" si="83"/>
        <v>0.875</v>
      </c>
      <c r="CS18" s="757">
        <f t="shared" si="84"/>
        <v>3735018.2685998464</v>
      </c>
      <c r="CT18" s="1101">
        <f t="shared" si="85"/>
        <v>28957.556881625129</v>
      </c>
      <c r="CU18" s="1101">
        <f t="shared" si="86"/>
        <v>33571.400119678256</v>
      </c>
      <c r="CV18" s="1101">
        <f t="shared" si="87"/>
        <v>43366.729102090649</v>
      </c>
      <c r="CW18" s="1141">
        <f t="shared" si="27"/>
        <v>73957.838288378131</v>
      </c>
      <c r="CX18" s="1152">
        <f t="shared" si="88"/>
        <v>303407.40576728969</v>
      </c>
      <c r="CY18" s="1152">
        <f t="shared" si="89"/>
        <v>120056.83247978757</v>
      </c>
      <c r="CZ18" s="1152">
        <f t="shared" si="90"/>
        <v>86715.349711868883</v>
      </c>
      <c r="DA18" s="1152">
        <f t="shared" si="91"/>
        <v>65994.373299246014</v>
      </c>
      <c r="DB18" s="1143">
        <f t="shared" si="28"/>
        <v>0.13249326940190434</v>
      </c>
      <c r="DC18" s="1143">
        <f t="shared" si="125"/>
        <v>0.25275548101702755</v>
      </c>
      <c r="DD18" s="1098" t="s">
        <v>232</v>
      </c>
      <c r="DE18" s="1144"/>
      <c r="DF18" s="705"/>
      <c r="DG18" s="765">
        <f t="shared" si="126"/>
        <v>46082</v>
      </c>
      <c r="DH18" s="1116">
        <f t="shared" si="29"/>
        <v>28</v>
      </c>
      <c r="DI18" s="497"/>
      <c r="DJ18" s="1117">
        <f t="shared" si="92"/>
        <v>46147</v>
      </c>
      <c r="DK18" s="1116">
        <f t="shared" si="93"/>
        <v>30</v>
      </c>
      <c r="DL18" s="766" t="s">
        <v>233</v>
      </c>
      <c r="DM18" s="766" t="s">
        <v>234</v>
      </c>
      <c r="DN18" s="767">
        <f t="shared" si="30"/>
        <v>20235.335690472664</v>
      </c>
      <c r="DO18" s="767">
        <f t="shared" si="31"/>
        <v>445177.38519039861</v>
      </c>
      <c r="DP18" s="768">
        <f t="shared" si="32"/>
        <v>0.14839246173013287</v>
      </c>
      <c r="DR18" s="767">
        <f t="shared" si="33"/>
        <v>3785891.1813492263</v>
      </c>
      <c r="DS18" s="767">
        <f>SUM('[6]INTERNAL PRICELIST'!M18)</f>
        <v>2329361</v>
      </c>
      <c r="DT18" s="767">
        <f t="shared" si="94"/>
        <v>1456530.1813492263</v>
      </c>
      <c r="DV18" s="951">
        <f t="shared" si="34"/>
        <v>172085.9627886012</v>
      </c>
      <c r="DW18" s="703"/>
      <c r="DX18" s="772">
        <v>12</v>
      </c>
      <c r="DY18" s="773" t="s">
        <v>286</v>
      </c>
      <c r="DZ18" s="774">
        <v>22</v>
      </c>
      <c r="EA18" s="775">
        <f t="shared" si="35"/>
        <v>0</v>
      </c>
      <c r="ED18" s="755" t="s">
        <v>285</v>
      </c>
      <c r="EE18" s="777" t="b">
        <f t="shared" si="36"/>
        <v>1</v>
      </c>
      <c r="EF18" s="777"/>
      <c r="EG18" s="777"/>
      <c r="EH18" s="1203"/>
      <c r="EJ18" s="471"/>
      <c r="EP18" s="1230" t="s">
        <v>236</v>
      </c>
      <c r="EQ18" s="1145" t="s">
        <v>236</v>
      </c>
      <c r="ER18" s="753" t="b">
        <f t="shared" si="95"/>
        <v>1</v>
      </c>
      <c r="EU18" s="770">
        <v>2172480</v>
      </c>
      <c r="EV18" s="771" t="s">
        <v>236</v>
      </c>
      <c r="EZ18" s="520"/>
      <c r="FA18" s="778"/>
      <c r="FF18" s="771">
        <f t="shared" ref="FF18:FF24" si="135">FF17-1</f>
        <v>43</v>
      </c>
      <c r="FG18" s="1122">
        <f t="shared" si="132"/>
        <v>46692</v>
      </c>
      <c r="FH18" s="765">
        <v>45383</v>
      </c>
      <c r="FJ18" s="994">
        <v>0.15</v>
      </c>
      <c r="FK18" s="993">
        <v>12820.110851026688</v>
      </c>
      <c r="FL18" s="993">
        <v>13166.600333486867</v>
      </c>
      <c r="FM18" s="497"/>
      <c r="FN18" s="993">
        <f t="shared" si="38"/>
        <v>4268592.3069712529</v>
      </c>
      <c r="FO18" s="994">
        <f t="shared" si="96"/>
        <v>0.15</v>
      </c>
      <c r="FP18" s="775">
        <f t="shared" si="39"/>
        <v>640288.84604568791</v>
      </c>
      <c r="FQ18" s="993">
        <f t="shared" si="40"/>
        <v>30000</v>
      </c>
      <c r="FR18" s="775">
        <f t="shared" si="97"/>
        <v>610288.84604568791</v>
      </c>
      <c r="FS18" s="497">
        <f t="shared" si="98"/>
        <v>40</v>
      </c>
      <c r="FT18" s="775">
        <f t="shared" si="99"/>
        <v>15257.221151142197</v>
      </c>
      <c r="FU18" s="497"/>
      <c r="FV18" s="993">
        <f t="shared" si="100"/>
        <v>4268592.3069712529</v>
      </c>
      <c r="FW18" s="705">
        <f t="shared" si="101"/>
        <v>426859.23069712531</v>
      </c>
      <c r="FX18" s="705">
        <f t="shared" si="102"/>
        <v>106714.80767428133</v>
      </c>
      <c r="FY18" s="705">
        <v>15000</v>
      </c>
      <c r="FZ18" s="705">
        <f t="shared" si="103"/>
        <v>411859.23069712531</v>
      </c>
      <c r="GA18" s="497">
        <f t="shared" si="104"/>
        <v>46</v>
      </c>
      <c r="GB18" s="775">
        <f t="shared" si="105"/>
        <v>8953.4615368940285</v>
      </c>
      <c r="GC18" s="497"/>
      <c r="GD18" s="497"/>
      <c r="GH18" s="1095">
        <f t="shared" si="0"/>
        <v>4268592.3069712529</v>
      </c>
      <c r="GI18" s="1098">
        <f t="shared" si="1"/>
        <v>0.125</v>
      </c>
      <c r="GJ18" s="1095">
        <f t="shared" si="2"/>
        <v>533574.03837140661</v>
      </c>
      <c r="GK18" s="1095">
        <f t="shared" si="3"/>
        <v>30000</v>
      </c>
      <c r="GL18" s="1095">
        <f t="shared" si="4"/>
        <v>503574.03837140661</v>
      </c>
      <c r="GM18" s="1095">
        <f t="shared" si="5"/>
        <v>29</v>
      </c>
      <c r="GN18" s="1095">
        <f t="shared" si="6"/>
        <v>17364.622012807125</v>
      </c>
      <c r="GO18" s="1098">
        <f t="shared" si="7"/>
        <v>0.875</v>
      </c>
      <c r="GP18" s="1095">
        <f t="shared" si="8"/>
        <v>3735018.2685998464</v>
      </c>
      <c r="GQ18" s="1095">
        <f t="shared" si="9"/>
        <v>28957.556881625129</v>
      </c>
      <c r="GR18" s="1095">
        <f t="shared" si="10"/>
        <v>33571.400119678256</v>
      </c>
      <c r="GS18" s="1095">
        <f t="shared" si="11"/>
        <v>43366.729102090649</v>
      </c>
      <c r="GT18" s="1095">
        <f t="shared" si="12"/>
        <v>73957.838288378131</v>
      </c>
      <c r="GU18" s="497"/>
      <c r="GV18" s="1095">
        <f t="shared" si="106"/>
        <v>4268592.3069712529</v>
      </c>
      <c r="GW18" s="1098">
        <f t="shared" si="107"/>
        <v>0.125</v>
      </c>
      <c r="GX18" s="1095">
        <f t="shared" si="108"/>
        <v>533574.03837140661</v>
      </c>
      <c r="GY18" s="1095">
        <f t="shared" si="109"/>
        <v>30000</v>
      </c>
      <c r="GZ18" s="1095">
        <f t="shared" si="110"/>
        <v>503574.03837140661</v>
      </c>
      <c r="HA18" s="1106">
        <f t="shared" si="111"/>
        <v>48</v>
      </c>
      <c r="HB18" s="770">
        <f t="shared" si="112"/>
        <v>10491.125799404304</v>
      </c>
      <c r="HC18" s="1098">
        <f t="shared" si="113"/>
        <v>0.875</v>
      </c>
      <c r="HD18" s="1102">
        <f t="shared" si="114"/>
        <v>3735018.2685998464</v>
      </c>
      <c r="HE18" s="1101">
        <f t="shared" si="115"/>
        <v>28957.556881625129</v>
      </c>
      <c r="HF18" s="1101">
        <f t="shared" si="116"/>
        <v>33571.400119678256</v>
      </c>
      <c r="HG18" s="1101">
        <f t="shared" si="117"/>
        <v>43366.729102090649</v>
      </c>
      <c r="HH18" s="1101">
        <f t="shared" si="118"/>
        <v>73957.838288378131</v>
      </c>
      <c r="HI18" s="497"/>
      <c r="HJ18" s="1102">
        <f t="shared" si="119"/>
        <v>-6873.496213402821</v>
      </c>
      <c r="HL18" s="775"/>
      <c r="HN18" s="775"/>
      <c r="HO18" s="775"/>
      <c r="HQ18" s="702"/>
      <c r="HR18" s="1171"/>
      <c r="HS18" s="702"/>
      <c r="HT18" s="1171"/>
      <c r="ID18" s="1279" t="s">
        <v>287</v>
      </c>
      <c r="IE18" s="1280">
        <f>DATE(2028,3,1)</f>
        <v>46813</v>
      </c>
      <c r="IF18" s="1281">
        <f t="shared" si="128"/>
        <v>30</v>
      </c>
    </row>
    <row r="19" spans="1:240" ht="14.25" hidden="1" customHeight="1">
      <c r="A19" s="753">
        <f t="shared" si="120"/>
        <v>13</v>
      </c>
      <c r="B19" s="753"/>
      <c r="C19" s="753">
        <f t="shared" si="121"/>
        <v>13</v>
      </c>
      <c r="D19" s="753" t="s">
        <v>227</v>
      </c>
      <c r="E19" s="717" t="str">
        <f t="shared" si="41"/>
        <v>3rd Floor</v>
      </c>
      <c r="F19" s="754"/>
      <c r="G19" s="755" t="s">
        <v>288</v>
      </c>
      <c r="H19" s="756"/>
      <c r="I19" s="755" t="s">
        <v>229</v>
      </c>
      <c r="J19" s="757">
        <v>22</v>
      </c>
      <c r="K19" s="758"/>
      <c r="L19" s="759" t="s">
        <v>277</v>
      </c>
      <c r="M19" s="760" t="s">
        <v>68</v>
      </c>
      <c r="N19" s="761">
        <f t="shared" si="42"/>
        <v>106005.26567735759</v>
      </c>
      <c r="O19" s="762">
        <f t="shared" si="43"/>
        <v>2332115.8449018667</v>
      </c>
      <c r="P19" s="762">
        <f t="shared" si="44"/>
        <v>22400</v>
      </c>
      <c r="Q19" s="762">
        <f t="shared" si="14"/>
        <v>50000</v>
      </c>
      <c r="R19" s="762"/>
      <c r="S19" s="762"/>
      <c r="T19" s="762"/>
      <c r="U19" s="762"/>
      <c r="V19" s="762"/>
      <c r="W19" s="762"/>
      <c r="X19" s="762"/>
      <c r="Y19" s="762"/>
      <c r="Z19" s="762">
        <f t="shared" si="15"/>
        <v>142461</v>
      </c>
      <c r="AA19" s="762">
        <v>45722.732758620688</v>
      </c>
      <c r="AB19" s="762"/>
      <c r="AC19" s="762"/>
      <c r="AD19" s="763">
        <f t="shared" si="45"/>
        <v>260583.7327586207</v>
      </c>
      <c r="AE19" s="763">
        <f t="shared" si="16"/>
        <v>2592699.5776604875</v>
      </c>
      <c r="AF19" s="762">
        <f t="shared" si="17"/>
        <v>64817.489441512189</v>
      </c>
      <c r="AG19" s="762">
        <f t="shared" si="46"/>
        <v>2657517.0671019997</v>
      </c>
      <c r="AH19" s="762">
        <f t="shared" si="18"/>
        <v>66437.92667755</v>
      </c>
      <c r="AI19" s="762">
        <f t="shared" si="47"/>
        <v>2723954.9937795498</v>
      </c>
      <c r="AJ19" s="762">
        <f t="shared" si="48"/>
        <v>136197.74968897749</v>
      </c>
      <c r="AK19" s="762">
        <f t="shared" si="122"/>
        <v>2860152.7434685272</v>
      </c>
      <c r="AL19" s="762">
        <f t="shared" si="49"/>
        <v>28601.527434685271</v>
      </c>
      <c r="AM19" s="762">
        <f t="shared" si="50"/>
        <v>27537.409960060559</v>
      </c>
      <c r="AN19" s="762"/>
      <c r="AO19" s="763">
        <f t="shared" si="51"/>
        <v>2916291.6808632729</v>
      </c>
      <c r="AP19" s="763">
        <f t="shared" si="52"/>
        <v>481188.12734244007</v>
      </c>
      <c r="AQ19" s="763">
        <f t="shared" si="53"/>
        <v>3397479.8082057131</v>
      </c>
      <c r="AR19" s="1178">
        <f t="shared" si="19"/>
        <v>3000000</v>
      </c>
      <c r="AS19" s="1178">
        <f t="shared" si="123"/>
        <v>18067.264009350594</v>
      </c>
      <c r="AT19" s="1178">
        <f t="shared" si="54"/>
        <v>397479.80820571305</v>
      </c>
      <c r="AU19" s="1178">
        <f t="shared" si="20"/>
        <v>47697.576984685562</v>
      </c>
      <c r="AV19" s="1178">
        <f t="shared" si="55"/>
        <v>445177.38519039861</v>
      </c>
      <c r="AW19" s="1178">
        <f t="shared" si="56"/>
        <v>3445177.3851903984</v>
      </c>
      <c r="AX19" s="762">
        <f t="shared" si="57"/>
        <v>43064.717314879985</v>
      </c>
      <c r="AY19" s="717" t="s">
        <v>231</v>
      </c>
      <c r="AZ19" s="717">
        <f t="shared" si="58"/>
        <v>3488242.1025052783</v>
      </c>
      <c r="BA19" s="717">
        <f t="shared" si="59"/>
        <v>130809.07884394794</v>
      </c>
      <c r="BB19" s="717"/>
      <c r="BC19" s="717">
        <f t="shared" si="21"/>
        <v>33600</v>
      </c>
      <c r="BD19" s="717">
        <f t="shared" si="60"/>
        <v>3652651.1813492263</v>
      </c>
      <c r="BE19" s="717"/>
      <c r="BF19" s="717">
        <f t="shared" si="61"/>
        <v>3652651.1813492263</v>
      </c>
      <c r="BG19" s="1209"/>
      <c r="BH19" s="717">
        <f t="shared" si="62"/>
        <v>3652651.1813492263</v>
      </c>
      <c r="BI19" s="717"/>
      <c r="BJ19" s="717">
        <f t="shared" si="63"/>
        <v>3652651.1813492263</v>
      </c>
      <c r="BK19" s="717"/>
      <c r="BL19" s="717">
        <f t="shared" si="64"/>
        <v>3652651.1813492263</v>
      </c>
      <c r="BM19" s="717"/>
      <c r="BN19" s="717">
        <f t="shared" si="65"/>
        <v>3652651.1813492263</v>
      </c>
      <c r="BO19" s="717"/>
      <c r="BP19" s="717">
        <f t="shared" si="22"/>
        <v>3652651.1813492263</v>
      </c>
      <c r="BQ19" s="717"/>
      <c r="BR19" s="717">
        <f t="shared" si="133"/>
        <v>3652651.1813492263</v>
      </c>
      <c r="BS19" s="717"/>
      <c r="BT19" s="717">
        <f t="shared" si="66"/>
        <v>3652651.1813492263</v>
      </c>
      <c r="BU19" s="717"/>
      <c r="BV19" s="1235">
        <f t="shared" si="134"/>
        <v>51400</v>
      </c>
      <c r="BW19" s="717">
        <f t="shared" si="67"/>
        <v>3704051.1813492263</v>
      </c>
      <c r="BX19" s="717"/>
      <c r="BY19" s="717">
        <f t="shared" si="68"/>
        <v>3704051.1813492263</v>
      </c>
      <c r="BZ19" s="1194">
        <f t="shared" si="69"/>
        <v>3704051.1813492263</v>
      </c>
      <c r="CA19" s="1194">
        <f t="shared" si="70"/>
        <v>3022051.1813492263</v>
      </c>
      <c r="CB19" s="1194">
        <v>31000</v>
      </c>
      <c r="CC19" s="1194">
        <f t="shared" si="71"/>
        <v>682000</v>
      </c>
      <c r="CD19" s="1194">
        <f t="shared" si="72"/>
        <v>81840</v>
      </c>
      <c r="CE19" s="1194">
        <f t="shared" si="73"/>
        <v>763840</v>
      </c>
      <c r="CF19" s="1200">
        <f t="shared" si="74"/>
        <v>3785891.1813492263</v>
      </c>
      <c r="CG19" s="757">
        <f t="shared" si="75"/>
        <v>3785891.1813492263</v>
      </c>
      <c r="CH19" s="758">
        <f t="shared" si="76"/>
        <v>0</v>
      </c>
      <c r="CI19" s="757">
        <f t="shared" si="25"/>
        <v>388053.84608829569</v>
      </c>
      <c r="CJ19" s="757">
        <f t="shared" si="26"/>
        <v>94647.27953373066</v>
      </c>
      <c r="CK19" s="759">
        <f t="shared" si="77"/>
        <v>4268592.3069712529</v>
      </c>
      <c r="CL19" s="764">
        <f t="shared" si="78"/>
        <v>0.125</v>
      </c>
      <c r="CM19" s="757">
        <f t="shared" si="79"/>
        <v>533574.03837140661</v>
      </c>
      <c r="CN19" s="757">
        <f t="shared" si="124"/>
        <v>30000</v>
      </c>
      <c r="CO19" s="757">
        <f t="shared" si="80"/>
        <v>503574.03837140661</v>
      </c>
      <c r="CP19" s="755">
        <f t="shared" si="81"/>
        <v>29</v>
      </c>
      <c r="CQ19" s="757">
        <f t="shared" si="129"/>
        <v>17364.622012807125</v>
      </c>
      <c r="CR19" s="764">
        <f t="shared" si="83"/>
        <v>0.875</v>
      </c>
      <c r="CS19" s="757">
        <f t="shared" si="84"/>
        <v>3735018.2685998464</v>
      </c>
      <c r="CT19" s="1101">
        <f t="shared" si="85"/>
        <v>28957.556881625129</v>
      </c>
      <c r="CU19" s="1101">
        <f t="shared" si="86"/>
        <v>33571.400119678256</v>
      </c>
      <c r="CV19" s="1101">
        <f t="shared" si="87"/>
        <v>43366.729102090649</v>
      </c>
      <c r="CW19" s="1141">
        <f t="shared" si="27"/>
        <v>73957.838288378131</v>
      </c>
      <c r="CX19" s="1152">
        <f t="shared" si="88"/>
        <v>303407.40576728969</v>
      </c>
      <c r="CY19" s="1152">
        <f t="shared" si="89"/>
        <v>120056.83247978757</v>
      </c>
      <c r="CZ19" s="1152">
        <f t="shared" si="90"/>
        <v>86715.349711868883</v>
      </c>
      <c r="DA19" s="1152">
        <f t="shared" si="91"/>
        <v>65994.373299246014</v>
      </c>
      <c r="DB19" s="1143">
        <f t="shared" si="28"/>
        <v>0.13249326940190434</v>
      </c>
      <c r="DC19" s="1143">
        <f t="shared" si="125"/>
        <v>0.25275548101702755</v>
      </c>
      <c r="DD19" s="1098" t="s">
        <v>232</v>
      </c>
      <c r="DE19" s="1144"/>
      <c r="DF19" s="705"/>
      <c r="DG19" s="765">
        <f t="shared" si="126"/>
        <v>46082</v>
      </c>
      <c r="DH19" s="1116">
        <f t="shared" si="29"/>
        <v>28</v>
      </c>
      <c r="DI19" s="497"/>
      <c r="DJ19" s="1117">
        <f t="shared" si="92"/>
        <v>46147</v>
      </c>
      <c r="DK19" s="1116">
        <f t="shared" si="93"/>
        <v>30</v>
      </c>
      <c r="DL19" s="766" t="s">
        <v>233</v>
      </c>
      <c r="DM19" s="766" t="s">
        <v>234</v>
      </c>
      <c r="DN19" s="767">
        <f t="shared" si="30"/>
        <v>20235.335690472664</v>
      </c>
      <c r="DO19" s="767">
        <f t="shared" si="31"/>
        <v>445177.38519039861</v>
      </c>
      <c r="DP19" s="768">
        <f t="shared" si="32"/>
        <v>0.14839246173013287</v>
      </c>
      <c r="DR19" s="767">
        <f t="shared" si="33"/>
        <v>3785891.1813492263</v>
      </c>
      <c r="DS19" s="767">
        <f>SUM('[6]INTERNAL PRICELIST'!M19)</f>
        <v>2329361</v>
      </c>
      <c r="DT19" s="767">
        <f t="shared" si="94"/>
        <v>1456530.1813492263</v>
      </c>
      <c r="DV19" s="951">
        <f t="shared" si="34"/>
        <v>172085.9627886012</v>
      </c>
      <c r="DW19" s="697"/>
      <c r="DX19" s="772">
        <v>13</v>
      </c>
      <c r="DY19" s="773" t="s">
        <v>289</v>
      </c>
      <c r="DZ19" s="774">
        <v>22</v>
      </c>
      <c r="EA19" s="775">
        <f t="shared" si="35"/>
        <v>0</v>
      </c>
      <c r="ED19" s="755" t="s">
        <v>288</v>
      </c>
      <c r="EE19" s="777" t="b">
        <f t="shared" si="36"/>
        <v>1</v>
      </c>
      <c r="EF19" s="777"/>
      <c r="EG19" s="777"/>
      <c r="EH19" s="1203"/>
      <c r="EI19" s="828" t="s">
        <v>290</v>
      </c>
      <c r="EJ19" s="828" t="s">
        <v>291</v>
      </c>
      <c r="EP19" s="1230" t="s">
        <v>236</v>
      </c>
      <c r="EQ19" s="1145" t="s">
        <v>236</v>
      </c>
      <c r="ER19" s="753" t="b">
        <f t="shared" si="95"/>
        <v>1</v>
      </c>
      <c r="EU19" s="770">
        <v>2172480</v>
      </c>
      <c r="EV19" s="771" t="s">
        <v>236</v>
      </c>
      <c r="EZ19" s="520"/>
      <c r="FA19" s="778"/>
      <c r="FF19" s="771">
        <f t="shared" si="135"/>
        <v>42</v>
      </c>
      <c r="FG19" s="1122">
        <f t="shared" ref="FG19" si="136">EDATE(FH19,FF19)</f>
        <v>46692</v>
      </c>
      <c r="FH19" s="765">
        <v>45413</v>
      </c>
      <c r="FJ19" s="994">
        <v>0.15</v>
      </c>
      <c r="FK19" s="993">
        <v>12820.110851026688</v>
      </c>
      <c r="FL19" s="993">
        <v>13166.600333486867</v>
      </c>
      <c r="FM19" s="497"/>
      <c r="FN19" s="993">
        <f t="shared" si="38"/>
        <v>4268592.3069712529</v>
      </c>
      <c r="FO19" s="994">
        <f t="shared" si="96"/>
        <v>0.15</v>
      </c>
      <c r="FP19" s="775">
        <f t="shared" si="39"/>
        <v>640288.84604568791</v>
      </c>
      <c r="FQ19" s="993">
        <f t="shared" si="40"/>
        <v>30000</v>
      </c>
      <c r="FR19" s="775">
        <f t="shared" si="97"/>
        <v>610288.84604568791</v>
      </c>
      <c r="FS19" s="497">
        <f t="shared" si="98"/>
        <v>40</v>
      </c>
      <c r="FT19" s="775">
        <f t="shared" si="99"/>
        <v>15257.221151142197</v>
      </c>
      <c r="FU19" s="497"/>
      <c r="FV19" s="993">
        <f t="shared" si="100"/>
        <v>4268592.3069712529</v>
      </c>
      <c r="FW19" s="705">
        <f t="shared" si="101"/>
        <v>426859.23069712531</v>
      </c>
      <c r="FX19" s="705">
        <f t="shared" si="102"/>
        <v>106714.80767428133</v>
      </c>
      <c r="FY19" s="705">
        <v>15000</v>
      </c>
      <c r="FZ19" s="705">
        <f t="shared" si="103"/>
        <v>411859.23069712531</v>
      </c>
      <c r="GA19" s="497">
        <f t="shared" si="104"/>
        <v>46</v>
      </c>
      <c r="GB19" s="775">
        <f t="shared" si="105"/>
        <v>8953.4615368940285</v>
      </c>
      <c r="GC19" s="497"/>
      <c r="GD19" s="497"/>
      <c r="GH19" s="1095">
        <f t="shared" si="0"/>
        <v>4268592.3069712529</v>
      </c>
      <c r="GI19" s="1098">
        <f t="shared" si="1"/>
        <v>0.125</v>
      </c>
      <c r="GJ19" s="1095">
        <f t="shared" si="2"/>
        <v>533574.03837140661</v>
      </c>
      <c r="GK19" s="1095">
        <f t="shared" si="3"/>
        <v>30000</v>
      </c>
      <c r="GL19" s="1095">
        <f t="shared" si="4"/>
        <v>503574.03837140661</v>
      </c>
      <c r="GM19" s="1095">
        <f t="shared" si="5"/>
        <v>29</v>
      </c>
      <c r="GN19" s="1095">
        <f t="shared" si="6"/>
        <v>17364.622012807125</v>
      </c>
      <c r="GO19" s="1098">
        <f t="shared" si="7"/>
        <v>0.875</v>
      </c>
      <c r="GP19" s="1095">
        <f t="shared" si="8"/>
        <v>3735018.2685998464</v>
      </c>
      <c r="GQ19" s="1095">
        <f t="shared" si="9"/>
        <v>28957.556881625129</v>
      </c>
      <c r="GR19" s="1095">
        <f t="shared" si="10"/>
        <v>33571.400119678256</v>
      </c>
      <c r="GS19" s="1095">
        <f t="shared" si="11"/>
        <v>43366.729102090649</v>
      </c>
      <c r="GT19" s="1095">
        <f t="shared" si="12"/>
        <v>73957.838288378131</v>
      </c>
      <c r="GU19" s="497"/>
      <c r="GV19" s="1095">
        <f t="shared" si="106"/>
        <v>4268592.3069712529</v>
      </c>
      <c r="GW19" s="1098">
        <f t="shared" si="107"/>
        <v>0.125</v>
      </c>
      <c r="GX19" s="1095">
        <f t="shared" si="108"/>
        <v>533574.03837140661</v>
      </c>
      <c r="GY19" s="1095">
        <f t="shared" si="109"/>
        <v>30000</v>
      </c>
      <c r="GZ19" s="1095">
        <f t="shared" si="110"/>
        <v>503574.03837140661</v>
      </c>
      <c r="HA19" s="1106">
        <f t="shared" si="111"/>
        <v>48</v>
      </c>
      <c r="HB19" s="770">
        <f t="shared" si="112"/>
        <v>10491.125799404304</v>
      </c>
      <c r="HC19" s="1098">
        <f t="shared" si="113"/>
        <v>0.875</v>
      </c>
      <c r="HD19" s="1102">
        <f t="shared" si="114"/>
        <v>3735018.2685998464</v>
      </c>
      <c r="HE19" s="1101">
        <f t="shared" si="115"/>
        <v>28957.556881625129</v>
      </c>
      <c r="HF19" s="1101">
        <f t="shared" si="116"/>
        <v>33571.400119678256</v>
      </c>
      <c r="HG19" s="1101">
        <f t="shared" si="117"/>
        <v>43366.729102090649</v>
      </c>
      <c r="HH19" s="1101">
        <f t="shared" si="118"/>
        <v>73957.838288378131</v>
      </c>
      <c r="HI19" s="497"/>
      <c r="HJ19" s="1102">
        <f t="shared" si="119"/>
        <v>-6873.496213402821</v>
      </c>
      <c r="HL19" s="775"/>
      <c r="HN19" s="775"/>
      <c r="HO19" s="775"/>
      <c r="HQ19" s="702"/>
      <c r="HR19" s="1171"/>
      <c r="HS19" s="702"/>
      <c r="HT19" s="1171"/>
      <c r="ID19" s="1279" t="s">
        <v>292</v>
      </c>
      <c r="IE19" s="1280">
        <f>DATE(2028,4,1)</f>
        <v>46844</v>
      </c>
      <c r="IF19" s="1281">
        <f t="shared" si="128"/>
        <v>31</v>
      </c>
    </row>
    <row r="20" spans="1:240" ht="14.25" hidden="1" customHeight="1">
      <c r="A20" s="753">
        <f t="shared" si="120"/>
        <v>14</v>
      </c>
      <c r="B20" s="753"/>
      <c r="C20" s="753">
        <f t="shared" si="121"/>
        <v>14</v>
      </c>
      <c r="D20" s="753" t="s">
        <v>227</v>
      </c>
      <c r="E20" s="717" t="str">
        <f t="shared" si="41"/>
        <v>3rd Floor</v>
      </c>
      <c r="F20" s="754"/>
      <c r="G20" s="755" t="s">
        <v>293</v>
      </c>
      <c r="H20" s="756"/>
      <c r="I20" s="755" t="s">
        <v>229</v>
      </c>
      <c r="J20" s="757">
        <v>22</v>
      </c>
      <c r="K20" s="758"/>
      <c r="L20" s="759" t="s">
        <v>277</v>
      </c>
      <c r="M20" s="760" t="s">
        <v>278</v>
      </c>
      <c r="N20" s="761">
        <f t="shared" si="42"/>
        <v>106005.26567735759</v>
      </c>
      <c r="O20" s="762">
        <f t="shared" si="43"/>
        <v>2332115.8449018667</v>
      </c>
      <c r="P20" s="762">
        <f t="shared" si="44"/>
        <v>22400</v>
      </c>
      <c r="Q20" s="762">
        <f t="shared" si="14"/>
        <v>50000</v>
      </c>
      <c r="R20" s="762"/>
      <c r="S20" s="762"/>
      <c r="T20" s="762"/>
      <c r="U20" s="762"/>
      <c r="V20" s="762"/>
      <c r="W20" s="762">
        <f t="shared" ref="W20:W21" si="137">J20*$W$5</f>
        <v>22000</v>
      </c>
      <c r="X20" s="762"/>
      <c r="Y20" s="762"/>
      <c r="Z20" s="762">
        <f t="shared" si="15"/>
        <v>142461</v>
      </c>
      <c r="AA20" s="762">
        <v>45722.732758620688</v>
      </c>
      <c r="AB20" s="762"/>
      <c r="AC20" s="762"/>
      <c r="AD20" s="763">
        <f t="shared" si="45"/>
        <v>282583.7327586207</v>
      </c>
      <c r="AE20" s="763">
        <f t="shared" si="16"/>
        <v>2614699.5776604875</v>
      </c>
      <c r="AF20" s="762">
        <f t="shared" si="17"/>
        <v>65367.489441512189</v>
      </c>
      <c r="AG20" s="762">
        <f t="shared" si="46"/>
        <v>2680067.0671019997</v>
      </c>
      <c r="AH20" s="762">
        <f t="shared" si="18"/>
        <v>67001.67667755</v>
      </c>
      <c r="AI20" s="762">
        <f t="shared" si="47"/>
        <v>2747068.7437795498</v>
      </c>
      <c r="AJ20" s="762">
        <f t="shared" si="48"/>
        <v>137353.43718897749</v>
      </c>
      <c r="AK20" s="762">
        <f t="shared" si="122"/>
        <v>2884422.1809685272</v>
      </c>
      <c r="AL20" s="762">
        <f t="shared" si="49"/>
        <v>28844.221809685274</v>
      </c>
      <c r="AM20" s="762">
        <f t="shared" si="50"/>
        <v>27537.409960060559</v>
      </c>
      <c r="AN20" s="762"/>
      <c r="AO20" s="763">
        <f t="shared" si="51"/>
        <v>2940803.8127382728</v>
      </c>
      <c r="AP20" s="763">
        <f t="shared" si="52"/>
        <v>485232.62910181505</v>
      </c>
      <c r="AQ20" s="763">
        <f t="shared" si="53"/>
        <v>3426036.441840088</v>
      </c>
      <c r="AR20" s="1178">
        <f t="shared" si="19"/>
        <v>3000000</v>
      </c>
      <c r="AS20" s="1178">
        <f t="shared" si="123"/>
        <v>19365.292810913092</v>
      </c>
      <c r="AT20" s="1178">
        <f t="shared" si="54"/>
        <v>426036.44184008799</v>
      </c>
      <c r="AU20" s="1178">
        <f t="shared" si="20"/>
        <v>51124.373020810555</v>
      </c>
      <c r="AV20" s="1178">
        <f t="shared" si="55"/>
        <v>477160.81486089854</v>
      </c>
      <c r="AW20" s="1178">
        <f t="shared" si="56"/>
        <v>3477160.8148608985</v>
      </c>
      <c r="AX20" s="762">
        <f t="shared" si="57"/>
        <v>43464.510185761232</v>
      </c>
      <c r="AY20" s="717" t="s">
        <v>231</v>
      </c>
      <c r="AZ20" s="717">
        <f t="shared" si="58"/>
        <v>3520625.3250466599</v>
      </c>
      <c r="BA20" s="717">
        <f t="shared" si="59"/>
        <v>132023.44968924974</v>
      </c>
      <c r="BB20" s="717"/>
      <c r="BC20" s="717">
        <f t="shared" si="21"/>
        <v>33600</v>
      </c>
      <c r="BD20" s="717">
        <f t="shared" si="60"/>
        <v>3686248.7747359099</v>
      </c>
      <c r="BE20" s="717"/>
      <c r="BF20" s="717">
        <f t="shared" si="61"/>
        <v>3686248.7747359099</v>
      </c>
      <c r="BG20" s="1209"/>
      <c r="BH20" s="717">
        <f t="shared" si="62"/>
        <v>3686248.7747359099</v>
      </c>
      <c r="BI20" s="717"/>
      <c r="BJ20" s="717">
        <f t="shared" si="63"/>
        <v>3686248.7747359099</v>
      </c>
      <c r="BK20" s="717"/>
      <c r="BL20" s="717">
        <f t="shared" si="64"/>
        <v>3686248.7747359099</v>
      </c>
      <c r="BM20" s="717"/>
      <c r="BN20" s="717">
        <f t="shared" si="65"/>
        <v>3686248.7747359099</v>
      </c>
      <c r="BO20" s="717"/>
      <c r="BP20" s="717">
        <f t="shared" si="22"/>
        <v>3686248.7747359099</v>
      </c>
      <c r="BQ20" s="717"/>
      <c r="BR20" s="717">
        <f t="shared" si="133"/>
        <v>3686248.7747359099</v>
      </c>
      <c r="BS20" s="717"/>
      <c r="BT20" s="717">
        <f t="shared" si="66"/>
        <v>3686248.7747359099</v>
      </c>
      <c r="BU20" s="717"/>
      <c r="BV20" s="1235">
        <f t="shared" si="134"/>
        <v>51400</v>
      </c>
      <c r="BW20" s="717">
        <f t="shared" si="67"/>
        <v>3737648.7747359099</v>
      </c>
      <c r="BX20" s="717"/>
      <c r="BY20" s="717">
        <f t="shared" si="68"/>
        <v>3737648.7747359099</v>
      </c>
      <c r="BZ20" s="1194">
        <f t="shared" si="69"/>
        <v>3737648.7747359099</v>
      </c>
      <c r="CA20" s="1194">
        <f t="shared" si="70"/>
        <v>3033648.7747359099</v>
      </c>
      <c r="CB20" s="1194">
        <v>32000</v>
      </c>
      <c r="CC20" s="1194">
        <f t="shared" si="71"/>
        <v>704000</v>
      </c>
      <c r="CD20" s="1194">
        <f t="shared" si="72"/>
        <v>84480</v>
      </c>
      <c r="CE20" s="1194">
        <f t="shared" si="73"/>
        <v>788480</v>
      </c>
      <c r="CF20" s="1200">
        <f t="shared" si="74"/>
        <v>3822128.7747359099</v>
      </c>
      <c r="CG20" s="757">
        <f t="shared" si="75"/>
        <v>3822128.7747359099</v>
      </c>
      <c r="CH20" s="758">
        <f t="shared" si="76"/>
        <v>0</v>
      </c>
      <c r="CI20" s="757">
        <f t="shared" si="25"/>
        <v>391768.19941043074</v>
      </c>
      <c r="CJ20" s="757">
        <f t="shared" si="26"/>
        <v>95553.219368397753</v>
      </c>
      <c r="CK20" s="759">
        <f t="shared" si="77"/>
        <v>4309450.1935147392</v>
      </c>
      <c r="CL20" s="764">
        <f t="shared" si="78"/>
        <v>0.125</v>
      </c>
      <c r="CM20" s="757">
        <f t="shared" si="79"/>
        <v>538681.2741893424</v>
      </c>
      <c r="CN20" s="757">
        <f t="shared" si="124"/>
        <v>30000</v>
      </c>
      <c r="CO20" s="757">
        <f t="shared" si="80"/>
        <v>508681.2741893424</v>
      </c>
      <c r="CP20" s="755">
        <f t="shared" si="81"/>
        <v>29</v>
      </c>
      <c r="CQ20" s="757">
        <f t="shared" si="129"/>
        <v>17540.733592735945</v>
      </c>
      <c r="CR20" s="764">
        <f t="shared" si="83"/>
        <v>0.875</v>
      </c>
      <c r="CS20" s="757">
        <f t="shared" si="84"/>
        <v>3770768.9193253969</v>
      </c>
      <c r="CT20" s="1101">
        <f t="shared" si="85"/>
        <v>29234.731296177142</v>
      </c>
      <c r="CU20" s="1101">
        <f t="shared" si="86"/>
        <v>33892.737075413213</v>
      </c>
      <c r="CV20" s="1101">
        <f t="shared" si="87"/>
        <v>43781.824470772634</v>
      </c>
      <c r="CW20" s="1141">
        <f t="shared" si="27"/>
        <v>74665.744021341437</v>
      </c>
      <c r="CX20" s="1152">
        <f t="shared" si="88"/>
        <v>306311.54475968023</v>
      </c>
      <c r="CY20" s="1152">
        <f t="shared" si="89"/>
        <v>121205.98613220325</v>
      </c>
      <c r="CZ20" s="1152">
        <f t="shared" si="90"/>
        <v>87545.367119321934</v>
      </c>
      <c r="DA20" s="1152">
        <f t="shared" si="91"/>
        <v>66626.05475834565</v>
      </c>
      <c r="DB20" s="1143">
        <f t="shared" si="28"/>
        <v>0.14201214728002934</v>
      </c>
      <c r="DC20" s="1143">
        <f t="shared" si="125"/>
        <v>0.25991143291419422</v>
      </c>
      <c r="DD20" s="1098" t="s">
        <v>232</v>
      </c>
      <c r="DE20" s="1144"/>
      <c r="DF20" s="705"/>
      <c r="DG20" s="765">
        <f t="shared" si="126"/>
        <v>46082</v>
      </c>
      <c r="DH20" s="1116">
        <f t="shared" si="29"/>
        <v>28</v>
      </c>
      <c r="DI20" s="497"/>
      <c r="DJ20" s="1117">
        <f t="shared" si="92"/>
        <v>46147</v>
      </c>
      <c r="DK20" s="1116">
        <f t="shared" si="93"/>
        <v>30</v>
      </c>
      <c r="DL20" s="766" t="s">
        <v>233</v>
      </c>
      <c r="DM20" s="766" t="s">
        <v>234</v>
      </c>
      <c r="DN20" s="767">
        <f t="shared" si="30"/>
        <v>21689.12794822266</v>
      </c>
      <c r="DO20" s="767">
        <f t="shared" si="31"/>
        <v>477160.81486089854</v>
      </c>
      <c r="DP20" s="768">
        <f t="shared" si="32"/>
        <v>0.15905360495363285</v>
      </c>
      <c r="DR20" s="767">
        <f t="shared" si="33"/>
        <v>3822128.7747359099</v>
      </c>
      <c r="DS20" s="767">
        <f>SUM('[6]INTERNAL PRICELIST'!M20)</f>
        <v>2329361</v>
      </c>
      <c r="DT20" s="767">
        <f t="shared" si="94"/>
        <v>1492767.7747359099</v>
      </c>
      <c r="DV20" s="951">
        <f t="shared" si="34"/>
        <v>173733.12612435955</v>
      </c>
      <c r="DW20" s="703"/>
      <c r="DX20" s="772">
        <v>14</v>
      </c>
      <c r="DY20" s="773" t="s">
        <v>294</v>
      </c>
      <c r="DZ20" s="774">
        <v>22</v>
      </c>
      <c r="EA20" s="775">
        <f t="shared" si="35"/>
        <v>0</v>
      </c>
      <c r="ED20" s="755" t="s">
        <v>293</v>
      </c>
      <c r="EE20" s="777" t="b">
        <f t="shared" si="36"/>
        <v>1</v>
      </c>
      <c r="EF20" s="777"/>
      <c r="EG20" s="777"/>
      <c r="EH20" s="1203"/>
      <c r="EI20" s="828" t="s">
        <v>295</v>
      </c>
      <c r="EJ20" s="471" t="s">
        <v>296</v>
      </c>
      <c r="EP20" s="1230" t="s">
        <v>236</v>
      </c>
      <c r="EQ20" s="1145" t="s">
        <v>236</v>
      </c>
      <c r="ER20" s="753" t="b">
        <f t="shared" si="95"/>
        <v>1</v>
      </c>
      <c r="EU20" s="770">
        <v>2172480</v>
      </c>
      <c r="EV20" s="771" t="s">
        <v>236</v>
      </c>
      <c r="EZ20" s="520"/>
      <c r="FA20" s="778"/>
      <c r="FF20" s="771">
        <f t="shared" si="135"/>
        <v>41</v>
      </c>
      <c r="FG20" s="1122">
        <f t="shared" ref="FG20" si="138">EDATE(FH20,FF20)</f>
        <v>46692</v>
      </c>
      <c r="FH20" s="765">
        <v>45444</v>
      </c>
      <c r="FJ20" s="994">
        <v>0.15</v>
      </c>
      <c r="FK20" s="993">
        <v>12942.297377862546</v>
      </c>
      <c r="FL20" s="993">
        <v>13292.089198885857</v>
      </c>
      <c r="FM20" s="497"/>
      <c r="FN20" s="993">
        <f t="shared" si="38"/>
        <v>4309450.1935147392</v>
      </c>
      <c r="FO20" s="994">
        <f t="shared" si="96"/>
        <v>0.15</v>
      </c>
      <c r="FP20" s="775">
        <f t="shared" si="39"/>
        <v>646417.5290272109</v>
      </c>
      <c r="FQ20" s="993">
        <f t="shared" si="40"/>
        <v>30000</v>
      </c>
      <c r="FR20" s="775">
        <f t="shared" si="97"/>
        <v>616417.5290272109</v>
      </c>
      <c r="FS20" s="497">
        <f t="shared" si="98"/>
        <v>40</v>
      </c>
      <c r="FT20" s="775">
        <f t="shared" si="99"/>
        <v>15410.438225680273</v>
      </c>
      <c r="FU20" s="497"/>
      <c r="FV20" s="993">
        <f t="shared" si="100"/>
        <v>4309450.1935147392</v>
      </c>
      <c r="FW20" s="705">
        <f t="shared" si="101"/>
        <v>430945.01935147395</v>
      </c>
      <c r="FX20" s="705">
        <f t="shared" si="102"/>
        <v>107736.25483786849</v>
      </c>
      <c r="FY20" s="705">
        <v>15000</v>
      </c>
      <c r="FZ20" s="705">
        <f t="shared" si="103"/>
        <v>415945.01935147395</v>
      </c>
      <c r="GA20" s="497">
        <f t="shared" si="104"/>
        <v>46</v>
      </c>
      <c r="GB20" s="775">
        <f t="shared" si="105"/>
        <v>9042.2830293798688</v>
      </c>
      <c r="GC20" s="497"/>
      <c r="GD20" s="497"/>
      <c r="GH20" s="1095">
        <f t="shared" si="0"/>
        <v>4309450.1935147392</v>
      </c>
      <c r="GI20" s="1098">
        <f t="shared" si="1"/>
        <v>0.125</v>
      </c>
      <c r="GJ20" s="1095">
        <f t="shared" si="2"/>
        <v>538681.2741893424</v>
      </c>
      <c r="GK20" s="1095">
        <f t="shared" si="3"/>
        <v>30000</v>
      </c>
      <c r="GL20" s="1095">
        <f t="shared" si="4"/>
        <v>508681.2741893424</v>
      </c>
      <c r="GM20" s="1095">
        <f t="shared" si="5"/>
        <v>29</v>
      </c>
      <c r="GN20" s="1095">
        <f t="shared" si="6"/>
        <v>17540.733592735945</v>
      </c>
      <c r="GO20" s="1098">
        <f t="shared" si="7"/>
        <v>0.875</v>
      </c>
      <c r="GP20" s="1095">
        <f t="shared" si="8"/>
        <v>3770768.9193253969</v>
      </c>
      <c r="GQ20" s="1095">
        <f t="shared" si="9"/>
        <v>29234.731296177142</v>
      </c>
      <c r="GR20" s="1095">
        <f t="shared" si="10"/>
        <v>33892.737075413213</v>
      </c>
      <c r="GS20" s="1095">
        <f t="shared" si="11"/>
        <v>43781.824470772634</v>
      </c>
      <c r="GT20" s="1095">
        <f t="shared" si="12"/>
        <v>74665.744021341437</v>
      </c>
      <c r="GU20" s="497"/>
      <c r="GV20" s="1095">
        <f t="shared" si="106"/>
        <v>4309450.1935147392</v>
      </c>
      <c r="GW20" s="1098">
        <f t="shared" si="107"/>
        <v>0.125</v>
      </c>
      <c r="GX20" s="1095">
        <f t="shared" si="108"/>
        <v>538681.2741893424</v>
      </c>
      <c r="GY20" s="1095">
        <f t="shared" si="109"/>
        <v>30000</v>
      </c>
      <c r="GZ20" s="1095">
        <f t="shared" si="110"/>
        <v>508681.2741893424</v>
      </c>
      <c r="HA20" s="1106">
        <f t="shared" si="111"/>
        <v>48</v>
      </c>
      <c r="HB20" s="770">
        <f t="shared" si="112"/>
        <v>10597.526545611299</v>
      </c>
      <c r="HC20" s="1098">
        <f t="shared" si="113"/>
        <v>0.875</v>
      </c>
      <c r="HD20" s="1102">
        <f t="shared" si="114"/>
        <v>3770768.9193253969</v>
      </c>
      <c r="HE20" s="1101">
        <f t="shared" si="115"/>
        <v>29234.731296177142</v>
      </c>
      <c r="HF20" s="1101">
        <f t="shared" si="116"/>
        <v>33892.737075413213</v>
      </c>
      <c r="HG20" s="1101">
        <f t="shared" si="117"/>
        <v>43781.824470772634</v>
      </c>
      <c r="HH20" s="1101">
        <f t="shared" si="118"/>
        <v>74665.744021341437</v>
      </c>
      <c r="HI20" s="497"/>
      <c r="HJ20" s="1102">
        <f t="shared" si="119"/>
        <v>-6943.2070471246461</v>
      </c>
      <c r="HL20" s="775"/>
      <c r="HN20" s="775"/>
      <c r="HO20" s="775"/>
      <c r="HQ20" s="702"/>
      <c r="HR20" s="1171"/>
      <c r="HS20" s="702"/>
      <c r="HT20" s="1171"/>
      <c r="ID20" s="1279" t="s">
        <v>297</v>
      </c>
      <c r="IE20" s="1280">
        <f>DATE(2028,5,1)</f>
        <v>46874</v>
      </c>
      <c r="IF20" s="1281">
        <f t="shared" si="128"/>
        <v>32</v>
      </c>
    </row>
    <row r="21" spans="1:240" ht="14.25" hidden="1" customHeight="1">
      <c r="A21" s="753">
        <f t="shared" si="120"/>
        <v>15</v>
      </c>
      <c r="B21" s="753"/>
      <c r="C21" s="753">
        <f t="shared" si="121"/>
        <v>15</v>
      </c>
      <c r="D21" s="753" t="s">
        <v>227</v>
      </c>
      <c r="E21" s="717" t="str">
        <f t="shared" si="41"/>
        <v>3rd Floor</v>
      </c>
      <c r="F21" s="754"/>
      <c r="G21" s="755" t="s">
        <v>298</v>
      </c>
      <c r="H21" s="756"/>
      <c r="I21" s="755" t="s">
        <v>229</v>
      </c>
      <c r="J21" s="757">
        <v>22</v>
      </c>
      <c r="K21" s="758"/>
      <c r="L21" s="759" t="s">
        <v>277</v>
      </c>
      <c r="M21" s="760" t="s">
        <v>278</v>
      </c>
      <c r="N21" s="761">
        <f t="shared" si="42"/>
        <v>106005.26567735759</v>
      </c>
      <c r="O21" s="762">
        <f t="shared" si="43"/>
        <v>2332115.8449018667</v>
      </c>
      <c r="P21" s="762">
        <f t="shared" si="44"/>
        <v>22400</v>
      </c>
      <c r="Q21" s="762">
        <f t="shared" si="14"/>
        <v>50000</v>
      </c>
      <c r="R21" s="762"/>
      <c r="S21" s="762"/>
      <c r="T21" s="762"/>
      <c r="U21" s="762"/>
      <c r="V21" s="762"/>
      <c r="W21" s="762">
        <f t="shared" si="137"/>
        <v>22000</v>
      </c>
      <c r="X21" s="762"/>
      <c r="Y21" s="762"/>
      <c r="Z21" s="762">
        <f t="shared" si="15"/>
        <v>142461</v>
      </c>
      <c r="AA21" s="762">
        <v>45722.732758620688</v>
      </c>
      <c r="AB21" s="762"/>
      <c r="AC21" s="762"/>
      <c r="AD21" s="763">
        <f t="shared" si="45"/>
        <v>282583.7327586207</v>
      </c>
      <c r="AE21" s="763">
        <f t="shared" si="16"/>
        <v>2614699.5776604875</v>
      </c>
      <c r="AF21" s="762">
        <f t="shared" si="17"/>
        <v>65367.489441512189</v>
      </c>
      <c r="AG21" s="762">
        <f t="shared" si="46"/>
        <v>2680067.0671019997</v>
      </c>
      <c r="AH21" s="762">
        <f t="shared" si="18"/>
        <v>67001.67667755</v>
      </c>
      <c r="AI21" s="762">
        <f t="shared" si="47"/>
        <v>2747068.7437795498</v>
      </c>
      <c r="AJ21" s="762">
        <f t="shared" si="48"/>
        <v>137353.43718897749</v>
      </c>
      <c r="AK21" s="762">
        <f t="shared" si="122"/>
        <v>2884422.1809685272</v>
      </c>
      <c r="AL21" s="762">
        <f t="shared" si="49"/>
        <v>28844.221809685274</v>
      </c>
      <c r="AM21" s="762">
        <f t="shared" si="50"/>
        <v>27537.409960060559</v>
      </c>
      <c r="AN21" s="762"/>
      <c r="AO21" s="763">
        <f t="shared" si="51"/>
        <v>2940803.8127382728</v>
      </c>
      <c r="AP21" s="763">
        <f t="shared" si="52"/>
        <v>485232.62910181505</v>
      </c>
      <c r="AQ21" s="763">
        <f t="shared" si="53"/>
        <v>3426036.441840088</v>
      </c>
      <c r="AR21" s="1178">
        <f t="shared" si="19"/>
        <v>3000000</v>
      </c>
      <c r="AS21" s="1178">
        <f t="shared" si="123"/>
        <v>19365.292810913092</v>
      </c>
      <c r="AT21" s="1178">
        <f t="shared" si="54"/>
        <v>426036.44184008799</v>
      </c>
      <c r="AU21" s="1178">
        <f t="shared" si="20"/>
        <v>51124.373020810555</v>
      </c>
      <c r="AV21" s="1178">
        <f t="shared" si="55"/>
        <v>477160.81486089854</v>
      </c>
      <c r="AW21" s="1178">
        <f t="shared" si="56"/>
        <v>3477160.8148608985</v>
      </c>
      <c r="AX21" s="762">
        <f t="shared" si="57"/>
        <v>43464.510185761232</v>
      </c>
      <c r="AY21" s="717" t="s">
        <v>231</v>
      </c>
      <c r="AZ21" s="717">
        <f t="shared" si="58"/>
        <v>3520625.3250466599</v>
      </c>
      <c r="BA21" s="717">
        <f t="shared" si="59"/>
        <v>132023.44968924974</v>
      </c>
      <c r="BB21" s="717"/>
      <c r="BC21" s="717">
        <f t="shared" si="21"/>
        <v>33600</v>
      </c>
      <c r="BD21" s="717">
        <f t="shared" si="60"/>
        <v>3686248.7747359099</v>
      </c>
      <c r="BE21" s="717"/>
      <c r="BF21" s="717">
        <f t="shared" si="61"/>
        <v>3686248.7747359099</v>
      </c>
      <c r="BG21" s="1209"/>
      <c r="BH21" s="717">
        <f t="shared" si="62"/>
        <v>3686248.7747359099</v>
      </c>
      <c r="BI21" s="717"/>
      <c r="BJ21" s="717">
        <f t="shared" si="63"/>
        <v>3686248.7747359099</v>
      </c>
      <c r="BK21" s="717"/>
      <c r="BL21" s="717">
        <f t="shared" si="64"/>
        <v>3686248.7747359099</v>
      </c>
      <c r="BM21" s="717"/>
      <c r="BN21" s="717">
        <f t="shared" si="65"/>
        <v>3686248.7747359099</v>
      </c>
      <c r="BO21" s="717"/>
      <c r="BP21" s="717">
        <f t="shared" si="22"/>
        <v>3686248.7747359099</v>
      </c>
      <c r="BQ21" s="717"/>
      <c r="BR21" s="717">
        <f t="shared" si="133"/>
        <v>3686248.7747359099</v>
      </c>
      <c r="BS21" s="717"/>
      <c r="BT21" s="717">
        <f t="shared" si="66"/>
        <v>3686248.7747359099</v>
      </c>
      <c r="BU21" s="717"/>
      <c r="BV21" s="1235">
        <f t="shared" si="134"/>
        <v>51400</v>
      </c>
      <c r="BW21" s="717">
        <f t="shared" si="67"/>
        <v>3737648.7747359099</v>
      </c>
      <c r="BX21" s="717"/>
      <c r="BY21" s="717">
        <f t="shared" si="68"/>
        <v>3737648.7747359099</v>
      </c>
      <c r="BZ21" s="1194">
        <f t="shared" si="69"/>
        <v>3737648.7747359099</v>
      </c>
      <c r="CA21" s="1194">
        <f t="shared" si="70"/>
        <v>3033648.7747359099</v>
      </c>
      <c r="CB21" s="1194">
        <v>32000</v>
      </c>
      <c r="CC21" s="1194">
        <f t="shared" si="71"/>
        <v>704000</v>
      </c>
      <c r="CD21" s="1194">
        <f t="shared" si="72"/>
        <v>84480</v>
      </c>
      <c r="CE21" s="1194">
        <f t="shared" si="73"/>
        <v>788480</v>
      </c>
      <c r="CF21" s="1200">
        <f t="shared" si="74"/>
        <v>3822128.7747359099</v>
      </c>
      <c r="CG21" s="757">
        <f t="shared" si="75"/>
        <v>3822128.7747359099</v>
      </c>
      <c r="CH21" s="758">
        <f t="shared" si="76"/>
        <v>0</v>
      </c>
      <c r="CI21" s="757">
        <f t="shared" si="25"/>
        <v>391768.19941043074</v>
      </c>
      <c r="CJ21" s="757">
        <f t="shared" si="26"/>
        <v>95553.219368397753</v>
      </c>
      <c r="CK21" s="759">
        <f t="shared" si="77"/>
        <v>4309450.1935147392</v>
      </c>
      <c r="CL21" s="764">
        <f t="shared" si="78"/>
        <v>0.125</v>
      </c>
      <c r="CM21" s="757">
        <f t="shared" si="79"/>
        <v>538681.2741893424</v>
      </c>
      <c r="CN21" s="757">
        <f t="shared" si="124"/>
        <v>30000</v>
      </c>
      <c r="CO21" s="757">
        <f t="shared" si="80"/>
        <v>508681.2741893424</v>
      </c>
      <c r="CP21" s="755">
        <f t="shared" si="81"/>
        <v>29</v>
      </c>
      <c r="CQ21" s="757">
        <f t="shared" si="129"/>
        <v>17540.733592735945</v>
      </c>
      <c r="CR21" s="764">
        <f t="shared" si="83"/>
        <v>0.875</v>
      </c>
      <c r="CS21" s="757">
        <f t="shared" si="84"/>
        <v>3770768.9193253969</v>
      </c>
      <c r="CT21" s="1101">
        <f t="shared" si="85"/>
        <v>29234.731296177142</v>
      </c>
      <c r="CU21" s="1101">
        <f t="shared" si="86"/>
        <v>33892.737075413213</v>
      </c>
      <c r="CV21" s="1101">
        <f t="shared" si="87"/>
        <v>43781.824470772634</v>
      </c>
      <c r="CW21" s="1141">
        <f t="shared" si="27"/>
        <v>74665.744021341437</v>
      </c>
      <c r="CX21" s="1152">
        <f t="shared" si="88"/>
        <v>306311.54475968023</v>
      </c>
      <c r="CY21" s="1152">
        <f t="shared" si="89"/>
        <v>121205.98613220325</v>
      </c>
      <c r="CZ21" s="1152">
        <f t="shared" si="90"/>
        <v>87545.367119321934</v>
      </c>
      <c r="DA21" s="1152">
        <f t="shared" si="91"/>
        <v>66626.05475834565</v>
      </c>
      <c r="DB21" s="1143">
        <f t="shared" si="28"/>
        <v>0.14201214728002934</v>
      </c>
      <c r="DC21" s="1143">
        <f t="shared" si="125"/>
        <v>0.25991143291419422</v>
      </c>
      <c r="DD21" s="1098" t="s">
        <v>232</v>
      </c>
      <c r="DE21" s="1144"/>
      <c r="DF21" s="705"/>
      <c r="DG21" s="765">
        <f t="shared" si="126"/>
        <v>46082</v>
      </c>
      <c r="DH21" s="1116">
        <f t="shared" si="29"/>
        <v>28</v>
      </c>
      <c r="DI21" s="497"/>
      <c r="DJ21" s="1117">
        <f t="shared" si="92"/>
        <v>46147</v>
      </c>
      <c r="DK21" s="1116">
        <f t="shared" si="93"/>
        <v>30</v>
      </c>
      <c r="DL21" s="766" t="s">
        <v>233</v>
      </c>
      <c r="DM21" s="766" t="s">
        <v>234</v>
      </c>
      <c r="DN21" s="767">
        <f t="shared" si="30"/>
        <v>21689.12794822266</v>
      </c>
      <c r="DO21" s="767">
        <f t="shared" si="31"/>
        <v>477160.81486089854</v>
      </c>
      <c r="DP21" s="768">
        <f t="shared" si="32"/>
        <v>0.15905360495363285</v>
      </c>
      <c r="DR21" s="767">
        <f t="shared" si="33"/>
        <v>3822128.7747359099</v>
      </c>
      <c r="DS21" s="767">
        <f>SUM('[6]INTERNAL PRICELIST'!M21)</f>
        <v>2329361</v>
      </c>
      <c r="DT21" s="767">
        <f t="shared" si="94"/>
        <v>1492767.7747359099</v>
      </c>
      <c r="DV21" s="951">
        <f t="shared" si="34"/>
        <v>173733.12612435955</v>
      </c>
      <c r="DX21" s="772">
        <v>15</v>
      </c>
      <c r="DY21" s="773" t="s">
        <v>299</v>
      </c>
      <c r="DZ21" s="774">
        <v>22</v>
      </c>
      <c r="EA21" s="775">
        <f t="shared" si="35"/>
        <v>0</v>
      </c>
      <c r="ED21" s="755" t="s">
        <v>298</v>
      </c>
      <c r="EE21" s="777" t="b">
        <f t="shared" si="36"/>
        <v>1</v>
      </c>
      <c r="EF21" s="777"/>
      <c r="EG21" s="777"/>
      <c r="EH21" s="1203"/>
      <c r="EI21" s="828" t="s">
        <v>300</v>
      </c>
      <c r="EJ21" s="471" t="s">
        <v>301</v>
      </c>
      <c r="EP21" s="1230" t="s">
        <v>236</v>
      </c>
      <c r="EQ21" s="1145" t="s">
        <v>236</v>
      </c>
      <c r="ER21" s="753" t="b">
        <f t="shared" si="95"/>
        <v>1</v>
      </c>
      <c r="EU21" s="770">
        <v>2172480</v>
      </c>
      <c r="EV21" s="771" t="s">
        <v>236</v>
      </c>
      <c r="EZ21" s="520"/>
      <c r="FA21" s="778"/>
      <c r="FF21" s="771">
        <f t="shared" si="135"/>
        <v>40</v>
      </c>
      <c r="FG21" s="1122">
        <f t="shared" ref="FG21" si="139">EDATE(FH21,FF21)</f>
        <v>46692</v>
      </c>
      <c r="FH21" s="765">
        <v>45474</v>
      </c>
      <c r="FJ21" s="994">
        <v>0.15</v>
      </c>
      <c r="FK21" s="993">
        <v>12942.297377862546</v>
      </c>
      <c r="FL21" s="993">
        <v>13292.089198885857</v>
      </c>
      <c r="FM21" s="497"/>
      <c r="FN21" s="993">
        <f t="shared" si="38"/>
        <v>4309450.1935147392</v>
      </c>
      <c r="FO21" s="994">
        <f t="shared" si="96"/>
        <v>0.15</v>
      </c>
      <c r="FP21" s="775">
        <f t="shared" si="39"/>
        <v>646417.5290272109</v>
      </c>
      <c r="FQ21" s="993">
        <f t="shared" si="40"/>
        <v>30000</v>
      </c>
      <c r="FR21" s="775">
        <f t="shared" si="97"/>
        <v>616417.5290272109</v>
      </c>
      <c r="FS21" s="497">
        <f t="shared" si="98"/>
        <v>40</v>
      </c>
      <c r="FT21" s="775">
        <f t="shared" si="99"/>
        <v>15410.438225680273</v>
      </c>
      <c r="FU21" s="497"/>
      <c r="FV21" s="993">
        <f t="shared" si="100"/>
        <v>4309450.1935147392</v>
      </c>
      <c r="FW21" s="705">
        <f t="shared" si="101"/>
        <v>430945.01935147395</v>
      </c>
      <c r="FX21" s="705">
        <f t="shared" si="102"/>
        <v>107736.25483786849</v>
      </c>
      <c r="FY21" s="705">
        <v>15000</v>
      </c>
      <c r="FZ21" s="705">
        <f t="shared" si="103"/>
        <v>415945.01935147395</v>
      </c>
      <c r="GA21" s="497">
        <f t="shared" si="104"/>
        <v>46</v>
      </c>
      <c r="GB21" s="775">
        <f t="shared" si="105"/>
        <v>9042.2830293798688</v>
      </c>
      <c r="GC21" s="497"/>
      <c r="GD21" s="497"/>
      <c r="GH21" s="1095">
        <f t="shared" si="0"/>
        <v>4309450.1935147392</v>
      </c>
      <c r="GI21" s="1098">
        <f t="shared" si="1"/>
        <v>0.125</v>
      </c>
      <c r="GJ21" s="1095">
        <f t="shared" si="2"/>
        <v>538681.2741893424</v>
      </c>
      <c r="GK21" s="1095">
        <f t="shared" si="3"/>
        <v>30000</v>
      </c>
      <c r="GL21" s="1095">
        <f t="shared" si="4"/>
        <v>508681.2741893424</v>
      </c>
      <c r="GM21" s="1095">
        <f t="shared" si="5"/>
        <v>29</v>
      </c>
      <c r="GN21" s="1095">
        <f t="shared" si="6"/>
        <v>17540.733592735945</v>
      </c>
      <c r="GO21" s="1098">
        <f t="shared" si="7"/>
        <v>0.875</v>
      </c>
      <c r="GP21" s="1095">
        <f t="shared" si="8"/>
        <v>3770768.9193253969</v>
      </c>
      <c r="GQ21" s="1095">
        <f t="shared" si="9"/>
        <v>29234.731296177142</v>
      </c>
      <c r="GR21" s="1095">
        <f t="shared" si="10"/>
        <v>33892.737075413213</v>
      </c>
      <c r="GS21" s="1095">
        <f t="shared" si="11"/>
        <v>43781.824470772634</v>
      </c>
      <c r="GT21" s="1095">
        <f t="shared" si="12"/>
        <v>74665.744021341437</v>
      </c>
      <c r="GU21" s="497"/>
      <c r="GV21" s="1095">
        <f t="shared" si="106"/>
        <v>4309450.1935147392</v>
      </c>
      <c r="GW21" s="1098">
        <f t="shared" si="107"/>
        <v>0.125</v>
      </c>
      <c r="GX21" s="1095">
        <f t="shared" si="108"/>
        <v>538681.2741893424</v>
      </c>
      <c r="GY21" s="1095">
        <f t="shared" si="109"/>
        <v>30000</v>
      </c>
      <c r="GZ21" s="1095">
        <f t="shared" si="110"/>
        <v>508681.2741893424</v>
      </c>
      <c r="HA21" s="1106">
        <f t="shared" si="111"/>
        <v>48</v>
      </c>
      <c r="HB21" s="770">
        <f t="shared" si="112"/>
        <v>10597.526545611299</v>
      </c>
      <c r="HC21" s="1098">
        <f t="shared" si="113"/>
        <v>0.875</v>
      </c>
      <c r="HD21" s="1102">
        <f t="shared" si="114"/>
        <v>3770768.9193253969</v>
      </c>
      <c r="HE21" s="1101">
        <f t="shared" si="115"/>
        <v>29234.731296177142</v>
      </c>
      <c r="HF21" s="1101">
        <f t="shared" si="116"/>
        <v>33892.737075413213</v>
      </c>
      <c r="HG21" s="1101">
        <f t="shared" si="117"/>
        <v>43781.824470772634</v>
      </c>
      <c r="HH21" s="1101">
        <f t="shared" si="118"/>
        <v>74665.744021341437</v>
      </c>
      <c r="HI21" s="497"/>
      <c r="HJ21" s="1102">
        <f t="shared" si="119"/>
        <v>-6943.2070471246461</v>
      </c>
      <c r="HL21" s="775"/>
      <c r="HN21" s="775"/>
      <c r="HO21" s="775"/>
      <c r="HQ21" s="702"/>
      <c r="HR21" s="1171"/>
      <c r="HS21" s="702"/>
      <c r="HT21" s="1171"/>
    </row>
    <row r="22" spans="1:240" ht="14.25" hidden="1" customHeight="1">
      <c r="A22" s="753">
        <f t="shared" si="120"/>
        <v>16</v>
      </c>
      <c r="B22" s="753"/>
      <c r="C22" s="753">
        <f t="shared" si="121"/>
        <v>16</v>
      </c>
      <c r="D22" s="753" t="s">
        <v>227</v>
      </c>
      <c r="E22" s="717" t="str">
        <f t="shared" si="41"/>
        <v>3rd Floor</v>
      </c>
      <c r="F22" s="754"/>
      <c r="G22" s="755" t="s">
        <v>302</v>
      </c>
      <c r="H22" s="756"/>
      <c r="I22" s="755" t="s">
        <v>229</v>
      </c>
      <c r="J22" s="757">
        <v>22</v>
      </c>
      <c r="K22" s="758"/>
      <c r="L22" s="759" t="s">
        <v>277</v>
      </c>
      <c r="M22" s="760" t="s">
        <v>230</v>
      </c>
      <c r="N22" s="761">
        <f t="shared" si="42"/>
        <v>106005.26567735759</v>
      </c>
      <c r="O22" s="762">
        <f t="shared" si="43"/>
        <v>2332115.8449018667</v>
      </c>
      <c r="P22" s="762">
        <f t="shared" si="44"/>
        <v>22400</v>
      </c>
      <c r="Q22" s="762">
        <f t="shared" si="14"/>
        <v>50000</v>
      </c>
      <c r="R22" s="762"/>
      <c r="S22" s="762"/>
      <c r="T22" s="762"/>
      <c r="U22" s="762"/>
      <c r="V22" s="762">
        <f>J22*$V$5</f>
        <v>55000</v>
      </c>
      <c r="W22" s="762"/>
      <c r="X22" s="762"/>
      <c r="Y22" s="762"/>
      <c r="Z22" s="762">
        <f t="shared" si="15"/>
        <v>142461</v>
      </c>
      <c r="AA22" s="762">
        <v>45722.732758620688</v>
      </c>
      <c r="AB22" s="762"/>
      <c r="AC22" s="762"/>
      <c r="AD22" s="763">
        <f t="shared" si="45"/>
        <v>315583.7327586207</v>
      </c>
      <c r="AE22" s="763">
        <f t="shared" si="16"/>
        <v>2647699.5776604875</v>
      </c>
      <c r="AF22" s="762">
        <f t="shared" si="17"/>
        <v>66192.489441512196</v>
      </c>
      <c r="AG22" s="762">
        <f t="shared" si="46"/>
        <v>2713892.0671019997</v>
      </c>
      <c r="AH22" s="762">
        <f t="shared" si="18"/>
        <v>67847.30167755</v>
      </c>
      <c r="AI22" s="762">
        <f t="shared" si="47"/>
        <v>2781739.3687795498</v>
      </c>
      <c r="AJ22" s="762">
        <f t="shared" si="48"/>
        <v>139086.96843897749</v>
      </c>
      <c r="AK22" s="762">
        <f t="shared" si="122"/>
        <v>2920826.3372185272</v>
      </c>
      <c r="AL22" s="762">
        <f t="shared" si="49"/>
        <v>29208.263372185273</v>
      </c>
      <c r="AM22" s="762">
        <f t="shared" si="50"/>
        <v>27537.409960060559</v>
      </c>
      <c r="AN22" s="762"/>
      <c r="AO22" s="763">
        <f t="shared" si="51"/>
        <v>2977572.0105507728</v>
      </c>
      <c r="AP22" s="763">
        <f t="shared" si="52"/>
        <v>491299.38174087752</v>
      </c>
      <c r="AQ22" s="763">
        <f t="shared" si="53"/>
        <v>3468871.3922916502</v>
      </c>
      <c r="AR22" s="1178">
        <f t="shared" si="19"/>
        <v>3000000</v>
      </c>
      <c r="AS22" s="1178">
        <f t="shared" si="123"/>
        <v>21312.336013256827</v>
      </c>
      <c r="AT22" s="1178">
        <f t="shared" si="54"/>
        <v>468871.39229165018</v>
      </c>
      <c r="AU22" s="1178">
        <f t="shared" si="20"/>
        <v>56264.56707499802</v>
      </c>
      <c r="AV22" s="1178">
        <f t="shared" si="55"/>
        <v>525135.95936664823</v>
      </c>
      <c r="AW22" s="1178">
        <f t="shared" si="56"/>
        <v>3525135.959366648</v>
      </c>
      <c r="AX22" s="762">
        <f t="shared" si="57"/>
        <v>44064.199492083106</v>
      </c>
      <c r="AY22" s="717" t="s">
        <v>231</v>
      </c>
      <c r="AZ22" s="717">
        <f t="shared" si="58"/>
        <v>3569200.1588587309</v>
      </c>
      <c r="BA22" s="717">
        <f t="shared" si="59"/>
        <v>133845.0059572024</v>
      </c>
      <c r="BB22" s="717"/>
      <c r="BC22" s="717">
        <f t="shared" si="21"/>
        <v>33600</v>
      </c>
      <c r="BD22" s="717">
        <f t="shared" si="60"/>
        <v>3736645.1648159334</v>
      </c>
      <c r="BE22" s="717"/>
      <c r="BF22" s="717">
        <f t="shared" si="61"/>
        <v>3736645.1648159334</v>
      </c>
      <c r="BG22" s="1209"/>
      <c r="BH22" s="717">
        <f t="shared" si="62"/>
        <v>3736645.1648159334</v>
      </c>
      <c r="BI22" s="717"/>
      <c r="BJ22" s="717">
        <f t="shared" si="63"/>
        <v>3736645.1648159334</v>
      </c>
      <c r="BK22" s="717"/>
      <c r="BL22" s="717">
        <f t="shared" si="64"/>
        <v>3736645.1648159334</v>
      </c>
      <c r="BM22" s="717"/>
      <c r="BN22" s="717">
        <f t="shared" si="65"/>
        <v>3736645.1648159334</v>
      </c>
      <c r="BO22" s="717"/>
      <c r="BP22" s="717">
        <f t="shared" si="22"/>
        <v>3736645.1648159334</v>
      </c>
      <c r="BQ22" s="717"/>
      <c r="BR22" s="717">
        <f t="shared" si="133"/>
        <v>3736645.1648159334</v>
      </c>
      <c r="BS22" s="717"/>
      <c r="BT22" s="717">
        <f t="shared" si="66"/>
        <v>3736645.1648159334</v>
      </c>
      <c r="BU22" s="717"/>
      <c r="BV22" s="1235">
        <f t="shared" si="134"/>
        <v>51400</v>
      </c>
      <c r="BW22" s="717">
        <f t="shared" si="67"/>
        <v>3788045.1648159334</v>
      </c>
      <c r="BX22" s="717"/>
      <c r="BY22" s="717">
        <f t="shared" si="68"/>
        <v>3788045.1648159334</v>
      </c>
      <c r="BZ22" s="1194">
        <f t="shared" si="69"/>
        <v>3788045.1648159334</v>
      </c>
      <c r="CA22" s="1194">
        <f t="shared" si="70"/>
        <v>3040045.1648159334</v>
      </c>
      <c r="CB22" s="1194">
        <v>34000</v>
      </c>
      <c r="CC22" s="1194">
        <f t="shared" si="71"/>
        <v>748000</v>
      </c>
      <c r="CD22" s="1194">
        <f t="shared" si="72"/>
        <v>89760</v>
      </c>
      <c r="CE22" s="1194">
        <f t="shared" si="73"/>
        <v>837760</v>
      </c>
      <c r="CF22" s="1200">
        <f t="shared" si="74"/>
        <v>3877805.1648159334</v>
      </c>
      <c r="CG22" s="757">
        <f t="shared" si="75"/>
        <v>3877805.1648159334</v>
      </c>
      <c r="CH22" s="758">
        <f t="shared" si="76"/>
        <v>0</v>
      </c>
      <c r="CI22" s="757">
        <f t="shared" si="25"/>
        <v>397475.02939363313</v>
      </c>
      <c r="CJ22" s="757">
        <f t="shared" si="26"/>
        <v>96945.129120398342</v>
      </c>
      <c r="CK22" s="759">
        <f t="shared" si="77"/>
        <v>4372225.3233299647</v>
      </c>
      <c r="CL22" s="764">
        <f t="shared" si="78"/>
        <v>0.125</v>
      </c>
      <c r="CM22" s="757">
        <f t="shared" si="79"/>
        <v>546528.16541624558</v>
      </c>
      <c r="CN22" s="757">
        <f t="shared" si="124"/>
        <v>30000</v>
      </c>
      <c r="CO22" s="757">
        <f t="shared" si="80"/>
        <v>516528.16541624558</v>
      </c>
      <c r="CP22" s="755">
        <f t="shared" si="81"/>
        <v>29</v>
      </c>
      <c r="CQ22" s="757">
        <f t="shared" si="129"/>
        <v>17811.316048836055</v>
      </c>
      <c r="CR22" s="764">
        <f t="shared" si="83"/>
        <v>0.875</v>
      </c>
      <c r="CS22" s="757">
        <f t="shared" si="84"/>
        <v>3825697.1579137193</v>
      </c>
      <c r="CT22" s="1101">
        <f t="shared" si="85"/>
        <v>29660.589345306602</v>
      </c>
      <c r="CU22" s="1101">
        <f t="shared" si="86"/>
        <v>34386.447612526325</v>
      </c>
      <c r="CV22" s="1101">
        <f t="shared" si="87"/>
        <v>44419.587895637422</v>
      </c>
      <c r="CW22" s="1141">
        <f t="shared" si="27"/>
        <v>75753.388979100506</v>
      </c>
      <c r="CX22" s="1152">
        <f t="shared" si="88"/>
        <v>310773.54017040064</v>
      </c>
      <c r="CY22" s="1152">
        <f t="shared" si="89"/>
        <v>122971.57598059779</v>
      </c>
      <c r="CZ22" s="1152">
        <f t="shared" si="90"/>
        <v>88820.627660424681</v>
      </c>
      <c r="DA22" s="1152">
        <f t="shared" si="91"/>
        <v>67596.586740087907</v>
      </c>
      <c r="DB22" s="1143">
        <f t="shared" si="28"/>
        <v>0.15629046409721672</v>
      </c>
      <c r="DC22" s="1143">
        <f t="shared" si="125"/>
        <v>0.27557485319489461</v>
      </c>
      <c r="DD22" s="1098" t="s">
        <v>232</v>
      </c>
      <c r="DE22" s="1144"/>
      <c r="DF22" s="705"/>
      <c r="DG22" s="765">
        <f t="shared" si="126"/>
        <v>46082</v>
      </c>
      <c r="DH22" s="1116">
        <f t="shared" si="29"/>
        <v>28</v>
      </c>
      <c r="DI22" s="497"/>
      <c r="DJ22" s="1117">
        <f t="shared" si="92"/>
        <v>46147</v>
      </c>
      <c r="DK22" s="1116">
        <f t="shared" si="93"/>
        <v>30</v>
      </c>
      <c r="DL22" s="766" t="s">
        <v>233</v>
      </c>
      <c r="DM22" s="766" t="s">
        <v>234</v>
      </c>
      <c r="DN22" s="767">
        <f t="shared" si="30"/>
        <v>23869.816334847648</v>
      </c>
      <c r="DO22" s="767">
        <f t="shared" si="31"/>
        <v>525135.95936664823</v>
      </c>
      <c r="DP22" s="768">
        <f t="shared" si="32"/>
        <v>0.17504531978888274</v>
      </c>
      <c r="DR22" s="767">
        <f t="shared" si="33"/>
        <v>3877805.1648159334</v>
      </c>
      <c r="DS22" s="767">
        <f>SUM('[6]INTERNAL PRICELIST'!M22)</f>
        <v>2329361</v>
      </c>
      <c r="DT22" s="767">
        <f t="shared" si="94"/>
        <v>1548444.1648159334</v>
      </c>
      <c r="DV22" s="951">
        <f t="shared" si="34"/>
        <v>176263.87112799697</v>
      </c>
      <c r="DX22" s="772">
        <v>16</v>
      </c>
      <c r="DY22" s="773" t="s">
        <v>303</v>
      </c>
      <c r="DZ22" s="774">
        <v>22</v>
      </c>
      <c r="EA22" s="775">
        <f t="shared" si="35"/>
        <v>0</v>
      </c>
      <c r="ED22" s="1133" t="s">
        <v>302</v>
      </c>
      <c r="EE22" s="777" t="b">
        <f t="shared" si="36"/>
        <v>1</v>
      </c>
      <c r="EF22" s="777"/>
      <c r="EG22" s="777"/>
      <c r="EH22" s="1203"/>
      <c r="EP22" s="1230" t="s">
        <v>236</v>
      </c>
      <c r="EQ22" s="1145" t="s">
        <v>236</v>
      </c>
      <c r="ER22" s="753" t="b">
        <f t="shared" si="95"/>
        <v>1</v>
      </c>
      <c r="EU22" s="770">
        <v>2123200</v>
      </c>
      <c r="EV22" s="771" t="s">
        <v>236</v>
      </c>
      <c r="EZ22" s="520"/>
      <c r="FA22" s="778"/>
      <c r="FF22" s="771">
        <f t="shared" si="135"/>
        <v>39</v>
      </c>
      <c r="FG22" s="1122">
        <f t="shared" ref="FG22" si="140">EDATE(FH22,FF22)</f>
        <v>46692</v>
      </c>
      <c r="FH22" s="765">
        <v>45505</v>
      </c>
      <c r="FJ22" s="994">
        <v>0.15</v>
      </c>
      <c r="FK22" s="993">
        <v>13378.682179649855</v>
      </c>
      <c r="FL22" s="993">
        <v>13740.268184505258</v>
      </c>
      <c r="FM22" s="497"/>
      <c r="FN22" s="993">
        <f t="shared" si="38"/>
        <v>4372225.3233299647</v>
      </c>
      <c r="FO22" s="994">
        <f t="shared" si="96"/>
        <v>0.15</v>
      </c>
      <c r="FP22" s="775">
        <f t="shared" si="39"/>
        <v>655833.79849949467</v>
      </c>
      <c r="FQ22" s="993">
        <f t="shared" si="40"/>
        <v>30000</v>
      </c>
      <c r="FR22" s="775">
        <f t="shared" si="97"/>
        <v>625833.79849949467</v>
      </c>
      <c r="FS22" s="497">
        <f t="shared" si="98"/>
        <v>40</v>
      </c>
      <c r="FT22" s="775">
        <f t="shared" si="99"/>
        <v>15645.844962487367</v>
      </c>
      <c r="FU22" s="497"/>
      <c r="FV22" s="993">
        <f t="shared" si="100"/>
        <v>4372225.3233299647</v>
      </c>
      <c r="FW22" s="705">
        <f t="shared" si="101"/>
        <v>437222.53233299649</v>
      </c>
      <c r="FX22" s="705">
        <f t="shared" si="102"/>
        <v>109305.63308324912</v>
      </c>
      <c r="FY22" s="705">
        <v>15000</v>
      </c>
      <c r="FZ22" s="705">
        <f t="shared" si="103"/>
        <v>422222.53233299649</v>
      </c>
      <c r="GA22" s="497">
        <f t="shared" si="104"/>
        <v>46</v>
      </c>
      <c r="GB22" s="775">
        <f t="shared" si="105"/>
        <v>9178.7507028912278</v>
      </c>
      <c r="GC22" s="497"/>
      <c r="GD22" s="497"/>
      <c r="GH22" s="1095">
        <f t="shared" si="0"/>
        <v>4372225.3233299647</v>
      </c>
      <c r="GI22" s="1098">
        <f t="shared" si="1"/>
        <v>0.125</v>
      </c>
      <c r="GJ22" s="1095">
        <f t="shared" si="2"/>
        <v>546528.16541624558</v>
      </c>
      <c r="GK22" s="1095">
        <f t="shared" si="3"/>
        <v>30000</v>
      </c>
      <c r="GL22" s="1095">
        <f t="shared" si="4"/>
        <v>516528.16541624558</v>
      </c>
      <c r="GM22" s="1095">
        <f t="shared" si="5"/>
        <v>29</v>
      </c>
      <c r="GN22" s="1095">
        <f t="shared" si="6"/>
        <v>17811.316048836055</v>
      </c>
      <c r="GO22" s="1098">
        <f t="shared" si="7"/>
        <v>0.875</v>
      </c>
      <c r="GP22" s="1095">
        <f t="shared" si="8"/>
        <v>3825697.1579137193</v>
      </c>
      <c r="GQ22" s="1095">
        <f t="shared" si="9"/>
        <v>29660.589345306602</v>
      </c>
      <c r="GR22" s="1095">
        <f t="shared" si="10"/>
        <v>34386.447612526325</v>
      </c>
      <c r="GS22" s="1095">
        <f t="shared" si="11"/>
        <v>44419.587895637422</v>
      </c>
      <c r="GT22" s="1095">
        <f t="shared" si="12"/>
        <v>75753.388979100506</v>
      </c>
      <c r="GU22" s="497"/>
      <c r="GV22" s="1095">
        <f t="shared" si="106"/>
        <v>4372225.3233299647</v>
      </c>
      <c r="GW22" s="1098">
        <f t="shared" si="107"/>
        <v>0.125</v>
      </c>
      <c r="GX22" s="1095">
        <f t="shared" si="108"/>
        <v>546528.16541624558</v>
      </c>
      <c r="GY22" s="1095">
        <f t="shared" si="109"/>
        <v>30000</v>
      </c>
      <c r="GZ22" s="1095">
        <f t="shared" si="110"/>
        <v>516528.16541624558</v>
      </c>
      <c r="HA22" s="1106">
        <f t="shared" si="111"/>
        <v>48</v>
      </c>
      <c r="HB22" s="770">
        <f t="shared" si="112"/>
        <v>10761.003446171782</v>
      </c>
      <c r="HC22" s="1098">
        <f t="shared" si="113"/>
        <v>0.875</v>
      </c>
      <c r="HD22" s="1102">
        <f t="shared" si="114"/>
        <v>3825697.1579137193</v>
      </c>
      <c r="HE22" s="1101">
        <f t="shared" si="115"/>
        <v>29660.589345306602</v>
      </c>
      <c r="HF22" s="1101">
        <f t="shared" si="116"/>
        <v>34386.447612526325</v>
      </c>
      <c r="HG22" s="1101">
        <f t="shared" si="117"/>
        <v>44419.587895637422</v>
      </c>
      <c r="HH22" s="1101">
        <f t="shared" si="118"/>
        <v>75753.388979100506</v>
      </c>
      <c r="HI22" s="497"/>
      <c r="HJ22" s="1102">
        <f t="shared" si="119"/>
        <v>-7050.3126026642731</v>
      </c>
      <c r="HL22" s="775"/>
      <c r="HN22" s="775"/>
      <c r="HO22" s="775"/>
      <c r="HQ22" s="702"/>
      <c r="HR22" s="1171"/>
      <c r="HS22" s="702"/>
      <c r="HT22" s="1171"/>
    </row>
    <row r="23" spans="1:240" ht="14.25" hidden="1" customHeight="1">
      <c r="A23" s="753">
        <f t="shared" si="120"/>
        <v>17</v>
      </c>
      <c r="B23" s="753" t="s">
        <v>236</v>
      </c>
      <c r="C23" s="753">
        <f t="shared" si="121"/>
        <v>17</v>
      </c>
      <c r="D23" s="753" t="s">
        <v>227</v>
      </c>
      <c r="E23" s="717" t="str">
        <f t="shared" si="41"/>
        <v>3rd Floor</v>
      </c>
      <c r="F23" s="754"/>
      <c r="G23" s="755" t="s">
        <v>304</v>
      </c>
      <c r="H23" s="756"/>
      <c r="I23" s="755" t="s">
        <v>229</v>
      </c>
      <c r="J23" s="757">
        <v>22</v>
      </c>
      <c r="K23" s="758"/>
      <c r="L23" s="759" t="s">
        <v>69</v>
      </c>
      <c r="M23" s="760" t="s">
        <v>68</v>
      </c>
      <c r="N23" s="761">
        <f t="shared" si="42"/>
        <v>106005.26567735759</v>
      </c>
      <c r="O23" s="762">
        <f t="shared" si="43"/>
        <v>2332115.8449018667</v>
      </c>
      <c r="P23" s="762">
        <f t="shared" si="44"/>
        <v>22400</v>
      </c>
      <c r="Q23" s="762">
        <f t="shared" si="14"/>
        <v>50000</v>
      </c>
      <c r="R23" s="762"/>
      <c r="S23" s="762"/>
      <c r="T23" s="762"/>
      <c r="U23" s="762"/>
      <c r="V23" s="762"/>
      <c r="W23" s="762"/>
      <c r="X23" s="762"/>
      <c r="Y23" s="762"/>
      <c r="Z23" s="762">
        <f t="shared" si="15"/>
        <v>142461</v>
      </c>
      <c r="AA23" s="762">
        <v>45722.732758620688</v>
      </c>
      <c r="AB23" s="762"/>
      <c r="AC23" s="762"/>
      <c r="AD23" s="763">
        <f t="shared" si="45"/>
        <v>260583.7327586207</v>
      </c>
      <c r="AE23" s="763">
        <f t="shared" si="16"/>
        <v>2592699.5776604875</v>
      </c>
      <c r="AF23" s="762">
        <f t="shared" si="17"/>
        <v>64817.489441512189</v>
      </c>
      <c r="AG23" s="762">
        <f t="shared" si="46"/>
        <v>2657517.0671019997</v>
      </c>
      <c r="AH23" s="762">
        <f t="shared" si="18"/>
        <v>66437.92667755</v>
      </c>
      <c r="AI23" s="762">
        <f t="shared" si="47"/>
        <v>2723954.9937795498</v>
      </c>
      <c r="AJ23" s="762">
        <f t="shared" si="48"/>
        <v>136197.74968897749</v>
      </c>
      <c r="AK23" s="762">
        <f t="shared" si="122"/>
        <v>2860152.7434685272</v>
      </c>
      <c r="AL23" s="762">
        <f>AK23*AL$5+29772.4420833333</f>
        <v>58373.969518018566</v>
      </c>
      <c r="AM23" s="762">
        <f t="shared" si="50"/>
        <v>27537.409960060559</v>
      </c>
      <c r="AN23" s="762"/>
      <c r="AO23" s="763">
        <f t="shared" si="51"/>
        <v>2946064.122946606</v>
      </c>
      <c r="AP23" s="763">
        <f t="shared" si="52"/>
        <v>486100.58028619003</v>
      </c>
      <c r="AQ23" s="763">
        <f t="shared" si="53"/>
        <v>3432164.7032327959</v>
      </c>
      <c r="AR23" s="1178">
        <f t="shared" si="19"/>
        <v>3000000</v>
      </c>
      <c r="AS23" s="1178">
        <f t="shared" si="123"/>
        <v>19643.850146945271</v>
      </c>
      <c r="AT23" s="1178">
        <f t="shared" si="54"/>
        <v>432164.70323279593</v>
      </c>
      <c r="AU23" s="1178">
        <f t="shared" si="20"/>
        <v>51859.764387935509</v>
      </c>
      <c r="AV23" s="1178">
        <f t="shared" si="55"/>
        <v>484024.46762073145</v>
      </c>
      <c r="AW23" s="1178">
        <f t="shared" si="56"/>
        <v>3484024.4676207313</v>
      </c>
      <c r="AX23" s="762">
        <f t="shared" si="57"/>
        <v>43550.305845259143</v>
      </c>
      <c r="AY23" s="717" t="s">
        <v>231</v>
      </c>
      <c r="AZ23" s="717">
        <f t="shared" si="58"/>
        <v>3527574.7734659906</v>
      </c>
      <c r="BA23" s="717">
        <f t="shared" si="59"/>
        <v>132284.05400497463</v>
      </c>
      <c r="BB23" s="717"/>
      <c r="BC23" s="717">
        <f t="shared" si="21"/>
        <v>33600</v>
      </c>
      <c r="BD23" s="717">
        <f t="shared" si="60"/>
        <v>3693458.8274709652</v>
      </c>
      <c r="BE23" s="717"/>
      <c r="BF23" s="717">
        <f t="shared" si="61"/>
        <v>3693458.8274709652</v>
      </c>
      <c r="BG23" s="1209"/>
      <c r="BH23" s="717">
        <f t="shared" si="62"/>
        <v>3693458.8274709652</v>
      </c>
      <c r="BI23" s="717"/>
      <c r="BJ23" s="717">
        <f t="shared" si="63"/>
        <v>3693458.8274709652</v>
      </c>
      <c r="BK23" s="717"/>
      <c r="BL23" s="717">
        <f t="shared" si="64"/>
        <v>3693458.8274709652</v>
      </c>
      <c r="BM23" s="717"/>
      <c r="BN23" s="717">
        <f t="shared" si="65"/>
        <v>3693458.8274709652</v>
      </c>
      <c r="BO23" s="717"/>
      <c r="BP23" s="717">
        <f t="shared" si="22"/>
        <v>3693458.8274709652</v>
      </c>
      <c r="BQ23" s="717"/>
      <c r="BR23" s="717">
        <f t="shared" si="133"/>
        <v>3693458.8274709652</v>
      </c>
      <c r="BS23" s="717"/>
      <c r="BT23" s="717">
        <f t="shared" si="66"/>
        <v>3693458.8274709652</v>
      </c>
      <c r="BU23" s="717"/>
      <c r="BV23" s="1235">
        <f t="shared" si="134"/>
        <v>51400</v>
      </c>
      <c r="BW23" s="717">
        <f t="shared" si="67"/>
        <v>3744858.8274709652</v>
      </c>
      <c r="BX23" s="717"/>
      <c r="BY23" s="717">
        <f t="shared" si="68"/>
        <v>3744858.8274709652</v>
      </c>
      <c r="BZ23" s="1194">
        <f t="shared" si="69"/>
        <v>3744858.8274709652</v>
      </c>
      <c r="CA23" s="1194">
        <f t="shared" si="70"/>
        <v>3040858.8274709652</v>
      </c>
      <c r="CB23" s="1194">
        <v>32000</v>
      </c>
      <c r="CC23" s="1194">
        <f t="shared" si="71"/>
        <v>704000</v>
      </c>
      <c r="CD23" s="1194">
        <f t="shared" si="72"/>
        <v>84480</v>
      </c>
      <c r="CE23" s="1194">
        <f t="shared" si="73"/>
        <v>788480</v>
      </c>
      <c r="CF23" s="1200">
        <f t="shared" si="74"/>
        <v>3829338.8274709652</v>
      </c>
      <c r="CG23" s="757">
        <f t="shared" si="75"/>
        <v>3829338.8274709652</v>
      </c>
      <c r="CH23" s="758">
        <f t="shared" si="76"/>
        <v>0</v>
      </c>
      <c r="CI23" s="757">
        <f t="shared" si="25"/>
        <v>392507.2298157739</v>
      </c>
      <c r="CJ23" s="757">
        <f t="shared" si="26"/>
        <v>95733.470686774133</v>
      </c>
      <c r="CK23" s="759">
        <f t="shared" si="77"/>
        <v>4317579.5279735131</v>
      </c>
      <c r="CL23" s="764">
        <f t="shared" si="78"/>
        <v>0.125</v>
      </c>
      <c r="CM23" s="757">
        <f t="shared" si="79"/>
        <v>539697.44099668914</v>
      </c>
      <c r="CN23" s="757">
        <f t="shared" si="124"/>
        <v>30000</v>
      </c>
      <c r="CO23" s="757">
        <f t="shared" si="80"/>
        <v>509697.44099668914</v>
      </c>
      <c r="CP23" s="755">
        <f t="shared" si="81"/>
        <v>29</v>
      </c>
      <c r="CQ23" s="757">
        <f t="shared" si="129"/>
        <v>17575.77382747204</v>
      </c>
      <c r="CR23" s="764">
        <f t="shared" si="83"/>
        <v>0.875</v>
      </c>
      <c r="CS23" s="757">
        <f t="shared" si="84"/>
        <v>3777882.0869768239</v>
      </c>
      <c r="CT23" s="1101">
        <f t="shared" si="85"/>
        <v>29289.879609267446</v>
      </c>
      <c r="CU23" s="1101">
        <f t="shared" si="86"/>
        <v>33956.672237217368</v>
      </c>
      <c r="CV23" s="1101">
        <f t="shared" si="87"/>
        <v>43864.414378616064</v>
      </c>
      <c r="CW23" s="1141">
        <f t="shared" si="27"/>
        <v>74806.593266258133</v>
      </c>
      <c r="CX23" s="1152">
        <f t="shared" si="88"/>
        <v>306889.36997731065</v>
      </c>
      <c r="CY23" s="1152">
        <f t="shared" si="89"/>
        <v>121434.62875607138</v>
      </c>
      <c r="CZ23" s="1152">
        <f t="shared" si="90"/>
        <v>87710.512448231893</v>
      </c>
      <c r="DA23" s="1152">
        <f t="shared" si="91"/>
        <v>66751.737956544399</v>
      </c>
      <c r="DB23" s="1143">
        <f t="shared" si="28"/>
        <v>0.14405490107759863</v>
      </c>
      <c r="DC23" s="1143">
        <f t="shared" si="125"/>
        <v>0.25929516782459988</v>
      </c>
      <c r="DD23" s="1098" t="s">
        <v>232</v>
      </c>
      <c r="DE23" s="1144"/>
      <c r="DF23" s="705"/>
      <c r="DG23" s="765">
        <f t="shared" si="126"/>
        <v>46082</v>
      </c>
      <c r="DH23" s="1116">
        <f t="shared" si="29"/>
        <v>28</v>
      </c>
      <c r="DI23" s="497"/>
      <c r="DJ23" s="1117">
        <f t="shared" si="92"/>
        <v>46147</v>
      </c>
      <c r="DK23" s="1116">
        <f t="shared" si="93"/>
        <v>30</v>
      </c>
      <c r="DL23" s="766" t="s">
        <v>233</v>
      </c>
      <c r="DM23" s="766" t="s">
        <v>234</v>
      </c>
      <c r="DN23" s="767">
        <f t="shared" si="30"/>
        <v>22001.112164578703</v>
      </c>
      <c r="DO23" s="767">
        <f t="shared" si="31"/>
        <v>484024.46762073145</v>
      </c>
      <c r="DP23" s="768">
        <f t="shared" si="32"/>
        <v>0.16134148920691049</v>
      </c>
      <c r="DR23" s="767">
        <f t="shared" si="33"/>
        <v>3829338.8274709652</v>
      </c>
      <c r="DS23" s="767">
        <f>SUM('[6]INTERNAL PRICELIST'!M23)</f>
        <v>2331316</v>
      </c>
      <c r="DT23" s="767">
        <f t="shared" si="94"/>
        <v>1498022.8274709652</v>
      </c>
      <c r="DV23" s="951">
        <f t="shared" si="34"/>
        <v>174060.85579413478</v>
      </c>
      <c r="DX23" s="772">
        <v>17</v>
      </c>
      <c r="DY23" s="773" t="s">
        <v>305</v>
      </c>
      <c r="DZ23" s="772">
        <v>22.34</v>
      </c>
      <c r="EA23" s="775">
        <f t="shared" si="35"/>
        <v>0.33999999999999986</v>
      </c>
      <c r="ED23" s="755" t="s">
        <v>304</v>
      </c>
      <c r="EE23" s="777" t="b">
        <f t="shared" si="36"/>
        <v>1</v>
      </c>
      <c r="EF23" s="1123" t="s">
        <v>306</v>
      </c>
      <c r="EG23" s="1123" t="s">
        <v>247</v>
      </c>
      <c r="EH23" s="1203"/>
      <c r="EP23" s="1230" t="s">
        <v>236</v>
      </c>
      <c r="EQ23" s="1145" t="s">
        <v>236</v>
      </c>
      <c r="ER23" s="753" t="b">
        <f t="shared" si="95"/>
        <v>1</v>
      </c>
      <c r="EU23" s="770">
        <v>2123200</v>
      </c>
      <c r="EV23" s="771" t="s">
        <v>236</v>
      </c>
      <c r="EZ23" s="520"/>
      <c r="FA23" s="778"/>
      <c r="FF23" s="771">
        <f t="shared" si="135"/>
        <v>38</v>
      </c>
      <c r="FG23" s="1122">
        <f t="shared" ref="FG23" si="141">EDATE(FH23,FF23)</f>
        <v>46692</v>
      </c>
      <c r="FH23" s="765">
        <v>45536</v>
      </c>
      <c r="FJ23" s="994">
        <v>0.15</v>
      </c>
      <c r="FK23" s="993">
        <v>12820.110851026688</v>
      </c>
      <c r="FL23" s="993">
        <v>13166.600333486867</v>
      </c>
      <c r="FM23" s="497"/>
      <c r="FN23" s="993">
        <f t="shared" si="38"/>
        <v>4317579.5279735131</v>
      </c>
      <c r="FO23" s="994">
        <f t="shared" si="96"/>
        <v>0.15</v>
      </c>
      <c r="FP23" s="775">
        <f t="shared" si="39"/>
        <v>647636.92919602699</v>
      </c>
      <c r="FQ23" s="993">
        <f t="shared" si="40"/>
        <v>30000</v>
      </c>
      <c r="FR23" s="775">
        <f t="shared" si="97"/>
        <v>617636.92919602699</v>
      </c>
      <c r="FS23" s="497">
        <f t="shared" si="98"/>
        <v>40</v>
      </c>
      <c r="FT23" s="775">
        <f t="shared" si="99"/>
        <v>15440.923229900674</v>
      </c>
      <c r="FU23" s="497"/>
      <c r="FV23" s="993">
        <f t="shared" si="100"/>
        <v>4317579.5279735131</v>
      </c>
      <c r="FW23" s="705">
        <f t="shared" si="101"/>
        <v>431757.95279735135</v>
      </c>
      <c r="FX23" s="705">
        <f t="shared" si="102"/>
        <v>107939.48819933784</v>
      </c>
      <c r="FY23" s="705">
        <v>15000</v>
      </c>
      <c r="FZ23" s="705">
        <f t="shared" si="103"/>
        <v>416757.95279735135</v>
      </c>
      <c r="GA23" s="497">
        <f t="shared" si="104"/>
        <v>46</v>
      </c>
      <c r="GB23" s="775">
        <f t="shared" si="105"/>
        <v>9059.955495594595</v>
      </c>
      <c r="GC23" s="497"/>
      <c r="GD23" s="497"/>
      <c r="GH23" s="1095">
        <f t="shared" si="0"/>
        <v>4317579.5279735131</v>
      </c>
      <c r="GI23" s="1098">
        <f t="shared" si="1"/>
        <v>0.125</v>
      </c>
      <c r="GJ23" s="1095">
        <f t="shared" si="2"/>
        <v>539697.44099668914</v>
      </c>
      <c r="GK23" s="1095">
        <f t="shared" si="3"/>
        <v>30000</v>
      </c>
      <c r="GL23" s="1095">
        <f t="shared" si="4"/>
        <v>509697.44099668914</v>
      </c>
      <c r="GM23" s="1095">
        <f t="shared" si="5"/>
        <v>29</v>
      </c>
      <c r="GN23" s="1095">
        <f t="shared" si="6"/>
        <v>17575.77382747204</v>
      </c>
      <c r="GO23" s="1098">
        <f t="shared" si="7"/>
        <v>0.875</v>
      </c>
      <c r="GP23" s="1095">
        <f t="shared" si="8"/>
        <v>3777882.0869768239</v>
      </c>
      <c r="GQ23" s="1095">
        <f t="shared" si="9"/>
        <v>29289.879609267446</v>
      </c>
      <c r="GR23" s="1095">
        <f t="shared" si="10"/>
        <v>33956.672237217368</v>
      </c>
      <c r="GS23" s="1095">
        <f t="shared" si="11"/>
        <v>43864.414378616064</v>
      </c>
      <c r="GT23" s="1095">
        <f t="shared" si="12"/>
        <v>74806.593266258133</v>
      </c>
      <c r="GU23" s="497"/>
      <c r="GV23" s="1095">
        <f t="shared" si="106"/>
        <v>4317579.5279735131</v>
      </c>
      <c r="GW23" s="1098">
        <f t="shared" si="107"/>
        <v>0.125</v>
      </c>
      <c r="GX23" s="1095">
        <f t="shared" si="108"/>
        <v>539697.44099668914</v>
      </c>
      <c r="GY23" s="1095">
        <f t="shared" si="109"/>
        <v>30000</v>
      </c>
      <c r="GZ23" s="1095">
        <f t="shared" si="110"/>
        <v>509697.44099668914</v>
      </c>
      <c r="HA23" s="1106">
        <f t="shared" si="111"/>
        <v>48</v>
      </c>
      <c r="HB23" s="770">
        <f t="shared" si="112"/>
        <v>10618.696687431024</v>
      </c>
      <c r="HC23" s="1098">
        <f t="shared" si="113"/>
        <v>0.875</v>
      </c>
      <c r="HD23" s="1102">
        <f t="shared" si="114"/>
        <v>3777882.0869768239</v>
      </c>
      <c r="HE23" s="1101">
        <f t="shared" si="115"/>
        <v>29289.879609267446</v>
      </c>
      <c r="HF23" s="1101">
        <f t="shared" si="116"/>
        <v>33956.672237217368</v>
      </c>
      <c r="HG23" s="1101">
        <f t="shared" si="117"/>
        <v>43864.414378616064</v>
      </c>
      <c r="HH23" s="1101">
        <f t="shared" si="118"/>
        <v>74806.593266258133</v>
      </c>
      <c r="HI23" s="497"/>
      <c r="HJ23" s="1102">
        <f t="shared" si="119"/>
        <v>-6957.0771400410158</v>
      </c>
      <c r="HL23" s="775"/>
      <c r="HN23" s="775"/>
      <c r="HO23" s="775"/>
      <c r="HQ23" s="702"/>
      <c r="HR23" s="1171"/>
      <c r="HS23" s="702"/>
      <c r="HT23" s="1171"/>
    </row>
    <row r="24" spans="1:240" ht="14.25" hidden="1" customHeight="1">
      <c r="A24" s="753">
        <f t="shared" si="120"/>
        <v>18</v>
      </c>
      <c r="B24" s="753" t="s">
        <v>236</v>
      </c>
      <c r="C24" s="753">
        <f t="shared" si="121"/>
        <v>18</v>
      </c>
      <c r="D24" s="753" t="s">
        <v>227</v>
      </c>
      <c r="E24" s="717" t="str">
        <f t="shared" si="41"/>
        <v>3rd Floor</v>
      </c>
      <c r="F24" s="754"/>
      <c r="G24" s="755" t="s">
        <v>307</v>
      </c>
      <c r="H24" s="756"/>
      <c r="I24" s="755" t="s">
        <v>229</v>
      </c>
      <c r="J24" s="757">
        <v>22</v>
      </c>
      <c r="K24" s="758"/>
      <c r="L24" s="759" t="s">
        <v>69</v>
      </c>
      <c r="M24" s="760" t="s">
        <v>68</v>
      </c>
      <c r="N24" s="761">
        <f t="shared" si="42"/>
        <v>106005.26567735759</v>
      </c>
      <c r="O24" s="762">
        <f t="shared" si="43"/>
        <v>2332115.8449018667</v>
      </c>
      <c r="P24" s="762">
        <f t="shared" si="44"/>
        <v>22400</v>
      </c>
      <c r="Q24" s="762">
        <f t="shared" si="14"/>
        <v>50000</v>
      </c>
      <c r="R24" s="762"/>
      <c r="S24" s="762"/>
      <c r="T24" s="762"/>
      <c r="U24" s="762"/>
      <c r="V24" s="762"/>
      <c r="W24" s="762"/>
      <c r="X24" s="762"/>
      <c r="Y24" s="762"/>
      <c r="Z24" s="762">
        <f t="shared" si="15"/>
        <v>142461</v>
      </c>
      <c r="AA24" s="762">
        <v>45722.732758620688</v>
      </c>
      <c r="AB24" s="762"/>
      <c r="AC24" s="762"/>
      <c r="AD24" s="763">
        <f t="shared" si="45"/>
        <v>260583.7327586207</v>
      </c>
      <c r="AE24" s="763">
        <f t="shared" si="16"/>
        <v>2592699.5776604875</v>
      </c>
      <c r="AF24" s="762">
        <f t="shared" si="17"/>
        <v>64817.489441512189</v>
      </c>
      <c r="AG24" s="762">
        <f t="shared" si="46"/>
        <v>2657517.0671019997</v>
      </c>
      <c r="AH24" s="762">
        <f t="shared" si="18"/>
        <v>66437.92667755</v>
      </c>
      <c r="AI24" s="762">
        <f t="shared" si="47"/>
        <v>2723954.9937795498</v>
      </c>
      <c r="AJ24" s="762">
        <f t="shared" si="48"/>
        <v>136197.74968897749</v>
      </c>
      <c r="AK24" s="762">
        <f t="shared" si="122"/>
        <v>2860152.7434685272</v>
      </c>
      <c r="AL24" s="762">
        <f t="shared" si="49"/>
        <v>28601.527434685271</v>
      </c>
      <c r="AM24" s="762">
        <f t="shared" si="50"/>
        <v>27537.409960060559</v>
      </c>
      <c r="AN24" s="762"/>
      <c r="AO24" s="763">
        <f t="shared" si="51"/>
        <v>2916291.6808632729</v>
      </c>
      <c r="AP24" s="763">
        <f t="shared" si="52"/>
        <v>481188.12734244007</v>
      </c>
      <c r="AQ24" s="763">
        <f t="shared" si="53"/>
        <v>3397479.8082057131</v>
      </c>
      <c r="AR24" s="1178">
        <f t="shared" si="19"/>
        <v>3000000</v>
      </c>
      <c r="AS24" s="1178">
        <f t="shared" si="123"/>
        <v>18067.264009350594</v>
      </c>
      <c r="AT24" s="1178">
        <f t="shared" si="54"/>
        <v>397479.80820571305</v>
      </c>
      <c r="AU24" s="1178">
        <f t="shared" si="20"/>
        <v>47697.576984685562</v>
      </c>
      <c r="AV24" s="1178">
        <f t="shared" si="55"/>
        <v>445177.38519039861</v>
      </c>
      <c r="AW24" s="1178">
        <f t="shared" si="56"/>
        <v>3445177.3851903984</v>
      </c>
      <c r="AX24" s="762">
        <f t="shared" si="57"/>
        <v>43064.717314879985</v>
      </c>
      <c r="AY24" s="717" t="s">
        <v>231</v>
      </c>
      <c r="AZ24" s="717">
        <f t="shared" si="58"/>
        <v>3488242.1025052783</v>
      </c>
      <c r="BA24" s="717">
        <f t="shared" si="59"/>
        <v>130809.07884394794</v>
      </c>
      <c r="BB24" s="717"/>
      <c r="BC24" s="717">
        <f t="shared" si="21"/>
        <v>33600</v>
      </c>
      <c r="BD24" s="717">
        <f t="shared" si="60"/>
        <v>3652651.1813492263</v>
      </c>
      <c r="BE24" s="717"/>
      <c r="BF24" s="717">
        <f t="shared" si="61"/>
        <v>3652651.1813492263</v>
      </c>
      <c r="BG24" s="1209"/>
      <c r="BH24" s="717">
        <f t="shared" si="62"/>
        <v>3652651.1813492263</v>
      </c>
      <c r="BI24" s="717"/>
      <c r="BJ24" s="717">
        <f t="shared" si="63"/>
        <v>3652651.1813492263</v>
      </c>
      <c r="BK24" s="717"/>
      <c r="BL24" s="717">
        <f t="shared" si="64"/>
        <v>3652651.1813492263</v>
      </c>
      <c r="BM24" s="717"/>
      <c r="BN24" s="717">
        <f t="shared" si="65"/>
        <v>3652651.1813492263</v>
      </c>
      <c r="BO24" s="717"/>
      <c r="BP24" s="717">
        <f t="shared" si="22"/>
        <v>3652651.1813492263</v>
      </c>
      <c r="BQ24" s="717"/>
      <c r="BR24" s="717">
        <f t="shared" si="133"/>
        <v>3652651.1813492263</v>
      </c>
      <c r="BS24" s="717"/>
      <c r="BT24" s="717">
        <f t="shared" si="66"/>
        <v>3652651.1813492263</v>
      </c>
      <c r="BU24" s="717"/>
      <c r="BV24" s="1235">
        <f t="shared" si="134"/>
        <v>51400</v>
      </c>
      <c r="BW24" s="717">
        <f t="shared" si="67"/>
        <v>3704051.1813492263</v>
      </c>
      <c r="BX24" s="717"/>
      <c r="BY24" s="717">
        <f t="shared" si="68"/>
        <v>3704051.1813492263</v>
      </c>
      <c r="BZ24" s="1194">
        <f t="shared" si="69"/>
        <v>3704051.1813492263</v>
      </c>
      <c r="CA24" s="1194">
        <f t="shared" si="70"/>
        <v>3022051.1813492263</v>
      </c>
      <c r="CB24" s="1194">
        <v>31000</v>
      </c>
      <c r="CC24" s="1194">
        <f t="shared" si="71"/>
        <v>682000</v>
      </c>
      <c r="CD24" s="1194">
        <f t="shared" si="72"/>
        <v>81840</v>
      </c>
      <c r="CE24" s="1194">
        <f t="shared" si="73"/>
        <v>763840</v>
      </c>
      <c r="CF24" s="1200">
        <f t="shared" si="74"/>
        <v>3785891.1813492263</v>
      </c>
      <c r="CG24" s="757">
        <f t="shared" si="75"/>
        <v>3785891.1813492263</v>
      </c>
      <c r="CH24" s="758">
        <f t="shared" si="76"/>
        <v>0</v>
      </c>
      <c r="CI24" s="757">
        <f t="shared" si="25"/>
        <v>388053.84608829569</v>
      </c>
      <c r="CJ24" s="757">
        <f t="shared" si="26"/>
        <v>94647.27953373066</v>
      </c>
      <c r="CK24" s="759">
        <f t="shared" si="77"/>
        <v>4268592.3069712529</v>
      </c>
      <c r="CL24" s="764">
        <f t="shared" si="78"/>
        <v>0.125</v>
      </c>
      <c r="CM24" s="757">
        <f t="shared" si="79"/>
        <v>533574.03837140661</v>
      </c>
      <c r="CN24" s="757">
        <f t="shared" si="124"/>
        <v>30000</v>
      </c>
      <c r="CO24" s="757">
        <f t="shared" si="80"/>
        <v>503574.03837140661</v>
      </c>
      <c r="CP24" s="755">
        <f t="shared" si="81"/>
        <v>29</v>
      </c>
      <c r="CQ24" s="757">
        <f t="shared" si="129"/>
        <v>17364.622012807125</v>
      </c>
      <c r="CR24" s="764">
        <f t="shared" si="83"/>
        <v>0.875</v>
      </c>
      <c r="CS24" s="757">
        <f t="shared" si="84"/>
        <v>3735018.2685998464</v>
      </c>
      <c r="CT24" s="1101">
        <f t="shared" si="85"/>
        <v>28957.556881625129</v>
      </c>
      <c r="CU24" s="1101">
        <f t="shared" si="86"/>
        <v>33571.400119678256</v>
      </c>
      <c r="CV24" s="1101">
        <f t="shared" si="87"/>
        <v>43366.729102090649</v>
      </c>
      <c r="CW24" s="1141">
        <f t="shared" si="27"/>
        <v>73957.838288378131</v>
      </c>
      <c r="CX24" s="1152">
        <f t="shared" si="88"/>
        <v>303407.40576728969</v>
      </c>
      <c r="CY24" s="1152">
        <f t="shared" si="89"/>
        <v>120056.83247978757</v>
      </c>
      <c r="CZ24" s="1152">
        <f t="shared" si="90"/>
        <v>86715.349711868883</v>
      </c>
      <c r="DA24" s="1152">
        <f t="shared" si="91"/>
        <v>65994.373299246014</v>
      </c>
      <c r="DB24" s="1143">
        <f t="shared" si="28"/>
        <v>0.13249326940190434</v>
      </c>
      <c r="DC24" s="1143">
        <f t="shared" si="125"/>
        <v>0.25275548101702755</v>
      </c>
      <c r="DD24" s="1098" t="s">
        <v>232</v>
      </c>
      <c r="DE24" s="1144"/>
      <c r="DF24" s="705"/>
      <c r="DG24" s="765">
        <f t="shared" si="126"/>
        <v>46082</v>
      </c>
      <c r="DH24" s="1116">
        <f t="shared" si="29"/>
        <v>28</v>
      </c>
      <c r="DI24" s="497"/>
      <c r="DJ24" s="1117">
        <f t="shared" si="92"/>
        <v>46147</v>
      </c>
      <c r="DK24" s="1116">
        <f t="shared" si="93"/>
        <v>30</v>
      </c>
      <c r="DL24" s="766" t="s">
        <v>233</v>
      </c>
      <c r="DM24" s="766" t="s">
        <v>234</v>
      </c>
      <c r="DN24" s="767">
        <f t="shared" si="30"/>
        <v>20235.335690472664</v>
      </c>
      <c r="DO24" s="767">
        <f t="shared" si="31"/>
        <v>445177.38519039861</v>
      </c>
      <c r="DP24" s="768">
        <f t="shared" si="32"/>
        <v>0.14839246173013287</v>
      </c>
      <c r="DR24" s="767">
        <f t="shared" si="33"/>
        <v>3785891.1813492263</v>
      </c>
      <c r="DS24" s="767">
        <f>SUM('[6]INTERNAL PRICELIST'!M24)</f>
        <v>2329361</v>
      </c>
      <c r="DT24" s="767">
        <f t="shared" si="94"/>
        <v>1456530.1813492263</v>
      </c>
      <c r="DV24" s="951">
        <f t="shared" si="34"/>
        <v>172085.9627886012</v>
      </c>
      <c r="DW24" s="512"/>
      <c r="DX24" s="772">
        <v>1</v>
      </c>
      <c r="DY24" s="773" t="s">
        <v>235</v>
      </c>
      <c r="DZ24" s="774">
        <v>22</v>
      </c>
      <c r="EA24" s="775">
        <f t="shared" si="35"/>
        <v>0</v>
      </c>
      <c r="ED24" s="755" t="s">
        <v>307</v>
      </c>
      <c r="EE24" s="777" t="b">
        <f t="shared" si="36"/>
        <v>1</v>
      </c>
      <c r="EF24" s="1123" t="s">
        <v>308</v>
      </c>
      <c r="EG24" s="1123" t="s">
        <v>247</v>
      </c>
      <c r="EH24" s="1203"/>
      <c r="EP24" s="1230" t="s">
        <v>236</v>
      </c>
      <c r="EQ24" s="1145" t="s">
        <v>236</v>
      </c>
      <c r="ER24" s="753" t="b">
        <f t="shared" si="95"/>
        <v>1</v>
      </c>
      <c r="EU24" s="770">
        <v>2123200</v>
      </c>
      <c r="EV24" s="771" t="s">
        <v>236</v>
      </c>
      <c r="EZ24" s="520"/>
      <c r="FA24" s="778"/>
      <c r="FF24" s="771">
        <f t="shared" si="135"/>
        <v>37</v>
      </c>
      <c r="FG24" s="1122">
        <f t="shared" ref="FG24:FG25" si="142">EDATE(FH24,FF24)</f>
        <v>46692</v>
      </c>
      <c r="FH24" s="765">
        <v>45566</v>
      </c>
      <c r="FJ24" s="994">
        <v>0.15</v>
      </c>
      <c r="FK24" s="993">
        <v>12820.110851026688</v>
      </c>
      <c r="FL24" s="993">
        <v>13166.600333486867</v>
      </c>
      <c r="FM24" s="497"/>
      <c r="FN24" s="993">
        <f t="shared" si="38"/>
        <v>4268592.3069712529</v>
      </c>
      <c r="FO24" s="994">
        <f t="shared" si="96"/>
        <v>0.15</v>
      </c>
      <c r="FP24" s="775">
        <f t="shared" si="39"/>
        <v>640288.84604568791</v>
      </c>
      <c r="FQ24" s="993">
        <f t="shared" si="40"/>
        <v>30000</v>
      </c>
      <c r="FR24" s="775">
        <f t="shared" si="97"/>
        <v>610288.84604568791</v>
      </c>
      <c r="FS24" s="497">
        <f t="shared" si="98"/>
        <v>40</v>
      </c>
      <c r="FT24" s="775">
        <f t="shared" si="99"/>
        <v>15257.221151142197</v>
      </c>
      <c r="FU24" s="497"/>
      <c r="FV24" s="993">
        <f t="shared" si="100"/>
        <v>4268592.3069712529</v>
      </c>
      <c r="FW24" s="705">
        <f t="shared" si="101"/>
        <v>426859.23069712531</v>
      </c>
      <c r="FX24" s="705">
        <f t="shared" si="102"/>
        <v>106714.80767428133</v>
      </c>
      <c r="FY24" s="705">
        <v>15000</v>
      </c>
      <c r="FZ24" s="705">
        <f t="shared" si="103"/>
        <v>411859.23069712531</v>
      </c>
      <c r="GA24" s="497">
        <f t="shared" si="104"/>
        <v>46</v>
      </c>
      <c r="GB24" s="775">
        <f t="shared" si="105"/>
        <v>8953.4615368940285</v>
      </c>
      <c r="GC24" s="497"/>
      <c r="GD24" s="497"/>
      <c r="GH24" s="1095">
        <f t="shared" si="0"/>
        <v>4268592.3069712529</v>
      </c>
      <c r="GI24" s="1098">
        <f t="shared" si="1"/>
        <v>0.125</v>
      </c>
      <c r="GJ24" s="1095">
        <f t="shared" si="2"/>
        <v>533574.03837140661</v>
      </c>
      <c r="GK24" s="1095">
        <f t="shared" si="3"/>
        <v>30000</v>
      </c>
      <c r="GL24" s="1095">
        <f t="shared" si="4"/>
        <v>503574.03837140661</v>
      </c>
      <c r="GM24" s="1095">
        <f t="shared" si="5"/>
        <v>29</v>
      </c>
      <c r="GN24" s="1095">
        <f t="shared" si="6"/>
        <v>17364.622012807125</v>
      </c>
      <c r="GO24" s="1098">
        <f t="shared" si="7"/>
        <v>0.875</v>
      </c>
      <c r="GP24" s="1095">
        <f t="shared" si="8"/>
        <v>3735018.2685998464</v>
      </c>
      <c r="GQ24" s="1095">
        <f t="shared" si="9"/>
        <v>28957.556881625129</v>
      </c>
      <c r="GR24" s="1095">
        <f t="shared" si="10"/>
        <v>33571.400119678256</v>
      </c>
      <c r="GS24" s="1095">
        <f t="shared" si="11"/>
        <v>43366.729102090649</v>
      </c>
      <c r="GT24" s="1095">
        <f t="shared" si="12"/>
        <v>73957.838288378131</v>
      </c>
      <c r="GU24" s="497"/>
      <c r="GV24" s="1095">
        <f t="shared" si="106"/>
        <v>4268592.3069712529</v>
      </c>
      <c r="GW24" s="1098">
        <f t="shared" si="107"/>
        <v>0.125</v>
      </c>
      <c r="GX24" s="1095">
        <f t="shared" si="108"/>
        <v>533574.03837140661</v>
      </c>
      <c r="GY24" s="1095">
        <f t="shared" si="109"/>
        <v>30000</v>
      </c>
      <c r="GZ24" s="1095">
        <f t="shared" si="110"/>
        <v>503574.03837140661</v>
      </c>
      <c r="HA24" s="1106">
        <f t="shared" si="111"/>
        <v>48</v>
      </c>
      <c r="HB24" s="770">
        <f t="shared" si="112"/>
        <v>10491.125799404304</v>
      </c>
      <c r="HC24" s="1098">
        <f t="shared" si="113"/>
        <v>0.875</v>
      </c>
      <c r="HD24" s="1102">
        <f t="shared" si="114"/>
        <v>3735018.2685998464</v>
      </c>
      <c r="HE24" s="1101">
        <f t="shared" si="115"/>
        <v>28957.556881625129</v>
      </c>
      <c r="HF24" s="1101">
        <f t="shared" si="116"/>
        <v>33571.400119678256</v>
      </c>
      <c r="HG24" s="1101">
        <f t="shared" si="117"/>
        <v>43366.729102090649</v>
      </c>
      <c r="HH24" s="1101">
        <f t="shared" si="118"/>
        <v>73957.838288378131</v>
      </c>
      <c r="HI24" s="497"/>
      <c r="HJ24" s="1102">
        <f t="shared" si="119"/>
        <v>-6873.496213402821</v>
      </c>
      <c r="HL24" s="775"/>
      <c r="HN24" s="775"/>
      <c r="HO24" s="775"/>
      <c r="HQ24" s="702"/>
      <c r="HR24" s="1171"/>
      <c r="HS24" s="702"/>
      <c r="HT24" s="1171"/>
    </row>
    <row r="25" spans="1:240" ht="14.25" hidden="1" customHeight="1">
      <c r="A25" s="753">
        <f t="shared" si="120"/>
        <v>19</v>
      </c>
      <c r="B25" s="753" t="s">
        <v>236</v>
      </c>
      <c r="C25" s="753">
        <f t="shared" si="121"/>
        <v>19</v>
      </c>
      <c r="D25" s="753" t="s">
        <v>227</v>
      </c>
      <c r="E25" s="717" t="str">
        <f t="shared" si="41"/>
        <v>3rd Floor</v>
      </c>
      <c r="F25" s="754"/>
      <c r="G25" s="755" t="s">
        <v>309</v>
      </c>
      <c r="H25" s="756"/>
      <c r="I25" s="755" t="s">
        <v>229</v>
      </c>
      <c r="J25" s="757">
        <v>22</v>
      </c>
      <c r="K25" s="758"/>
      <c r="L25" s="759" t="s">
        <v>69</v>
      </c>
      <c r="M25" s="760" t="s">
        <v>68</v>
      </c>
      <c r="N25" s="761">
        <f t="shared" si="42"/>
        <v>106005.26567735759</v>
      </c>
      <c r="O25" s="762">
        <f t="shared" si="43"/>
        <v>2332115.8449018667</v>
      </c>
      <c r="P25" s="762">
        <f t="shared" si="44"/>
        <v>22400</v>
      </c>
      <c r="Q25" s="762">
        <f t="shared" si="14"/>
        <v>50000</v>
      </c>
      <c r="R25" s="762"/>
      <c r="S25" s="762"/>
      <c r="T25" s="762"/>
      <c r="U25" s="762"/>
      <c r="V25" s="762"/>
      <c r="W25" s="762"/>
      <c r="X25" s="762"/>
      <c r="Y25" s="762"/>
      <c r="Z25" s="762">
        <f t="shared" si="15"/>
        <v>142461</v>
      </c>
      <c r="AA25" s="762">
        <v>45722.732758620688</v>
      </c>
      <c r="AB25" s="762"/>
      <c r="AC25" s="762"/>
      <c r="AD25" s="763">
        <f t="shared" si="45"/>
        <v>260583.7327586207</v>
      </c>
      <c r="AE25" s="763">
        <f t="shared" si="16"/>
        <v>2592699.5776604875</v>
      </c>
      <c r="AF25" s="762">
        <f t="shared" si="17"/>
        <v>64817.489441512189</v>
      </c>
      <c r="AG25" s="762">
        <f t="shared" si="46"/>
        <v>2657517.0671019997</v>
      </c>
      <c r="AH25" s="762">
        <f t="shared" si="18"/>
        <v>66437.92667755</v>
      </c>
      <c r="AI25" s="762">
        <f t="shared" si="47"/>
        <v>2723954.9937795498</v>
      </c>
      <c r="AJ25" s="762">
        <f t="shared" si="48"/>
        <v>136197.74968897749</v>
      </c>
      <c r="AK25" s="762">
        <f t="shared" si="122"/>
        <v>2860152.7434685272</v>
      </c>
      <c r="AL25" s="762">
        <f t="shared" si="49"/>
        <v>28601.527434685271</v>
      </c>
      <c r="AM25" s="762">
        <f t="shared" si="50"/>
        <v>27537.409960060559</v>
      </c>
      <c r="AN25" s="762"/>
      <c r="AO25" s="763">
        <f t="shared" si="51"/>
        <v>2916291.6808632729</v>
      </c>
      <c r="AP25" s="763">
        <f t="shared" si="52"/>
        <v>481188.12734244007</v>
      </c>
      <c r="AQ25" s="763">
        <f t="shared" si="53"/>
        <v>3397479.8082057131</v>
      </c>
      <c r="AR25" s="1178">
        <f t="shared" si="19"/>
        <v>3000000</v>
      </c>
      <c r="AS25" s="1178">
        <f t="shared" si="123"/>
        <v>18067.264009350594</v>
      </c>
      <c r="AT25" s="1178">
        <f t="shared" si="54"/>
        <v>397479.80820571305</v>
      </c>
      <c r="AU25" s="1178">
        <f t="shared" si="20"/>
        <v>47697.576984685562</v>
      </c>
      <c r="AV25" s="1178">
        <f t="shared" si="55"/>
        <v>445177.38519039861</v>
      </c>
      <c r="AW25" s="1178">
        <f t="shared" si="56"/>
        <v>3445177.3851903984</v>
      </c>
      <c r="AX25" s="762">
        <f t="shared" si="57"/>
        <v>43064.717314879985</v>
      </c>
      <c r="AY25" s="717" t="s">
        <v>231</v>
      </c>
      <c r="AZ25" s="717">
        <f t="shared" si="58"/>
        <v>3488242.1025052783</v>
      </c>
      <c r="BA25" s="717">
        <f t="shared" si="59"/>
        <v>130809.07884394794</v>
      </c>
      <c r="BB25" s="717"/>
      <c r="BC25" s="717">
        <f t="shared" si="21"/>
        <v>33600</v>
      </c>
      <c r="BD25" s="717">
        <f t="shared" si="60"/>
        <v>3652651.1813492263</v>
      </c>
      <c r="BE25" s="717"/>
      <c r="BF25" s="717">
        <f t="shared" si="61"/>
        <v>3652651.1813492263</v>
      </c>
      <c r="BG25" s="1209"/>
      <c r="BH25" s="717">
        <f t="shared" si="62"/>
        <v>3652651.1813492263</v>
      </c>
      <c r="BI25" s="717"/>
      <c r="BJ25" s="717">
        <f t="shared" si="63"/>
        <v>3652651.1813492263</v>
      </c>
      <c r="BK25" s="717"/>
      <c r="BL25" s="717">
        <f t="shared" si="64"/>
        <v>3652651.1813492263</v>
      </c>
      <c r="BM25" s="717"/>
      <c r="BN25" s="717">
        <f t="shared" si="65"/>
        <v>3652651.1813492263</v>
      </c>
      <c r="BO25" s="717"/>
      <c r="BP25" s="717">
        <f t="shared" si="22"/>
        <v>3652651.1813492263</v>
      </c>
      <c r="BQ25" s="717"/>
      <c r="BR25" s="717">
        <f t="shared" si="133"/>
        <v>3652651.1813492263</v>
      </c>
      <c r="BS25" s="717"/>
      <c r="BT25" s="717">
        <f t="shared" si="66"/>
        <v>3652651.1813492263</v>
      </c>
      <c r="BU25" s="717"/>
      <c r="BV25" s="1235">
        <f t="shared" si="134"/>
        <v>51400</v>
      </c>
      <c r="BW25" s="717">
        <f t="shared" si="67"/>
        <v>3704051.1813492263</v>
      </c>
      <c r="BX25" s="717"/>
      <c r="BY25" s="717">
        <f t="shared" si="68"/>
        <v>3704051.1813492263</v>
      </c>
      <c r="BZ25" s="1194">
        <f t="shared" si="69"/>
        <v>3704051.1813492263</v>
      </c>
      <c r="CA25" s="1194">
        <f t="shared" si="70"/>
        <v>3022051.1813492263</v>
      </c>
      <c r="CB25" s="1194">
        <v>31000</v>
      </c>
      <c r="CC25" s="1194">
        <f t="shared" si="71"/>
        <v>682000</v>
      </c>
      <c r="CD25" s="1194">
        <f t="shared" si="72"/>
        <v>81840</v>
      </c>
      <c r="CE25" s="1194">
        <f t="shared" si="73"/>
        <v>763840</v>
      </c>
      <c r="CF25" s="1200">
        <f t="shared" si="74"/>
        <v>3785891.1813492263</v>
      </c>
      <c r="CG25" s="757">
        <f t="shared" si="75"/>
        <v>3785891.1813492263</v>
      </c>
      <c r="CH25" s="758">
        <f t="shared" si="76"/>
        <v>0</v>
      </c>
      <c r="CI25" s="757">
        <f t="shared" si="25"/>
        <v>388053.84608829569</v>
      </c>
      <c r="CJ25" s="757">
        <f t="shared" si="26"/>
        <v>94647.27953373066</v>
      </c>
      <c r="CK25" s="759">
        <f t="shared" si="77"/>
        <v>4268592.3069712529</v>
      </c>
      <c r="CL25" s="764">
        <f t="shared" si="78"/>
        <v>0.125</v>
      </c>
      <c r="CM25" s="757">
        <f t="shared" si="79"/>
        <v>533574.03837140661</v>
      </c>
      <c r="CN25" s="757">
        <f t="shared" si="124"/>
        <v>30000</v>
      </c>
      <c r="CO25" s="757">
        <f t="shared" si="80"/>
        <v>503574.03837140661</v>
      </c>
      <c r="CP25" s="755">
        <f t="shared" si="81"/>
        <v>29</v>
      </c>
      <c r="CQ25" s="757">
        <f t="shared" si="129"/>
        <v>17364.622012807125</v>
      </c>
      <c r="CR25" s="764">
        <f t="shared" si="83"/>
        <v>0.875</v>
      </c>
      <c r="CS25" s="757">
        <f t="shared" si="84"/>
        <v>3735018.2685998464</v>
      </c>
      <c r="CT25" s="1101">
        <f t="shared" si="85"/>
        <v>28957.556881625129</v>
      </c>
      <c r="CU25" s="1101">
        <f t="shared" si="86"/>
        <v>33571.400119678256</v>
      </c>
      <c r="CV25" s="1101">
        <f t="shared" si="87"/>
        <v>43366.729102090649</v>
      </c>
      <c r="CW25" s="1141">
        <f t="shared" si="27"/>
        <v>73957.838288378131</v>
      </c>
      <c r="CX25" s="1152">
        <f t="shared" si="88"/>
        <v>303407.40576728969</v>
      </c>
      <c r="CY25" s="1152">
        <f t="shared" si="89"/>
        <v>120056.83247978757</v>
      </c>
      <c r="CZ25" s="1152">
        <f t="shared" si="90"/>
        <v>86715.349711868883</v>
      </c>
      <c r="DA25" s="1152">
        <f t="shared" si="91"/>
        <v>65994.373299246014</v>
      </c>
      <c r="DB25" s="1143">
        <f t="shared" si="28"/>
        <v>0.13249326940190434</v>
      </c>
      <c r="DC25" s="1143">
        <f t="shared" si="125"/>
        <v>0.25275548101702755</v>
      </c>
      <c r="DD25" s="1098" t="s">
        <v>232</v>
      </c>
      <c r="DE25" s="1144"/>
      <c r="DF25" s="705"/>
      <c r="DG25" s="765">
        <f t="shared" si="126"/>
        <v>46082</v>
      </c>
      <c r="DH25" s="1116">
        <f t="shared" si="29"/>
        <v>28</v>
      </c>
      <c r="DI25" s="497"/>
      <c r="DJ25" s="1117">
        <f t="shared" si="92"/>
        <v>46147</v>
      </c>
      <c r="DK25" s="1116">
        <f t="shared" si="93"/>
        <v>30</v>
      </c>
      <c r="DL25" s="766" t="s">
        <v>233</v>
      </c>
      <c r="DM25" s="766" t="s">
        <v>234</v>
      </c>
      <c r="DN25" s="767">
        <f t="shared" si="30"/>
        <v>20235.335690472664</v>
      </c>
      <c r="DO25" s="767">
        <f t="shared" si="31"/>
        <v>445177.38519039861</v>
      </c>
      <c r="DP25" s="768">
        <f t="shared" si="32"/>
        <v>0.14839246173013287</v>
      </c>
      <c r="DR25" s="767">
        <f t="shared" si="33"/>
        <v>3785891.1813492263</v>
      </c>
      <c r="DS25" s="767">
        <f>SUM('[6]INTERNAL PRICELIST'!M25)</f>
        <v>2329361</v>
      </c>
      <c r="DT25" s="767">
        <f t="shared" si="94"/>
        <v>1456530.1813492263</v>
      </c>
      <c r="DV25" s="951">
        <f t="shared" si="34"/>
        <v>172085.9627886012</v>
      </c>
      <c r="DW25" s="512"/>
      <c r="DX25" s="772">
        <v>2</v>
      </c>
      <c r="DY25" s="773" t="s">
        <v>238</v>
      </c>
      <c r="DZ25" s="774">
        <v>22</v>
      </c>
      <c r="EA25" s="775">
        <f t="shared" si="35"/>
        <v>0</v>
      </c>
      <c r="ED25" s="755" t="s">
        <v>309</v>
      </c>
      <c r="EE25" s="777" t="b">
        <f t="shared" si="36"/>
        <v>1</v>
      </c>
      <c r="EF25" s="1123" t="s">
        <v>310</v>
      </c>
      <c r="EG25" s="1123" t="s">
        <v>247</v>
      </c>
      <c r="EH25" s="1203"/>
      <c r="EP25" s="1230" t="s">
        <v>236</v>
      </c>
      <c r="EQ25" s="1145" t="s">
        <v>236</v>
      </c>
      <c r="ER25" s="753" t="b">
        <f t="shared" si="95"/>
        <v>1</v>
      </c>
      <c r="EU25" s="770">
        <v>2261900</v>
      </c>
      <c r="EV25" s="771" t="s">
        <v>236</v>
      </c>
      <c r="EZ25" s="520"/>
      <c r="FA25" s="778"/>
      <c r="FF25" s="771">
        <v>31</v>
      </c>
      <c r="FG25" s="1122">
        <f t="shared" si="142"/>
        <v>46539</v>
      </c>
      <c r="FH25" s="765">
        <v>45597</v>
      </c>
      <c r="FI25" s="497" t="s">
        <v>311</v>
      </c>
      <c r="FJ25" s="994">
        <v>0.15</v>
      </c>
      <c r="FK25" s="993">
        <v>12820.110851026688</v>
      </c>
      <c r="FL25" s="993">
        <v>13166.600333486867</v>
      </c>
      <c r="FM25" s="497"/>
      <c r="FN25" s="993">
        <f t="shared" si="38"/>
        <v>4268592.3069712529</v>
      </c>
      <c r="FO25" s="994">
        <f t="shared" si="96"/>
        <v>0.15</v>
      </c>
      <c r="FP25" s="775">
        <f t="shared" si="39"/>
        <v>640288.84604568791</v>
      </c>
      <c r="FQ25" s="993">
        <f t="shared" si="40"/>
        <v>30000</v>
      </c>
      <c r="FR25" s="775">
        <f t="shared" si="97"/>
        <v>610288.84604568791</v>
      </c>
      <c r="FS25" s="497">
        <f t="shared" si="98"/>
        <v>40</v>
      </c>
      <c r="FT25" s="775">
        <f t="shared" si="99"/>
        <v>15257.221151142197</v>
      </c>
      <c r="FU25" s="497"/>
      <c r="FV25" s="993">
        <f t="shared" si="100"/>
        <v>4268592.3069712529</v>
      </c>
      <c r="FW25" s="705">
        <f t="shared" si="101"/>
        <v>426859.23069712531</v>
      </c>
      <c r="FX25" s="705">
        <f t="shared" si="102"/>
        <v>106714.80767428133</v>
      </c>
      <c r="FY25" s="705">
        <v>15000</v>
      </c>
      <c r="FZ25" s="705">
        <f t="shared" si="103"/>
        <v>411859.23069712531</v>
      </c>
      <c r="GA25" s="497">
        <f t="shared" si="104"/>
        <v>46</v>
      </c>
      <c r="GB25" s="775">
        <f t="shared" si="105"/>
        <v>8953.4615368940285</v>
      </c>
      <c r="GC25" s="497"/>
      <c r="GD25" s="497"/>
      <c r="GH25" s="1095">
        <f t="shared" si="0"/>
        <v>4268592.3069712529</v>
      </c>
      <c r="GI25" s="1098">
        <f t="shared" si="1"/>
        <v>0.125</v>
      </c>
      <c r="GJ25" s="1095">
        <f t="shared" si="2"/>
        <v>533574.03837140661</v>
      </c>
      <c r="GK25" s="1095">
        <f t="shared" si="3"/>
        <v>30000</v>
      </c>
      <c r="GL25" s="1095">
        <f t="shared" si="4"/>
        <v>503574.03837140661</v>
      </c>
      <c r="GM25" s="1095">
        <f t="shared" si="5"/>
        <v>29</v>
      </c>
      <c r="GN25" s="1095">
        <f t="shared" si="6"/>
        <v>17364.622012807125</v>
      </c>
      <c r="GO25" s="1098">
        <f t="shared" si="7"/>
        <v>0.875</v>
      </c>
      <c r="GP25" s="1095">
        <f t="shared" si="8"/>
        <v>3735018.2685998464</v>
      </c>
      <c r="GQ25" s="1095">
        <f t="shared" si="9"/>
        <v>28957.556881625129</v>
      </c>
      <c r="GR25" s="1095">
        <f t="shared" si="10"/>
        <v>33571.400119678256</v>
      </c>
      <c r="GS25" s="1095">
        <f t="shared" si="11"/>
        <v>43366.729102090649</v>
      </c>
      <c r="GT25" s="1095">
        <f t="shared" si="12"/>
        <v>73957.838288378131</v>
      </c>
      <c r="GU25" s="497"/>
      <c r="GV25" s="1095">
        <f t="shared" si="106"/>
        <v>4268592.3069712529</v>
      </c>
      <c r="GW25" s="1098">
        <f t="shared" si="107"/>
        <v>0.125</v>
      </c>
      <c r="GX25" s="1095">
        <f t="shared" si="108"/>
        <v>533574.03837140661</v>
      </c>
      <c r="GY25" s="1095">
        <f t="shared" si="109"/>
        <v>30000</v>
      </c>
      <c r="GZ25" s="1095">
        <f t="shared" si="110"/>
        <v>503574.03837140661</v>
      </c>
      <c r="HA25" s="1106">
        <f t="shared" si="111"/>
        <v>48</v>
      </c>
      <c r="HB25" s="770">
        <f t="shared" si="112"/>
        <v>10491.125799404304</v>
      </c>
      <c r="HC25" s="1098">
        <f t="shared" si="113"/>
        <v>0.875</v>
      </c>
      <c r="HD25" s="1102">
        <f t="shared" si="114"/>
        <v>3735018.2685998464</v>
      </c>
      <c r="HE25" s="1101">
        <f t="shared" si="115"/>
        <v>28957.556881625129</v>
      </c>
      <c r="HF25" s="1101">
        <f t="shared" si="116"/>
        <v>33571.400119678256</v>
      </c>
      <c r="HG25" s="1101">
        <f t="shared" si="117"/>
        <v>43366.729102090649</v>
      </c>
      <c r="HH25" s="1101">
        <f t="shared" si="118"/>
        <v>73957.838288378131</v>
      </c>
      <c r="HI25" s="497"/>
      <c r="HJ25" s="1102">
        <f t="shared" si="119"/>
        <v>-6873.496213402821</v>
      </c>
      <c r="HL25" s="775"/>
      <c r="HN25" s="775"/>
      <c r="HO25" s="775"/>
      <c r="HQ25" s="702"/>
      <c r="HR25" s="1171"/>
      <c r="HS25" s="702"/>
      <c r="HT25" s="1171"/>
    </row>
    <row r="26" spans="1:240" ht="14.25" hidden="1" customHeight="1">
      <c r="A26" s="753">
        <f t="shared" si="120"/>
        <v>20</v>
      </c>
      <c r="B26" s="753" t="s">
        <v>236</v>
      </c>
      <c r="C26" s="753">
        <f t="shared" si="121"/>
        <v>20</v>
      </c>
      <c r="D26" s="753" t="s">
        <v>227</v>
      </c>
      <c r="E26" s="717" t="str">
        <f t="shared" si="41"/>
        <v>3rd Floor</v>
      </c>
      <c r="F26" s="754"/>
      <c r="G26" s="755" t="s">
        <v>312</v>
      </c>
      <c r="H26" s="756"/>
      <c r="I26" s="755" t="s">
        <v>229</v>
      </c>
      <c r="J26" s="757">
        <v>22</v>
      </c>
      <c r="K26" s="758"/>
      <c r="L26" s="759" t="s">
        <v>69</v>
      </c>
      <c r="M26" s="760" t="s">
        <v>68</v>
      </c>
      <c r="N26" s="761">
        <f t="shared" si="42"/>
        <v>106005.26567735759</v>
      </c>
      <c r="O26" s="762">
        <f t="shared" si="43"/>
        <v>2332115.8449018667</v>
      </c>
      <c r="P26" s="762">
        <f t="shared" si="44"/>
        <v>22400</v>
      </c>
      <c r="Q26" s="762">
        <f t="shared" si="14"/>
        <v>50000</v>
      </c>
      <c r="R26" s="762"/>
      <c r="S26" s="762"/>
      <c r="T26" s="762"/>
      <c r="U26" s="762"/>
      <c r="V26" s="762"/>
      <c r="W26" s="762"/>
      <c r="X26" s="762"/>
      <c r="Y26" s="762"/>
      <c r="Z26" s="762">
        <f t="shared" si="15"/>
        <v>142461</v>
      </c>
      <c r="AA26" s="762">
        <v>45722.732758620688</v>
      </c>
      <c r="AB26" s="762"/>
      <c r="AC26" s="762"/>
      <c r="AD26" s="763">
        <f t="shared" si="45"/>
        <v>260583.7327586207</v>
      </c>
      <c r="AE26" s="763">
        <f t="shared" si="16"/>
        <v>2592699.5776604875</v>
      </c>
      <c r="AF26" s="762">
        <f t="shared" si="17"/>
        <v>64817.489441512189</v>
      </c>
      <c r="AG26" s="762">
        <f t="shared" si="46"/>
        <v>2657517.0671019997</v>
      </c>
      <c r="AH26" s="762">
        <f t="shared" si="18"/>
        <v>66437.92667755</v>
      </c>
      <c r="AI26" s="762">
        <f t="shared" si="47"/>
        <v>2723954.9937795498</v>
      </c>
      <c r="AJ26" s="762">
        <f t="shared" si="48"/>
        <v>136197.74968897749</v>
      </c>
      <c r="AK26" s="762">
        <f t="shared" si="122"/>
        <v>2860152.7434685272</v>
      </c>
      <c r="AL26" s="762">
        <f t="shared" si="49"/>
        <v>28601.527434685271</v>
      </c>
      <c r="AM26" s="762">
        <f t="shared" si="50"/>
        <v>27537.409960060559</v>
      </c>
      <c r="AN26" s="762"/>
      <c r="AO26" s="763">
        <f t="shared" si="51"/>
        <v>2916291.6808632729</v>
      </c>
      <c r="AP26" s="763">
        <f t="shared" si="52"/>
        <v>481188.12734244007</v>
      </c>
      <c r="AQ26" s="763">
        <f t="shared" si="53"/>
        <v>3397479.8082057131</v>
      </c>
      <c r="AR26" s="1178">
        <f t="shared" si="19"/>
        <v>3000000</v>
      </c>
      <c r="AS26" s="1178">
        <f t="shared" si="123"/>
        <v>18067.264009350594</v>
      </c>
      <c r="AT26" s="1178">
        <f t="shared" si="54"/>
        <v>397479.80820571305</v>
      </c>
      <c r="AU26" s="1178">
        <f t="shared" si="20"/>
        <v>47697.576984685562</v>
      </c>
      <c r="AV26" s="1178">
        <f t="shared" si="55"/>
        <v>445177.38519039861</v>
      </c>
      <c r="AW26" s="1178">
        <f t="shared" si="56"/>
        <v>3445177.3851903984</v>
      </c>
      <c r="AX26" s="762">
        <f t="shared" si="57"/>
        <v>43064.717314879985</v>
      </c>
      <c r="AY26" s="717" t="s">
        <v>231</v>
      </c>
      <c r="AZ26" s="717">
        <f t="shared" si="58"/>
        <v>3488242.1025052783</v>
      </c>
      <c r="BA26" s="717">
        <f t="shared" si="59"/>
        <v>130809.07884394794</v>
      </c>
      <c r="BB26" s="717"/>
      <c r="BC26" s="717">
        <f t="shared" si="21"/>
        <v>33600</v>
      </c>
      <c r="BD26" s="717">
        <f t="shared" si="60"/>
        <v>3652651.1813492263</v>
      </c>
      <c r="BE26" s="717"/>
      <c r="BF26" s="717">
        <f t="shared" si="61"/>
        <v>3652651.1813492263</v>
      </c>
      <c r="BG26" s="1209"/>
      <c r="BH26" s="717">
        <f t="shared" si="62"/>
        <v>3652651.1813492263</v>
      </c>
      <c r="BI26" s="717"/>
      <c r="BJ26" s="717">
        <f t="shared" si="63"/>
        <v>3652651.1813492263</v>
      </c>
      <c r="BK26" s="717"/>
      <c r="BL26" s="717">
        <f t="shared" si="64"/>
        <v>3652651.1813492263</v>
      </c>
      <c r="BM26" s="717"/>
      <c r="BN26" s="717">
        <f t="shared" si="65"/>
        <v>3652651.1813492263</v>
      </c>
      <c r="BO26" s="717"/>
      <c r="BP26" s="717">
        <f t="shared" si="22"/>
        <v>3652651.1813492263</v>
      </c>
      <c r="BQ26" s="717"/>
      <c r="BR26" s="717">
        <f t="shared" si="133"/>
        <v>3652651.1813492263</v>
      </c>
      <c r="BS26" s="717"/>
      <c r="BT26" s="717">
        <f t="shared" si="66"/>
        <v>3652651.1813492263</v>
      </c>
      <c r="BU26" s="717"/>
      <c r="BV26" s="1235">
        <f t="shared" si="134"/>
        <v>51400</v>
      </c>
      <c r="BW26" s="717">
        <f t="shared" si="67"/>
        <v>3704051.1813492263</v>
      </c>
      <c r="BX26" s="717"/>
      <c r="BY26" s="717">
        <f t="shared" si="68"/>
        <v>3704051.1813492263</v>
      </c>
      <c r="BZ26" s="1194">
        <f t="shared" si="69"/>
        <v>3704051.1813492263</v>
      </c>
      <c r="CA26" s="1194">
        <f t="shared" si="70"/>
        <v>3022051.1813492263</v>
      </c>
      <c r="CB26" s="1194">
        <v>31000</v>
      </c>
      <c r="CC26" s="1194">
        <f t="shared" si="71"/>
        <v>682000</v>
      </c>
      <c r="CD26" s="1194">
        <f t="shared" si="72"/>
        <v>81840</v>
      </c>
      <c r="CE26" s="1194">
        <f t="shared" si="73"/>
        <v>763840</v>
      </c>
      <c r="CF26" s="1200">
        <f t="shared" si="74"/>
        <v>3785891.1813492263</v>
      </c>
      <c r="CG26" s="757">
        <f t="shared" si="75"/>
        <v>3785891.1813492263</v>
      </c>
      <c r="CH26" s="758">
        <f t="shared" si="76"/>
        <v>0</v>
      </c>
      <c r="CI26" s="757">
        <f t="shared" si="25"/>
        <v>388053.84608829569</v>
      </c>
      <c r="CJ26" s="757">
        <f t="shared" si="26"/>
        <v>94647.27953373066</v>
      </c>
      <c r="CK26" s="759">
        <f t="shared" si="77"/>
        <v>4268592.3069712529</v>
      </c>
      <c r="CL26" s="764">
        <f t="shared" si="78"/>
        <v>0.125</v>
      </c>
      <c r="CM26" s="757">
        <f t="shared" si="79"/>
        <v>533574.03837140661</v>
      </c>
      <c r="CN26" s="757">
        <f t="shared" si="124"/>
        <v>30000</v>
      </c>
      <c r="CO26" s="757">
        <f t="shared" si="80"/>
        <v>503574.03837140661</v>
      </c>
      <c r="CP26" s="755">
        <f t="shared" si="81"/>
        <v>29</v>
      </c>
      <c r="CQ26" s="757">
        <f t="shared" si="129"/>
        <v>17364.622012807125</v>
      </c>
      <c r="CR26" s="764">
        <f t="shared" si="83"/>
        <v>0.875</v>
      </c>
      <c r="CS26" s="757">
        <f t="shared" si="84"/>
        <v>3735018.2685998464</v>
      </c>
      <c r="CT26" s="1101">
        <f t="shared" si="85"/>
        <v>28957.556881625129</v>
      </c>
      <c r="CU26" s="1101">
        <f t="shared" si="86"/>
        <v>33571.400119678256</v>
      </c>
      <c r="CV26" s="1101">
        <f t="shared" si="87"/>
        <v>43366.729102090649</v>
      </c>
      <c r="CW26" s="1141">
        <f t="shared" si="27"/>
        <v>73957.838288378131</v>
      </c>
      <c r="CX26" s="1152">
        <f t="shared" si="88"/>
        <v>303407.40576728969</v>
      </c>
      <c r="CY26" s="1152">
        <f t="shared" si="89"/>
        <v>120056.83247978757</v>
      </c>
      <c r="CZ26" s="1152">
        <f t="shared" si="90"/>
        <v>86715.349711868883</v>
      </c>
      <c r="DA26" s="1152">
        <f t="shared" si="91"/>
        <v>65994.373299246014</v>
      </c>
      <c r="DB26" s="1143">
        <f t="shared" si="28"/>
        <v>0.13249326940190434</v>
      </c>
      <c r="DC26" s="1143">
        <f t="shared" si="125"/>
        <v>0.25275548101702755</v>
      </c>
      <c r="DD26" s="1098" t="s">
        <v>232</v>
      </c>
      <c r="DE26" s="1144"/>
      <c r="DF26" s="705"/>
      <c r="DG26" s="765">
        <f t="shared" si="126"/>
        <v>46082</v>
      </c>
      <c r="DH26" s="1116">
        <f t="shared" si="29"/>
        <v>28</v>
      </c>
      <c r="DI26" s="497"/>
      <c r="DJ26" s="1117">
        <f t="shared" si="92"/>
        <v>46147</v>
      </c>
      <c r="DK26" s="1116">
        <f t="shared" si="93"/>
        <v>30</v>
      </c>
      <c r="DL26" s="766" t="s">
        <v>233</v>
      </c>
      <c r="DM26" s="766" t="s">
        <v>234</v>
      </c>
      <c r="DN26" s="767">
        <f t="shared" si="30"/>
        <v>20235.335690472664</v>
      </c>
      <c r="DO26" s="767">
        <f t="shared" si="31"/>
        <v>445177.38519039861</v>
      </c>
      <c r="DP26" s="768">
        <f t="shared" si="32"/>
        <v>0.14839246173013287</v>
      </c>
      <c r="DR26" s="767">
        <f t="shared" si="33"/>
        <v>3785891.1813492263</v>
      </c>
      <c r="DS26" s="767">
        <f>SUM('[6]INTERNAL PRICELIST'!M26)</f>
        <v>2329361</v>
      </c>
      <c r="DT26" s="767">
        <f t="shared" si="94"/>
        <v>1456530.1813492263</v>
      </c>
      <c r="DV26" s="951">
        <f t="shared" si="34"/>
        <v>172085.9627886012</v>
      </c>
      <c r="DW26" s="512"/>
      <c r="DX26" s="772">
        <v>3</v>
      </c>
      <c r="DY26" s="773" t="s">
        <v>245</v>
      </c>
      <c r="DZ26" s="774">
        <v>22</v>
      </c>
      <c r="EA26" s="775">
        <f t="shared" si="35"/>
        <v>0</v>
      </c>
      <c r="ED26" s="755" t="s">
        <v>312</v>
      </c>
      <c r="EE26" s="777" t="b">
        <f t="shared" si="36"/>
        <v>1</v>
      </c>
      <c r="EF26" s="1123" t="s">
        <v>313</v>
      </c>
      <c r="EG26" s="1123" t="s">
        <v>247</v>
      </c>
      <c r="EH26" s="1203"/>
      <c r="EP26" s="1230" t="s">
        <v>236</v>
      </c>
      <c r="EQ26" s="1145" t="s">
        <v>236</v>
      </c>
      <c r="ER26" s="753" t="b">
        <f t="shared" si="95"/>
        <v>1</v>
      </c>
      <c r="EU26" s="770">
        <v>2123200</v>
      </c>
      <c r="EV26" s="771" t="s">
        <v>236</v>
      </c>
      <c r="EZ26" s="520"/>
      <c r="FA26" s="778"/>
      <c r="FF26" s="771">
        <f>FF25-1</f>
        <v>30</v>
      </c>
      <c r="FG26" s="1122">
        <f t="shared" ref="FG26" si="143">EDATE(FH26,FF26)</f>
        <v>46539</v>
      </c>
      <c r="FH26" s="765">
        <v>45627</v>
      </c>
      <c r="FJ26" s="994">
        <v>0.15</v>
      </c>
      <c r="FK26" s="993">
        <v>12820.110851026688</v>
      </c>
      <c r="FL26" s="993">
        <v>13166.600333486867</v>
      </c>
      <c r="FM26" s="497"/>
      <c r="FN26" s="993">
        <f t="shared" si="38"/>
        <v>4268592.3069712529</v>
      </c>
      <c r="FO26" s="994">
        <f t="shared" si="96"/>
        <v>0.15</v>
      </c>
      <c r="FP26" s="775">
        <f t="shared" si="39"/>
        <v>640288.84604568791</v>
      </c>
      <c r="FQ26" s="993">
        <f t="shared" si="40"/>
        <v>30000</v>
      </c>
      <c r="FR26" s="775">
        <f t="shared" si="97"/>
        <v>610288.84604568791</v>
      </c>
      <c r="FS26" s="497">
        <f t="shared" si="98"/>
        <v>40</v>
      </c>
      <c r="FT26" s="775">
        <f t="shared" si="99"/>
        <v>15257.221151142197</v>
      </c>
      <c r="FU26" s="497"/>
      <c r="FV26" s="993">
        <f t="shared" si="100"/>
        <v>4268592.3069712529</v>
      </c>
      <c r="FW26" s="705">
        <f t="shared" si="101"/>
        <v>426859.23069712531</v>
      </c>
      <c r="FX26" s="705">
        <f t="shared" si="102"/>
        <v>106714.80767428133</v>
      </c>
      <c r="FY26" s="705">
        <v>15000</v>
      </c>
      <c r="FZ26" s="705">
        <f t="shared" si="103"/>
        <v>411859.23069712531</v>
      </c>
      <c r="GA26" s="497">
        <f t="shared" si="104"/>
        <v>46</v>
      </c>
      <c r="GB26" s="775">
        <f t="shared" si="105"/>
        <v>8953.4615368940285</v>
      </c>
      <c r="GC26" s="497"/>
      <c r="GD26" s="497"/>
      <c r="GH26" s="1095">
        <f t="shared" si="0"/>
        <v>4268592.3069712529</v>
      </c>
      <c r="GI26" s="1098">
        <f t="shared" si="1"/>
        <v>0.125</v>
      </c>
      <c r="GJ26" s="1095">
        <f t="shared" si="2"/>
        <v>533574.03837140661</v>
      </c>
      <c r="GK26" s="1095">
        <f t="shared" si="3"/>
        <v>30000</v>
      </c>
      <c r="GL26" s="1095">
        <f t="shared" si="4"/>
        <v>503574.03837140661</v>
      </c>
      <c r="GM26" s="1095">
        <f t="shared" si="5"/>
        <v>29</v>
      </c>
      <c r="GN26" s="1095">
        <f t="shared" si="6"/>
        <v>17364.622012807125</v>
      </c>
      <c r="GO26" s="1098">
        <f t="shared" si="7"/>
        <v>0.875</v>
      </c>
      <c r="GP26" s="1095">
        <f t="shared" si="8"/>
        <v>3735018.2685998464</v>
      </c>
      <c r="GQ26" s="1095">
        <f t="shared" si="9"/>
        <v>28957.556881625129</v>
      </c>
      <c r="GR26" s="1095">
        <f t="shared" si="10"/>
        <v>33571.400119678256</v>
      </c>
      <c r="GS26" s="1095">
        <f t="shared" si="11"/>
        <v>43366.729102090649</v>
      </c>
      <c r="GT26" s="1095">
        <f t="shared" si="12"/>
        <v>73957.838288378131</v>
      </c>
      <c r="GU26" s="497"/>
      <c r="GV26" s="1095">
        <f t="shared" si="106"/>
        <v>4268592.3069712529</v>
      </c>
      <c r="GW26" s="1098">
        <f t="shared" si="107"/>
        <v>0.125</v>
      </c>
      <c r="GX26" s="1095">
        <f t="shared" si="108"/>
        <v>533574.03837140661</v>
      </c>
      <c r="GY26" s="1095">
        <f t="shared" si="109"/>
        <v>30000</v>
      </c>
      <c r="GZ26" s="1095">
        <f t="shared" si="110"/>
        <v>503574.03837140661</v>
      </c>
      <c r="HA26" s="1106">
        <f t="shared" si="111"/>
        <v>48</v>
      </c>
      <c r="HB26" s="770">
        <f t="shared" si="112"/>
        <v>10491.125799404304</v>
      </c>
      <c r="HC26" s="1098">
        <f t="shared" si="113"/>
        <v>0.875</v>
      </c>
      <c r="HD26" s="1102">
        <f t="shared" si="114"/>
        <v>3735018.2685998464</v>
      </c>
      <c r="HE26" s="1101">
        <f t="shared" si="115"/>
        <v>28957.556881625129</v>
      </c>
      <c r="HF26" s="1101">
        <f t="shared" si="116"/>
        <v>33571.400119678256</v>
      </c>
      <c r="HG26" s="1101">
        <f t="shared" si="117"/>
        <v>43366.729102090649</v>
      </c>
      <c r="HH26" s="1101">
        <f t="shared" si="118"/>
        <v>73957.838288378131</v>
      </c>
      <c r="HI26" s="497"/>
      <c r="HJ26" s="1102">
        <f t="shared" si="119"/>
        <v>-6873.496213402821</v>
      </c>
      <c r="HL26" s="775"/>
      <c r="HN26" s="775"/>
      <c r="HO26" s="775"/>
      <c r="HQ26" s="702"/>
      <c r="HR26" s="1171"/>
      <c r="HS26" s="702"/>
      <c r="HT26" s="1171"/>
    </row>
    <row r="27" spans="1:240" ht="14.25" hidden="1" customHeight="1">
      <c r="A27" s="753">
        <f t="shared" si="120"/>
        <v>21</v>
      </c>
      <c r="B27" s="753" t="s">
        <v>236</v>
      </c>
      <c r="C27" s="753">
        <f t="shared" si="121"/>
        <v>21</v>
      </c>
      <c r="D27" s="753" t="s">
        <v>227</v>
      </c>
      <c r="E27" s="717" t="str">
        <f t="shared" si="41"/>
        <v>3rd Floor</v>
      </c>
      <c r="F27" s="754"/>
      <c r="G27" s="755" t="s">
        <v>314</v>
      </c>
      <c r="H27" s="756"/>
      <c r="I27" s="755" t="s">
        <v>229</v>
      </c>
      <c r="J27" s="757">
        <v>22</v>
      </c>
      <c r="K27" s="758"/>
      <c r="L27" s="759" t="s">
        <v>69</v>
      </c>
      <c r="M27" s="760" t="s">
        <v>68</v>
      </c>
      <c r="N27" s="761">
        <f t="shared" si="42"/>
        <v>106005.26567735759</v>
      </c>
      <c r="O27" s="762">
        <f t="shared" si="43"/>
        <v>2332115.8449018667</v>
      </c>
      <c r="P27" s="762">
        <f t="shared" si="44"/>
        <v>22400</v>
      </c>
      <c r="Q27" s="762">
        <f t="shared" si="14"/>
        <v>50000</v>
      </c>
      <c r="R27" s="762"/>
      <c r="S27" s="762"/>
      <c r="T27" s="762"/>
      <c r="U27" s="762"/>
      <c r="V27" s="762"/>
      <c r="W27" s="762"/>
      <c r="X27" s="762"/>
      <c r="Y27" s="762"/>
      <c r="Z27" s="762">
        <f t="shared" si="15"/>
        <v>142461</v>
      </c>
      <c r="AA27" s="762">
        <v>45722.732758620688</v>
      </c>
      <c r="AB27" s="762"/>
      <c r="AC27" s="762"/>
      <c r="AD27" s="763">
        <f t="shared" si="45"/>
        <v>260583.7327586207</v>
      </c>
      <c r="AE27" s="763">
        <f t="shared" si="16"/>
        <v>2592699.5776604875</v>
      </c>
      <c r="AF27" s="762">
        <f t="shared" si="17"/>
        <v>64817.489441512189</v>
      </c>
      <c r="AG27" s="762">
        <f t="shared" si="46"/>
        <v>2657517.0671019997</v>
      </c>
      <c r="AH27" s="762">
        <f t="shared" si="18"/>
        <v>66437.92667755</v>
      </c>
      <c r="AI27" s="762">
        <f t="shared" si="47"/>
        <v>2723954.9937795498</v>
      </c>
      <c r="AJ27" s="762">
        <f t="shared" si="48"/>
        <v>136197.74968897749</v>
      </c>
      <c r="AK27" s="762">
        <f t="shared" si="122"/>
        <v>2860152.7434685272</v>
      </c>
      <c r="AL27" s="762">
        <f t="shared" si="49"/>
        <v>28601.527434685271</v>
      </c>
      <c r="AM27" s="762">
        <f t="shared" si="50"/>
        <v>27537.409960060559</v>
      </c>
      <c r="AN27" s="762"/>
      <c r="AO27" s="763">
        <f t="shared" si="51"/>
        <v>2916291.6808632729</v>
      </c>
      <c r="AP27" s="763">
        <f t="shared" si="52"/>
        <v>481188.12734244007</v>
      </c>
      <c r="AQ27" s="763">
        <f t="shared" si="53"/>
        <v>3397479.8082057131</v>
      </c>
      <c r="AR27" s="1178">
        <f t="shared" si="19"/>
        <v>3000000</v>
      </c>
      <c r="AS27" s="1178">
        <f t="shared" si="123"/>
        <v>18067.264009350594</v>
      </c>
      <c r="AT27" s="1178">
        <f t="shared" si="54"/>
        <v>397479.80820571305</v>
      </c>
      <c r="AU27" s="1178">
        <f t="shared" si="20"/>
        <v>47697.576984685562</v>
      </c>
      <c r="AV27" s="1178">
        <f t="shared" si="55"/>
        <v>445177.38519039861</v>
      </c>
      <c r="AW27" s="1178">
        <f t="shared" si="56"/>
        <v>3445177.3851903984</v>
      </c>
      <c r="AX27" s="762">
        <f t="shared" si="57"/>
        <v>43064.717314879985</v>
      </c>
      <c r="AY27" s="717" t="s">
        <v>231</v>
      </c>
      <c r="AZ27" s="717">
        <f t="shared" si="58"/>
        <v>3488242.1025052783</v>
      </c>
      <c r="BA27" s="717">
        <f t="shared" si="59"/>
        <v>130809.07884394794</v>
      </c>
      <c r="BB27" s="717"/>
      <c r="BC27" s="717">
        <f t="shared" si="21"/>
        <v>33600</v>
      </c>
      <c r="BD27" s="717">
        <f t="shared" si="60"/>
        <v>3652651.1813492263</v>
      </c>
      <c r="BE27" s="717"/>
      <c r="BF27" s="717">
        <f t="shared" si="61"/>
        <v>3652651.1813492263</v>
      </c>
      <c r="BG27" s="1209"/>
      <c r="BH27" s="717">
        <f t="shared" si="62"/>
        <v>3652651.1813492263</v>
      </c>
      <c r="BI27" s="717"/>
      <c r="BJ27" s="717">
        <f t="shared" si="63"/>
        <v>3652651.1813492263</v>
      </c>
      <c r="BK27" s="717"/>
      <c r="BL27" s="717">
        <f t="shared" si="64"/>
        <v>3652651.1813492263</v>
      </c>
      <c r="BM27" s="717"/>
      <c r="BN27" s="717">
        <f t="shared" si="65"/>
        <v>3652651.1813492263</v>
      </c>
      <c r="BO27" s="717"/>
      <c r="BP27" s="717">
        <f t="shared" si="22"/>
        <v>3652651.1813492263</v>
      </c>
      <c r="BQ27" s="717"/>
      <c r="BR27" s="717">
        <f t="shared" si="133"/>
        <v>3652651.1813492263</v>
      </c>
      <c r="BS27" s="717"/>
      <c r="BT27" s="717">
        <f t="shared" si="66"/>
        <v>3652651.1813492263</v>
      </c>
      <c r="BU27" s="717"/>
      <c r="BV27" s="1235">
        <f t="shared" si="134"/>
        <v>51400</v>
      </c>
      <c r="BW27" s="717">
        <f t="shared" si="67"/>
        <v>3704051.1813492263</v>
      </c>
      <c r="BX27" s="717"/>
      <c r="BY27" s="717">
        <f t="shared" si="68"/>
        <v>3704051.1813492263</v>
      </c>
      <c r="BZ27" s="1194">
        <f t="shared" si="69"/>
        <v>3704051.1813492263</v>
      </c>
      <c r="CA27" s="1194">
        <f t="shared" si="70"/>
        <v>3022051.1813492263</v>
      </c>
      <c r="CB27" s="1194">
        <v>31000</v>
      </c>
      <c r="CC27" s="1194">
        <f t="shared" si="71"/>
        <v>682000</v>
      </c>
      <c r="CD27" s="1194">
        <f t="shared" si="72"/>
        <v>81840</v>
      </c>
      <c r="CE27" s="1194">
        <f t="shared" si="73"/>
        <v>763840</v>
      </c>
      <c r="CF27" s="1200">
        <f t="shared" si="74"/>
        <v>3785891.1813492263</v>
      </c>
      <c r="CG27" s="757">
        <f t="shared" si="75"/>
        <v>3785891.1813492263</v>
      </c>
      <c r="CH27" s="758">
        <f t="shared" si="76"/>
        <v>0</v>
      </c>
      <c r="CI27" s="757">
        <f t="shared" si="25"/>
        <v>388053.84608829569</v>
      </c>
      <c r="CJ27" s="757">
        <f t="shared" si="26"/>
        <v>94647.27953373066</v>
      </c>
      <c r="CK27" s="759">
        <f t="shared" si="77"/>
        <v>4268592.3069712529</v>
      </c>
      <c r="CL27" s="764">
        <f t="shared" si="78"/>
        <v>0.125</v>
      </c>
      <c r="CM27" s="757">
        <f t="shared" si="79"/>
        <v>533574.03837140661</v>
      </c>
      <c r="CN27" s="757">
        <f t="shared" si="124"/>
        <v>30000</v>
      </c>
      <c r="CO27" s="757">
        <f t="shared" si="80"/>
        <v>503574.03837140661</v>
      </c>
      <c r="CP27" s="755">
        <f t="shared" si="81"/>
        <v>29</v>
      </c>
      <c r="CQ27" s="757">
        <f t="shared" si="129"/>
        <v>17364.622012807125</v>
      </c>
      <c r="CR27" s="764">
        <f t="shared" si="83"/>
        <v>0.875</v>
      </c>
      <c r="CS27" s="757">
        <f t="shared" si="84"/>
        <v>3735018.2685998464</v>
      </c>
      <c r="CT27" s="1101">
        <f t="shared" si="85"/>
        <v>28957.556881625129</v>
      </c>
      <c r="CU27" s="1101">
        <f t="shared" si="86"/>
        <v>33571.400119678256</v>
      </c>
      <c r="CV27" s="1101">
        <f t="shared" si="87"/>
        <v>43366.729102090649</v>
      </c>
      <c r="CW27" s="1141">
        <f t="shared" si="27"/>
        <v>73957.838288378131</v>
      </c>
      <c r="CX27" s="1152">
        <f t="shared" si="88"/>
        <v>303407.40576728969</v>
      </c>
      <c r="CY27" s="1152">
        <f t="shared" si="89"/>
        <v>120056.83247978757</v>
      </c>
      <c r="CZ27" s="1152">
        <f t="shared" si="90"/>
        <v>86715.349711868883</v>
      </c>
      <c r="DA27" s="1152">
        <f t="shared" si="91"/>
        <v>65994.373299246014</v>
      </c>
      <c r="DB27" s="1143">
        <f t="shared" si="28"/>
        <v>0.13249326940190434</v>
      </c>
      <c r="DC27" s="1143">
        <f t="shared" si="125"/>
        <v>0.25275548101702755</v>
      </c>
      <c r="DD27" s="1098" t="s">
        <v>232</v>
      </c>
      <c r="DE27" s="1144"/>
      <c r="DF27" s="705"/>
      <c r="DG27" s="765">
        <f t="shared" si="126"/>
        <v>46082</v>
      </c>
      <c r="DH27" s="1116">
        <f t="shared" si="29"/>
        <v>28</v>
      </c>
      <c r="DI27" s="497"/>
      <c r="DJ27" s="1117">
        <f t="shared" si="92"/>
        <v>46147</v>
      </c>
      <c r="DK27" s="1116">
        <f t="shared" si="93"/>
        <v>30</v>
      </c>
      <c r="DL27" s="766" t="s">
        <v>233</v>
      </c>
      <c r="DM27" s="766" t="s">
        <v>234</v>
      </c>
      <c r="DN27" s="767">
        <f t="shared" si="30"/>
        <v>20235.335690472664</v>
      </c>
      <c r="DO27" s="767">
        <f t="shared" si="31"/>
        <v>445177.38519039861</v>
      </c>
      <c r="DP27" s="768">
        <f t="shared" si="32"/>
        <v>0.14839246173013287</v>
      </c>
      <c r="DR27" s="767">
        <f t="shared" si="33"/>
        <v>3785891.1813492263</v>
      </c>
      <c r="DS27" s="767">
        <f>SUM('[6]INTERNAL PRICELIST'!M27)</f>
        <v>2329361</v>
      </c>
      <c r="DT27" s="767">
        <f t="shared" si="94"/>
        <v>1456530.1813492263</v>
      </c>
      <c r="DV27" s="951">
        <f t="shared" si="34"/>
        <v>172085.9627886012</v>
      </c>
      <c r="DW27" s="512"/>
      <c r="DX27" s="772">
        <v>4</v>
      </c>
      <c r="DY27" s="773" t="s">
        <v>250</v>
      </c>
      <c r="DZ27" s="774">
        <v>22</v>
      </c>
      <c r="EA27" s="775">
        <f t="shared" si="35"/>
        <v>0</v>
      </c>
      <c r="ED27" s="755" t="s">
        <v>314</v>
      </c>
      <c r="EE27" s="777" t="b">
        <f t="shared" si="36"/>
        <v>1</v>
      </c>
      <c r="EF27" s="1123" t="s">
        <v>315</v>
      </c>
      <c r="EG27" s="1123" t="s">
        <v>247</v>
      </c>
      <c r="EH27" s="1203"/>
      <c r="EP27" s="1230" t="s">
        <v>236</v>
      </c>
      <c r="EQ27" s="1145" t="s">
        <v>236</v>
      </c>
      <c r="ER27" s="753" t="b">
        <f t="shared" si="95"/>
        <v>1</v>
      </c>
      <c r="EU27" s="770">
        <v>2123200</v>
      </c>
      <c r="EV27" s="771" t="s">
        <v>236</v>
      </c>
      <c r="EZ27" s="520"/>
      <c r="FA27" s="778"/>
      <c r="FF27" s="771">
        <f>FF26-1</f>
        <v>29</v>
      </c>
      <c r="FG27" s="1122">
        <f t="shared" ref="FG27" si="144">EDATE(FH27,FF27)</f>
        <v>46539</v>
      </c>
      <c r="FH27" s="765">
        <v>45658</v>
      </c>
      <c r="FJ27" s="994">
        <v>0.15</v>
      </c>
      <c r="FK27" s="993">
        <v>12820.110851026688</v>
      </c>
      <c r="FL27" s="993">
        <v>13166.600333486867</v>
      </c>
      <c r="FM27" s="497"/>
      <c r="FN27" s="993">
        <f t="shared" si="38"/>
        <v>4268592.3069712529</v>
      </c>
      <c r="FO27" s="994">
        <f t="shared" si="96"/>
        <v>0.15</v>
      </c>
      <c r="FP27" s="775">
        <f t="shared" si="39"/>
        <v>640288.84604568791</v>
      </c>
      <c r="FQ27" s="993">
        <f t="shared" si="40"/>
        <v>30000</v>
      </c>
      <c r="FR27" s="775">
        <f t="shared" si="97"/>
        <v>610288.84604568791</v>
      </c>
      <c r="FS27" s="497">
        <f t="shared" si="98"/>
        <v>40</v>
      </c>
      <c r="FT27" s="775">
        <f t="shared" si="99"/>
        <v>15257.221151142197</v>
      </c>
      <c r="FU27" s="497"/>
      <c r="FV27" s="993">
        <f t="shared" si="100"/>
        <v>4268592.3069712529</v>
      </c>
      <c r="FW27" s="705">
        <f t="shared" si="101"/>
        <v>426859.23069712531</v>
      </c>
      <c r="FX27" s="705">
        <f t="shared" si="102"/>
        <v>106714.80767428133</v>
      </c>
      <c r="FY27" s="705">
        <v>15000</v>
      </c>
      <c r="FZ27" s="705">
        <f t="shared" si="103"/>
        <v>411859.23069712531</v>
      </c>
      <c r="GA27" s="497">
        <f t="shared" si="104"/>
        <v>46</v>
      </c>
      <c r="GB27" s="775">
        <f t="shared" si="105"/>
        <v>8953.4615368940285</v>
      </c>
      <c r="GC27" s="497"/>
      <c r="GD27" s="497"/>
      <c r="GH27" s="1095">
        <f t="shared" si="0"/>
        <v>4268592.3069712529</v>
      </c>
      <c r="GI27" s="1098">
        <f t="shared" si="1"/>
        <v>0.125</v>
      </c>
      <c r="GJ27" s="1095">
        <f t="shared" si="2"/>
        <v>533574.03837140661</v>
      </c>
      <c r="GK27" s="1095">
        <f t="shared" si="3"/>
        <v>30000</v>
      </c>
      <c r="GL27" s="1095">
        <f t="shared" si="4"/>
        <v>503574.03837140661</v>
      </c>
      <c r="GM27" s="1095">
        <f t="shared" si="5"/>
        <v>29</v>
      </c>
      <c r="GN27" s="1095">
        <f t="shared" si="6"/>
        <v>17364.622012807125</v>
      </c>
      <c r="GO27" s="1098">
        <f t="shared" si="7"/>
        <v>0.875</v>
      </c>
      <c r="GP27" s="1095">
        <f t="shared" si="8"/>
        <v>3735018.2685998464</v>
      </c>
      <c r="GQ27" s="1095">
        <f t="shared" si="9"/>
        <v>28957.556881625129</v>
      </c>
      <c r="GR27" s="1095">
        <f t="shared" si="10"/>
        <v>33571.400119678256</v>
      </c>
      <c r="GS27" s="1095">
        <f t="shared" si="11"/>
        <v>43366.729102090649</v>
      </c>
      <c r="GT27" s="1095">
        <f t="shared" si="12"/>
        <v>73957.838288378131</v>
      </c>
      <c r="GU27" s="497"/>
      <c r="GV27" s="1095">
        <f t="shared" si="106"/>
        <v>4268592.3069712529</v>
      </c>
      <c r="GW27" s="1098">
        <f t="shared" si="107"/>
        <v>0.125</v>
      </c>
      <c r="GX27" s="1095">
        <f t="shared" si="108"/>
        <v>533574.03837140661</v>
      </c>
      <c r="GY27" s="1095">
        <f t="shared" si="109"/>
        <v>30000</v>
      </c>
      <c r="GZ27" s="1095">
        <f t="shared" si="110"/>
        <v>503574.03837140661</v>
      </c>
      <c r="HA27" s="1106">
        <f t="shared" si="111"/>
        <v>48</v>
      </c>
      <c r="HB27" s="770">
        <f t="shared" si="112"/>
        <v>10491.125799404304</v>
      </c>
      <c r="HC27" s="1098">
        <f t="shared" si="113"/>
        <v>0.875</v>
      </c>
      <c r="HD27" s="1102">
        <f t="shared" si="114"/>
        <v>3735018.2685998464</v>
      </c>
      <c r="HE27" s="1101">
        <f t="shared" si="115"/>
        <v>28957.556881625129</v>
      </c>
      <c r="HF27" s="1101">
        <f t="shared" si="116"/>
        <v>33571.400119678256</v>
      </c>
      <c r="HG27" s="1101">
        <f t="shared" si="117"/>
        <v>43366.729102090649</v>
      </c>
      <c r="HH27" s="1101">
        <f t="shared" si="118"/>
        <v>73957.838288378131</v>
      </c>
      <c r="HI27" s="497"/>
      <c r="HJ27" s="1102">
        <f t="shared" si="119"/>
        <v>-6873.496213402821</v>
      </c>
      <c r="HL27" s="775"/>
      <c r="HN27" s="775"/>
      <c r="HO27" s="775"/>
      <c r="HQ27" s="702"/>
      <c r="HR27" s="1171"/>
      <c r="HS27" s="702"/>
      <c r="HT27" s="1171"/>
    </row>
    <row r="28" spans="1:240" ht="14.25" hidden="1" customHeight="1">
      <c r="A28" s="753">
        <f t="shared" si="120"/>
        <v>22</v>
      </c>
      <c r="B28" s="753" t="s">
        <v>236</v>
      </c>
      <c r="C28" s="753">
        <f t="shared" si="121"/>
        <v>22</v>
      </c>
      <c r="D28" s="753" t="s">
        <v>227</v>
      </c>
      <c r="E28" s="717" t="str">
        <f t="shared" si="41"/>
        <v>3rd Floor</v>
      </c>
      <c r="F28" s="754"/>
      <c r="G28" s="755" t="s">
        <v>316</v>
      </c>
      <c r="H28" s="756"/>
      <c r="I28" s="755" t="s">
        <v>229</v>
      </c>
      <c r="J28" s="757">
        <v>22</v>
      </c>
      <c r="K28" s="758"/>
      <c r="L28" s="759" t="s">
        <v>69</v>
      </c>
      <c r="M28" s="760" t="s">
        <v>68</v>
      </c>
      <c r="N28" s="761">
        <f t="shared" si="42"/>
        <v>106005.26567735759</v>
      </c>
      <c r="O28" s="762">
        <f t="shared" si="43"/>
        <v>2332115.8449018667</v>
      </c>
      <c r="P28" s="762">
        <f t="shared" si="44"/>
        <v>22400</v>
      </c>
      <c r="Q28" s="762">
        <f t="shared" si="14"/>
        <v>50000</v>
      </c>
      <c r="R28" s="762"/>
      <c r="S28" s="762"/>
      <c r="T28" s="762"/>
      <c r="U28" s="762"/>
      <c r="V28" s="762"/>
      <c r="W28" s="762"/>
      <c r="X28" s="762"/>
      <c r="Y28" s="762"/>
      <c r="Z28" s="762">
        <f t="shared" si="15"/>
        <v>142461</v>
      </c>
      <c r="AA28" s="762">
        <v>45722.732758620688</v>
      </c>
      <c r="AB28" s="762"/>
      <c r="AC28" s="762"/>
      <c r="AD28" s="763">
        <f t="shared" si="45"/>
        <v>260583.7327586207</v>
      </c>
      <c r="AE28" s="763">
        <f t="shared" si="16"/>
        <v>2592699.5776604875</v>
      </c>
      <c r="AF28" s="762">
        <f t="shared" si="17"/>
        <v>64817.489441512189</v>
      </c>
      <c r="AG28" s="762">
        <f t="shared" si="46"/>
        <v>2657517.0671019997</v>
      </c>
      <c r="AH28" s="762">
        <f t="shared" si="18"/>
        <v>66437.92667755</v>
      </c>
      <c r="AI28" s="762">
        <f t="shared" si="47"/>
        <v>2723954.9937795498</v>
      </c>
      <c r="AJ28" s="762">
        <f t="shared" si="48"/>
        <v>136197.74968897749</v>
      </c>
      <c r="AK28" s="762">
        <f t="shared" si="122"/>
        <v>2860152.7434685272</v>
      </c>
      <c r="AL28" s="762">
        <f t="shared" si="49"/>
        <v>28601.527434685271</v>
      </c>
      <c r="AM28" s="762">
        <f t="shared" si="50"/>
        <v>27537.409960060559</v>
      </c>
      <c r="AN28" s="762"/>
      <c r="AO28" s="763">
        <f t="shared" si="51"/>
        <v>2916291.6808632729</v>
      </c>
      <c r="AP28" s="763">
        <f t="shared" si="52"/>
        <v>481188.12734244007</v>
      </c>
      <c r="AQ28" s="763">
        <f t="shared" si="53"/>
        <v>3397479.8082057131</v>
      </c>
      <c r="AR28" s="1178">
        <f t="shared" si="19"/>
        <v>3000000</v>
      </c>
      <c r="AS28" s="1178">
        <f t="shared" si="123"/>
        <v>18067.264009350594</v>
      </c>
      <c r="AT28" s="1178">
        <f t="shared" si="54"/>
        <v>397479.80820571305</v>
      </c>
      <c r="AU28" s="1178">
        <f t="shared" si="20"/>
        <v>47697.576984685562</v>
      </c>
      <c r="AV28" s="1178">
        <f t="shared" si="55"/>
        <v>445177.38519039861</v>
      </c>
      <c r="AW28" s="1178">
        <f t="shared" si="56"/>
        <v>3445177.3851903984</v>
      </c>
      <c r="AX28" s="762">
        <f t="shared" si="57"/>
        <v>43064.717314879985</v>
      </c>
      <c r="AY28" s="717" t="s">
        <v>231</v>
      </c>
      <c r="AZ28" s="717">
        <f t="shared" si="58"/>
        <v>3488242.1025052783</v>
      </c>
      <c r="BA28" s="717">
        <f t="shared" si="59"/>
        <v>130809.07884394794</v>
      </c>
      <c r="BB28" s="717"/>
      <c r="BC28" s="717">
        <f t="shared" si="21"/>
        <v>33600</v>
      </c>
      <c r="BD28" s="717">
        <f t="shared" si="60"/>
        <v>3652651.1813492263</v>
      </c>
      <c r="BE28" s="717"/>
      <c r="BF28" s="717">
        <f t="shared" si="61"/>
        <v>3652651.1813492263</v>
      </c>
      <c r="BG28" s="1209"/>
      <c r="BH28" s="717">
        <f t="shared" si="62"/>
        <v>3652651.1813492263</v>
      </c>
      <c r="BI28" s="717"/>
      <c r="BJ28" s="717">
        <f t="shared" si="63"/>
        <v>3652651.1813492263</v>
      </c>
      <c r="BK28" s="717"/>
      <c r="BL28" s="717">
        <f t="shared" si="64"/>
        <v>3652651.1813492263</v>
      </c>
      <c r="BM28" s="717"/>
      <c r="BN28" s="717">
        <f t="shared" si="65"/>
        <v>3652651.1813492263</v>
      </c>
      <c r="BO28" s="717"/>
      <c r="BP28" s="717">
        <f t="shared" si="22"/>
        <v>3652651.1813492263</v>
      </c>
      <c r="BQ28" s="717"/>
      <c r="BR28" s="717">
        <f t="shared" si="133"/>
        <v>3652651.1813492263</v>
      </c>
      <c r="BS28" s="717"/>
      <c r="BT28" s="717">
        <f t="shared" si="66"/>
        <v>3652651.1813492263</v>
      </c>
      <c r="BU28" s="717"/>
      <c r="BV28" s="1235">
        <f t="shared" si="134"/>
        <v>51400</v>
      </c>
      <c r="BW28" s="717">
        <f t="shared" si="67"/>
        <v>3704051.1813492263</v>
      </c>
      <c r="BX28" s="717"/>
      <c r="BY28" s="717">
        <f t="shared" si="68"/>
        <v>3704051.1813492263</v>
      </c>
      <c r="BZ28" s="1194">
        <f t="shared" si="69"/>
        <v>3704051.1813492263</v>
      </c>
      <c r="CA28" s="1194">
        <f t="shared" si="70"/>
        <v>3022051.1813492263</v>
      </c>
      <c r="CB28" s="1194">
        <v>31000</v>
      </c>
      <c r="CC28" s="1194">
        <f t="shared" si="71"/>
        <v>682000</v>
      </c>
      <c r="CD28" s="1194">
        <f t="shared" si="72"/>
        <v>81840</v>
      </c>
      <c r="CE28" s="1194">
        <f t="shared" si="73"/>
        <v>763840</v>
      </c>
      <c r="CF28" s="1200">
        <f t="shared" si="74"/>
        <v>3785891.1813492263</v>
      </c>
      <c r="CG28" s="757">
        <f t="shared" si="75"/>
        <v>3785891.1813492263</v>
      </c>
      <c r="CH28" s="758">
        <f t="shared" si="76"/>
        <v>0</v>
      </c>
      <c r="CI28" s="757">
        <f t="shared" si="25"/>
        <v>388053.84608829569</v>
      </c>
      <c r="CJ28" s="757">
        <f t="shared" si="26"/>
        <v>94647.27953373066</v>
      </c>
      <c r="CK28" s="759">
        <f t="shared" si="77"/>
        <v>4268592.3069712529</v>
      </c>
      <c r="CL28" s="764">
        <f t="shared" si="78"/>
        <v>0.125</v>
      </c>
      <c r="CM28" s="757">
        <f t="shared" si="79"/>
        <v>533574.03837140661</v>
      </c>
      <c r="CN28" s="757">
        <f t="shared" si="124"/>
        <v>30000</v>
      </c>
      <c r="CO28" s="757">
        <f t="shared" si="80"/>
        <v>503574.03837140661</v>
      </c>
      <c r="CP28" s="755">
        <f t="shared" si="81"/>
        <v>29</v>
      </c>
      <c r="CQ28" s="757">
        <f t="shared" si="129"/>
        <v>17364.622012807125</v>
      </c>
      <c r="CR28" s="764">
        <f t="shared" si="83"/>
        <v>0.875</v>
      </c>
      <c r="CS28" s="757">
        <f t="shared" si="84"/>
        <v>3735018.2685998464</v>
      </c>
      <c r="CT28" s="1101">
        <f t="shared" si="85"/>
        <v>28957.556881625129</v>
      </c>
      <c r="CU28" s="1101">
        <f t="shared" si="86"/>
        <v>33571.400119678256</v>
      </c>
      <c r="CV28" s="1101">
        <f t="shared" si="87"/>
        <v>43366.729102090649</v>
      </c>
      <c r="CW28" s="1141">
        <f t="shared" si="27"/>
        <v>73957.838288378131</v>
      </c>
      <c r="CX28" s="1152">
        <f t="shared" si="88"/>
        <v>303407.40576728969</v>
      </c>
      <c r="CY28" s="1152">
        <f t="shared" si="89"/>
        <v>120056.83247978757</v>
      </c>
      <c r="CZ28" s="1152">
        <f t="shared" si="90"/>
        <v>86715.349711868883</v>
      </c>
      <c r="DA28" s="1152">
        <f t="shared" si="91"/>
        <v>65994.373299246014</v>
      </c>
      <c r="DB28" s="1143">
        <f t="shared" si="28"/>
        <v>0.13249326940190434</v>
      </c>
      <c r="DC28" s="1143">
        <f t="shared" si="125"/>
        <v>0.25275548101702755</v>
      </c>
      <c r="DD28" s="1098" t="s">
        <v>232</v>
      </c>
      <c r="DE28" s="1144"/>
      <c r="DF28" s="705"/>
      <c r="DG28" s="765">
        <f t="shared" si="126"/>
        <v>46082</v>
      </c>
      <c r="DH28" s="1116">
        <f t="shared" si="29"/>
        <v>28</v>
      </c>
      <c r="DI28" s="497"/>
      <c r="DJ28" s="1117">
        <f t="shared" si="92"/>
        <v>46147</v>
      </c>
      <c r="DK28" s="1116">
        <f t="shared" si="93"/>
        <v>30</v>
      </c>
      <c r="DL28" s="766" t="s">
        <v>233</v>
      </c>
      <c r="DM28" s="766" t="s">
        <v>234</v>
      </c>
      <c r="DN28" s="767">
        <f t="shared" si="30"/>
        <v>20235.335690472664</v>
      </c>
      <c r="DO28" s="767">
        <f t="shared" si="31"/>
        <v>445177.38519039861</v>
      </c>
      <c r="DP28" s="768">
        <f t="shared" si="32"/>
        <v>0.14839246173013287</v>
      </c>
      <c r="DR28" s="767">
        <f t="shared" si="33"/>
        <v>3785891.1813492263</v>
      </c>
      <c r="DS28" s="767">
        <f>SUM('[6]INTERNAL PRICELIST'!M28)</f>
        <v>2329361</v>
      </c>
      <c r="DT28" s="767">
        <f t="shared" si="94"/>
        <v>1456530.1813492263</v>
      </c>
      <c r="DV28" s="951">
        <f t="shared" si="34"/>
        <v>172085.9627886012</v>
      </c>
      <c r="DX28" s="772">
        <v>5</v>
      </c>
      <c r="DY28" s="773" t="s">
        <v>255</v>
      </c>
      <c r="DZ28" s="774">
        <v>22</v>
      </c>
      <c r="EA28" s="775">
        <f t="shared" si="35"/>
        <v>0</v>
      </c>
      <c r="ED28" s="755" t="s">
        <v>316</v>
      </c>
      <c r="EE28" s="777" t="b">
        <f t="shared" si="36"/>
        <v>1</v>
      </c>
      <c r="EF28" s="1123" t="s">
        <v>317</v>
      </c>
      <c r="EG28" s="1123" t="s">
        <v>247</v>
      </c>
      <c r="EH28" s="1203"/>
      <c r="EP28" s="1230" t="s">
        <v>236</v>
      </c>
      <c r="EQ28" s="1145" t="s">
        <v>236</v>
      </c>
      <c r="ER28" s="753" t="b">
        <f t="shared" si="95"/>
        <v>1</v>
      </c>
      <c r="EU28" s="770">
        <v>2123200</v>
      </c>
      <c r="EV28" s="771" t="s">
        <v>236</v>
      </c>
      <c r="EZ28" s="520"/>
      <c r="FA28" s="778"/>
      <c r="FF28" s="771">
        <v>30</v>
      </c>
      <c r="FG28" s="1122">
        <f t="shared" ref="FG28" si="145">EDATE(FH28,FF28)</f>
        <v>46600</v>
      </c>
      <c r="FH28" s="765">
        <v>45689</v>
      </c>
      <c r="FI28" s="996" t="s">
        <v>318</v>
      </c>
      <c r="FJ28" s="1216">
        <v>0.15</v>
      </c>
      <c r="FK28" s="1217">
        <v>12820.110851026688</v>
      </c>
      <c r="FL28" s="1217">
        <v>13166.600333486867</v>
      </c>
      <c r="FM28" s="1218"/>
      <c r="FN28" s="1217">
        <f t="shared" si="38"/>
        <v>4268592.3069712529</v>
      </c>
      <c r="FO28" s="1216">
        <f t="shared" si="96"/>
        <v>0.15</v>
      </c>
      <c r="FP28" s="1219">
        <f t="shared" si="39"/>
        <v>640288.84604568791</v>
      </c>
      <c r="FQ28" s="1217">
        <f t="shared" si="40"/>
        <v>30000</v>
      </c>
      <c r="FR28" s="1219">
        <f t="shared" si="97"/>
        <v>610288.84604568791</v>
      </c>
      <c r="FS28" s="1218">
        <f t="shared" si="98"/>
        <v>40</v>
      </c>
      <c r="FT28" s="1219">
        <f t="shared" si="99"/>
        <v>15257.221151142197</v>
      </c>
      <c r="FU28" s="1218"/>
      <c r="FV28" s="1217">
        <f t="shared" si="100"/>
        <v>4268592.3069712529</v>
      </c>
      <c r="FW28" s="1220">
        <f t="shared" si="101"/>
        <v>426859.23069712531</v>
      </c>
      <c r="FX28" s="1220">
        <f t="shared" si="102"/>
        <v>106714.80767428133</v>
      </c>
      <c r="FY28" s="1220">
        <v>15000</v>
      </c>
      <c r="FZ28" s="1220">
        <f t="shared" si="103"/>
        <v>411859.23069712531</v>
      </c>
      <c r="GA28" s="1218">
        <f t="shared" si="104"/>
        <v>46</v>
      </c>
      <c r="GB28" s="1219">
        <f t="shared" si="105"/>
        <v>8953.4615368940285</v>
      </c>
      <c r="GC28" s="1218"/>
      <c r="GD28" s="1218"/>
      <c r="GE28" s="1218"/>
      <c r="GF28" s="1218"/>
      <c r="GH28" s="1095">
        <f t="shared" si="0"/>
        <v>4268592.3069712529</v>
      </c>
      <c r="GI28" s="1098">
        <f t="shared" si="1"/>
        <v>0.125</v>
      </c>
      <c r="GJ28" s="1095">
        <f t="shared" si="2"/>
        <v>533574.03837140661</v>
      </c>
      <c r="GK28" s="1095">
        <f t="shared" si="3"/>
        <v>30000</v>
      </c>
      <c r="GL28" s="1095">
        <f t="shared" si="4"/>
        <v>503574.03837140661</v>
      </c>
      <c r="GM28" s="1095">
        <f t="shared" si="5"/>
        <v>29</v>
      </c>
      <c r="GN28" s="1095">
        <f t="shared" si="6"/>
        <v>17364.622012807125</v>
      </c>
      <c r="GO28" s="1098">
        <f t="shared" si="7"/>
        <v>0.875</v>
      </c>
      <c r="GP28" s="1095">
        <f t="shared" si="8"/>
        <v>3735018.2685998464</v>
      </c>
      <c r="GQ28" s="1095">
        <f t="shared" si="9"/>
        <v>28957.556881625129</v>
      </c>
      <c r="GR28" s="1095">
        <f t="shared" si="10"/>
        <v>33571.400119678256</v>
      </c>
      <c r="GS28" s="1095">
        <f t="shared" si="11"/>
        <v>43366.729102090649</v>
      </c>
      <c r="GT28" s="1095">
        <f t="shared" si="12"/>
        <v>73957.838288378131</v>
      </c>
      <c r="GU28" s="497"/>
      <c r="GV28" s="1095">
        <f t="shared" si="106"/>
        <v>4268592.3069712529</v>
      </c>
      <c r="GW28" s="1098">
        <f t="shared" si="107"/>
        <v>0.125</v>
      </c>
      <c r="GX28" s="1095">
        <f t="shared" si="108"/>
        <v>533574.03837140661</v>
      </c>
      <c r="GY28" s="1095">
        <f t="shared" si="109"/>
        <v>30000</v>
      </c>
      <c r="GZ28" s="1095">
        <f t="shared" si="110"/>
        <v>503574.03837140661</v>
      </c>
      <c r="HA28" s="1106">
        <f t="shared" si="111"/>
        <v>48</v>
      </c>
      <c r="HB28" s="770">
        <f t="shared" si="112"/>
        <v>10491.125799404304</v>
      </c>
      <c r="HC28" s="1098">
        <f t="shared" si="113"/>
        <v>0.875</v>
      </c>
      <c r="HD28" s="1102">
        <f t="shared" si="114"/>
        <v>3735018.2685998464</v>
      </c>
      <c r="HE28" s="1101">
        <f t="shared" si="115"/>
        <v>28957.556881625129</v>
      </c>
      <c r="HF28" s="1101">
        <f t="shared" si="116"/>
        <v>33571.400119678256</v>
      </c>
      <c r="HG28" s="1101">
        <f t="shared" si="117"/>
        <v>43366.729102090649</v>
      </c>
      <c r="HH28" s="1101">
        <f t="shared" si="118"/>
        <v>73957.838288378131</v>
      </c>
      <c r="HI28" s="497"/>
      <c r="HJ28" s="1102">
        <f t="shared" si="119"/>
        <v>-6873.496213402821</v>
      </c>
      <c r="HL28" s="775"/>
      <c r="HN28" s="775"/>
      <c r="HO28" s="775"/>
      <c r="HQ28" s="702"/>
      <c r="HR28" s="1171"/>
      <c r="HS28" s="702"/>
      <c r="HT28" s="1171"/>
    </row>
    <row r="29" spans="1:240" ht="14.25" hidden="1" customHeight="1">
      <c r="A29" s="753">
        <f t="shared" si="120"/>
        <v>23</v>
      </c>
      <c r="B29" s="753"/>
      <c r="C29" s="753">
        <f t="shared" si="121"/>
        <v>23</v>
      </c>
      <c r="D29" s="753" t="s">
        <v>227</v>
      </c>
      <c r="E29" s="717" t="str">
        <f t="shared" si="41"/>
        <v>3rd Floor</v>
      </c>
      <c r="F29" s="754"/>
      <c r="G29" s="755" t="s">
        <v>319</v>
      </c>
      <c r="H29" s="756"/>
      <c r="I29" s="755" t="s">
        <v>229</v>
      </c>
      <c r="J29" s="757">
        <v>22</v>
      </c>
      <c r="K29" s="758"/>
      <c r="L29" s="759" t="s">
        <v>69</v>
      </c>
      <c r="M29" s="760" t="s">
        <v>68</v>
      </c>
      <c r="N29" s="761">
        <f t="shared" si="42"/>
        <v>106005.26567735759</v>
      </c>
      <c r="O29" s="762">
        <f t="shared" si="43"/>
        <v>2332115.8449018667</v>
      </c>
      <c r="P29" s="762">
        <f t="shared" si="44"/>
        <v>22400</v>
      </c>
      <c r="Q29" s="762">
        <f t="shared" si="14"/>
        <v>50000</v>
      </c>
      <c r="R29" s="762"/>
      <c r="S29" s="762"/>
      <c r="T29" s="762"/>
      <c r="U29" s="762"/>
      <c r="V29" s="762"/>
      <c r="W29" s="762"/>
      <c r="X29" s="762"/>
      <c r="Y29" s="762"/>
      <c r="Z29" s="762">
        <f t="shared" si="15"/>
        <v>142461</v>
      </c>
      <c r="AA29" s="762">
        <v>45722.732758620688</v>
      </c>
      <c r="AB29" s="762"/>
      <c r="AC29" s="762"/>
      <c r="AD29" s="763">
        <f t="shared" si="45"/>
        <v>260583.7327586207</v>
      </c>
      <c r="AE29" s="763">
        <f t="shared" si="16"/>
        <v>2592699.5776604875</v>
      </c>
      <c r="AF29" s="762">
        <f t="shared" si="17"/>
        <v>64817.489441512189</v>
      </c>
      <c r="AG29" s="762">
        <f t="shared" si="46"/>
        <v>2657517.0671019997</v>
      </c>
      <c r="AH29" s="762">
        <f t="shared" si="18"/>
        <v>66437.92667755</v>
      </c>
      <c r="AI29" s="762">
        <f t="shared" si="47"/>
        <v>2723954.9937795498</v>
      </c>
      <c r="AJ29" s="762">
        <f t="shared" si="48"/>
        <v>136197.74968897749</v>
      </c>
      <c r="AK29" s="762">
        <f t="shared" si="122"/>
        <v>2860152.7434685272</v>
      </c>
      <c r="AL29" s="762">
        <f t="shared" si="49"/>
        <v>28601.527434685271</v>
      </c>
      <c r="AM29" s="762">
        <f t="shared" si="50"/>
        <v>27537.409960060559</v>
      </c>
      <c r="AN29" s="762"/>
      <c r="AO29" s="763">
        <f t="shared" si="51"/>
        <v>2916291.6808632729</v>
      </c>
      <c r="AP29" s="763">
        <f t="shared" si="52"/>
        <v>481188.12734244007</v>
      </c>
      <c r="AQ29" s="763">
        <f t="shared" si="53"/>
        <v>3397479.8082057131</v>
      </c>
      <c r="AR29" s="1178">
        <f t="shared" si="19"/>
        <v>3000000</v>
      </c>
      <c r="AS29" s="1178">
        <f t="shared" si="123"/>
        <v>18067.264009350594</v>
      </c>
      <c r="AT29" s="1178">
        <f t="shared" si="54"/>
        <v>397479.80820571305</v>
      </c>
      <c r="AU29" s="1178">
        <f t="shared" si="20"/>
        <v>47697.576984685562</v>
      </c>
      <c r="AV29" s="1178">
        <f t="shared" si="55"/>
        <v>445177.38519039861</v>
      </c>
      <c r="AW29" s="1178">
        <f t="shared" si="56"/>
        <v>3445177.3851903984</v>
      </c>
      <c r="AX29" s="762">
        <f t="shared" si="57"/>
        <v>43064.717314879985</v>
      </c>
      <c r="AY29" s="717" t="s">
        <v>231</v>
      </c>
      <c r="AZ29" s="717">
        <f t="shared" si="58"/>
        <v>3488242.1025052783</v>
      </c>
      <c r="BA29" s="717">
        <f t="shared" si="59"/>
        <v>130809.07884394794</v>
      </c>
      <c r="BB29" s="717"/>
      <c r="BC29" s="717">
        <f t="shared" si="21"/>
        <v>33600</v>
      </c>
      <c r="BD29" s="717">
        <f t="shared" si="60"/>
        <v>3652651.1813492263</v>
      </c>
      <c r="BE29" s="717"/>
      <c r="BF29" s="717">
        <f t="shared" si="61"/>
        <v>3652651.1813492263</v>
      </c>
      <c r="BG29" s="1209"/>
      <c r="BH29" s="717">
        <f t="shared" si="62"/>
        <v>3652651.1813492263</v>
      </c>
      <c r="BI29" s="717"/>
      <c r="BJ29" s="717">
        <f t="shared" si="63"/>
        <v>3652651.1813492263</v>
      </c>
      <c r="BK29" s="717"/>
      <c r="BL29" s="717">
        <f t="shared" si="64"/>
        <v>3652651.1813492263</v>
      </c>
      <c r="BM29" s="717"/>
      <c r="BN29" s="717">
        <f t="shared" si="65"/>
        <v>3652651.1813492263</v>
      </c>
      <c r="BO29" s="717"/>
      <c r="BP29" s="717">
        <f t="shared" si="22"/>
        <v>3652651.1813492263</v>
      </c>
      <c r="BQ29" s="717"/>
      <c r="BR29" s="717">
        <f t="shared" si="133"/>
        <v>3652651.1813492263</v>
      </c>
      <c r="BS29" s="717"/>
      <c r="BT29" s="717">
        <f t="shared" si="66"/>
        <v>3652651.1813492263</v>
      </c>
      <c r="BU29" s="717"/>
      <c r="BV29" s="1235">
        <f t="shared" si="134"/>
        <v>51400</v>
      </c>
      <c r="BW29" s="717">
        <f t="shared" si="67"/>
        <v>3704051.1813492263</v>
      </c>
      <c r="BX29" s="717"/>
      <c r="BY29" s="717">
        <f t="shared" si="68"/>
        <v>3704051.1813492263</v>
      </c>
      <c r="BZ29" s="1194">
        <f t="shared" si="69"/>
        <v>3704051.1813492263</v>
      </c>
      <c r="CA29" s="1194">
        <f t="shared" si="70"/>
        <v>3022051.1813492263</v>
      </c>
      <c r="CB29" s="1194">
        <v>31000</v>
      </c>
      <c r="CC29" s="1194">
        <f t="shared" si="71"/>
        <v>682000</v>
      </c>
      <c r="CD29" s="1194">
        <f t="shared" si="72"/>
        <v>81840</v>
      </c>
      <c r="CE29" s="1194">
        <f t="shared" si="73"/>
        <v>763840</v>
      </c>
      <c r="CF29" s="1200">
        <f t="shared" si="74"/>
        <v>3785891.1813492263</v>
      </c>
      <c r="CG29" s="757">
        <f t="shared" si="75"/>
        <v>3785891.1813492263</v>
      </c>
      <c r="CH29" s="758">
        <f t="shared" si="76"/>
        <v>0</v>
      </c>
      <c r="CI29" s="757">
        <f t="shared" si="25"/>
        <v>388053.84608829569</v>
      </c>
      <c r="CJ29" s="757">
        <f t="shared" si="26"/>
        <v>94647.27953373066</v>
      </c>
      <c r="CK29" s="759">
        <f t="shared" si="77"/>
        <v>4268592.3069712529</v>
      </c>
      <c r="CL29" s="764">
        <f t="shared" si="78"/>
        <v>0.125</v>
      </c>
      <c r="CM29" s="757">
        <f t="shared" si="79"/>
        <v>533574.03837140661</v>
      </c>
      <c r="CN29" s="757">
        <f t="shared" si="124"/>
        <v>30000</v>
      </c>
      <c r="CO29" s="757">
        <f t="shared" si="80"/>
        <v>503574.03837140661</v>
      </c>
      <c r="CP29" s="755">
        <f t="shared" si="81"/>
        <v>29</v>
      </c>
      <c r="CQ29" s="757">
        <f t="shared" si="129"/>
        <v>17364.622012807125</v>
      </c>
      <c r="CR29" s="764">
        <f t="shared" si="83"/>
        <v>0.875</v>
      </c>
      <c r="CS29" s="757">
        <f t="shared" si="84"/>
        <v>3735018.2685998464</v>
      </c>
      <c r="CT29" s="1101">
        <f t="shared" si="85"/>
        <v>28957.556881625129</v>
      </c>
      <c r="CU29" s="1101">
        <f t="shared" si="86"/>
        <v>33571.400119678256</v>
      </c>
      <c r="CV29" s="1101">
        <f t="shared" si="87"/>
        <v>43366.729102090649</v>
      </c>
      <c r="CW29" s="1141">
        <f t="shared" si="27"/>
        <v>73957.838288378131</v>
      </c>
      <c r="CX29" s="1152">
        <f t="shared" si="88"/>
        <v>303407.40576728969</v>
      </c>
      <c r="CY29" s="1152">
        <f t="shared" si="89"/>
        <v>120056.83247978757</v>
      </c>
      <c r="CZ29" s="1152">
        <f t="shared" si="90"/>
        <v>86715.349711868883</v>
      </c>
      <c r="DA29" s="1152">
        <f t="shared" si="91"/>
        <v>65994.373299246014</v>
      </c>
      <c r="DB29" s="1143">
        <f t="shared" si="28"/>
        <v>0.13249326940190434</v>
      </c>
      <c r="DC29" s="1143">
        <f t="shared" si="125"/>
        <v>0.25275548101702755</v>
      </c>
      <c r="DD29" s="1098" t="s">
        <v>232</v>
      </c>
      <c r="DE29" s="1144"/>
      <c r="DF29" s="705"/>
      <c r="DG29" s="765">
        <f t="shared" si="126"/>
        <v>46082</v>
      </c>
      <c r="DH29" s="1116">
        <f t="shared" si="29"/>
        <v>28</v>
      </c>
      <c r="DI29" s="497"/>
      <c r="DJ29" s="1117">
        <f t="shared" si="92"/>
        <v>46147</v>
      </c>
      <c r="DK29" s="1116">
        <f t="shared" si="93"/>
        <v>30</v>
      </c>
      <c r="DL29" s="766" t="s">
        <v>233</v>
      </c>
      <c r="DM29" s="766" t="s">
        <v>234</v>
      </c>
      <c r="DN29" s="767">
        <f t="shared" si="30"/>
        <v>20235.335690472664</v>
      </c>
      <c r="DO29" s="767">
        <f t="shared" si="31"/>
        <v>445177.38519039861</v>
      </c>
      <c r="DP29" s="768">
        <f t="shared" si="32"/>
        <v>0.14839246173013287</v>
      </c>
      <c r="DR29" s="767">
        <f t="shared" si="33"/>
        <v>3785891.1813492263</v>
      </c>
      <c r="DS29" s="767">
        <f>SUM('[6]INTERNAL PRICELIST'!M29)</f>
        <v>2329361</v>
      </c>
      <c r="DT29" s="767">
        <f t="shared" si="94"/>
        <v>1456530.1813492263</v>
      </c>
      <c r="DV29" s="951">
        <f t="shared" si="34"/>
        <v>172085.9627886012</v>
      </c>
      <c r="DX29" s="773">
        <v>6</v>
      </c>
      <c r="DY29" s="773" t="s">
        <v>262</v>
      </c>
      <c r="DZ29" s="774">
        <v>22</v>
      </c>
      <c r="EA29" s="775">
        <f t="shared" si="35"/>
        <v>0</v>
      </c>
      <c r="ED29" s="755" t="s">
        <v>319</v>
      </c>
      <c r="EE29" s="777" t="b">
        <f t="shared" si="36"/>
        <v>1</v>
      </c>
      <c r="EF29" s="777"/>
      <c r="EG29" s="777"/>
      <c r="EH29" s="1203"/>
      <c r="EP29" s="1230" t="s">
        <v>236</v>
      </c>
      <c r="EQ29" s="1145" t="s">
        <v>236</v>
      </c>
      <c r="ER29" s="753" t="b">
        <f t="shared" si="95"/>
        <v>1</v>
      </c>
      <c r="EU29" s="770">
        <v>2172480</v>
      </c>
      <c r="EV29" s="771" t="s">
        <v>236</v>
      </c>
      <c r="EZ29" s="520"/>
      <c r="FA29" s="778"/>
      <c r="FF29" s="771">
        <f>FF28-1</f>
        <v>29</v>
      </c>
      <c r="FG29" s="1122">
        <f t="shared" ref="FG29" si="146">EDATE(FH29,FF29)</f>
        <v>46600</v>
      </c>
      <c r="FH29" s="765">
        <v>45717</v>
      </c>
      <c r="FJ29" s="994">
        <v>0.15</v>
      </c>
      <c r="FK29" s="993">
        <v>12820.110851026688</v>
      </c>
      <c r="FL29" s="993">
        <v>13166.600333486867</v>
      </c>
      <c r="FM29" s="497"/>
      <c r="FN29" s="993">
        <f t="shared" si="38"/>
        <v>4268592.3069712529</v>
      </c>
      <c r="FO29" s="994">
        <f t="shared" si="96"/>
        <v>0.15</v>
      </c>
      <c r="FP29" s="775">
        <f t="shared" si="39"/>
        <v>640288.84604568791</v>
      </c>
      <c r="FQ29" s="993">
        <f t="shared" si="40"/>
        <v>30000</v>
      </c>
      <c r="FR29" s="775">
        <f t="shared" si="97"/>
        <v>610288.84604568791</v>
      </c>
      <c r="FS29" s="497">
        <f t="shared" si="98"/>
        <v>40</v>
      </c>
      <c r="FT29" s="775">
        <f t="shared" si="99"/>
        <v>15257.221151142197</v>
      </c>
      <c r="FU29" s="497"/>
      <c r="FV29" s="993">
        <f t="shared" si="100"/>
        <v>4268592.3069712529</v>
      </c>
      <c r="FW29" s="705">
        <f t="shared" si="101"/>
        <v>426859.23069712531</v>
      </c>
      <c r="FX29" s="705">
        <f t="shared" si="102"/>
        <v>106714.80767428133</v>
      </c>
      <c r="FY29" s="705">
        <v>15000</v>
      </c>
      <c r="FZ29" s="705">
        <f t="shared" si="103"/>
        <v>411859.23069712531</v>
      </c>
      <c r="GA29" s="497">
        <f t="shared" si="104"/>
        <v>46</v>
      </c>
      <c r="GB29" s="775">
        <f t="shared" si="105"/>
        <v>8953.4615368940285</v>
      </c>
      <c r="GC29" s="497"/>
      <c r="GD29" s="497"/>
      <c r="GH29" s="1095">
        <f t="shared" si="0"/>
        <v>4268592.3069712529</v>
      </c>
      <c r="GI29" s="1098">
        <f t="shared" si="1"/>
        <v>0.125</v>
      </c>
      <c r="GJ29" s="1095">
        <f t="shared" si="2"/>
        <v>533574.03837140661</v>
      </c>
      <c r="GK29" s="1095">
        <f t="shared" si="3"/>
        <v>30000</v>
      </c>
      <c r="GL29" s="1095">
        <f t="shared" si="4"/>
        <v>503574.03837140661</v>
      </c>
      <c r="GM29" s="1095">
        <f t="shared" si="5"/>
        <v>29</v>
      </c>
      <c r="GN29" s="1095">
        <f t="shared" si="6"/>
        <v>17364.622012807125</v>
      </c>
      <c r="GO29" s="1098">
        <f t="shared" si="7"/>
        <v>0.875</v>
      </c>
      <c r="GP29" s="1095">
        <f t="shared" si="8"/>
        <v>3735018.2685998464</v>
      </c>
      <c r="GQ29" s="1095">
        <f t="shared" si="9"/>
        <v>28957.556881625129</v>
      </c>
      <c r="GR29" s="1095">
        <f t="shared" si="10"/>
        <v>33571.400119678256</v>
      </c>
      <c r="GS29" s="1095">
        <f t="shared" si="11"/>
        <v>43366.729102090649</v>
      </c>
      <c r="GT29" s="1095">
        <f t="shared" si="12"/>
        <v>73957.838288378131</v>
      </c>
      <c r="GU29" s="497"/>
      <c r="GV29" s="1095">
        <f t="shared" si="106"/>
        <v>4268592.3069712529</v>
      </c>
      <c r="GW29" s="1098">
        <f t="shared" si="107"/>
        <v>0.125</v>
      </c>
      <c r="GX29" s="1095">
        <f t="shared" si="108"/>
        <v>533574.03837140661</v>
      </c>
      <c r="GY29" s="1095">
        <f t="shared" si="109"/>
        <v>30000</v>
      </c>
      <c r="GZ29" s="1095">
        <f t="shared" si="110"/>
        <v>503574.03837140661</v>
      </c>
      <c r="HA29" s="1106">
        <f t="shared" si="111"/>
        <v>48</v>
      </c>
      <c r="HB29" s="770">
        <f t="shared" si="112"/>
        <v>10491.125799404304</v>
      </c>
      <c r="HC29" s="1098">
        <f t="shared" si="113"/>
        <v>0.875</v>
      </c>
      <c r="HD29" s="1102">
        <f t="shared" si="114"/>
        <v>3735018.2685998464</v>
      </c>
      <c r="HE29" s="1101">
        <f t="shared" si="115"/>
        <v>28957.556881625129</v>
      </c>
      <c r="HF29" s="1101">
        <f t="shared" si="116"/>
        <v>33571.400119678256</v>
      </c>
      <c r="HG29" s="1101">
        <f t="shared" si="117"/>
        <v>43366.729102090649</v>
      </c>
      <c r="HH29" s="1101">
        <f t="shared" si="118"/>
        <v>73957.838288378131</v>
      </c>
      <c r="HI29" s="497"/>
      <c r="HJ29" s="1102">
        <f t="shared" si="119"/>
        <v>-6873.496213402821</v>
      </c>
      <c r="HL29" s="775"/>
      <c r="HN29" s="775"/>
      <c r="HO29" s="775"/>
      <c r="HQ29" s="702"/>
      <c r="HR29" s="1171"/>
      <c r="HS29" s="702"/>
      <c r="HT29" s="1171"/>
    </row>
    <row r="30" spans="1:240" ht="14.25" customHeight="1">
      <c r="A30" s="753">
        <f t="shared" si="120"/>
        <v>24</v>
      </c>
      <c r="B30" s="753" t="s">
        <v>236</v>
      </c>
      <c r="C30" s="753">
        <f t="shared" si="121"/>
        <v>24</v>
      </c>
      <c r="D30" s="753" t="s">
        <v>227</v>
      </c>
      <c r="E30" s="717" t="str">
        <f t="shared" si="41"/>
        <v>3rd Floor</v>
      </c>
      <c r="F30" s="754"/>
      <c r="G30" s="755" t="s">
        <v>320</v>
      </c>
      <c r="H30" s="756"/>
      <c r="I30" s="755" t="s">
        <v>229</v>
      </c>
      <c r="J30" s="757">
        <v>22</v>
      </c>
      <c r="K30" s="758"/>
      <c r="L30" s="759" t="s">
        <v>69</v>
      </c>
      <c r="M30" s="760" t="s">
        <v>68</v>
      </c>
      <c r="N30" s="761">
        <f t="shared" si="42"/>
        <v>106005.26567735759</v>
      </c>
      <c r="O30" s="762">
        <f t="shared" si="43"/>
        <v>2332115.8449018667</v>
      </c>
      <c r="P30" s="762">
        <f t="shared" si="44"/>
        <v>22400</v>
      </c>
      <c r="Q30" s="762">
        <f t="shared" si="14"/>
        <v>50000</v>
      </c>
      <c r="R30" s="762"/>
      <c r="S30" s="762"/>
      <c r="T30" s="762"/>
      <c r="U30" s="762"/>
      <c r="V30" s="762"/>
      <c r="W30" s="762"/>
      <c r="X30" s="762"/>
      <c r="Y30" s="762"/>
      <c r="Z30" s="762">
        <f t="shared" si="15"/>
        <v>142461</v>
      </c>
      <c r="AA30" s="762">
        <v>45722.732758620688</v>
      </c>
      <c r="AB30" s="762"/>
      <c r="AC30" s="762"/>
      <c r="AD30" s="763">
        <f t="shared" si="45"/>
        <v>260583.7327586207</v>
      </c>
      <c r="AE30" s="763">
        <f t="shared" si="16"/>
        <v>2592699.5776604875</v>
      </c>
      <c r="AF30" s="762">
        <f t="shared" si="17"/>
        <v>64817.489441512189</v>
      </c>
      <c r="AG30" s="762">
        <f t="shared" si="46"/>
        <v>2657517.0671019997</v>
      </c>
      <c r="AH30" s="762">
        <f t="shared" si="18"/>
        <v>66437.92667755</v>
      </c>
      <c r="AI30" s="762">
        <f t="shared" si="47"/>
        <v>2723954.9937795498</v>
      </c>
      <c r="AJ30" s="762">
        <f t="shared" si="48"/>
        <v>136197.74968897749</v>
      </c>
      <c r="AK30" s="762">
        <f t="shared" si="122"/>
        <v>2860152.7434685272</v>
      </c>
      <c r="AL30" s="762">
        <f t="shared" si="49"/>
        <v>28601.527434685271</v>
      </c>
      <c r="AM30" s="762">
        <f t="shared" si="50"/>
        <v>27537.409960060559</v>
      </c>
      <c r="AN30" s="762"/>
      <c r="AO30" s="763">
        <f t="shared" si="51"/>
        <v>2916291.6808632729</v>
      </c>
      <c r="AP30" s="763">
        <f t="shared" si="52"/>
        <v>481188.12734244007</v>
      </c>
      <c r="AQ30" s="763">
        <f t="shared" si="53"/>
        <v>3397479.8082057131</v>
      </c>
      <c r="AR30" s="1178">
        <f t="shared" si="19"/>
        <v>3000000</v>
      </c>
      <c r="AS30" s="1178">
        <f t="shared" si="123"/>
        <v>18067.264009350594</v>
      </c>
      <c r="AT30" s="1178">
        <f t="shared" si="54"/>
        <v>397479.80820571305</v>
      </c>
      <c r="AU30" s="1178">
        <f t="shared" si="20"/>
        <v>47697.576984685562</v>
      </c>
      <c r="AV30" s="1178">
        <f t="shared" si="55"/>
        <v>445177.38519039861</v>
      </c>
      <c r="AW30" s="1178">
        <f t="shared" si="56"/>
        <v>3445177.3851903984</v>
      </c>
      <c r="AX30" s="762">
        <f t="shared" si="57"/>
        <v>43064.717314879985</v>
      </c>
      <c r="AY30" s="717" t="s">
        <v>231</v>
      </c>
      <c r="AZ30" s="717">
        <f t="shared" si="58"/>
        <v>3488242.1025052783</v>
      </c>
      <c r="BA30" s="717">
        <f t="shared" si="59"/>
        <v>130809.07884394794</v>
      </c>
      <c r="BB30" s="717"/>
      <c r="BC30" s="717">
        <f t="shared" si="21"/>
        <v>33600</v>
      </c>
      <c r="BD30" s="717">
        <f t="shared" si="60"/>
        <v>3652651.1813492263</v>
      </c>
      <c r="BE30" s="717"/>
      <c r="BF30" s="717">
        <f t="shared" si="61"/>
        <v>3652651.1813492263</v>
      </c>
      <c r="BG30" s="1209"/>
      <c r="BH30" s="717">
        <f t="shared" si="62"/>
        <v>3652651.1813492263</v>
      </c>
      <c r="BI30" s="717">
        <v>718.43902439024396</v>
      </c>
      <c r="BJ30" s="717">
        <f t="shared" si="63"/>
        <v>3653369.6203736165</v>
      </c>
      <c r="BK30" s="717"/>
      <c r="BL30" s="717">
        <f t="shared" si="64"/>
        <v>3653369.6203736165</v>
      </c>
      <c r="BM30" s="717">
        <f>$BM$5/41</f>
        <v>1038.0487804878051</v>
      </c>
      <c r="BN30" s="717">
        <f t="shared" si="65"/>
        <v>3654407.6691541043</v>
      </c>
      <c r="BO30" s="717">
        <f>$BO$5/51</f>
        <v>7289.0781490196077</v>
      </c>
      <c r="BP30" s="717">
        <f t="shared" si="22"/>
        <v>3661696.7473031241</v>
      </c>
      <c r="BQ30" s="717">
        <f>$BQ$5/56</f>
        <v>4468.4242000000004</v>
      </c>
      <c r="BR30" s="717">
        <f t="shared" si="133"/>
        <v>3666165.1715031238</v>
      </c>
      <c r="BS30" s="1234">
        <f>$BS$5/64</f>
        <v>2651.4786794501206</v>
      </c>
      <c r="BT30" s="1235">
        <f t="shared" si="66"/>
        <v>3668816.6501825741</v>
      </c>
      <c r="BU30" s="1235">
        <f>$BU$5/65</f>
        <v>211.07692307692309</v>
      </c>
      <c r="BV30" s="1235">
        <f t="shared" si="134"/>
        <v>51400</v>
      </c>
      <c r="BW30" s="717">
        <f t="shared" si="67"/>
        <v>3720427.7271056511</v>
      </c>
      <c r="BX30" s="1234">
        <f t="shared" ref="BX18:BX81" si="147">$BX$5/68</f>
        <v>27651.078536278128</v>
      </c>
      <c r="BY30" s="717">
        <f t="shared" si="68"/>
        <v>3748078.8056419292</v>
      </c>
      <c r="BZ30" s="1194">
        <f t="shared" si="69"/>
        <v>3748078.8056419292</v>
      </c>
      <c r="CA30" s="1194">
        <f t="shared" si="70"/>
        <v>2868078.8056419292</v>
      </c>
      <c r="CB30" s="1194">
        <f>$CB$5</f>
        <v>40000</v>
      </c>
      <c r="CC30" s="1194">
        <f t="shared" si="71"/>
        <v>880000</v>
      </c>
      <c r="CD30" s="1194">
        <f t="shared" si="72"/>
        <v>105600</v>
      </c>
      <c r="CE30" s="1194">
        <f t="shared" si="73"/>
        <v>985600</v>
      </c>
      <c r="CF30" s="1200">
        <f t="shared" si="74"/>
        <v>3853678.8056419292</v>
      </c>
      <c r="CG30" s="757">
        <f t="shared" si="75"/>
        <v>3853678.8056419292</v>
      </c>
      <c r="CH30" s="758">
        <f t="shared" si="76"/>
        <v>0</v>
      </c>
      <c r="CI30" s="757">
        <f t="shared" si="25"/>
        <v>395002.0775782977</v>
      </c>
      <c r="CJ30" s="757">
        <f t="shared" si="26"/>
        <v>96341.970141048238</v>
      </c>
      <c r="CK30" s="759">
        <f t="shared" si="77"/>
        <v>4345022.853361275</v>
      </c>
      <c r="CL30" s="764">
        <f t="shared" si="78"/>
        <v>0.125</v>
      </c>
      <c r="CM30" s="757">
        <f t="shared" si="79"/>
        <v>543127.85667015938</v>
      </c>
      <c r="CN30" s="757">
        <f t="shared" si="124"/>
        <v>30000</v>
      </c>
      <c r="CO30" s="757">
        <f t="shared" si="80"/>
        <v>513127.85667015938</v>
      </c>
      <c r="CP30" s="755">
        <f t="shared" si="81"/>
        <v>29</v>
      </c>
      <c r="CQ30" s="757">
        <f t="shared" si="129"/>
        <v>17694.064023108946</v>
      </c>
      <c r="CR30" s="764">
        <f t="shared" si="83"/>
        <v>0.875</v>
      </c>
      <c r="CS30" s="757">
        <f t="shared" si="84"/>
        <v>3801894.9966911157</v>
      </c>
      <c r="CT30" s="1101">
        <f t="shared" si="85"/>
        <v>29476.051442693464</v>
      </c>
      <c r="CU30" s="1101">
        <f t="shared" si="86"/>
        <v>34172.507058383693</v>
      </c>
      <c r="CV30" s="1101">
        <f t="shared" si="87"/>
        <v>44143.224621470115</v>
      </c>
      <c r="CW30" s="1141">
        <f t="shared" si="27"/>
        <v>75282.077659042319</v>
      </c>
      <c r="CX30" s="1152">
        <f t="shared" si="88"/>
        <v>308840.01495877909</v>
      </c>
      <c r="CY30" s="1152">
        <f t="shared" si="89"/>
        <v>122206.4894731012</v>
      </c>
      <c r="CZ30" s="1152">
        <f t="shared" si="90"/>
        <v>88268.01651212899</v>
      </c>
      <c r="DA30" s="1152">
        <f t="shared" si="91"/>
        <v>67176.024215331592</v>
      </c>
      <c r="DB30" s="1143">
        <f t="shared" si="28"/>
        <v>0.13249326940190434</v>
      </c>
      <c r="DC30" s="1143">
        <f t="shared" si="125"/>
        <v>0.34364467184834013</v>
      </c>
      <c r="DD30" s="1098" t="s">
        <v>232</v>
      </c>
      <c r="DE30" s="1144"/>
      <c r="DF30" s="705"/>
      <c r="DG30" s="765">
        <f t="shared" si="126"/>
        <v>46082</v>
      </c>
      <c r="DH30" s="1116">
        <f t="shared" si="29"/>
        <v>28</v>
      </c>
      <c r="DI30" s="497"/>
      <c r="DJ30" s="1117">
        <f t="shared" si="92"/>
        <v>46147</v>
      </c>
      <c r="DK30" s="1116">
        <f t="shared" si="93"/>
        <v>30</v>
      </c>
      <c r="DL30" s="766" t="s">
        <v>233</v>
      </c>
      <c r="DM30" s="766" t="s">
        <v>234</v>
      </c>
      <c r="DN30" s="767">
        <f t="shared" si="30"/>
        <v>20235.335690472664</v>
      </c>
      <c r="DO30" s="767">
        <f t="shared" si="31"/>
        <v>445177.38519039861</v>
      </c>
      <c r="DP30" s="768">
        <f t="shared" si="32"/>
        <v>0.14839246173013287</v>
      </c>
      <c r="DR30" s="767">
        <f t="shared" si="33"/>
        <v>3853678.8056419292</v>
      </c>
      <c r="DS30" s="767">
        <f>SUM('[6]INTERNAL PRICELIST'!M30)</f>
        <v>2329361</v>
      </c>
      <c r="DT30" s="767">
        <f t="shared" si="94"/>
        <v>1524317.8056419292</v>
      </c>
      <c r="DV30" s="951">
        <f t="shared" si="34"/>
        <v>175167.21843826951</v>
      </c>
      <c r="DW30" s="512"/>
      <c r="DX30" s="772">
        <v>7</v>
      </c>
      <c r="DY30" s="773" t="s">
        <v>267</v>
      </c>
      <c r="DZ30" s="774">
        <v>22</v>
      </c>
      <c r="EA30" s="775">
        <f t="shared" si="35"/>
        <v>0</v>
      </c>
      <c r="ED30" s="755" t="s">
        <v>320</v>
      </c>
      <c r="EE30" s="777" t="b">
        <f t="shared" si="36"/>
        <v>1</v>
      </c>
      <c r="EF30" s="1123" t="s">
        <v>321</v>
      </c>
      <c r="EG30" s="1123" t="s">
        <v>247</v>
      </c>
      <c r="EH30" s="1203"/>
      <c r="EP30" s="1230" t="s">
        <v>258</v>
      </c>
      <c r="EQ30" s="1145" t="s">
        <v>258</v>
      </c>
      <c r="ER30" s="823" t="b">
        <f t="shared" si="95"/>
        <v>1</v>
      </c>
      <c r="EU30" s="770">
        <v>2123200</v>
      </c>
      <c r="EV30" s="771" t="s">
        <v>236</v>
      </c>
      <c r="EZ30" s="520"/>
      <c r="FA30" s="778"/>
      <c r="FF30" s="771">
        <v>30</v>
      </c>
      <c r="FG30" s="1122">
        <f t="shared" ref="FG30" si="148">EDATE(FH30,FF30)</f>
        <v>46661</v>
      </c>
      <c r="FH30" s="765">
        <v>45748</v>
      </c>
      <c r="FI30" s="497" t="s">
        <v>322</v>
      </c>
      <c r="FJ30" s="994">
        <v>0.15</v>
      </c>
      <c r="FK30" s="993">
        <v>12820.110851026688</v>
      </c>
      <c r="FL30" s="993">
        <v>13166.600333486867</v>
      </c>
      <c r="FM30" s="497"/>
      <c r="FN30" s="993">
        <f t="shared" si="38"/>
        <v>4345022.853361275</v>
      </c>
      <c r="FO30" s="994">
        <f t="shared" si="96"/>
        <v>0.15</v>
      </c>
      <c r="FP30" s="775">
        <f t="shared" si="39"/>
        <v>651753.42800419126</v>
      </c>
      <c r="FQ30" s="993">
        <f t="shared" si="40"/>
        <v>30000</v>
      </c>
      <c r="FR30" s="775">
        <f t="shared" si="97"/>
        <v>621753.42800419126</v>
      </c>
      <c r="FS30" s="497">
        <f t="shared" si="98"/>
        <v>40</v>
      </c>
      <c r="FT30" s="775">
        <f t="shared" si="99"/>
        <v>15543.835700104781</v>
      </c>
      <c r="FU30" s="497"/>
      <c r="FV30" s="993">
        <f t="shared" si="100"/>
        <v>4345022.853361275</v>
      </c>
      <c r="FW30" s="705">
        <f t="shared" si="101"/>
        <v>434502.2853361275</v>
      </c>
      <c r="FX30" s="705">
        <f t="shared" si="102"/>
        <v>108625.57133403188</v>
      </c>
      <c r="FY30" s="705">
        <v>15000</v>
      </c>
      <c r="FZ30" s="705">
        <f t="shared" si="103"/>
        <v>419502.2853361275</v>
      </c>
      <c r="GA30" s="497">
        <f t="shared" si="104"/>
        <v>46</v>
      </c>
      <c r="GB30" s="775">
        <f t="shared" si="105"/>
        <v>9119.6148986114677</v>
      </c>
      <c r="GC30" s="497"/>
      <c r="GD30" s="497"/>
      <c r="GH30" s="1095">
        <f t="shared" si="0"/>
        <v>4345022.853361275</v>
      </c>
      <c r="GI30" s="1098">
        <f t="shared" si="1"/>
        <v>0.125</v>
      </c>
      <c r="GJ30" s="1095">
        <f t="shared" si="2"/>
        <v>543127.85667015938</v>
      </c>
      <c r="GK30" s="1095">
        <f t="shared" si="3"/>
        <v>30000</v>
      </c>
      <c r="GL30" s="1095">
        <f t="shared" si="4"/>
        <v>513127.85667015938</v>
      </c>
      <c r="GM30" s="1095">
        <f t="shared" si="5"/>
        <v>29</v>
      </c>
      <c r="GN30" s="1095">
        <f t="shared" si="6"/>
        <v>17694.064023108946</v>
      </c>
      <c r="GO30" s="1098">
        <f t="shared" si="7"/>
        <v>0.875</v>
      </c>
      <c r="GP30" s="1095">
        <f t="shared" si="8"/>
        <v>3801894.9966911157</v>
      </c>
      <c r="GQ30" s="1095">
        <f t="shared" si="9"/>
        <v>29476.051442693464</v>
      </c>
      <c r="GR30" s="1095">
        <f t="shared" si="10"/>
        <v>34172.507058383693</v>
      </c>
      <c r="GS30" s="1095">
        <f t="shared" si="11"/>
        <v>44143.224621470115</v>
      </c>
      <c r="GT30" s="1095">
        <f t="shared" si="12"/>
        <v>75282.077659042319</v>
      </c>
      <c r="GU30" s="497"/>
      <c r="GV30" s="1095">
        <f t="shared" si="106"/>
        <v>4345022.853361275</v>
      </c>
      <c r="GW30" s="1098">
        <f t="shared" si="107"/>
        <v>0.125</v>
      </c>
      <c r="GX30" s="1095">
        <f t="shared" si="108"/>
        <v>543127.85667015938</v>
      </c>
      <c r="GY30" s="1095">
        <f t="shared" si="109"/>
        <v>30000</v>
      </c>
      <c r="GZ30" s="1095">
        <f t="shared" si="110"/>
        <v>513127.85667015938</v>
      </c>
      <c r="HA30" s="1106">
        <f t="shared" si="111"/>
        <v>48</v>
      </c>
      <c r="HB30" s="770">
        <f t="shared" si="112"/>
        <v>10690.16368062832</v>
      </c>
      <c r="HC30" s="1098">
        <f t="shared" si="113"/>
        <v>0.875</v>
      </c>
      <c r="HD30" s="1102">
        <f t="shared" si="114"/>
        <v>3801894.9966911157</v>
      </c>
      <c r="HE30" s="1101">
        <f t="shared" si="115"/>
        <v>29476.051442693464</v>
      </c>
      <c r="HF30" s="1101">
        <f t="shared" si="116"/>
        <v>34172.507058383693</v>
      </c>
      <c r="HG30" s="1101">
        <f t="shared" si="117"/>
        <v>44143.224621470115</v>
      </c>
      <c r="HH30" s="1101">
        <f t="shared" si="118"/>
        <v>75282.077659042319</v>
      </c>
      <c r="HI30" s="497"/>
      <c r="HJ30" s="1102">
        <f t="shared" si="119"/>
        <v>-7003.9003424806251</v>
      </c>
      <c r="HL30" s="775"/>
      <c r="HN30" s="775"/>
      <c r="HO30" s="775"/>
      <c r="HQ30" s="702"/>
      <c r="HR30" s="1171"/>
      <c r="HS30" s="702"/>
      <c r="HT30" s="1171"/>
    </row>
    <row r="31" spans="1:240" ht="14.25" hidden="1" customHeight="1">
      <c r="A31" s="753">
        <f t="shared" si="120"/>
        <v>25</v>
      </c>
      <c r="B31" s="753" t="s">
        <v>236</v>
      </c>
      <c r="C31" s="753">
        <f t="shared" si="121"/>
        <v>25</v>
      </c>
      <c r="D31" s="753" t="s">
        <v>227</v>
      </c>
      <c r="E31" s="717" t="str">
        <f t="shared" si="41"/>
        <v>3rd Floor</v>
      </c>
      <c r="F31" s="754"/>
      <c r="G31" s="755" t="s">
        <v>323</v>
      </c>
      <c r="H31" s="756"/>
      <c r="I31" s="755" t="s">
        <v>229</v>
      </c>
      <c r="J31" s="757">
        <v>22</v>
      </c>
      <c r="K31" s="758"/>
      <c r="L31" s="759" t="s">
        <v>69</v>
      </c>
      <c r="M31" s="760" t="s">
        <v>230</v>
      </c>
      <c r="N31" s="761">
        <f t="shared" si="42"/>
        <v>106005.26567735759</v>
      </c>
      <c r="O31" s="762">
        <f t="shared" si="43"/>
        <v>2332115.8449018667</v>
      </c>
      <c r="P31" s="762">
        <f t="shared" si="44"/>
        <v>22400</v>
      </c>
      <c r="Q31" s="762">
        <f t="shared" si="14"/>
        <v>50000</v>
      </c>
      <c r="R31" s="762"/>
      <c r="S31" s="762"/>
      <c r="T31" s="762"/>
      <c r="U31" s="762"/>
      <c r="V31" s="762">
        <f t="shared" ref="V31:V32" si="149">J31*$V$5</f>
        <v>55000</v>
      </c>
      <c r="W31" s="762"/>
      <c r="X31" s="762"/>
      <c r="Y31" s="762"/>
      <c r="Z31" s="762">
        <f t="shared" si="15"/>
        <v>142461</v>
      </c>
      <c r="AA31" s="762">
        <v>45722.732758620688</v>
      </c>
      <c r="AB31" s="762"/>
      <c r="AC31" s="762"/>
      <c r="AD31" s="763">
        <f t="shared" si="45"/>
        <v>315583.7327586207</v>
      </c>
      <c r="AE31" s="763">
        <f t="shared" si="16"/>
        <v>2647699.5776604875</v>
      </c>
      <c r="AF31" s="762">
        <f t="shared" si="17"/>
        <v>66192.489441512196</v>
      </c>
      <c r="AG31" s="762">
        <f t="shared" si="46"/>
        <v>2713892.0671019997</v>
      </c>
      <c r="AH31" s="762">
        <f t="shared" si="18"/>
        <v>67847.30167755</v>
      </c>
      <c r="AI31" s="762">
        <f t="shared" si="47"/>
        <v>2781739.3687795498</v>
      </c>
      <c r="AJ31" s="762">
        <f t="shared" si="48"/>
        <v>139086.96843897749</v>
      </c>
      <c r="AK31" s="762">
        <f t="shared" si="122"/>
        <v>2920826.3372185272</v>
      </c>
      <c r="AL31" s="762">
        <f t="shared" si="49"/>
        <v>29208.263372185273</v>
      </c>
      <c r="AM31" s="762">
        <f t="shared" si="50"/>
        <v>27537.409960060559</v>
      </c>
      <c r="AN31" s="762"/>
      <c r="AO31" s="763">
        <f t="shared" si="51"/>
        <v>2977572.0105507728</v>
      </c>
      <c r="AP31" s="763">
        <f t="shared" si="52"/>
        <v>491299.38174087752</v>
      </c>
      <c r="AQ31" s="763">
        <f t="shared" si="53"/>
        <v>3468871.3922916502</v>
      </c>
      <c r="AR31" s="1178">
        <f t="shared" si="19"/>
        <v>3000000</v>
      </c>
      <c r="AS31" s="1178">
        <f t="shared" si="123"/>
        <v>21312.336013256827</v>
      </c>
      <c r="AT31" s="1178">
        <f t="shared" si="54"/>
        <v>468871.39229165018</v>
      </c>
      <c r="AU31" s="1178">
        <f t="shared" si="20"/>
        <v>56264.56707499802</v>
      </c>
      <c r="AV31" s="1178">
        <f t="shared" si="55"/>
        <v>525135.95936664823</v>
      </c>
      <c r="AW31" s="1178">
        <f t="shared" si="56"/>
        <v>3525135.959366648</v>
      </c>
      <c r="AX31" s="762">
        <f t="shared" si="57"/>
        <v>44064.199492083106</v>
      </c>
      <c r="AY31" s="717" t="s">
        <v>231</v>
      </c>
      <c r="AZ31" s="717">
        <f t="shared" si="58"/>
        <v>3569200.1588587309</v>
      </c>
      <c r="BA31" s="717">
        <f t="shared" si="59"/>
        <v>133845.0059572024</v>
      </c>
      <c r="BB31" s="717"/>
      <c r="BC31" s="717">
        <f t="shared" si="21"/>
        <v>33600</v>
      </c>
      <c r="BD31" s="717">
        <f t="shared" si="60"/>
        <v>3736645.1648159334</v>
      </c>
      <c r="BE31" s="717"/>
      <c r="BF31" s="717">
        <f t="shared" si="61"/>
        <v>3736645.1648159334</v>
      </c>
      <c r="BG31" s="1209"/>
      <c r="BH31" s="717">
        <f t="shared" si="62"/>
        <v>3736645.1648159334</v>
      </c>
      <c r="BI31" s="717"/>
      <c r="BJ31" s="717">
        <f t="shared" si="63"/>
        <v>3736645.1648159334</v>
      </c>
      <c r="BK31" s="717"/>
      <c r="BL31" s="717">
        <f t="shared" si="64"/>
        <v>3736645.1648159334</v>
      </c>
      <c r="BM31" s="717"/>
      <c r="BN31" s="717">
        <f t="shared" si="65"/>
        <v>3736645.1648159334</v>
      </c>
      <c r="BO31" s="717"/>
      <c r="BP31" s="717">
        <f t="shared" si="22"/>
        <v>3736645.1648159334</v>
      </c>
      <c r="BQ31" s="717"/>
      <c r="BR31" s="717">
        <f t="shared" si="133"/>
        <v>3736645.1648159334</v>
      </c>
      <c r="BS31" s="717"/>
      <c r="BT31" s="717">
        <f t="shared" si="66"/>
        <v>3736645.1648159334</v>
      </c>
      <c r="BU31" s="717"/>
      <c r="BV31" s="1235">
        <f t="shared" si="134"/>
        <v>51400</v>
      </c>
      <c r="BW31" s="717">
        <f t="shared" si="67"/>
        <v>3788045.1648159334</v>
      </c>
      <c r="BX31" s="717"/>
      <c r="BY31" s="717">
        <f t="shared" si="68"/>
        <v>3788045.1648159334</v>
      </c>
      <c r="BZ31" s="1194">
        <f t="shared" si="69"/>
        <v>3788045.1648159334</v>
      </c>
      <c r="CA31" s="1194">
        <f t="shared" si="70"/>
        <v>3040045.1648159334</v>
      </c>
      <c r="CB31" s="1194">
        <v>34000</v>
      </c>
      <c r="CC31" s="1194">
        <f t="shared" si="71"/>
        <v>748000</v>
      </c>
      <c r="CD31" s="1194">
        <f t="shared" si="72"/>
        <v>89760</v>
      </c>
      <c r="CE31" s="1194">
        <f t="shared" si="73"/>
        <v>837760</v>
      </c>
      <c r="CF31" s="1200">
        <f t="shared" si="74"/>
        <v>3877805.1648159334</v>
      </c>
      <c r="CG31" s="757">
        <f t="shared" si="75"/>
        <v>3877805.1648159334</v>
      </c>
      <c r="CH31" s="758">
        <f t="shared" si="76"/>
        <v>0</v>
      </c>
      <c r="CI31" s="757">
        <f t="shared" si="25"/>
        <v>397475.02939363313</v>
      </c>
      <c r="CJ31" s="757">
        <f t="shared" si="26"/>
        <v>96945.129120398342</v>
      </c>
      <c r="CK31" s="759">
        <f t="shared" si="77"/>
        <v>4372225.3233299647</v>
      </c>
      <c r="CL31" s="764">
        <f t="shared" si="78"/>
        <v>0.125</v>
      </c>
      <c r="CM31" s="757">
        <f t="shared" si="79"/>
        <v>546528.16541624558</v>
      </c>
      <c r="CN31" s="757">
        <f t="shared" si="124"/>
        <v>30000</v>
      </c>
      <c r="CO31" s="757">
        <f t="shared" si="80"/>
        <v>516528.16541624558</v>
      </c>
      <c r="CP31" s="755">
        <f t="shared" si="81"/>
        <v>29</v>
      </c>
      <c r="CQ31" s="757">
        <f t="shared" si="129"/>
        <v>17811.316048836055</v>
      </c>
      <c r="CR31" s="764">
        <f t="shared" si="83"/>
        <v>0.875</v>
      </c>
      <c r="CS31" s="757">
        <f t="shared" si="84"/>
        <v>3825697.1579137193</v>
      </c>
      <c r="CT31" s="1101">
        <f t="shared" si="85"/>
        <v>29660.589345306602</v>
      </c>
      <c r="CU31" s="1101">
        <f t="shared" si="86"/>
        <v>34386.447612526325</v>
      </c>
      <c r="CV31" s="1101">
        <f t="shared" si="87"/>
        <v>44419.587895637422</v>
      </c>
      <c r="CW31" s="1141">
        <f t="shared" si="27"/>
        <v>75753.388979100506</v>
      </c>
      <c r="CX31" s="1152">
        <f t="shared" si="88"/>
        <v>310773.54017040064</v>
      </c>
      <c r="CY31" s="1152">
        <f t="shared" si="89"/>
        <v>122971.57598059779</v>
      </c>
      <c r="CZ31" s="1152">
        <f t="shared" si="90"/>
        <v>88820.627660424681</v>
      </c>
      <c r="DA31" s="1152">
        <f t="shared" si="91"/>
        <v>67596.586740087907</v>
      </c>
      <c r="DB31" s="1143">
        <f t="shared" si="28"/>
        <v>0.15629046409721672</v>
      </c>
      <c r="DC31" s="1143">
        <f t="shared" si="125"/>
        <v>0.27557485319489461</v>
      </c>
      <c r="DD31" s="1098" t="s">
        <v>232</v>
      </c>
      <c r="DE31" s="1144"/>
      <c r="DF31" s="705"/>
      <c r="DG31" s="765">
        <f t="shared" si="126"/>
        <v>46082</v>
      </c>
      <c r="DH31" s="1116">
        <f t="shared" si="29"/>
        <v>28</v>
      </c>
      <c r="DI31" s="497"/>
      <c r="DJ31" s="1117">
        <f t="shared" si="92"/>
        <v>46147</v>
      </c>
      <c r="DK31" s="1116">
        <f t="shared" si="93"/>
        <v>30</v>
      </c>
      <c r="DL31" s="766" t="s">
        <v>233</v>
      </c>
      <c r="DM31" s="766" t="s">
        <v>234</v>
      </c>
      <c r="DN31" s="767">
        <f t="shared" si="30"/>
        <v>23869.816334847648</v>
      </c>
      <c r="DO31" s="767">
        <f t="shared" si="31"/>
        <v>525135.95936664823</v>
      </c>
      <c r="DP31" s="768">
        <f t="shared" si="32"/>
        <v>0.17504531978888274</v>
      </c>
      <c r="DR31" s="767">
        <f t="shared" si="33"/>
        <v>3877805.1648159334</v>
      </c>
      <c r="DS31" s="767">
        <f>SUM('[6]INTERNAL PRICELIST'!M31)</f>
        <v>2331316</v>
      </c>
      <c r="DT31" s="767">
        <f t="shared" si="94"/>
        <v>1546489.1648159334</v>
      </c>
      <c r="DV31" s="951">
        <f t="shared" si="34"/>
        <v>176263.87112799697</v>
      </c>
      <c r="DW31" s="780"/>
      <c r="DX31" s="772">
        <v>8</v>
      </c>
      <c r="DY31" s="773" t="s">
        <v>271</v>
      </c>
      <c r="DZ31" s="772">
        <v>22.34</v>
      </c>
      <c r="EA31" s="775">
        <f t="shared" si="35"/>
        <v>0.33999999999999986</v>
      </c>
      <c r="ED31" s="1133" t="s">
        <v>323</v>
      </c>
      <c r="EE31" s="777" t="b">
        <f t="shared" si="36"/>
        <v>1</v>
      </c>
      <c r="EF31" s="1123" t="s">
        <v>324</v>
      </c>
      <c r="EG31" s="1123" t="s">
        <v>247</v>
      </c>
      <c r="EH31" s="1203"/>
      <c r="EP31" s="1230" t="s">
        <v>236</v>
      </c>
      <c r="EQ31" s="1145" t="s">
        <v>236</v>
      </c>
      <c r="ER31" s="753" t="b">
        <f t="shared" si="95"/>
        <v>1</v>
      </c>
      <c r="EU31" s="770">
        <v>2123200</v>
      </c>
      <c r="EV31" s="771" t="s">
        <v>236</v>
      </c>
      <c r="EZ31" s="520"/>
      <c r="FA31" s="778"/>
      <c r="FF31" s="771">
        <v>32</v>
      </c>
      <c r="FG31" s="1122">
        <f t="shared" ref="FG31" si="150">EDATE(FH31,FF31)</f>
        <v>46753</v>
      </c>
      <c r="FH31" s="765">
        <v>45778</v>
      </c>
      <c r="FJ31" s="994">
        <v>0.15</v>
      </c>
      <c r="FK31" s="993">
        <v>13378.682179649855</v>
      </c>
      <c r="FL31" s="993">
        <v>13740.268184505258</v>
      </c>
      <c r="FM31" s="497"/>
      <c r="FN31" s="993">
        <f t="shared" si="38"/>
        <v>4372225.3233299647</v>
      </c>
      <c r="FO31" s="994">
        <f t="shared" si="96"/>
        <v>0.15</v>
      </c>
      <c r="FP31" s="775">
        <f t="shared" si="39"/>
        <v>655833.79849949467</v>
      </c>
      <c r="FQ31" s="993">
        <f t="shared" si="40"/>
        <v>30000</v>
      </c>
      <c r="FR31" s="775">
        <f t="shared" si="97"/>
        <v>625833.79849949467</v>
      </c>
      <c r="FS31" s="497">
        <f t="shared" si="98"/>
        <v>40</v>
      </c>
      <c r="FT31" s="775">
        <f t="shared" si="99"/>
        <v>15645.844962487367</v>
      </c>
      <c r="FU31" s="497"/>
      <c r="FV31" s="993">
        <f t="shared" si="100"/>
        <v>4372225.3233299647</v>
      </c>
      <c r="FW31" s="705">
        <f t="shared" si="101"/>
        <v>437222.53233299649</v>
      </c>
      <c r="FX31" s="705">
        <f t="shared" si="102"/>
        <v>109305.63308324912</v>
      </c>
      <c r="FY31" s="705">
        <v>15000</v>
      </c>
      <c r="FZ31" s="705">
        <f t="shared" si="103"/>
        <v>422222.53233299649</v>
      </c>
      <c r="GA31" s="497">
        <f t="shared" si="104"/>
        <v>46</v>
      </c>
      <c r="GB31" s="775">
        <f t="shared" si="105"/>
        <v>9178.7507028912278</v>
      </c>
      <c r="GC31" s="497"/>
      <c r="GD31" s="497"/>
      <c r="GH31" s="1095">
        <f t="shared" si="0"/>
        <v>4372225.3233299647</v>
      </c>
      <c r="GI31" s="1098">
        <f t="shared" si="1"/>
        <v>0.125</v>
      </c>
      <c r="GJ31" s="1095">
        <f t="shared" si="2"/>
        <v>546528.16541624558</v>
      </c>
      <c r="GK31" s="1095">
        <f t="shared" si="3"/>
        <v>30000</v>
      </c>
      <c r="GL31" s="1095">
        <f t="shared" si="4"/>
        <v>516528.16541624558</v>
      </c>
      <c r="GM31" s="1095">
        <f t="shared" si="5"/>
        <v>29</v>
      </c>
      <c r="GN31" s="1095">
        <f t="shared" si="6"/>
        <v>17811.316048836055</v>
      </c>
      <c r="GO31" s="1098">
        <f t="shared" si="7"/>
        <v>0.875</v>
      </c>
      <c r="GP31" s="1095">
        <f t="shared" si="8"/>
        <v>3825697.1579137193</v>
      </c>
      <c r="GQ31" s="1095">
        <f t="shared" si="9"/>
        <v>29660.589345306602</v>
      </c>
      <c r="GR31" s="1095">
        <f t="shared" si="10"/>
        <v>34386.447612526325</v>
      </c>
      <c r="GS31" s="1095">
        <f t="shared" si="11"/>
        <v>44419.587895637422</v>
      </c>
      <c r="GT31" s="1095">
        <f t="shared" si="12"/>
        <v>75753.388979100506</v>
      </c>
      <c r="GU31" s="497"/>
      <c r="GV31" s="1095">
        <f t="shared" si="106"/>
        <v>4372225.3233299647</v>
      </c>
      <c r="GW31" s="1098">
        <f t="shared" si="107"/>
        <v>0.125</v>
      </c>
      <c r="GX31" s="1095">
        <f t="shared" si="108"/>
        <v>546528.16541624558</v>
      </c>
      <c r="GY31" s="1095">
        <f t="shared" si="109"/>
        <v>30000</v>
      </c>
      <c r="GZ31" s="1095">
        <f t="shared" si="110"/>
        <v>516528.16541624558</v>
      </c>
      <c r="HA31" s="1106">
        <f t="shared" si="111"/>
        <v>48</v>
      </c>
      <c r="HB31" s="770">
        <f t="shared" si="112"/>
        <v>10761.003446171782</v>
      </c>
      <c r="HC31" s="1098">
        <f t="shared" si="113"/>
        <v>0.875</v>
      </c>
      <c r="HD31" s="1102">
        <f t="shared" si="114"/>
        <v>3825697.1579137193</v>
      </c>
      <c r="HE31" s="1101">
        <f t="shared" si="115"/>
        <v>29660.589345306602</v>
      </c>
      <c r="HF31" s="1101">
        <f t="shared" si="116"/>
        <v>34386.447612526325</v>
      </c>
      <c r="HG31" s="1101">
        <f t="shared" si="117"/>
        <v>44419.587895637422</v>
      </c>
      <c r="HH31" s="1101">
        <f t="shared" si="118"/>
        <v>75753.388979100506</v>
      </c>
      <c r="HI31" s="497"/>
      <c r="HJ31" s="1102">
        <f t="shared" si="119"/>
        <v>-7050.3126026642731</v>
      </c>
      <c r="HL31" s="775"/>
      <c r="HN31" s="775"/>
      <c r="HO31" s="775"/>
      <c r="HQ31" s="702"/>
      <c r="HR31" s="1171"/>
      <c r="HS31" s="702"/>
      <c r="HT31" s="1171"/>
    </row>
    <row r="32" spans="1:240" ht="14.25" hidden="1" customHeight="1">
      <c r="A32" s="753">
        <f t="shared" si="120"/>
        <v>26</v>
      </c>
      <c r="B32" s="753" t="s">
        <v>236</v>
      </c>
      <c r="C32" s="753">
        <f t="shared" si="121"/>
        <v>26</v>
      </c>
      <c r="D32" s="753" t="s">
        <v>227</v>
      </c>
      <c r="E32" s="717" t="str">
        <f t="shared" si="41"/>
        <v>3rd Floor</v>
      </c>
      <c r="F32" s="754"/>
      <c r="G32" s="755" t="s">
        <v>325</v>
      </c>
      <c r="H32" s="756"/>
      <c r="I32" s="755" t="s">
        <v>229</v>
      </c>
      <c r="J32" s="757">
        <v>22</v>
      </c>
      <c r="K32" s="758"/>
      <c r="L32" s="759" t="s">
        <v>277</v>
      </c>
      <c r="M32" s="760" t="s">
        <v>230</v>
      </c>
      <c r="N32" s="761">
        <f t="shared" si="42"/>
        <v>106005.26567735759</v>
      </c>
      <c r="O32" s="762">
        <f t="shared" si="43"/>
        <v>2332115.8449018667</v>
      </c>
      <c r="P32" s="762">
        <f t="shared" si="44"/>
        <v>22400</v>
      </c>
      <c r="Q32" s="762">
        <f t="shared" si="14"/>
        <v>50000</v>
      </c>
      <c r="R32" s="762"/>
      <c r="S32" s="762"/>
      <c r="T32" s="762"/>
      <c r="U32" s="762"/>
      <c r="V32" s="762">
        <f t="shared" si="149"/>
        <v>55000</v>
      </c>
      <c r="W32" s="762"/>
      <c r="X32" s="762"/>
      <c r="Y32" s="762"/>
      <c r="Z32" s="762">
        <f t="shared" si="15"/>
        <v>142461</v>
      </c>
      <c r="AA32" s="762">
        <v>45722.732758620688</v>
      </c>
      <c r="AB32" s="762"/>
      <c r="AC32" s="762"/>
      <c r="AD32" s="763">
        <f t="shared" si="45"/>
        <v>315583.7327586207</v>
      </c>
      <c r="AE32" s="763">
        <f t="shared" si="16"/>
        <v>2647699.5776604875</v>
      </c>
      <c r="AF32" s="762">
        <f t="shared" si="17"/>
        <v>66192.489441512196</v>
      </c>
      <c r="AG32" s="762">
        <f t="shared" si="46"/>
        <v>2713892.0671019997</v>
      </c>
      <c r="AH32" s="762">
        <f t="shared" si="18"/>
        <v>67847.30167755</v>
      </c>
      <c r="AI32" s="762">
        <f t="shared" si="47"/>
        <v>2781739.3687795498</v>
      </c>
      <c r="AJ32" s="762">
        <f t="shared" si="48"/>
        <v>139086.96843897749</v>
      </c>
      <c r="AK32" s="762">
        <f>AI32+AJ32</f>
        <v>2920826.3372185272</v>
      </c>
      <c r="AL32" s="762">
        <f t="shared" si="49"/>
        <v>29208.263372185273</v>
      </c>
      <c r="AM32" s="762">
        <f t="shared" si="50"/>
        <v>27537.409960060559</v>
      </c>
      <c r="AN32" s="762"/>
      <c r="AO32" s="763">
        <f t="shared" si="51"/>
        <v>2977572.0105507728</v>
      </c>
      <c r="AP32" s="763">
        <f t="shared" si="52"/>
        <v>491299.38174087752</v>
      </c>
      <c r="AQ32" s="763">
        <f t="shared" si="53"/>
        <v>3468871.3922916502</v>
      </c>
      <c r="AR32" s="1178">
        <f t="shared" si="19"/>
        <v>3000000</v>
      </c>
      <c r="AS32" s="1178">
        <f t="shared" si="123"/>
        <v>21312.336013256827</v>
      </c>
      <c r="AT32" s="1178">
        <f t="shared" si="54"/>
        <v>468871.39229165018</v>
      </c>
      <c r="AU32" s="1178">
        <f t="shared" si="20"/>
        <v>56264.56707499802</v>
      </c>
      <c r="AV32" s="1178">
        <f t="shared" si="55"/>
        <v>525135.95936664823</v>
      </c>
      <c r="AW32" s="1178">
        <f t="shared" si="56"/>
        <v>3525135.959366648</v>
      </c>
      <c r="AX32" s="762">
        <f t="shared" si="57"/>
        <v>44064.199492083106</v>
      </c>
      <c r="AY32" s="717" t="s">
        <v>231</v>
      </c>
      <c r="AZ32" s="717">
        <f t="shared" si="58"/>
        <v>3569200.1588587309</v>
      </c>
      <c r="BA32" s="717">
        <f t="shared" si="59"/>
        <v>133845.0059572024</v>
      </c>
      <c r="BB32" s="717"/>
      <c r="BC32" s="717">
        <f t="shared" si="21"/>
        <v>33600</v>
      </c>
      <c r="BD32" s="717">
        <f t="shared" si="60"/>
        <v>3736645.1648159334</v>
      </c>
      <c r="BE32" s="717"/>
      <c r="BF32" s="717">
        <f t="shared" si="61"/>
        <v>3736645.1648159334</v>
      </c>
      <c r="BG32" s="1209"/>
      <c r="BH32" s="717">
        <f t="shared" si="62"/>
        <v>3736645.1648159334</v>
      </c>
      <c r="BI32" s="717"/>
      <c r="BJ32" s="717">
        <f t="shared" si="63"/>
        <v>3736645.1648159334</v>
      </c>
      <c r="BK32" s="717"/>
      <c r="BL32" s="717">
        <f t="shared" si="64"/>
        <v>3736645.1648159334</v>
      </c>
      <c r="BM32" s="717"/>
      <c r="BN32" s="717">
        <f t="shared" si="65"/>
        <v>3736645.1648159334</v>
      </c>
      <c r="BO32" s="717"/>
      <c r="BP32" s="717">
        <f t="shared" si="22"/>
        <v>3736645.1648159334</v>
      </c>
      <c r="BQ32" s="717"/>
      <c r="BR32" s="717">
        <f t="shared" si="133"/>
        <v>3736645.1648159334</v>
      </c>
      <c r="BS32" s="717"/>
      <c r="BT32" s="717">
        <f t="shared" si="66"/>
        <v>3736645.1648159334</v>
      </c>
      <c r="BU32" s="717"/>
      <c r="BV32" s="1235">
        <f t="shared" si="134"/>
        <v>51400</v>
      </c>
      <c r="BW32" s="717">
        <f t="shared" si="67"/>
        <v>3788045.1648159334</v>
      </c>
      <c r="BX32" s="717"/>
      <c r="BY32" s="717">
        <f t="shared" si="68"/>
        <v>3788045.1648159334</v>
      </c>
      <c r="BZ32" s="1194">
        <f t="shared" si="69"/>
        <v>3788045.1648159334</v>
      </c>
      <c r="CA32" s="1194">
        <f t="shared" si="70"/>
        <v>3040045.1648159334</v>
      </c>
      <c r="CB32" s="1194">
        <v>34000</v>
      </c>
      <c r="CC32" s="1194">
        <f t="shared" si="71"/>
        <v>748000</v>
      </c>
      <c r="CD32" s="1194">
        <f t="shared" si="72"/>
        <v>89760</v>
      </c>
      <c r="CE32" s="1194">
        <f t="shared" si="73"/>
        <v>837760</v>
      </c>
      <c r="CF32" s="1200">
        <f t="shared" si="74"/>
        <v>3877805.1648159334</v>
      </c>
      <c r="CG32" s="757">
        <f t="shared" si="75"/>
        <v>3877805.1648159334</v>
      </c>
      <c r="CH32" s="758">
        <f t="shared" si="76"/>
        <v>0</v>
      </c>
      <c r="CI32" s="757">
        <f t="shared" si="25"/>
        <v>397475.02939363313</v>
      </c>
      <c r="CJ32" s="757">
        <f t="shared" si="26"/>
        <v>96945.129120398342</v>
      </c>
      <c r="CK32" s="759">
        <f t="shared" si="77"/>
        <v>4372225.3233299647</v>
      </c>
      <c r="CL32" s="764">
        <f t="shared" si="78"/>
        <v>0.125</v>
      </c>
      <c r="CM32" s="757">
        <f t="shared" si="79"/>
        <v>546528.16541624558</v>
      </c>
      <c r="CN32" s="757">
        <f t="shared" si="124"/>
        <v>30000</v>
      </c>
      <c r="CO32" s="757">
        <f t="shared" si="80"/>
        <v>516528.16541624558</v>
      </c>
      <c r="CP32" s="755">
        <f t="shared" si="81"/>
        <v>29</v>
      </c>
      <c r="CQ32" s="757">
        <f t="shared" si="129"/>
        <v>17811.316048836055</v>
      </c>
      <c r="CR32" s="764">
        <f t="shared" si="83"/>
        <v>0.875</v>
      </c>
      <c r="CS32" s="757">
        <f t="shared" si="84"/>
        <v>3825697.1579137193</v>
      </c>
      <c r="CT32" s="1101">
        <f t="shared" si="85"/>
        <v>29660.589345306602</v>
      </c>
      <c r="CU32" s="1101">
        <f t="shared" si="86"/>
        <v>34386.447612526325</v>
      </c>
      <c r="CV32" s="1101">
        <f t="shared" si="87"/>
        <v>44419.587895637422</v>
      </c>
      <c r="CW32" s="1141">
        <f t="shared" si="27"/>
        <v>75753.388979100506</v>
      </c>
      <c r="CX32" s="1152">
        <f t="shared" si="88"/>
        <v>310773.54017040064</v>
      </c>
      <c r="CY32" s="1152">
        <f t="shared" si="89"/>
        <v>122971.57598059779</v>
      </c>
      <c r="CZ32" s="1152">
        <f t="shared" si="90"/>
        <v>88820.627660424681</v>
      </c>
      <c r="DA32" s="1152">
        <f t="shared" si="91"/>
        <v>67596.586740087907</v>
      </c>
      <c r="DB32" s="1143">
        <f t="shared" si="28"/>
        <v>0.15629046409721672</v>
      </c>
      <c r="DC32" s="1143">
        <f t="shared" si="125"/>
        <v>0.27557485319489461</v>
      </c>
      <c r="DD32" s="1098" t="s">
        <v>232</v>
      </c>
      <c r="DE32" s="1144"/>
      <c r="DF32" s="705"/>
      <c r="DG32" s="765">
        <f t="shared" si="126"/>
        <v>46082</v>
      </c>
      <c r="DH32" s="1116">
        <f t="shared" si="29"/>
        <v>28</v>
      </c>
      <c r="DI32" s="497"/>
      <c r="DJ32" s="1117">
        <f t="shared" si="92"/>
        <v>46147</v>
      </c>
      <c r="DK32" s="1116">
        <f t="shared" si="93"/>
        <v>30</v>
      </c>
      <c r="DL32" s="766" t="s">
        <v>233</v>
      </c>
      <c r="DM32" s="766" t="s">
        <v>234</v>
      </c>
      <c r="DN32" s="767">
        <f t="shared" si="30"/>
        <v>23869.816334847648</v>
      </c>
      <c r="DO32" s="767">
        <f t="shared" si="31"/>
        <v>525135.95936664823</v>
      </c>
      <c r="DP32" s="768">
        <f t="shared" si="32"/>
        <v>0.17504531978888274</v>
      </c>
      <c r="DR32" s="767">
        <f t="shared" si="33"/>
        <v>3877805.1648159334</v>
      </c>
      <c r="DS32" s="767">
        <f>SUM('[6]INTERNAL PRICELIST'!M32)</f>
        <v>2329361</v>
      </c>
      <c r="DT32" s="767">
        <f t="shared" si="94"/>
        <v>1548444.1648159334</v>
      </c>
      <c r="DV32" s="951">
        <f t="shared" si="34"/>
        <v>176263.87112799697</v>
      </c>
      <c r="DW32" s="780"/>
      <c r="DX32" s="772">
        <v>9</v>
      </c>
      <c r="DY32" s="773" t="s">
        <v>274</v>
      </c>
      <c r="DZ32" s="774">
        <v>22</v>
      </c>
      <c r="EA32" s="775">
        <f t="shared" si="35"/>
        <v>0</v>
      </c>
      <c r="ED32" s="1133" t="s">
        <v>325</v>
      </c>
      <c r="EE32" s="777" t="b">
        <f t="shared" si="36"/>
        <v>1</v>
      </c>
      <c r="EF32" s="1123" t="s">
        <v>326</v>
      </c>
      <c r="EG32" s="1123" t="s">
        <v>247</v>
      </c>
      <c r="EH32" s="1203"/>
      <c r="EP32" s="1230" t="s">
        <v>236</v>
      </c>
      <c r="EQ32" s="1145" t="s">
        <v>236</v>
      </c>
      <c r="ER32" s="753" t="b">
        <f t="shared" si="95"/>
        <v>1</v>
      </c>
      <c r="EU32" s="770">
        <v>3109023.7978750588</v>
      </c>
      <c r="EV32" s="771" t="s">
        <v>258</v>
      </c>
      <c r="EW32" s="775">
        <f>EU32-CG32</f>
        <v>-768781.36694087461</v>
      </c>
      <c r="EY32" s="775">
        <v>3075848.8314775829</v>
      </c>
      <c r="EZ32" s="520"/>
      <c r="FA32" s="778"/>
      <c r="FF32" s="771">
        <v>31</v>
      </c>
      <c r="FG32" s="1122">
        <f t="shared" ref="FG32" si="151">EDATE(FH32,FF32)</f>
        <v>46753</v>
      </c>
      <c r="FH32" s="765">
        <v>45809</v>
      </c>
      <c r="FJ32" s="994">
        <v>0.125</v>
      </c>
      <c r="FK32" s="993">
        <v>11083.112342690669</v>
      </c>
      <c r="FL32" s="993">
        <v>11382.655919520146</v>
      </c>
      <c r="FM32" s="497"/>
      <c r="FN32" s="993">
        <f t="shared" si="38"/>
        <v>4372225.3233299647</v>
      </c>
      <c r="FO32" s="994">
        <f t="shared" si="96"/>
        <v>0.15</v>
      </c>
      <c r="FP32" s="775">
        <f t="shared" si="39"/>
        <v>655833.79849949467</v>
      </c>
      <c r="FQ32" s="993">
        <f t="shared" si="40"/>
        <v>30000</v>
      </c>
      <c r="FR32" s="775">
        <f t="shared" si="97"/>
        <v>625833.79849949467</v>
      </c>
      <c r="FS32" s="497">
        <f t="shared" si="98"/>
        <v>40</v>
      </c>
      <c r="FT32" s="775">
        <f t="shared" si="99"/>
        <v>15645.844962487367</v>
      </c>
      <c r="FU32" s="497"/>
      <c r="FV32" s="993">
        <f t="shared" si="100"/>
        <v>4372225.3233299647</v>
      </c>
      <c r="FW32" s="705">
        <f t="shared" si="101"/>
        <v>437222.53233299649</v>
      </c>
      <c r="FX32" s="705">
        <f t="shared" si="102"/>
        <v>109305.63308324912</v>
      </c>
      <c r="FY32" s="705">
        <v>15000</v>
      </c>
      <c r="FZ32" s="705">
        <f t="shared" si="103"/>
        <v>422222.53233299649</v>
      </c>
      <c r="GA32" s="497">
        <f t="shared" si="104"/>
        <v>46</v>
      </c>
      <c r="GB32" s="775">
        <f t="shared" si="105"/>
        <v>9178.7507028912278</v>
      </c>
      <c r="GC32" s="497"/>
      <c r="GD32" s="497"/>
      <c r="GE32" s="1107">
        <v>45689</v>
      </c>
      <c r="GH32" s="1095">
        <f t="shared" si="0"/>
        <v>4372225.3233299647</v>
      </c>
      <c r="GI32" s="1098">
        <f t="shared" si="1"/>
        <v>0.125</v>
      </c>
      <c r="GJ32" s="1095">
        <f t="shared" si="2"/>
        <v>546528.16541624558</v>
      </c>
      <c r="GK32" s="1095">
        <f t="shared" si="3"/>
        <v>30000</v>
      </c>
      <c r="GL32" s="1095">
        <f t="shared" si="4"/>
        <v>516528.16541624558</v>
      </c>
      <c r="GM32" s="1095">
        <f t="shared" si="5"/>
        <v>29</v>
      </c>
      <c r="GN32" s="1095">
        <f t="shared" si="6"/>
        <v>17811.316048836055</v>
      </c>
      <c r="GO32" s="1098">
        <f t="shared" si="7"/>
        <v>0.875</v>
      </c>
      <c r="GP32" s="1095">
        <f t="shared" si="8"/>
        <v>3825697.1579137193</v>
      </c>
      <c r="GQ32" s="1095">
        <f t="shared" si="9"/>
        <v>29660.589345306602</v>
      </c>
      <c r="GR32" s="1095">
        <f t="shared" si="10"/>
        <v>34386.447612526325</v>
      </c>
      <c r="GS32" s="1095">
        <f t="shared" si="11"/>
        <v>44419.587895637422</v>
      </c>
      <c r="GT32" s="1095">
        <f t="shared" si="12"/>
        <v>75753.388979100506</v>
      </c>
      <c r="GU32" s="497"/>
      <c r="GV32" s="1095">
        <f t="shared" si="106"/>
        <v>4372225.3233299647</v>
      </c>
      <c r="GW32" s="1098">
        <f t="shared" si="107"/>
        <v>0.125</v>
      </c>
      <c r="GX32" s="1095">
        <f t="shared" si="108"/>
        <v>546528.16541624558</v>
      </c>
      <c r="GY32" s="1095">
        <f t="shared" si="109"/>
        <v>30000</v>
      </c>
      <c r="GZ32" s="1095">
        <f t="shared" si="110"/>
        <v>516528.16541624558</v>
      </c>
      <c r="HA32" s="1106">
        <f t="shared" si="111"/>
        <v>48</v>
      </c>
      <c r="HB32" s="770">
        <f t="shared" si="112"/>
        <v>10761.003446171782</v>
      </c>
      <c r="HC32" s="1098">
        <f t="shared" si="113"/>
        <v>0.875</v>
      </c>
      <c r="HD32" s="1102">
        <f t="shared" si="114"/>
        <v>3825697.1579137193</v>
      </c>
      <c r="HE32" s="1101">
        <f t="shared" si="115"/>
        <v>29660.589345306602</v>
      </c>
      <c r="HF32" s="1101">
        <f t="shared" si="116"/>
        <v>34386.447612526325</v>
      </c>
      <c r="HG32" s="1101">
        <f t="shared" si="117"/>
        <v>44419.587895637422</v>
      </c>
      <c r="HH32" s="1101">
        <f t="shared" si="118"/>
        <v>75753.388979100506</v>
      </c>
      <c r="HI32" s="497"/>
      <c r="HJ32" s="1102">
        <f t="shared" si="119"/>
        <v>-7050.3126026642731</v>
      </c>
      <c r="HL32" s="775"/>
      <c r="HN32" s="775"/>
      <c r="HO32" s="775"/>
      <c r="HQ32" s="702"/>
      <c r="HR32" s="1171"/>
      <c r="HS32" s="702"/>
      <c r="HT32" s="1171"/>
    </row>
    <row r="33" spans="1:228" ht="14.25" hidden="1" customHeight="1">
      <c r="A33" s="753">
        <f t="shared" si="120"/>
        <v>27</v>
      </c>
      <c r="B33" s="753"/>
      <c r="C33" s="753">
        <f t="shared" si="121"/>
        <v>27</v>
      </c>
      <c r="D33" s="753" t="s">
        <v>227</v>
      </c>
      <c r="E33" s="717" t="str">
        <f t="shared" si="41"/>
        <v>3rd Floor</v>
      </c>
      <c r="F33" s="754"/>
      <c r="G33" s="755" t="s">
        <v>327</v>
      </c>
      <c r="H33" s="756"/>
      <c r="I33" s="755" t="s">
        <v>229</v>
      </c>
      <c r="J33" s="757">
        <v>22</v>
      </c>
      <c r="K33" s="758"/>
      <c r="L33" s="759" t="s">
        <v>277</v>
      </c>
      <c r="M33" s="760" t="s">
        <v>278</v>
      </c>
      <c r="N33" s="761">
        <f t="shared" si="42"/>
        <v>106005.26567735759</v>
      </c>
      <c r="O33" s="762">
        <f t="shared" si="43"/>
        <v>2332115.8449018667</v>
      </c>
      <c r="P33" s="762">
        <f t="shared" si="44"/>
        <v>22400</v>
      </c>
      <c r="Q33" s="762">
        <f t="shared" si="14"/>
        <v>50000</v>
      </c>
      <c r="R33" s="762"/>
      <c r="S33" s="762"/>
      <c r="T33" s="762"/>
      <c r="U33" s="762"/>
      <c r="V33" s="762"/>
      <c r="W33" s="762">
        <f t="shared" ref="W33:W34" si="152">J33*$W$5</f>
        <v>22000</v>
      </c>
      <c r="X33" s="762"/>
      <c r="Y33" s="762"/>
      <c r="Z33" s="762">
        <f t="shared" si="15"/>
        <v>142461</v>
      </c>
      <c r="AA33" s="762">
        <v>45722.732758620688</v>
      </c>
      <c r="AB33" s="762"/>
      <c r="AC33" s="762"/>
      <c r="AD33" s="763">
        <f t="shared" si="45"/>
        <v>282583.7327586207</v>
      </c>
      <c r="AE33" s="763">
        <f t="shared" si="16"/>
        <v>2614699.5776604875</v>
      </c>
      <c r="AF33" s="762">
        <f t="shared" si="17"/>
        <v>65367.489441512189</v>
      </c>
      <c r="AG33" s="762">
        <f t="shared" si="46"/>
        <v>2680067.0671019997</v>
      </c>
      <c r="AH33" s="762">
        <f t="shared" si="18"/>
        <v>67001.67667755</v>
      </c>
      <c r="AI33" s="762">
        <f t="shared" si="47"/>
        <v>2747068.7437795498</v>
      </c>
      <c r="AJ33" s="762">
        <f t="shared" si="48"/>
        <v>137353.43718897749</v>
      </c>
      <c r="AK33" s="762">
        <f t="shared" si="122"/>
        <v>2884422.1809685272</v>
      </c>
      <c r="AL33" s="762">
        <f t="shared" si="49"/>
        <v>28844.221809685274</v>
      </c>
      <c r="AM33" s="762">
        <f t="shared" si="50"/>
        <v>27537.409960060559</v>
      </c>
      <c r="AN33" s="762"/>
      <c r="AO33" s="763">
        <f t="shared" si="51"/>
        <v>2940803.8127382728</v>
      </c>
      <c r="AP33" s="763">
        <f t="shared" si="52"/>
        <v>485232.62910181505</v>
      </c>
      <c r="AQ33" s="763">
        <f t="shared" si="53"/>
        <v>3426036.441840088</v>
      </c>
      <c r="AR33" s="1178">
        <f t="shared" si="19"/>
        <v>3000000</v>
      </c>
      <c r="AS33" s="1178">
        <f t="shared" si="123"/>
        <v>19365.292810913092</v>
      </c>
      <c r="AT33" s="1178">
        <f t="shared" si="54"/>
        <v>426036.44184008799</v>
      </c>
      <c r="AU33" s="1178">
        <f t="shared" si="20"/>
        <v>51124.373020810555</v>
      </c>
      <c r="AV33" s="1178">
        <f t="shared" si="55"/>
        <v>477160.81486089854</v>
      </c>
      <c r="AW33" s="1178">
        <f t="shared" si="56"/>
        <v>3477160.8148608985</v>
      </c>
      <c r="AX33" s="762">
        <f t="shared" si="57"/>
        <v>43464.510185761232</v>
      </c>
      <c r="AY33" s="717" t="s">
        <v>231</v>
      </c>
      <c r="AZ33" s="717">
        <f t="shared" si="58"/>
        <v>3520625.3250466599</v>
      </c>
      <c r="BA33" s="717">
        <f t="shared" si="59"/>
        <v>132023.44968924974</v>
      </c>
      <c r="BB33" s="717"/>
      <c r="BC33" s="717">
        <f t="shared" si="21"/>
        <v>33600</v>
      </c>
      <c r="BD33" s="717">
        <f t="shared" si="60"/>
        <v>3686248.7747359099</v>
      </c>
      <c r="BE33" s="717"/>
      <c r="BF33" s="717">
        <f t="shared" si="61"/>
        <v>3686248.7747359099</v>
      </c>
      <c r="BG33" s="1209"/>
      <c r="BH33" s="717">
        <f t="shared" si="62"/>
        <v>3686248.7747359099</v>
      </c>
      <c r="BI33" s="717"/>
      <c r="BJ33" s="717">
        <f t="shared" si="63"/>
        <v>3686248.7747359099</v>
      </c>
      <c r="BK33" s="717"/>
      <c r="BL33" s="717">
        <f t="shared" si="64"/>
        <v>3686248.7747359099</v>
      </c>
      <c r="BM33" s="717"/>
      <c r="BN33" s="717">
        <f t="shared" si="65"/>
        <v>3686248.7747359099</v>
      </c>
      <c r="BO33" s="717"/>
      <c r="BP33" s="717">
        <f t="shared" si="22"/>
        <v>3686248.7747359099</v>
      </c>
      <c r="BQ33" s="717"/>
      <c r="BR33" s="717">
        <f t="shared" si="133"/>
        <v>3686248.7747359099</v>
      </c>
      <c r="BS33" s="717"/>
      <c r="BT33" s="717">
        <f t="shared" si="66"/>
        <v>3686248.7747359099</v>
      </c>
      <c r="BU33" s="717"/>
      <c r="BV33" s="1235">
        <f t="shared" si="134"/>
        <v>51400</v>
      </c>
      <c r="BW33" s="717">
        <f t="shared" si="67"/>
        <v>3737648.7747359099</v>
      </c>
      <c r="BX33" s="717"/>
      <c r="BY33" s="717">
        <f t="shared" si="68"/>
        <v>3737648.7747359099</v>
      </c>
      <c r="BZ33" s="1194">
        <f t="shared" si="69"/>
        <v>3737648.7747359099</v>
      </c>
      <c r="CA33" s="1194">
        <f t="shared" si="70"/>
        <v>3033648.7747359099</v>
      </c>
      <c r="CB33" s="1194">
        <v>32000</v>
      </c>
      <c r="CC33" s="1194">
        <f t="shared" si="71"/>
        <v>704000</v>
      </c>
      <c r="CD33" s="1194">
        <f t="shared" si="72"/>
        <v>84480</v>
      </c>
      <c r="CE33" s="1194">
        <f t="shared" si="73"/>
        <v>788480</v>
      </c>
      <c r="CF33" s="1200">
        <f t="shared" si="74"/>
        <v>3822128.7747359099</v>
      </c>
      <c r="CG33" s="757">
        <f t="shared" si="75"/>
        <v>3822128.7747359099</v>
      </c>
      <c r="CH33" s="758">
        <f t="shared" si="76"/>
        <v>0</v>
      </c>
      <c r="CI33" s="757">
        <f t="shared" si="25"/>
        <v>391768.19941043074</v>
      </c>
      <c r="CJ33" s="757">
        <f t="shared" si="26"/>
        <v>95553.219368397753</v>
      </c>
      <c r="CK33" s="759">
        <f t="shared" si="77"/>
        <v>4309450.1935147392</v>
      </c>
      <c r="CL33" s="764">
        <f t="shared" si="78"/>
        <v>0.125</v>
      </c>
      <c r="CM33" s="757">
        <f t="shared" si="79"/>
        <v>538681.2741893424</v>
      </c>
      <c r="CN33" s="757">
        <f t="shared" si="124"/>
        <v>30000</v>
      </c>
      <c r="CO33" s="757">
        <f t="shared" si="80"/>
        <v>508681.2741893424</v>
      </c>
      <c r="CP33" s="755">
        <f t="shared" si="81"/>
        <v>29</v>
      </c>
      <c r="CQ33" s="757">
        <f t="shared" si="129"/>
        <v>17540.733592735945</v>
      </c>
      <c r="CR33" s="764">
        <f t="shared" si="83"/>
        <v>0.875</v>
      </c>
      <c r="CS33" s="757">
        <f t="shared" si="84"/>
        <v>3770768.9193253969</v>
      </c>
      <c r="CT33" s="1101">
        <f t="shared" si="85"/>
        <v>29234.731296177142</v>
      </c>
      <c r="CU33" s="1101">
        <f t="shared" si="86"/>
        <v>33892.737075413213</v>
      </c>
      <c r="CV33" s="1101">
        <f t="shared" si="87"/>
        <v>43781.824470772634</v>
      </c>
      <c r="CW33" s="1141">
        <f t="shared" si="27"/>
        <v>74665.744021341437</v>
      </c>
      <c r="CX33" s="1152">
        <f t="shared" si="88"/>
        <v>306311.54475968023</v>
      </c>
      <c r="CY33" s="1152">
        <f t="shared" si="89"/>
        <v>121205.98613220325</v>
      </c>
      <c r="CZ33" s="1152">
        <f t="shared" si="90"/>
        <v>87545.367119321934</v>
      </c>
      <c r="DA33" s="1152">
        <f t="shared" si="91"/>
        <v>66626.05475834565</v>
      </c>
      <c r="DB33" s="1143">
        <f t="shared" si="28"/>
        <v>0.14201214728002934</v>
      </c>
      <c r="DC33" s="1143">
        <f t="shared" si="125"/>
        <v>0.25991143291419422</v>
      </c>
      <c r="DD33" s="1098" t="s">
        <v>232</v>
      </c>
      <c r="DE33" s="1144"/>
      <c r="DF33" s="705"/>
      <c r="DG33" s="765">
        <f t="shared" si="126"/>
        <v>46082</v>
      </c>
      <c r="DH33" s="1116">
        <f t="shared" si="29"/>
        <v>28</v>
      </c>
      <c r="DI33" s="497"/>
      <c r="DJ33" s="1117">
        <f t="shared" si="92"/>
        <v>46147</v>
      </c>
      <c r="DK33" s="1116">
        <f t="shared" si="93"/>
        <v>30</v>
      </c>
      <c r="DL33" s="766" t="s">
        <v>233</v>
      </c>
      <c r="DM33" s="766" t="s">
        <v>234</v>
      </c>
      <c r="DN33" s="767">
        <f t="shared" si="30"/>
        <v>21689.12794822266</v>
      </c>
      <c r="DO33" s="767">
        <f t="shared" si="31"/>
        <v>477160.81486089854</v>
      </c>
      <c r="DP33" s="768">
        <f t="shared" si="32"/>
        <v>0.15905360495363285</v>
      </c>
      <c r="DR33" s="767">
        <f t="shared" si="33"/>
        <v>3822128.7747359099</v>
      </c>
      <c r="DS33" s="767">
        <f>SUM('[6]INTERNAL PRICELIST'!M33)</f>
        <v>2329361</v>
      </c>
      <c r="DT33" s="767">
        <f t="shared" si="94"/>
        <v>1492767.7747359099</v>
      </c>
      <c r="DV33" s="951">
        <f t="shared" si="34"/>
        <v>173733.12612435955</v>
      </c>
      <c r="DW33" s="780"/>
      <c r="DX33" s="772">
        <v>10</v>
      </c>
      <c r="DY33" s="773" t="s">
        <v>279</v>
      </c>
      <c r="DZ33" s="774">
        <v>22</v>
      </c>
      <c r="EA33" s="775">
        <f t="shared" si="35"/>
        <v>0</v>
      </c>
      <c r="ED33" s="755" t="s">
        <v>327</v>
      </c>
      <c r="EE33" s="777" t="b">
        <f t="shared" si="36"/>
        <v>1</v>
      </c>
      <c r="EF33" s="777"/>
      <c r="EG33" s="777"/>
      <c r="EH33" s="1203"/>
      <c r="EP33" s="1230" t="s">
        <v>236</v>
      </c>
      <c r="EQ33" s="1145" t="s">
        <v>236</v>
      </c>
      <c r="ER33" s="753" t="b">
        <f t="shared" si="95"/>
        <v>1</v>
      </c>
      <c r="EU33" s="770">
        <v>2123200</v>
      </c>
      <c r="EV33" s="771" t="s">
        <v>236</v>
      </c>
      <c r="EZ33" s="520"/>
      <c r="FA33" s="778"/>
      <c r="FF33" s="771">
        <f>DATEDIF(FH33,FG33,"m")</f>
        <v>33</v>
      </c>
      <c r="FG33" s="1122">
        <f>DATE(2028,4,1)</f>
        <v>46844</v>
      </c>
      <c r="FH33" s="765">
        <v>45839</v>
      </c>
      <c r="FJ33" s="994">
        <v>0.15</v>
      </c>
      <c r="FK33" s="993">
        <v>12942.297377862546</v>
      </c>
      <c r="FL33" s="993">
        <v>13292.089198885857</v>
      </c>
      <c r="FM33" s="497"/>
      <c r="FN33" s="993">
        <f t="shared" si="38"/>
        <v>4309450.1935147392</v>
      </c>
      <c r="FO33" s="994">
        <f t="shared" si="96"/>
        <v>0.15</v>
      </c>
      <c r="FP33" s="775">
        <f t="shared" si="39"/>
        <v>646417.5290272109</v>
      </c>
      <c r="FQ33" s="993">
        <f t="shared" si="40"/>
        <v>30000</v>
      </c>
      <c r="FR33" s="775">
        <f t="shared" si="97"/>
        <v>616417.5290272109</v>
      </c>
      <c r="FS33" s="497">
        <f t="shared" si="98"/>
        <v>40</v>
      </c>
      <c r="FT33" s="775">
        <f t="shared" si="99"/>
        <v>15410.438225680273</v>
      </c>
      <c r="FU33" s="497"/>
      <c r="FV33" s="993">
        <f t="shared" si="100"/>
        <v>4309450.1935147392</v>
      </c>
      <c r="FW33" s="705">
        <f t="shared" si="101"/>
        <v>430945.01935147395</v>
      </c>
      <c r="FX33" s="705">
        <f t="shared" si="102"/>
        <v>107736.25483786849</v>
      </c>
      <c r="FY33" s="705">
        <v>15000</v>
      </c>
      <c r="FZ33" s="705">
        <f t="shared" si="103"/>
        <v>415945.01935147395</v>
      </c>
      <c r="GA33" s="497">
        <f t="shared" si="104"/>
        <v>46</v>
      </c>
      <c r="GB33" s="775">
        <f t="shared" si="105"/>
        <v>9042.2830293798688</v>
      </c>
      <c r="GC33" s="497"/>
      <c r="GD33" s="497"/>
      <c r="GE33" s="1107">
        <v>45717</v>
      </c>
      <c r="GH33" s="1095">
        <f t="shared" si="0"/>
        <v>4309450.1935147392</v>
      </c>
      <c r="GI33" s="1098">
        <f t="shared" si="1"/>
        <v>0.125</v>
      </c>
      <c r="GJ33" s="1095">
        <f t="shared" si="2"/>
        <v>538681.2741893424</v>
      </c>
      <c r="GK33" s="1095">
        <f t="shared" si="3"/>
        <v>30000</v>
      </c>
      <c r="GL33" s="1095">
        <f t="shared" si="4"/>
        <v>508681.2741893424</v>
      </c>
      <c r="GM33" s="1095">
        <f t="shared" si="5"/>
        <v>29</v>
      </c>
      <c r="GN33" s="1095">
        <f t="shared" si="6"/>
        <v>17540.733592735945</v>
      </c>
      <c r="GO33" s="1098">
        <f t="shared" si="7"/>
        <v>0.875</v>
      </c>
      <c r="GP33" s="1095">
        <f t="shared" si="8"/>
        <v>3770768.9193253969</v>
      </c>
      <c r="GQ33" s="1095">
        <f t="shared" si="9"/>
        <v>29234.731296177142</v>
      </c>
      <c r="GR33" s="1095">
        <f t="shared" si="10"/>
        <v>33892.737075413213</v>
      </c>
      <c r="GS33" s="1095">
        <f t="shared" si="11"/>
        <v>43781.824470772634</v>
      </c>
      <c r="GT33" s="1095">
        <f t="shared" si="12"/>
        <v>74665.744021341437</v>
      </c>
      <c r="GU33" s="497"/>
      <c r="GV33" s="1095">
        <f t="shared" si="106"/>
        <v>4309450.1935147392</v>
      </c>
      <c r="GW33" s="1098">
        <f t="shared" si="107"/>
        <v>0.125</v>
      </c>
      <c r="GX33" s="1095">
        <f t="shared" si="108"/>
        <v>538681.2741893424</v>
      </c>
      <c r="GY33" s="1095">
        <f t="shared" si="109"/>
        <v>30000</v>
      </c>
      <c r="GZ33" s="1095">
        <f t="shared" si="110"/>
        <v>508681.2741893424</v>
      </c>
      <c r="HA33" s="1106">
        <f t="shared" si="111"/>
        <v>48</v>
      </c>
      <c r="HB33" s="770">
        <f t="shared" si="112"/>
        <v>10597.526545611299</v>
      </c>
      <c r="HC33" s="1098">
        <f t="shared" si="113"/>
        <v>0.875</v>
      </c>
      <c r="HD33" s="1102">
        <f t="shared" si="114"/>
        <v>3770768.9193253969</v>
      </c>
      <c r="HE33" s="1101">
        <f t="shared" si="115"/>
        <v>29234.731296177142</v>
      </c>
      <c r="HF33" s="1101">
        <f t="shared" si="116"/>
        <v>33892.737075413213</v>
      </c>
      <c r="HG33" s="1101">
        <f t="shared" si="117"/>
        <v>43781.824470772634</v>
      </c>
      <c r="HH33" s="1101">
        <f t="shared" si="118"/>
        <v>74665.744021341437</v>
      </c>
      <c r="HI33" s="497"/>
      <c r="HJ33" s="1102">
        <f t="shared" si="119"/>
        <v>-6943.2070471246461</v>
      </c>
      <c r="HL33" s="775"/>
      <c r="HN33" s="775"/>
      <c r="HO33" s="775"/>
      <c r="HQ33" s="702"/>
      <c r="HR33" s="1171"/>
      <c r="HS33" s="702"/>
      <c r="HT33" s="1171"/>
    </row>
    <row r="34" spans="1:228" ht="14.25" customHeight="1">
      <c r="A34" s="753">
        <f t="shared" si="120"/>
        <v>28</v>
      </c>
      <c r="B34" s="753" t="s">
        <v>236</v>
      </c>
      <c r="C34" s="753">
        <f t="shared" si="121"/>
        <v>28</v>
      </c>
      <c r="D34" s="753" t="s">
        <v>227</v>
      </c>
      <c r="E34" s="717" t="str">
        <f t="shared" si="41"/>
        <v>3rd Floor</v>
      </c>
      <c r="F34" s="754"/>
      <c r="G34" s="755" t="s">
        <v>328</v>
      </c>
      <c r="H34" s="756"/>
      <c r="I34" s="755" t="s">
        <v>229</v>
      </c>
      <c r="J34" s="757">
        <v>22</v>
      </c>
      <c r="K34" s="758"/>
      <c r="L34" s="759" t="s">
        <v>277</v>
      </c>
      <c r="M34" s="760" t="s">
        <v>278</v>
      </c>
      <c r="N34" s="761">
        <f t="shared" si="42"/>
        <v>106005.26567735759</v>
      </c>
      <c r="O34" s="762">
        <f t="shared" si="43"/>
        <v>2332115.8449018667</v>
      </c>
      <c r="P34" s="762">
        <f t="shared" si="44"/>
        <v>22400</v>
      </c>
      <c r="Q34" s="762">
        <f t="shared" si="14"/>
        <v>50000</v>
      </c>
      <c r="R34" s="762"/>
      <c r="S34" s="762"/>
      <c r="T34" s="762"/>
      <c r="U34" s="762"/>
      <c r="V34" s="762"/>
      <c r="W34" s="762">
        <f t="shared" si="152"/>
        <v>22000</v>
      </c>
      <c r="X34" s="762"/>
      <c r="Y34" s="762"/>
      <c r="Z34" s="762">
        <f t="shared" si="15"/>
        <v>142461</v>
      </c>
      <c r="AA34" s="762">
        <v>49222.732758620703</v>
      </c>
      <c r="AB34" s="762"/>
      <c r="AC34" s="762"/>
      <c r="AD34" s="763">
        <f t="shared" si="45"/>
        <v>286083.7327586207</v>
      </c>
      <c r="AE34" s="763">
        <f t="shared" si="16"/>
        <v>2618199.5776604875</v>
      </c>
      <c r="AF34" s="762">
        <f t="shared" si="17"/>
        <v>65454.989441512189</v>
      </c>
      <c r="AG34" s="762">
        <f t="shared" si="46"/>
        <v>2683654.5671019997</v>
      </c>
      <c r="AH34" s="762">
        <f t="shared" si="18"/>
        <v>67091.36417755</v>
      </c>
      <c r="AI34" s="762">
        <f t="shared" si="47"/>
        <v>2750745.9312795498</v>
      </c>
      <c r="AJ34" s="762">
        <f t="shared" si="48"/>
        <v>137537.29656397749</v>
      </c>
      <c r="AK34" s="762">
        <f t="shared" si="122"/>
        <v>2888283.2278435272</v>
      </c>
      <c r="AL34" s="762">
        <f>AK34*AL$5+29772.4420833333</f>
        <v>58655.27436176857</v>
      </c>
      <c r="AM34" s="762">
        <f t="shared" si="50"/>
        <v>27537.409960060559</v>
      </c>
      <c r="AN34" s="762"/>
      <c r="AO34" s="763">
        <f t="shared" si="51"/>
        <v>2974475.9121653563</v>
      </c>
      <c r="AP34" s="763">
        <f t="shared" si="52"/>
        <v>490788.5255072838</v>
      </c>
      <c r="AQ34" s="763">
        <f t="shared" si="53"/>
        <v>3465264.4376726402</v>
      </c>
      <c r="AR34" s="1178">
        <f t="shared" si="19"/>
        <v>3000000</v>
      </c>
      <c r="AS34" s="1178">
        <f t="shared" si="123"/>
        <v>21148.383530574556</v>
      </c>
      <c r="AT34" s="1178">
        <f t="shared" si="54"/>
        <v>465264.4376726402</v>
      </c>
      <c r="AU34" s="1178">
        <f t="shared" si="20"/>
        <v>55831.732520716825</v>
      </c>
      <c r="AV34" s="1178">
        <f t="shared" si="55"/>
        <v>521096.17019335704</v>
      </c>
      <c r="AW34" s="1178">
        <f t="shared" si="56"/>
        <v>3521096.1701933569</v>
      </c>
      <c r="AX34" s="762">
        <f t="shared" si="57"/>
        <v>44013.702127416967</v>
      </c>
      <c r="AY34" s="717">
        <v>7575.3956645161297</v>
      </c>
      <c r="AZ34" s="717">
        <f t="shared" si="58"/>
        <v>3572685.2679852899</v>
      </c>
      <c r="BA34" s="717">
        <f t="shared" si="59"/>
        <v>133975.69754944838</v>
      </c>
      <c r="BB34" s="717"/>
      <c r="BC34" s="717">
        <f t="shared" si="21"/>
        <v>33600</v>
      </c>
      <c r="BD34" s="717">
        <f t="shared" si="60"/>
        <v>3740260.9655347383</v>
      </c>
      <c r="BE34" s="717">
        <v>18367.830916129038</v>
      </c>
      <c r="BF34" s="717">
        <f t="shared" si="61"/>
        <v>3758628.7964508673</v>
      </c>
      <c r="BG34" s="1209"/>
      <c r="BH34" s="717">
        <f t="shared" si="62"/>
        <v>3758628.7964508673</v>
      </c>
      <c r="BI34" s="717">
        <v>718.43902439024396</v>
      </c>
      <c r="BJ34" s="717">
        <f t="shared" si="63"/>
        <v>3759347.2354752575</v>
      </c>
      <c r="BK34" s="717"/>
      <c r="BL34" s="717">
        <f t="shared" si="64"/>
        <v>3759347.2354752575</v>
      </c>
      <c r="BM34" s="717">
        <f>$BM$5/41</f>
        <v>1038.0487804878051</v>
      </c>
      <c r="BN34" s="717">
        <f t="shared" si="65"/>
        <v>3760385.2842557454</v>
      </c>
      <c r="BO34" s="717">
        <f>$BO$5/51</f>
        <v>7289.0781490196077</v>
      </c>
      <c r="BP34" s="717">
        <f t="shared" si="22"/>
        <v>3767674.3624047651</v>
      </c>
      <c r="BQ34" s="717">
        <f>$BQ$5/56</f>
        <v>4468.4242000000004</v>
      </c>
      <c r="BR34" s="717">
        <f t="shared" si="133"/>
        <v>3772142.7866047649</v>
      </c>
      <c r="BS34" s="1234">
        <f>$BS$5/64</f>
        <v>2651.4786794501206</v>
      </c>
      <c r="BT34" s="1235">
        <f t="shared" si="66"/>
        <v>3774794.2652842151</v>
      </c>
      <c r="BU34" s="1235">
        <f>$BU$5/65</f>
        <v>211.07692307692309</v>
      </c>
      <c r="BV34" s="1235">
        <f t="shared" si="134"/>
        <v>51400</v>
      </c>
      <c r="BW34" s="717">
        <f t="shared" si="67"/>
        <v>3826405.3422072921</v>
      </c>
      <c r="BX34" s="1234">
        <f t="shared" si="147"/>
        <v>27651.078536278128</v>
      </c>
      <c r="BY34" s="717">
        <f t="shared" si="68"/>
        <v>3854056.4207435702</v>
      </c>
      <c r="BZ34" s="1194">
        <f t="shared" si="69"/>
        <v>3854056.4207435702</v>
      </c>
      <c r="CA34" s="1194">
        <f t="shared" si="70"/>
        <v>2974056.4207435702</v>
      </c>
      <c r="CB34" s="1194">
        <f>$CB$5</f>
        <v>40000</v>
      </c>
      <c r="CC34" s="1194">
        <f t="shared" si="71"/>
        <v>880000</v>
      </c>
      <c r="CD34" s="1194">
        <f t="shared" si="72"/>
        <v>105600</v>
      </c>
      <c r="CE34" s="1194">
        <f t="shared" si="73"/>
        <v>985600</v>
      </c>
      <c r="CF34" s="1200">
        <f t="shared" si="74"/>
        <v>3959656.4207435702</v>
      </c>
      <c r="CG34" s="757">
        <f t="shared" si="75"/>
        <v>3959656.4207435702</v>
      </c>
      <c r="CH34" s="758">
        <f t="shared" si="76"/>
        <v>0</v>
      </c>
      <c r="CI34" s="757">
        <f t="shared" si="25"/>
        <v>405864.78312621592</v>
      </c>
      <c r="CJ34" s="757">
        <f t="shared" si="26"/>
        <v>98991.410518589255</v>
      </c>
      <c r="CK34" s="759">
        <f t="shared" si="77"/>
        <v>4464512.6143883755</v>
      </c>
      <c r="CL34" s="764">
        <f t="shared" si="78"/>
        <v>0.125</v>
      </c>
      <c r="CM34" s="757">
        <f t="shared" si="79"/>
        <v>558064.07679854694</v>
      </c>
      <c r="CN34" s="757">
        <f t="shared" si="124"/>
        <v>30000</v>
      </c>
      <c r="CO34" s="757">
        <f t="shared" si="80"/>
        <v>528064.07679854694</v>
      </c>
      <c r="CP34" s="755">
        <f t="shared" si="81"/>
        <v>29</v>
      </c>
      <c r="CQ34" s="757">
        <f t="shared" si="129"/>
        <v>18209.106096501619</v>
      </c>
      <c r="CR34" s="764">
        <f t="shared" si="83"/>
        <v>0.875</v>
      </c>
      <c r="CS34" s="757">
        <f t="shared" si="84"/>
        <v>3906448.5375898285</v>
      </c>
      <c r="CT34" s="1101">
        <f t="shared" si="85"/>
        <v>30286.65393243303</v>
      </c>
      <c r="CU34" s="1101">
        <f t="shared" si="86"/>
        <v>35112.263842158573</v>
      </c>
      <c r="CV34" s="1101">
        <f t="shared" si="87"/>
        <v>45357.179884537298</v>
      </c>
      <c r="CW34" s="1141">
        <f t="shared" si="27"/>
        <v>77352.363080474286</v>
      </c>
      <c r="CX34" s="1152">
        <f t="shared" si="88"/>
        <v>317333.2314109049</v>
      </c>
      <c r="CY34" s="1152">
        <f t="shared" si="89"/>
        <v>125567.21385037471</v>
      </c>
      <c r="CZ34" s="1152">
        <f t="shared" si="90"/>
        <v>90695.420131240287</v>
      </c>
      <c r="DA34" s="1152">
        <f t="shared" si="91"/>
        <v>69023.390121366174</v>
      </c>
      <c r="DB34" s="1143">
        <f t="shared" si="28"/>
        <v>0.15508814589088007</v>
      </c>
      <c r="DC34" s="1143">
        <f t="shared" si="125"/>
        <v>0.33139922737362909</v>
      </c>
      <c r="DD34" s="1098" t="s">
        <v>232</v>
      </c>
      <c r="DE34" s="1144"/>
      <c r="DF34" s="705"/>
      <c r="DG34" s="765">
        <f t="shared" si="126"/>
        <v>46082</v>
      </c>
      <c r="DH34" s="1116">
        <f t="shared" si="29"/>
        <v>28</v>
      </c>
      <c r="DI34" s="497"/>
      <c r="DJ34" s="1117">
        <f t="shared" si="92"/>
        <v>46147</v>
      </c>
      <c r="DK34" s="1116">
        <f t="shared" si="93"/>
        <v>30</v>
      </c>
      <c r="DL34" s="766" t="s">
        <v>233</v>
      </c>
      <c r="DM34" s="766" t="s">
        <v>234</v>
      </c>
      <c r="DN34" s="767">
        <f t="shared" si="30"/>
        <v>23686.189554243501</v>
      </c>
      <c r="DO34" s="767">
        <f t="shared" si="31"/>
        <v>521096.17019335704</v>
      </c>
      <c r="DP34" s="768">
        <f t="shared" si="32"/>
        <v>0.17369872339778569</v>
      </c>
      <c r="DR34" s="767">
        <f t="shared" si="33"/>
        <v>3959656.4207435702</v>
      </c>
      <c r="DS34" s="767">
        <f>SUM('[6]INTERNAL PRICELIST'!M34)</f>
        <v>2329361</v>
      </c>
      <c r="DT34" s="767">
        <f t="shared" si="94"/>
        <v>1630295.4207435702</v>
      </c>
      <c r="DV34" s="951">
        <f t="shared" si="34"/>
        <v>179984.38276107138</v>
      </c>
      <c r="DW34" s="780"/>
      <c r="DX34" s="772">
        <v>11</v>
      </c>
      <c r="DY34" s="773" t="s">
        <v>283</v>
      </c>
      <c r="DZ34" s="774">
        <v>22</v>
      </c>
      <c r="EA34" s="775">
        <f t="shared" si="35"/>
        <v>0</v>
      </c>
      <c r="ED34" s="755" t="s">
        <v>328</v>
      </c>
      <c r="EE34" s="777" t="b">
        <f t="shared" si="36"/>
        <v>1</v>
      </c>
      <c r="EF34" s="1123" t="s">
        <v>329</v>
      </c>
      <c r="EG34" s="1123" t="s">
        <v>247</v>
      </c>
      <c r="EH34" s="1203"/>
      <c r="EO34" s="497" t="s">
        <v>330</v>
      </c>
      <c r="EP34" s="1230" t="s">
        <v>258</v>
      </c>
      <c r="EQ34" s="1145" t="s">
        <v>258</v>
      </c>
      <c r="ER34" s="753" t="b">
        <f t="shared" si="95"/>
        <v>1</v>
      </c>
      <c r="EU34" s="770">
        <v>2261900</v>
      </c>
      <c r="EV34" s="771" t="s">
        <v>236</v>
      </c>
      <c r="EZ34" s="520"/>
      <c r="FA34" s="778"/>
      <c r="FF34" s="771">
        <f t="shared" ref="FF34:FF35" si="153">DATEDIF(FH34,FG34,"m")</f>
        <v>30</v>
      </c>
      <c r="FG34" s="1122">
        <f t="shared" ref="FG34:FG35" si="154">DATE(2028,2,1)</f>
        <v>46784</v>
      </c>
      <c r="FH34" s="765">
        <v>45870</v>
      </c>
      <c r="FJ34" s="994">
        <v>0.15</v>
      </c>
      <c r="FK34" s="993">
        <v>12942.297377862546</v>
      </c>
      <c r="FL34" s="993">
        <v>13292.089198885857</v>
      </c>
      <c r="FM34" s="497"/>
      <c r="FN34" s="993">
        <f t="shared" si="38"/>
        <v>4464512.6143883755</v>
      </c>
      <c r="FO34" s="994">
        <f t="shared" si="96"/>
        <v>0.15</v>
      </c>
      <c r="FP34" s="775">
        <f t="shared" si="39"/>
        <v>669676.89215825626</v>
      </c>
      <c r="FQ34" s="993">
        <f t="shared" si="40"/>
        <v>30000</v>
      </c>
      <c r="FR34" s="775">
        <f t="shared" si="97"/>
        <v>639676.89215825626</v>
      </c>
      <c r="FS34" s="497">
        <f t="shared" si="98"/>
        <v>40</v>
      </c>
      <c r="FT34" s="775">
        <f t="shared" si="99"/>
        <v>15991.922303956406</v>
      </c>
      <c r="FU34" s="497"/>
      <c r="FV34" s="993">
        <f t="shared" si="100"/>
        <v>4464512.6143883755</v>
      </c>
      <c r="FW34" s="705">
        <f t="shared" si="101"/>
        <v>446451.26143883757</v>
      </c>
      <c r="FX34" s="705">
        <f t="shared" si="102"/>
        <v>111612.81535970939</v>
      </c>
      <c r="FY34" s="705">
        <v>15000</v>
      </c>
      <c r="FZ34" s="705">
        <f t="shared" si="103"/>
        <v>431451.26143883757</v>
      </c>
      <c r="GA34" s="497">
        <f t="shared" si="104"/>
        <v>46</v>
      </c>
      <c r="GB34" s="775">
        <f t="shared" si="105"/>
        <v>9379.3752486703816</v>
      </c>
      <c r="GC34" s="497"/>
      <c r="GD34" s="497"/>
      <c r="GE34" s="1107">
        <v>45748</v>
      </c>
      <c r="GH34" s="1095">
        <f t="shared" si="0"/>
        <v>4464512.6143883755</v>
      </c>
      <c r="GI34" s="1098">
        <f t="shared" si="1"/>
        <v>0.125</v>
      </c>
      <c r="GJ34" s="1095">
        <f t="shared" si="2"/>
        <v>558064.07679854694</v>
      </c>
      <c r="GK34" s="1095">
        <f t="shared" si="3"/>
        <v>30000</v>
      </c>
      <c r="GL34" s="1095">
        <f t="shared" si="4"/>
        <v>528064.07679854694</v>
      </c>
      <c r="GM34" s="1095">
        <f t="shared" si="5"/>
        <v>29</v>
      </c>
      <c r="GN34" s="1095">
        <f t="shared" si="6"/>
        <v>18209.106096501619</v>
      </c>
      <c r="GO34" s="1098">
        <f t="shared" si="7"/>
        <v>0.875</v>
      </c>
      <c r="GP34" s="1095">
        <f t="shared" si="8"/>
        <v>3906448.5375898285</v>
      </c>
      <c r="GQ34" s="1095">
        <f t="shared" si="9"/>
        <v>30286.65393243303</v>
      </c>
      <c r="GR34" s="1095">
        <f t="shared" si="10"/>
        <v>35112.263842158573</v>
      </c>
      <c r="GS34" s="1095">
        <f t="shared" si="11"/>
        <v>45357.179884537298</v>
      </c>
      <c r="GT34" s="1095">
        <f t="shared" si="12"/>
        <v>77352.363080474286</v>
      </c>
      <c r="GU34" s="497"/>
      <c r="GV34" s="1095">
        <f t="shared" si="106"/>
        <v>4464512.6143883755</v>
      </c>
      <c r="GW34" s="1098">
        <f t="shared" si="107"/>
        <v>0.125</v>
      </c>
      <c r="GX34" s="1095">
        <f t="shared" si="108"/>
        <v>558064.07679854694</v>
      </c>
      <c r="GY34" s="1095">
        <f t="shared" si="109"/>
        <v>30000</v>
      </c>
      <c r="GZ34" s="1095">
        <f t="shared" si="110"/>
        <v>528064.07679854694</v>
      </c>
      <c r="HA34" s="1106">
        <f t="shared" si="111"/>
        <v>48</v>
      </c>
      <c r="HB34" s="770">
        <f t="shared" si="112"/>
        <v>11001.334933303062</v>
      </c>
      <c r="HC34" s="1098">
        <f t="shared" si="113"/>
        <v>0.875</v>
      </c>
      <c r="HD34" s="1102">
        <f t="shared" si="114"/>
        <v>3906448.5375898285</v>
      </c>
      <c r="HE34" s="1101">
        <f t="shared" si="115"/>
        <v>30286.65393243303</v>
      </c>
      <c r="HF34" s="1101">
        <f t="shared" si="116"/>
        <v>35112.263842158573</v>
      </c>
      <c r="HG34" s="1101">
        <f t="shared" si="117"/>
        <v>45357.179884537298</v>
      </c>
      <c r="HH34" s="1101">
        <f t="shared" si="118"/>
        <v>77352.363080474286</v>
      </c>
      <c r="HI34" s="497"/>
      <c r="HJ34" s="1102">
        <f t="shared" si="119"/>
        <v>-7207.7711631985567</v>
      </c>
      <c r="HL34" s="775"/>
      <c r="HN34" s="775"/>
      <c r="HO34" s="775"/>
      <c r="HQ34" s="702"/>
      <c r="HR34" s="1171"/>
      <c r="HS34" s="702"/>
      <c r="HT34" s="1171"/>
    </row>
    <row r="35" spans="1:228" ht="14.25" hidden="1" customHeight="1">
      <c r="A35" s="753">
        <f t="shared" si="120"/>
        <v>29</v>
      </c>
      <c r="B35" s="753"/>
      <c r="C35" s="753">
        <f t="shared" si="121"/>
        <v>29</v>
      </c>
      <c r="D35" s="753" t="s">
        <v>227</v>
      </c>
      <c r="E35" s="717" t="str">
        <f t="shared" si="41"/>
        <v>3rd Floor</v>
      </c>
      <c r="F35" s="754"/>
      <c r="G35" s="755" t="s">
        <v>331</v>
      </c>
      <c r="H35" s="756"/>
      <c r="I35" s="755" t="s">
        <v>229</v>
      </c>
      <c r="J35" s="757">
        <v>22</v>
      </c>
      <c r="K35" s="758"/>
      <c r="L35" s="759" t="s">
        <v>277</v>
      </c>
      <c r="M35" s="760" t="s">
        <v>68</v>
      </c>
      <c r="N35" s="761">
        <f t="shared" si="42"/>
        <v>106005.26567735759</v>
      </c>
      <c r="O35" s="762">
        <f t="shared" si="43"/>
        <v>2332115.8449018667</v>
      </c>
      <c r="P35" s="762">
        <f t="shared" si="44"/>
        <v>22400</v>
      </c>
      <c r="Q35" s="762">
        <f t="shared" si="14"/>
        <v>50000</v>
      </c>
      <c r="R35" s="762"/>
      <c r="S35" s="762"/>
      <c r="T35" s="762"/>
      <c r="U35" s="762"/>
      <c r="V35" s="762"/>
      <c r="W35" s="762"/>
      <c r="X35" s="762"/>
      <c r="Y35" s="762"/>
      <c r="Z35" s="762">
        <f t="shared" si="15"/>
        <v>142461</v>
      </c>
      <c r="AA35" s="762">
        <v>45722.732758620688</v>
      </c>
      <c r="AB35" s="762"/>
      <c r="AC35" s="762"/>
      <c r="AD35" s="763">
        <f t="shared" si="45"/>
        <v>260583.7327586207</v>
      </c>
      <c r="AE35" s="763">
        <f t="shared" si="16"/>
        <v>2592699.5776604875</v>
      </c>
      <c r="AF35" s="762">
        <f t="shared" si="17"/>
        <v>64817.489441512189</v>
      </c>
      <c r="AG35" s="762">
        <f t="shared" si="46"/>
        <v>2657517.0671019997</v>
      </c>
      <c r="AH35" s="762">
        <f t="shared" si="18"/>
        <v>66437.92667755</v>
      </c>
      <c r="AI35" s="762">
        <f t="shared" si="47"/>
        <v>2723954.9937795498</v>
      </c>
      <c r="AJ35" s="762">
        <f t="shared" si="48"/>
        <v>136197.74968897749</v>
      </c>
      <c r="AK35" s="762">
        <f t="shared" si="122"/>
        <v>2860152.7434685272</v>
      </c>
      <c r="AL35" s="762">
        <f t="shared" si="49"/>
        <v>28601.527434685271</v>
      </c>
      <c r="AM35" s="762">
        <f t="shared" si="50"/>
        <v>27537.409960060559</v>
      </c>
      <c r="AN35" s="762"/>
      <c r="AO35" s="763">
        <f t="shared" si="51"/>
        <v>2916291.6808632729</v>
      </c>
      <c r="AP35" s="763">
        <f t="shared" si="52"/>
        <v>481188.12734244007</v>
      </c>
      <c r="AQ35" s="763">
        <f t="shared" si="53"/>
        <v>3397479.8082057131</v>
      </c>
      <c r="AR35" s="1178">
        <f t="shared" si="19"/>
        <v>3000000</v>
      </c>
      <c r="AS35" s="1178">
        <f t="shared" si="123"/>
        <v>18067.264009350594</v>
      </c>
      <c r="AT35" s="1178">
        <f t="shared" si="54"/>
        <v>397479.80820571305</v>
      </c>
      <c r="AU35" s="1178">
        <f t="shared" si="20"/>
        <v>47697.576984685562</v>
      </c>
      <c r="AV35" s="1178">
        <f t="shared" si="55"/>
        <v>445177.38519039861</v>
      </c>
      <c r="AW35" s="1178">
        <f t="shared" si="56"/>
        <v>3445177.3851903984</v>
      </c>
      <c r="AX35" s="762">
        <f t="shared" si="57"/>
        <v>43064.717314879985</v>
      </c>
      <c r="AY35" s="717" t="s">
        <v>231</v>
      </c>
      <c r="AZ35" s="717">
        <f t="shared" si="58"/>
        <v>3488242.1025052783</v>
      </c>
      <c r="BA35" s="717">
        <f t="shared" si="59"/>
        <v>130809.07884394794</v>
      </c>
      <c r="BB35" s="717"/>
      <c r="BC35" s="717">
        <f t="shared" si="21"/>
        <v>33600</v>
      </c>
      <c r="BD35" s="717">
        <f t="shared" si="60"/>
        <v>3652651.1813492263</v>
      </c>
      <c r="BE35" s="717"/>
      <c r="BF35" s="717">
        <f t="shared" si="61"/>
        <v>3652651.1813492263</v>
      </c>
      <c r="BG35" s="1209"/>
      <c r="BH35" s="717">
        <f t="shared" si="62"/>
        <v>3652651.1813492263</v>
      </c>
      <c r="BI35" s="717"/>
      <c r="BJ35" s="717">
        <f t="shared" si="63"/>
        <v>3652651.1813492263</v>
      </c>
      <c r="BK35" s="717"/>
      <c r="BL35" s="717">
        <f t="shared" si="64"/>
        <v>3652651.1813492263</v>
      </c>
      <c r="BM35" s="717"/>
      <c r="BN35" s="717">
        <f t="shared" si="65"/>
        <v>3652651.1813492263</v>
      </c>
      <c r="BO35" s="717"/>
      <c r="BP35" s="717">
        <f t="shared" si="22"/>
        <v>3652651.1813492263</v>
      </c>
      <c r="BQ35" s="717"/>
      <c r="BR35" s="717">
        <f t="shared" si="133"/>
        <v>3652651.1813492263</v>
      </c>
      <c r="BS35" s="717"/>
      <c r="BT35" s="717">
        <f t="shared" si="66"/>
        <v>3652651.1813492263</v>
      </c>
      <c r="BU35" s="717"/>
      <c r="BV35" s="1235">
        <f t="shared" si="134"/>
        <v>51400</v>
      </c>
      <c r="BW35" s="717">
        <f t="shared" si="67"/>
        <v>3704051.1813492263</v>
      </c>
      <c r="BX35" s="717"/>
      <c r="BY35" s="717">
        <f t="shared" si="68"/>
        <v>3704051.1813492263</v>
      </c>
      <c r="BZ35" s="1194">
        <f t="shared" si="69"/>
        <v>3704051.1813492263</v>
      </c>
      <c r="CA35" s="1194">
        <f t="shared" si="70"/>
        <v>3022051.1813492263</v>
      </c>
      <c r="CB35" s="1194">
        <v>31000</v>
      </c>
      <c r="CC35" s="1194">
        <f t="shared" si="71"/>
        <v>682000</v>
      </c>
      <c r="CD35" s="1194">
        <f t="shared" si="72"/>
        <v>81840</v>
      </c>
      <c r="CE35" s="1194">
        <f t="shared" si="73"/>
        <v>763840</v>
      </c>
      <c r="CF35" s="1200">
        <f t="shared" si="74"/>
        <v>3785891.1813492263</v>
      </c>
      <c r="CG35" s="757">
        <f t="shared" si="75"/>
        <v>3785891.1813492263</v>
      </c>
      <c r="CH35" s="758">
        <f t="shared" si="76"/>
        <v>0</v>
      </c>
      <c r="CI35" s="757">
        <f t="shared" si="25"/>
        <v>388053.84608829569</v>
      </c>
      <c r="CJ35" s="757">
        <f t="shared" si="26"/>
        <v>94647.27953373066</v>
      </c>
      <c r="CK35" s="759">
        <f t="shared" ref="CK35:CK98" si="155">SUM(CG35:CJ35)</f>
        <v>4268592.3069712529</v>
      </c>
      <c r="CL35" s="764">
        <f t="shared" si="78"/>
        <v>0.125</v>
      </c>
      <c r="CM35" s="757">
        <f t="shared" si="79"/>
        <v>533574.03837140661</v>
      </c>
      <c r="CN35" s="757">
        <f t="shared" si="124"/>
        <v>30000</v>
      </c>
      <c r="CO35" s="757">
        <f t="shared" si="80"/>
        <v>503574.03837140661</v>
      </c>
      <c r="CP35" s="755">
        <f t="shared" si="81"/>
        <v>29</v>
      </c>
      <c r="CQ35" s="757">
        <f t="shared" si="129"/>
        <v>17364.622012807125</v>
      </c>
      <c r="CR35" s="764">
        <f t="shared" si="83"/>
        <v>0.875</v>
      </c>
      <c r="CS35" s="757">
        <f t="shared" si="84"/>
        <v>3735018.2685998464</v>
      </c>
      <c r="CT35" s="1101">
        <f t="shared" si="85"/>
        <v>28957.556881625129</v>
      </c>
      <c r="CU35" s="1101">
        <f t="shared" si="86"/>
        <v>33571.400119678256</v>
      </c>
      <c r="CV35" s="1101">
        <f t="shared" si="87"/>
        <v>43366.729102090649</v>
      </c>
      <c r="CW35" s="1141">
        <f t="shared" si="27"/>
        <v>73957.838288378131</v>
      </c>
      <c r="CX35" s="1152">
        <f t="shared" si="88"/>
        <v>303407.40576728969</v>
      </c>
      <c r="CY35" s="1152">
        <f t="shared" si="89"/>
        <v>120056.83247978757</v>
      </c>
      <c r="CZ35" s="1152">
        <f t="shared" si="90"/>
        <v>86715.349711868883</v>
      </c>
      <c r="DA35" s="1152">
        <f t="shared" si="91"/>
        <v>65994.373299246014</v>
      </c>
      <c r="DB35" s="1143">
        <f t="shared" si="28"/>
        <v>0.13249326940190434</v>
      </c>
      <c r="DC35" s="1143">
        <f t="shared" si="125"/>
        <v>0.25275548101702755</v>
      </c>
      <c r="DD35" s="1098" t="s">
        <v>232</v>
      </c>
      <c r="DE35" s="1144"/>
      <c r="DF35" s="705"/>
      <c r="DG35" s="765">
        <f t="shared" si="126"/>
        <v>46082</v>
      </c>
      <c r="DH35" s="1116">
        <f t="shared" si="29"/>
        <v>28</v>
      </c>
      <c r="DI35" s="497"/>
      <c r="DJ35" s="1117">
        <f t="shared" si="92"/>
        <v>46147</v>
      </c>
      <c r="DK35" s="1116">
        <f t="shared" si="93"/>
        <v>30</v>
      </c>
      <c r="DL35" s="766" t="s">
        <v>233</v>
      </c>
      <c r="DM35" s="766" t="s">
        <v>234</v>
      </c>
      <c r="DN35" s="767">
        <f t="shared" si="30"/>
        <v>20235.335690472664</v>
      </c>
      <c r="DO35" s="767">
        <f t="shared" si="31"/>
        <v>445177.38519039861</v>
      </c>
      <c r="DP35" s="768">
        <f t="shared" si="32"/>
        <v>0.14839246173013287</v>
      </c>
      <c r="DR35" s="767">
        <f t="shared" si="33"/>
        <v>3785891.1813492263</v>
      </c>
      <c r="DS35" s="767">
        <f>SUM('[6]INTERNAL PRICELIST'!M35)</f>
        <v>2329361</v>
      </c>
      <c r="DT35" s="767">
        <f t="shared" si="94"/>
        <v>1456530.1813492263</v>
      </c>
      <c r="DV35" s="951">
        <f t="shared" si="34"/>
        <v>172085.9627886012</v>
      </c>
      <c r="DX35" s="772">
        <v>12</v>
      </c>
      <c r="DY35" s="773" t="s">
        <v>286</v>
      </c>
      <c r="DZ35" s="774">
        <v>22</v>
      </c>
      <c r="EA35" s="775">
        <f t="shared" si="35"/>
        <v>0</v>
      </c>
      <c r="ED35" s="755" t="s">
        <v>331</v>
      </c>
      <c r="EE35" s="777" t="b">
        <f t="shared" si="36"/>
        <v>1</v>
      </c>
      <c r="EF35" s="777"/>
      <c r="EG35" s="777"/>
      <c r="EH35" s="1203"/>
      <c r="EP35" s="1230" t="s">
        <v>236</v>
      </c>
      <c r="EQ35" s="1145" t="s">
        <v>236</v>
      </c>
      <c r="ER35" s="753" t="b">
        <f t="shared" si="95"/>
        <v>1</v>
      </c>
      <c r="EU35" s="770">
        <v>2123200</v>
      </c>
      <c r="EV35" s="771" t="s">
        <v>236</v>
      </c>
      <c r="EZ35" s="520"/>
      <c r="FA35" s="778"/>
      <c r="FF35" s="771">
        <f t="shared" si="153"/>
        <v>29</v>
      </c>
      <c r="FG35" s="1122">
        <f t="shared" si="154"/>
        <v>46784</v>
      </c>
      <c r="FH35" s="765">
        <v>45901</v>
      </c>
      <c r="FJ35" s="994">
        <v>0.15</v>
      </c>
      <c r="FK35" s="993">
        <v>12820.110851026688</v>
      </c>
      <c r="FL35" s="993">
        <v>13166.600333486867</v>
      </c>
      <c r="FM35" s="497"/>
      <c r="FN35" s="993">
        <f t="shared" si="38"/>
        <v>4268592.3069712529</v>
      </c>
      <c r="FO35" s="994">
        <f t="shared" si="96"/>
        <v>0.15</v>
      </c>
      <c r="FP35" s="775">
        <f t="shared" si="39"/>
        <v>640288.84604568791</v>
      </c>
      <c r="FQ35" s="993">
        <f t="shared" si="40"/>
        <v>30000</v>
      </c>
      <c r="FR35" s="775">
        <f t="shared" si="97"/>
        <v>610288.84604568791</v>
      </c>
      <c r="FS35" s="497">
        <f t="shared" si="98"/>
        <v>40</v>
      </c>
      <c r="FT35" s="775">
        <f t="shared" si="99"/>
        <v>15257.221151142197</v>
      </c>
      <c r="FU35" s="497"/>
      <c r="FV35" s="993">
        <f t="shared" si="100"/>
        <v>4268592.3069712529</v>
      </c>
      <c r="FW35" s="705">
        <f t="shared" si="101"/>
        <v>426859.23069712531</v>
      </c>
      <c r="FX35" s="705">
        <f t="shared" si="102"/>
        <v>106714.80767428133</v>
      </c>
      <c r="FY35" s="705">
        <v>15000</v>
      </c>
      <c r="FZ35" s="705">
        <f t="shared" si="103"/>
        <v>411859.23069712531</v>
      </c>
      <c r="GA35" s="497">
        <f t="shared" si="104"/>
        <v>46</v>
      </c>
      <c r="GB35" s="775">
        <f t="shared" si="105"/>
        <v>8953.4615368940285</v>
      </c>
      <c r="GC35" s="497"/>
      <c r="GD35" s="497"/>
      <c r="GE35" s="1107">
        <v>45778</v>
      </c>
      <c r="GH35" s="1095">
        <f t="shared" si="0"/>
        <v>4268592.3069712529</v>
      </c>
      <c r="GI35" s="1098">
        <f t="shared" si="1"/>
        <v>0.125</v>
      </c>
      <c r="GJ35" s="1095">
        <f t="shared" si="2"/>
        <v>533574.03837140661</v>
      </c>
      <c r="GK35" s="1095">
        <f t="shared" si="3"/>
        <v>30000</v>
      </c>
      <c r="GL35" s="1095">
        <f t="shared" si="4"/>
        <v>503574.03837140661</v>
      </c>
      <c r="GM35" s="1095">
        <f t="shared" si="5"/>
        <v>29</v>
      </c>
      <c r="GN35" s="1095">
        <f t="shared" si="6"/>
        <v>17364.622012807125</v>
      </c>
      <c r="GO35" s="1098">
        <f t="shared" si="7"/>
        <v>0.875</v>
      </c>
      <c r="GP35" s="1095">
        <f t="shared" si="8"/>
        <v>3735018.2685998464</v>
      </c>
      <c r="GQ35" s="1095">
        <f t="shared" si="9"/>
        <v>28957.556881625129</v>
      </c>
      <c r="GR35" s="1095">
        <f t="shared" si="10"/>
        <v>33571.400119678256</v>
      </c>
      <c r="GS35" s="1095">
        <f t="shared" si="11"/>
        <v>43366.729102090649</v>
      </c>
      <c r="GT35" s="1095">
        <f t="shared" si="12"/>
        <v>73957.838288378131</v>
      </c>
      <c r="GU35" s="497"/>
      <c r="GV35" s="1095">
        <f t="shared" si="106"/>
        <v>4268592.3069712529</v>
      </c>
      <c r="GW35" s="1098">
        <f t="shared" si="107"/>
        <v>0.125</v>
      </c>
      <c r="GX35" s="1095">
        <f t="shared" si="108"/>
        <v>533574.03837140661</v>
      </c>
      <c r="GY35" s="1095">
        <f t="shared" si="109"/>
        <v>30000</v>
      </c>
      <c r="GZ35" s="1095">
        <f t="shared" si="110"/>
        <v>503574.03837140661</v>
      </c>
      <c r="HA35" s="1106">
        <f t="shared" si="111"/>
        <v>48</v>
      </c>
      <c r="HB35" s="770">
        <f t="shared" si="112"/>
        <v>10491.125799404304</v>
      </c>
      <c r="HC35" s="1098">
        <f t="shared" si="113"/>
        <v>0.875</v>
      </c>
      <c r="HD35" s="1102">
        <f t="shared" si="114"/>
        <v>3735018.2685998464</v>
      </c>
      <c r="HE35" s="1101">
        <f t="shared" si="115"/>
        <v>28957.556881625129</v>
      </c>
      <c r="HF35" s="1101">
        <f t="shared" si="116"/>
        <v>33571.400119678256</v>
      </c>
      <c r="HG35" s="1101">
        <f t="shared" si="117"/>
        <v>43366.729102090649</v>
      </c>
      <c r="HH35" s="1101">
        <f t="shared" si="118"/>
        <v>73957.838288378131</v>
      </c>
      <c r="HI35" s="497"/>
      <c r="HJ35" s="1102">
        <f t="shared" si="119"/>
        <v>-6873.496213402821</v>
      </c>
      <c r="HL35" s="775"/>
      <c r="HN35" s="775"/>
      <c r="HO35" s="775"/>
      <c r="HQ35" s="702"/>
      <c r="HR35" s="1171"/>
      <c r="HS35" s="702"/>
      <c r="HT35" s="1171"/>
    </row>
    <row r="36" spans="1:228" ht="14.25" hidden="1" customHeight="1">
      <c r="A36" s="753">
        <f t="shared" si="120"/>
        <v>30</v>
      </c>
      <c r="B36" s="753" t="s">
        <v>236</v>
      </c>
      <c r="C36" s="753">
        <f t="shared" si="121"/>
        <v>30</v>
      </c>
      <c r="D36" s="753" t="s">
        <v>227</v>
      </c>
      <c r="E36" s="717" t="str">
        <f t="shared" si="41"/>
        <v>3rd Floor</v>
      </c>
      <c r="F36" s="754"/>
      <c r="G36" s="755" t="s">
        <v>332</v>
      </c>
      <c r="H36" s="756"/>
      <c r="I36" s="755" t="s">
        <v>229</v>
      </c>
      <c r="J36" s="757">
        <v>22</v>
      </c>
      <c r="K36" s="758"/>
      <c r="L36" s="759" t="s">
        <v>277</v>
      </c>
      <c r="M36" s="760" t="s">
        <v>68</v>
      </c>
      <c r="N36" s="761">
        <f t="shared" si="42"/>
        <v>106005.26567735759</v>
      </c>
      <c r="O36" s="762">
        <f t="shared" si="43"/>
        <v>2332115.8449018667</v>
      </c>
      <c r="P36" s="762">
        <f t="shared" si="44"/>
        <v>22400</v>
      </c>
      <c r="Q36" s="762">
        <f t="shared" si="14"/>
        <v>50000</v>
      </c>
      <c r="R36" s="762"/>
      <c r="S36" s="762"/>
      <c r="T36" s="762"/>
      <c r="U36" s="762"/>
      <c r="V36" s="762"/>
      <c r="W36" s="762"/>
      <c r="X36" s="762"/>
      <c r="Y36" s="762"/>
      <c r="Z36" s="762">
        <f t="shared" si="15"/>
        <v>142461</v>
      </c>
      <c r="AA36" s="762">
        <v>49222.732758620703</v>
      </c>
      <c r="AB36" s="762"/>
      <c r="AC36" s="762"/>
      <c r="AD36" s="763">
        <f t="shared" si="45"/>
        <v>264083.7327586207</v>
      </c>
      <c r="AE36" s="763">
        <f t="shared" si="16"/>
        <v>2596199.5776604875</v>
      </c>
      <c r="AF36" s="762">
        <f t="shared" si="17"/>
        <v>64904.989441512189</v>
      </c>
      <c r="AG36" s="762">
        <f t="shared" si="46"/>
        <v>2661104.5671019997</v>
      </c>
      <c r="AH36" s="762">
        <f t="shared" si="18"/>
        <v>66527.61417755</v>
      </c>
      <c r="AI36" s="762">
        <f t="shared" si="47"/>
        <v>2727632.1812795498</v>
      </c>
      <c r="AJ36" s="762">
        <f t="shared" si="48"/>
        <v>136381.60906397749</v>
      </c>
      <c r="AK36" s="762">
        <f t="shared" si="122"/>
        <v>2864013.7903435272</v>
      </c>
      <c r="AL36" s="762">
        <f>AK36*AL$5+29772.4420833333</f>
        <v>58412.579986768571</v>
      </c>
      <c r="AM36" s="762">
        <f t="shared" si="50"/>
        <v>27537.409960060559</v>
      </c>
      <c r="AN36" s="762"/>
      <c r="AO36" s="763">
        <f t="shared" si="51"/>
        <v>2949963.7802903564</v>
      </c>
      <c r="AP36" s="763">
        <f t="shared" si="52"/>
        <v>486744.02374790882</v>
      </c>
      <c r="AQ36" s="763">
        <f t="shared" si="53"/>
        <v>3436707.8040382653</v>
      </c>
      <c r="AR36" s="1178">
        <f t="shared" si="19"/>
        <v>3000000</v>
      </c>
      <c r="AS36" s="1178">
        <f t="shared" si="123"/>
        <v>19850.354729012059</v>
      </c>
      <c r="AT36" s="1178">
        <f t="shared" si="54"/>
        <v>436707.80403826525</v>
      </c>
      <c r="AU36" s="1178">
        <f t="shared" si="20"/>
        <v>52404.936484591832</v>
      </c>
      <c r="AV36" s="1178">
        <f t="shared" si="55"/>
        <v>489112.74052285706</v>
      </c>
      <c r="AW36" s="1178">
        <f t="shared" si="56"/>
        <v>3489112.7405228573</v>
      </c>
      <c r="AX36" s="762">
        <f t="shared" si="57"/>
        <v>43613.90925653572</v>
      </c>
      <c r="AY36" s="717">
        <v>7575.3956645161297</v>
      </c>
      <c r="AZ36" s="717">
        <f t="shared" si="58"/>
        <v>3540302.0454439088</v>
      </c>
      <c r="BA36" s="717">
        <f t="shared" si="59"/>
        <v>132761.32670414657</v>
      </c>
      <c r="BB36" s="717"/>
      <c r="BC36" s="717">
        <f t="shared" si="21"/>
        <v>33600</v>
      </c>
      <c r="BD36" s="717">
        <f t="shared" si="60"/>
        <v>3706663.3721480556</v>
      </c>
      <c r="BE36" s="717"/>
      <c r="BF36" s="717">
        <f t="shared" si="61"/>
        <v>3706663.3721480556</v>
      </c>
      <c r="BG36" s="1209"/>
      <c r="BH36" s="717">
        <f t="shared" si="62"/>
        <v>3706663.3721480556</v>
      </c>
      <c r="BI36" s="717"/>
      <c r="BJ36" s="717">
        <f t="shared" si="63"/>
        <v>3706663.3721480556</v>
      </c>
      <c r="BK36" s="717"/>
      <c r="BL36" s="717">
        <f t="shared" si="64"/>
        <v>3706663.3721480556</v>
      </c>
      <c r="BM36" s="717"/>
      <c r="BN36" s="717">
        <f t="shared" si="65"/>
        <v>3706663.3721480556</v>
      </c>
      <c r="BO36" s="717"/>
      <c r="BP36" s="717">
        <f t="shared" si="22"/>
        <v>3706663.3721480556</v>
      </c>
      <c r="BQ36" s="717"/>
      <c r="BR36" s="717">
        <f t="shared" si="133"/>
        <v>3706663.3721480556</v>
      </c>
      <c r="BS36" s="717"/>
      <c r="BT36" s="717">
        <f t="shared" si="66"/>
        <v>3706663.3721480556</v>
      </c>
      <c r="BU36" s="717"/>
      <c r="BV36" s="1235">
        <f t="shared" si="134"/>
        <v>51400</v>
      </c>
      <c r="BW36" s="717">
        <f t="shared" si="67"/>
        <v>3758063.3721480556</v>
      </c>
      <c r="BX36" s="717"/>
      <c r="BY36" s="717">
        <f t="shared" si="68"/>
        <v>3758063.3721480556</v>
      </c>
      <c r="BZ36" s="1194">
        <f t="shared" si="69"/>
        <v>3758063.3721480556</v>
      </c>
      <c r="CA36" s="1194">
        <f t="shared" si="70"/>
        <v>3021063.3721480556</v>
      </c>
      <c r="CB36" s="1194">
        <v>33500</v>
      </c>
      <c r="CC36" s="1194">
        <f t="shared" si="71"/>
        <v>737000</v>
      </c>
      <c r="CD36" s="1194">
        <f t="shared" si="72"/>
        <v>88440</v>
      </c>
      <c r="CE36" s="1194">
        <f t="shared" si="73"/>
        <v>825440</v>
      </c>
      <c r="CF36" s="1200">
        <f t="shared" si="74"/>
        <v>3846503.3721480556</v>
      </c>
      <c r="CG36" s="757">
        <f t="shared" si="75"/>
        <v>3846503.3721480556</v>
      </c>
      <c r="CH36" s="758">
        <f t="shared" si="76"/>
        <v>0</v>
      </c>
      <c r="CI36" s="757">
        <f t="shared" si="25"/>
        <v>394266.59564517566</v>
      </c>
      <c r="CJ36" s="757">
        <f t="shared" si="26"/>
        <v>96162.584303701398</v>
      </c>
      <c r="CK36" s="759">
        <f t="shared" si="155"/>
        <v>4336932.5520969322</v>
      </c>
      <c r="CL36" s="764">
        <f t="shared" si="78"/>
        <v>0.125</v>
      </c>
      <c r="CM36" s="757">
        <f t="shared" si="79"/>
        <v>542116.56901211652</v>
      </c>
      <c r="CN36" s="757">
        <f t="shared" si="124"/>
        <v>30000</v>
      </c>
      <c r="CO36" s="757">
        <f t="shared" si="80"/>
        <v>512116.56901211652</v>
      </c>
      <c r="CP36" s="755">
        <f t="shared" si="81"/>
        <v>29</v>
      </c>
      <c r="CQ36" s="757">
        <f t="shared" si="129"/>
        <v>17659.19203490057</v>
      </c>
      <c r="CR36" s="764">
        <f t="shared" si="83"/>
        <v>0.875</v>
      </c>
      <c r="CS36" s="757">
        <f t="shared" si="84"/>
        <v>3794815.9830848156</v>
      </c>
      <c r="CT36" s="1101">
        <f t="shared" si="85"/>
        <v>29421.167925551508</v>
      </c>
      <c r="CU36" s="1101">
        <f t="shared" si="86"/>
        <v>34108.878882792778</v>
      </c>
      <c r="CV36" s="1101">
        <f t="shared" si="87"/>
        <v>44061.031271050568</v>
      </c>
      <c r="CW36" s="1141">
        <f t="shared" si="27"/>
        <v>75141.904705154127</v>
      </c>
      <c r="CX36" s="1152">
        <f t="shared" si="88"/>
        <v>308264.96418279345</v>
      </c>
      <c r="CY36" s="1152">
        <f t="shared" si="89"/>
        <v>121978.94468227684</v>
      </c>
      <c r="CZ36" s="1152">
        <f t="shared" si="90"/>
        <v>88103.664132477716</v>
      </c>
      <c r="DA36" s="1152">
        <f t="shared" si="91"/>
        <v>67050.944488024194</v>
      </c>
      <c r="DB36" s="1143">
        <f t="shared" si="28"/>
        <v>0.14556926801275508</v>
      </c>
      <c r="DC36" s="1143">
        <f t="shared" si="125"/>
        <v>0.27322829690033629</v>
      </c>
      <c r="DD36" s="1098" t="s">
        <v>232</v>
      </c>
      <c r="DE36" s="1144"/>
      <c r="DF36" s="705"/>
      <c r="DG36" s="765">
        <f t="shared" si="126"/>
        <v>46082</v>
      </c>
      <c r="DH36" s="1116">
        <f t="shared" si="29"/>
        <v>28</v>
      </c>
      <c r="DI36" s="497"/>
      <c r="DJ36" s="1117">
        <f t="shared" si="92"/>
        <v>46147</v>
      </c>
      <c r="DK36" s="1116">
        <f t="shared" si="93"/>
        <v>30</v>
      </c>
      <c r="DL36" s="766" t="s">
        <v>233</v>
      </c>
      <c r="DM36" s="766" t="s">
        <v>234</v>
      </c>
      <c r="DN36" s="767">
        <f t="shared" si="30"/>
        <v>22232.397296493502</v>
      </c>
      <c r="DO36" s="767">
        <f t="shared" si="31"/>
        <v>489112.74052285706</v>
      </c>
      <c r="DP36" s="768">
        <f t="shared" si="32"/>
        <v>0.16303758017428568</v>
      </c>
      <c r="DR36" s="767">
        <f t="shared" si="33"/>
        <v>3846503.3721480556</v>
      </c>
      <c r="DS36" s="767">
        <f>SUM('[6]INTERNAL PRICELIST'!M36)</f>
        <v>2329361</v>
      </c>
      <c r="DT36" s="767">
        <f t="shared" si="94"/>
        <v>1517142.3721480556</v>
      </c>
      <c r="DV36" s="951">
        <f t="shared" si="34"/>
        <v>174841.06237036615</v>
      </c>
      <c r="DX36" s="772">
        <v>13</v>
      </c>
      <c r="DY36" s="773" t="s">
        <v>289</v>
      </c>
      <c r="DZ36" s="774">
        <v>22</v>
      </c>
      <c r="EA36" s="775">
        <f t="shared" si="35"/>
        <v>0</v>
      </c>
      <c r="ED36" s="755" t="s">
        <v>332</v>
      </c>
      <c r="EE36" s="777" t="b">
        <f t="shared" si="36"/>
        <v>1</v>
      </c>
      <c r="EF36" s="1123" t="s">
        <v>306</v>
      </c>
      <c r="EG36" s="1123" t="s">
        <v>247</v>
      </c>
      <c r="EH36" s="1203"/>
      <c r="EP36" s="1230" t="s">
        <v>236</v>
      </c>
      <c r="EQ36" s="1145" t="s">
        <v>236</v>
      </c>
      <c r="ER36" s="753" t="b">
        <f t="shared" si="95"/>
        <v>1</v>
      </c>
      <c r="EU36" s="770">
        <v>2261900</v>
      </c>
      <c r="EV36" s="771" t="s">
        <v>236</v>
      </c>
      <c r="EZ36" s="520"/>
      <c r="FA36" s="778"/>
      <c r="FG36" s="1107"/>
      <c r="FJ36" s="994">
        <v>0.15</v>
      </c>
      <c r="FK36" s="993">
        <v>12820.110851026688</v>
      </c>
      <c r="FL36" s="993">
        <v>13166.600333486867</v>
      </c>
      <c r="FM36" s="497"/>
      <c r="FN36" s="993">
        <f t="shared" si="38"/>
        <v>4336932.5520969322</v>
      </c>
      <c r="FO36" s="994">
        <f t="shared" si="96"/>
        <v>0.15</v>
      </c>
      <c r="FP36" s="775">
        <f t="shared" si="39"/>
        <v>650539.88281453983</v>
      </c>
      <c r="FQ36" s="993">
        <f t="shared" si="40"/>
        <v>30000</v>
      </c>
      <c r="FR36" s="775">
        <f t="shared" si="97"/>
        <v>620539.88281453983</v>
      </c>
      <c r="FS36" s="497">
        <f t="shared" si="98"/>
        <v>40</v>
      </c>
      <c r="FT36" s="775">
        <f t="shared" si="99"/>
        <v>15513.497070363495</v>
      </c>
      <c r="FU36" s="497"/>
      <c r="FV36" s="993">
        <f t="shared" si="100"/>
        <v>4336932.5520969322</v>
      </c>
      <c r="FW36" s="705">
        <f t="shared" si="101"/>
        <v>433693.25520969322</v>
      </c>
      <c r="FX36" s="705">
        <f t="shared" si="102"/>
        <v>108423.3138024233</v>
      </c>
      <c r="FY36" s="705">
        <v>15000</v>
      </c>
      <c r="FZ36" s="705">
        <f t="shared" si="103"/>
        <v>418693.25520969322</v>
      </c>
      <c r="GA36" s="497">
        <f t="shared" si="104"/>
        <v>46</v>
      </c>
      <c r="GB36" s="775">
        <f t="shared" si="105"/>
        <v>9102.0272871672441</v>
      </c>
      <c r="GC36" s="497"/>
      <c r="GD36" s="497"/>
      <c r="GE36" s="1107">
        <v>45809</v>
      </c>
      <c r="GH36" s="1095">
        <f t="shared" si="0"/>
        <v>4336932.5520969322</v>
      </c>
      <c r="GI36" s="1098">
        <f t="shared" si="1"/>
        <v>0.125</v>
      </c>
      <c r="GJ36" s="1095">
        <f t="shared" si="2"/>
        <v>542116.56901211652</v>
      </c>
      <c r="GK36" s="1095">
        <f t="shared" si="3"/>
        <v>30000</v>
      </c>
      <c r="GL36" s="1095">
        <f t="shared" si="4"/>
        <v>512116.56901211652</v>
      </c>
      <c r="GM36" s="1095">
        <f t="shared" si="5"/>
        <v>29</v>
      </c>
      <c r="GN36" s="1095">
        <f t="shared" si="6"/>
        <v>17659.19203490057</v>
      </c>
      <c r="GO36" s="1098">
        <f t="shared" si="7"/>
        <v>0.875</v>
      </c>
      <c r="GP36" s="1095">
        <f t="shared" si="8"/>
        <v>3794815.9830848156</v>
      </c>
      <c r="GQ36" s="1095">
        <f t="shared" si="9"/>
        <v>29421.167925551508</v>
      </c>
      <c r="GR36" s="1095">
        <f t="shared" si="10"/>
        <v>34108.878882792778</v>
      </c>
      <c r="GS36" s="1095">
        <f t="shared" si="11"/>
        <v>44061.031271050568</v>
      </c>
      <c r="GT36" s="1095">
        <f t="shared" si="12"/>
        <v>75141.904705154127</v>
      </c>
      <c r="GU36" s="497"/>
      <c r="GV36" s="1095">
        <f t="shared" si="106"/>
        <v>4336932.5520969322</v>
      </c>
      <c r="GW36" s="1098">
        <f t="shared" si="107"/>
        <v>0.125</v>
      </c>
      <c r="GX36" s="1095">
        <f t="shared" si="108"/>
        <v>542116.56901211652</v>
      </c>
      <c r="GY36" s="1095">
        <f t="shared" si="109"/>
        <v>30000</v>
      </c>
      <c r="GZ36" s="1095">
        <f t="shared" si="110"/>
        <v>512116.56901211652</v>
      </c>
      <c r="HA36" s="1106">
        <f t="shared" si="111"/>
        <v>48</v>
      </c>
      <c r="HB36" s="770">
        <f t="shared" si="112"/>
        <v>10669.095187752428</v>
      </c>
      <c r="HC36" s="1098">
        <f t="shared" si="113"/>
        <v>0.875</v>
      </c>
      <c r="HD36" s="1102">
        <f t="shared" si="114"/>
        <v>3794815.9830848156</v>
      </c>
      <c r="HE36" s="1101">
        <f t="shared" si="115"/>
        <v>29421.167925551508</v>
      </c>
      <c r="HF36" s="1101">
        <f t="shared" si="116"/>
        <v>34108.878882792778</v>
      </c>
      <c r="HG36" s="1101">
        <f t="shared" si="117"/>
        <v>44061.031271050568</v>
      </c>
      <c r="HH36" s="1101">
        <f t="shared" si="118"/>
        <v>75141.904705154127</v>
      </c>
      <c r="HI36" s="497"/>
      <c r="HJ36" s="1102">
        <f t="shared" si="119"/>
        <v>-6990.0968471481428</v>
      </c>
      <c r="HL36" s="775"/>
      <c r="HN36" s="775"/>
      <c r="HO36" s="775"/>
      <c r="HQ36" s="702"/>
      <c r="HR36" s="1171"/>
      <c r="HS36" s="702"/>
      <c r="HT36" s="1171"/>
    </row>
    <row r="37" spans="1:228" ht="14.25" hidden="1" customHeight="1">
      <c r="A37" s="753">
        <f t="shared" si="120"/>
        <v>31</v>
      </c>
      <c r="B37" s="753" t="s">
        <v>236</v>
      </c>
      <c r="C37" s="753">
        <f t="shared" si="121"/>
        <v>31</v>
      </c>
      <c r="D37" s="753" t="s">
        <v>227</v>
      </c>
      <c r="E37" s="717" t="str">
        <f t="shared" si="41"/>
        <v>3rd Floor</v>
      </c>
      <c r="F37" s="754"/>
      <c r="G37" s="755" t="s">
        <v>333</v>
      </c>
      <c r="H37" s="756"/>
      <c r="I37" s="755" t="s">
        <v>229</v>
      </c>
      <c r="J37" s="757">
        <v>22</v>
      </c>
      <c r="K37" s="758"/>
      <c r="L37" s="759" t="s">
        <v>277</v>
      </c>
      <c r="M37" s="760" t="s">
        <v>278</v>
      </c>
      <c r="N37" s="761">
        <f t="shared" si="42"/>
        <v>106005.26567735759</v>
      </c>
      <c r="O37" s="762">
        <f t="shared" si="43"/>
        <v>2332115.8449018667</v>
      </c>
      <c r="P37" s="762">
        <f t="shared" si="44"/>
        <v>22400</v>
      </c>
      <c r="Q37" s="762">
        <f t="shared" si="14"/>
        <v>50000</v>
      </c>
      <c r="R37" s="762"/>
      <c r="S37" s="762"/>
      <c r="T37" s="762"/>
      <c r="U37" s="762"/>
      <c r="V37" s="762"/>
      <c r="W37" s="762">
        <f>J37*$W$5</f>
        <v>22000</v>
      </c>
      <c r="X37" s="762"/>
      <c r="Y37" s="762"/>
      <c r="Z37" s="762">
        <f t="shared" si="15"/>
        <v>142461</v>
      </c>
      <c r="AA37" s="762">
        <v>49222.732758620703</v>
      </c>
      <c r="AB37" s="762"/>
      <c r="AC37" s="762"/>
      <c r="AD37" s="763">
        <f t="shared" si="45"/>
        <v>286083.7327586207</v>
      </c>
      <c r="AE37" s="763">
        <f t="shared" si="16"/>
        <v>2618199.5776604875</v>
      </c>
      <c r="AF37" s="762">
        <f t="shared" si="17"/>
        <v>65454.989441512189</v>
      </c>
      <c r="AG37" s="762">
        <f t="shared" si="46"/>
        <v>2683654.5671019997</v>
      </c>
      <c r="AH37" s="762">
        <f t="shared" si="18"/>
        <v>67091.36417755</v>
      </c>
      <c r="AI37" s="762">
        <f t="shared" si="47"/>
        <v>2750745.9312795498</v>
      </c>
      <c r="AJ37" s="762">
        <f t="shared" si="48"/>
        <v>137537.29656397749</v>
      </c>
      <c r="AK37" s="762">
        <f t="shared" si="122"/>
        <v>2888283.2278435272</v>
      </c>
      <c r="AL37" s="762">
        <f>AK37*AL$5+29772.4420833333</f>
        <v>58655.27436176857</v>
      </c>
      <c r="AM37" s="762">
        <f t="shared" si="50"/>
        <v>27537.409960060559</v>
      </c>
      <c r="AN37" s="762"/>
      <c r="AO37" s="763">
        <f t="shared" si="51"/>
        <v>2974475.9121653563</v>
      </c>
      <c r="AP37" s="763">
        <f t="shared" si="52"/>
        <v>490788.5255072838</v>
      </c>
      <c r="AQ37" s="763">
        <f t="shared" si="53"/>
        <v>3465264.4376726402</v>
      </c>
      <c r="AR37" s="1178">
        <f t="shared" si="19"/>
        <v>3000000</v>
      </c>
      <c r="AS37" s="1178">
        <f t="shared" si="123"/>
        <v>21148.383530574556</v>
      </c>
      <c r="AT37" s="1178">
        <f t="shared" si="54"/>
        <v>465264.4376726402</v>
      </c>
      <c r="AU37" s="1178">
        <f t="shared" si="20"/>
        <v>55831.732520716825</v>
      </c>
      <c r="AV37" s="1178">
        <f t="shared" si="55"/>
        <v>521096.17019335704</v>
      </c>
      <c r="AW37" s="1178">
        <f t="shared" si="56"/>
        <v>3521096.1701933569</v>
      </c>
      <c r="AX37" s="762">
        <f t="shared" si="57"/>
        <v>44013.702127416967</v>
      </c>
      <c r="AY37" s="717">
        <v>7575.3956645161297</v>
      </c>
      <c r="AZ37" s="717">
        <f t="shared" si="58"/>
        <v>3572685.2679852899</v>
      </c>
      <c r="BA37" s="717">
        <f t="shared" si="59"/>
        <v>133975.69754944838</v>
      </c>
      <c r="BB37" s="717"/>
      <c r="BC37" s="717">
        <f t="shared" si="21"/>
        <v>33600</v>
      </c>
      <c r="BD37" s="717">
        <f t="shared" si="60"/>
        <v>3740260.9655347383</v>
      </c>
      <c r="BE37" s="717"/>
      <c r="BF37" s="717">
        <f t="shared" si="61"/>
        <v>3740260.9655347383</v>
      </c>
      <c r="BG37" s="1209"/>
      <c r="BH37" s="717">
        <f t="shared" si="62"/>
        <v>3740260.9655347383</v>
      </c>
      <c r="BI37" s="717"/>
      <c r="BJ37" s="717">
        <f t="shared" si="63"/>
        <v>3740260.9655347383</v>
      </c>
      <c r="BK37" s="717"/>
      <c r="BL37" s="717">
        <f t="shared" si="64"/>
        <v>3740260.9655347383</v>
      </c>
      <c r="BM37" s="717"/>
      <c r="BN37" s="717">
        <f t="shared" si="65"/>
        <v>3740260.9655347383</v>
      </c>
      <c r="BO37" s="717"/>
      <c r="BP37" s="717">
        <f t="shared" si="22"/>
        <v>3740260.9655347383</v>
      </c>
      <c r="BQ37" s="717"/>
      <c r="BR37" s="717">
        <f t="shared" si="133"/>
        <v>3740260.9655347383</v>
      </c>
      <c r="BS37" s="717"/>
      <c r="BT37" s="717">
        <f t="shared" si="66"/>
        <v>3740260.9655347383</v>
      </c>
      <c r="BU37" s="717"/>
      <c r="BV37" s="1235">
        <f t="shared" si="134"/>
        <v>51400</v>
      </c>
      <c r="BW37" s="717">
        <f t="shared" si="67"/>
        <v>3791660.9655347383</v>
      </c>
      <c r="BX37" s="717"/>
      <c r="BY37" s="717">
        <f t="shared" si="68"/>
        <v>3791660.9655347383</v>
      </c>
      <c r="BZ37" s="1194">
        <f t="shared" si="69"/>
        <v>3791660.9655347383</v>
      </c>
      <c r="CA37" s="1194">
        <f t="shared" si="70"/>
        <v>3043660.9655347383</v>
      </c>
      <c r="CB37" s="1194">
        <v>34000</v>
      </c>
      <c r="CC37" s="1194">
        <f t="shared" si="71"/>
        <v>748000</v>
      </c>
      <c r="CD37" s="1194">
        <f t="shared" si="72"/>
        <v>89760</v>
      </c>
      <c r="CE37" s="1194">
        <f t="shared" si="73"/>
        <v>837760</v>
      </c>
      <c r="CF37" s="1200">
        <f t="shared" si="74"/>
        <v>3881420.9655347383</v>
      </c>
      <c r="CG37" s="757">
        <f t="shared" si="75"/>
        <v>3881420.9655347383</v>
      </c>
      <c r="CH37" s="758">
        <f t="shared" si="76"/>
        <v>0</v>
      </c>
      <c r="CI37" s="757">
        <f t="shared" si="25"/>
        <v>397845.64896731067</v>
      </c>
      <c r="CJ37" s="757">
        <f t="shared" si="26"/>
        <v>97035.524138368462</v>
      </c>
      <c r="CK37" s="759">
        <f t="shared" si="155"/>
        <v>4376302.1386404177</v>
      </c>
      <c r="CL37" s="764">
        <f t="shared" si="78"/>
        <v>0.125</v>
      </c>
      <c r="CM37" s="757">
        <f t="shared" si="79"/>
        <v>547037.76733005221</v>
      </c>
      <c r="CN37" s="757">
        <f t="shared" si="124"/>
        <v>30000</v>
      </c>
      <c r="CO37" s="757">
        <f t="shared" si="80"/>
        <v>517037.76733005221</v>
      </c>
      <c r="CP37" s="755">
        <f t="shared" si="81"/>
        <v>29</v>
      </c>
      <c r="CQ37" s="757">
        <f t="shared" si="129"/>
        <v>17828.88852862249</v>
      </c>
      <c r="CR37" s="764">
        <f t="shared" si="83"/>
        <v>0.875</v>
      </c>
      <c r="CS37" s="757">
        <f t="shared" si="84"/>
        <v>3829264.3713103654</v>
      </c>
      <c r="CT37" s="1101">
        <f t="shared" si="85"/>
        <v>29688.245912802056</v>
      </c>
      <c r="CU37" s="1101">
        <f t="shared" si="86"/>
        <v>34418.510735017015</v>
      </c>
      <c r="CV37" s="1101">
        <f t="shared" si="87"/>
        <v>44461.006267890705</v>
      </c>
      <c r="CW37" s="1141">
        <f t="shared" si="27"/>
        <v>75824.02407980329</v>
      </c>
      <c r="CX37" s="1152">
        <f t="shared" si="88"/>
        <v>311063.31625304895</v>
      </c>
      <c r="CY37" s="1152">
        <f t="shared" si="89"/>
        <v>123086.23896492139</v>
      </c>
      <c r="CZ37" s="1152">
        <f t="shared" si="90"/>
        <v>88903.447110007459</v>
      </c>
      <c r="DA37" s="1152">
        <f t="shared" si="91"/>
        <v>67659.61615403094</v>
      </c>
      <c r="DB37" s="1143">
        <f t="shared" si="28"/>
        <v>0.15508814589088007</v>
      </c>
      <c r="DC37" s="1143">
        <f t="shared" si="125"/>
        <v>0.27524747647207631</v>
      </c>
      <c r="DD37" s="1098" t="s">
        <v>232</v>
      </c>
      <c r="DE37" s="1144"/>
      <c r="DF37" s="705"/>
      <c r="DG37" s="765">
        <f t="shared" si="126"/>
        <v>46082</v>
      </c>
      <c r="DH37" s="1116">
        <f t="shared" si="29"/>
        <v>28</v>
      </c>
      <c r="DI37" s="497"/>
      <c r="DJ37" s="1117">
        <f t="shared" si="92"/>
        <v>46147</v>
      </c>
      <c r="DK37" s="1116">
        <f t="shared" si="93"/>
        <v>30</v>
      </c>
      <c r="DL37" s="766" t="s">
        <v>233</v>
      </c>
      <c r="DM37" s="766" t="s">
        <v>234</v>
      </c>
      <c r="DN37" s="767">
        <f t="shared" si="30"/>
        <v>23686.189554243501</v>
      </c>
      <c r="DO37" s="767">
        <f t="shared" si="31"/>
        <v>521096.17019335704</v>
      </c>
      <c r="DP37" s="768">
        <f t="shared" si="32"/>
        <v>0.17369872339778569</v>
      </c>
      <c r="DR37" s="767">
        <f t="shared" si="33"/>
        <v>3881420.9655347383</v>
      </c>
      <c r="DS37" s="767">
        <f>SUM('[6]INTERNAL PRICELIST'!M37)</f>
        <v>2329361</v>
      </c>
      <c r="DT37" s="767">
        <f t="shared" si="94"/>
        <v>1552059.9655347383</v>
      </c>
      <c r="DV37" s="951">
        <f t="shared" si="34"/>
        <v>176428.22570612447</v>
      </c>
      <c r="DX37" s="772">
        <v>14</v>
      </c>
      <c r="DY37" s="773" t="s">
        <v>294</v>
      </c>
      <c r="DZ37" s="774">
        <v>22</v>
      </c>
      <c r="EA37" s="775">
        <f t="shared" si="35"/>
        <v>0</v>
      </c>
      <c r="ED37" s="755" t="s">
        <v>333</v>
      </c>
      <c r="EE37" s="777" t="b">
        <f t="shared" si="36"/>
        <v>1</v>
      </c>
      <c r="EF37" s="1123" t="s">
        <v>306</v>
      </c>
      <c r="EG37" s="1123" t="s">
        <v>247</v>
      </c>
      <c r="EH37" s="1203"/>
      <c r="EP37" s="1230" t="s">
        <v>236</v>
      </c>
      <c r="EQ37" s="1145" t="s">
        <v>236</v>
      </c>
      <c r="ER37" s="753" t="b">
        <f t="shared" si="95"/>
        <v>1</v>
      </c>
      <c r="EU37" s="770">
        <v>2261900</v>
      </c>
      <c r="EV37" s="771" t="s">
        <v>236</v>
      </c>
      <c r="EZ37" s="520"/>
      <c r="FA37" s="778"/>
      <c r="FG37" s="1107"/>
      <c r="FJ37" s="994">
        <v>0.15</v>
      </c>
      <c r="FK37" s="993">
        <v>12942.297377862546</v>
      </c>
      <c r="FL37" s="993">
        <v>13292.089198885857</v>
      </c>
      <c r="FM37" s="497"/>
      <c r="FN37" s="993">
        <f t="shared" si="38"/>
        <v>4376302.1386404177</v>
      </c>
      <c r="FO37" s="994">
        <f t="shared" si="96"/>
        <v>0.15</v>
      </c>
      <c r="FP37" s="775">
        <f t="shared" si="39"/>
        <v>656445.32079606259</v>
      </c>
      <c r="FQ37" s="993">
        <f t="shared" si="40"/>
        <v>30000</v>
      </c>
      <c r="FR37" s="775">
        <f t="shared" si="97"/>
        <v>626445.32079606259</v>
      </c>
      <c r="FS37" s="497">
        <f t="shared" si="98"/>
        <v>40</v>
      </c>
      <c r="FT37" s="775">
        <f t="shared" si="99"/>
        <v>15661.133019901565</v>
      </c>
      <c r="FU37" s="497"/>
      <c r="FV37" s="993">
        <f t="shared" si="100"/>
        <v>4376302.1386404177</v>
      </c>
      <c r="FW37" s="705">
        <f t="shared" si="101"/>
        <v>437630.21386404178</v>
      </c>
      <c r="FX37" s="705">
        <f t="shared" si="102"/>
        <v>109407.55346601045</v>
      </c>
      <c r="FY37" s="705">
        <v>15000</v>
      </c>
      <c r="FZ37" s="705">
        <f t="shared" si="103"/>
        <v>422630.21386404178</v>
      </c>
      <c r="GA37" s="497">
        <f t="shared" si="104"/>
        <v>46</v>
      </c>
      <c r="GB37" s="775">
        <f t="shared" si="105"/>
        <v>9187.6133448704732</v>
      </c>
      <c r="GC37" s="497"/>
      <c r="GD37" s="497"/>
      <c r="GE37" s="1107">
        <v>45839</v>
      </c>
      <c r="GH37" s="1095">
        <f t="shared" si="0"/>
        <v>4376302.1386404177</v>
      </c>
      <c r="GI37" s="1098">
        <f t="shared" si="1"/>
        <v>0.125</v>
      </c>
      <c r="GJ37" s="1095">
        <f t="shared" si="2"/>
        <v>547037.76733005221</v>
      </c>
      <c r="GK37" s="1095">
        <f t="shared" si="3"/>
        <v>30000</v>
      </c>
      <c r="GL37" s="1095">
        <f t="shared" si="4"/>
        <v>517037.76733005221</v>
      </c>
      <c r="GM37" s="1095">
        <f t="shared" si="5"/>
        <v>29</v>
      </c>
      <c r="GN37" s="1095">
        <f t="shared" si="6"/>
        <v>17828.88852862249</v>
      </c>
      <c r="GO37" s="1098">
        <f t="shared" si="7"/>
        <v>0.875</v>
      </c>
      <c r="GP37" s="1095">
        <f t="shared" si="8"/>
        <v>3829264.3713103654</v>
      </c>
      <c r="GQ37" s="1095">
        <f t="shared" si="9"/>
        <v>29688.245912802056</v>
      </c>
      <c r="GR37" s="1095">
        <f t="shared" si="10"/>
        <v>34418.510735017015</v>
      </c>
      <c r="GS37" s="1095">
        <f t="shared" si="11"/>
        <v>44461.006267890705</v>
      </c>
      <c r="GT37" s="1095">
        <f t="shared" si="12"/>
        <v>75824.02407980329</v>
      </c>
      <c r="GU37" s="497"/>
      <c r="GV37" s="1095">
        <f t="shared" si="106"/>
        <v>4376302.1386404177</v>
      </c>
      <c r="GW37" s="1098">
        <f t="shared" si="107"/>
        <v>0.125</v>
      </c>
      <c r="GX37" s="1095">
        <f t="shared" si="108"/>
        <v>547037.76733005221</v>
      </c>
      <c r="GY37" s="1095">
        <f t="shared" si="109"/>
        <v>30000</v>
      </c>
      <c r="GZ37" s="1095">
        <f t="shared" si="110"/>
        <v>517037.76733005221</v>
      </c>
      <c r="HA37" s="1106">
        <f t="shared" si="111"/>
        <v>48</v>
      </c>
      <c r="HB37" s="770">
        <f t="shared" si="112"/>
        <v>10771.620152709422</v>
      </c>
      <c r="HC37" s="1098">
        <f t="shared" si="113"/>
        <v>0.875</v>
      </c>
      <c r="HD37" s="1102">
        <f t="shared" si="114"/>
        <v>3829264.3713103654</v>
      </c>
      <c r="HE37" s="1101">
        <f t="shared" si="115"/>
        <v>29688.245912802056</v>
      </c>
      <c r="HF37" s="1101">
        <f t="shared" si="116"/>
        <v>34418.510735017015</v>
      </c>
      <c r="HG37" s="1101">
        <f t="shared" si="117"/>
        <v>44461.006267890705</v>
      </c>
      <c r="HH37" s="1101">
        <f t="shared" si="118"/>
        <v>75824.02407980329</v>
      </c>
      <c r="HI37" s="497"/>
      <c r="HJ37" s="1102">
        <f t="shared" si="119"/>
        <v>-7057.2683759130687</v>
      </c>
      <c r="HL37" s="775"/>
      <c r="HN37" s="775"/>
      <c r="HO37" s="775"/>
      <c r="HQ37" s="702"/>
      <c r="HR37" s="1171"/>
      <c r="HS37" s="702"/>
      <c r="HT37" s="1171"/>
    </row>
    <row r="38" spans="1:228" ht="14.25" hidden="1" customHeight="1">
      <c r="A38" s="753">
        <f t="shared" si="120"/>
        <v>32</v>
      </c>
      <c r="B38" s="753" t="s">
        <v>236</v>
      </c>
      <c r="C38" s="753">
        <v>1</v>
      </c>
      <c r="D38" s="753" t="s">
        <v>253</v>
      </c>
      <c r="E38" s="717" t="str">
        <f t="shared" si="41"/>
        <v>4th Floor</v>
      </c>
      <c r="F38" s="754"/>
      <c r="G38" s="755" t="s">
        <v>334</v>
      </c>
      <c r="H38" s="756"/>
      <c r="I38" s="755" t="s">
        <v>229</v>
      </c>
      <c r="J38" s="757">
        <v>22</v>
      </c>
      <c r="K38" s="758"/>
      <c r="L38" s="759" t="s">
        <v>69</v>
      </c>
      <c r="M38" s="760" t="s">
        <v>230</v>
      </c>
      <c r="N38" s="761">
        <f t="shared" si="42"/>
        <v>106005.26567735759</v>
      </c>
      <c r="O38" s="762">
        <f t="shared" si="43"/>
        <v>2332115.8449018667</v>
      </c>
      <c r="P38" s="762">
        <f t="shared" si="44"/>
        <v>22400</v>
      </c>
      <c r="Q38" s="762">
        <f t="shared" si="14"/>
        <v>50000</v>
      </c>
      <c r="R38" s="762"/>
      <c r="S38" s="762"/>
      <c r="T38" s="762"/>
      <c r="U38" s="762"/>
      <c r="V38" s="762">
        <f>J38*$V$5</f>
        <v>55000</v>
      </c>
      <c r="W38" s="762"/>
      <c r="X38" s="762"/>
      <c r="Y38" s="762"/>
      <c r="Z38" s="762">
        <f t="shared" si="15"/>
        <v>142461</v>
      </c>
      <c r="AA38" s="762">
        <v>49222.732758620703</v>
      </c>
      <c r="AB38" s="762"/>
      <c r="AC38" s="762"/>
      <c r="AD38" s="763">
        <f t="shared" si="45"/>
        <v>319083.7327586207</v>
      </c>
      <c r="AE38" s="763">
        <f t="shared" si="16"/>
        <v>2651199.5776604875</v>
      </c>
      <c r="AF38" s="762">
        <f t="shared" si="17"/>
        <v>66279.989441512196</v>
      </c>
      <c r="AG38" s="762">
        <f t="shared" si="46"/>
        <v>2717479.5671019997</v>
      </c>
      <c r="AH38" s="762">
        <f t="shared" si="18"/>
        <v>67936.98917755</v>
      </c>
      <c r="AI38" s="762">
        <f t="shared" si="47"/>
        <v>2785416.5562795498</v>
      </c>
      <c r="AJ38" s="762">
        <f t="shared" si="48"/>
        <v>139270.82781397749</v>
      </c>
      <c r="AK38" s="762">
        <f t="shared" si="122"/>
        <v>2924687.3840935272</v>
      </c>
      <c r="AL38" s="762">
        <f>AK38*AL$5+29772.4420833333</f>
        <v>59019.315924268572</v>
      </c>
      <c r="AM38" s="762">
        <f t="shared" si="50"/>
        <v>27537.409960060559</v>
      </c>
      <c r="AN38" s="762"/>
      <c r="AO38" s="763">
        <f t="shared" si="51"/>
        <v>3011244.1099778563</v>
      </c>
      <c r="AP38" s="763">
        <f t="shared" si="52"/>
        <v>496855.27814634633</v>
      </c>
      <c r="AQ38" s="763">
        <f t="shared" si="53"/>
        <v>3508099.3881242024</v>
      </c>
      <c r="AR38" s="1178">
        <f t="shared" si="19"/>
        <v>3000000</v>
      </c>
      <c r="AS38" s="1178">
        <f t="shared" si="123"/>
        <v>23095.426732918291</v>
      </c>
      <c r="AT38" s="1178">
        <f t="shared" si="54"/>
        <v>508099.38812420238</v>
      </c>
      <c r="AU38" s="1178">
        <f t="shared" si="20"/>
        <v>60971.926574904282</v>
      </c>
      <c r="AV38" s="1178">
        <f t="shared" si="55"/>
        <v>569071.31469910662</v>
      </c>
      <c r="AW38" s="1178">
        <f t="shared" si="56"/>
        <v>3569071.3146991068</v>
      </c>
      <c r="AX38" s="762">
        <f t="shared" si="57"/>
        <v>44613.391433738841</v>
      </c>
      <c r="AY38" s="717">
        <v>7575.3956645161297</v>
      </c>
      <c r="AZ38" s="717">
        <f t="shared" si="58"/>
        <v>3621260.1017973614</v>
      </c>
      <c r="BA38" s="717">
        <f t="shared" si="59"/>
        <v>135797.25381740104</v>
      </c>
      <c r="BB38" s="717"/>
      <c r="BC38" s="717">
        <f t="shared" si="21"/>
        <v>33600</v>
      </c>
      <c r="BD38" s="717">
        <f t="shared" si="60"/>
        <v>3790657.3556147623</v>
      </c>
      <c r="BE38" s="717"/>
      <c r="BF38" s="717">
        <f t="shared" si="61"/>
        <v>3790657.3556147623</v>
      </c>
      <c r="BG38" s="1209"/>
      <c r="BH38" s="717">
        <f t="shared" si="62"/>
        <v>3790657.3556147623</v>
      </c>
      <c r="BI38" s="717"/>
      <c r="BJ38" s="717">
        <f t="shared" si="63"/>
        <v>3790657.3556147623</v>
      </c>
      <c r="BK38" s="717"/>
      <c r="BL38" s="717">
        <f t="shared" si="64"/>
        <v>3790657.3556147623</v>
      </c>
      <c r="BM38" s="717"/>
      <c r="BN38" s="717">
        <f t="shared" si="65"/>
        <v>3790657.3556147623</v>
      </c>
      <c r="BO38" s="717"/>
      <c r="BP38" s="717">
        <f t="shared" si="22"/>
        <v>3790657.3556147623</v>
      </c>
      <c r="BQ38" s="717"/>
      <c r="BR38" s="717">
        <f t="shared" si="133"/>
        <v>3790657.3556147623</v>
      </c>
      <c r="BS38" s="717"/>
      <c r="BT38" s="717">
        <f t="shared" si="66"/>
        <v>3790657.3556147623</v>
      </c>
      <c r="BU38" s="717"/>
      <c r="BV38" s="1235">
        <f t="shared" si="134"/>
        <v>51400</v>
      </c>
      <c r="BW38" s="717">
        <f t="shared" si="67"/>
        <v>3842057.3556147623</v>
      </c>
      <c r="BX38" s="717"/>
      <c r="BY38" s="717">
        <f t="shared" si="68"/>
        <v>3842057.3556147623</v>
      </c>
      <c r="BZ38" s="1194">
        <f t="shared" si="69"/>
        <v>3842057.3556147623</v>
      </c>
      <c r="CA38" s="1194">
        <f t="shared" si="70"/>
        <v>3039057.3556147623</v>
      </c>
      <c r="CB38" s="1194">
        <v>36500</v>
      </c>
      <c r="CC38" s="1194">
        <f t="shared" si="71"/>
        <v>803000</v>
      </c>
      <c r="CD38" s="1194">
        <f t="shared" si="72"/>
        <v>96360</v>
      </c>
      <c r="CE38" s="1194">
        <f t="shared" si="73"/>
        <v>899360</v>
      </c>
      <c r="CF38" s="1200">
        <f t="shared" si="74"/>
        <v>3938417.3556147623</v>
      </c>
      <c r="CG38" s="757">
        <f t="shared" si="75"/>
        <v>3938417.3556147623</v>
      </c>
      <c r="CH38" s="758">
        <f t="shared" si="76"/>
        <v>0</v>
      </c>
      <c r="CI38" s="757">
        <f t="shared" si="25"/>
        <v>403687.77895051311</v>
      </c>
      <c r="CJ38" s="757">
        <f t="shared" si="26"/>
        <v>98460.433890369066</v>
      </c>
      <c r="CK38" s="759">
        <f t="shared" si="155"/>
        <v>4440565.568455644</v>
      </c>
      <c r="CL38" s="764">
        <f t="shared" si="78"/>
        <v>0.125</v>
      </c>
      <c r="CM38" s="757">
        <f t="shared" si="79"/>
        <v>555070.69605695549</v>
      </c>
      <c r="CN38" s="757">
        <f t="shared" si="124"/>
        <v>30000</v>
      </c>
      <c r="CO38" s="757">
        <f t="shared" si="80"/>
        <v>525070.69605695549</v>
      </c>
      <c r="CP38" s="755">
        <f t="shared" si="81"/>
        <v>29</v>
      </c>
      <c r="CQ38" s="757">
        <f t="shared" si="129"/>
        <v>18105.8860709295</v>
      </c>
      <c r="CR38" s="764">
        <f t="shared" si="83"/>
        <v>0.875</v>
      </c>
      <c r="CS38" s="757">
        <f t="shared" si="84"/>
        <v>3885494.8723986885</v>
      </c>
      <c r="CT38" s="1101">
        <f t="shared" si="85"/>
        <v>30124.200389232981</v>
      </c>
      <c r="CU38" s="1101">
        <f t="shared" si="86"/>
        <v>34923.926375640847</v>
      </c>
      <c r="CV38" s="1101">
        <f t="shared" si="87"/>
        <v>45113.890064597348</v>
      </c>
      <c r="CW38" s="1141">
        <f t="shared" si="27"/>
        <v>76937.455395876517</v>
      </c>
      <c r="CX38" s="1152">
        <f t="shared" si="88"/>
        <v>315631.09858590446</v>
      </c>
      <c r="CY38" s="1152">
        <f t="shared" si="89"/>
        <v>124893.68818308706</v>
      </c>
      <c r="CZ38" s="1152">
        <f t="shared" si="90"/>
        <v>90208.942081033514</v>
      </c>
      <c r="DA38" s="1152">
        <f t="shared" si="91"/>
        <v>68653.157928866101</v>
      </c>
      <c r="DB38" s="1143">
        <f t="shared" si="28"/>
        <v>0.16936646270806746</v>
      </c>
      <c r="DC38" s="1143">
        <f t="shared" si="125"/>
        <v>0.29593386855249759</v>
      </c>
      <c r="DD38" s="1098" t="s">
        <v>232</v>
      </c>
      <c r="DE38" s="1144"/>
      <c r="DF38" s="705"/>
      <c r="DG38" s="765">
        <f t="shared" si="126"/>
        <v>46082</v>
      </c>
      <c r="DH38" s="1116">
        <f t="shared" si="29"/>
        <v>28</v>
      </c>
      <c r="DI38" s="497"/>
      <c r="DJ38" s="1117">
        <f t="shared" si="92"/>
        <v>46147</v>
      </c>
      <c r="DK38" s="1116">
        <f t="shared" si="93"/>
        <v>30</v>
      </c>
      <c r="DL38" s="766" t="s">
        <v>233</v>
      </c>
      <c r="DM38" s="766" t="s">
        <v>234</v>
      </c>
      <c r="DN38" s="767">
        <f t="shared" si="30"/>
        <v>25866.877940868482</v>
      </c>
      <c r="DO38" s="767">
        <f t="shared" si="31"/>
        <v>569071.31469910662</v>
      </c>
      <c r="DP38" s="768">
        <f t="shared" si="32"/>
        <v>0.18969043823303555</v>
      </c>
      <c r="DR38" s="767">
        <f t="shared" si="33"/>
        <v>3938417.3556147623</v>
      </c>
      <c r="DS38" s="767">
        <f>SUM('[6]INTERNAL PRICELIST'!M38)</f>
        <v>2329361</v>
      </c>
      <c r="DT38" s="767">
        <f t="shared" si="94"/>
        <v>1609056.3556147623</v>
      </c>
      <c r="DV38" s="951">
        <f t="shared" si="34"/>
        <v>179018.97070976192</v>
      </c>
      <c r="DX38" s="772">
        <v>15</v>
      </c>
      <c r="DY38" s="773" t="s">
        <v>299</v>
      </c>
      <c r="DZ38" s="774">
        <v>22</v>
      </c>
      <c r="EA38" s="775">
        <f t="shared" si="35"/>
        <v>0</v>
      </c>
      <c r="ED38" s="1133" t="s">
        <v>334</v>
      </c>
      <c r="EE38" s="777" t="b">
        <f t="shared" si="36"/>
        <v>1</v>
      </c>
      <c r="EF38" s="1123" t="s">
        <v>335</v>
      </c>
      <c r="EG38" s="1123" t="s">
        <v>336</v>
      </c>
      <c r="EH38" s="1203"/>
      <c r="EP38" s="1230" t="s">
        <v>236</v>
      </c>
      <c r="EQ38" s="1145" t="s">
        <v>236</v>
      </c>
      <c r="ER38" s="753" t="b">
        <f t="shared" si="95"/>
        <v>1</v>
      </c>
      <c r="EU38" s="770">
        <v>2221760</v>
      </c>
      <c r="EV38" s="771" t="s">
        <v>236</v>
      </c>
      <c r="EZ38" s="520"/>
      <c r="FA38" s="778"/>
      <c r="FG38" s="1107"/>
      <c r="FJ38" s="994">
        <v>0.15</v>
      </c>
      <c r="FK38" s="993">
        <v>13378.682179649855</v>
      </c>
      <c r="FL38" s="993">
        <v>13740.268184505258</v>
      </c>
      <c r="FM38" s="497"/>
      <c r="FN38" s="993">
        <f t="shared" si="38"/>
        <v>4440565.568455644</v>
      </c>
      <c r="FO38" s="994">
        <f t="shared" si="96"/>
        <v>0.15</v>
      </c>
      <c r="FP38" s="775">
        <f t="shared" si="39"/>
        <v>666084.83526834659</v>
      </c>
      <c r="FQ38" s="993">
        <f t="shared" si="40"/>
        <v>30000</v>
      </c>
      <c r="FR38" s="775">
        <f t="shared" si="97"/>
        <v>636084.83526834659</v>
      </c>
      <c r="FS38" s="497">
        <f t="shared" si="98"/>
        <v>40</v>
      </c>
      <c r="FT38" s="775">
        <f t="shared" si="99"/>
        <v>15902.120881708664</v>
      </c>
      <c r="FU38" s="497"/>
      <c r="FV38" s="993">
        <f t="shared" si="100"/>
        <v>4440565.568455644</v>
      </c>
      <c r="FW38" s="705">
        <f t="shared" si="101"/>
        <v>444056.5568455644</v>
      </c>
      <c r="FX38" s="705">
        <f t="shared" si="102"/>
        <v>111014.1392113911</v>
      </c>
      <c r="FY38" s="705">
        <v>15000</v>
      </c>
      <c r="FZ38" s="705">
        <f t="shared" si="103"/>
        <v>429056.5568455644</v>
      </c>
      <c r="GA38" s="497">
        <f t="shared" si="104"/>
        <v>46</v>
      </c>
      <c r="GB38" s="775">
        <f t="shared" si="105"/>
        <v>9327.3164531644434</v>
      </c>
      <c r="GC38" s="497"/>
      <c r="GD38" s="497"/>
      <c r="GE38" s="1107">
        <v>45870</v>
      </c>
      <c r="GH38" s="1095">
        <f t="shared" si="0"/>
        <v>4440565.568455644</v>
      </c>
      <c r="GI38" s="1098">
        <f t="shared" si="1"/>
        <v>0.125</v>
      </c>
      <c r="GJ38" s="1095">
        <f t="shared" si="2"/>
        <v>555070.69605695549</v>
      </c>
      <c r="GK38" s="1095">
        <f t="shared" si="3"/>
        <v>30000</v>
      </c>
      <c r="GL38" s="1095">
        <f t="shared" si="4"/>
        <v>525070.69605695549</v>
      </c>
      <c r="GM38" s="1095">
        <f t="shared" si="5"/>
        <v>29</v>
      </c>
      <c r="GN38" s="1095">
        <f t="shared" si="6"/>
        <v>18105.8860709295</v>
      </c>
      <c r="GO38" s="1098">
        <f t="shared" si="7"/>
        <v>0.875</v>
      </c>
      <c r="GP38" s="1095">
        <f t="shared" si="8"/>
        <v>3885494.8723986885</v>
      </c>
      <c r="GQ38" s="1095">
        <f t="shared" si="9"/>
        <v>30124.200389232981</v>
      </c>
      <c r="GR38" s="1095">
        <f t="shared" si="10"/>
        <v>34923.926375640847</v>
      </c>
      <c r="GS38" s="1095">
        <f t="shared" si="11"/>
        <v>45113.890064597348</v>
      </c>
      <c r="GT38" s="1095">
        <f t="shared" si="12"/>
        <v>76937.455395876517</v>
      </c>
      <c r="GU38" s="497"/>
      <c r="GV38" s="1095">
        <f t="shared" si="106"/>
        <v>4440565.568455644</v>
      </c>
      <c r="GW38" s="1098">
        <f t="shared" si="107"/>
        <v>0.125</v>
      </c>
      <c r="GX38" s="1095">
        <f t="shared" si="108"/>
        <v>555070.69605695549</v>
      </c>
      <c r="GY38" s="1095">
        <f t="shared" si="109"/>
        <v>30000</v>
      </c>
      <c r="GZ38" s="1095">
        <f t="shared" si="110"/>
        <v>525070.69605695549</v>
      </c>
      <c r="HA38" s="1106">
        <f t="shared" si="111"/>
        <v>48</v>
      </c>
      <c r="HB38" s="770">
        <f t="shared" si="112"/>
        <v>10938.972834519906</v>
      </c>
      <c r="HC38" s="1098">
        <f t="shared" si="113"/>
        <v>0.875</v>
      </c>
      <c r="HD38" s="1102">
        <f t="shared" si="114"/>
        <v>3885494.8723986885</v>
      </c>
      <c r="HE38" s="1101">
        <f t="shared" si="115"/>
        <v>30124.200389232981</v>
      </c>
      <c r="HF38" s="1101">
        <f t="shared" si="116"/>
        <v>34923.926375640847</v>
      </c>
      <c r="HG38" s="1101">
        <f t="shared" si="117"/>
        <v>45113.890064597348</v>
      </c>
      <c r="HH38" s="1101">
        <f t="shared" si="118"/>
        <v>76937.455395876517</v>
      </c>
      <c r="HI38" s="497"/>
      <c r="HJ38" s="1102">
        <f t="shared" si="119"/>
        <v>-7166.9132364095949</v>
      </c>
      <c r="HL38" s="775"/>
      <c r="HN38" s="775"/>
      <c r="HO38" s="775"/>
      <c r="HQ38" s="702"/>
      <c r="HR38" s="1171"/>
      <c r="HS38" s="702"/>
      <c r="HT38" s="1171"/>
    </row>
    <row r="39" spans="1:228" ht="14.25" hidden="1" customHeight="1">
      <c r="A39" s="753">
        <f t="shared" si="120"/>
        <v>33</v>
      </c>
      <c r="B39" s="753" t="s">
        <v>236</v>
      </c>
      <c r="C39" s="753">
        <f>C38+1</f>
        <v>2</v>
      </c>
      <c r="D39" s="753" t="s">
        <v>253</v>
      </c>
      <c r="E39" s="717" t="str">
        <f t="shared" si="41"/>
        <v>4th Floor</v>
      </c>
      <c r="F39" s="754"/>
      <c r="G39" s="755" t="s">
        <v>337</v>
      </c>
      <c r="H39" s="756"/>
      <c r="I39" s="755" t="s">
        <v>229</v>
      </c>
      <c r="J39" s="757">
        <v>22</v>
      </c>
      <c r="K39" s="758"/>
      <c r="L39" s="759" t="s">
        <v>69</v>
      </c>
      <c r="M39" s="760" t="s">
        <v>68</v>
      </c>
      <c r="N39" s="761">
        <f t="shared" si="42"/>
        <v>106005.26567735759</v>
      </c>
      <c r="O39" s="762">
        <f t="shared" si="43"/>
        <v>2332115.8449018667</v>
      </c>
      <c r="P39" s="762">
        <f t="shared" si="44"/>
        <v>22400</v>
      </c>
      <c r="Q39" s="762">
        <f t="shared" si="14"/>
        <v>50000</v>
      </c>
      <c r="R39" s="762"/>
      <c r="S39" s="762"/>
      <c r="T39" s="762"/>
      <c r="U39" s="762"/>
      <c r="V39" s="762"/>
      <c r="W39" s="762"/>
      <c r="X39" s="762"/>
      <c r="Y39" s="762"/>
      <c r="Z39" s="762">
        <f t="shared" si="15"/>
        <v>142461</v>
      </c>
      <c r="AA39" s="762">
        <v>45722.732758620688</v>
      </c>
      <c r="AB39" s="762"/>
      <c r="AC39" s="762"/>
      <c r="AD39" s="763">
        <f t="shared" si="45"/>
        <v>260583.7327586207</v>
      </c>
      <c r="AE39" s="763">
        <f t="shared" si="16"/>
        <v>2592699.5776604875</v>
      </c>
      <c r="AF39" s="762">
        <f t="shared" si="17"/>
        <v>64817.489441512189</v>
      </c>
      <c r="AG39" s="762">
        <f t="shared" si="46"/>
        <v>2657517.0671019997</v>
      </c>
      <c r="AH39" s="762">
        <f t="shared" si="18"/>
        <v>66437.92667755</v>
      </c>
      <c r="AI39" s="762">
        <f t="shared" si="47"/>
        <v>2723954.9937795498</v>
      </c>
      <c r="AJ39" s="762">
        <f t="shared" si="48"/>
        <v>136197.74968897749</v>
      </c>
      <c r="AK39" s="762">
        <f t="shared" si="122"/>
        <v>2860152.7434685272</v>
      </c>
      <c r="AL39" s="762">
        <f t="shared" si="49"/>
        <v>28601.527434685271</v>
      </c>
      <c r="AM39" s="762">
        <f t="shared" si="50"/>
        <v>27537.409960060559</v>
      </c>
      <c r="AN39" s="762"/>
      <c r="AO39" s="763">
        <f t="shared" si="51"/>
        <v>2916291.6808632729</v>
      </c>
      <c r="AP39" s="763">
        <f t="shared" si="52"/>
        <v>481188.12734244007</v>
      </c>
      <c r="AQ39" s="763">
        <f t="shared" si="53"/>
        <v>3397479.8082057131</v>
      </c>
      <c r="AR39" s="1178">
        <f t="shared" si="19"/>
        <v>3000000</v>
      </c>
      <c r="AS39" s="1178">
        <f t="shared" si="123"/>
        <v>18067.264009350594</v>
      </c>
      <c r="AT39" s="1178">
        <f t="shared" si="54"/>
        <v>397479.80820571305</v>
      </c>
      <c r="AU39" s="1178">
        <f t="shared" si="20"/>
        <v>47697.576984685562</v>
      </c>
      <c r="AV39" s="1178">
        <f t="shared" si="55"/>
        <v>445177.38519039861</v>
      </c>
      <c r="AW39" s="1178">
        <f t="shared" si="56"/>
        <v>3445177.3851903984</v>
      </c>
      <c r="AX39" s="762">
        <f t="shared" si="57"/>
        <v>43064.717314879985</v>
      </c>
      <c r="AY39" s="717" t="s">
        <v>231</v>
      </c>
      <c r="AZ39" s="717">
        <f t="shared" si="58"/>
        <v>3488242.1025052783</v>
      </c>
      <c r="BA39" s="717">
        <f t="shared" si="59"/>
        <v>130809.07884394794</v>
      </c>
      <c r="BB39" s="717"/>
      <c r="BC39" s="717">
        <f t="shared" si="21"/>
        <v>33600</v>
      </c>
      <c r="BD39" s="717">
        <f t="shared" si="60"/>
        <v>3652651.1813492263</v>
      </c>
      <c r="BE39" s="717"/>
      <c r="BF39" s="717">
        <f t="shared" si="61"/>
        <v>3652651.1813492263</v>
      </c>
      <c r="BG39" s="1209"/>
      <c r="BH39" s="717">
        <f t="shared" si="62"/>
        <v>3652651.1813492263</v>
      </c>
      <c r="BI39" s="717"/>
      <c r="BJ39" s="717">
        <f t="shared" si="63"/>
        <v>3652651.1813492263</v>
      </c>
      <c r="BK39" s="717"/>
      <c r="BL39" s="717">
        <f t="shared" si="64"/>
        <v>3652651.1813492263</v>
      </c>
      <c r="BM39" s="717"/>
      <c r="BN39" s="717">
        <f t="shared" si="65"/>
        <v>3652651.1813492263</v>
      </c>
      <c r="BO39" s="717"/>
      <c r="BP39" s="717">
        <f t="shared" si="22"/>
        <v>3652651.1813492263</v>
      </c>
      <c r="BQ39" s="717"/>
      <c r="BR39" s="717">
        <f t="shared" si="133"/>
        <v>3652651.1813492263</v>
      </c>
      <c r="BS39" s="717"/>
      <c r="BT39" s="717">
        <f t="shared" si="66"/>
        <v>3652651.1813492263</v>
      </c>
      <c r="BU39" s="717"/>
      <c r="BV39" s="1235">
        <f t="shared" si="134"/>
        <v>51400</v>
      </c>
      <c r="BW39" s="717">
        <f t="shared" si="67"/>
        <v>3704051.1813492263</v>
      </c>
      <c r="BX39" s="717"/>
      <c r="BY39" s="717">
        <f t="shared" si="68"/>
        <v>3704051.1813492263</v>
      </c>
      <c r="BZ39" s="1194">
        <f t="shared" si="69"/>
        <v>3704051.1813492263</v>
      </c>
      <c r="CA39" s="1194">
        <f t="shared" si="70"/>
        <v>3022051.1813492263</v>
      </c>
      <c r="CB39" s="1194">
        <v>31000</v>
      </c>
      <c r="CC39" s="1194">
        <f t="shared" si="71"/>
        <v>682000</v>
      </c>
      <c r="CD39" s="1194">
        <f t="shared" si="72"/>
        <v>81840</v>
      </c>
      <c r="CE39" s="1194">
        <f t="shared" si="73"/>
        <v>763840</v>
      </c>
      <c r="CF39" s="1200">
        <f t="shared" si="74"/>
        <v>3785891.1813492263</v>
      </c>
      <c r="CG39" s="757">
        <f t="shared" si="75"/>
        <v>3785891.1813492263</v>
      </c>
      <c r="CH39" s="758">
        <f t="shared" si="76"/>
        <v>0</v>
      </c>
      <c r="CI39" s="757">
        <f t="shared" si="25"/>
        <v>388053.84608829569</v>
      </c>
      <c r="CJ39" s="757">
        <f t="shared" si="26"/>
        <v>94647.27953373066</v>
      </c>
      <c r="CK39" s="759">
        <f t="shared" si="155"/>
        <v>4268592.3069712529</v>
      </c>
      <c r="CL39" s="764">
        <f t="shared" si="78"/>
        <v>0.125</v>
      </c>
      <c r="CM39" s="757">
        <f t="shared" si="79"/>
        <v>533574.03837140661</v>
      </c>
      <c r="CN39" s="757">
        <f t="shared" si="124"/>
        <v>30000</v>
      </c>
      <c r="CO39" s="757">
        <f t="shared" si="80"/>
        <v>503574.03837140661</v>
      </c>
      <c r="CP39" s="755">
        <f t="shared" si="81"/>
        <v>29</v>
      </c>
      <c r="CQ39" s="757">
        <f t="shared" si="129"/>
        <v>17364.622012807125</v>
      </c>
      <c r="CR39" s="764">
        <f t="shared" si="83"/>
        <v>0.875</v>
      </c>
      <c r="CS39" s="757">
        <f t="shared" si="84"/>
        <v>3735018.2685998464</v>
      </c>
      <c r="CT39" s="1101">
        <f t="shared" si="85"/>
        <v>28957.556881625129</v>
      </c>
      <c r="CU39" s="1101">
        <f t="shared" si="86"/>
        <v>33571.400119678256</v>
      </c>
      <c r="CV39" s="1101">
        <f t="shared" si="87"/>
        <v>43366.729102090649</v>
      </c>
      <c r="CW39" s="1141">
        <f t="shared" si="27"/>
        <v>73957.838288378131</v>
      </c>
      <c r="CX39" s="1152">
        <f t="shared" si="88"/>
        <v>303407.40576728969</v>
      </c>
      <c r="CY39" s="1152">
        <f t="shared" si="89"/>
        <v>120056.83247978757</v>
      </c>
      <c r="CZ39" s="1152">
        <f t="shared" si="90"/>
        <v>86715.349711868883</v>
      </c>
      <c r="DA39" s="1152">
        <f t="shared" si="91"/>
        <v>65994.373299246014</v>
      </c>
      <c r="DB39" s="1143">
        <f t="shared" si="28"/>
        <v>0.13249326940190434</v>
      </c>
      <c r="DC39" s="1143">
        <f t="shared" si="125"/>
        <v>0.25275548101702755</v>
      </c>
      <c r="DD39" s="1098" t="s">
        <v>232</v>
      </c>
      <c r="DE39" s="1144"/>
      <c r="DF39" s="705"/>
      <c r="DG39" s="765">
        <f t="shared" si="126"/>
        <v>46082</v>
      </c>
      <c r="DH39" s="1116">
        <f t="shared" si="29"/>
        <v>28</v>
      </c>
      <c r="DI39" s="497"/>
      <c r="DJ39" s="1117">
        <f t="shared" si="92"/>
        <v>46147</v>
      </c>
      <c r="DK39" s="1116">
        <f t="shared" si="93"/>
        <v>30</v>
      </c>
      <c r="DL39" s="766" t="s">
        <v>233</v>
      </c>
      <c r="DM39" s="766" t="s">
        <v>234</v>
      </c>
      <c r="DN39" s="767">
        <f t="shared" si="30"/>
        <v>20235.335690472664</v>
      </c>
      <c r="DO39" s="767">
        <f t="shared" si="31"/>
        <v>445177.38519039861</v>
      </c>
      <c r="DP39" s="768">
        <f t="shared" si="32"/>
        <v>0.14839246173013287</v>
      </c>
      <c r="DR39" s="767">
        <f t="shared" si="33"/>
        <v>3785891.1813492263</v>
      </c>
      <c r="DS39" s="767">
        <f>SUM('[6]INTERNAL PRICELIST'!M39)</f>
        <v>2329361</v>
      </c>
      <c r="DT39" s="767">
        <f t="shared" si="94"/>
        <v>1456530.1813492263</v>
      </c>
      <c r="DV39" s="951">
        <f t="shared" si="34"/>
        <v>172085.9627886012</v>
      </c>
      <c r="DX39" s="772">
        <v>16</v>
      </c>
      <c r="DY39" s="773" t="s">
        <v>303</v>
      </c>
      <c r="DZ39" s="774">
        <v>22</v>
      </c>
      <c r="EA39" s="775">
        <f t="shared" ref="EA39:EA70" si="156">DZ39-J39</f>
        <v>0</v>
      </c>
      <c r="ED39" s="755" t="s">
        <v>337</v>
      </c>
      <c r="EE39" s="777" t="b">
        <f t="shared" si="36"/>
        <v>1</v>
      </c>
      <c r="EF39" s="1123" t="s">
        <v>338</v>
      </c>
      <c r="EG39" s="1123" t="s">
        <v>336</v>
      </c>
      <c r="EH39" s="1203"/>
      <c r="EP39" s="1230" t="s">
        <v>236</v>
      </c>
      <c r="EQ39" s="1145" t="s">
        <v>236</v>
      </c>
      <c r="ER39" s="753" t="b">
        <f t="shared" si="95"/>
        <v>1</v>
      </c>
      <c r="EU39" s="770">
        <v>2221760</v>
      </c>
      <c r="EV39" s="771" t="s">
        <v>236</v>
      </c>
      <c r="EZ39" s="520"/>
      <c r="FA39" s="778"/>
      <c r="FG39" s="1107"/>
      <c r="FJ39" s="994">
        <v>0.15</v>
      </c>
      <c r="FK39" s="993">
        <v>12820.110851026688</v>
      </c>
      <c r="FL39" s="993">
        <v>13166.600333486867</v>
      </c>
      <c r="FM39" s="497"/>
      <c r="FN39" s="993">
        <f t="shared" si="38"/>
        <v>4268592.3069712529</v>
      </c>
      <c r="FO39" s="994">
        <f t="shared" si="96"/>
        <v>0.15</v>
      </c>
      <c r="FP39" s="775">
        <f t="shared" si="39"/>
        <v>640288.84604568791</v>
      </c>
      <c r="FQ39" s="993">
        <f t="shared" si="40"/>
        <v>30000</v>
      </c>
      <c r="FR39" s="775">
        <f t="shared" si="97"/>
        <v>610288.84604568791</v>
      </c>
      <c r="FS39" s="497">
        <f t="shared" si="98"/>
        <v>40</v>
      </c>
      <c r="FT39" s="775">
        <f t="shared" si="99"/>
        <v>15257.221151142197</v>
      </c>
      <c r="FU39" s="497"/>
      <c r="FV39" s="993">
        <f t="shared" si="100"/>
        <v>4268592.3069712529</v>
      </c>
      <c r="FW39" s="705">
        <f t="shared" si="101"/>
        <v>426859.23069712531</v>
      </c>
      <c r="FX39" s="705">
        <f t="shared" si="102"/>
        <v>106714.80767428133</v>
      </c>
      <c r="FY39" s="705">
        <v>15000</v>
      </c>
      <c r="FZ39" s="705">
        <f t="shared" si="103"/>
        <v>411859.23069712531</v>
      </c>
      <c r="GA39" s="497">
        <f t="shared" si="104"/>
        <v>46</v>
      </c>
      <c r="GB39" s="775">
        <f t="shared" si="105"/>
        <v>8953.4615368940285</v>
      </c>
      <c r="GC39" s="497"/>
      <c r="GD39" s="497"/>
      <c r="GE39" s="1107">
        <v>45901</v>
      </c>
      <c r="GH39" s="1095">
        <f t="shared" si="0"/>
        <v>4268592.3069712529</v>
      </c>
      <c r="GI39" s="1098">
        <f t="shared" si="1"/>
        <v>0.125</v>
      </c>
      <c r="GJ39" s="1095">
        <f t="shared" si="2"/>
        <v>533574.03837140661</v>
      </c>
      <c r="GK39" s="1095">
        <f t="shared" si="3"/>
        <v>30000</v>
      </c>
      <c r="GL39" s="1095">
        <f t="shared" si="4"/>
        <v>503574.03837140661</v>
      </c>
      <c r="GM39" s="1095">
        <f t="shared" si="5"/>
        <v>29</v>
      </c>
      <c r="GN39" s="1095">
        <f t="shared" si="6"/>
        <v>17364.622012807125</v>
      </c>
      <c r="GO39" s="1098">
        <f t="shared" si="7"/>
        <v>0.875</v>
      </c>
      <c r="GP39" s="1095">
        <f t="shared" si="8"/>
        <v>3735018.2685998464</v>
      </c>
      <c r="GQ39" s="1095">
        <f t="shared" si="9"/>
        <v>28957.556881625129</v>
      </c>
      <c r="GR39" s="1095">
        <f t="shared" si="10"/>
        <v>33571.400119678256</v>
      </c>
      <c r="GS39" s="1095">
        <f t="shared" si="11"/>
        <v>43366.729102090649</v>
      </c>
      <c r="GT39" s="1095">
        <f t="shared" si="12"/>
        <v>73957.838288378131</v>
      </c>
      <c r="GU39" s="497"/>
      <c r="GV39" s="1095">
        <f t="shared" si="106"/>
        <v>4268592.3069712529</v>
      </c>
      <c r="GW39" s="1098">
        <f t="shared" si="107"/>
        <v>0.125</v>
      </c>
      <c r="GX39" s="1095">
        <f t="shared" si="108"/>
        <v>533574.03837140661</v>
      </c>
      <c r="GY39" s="1095">
        <f t="shared" si="109"/>
        <v>30000</v>
      </c>
      <c r="GZ39" s="1095">
        <f t="shared" si="110"/>
        <v>503574.03837140661</v>
      </c>
      <c r="HA39" s="1106">
        <f t="shared" si="111"/>
        <v>48</v>
      </c>
      <c r="HB39" s="770">
        <f t="shared" si="112"/>
        <v>10491.125799404304</v>
      </c>
      <c r="HC39" s="1098">
        <f t="shared" si="113"/>
        <v>0.875</v>
      </c>
      <c r="HD39" s="1102">
        <f t="shared" si="114"/>
        <v>3735018.2685998464</v>
      </c>
      <c r="HE39" s="1101">
        <f t="shared" si="115"/>
        <v>28957.556881625129</v>
      </c>
      <c r="HF39" s="1101">
        <f t="shared" si="116"/>
        <v>33571.400119678256</v>
      </c>
      <c r="HG39" s="1101">
        <f t="shared" si="117"/>
        <v>43366.729102090649</v>
      </c>
      <c r="HH39" s="1101">
        <f t="shared" si="118"/>
        <v>73957.838288378131</v>
      </c>
      <c r="HI39" s="497"/>
      <c r="HJ39" s="1102">
        <f t="shared" si="119"/>
        <v>-6873.496213402821</v>
      </c>
      <c r="HL39" s="775"/>
      <c r="HN39" s="775"/>
      <c r="HO39" s="775"/>
      <c r="HQ39" s="702"/>
      <c r="HR39" s="1171"/>
      <c r="HS39" s="702"/>
      <c r="HT39" s="1171"/>
    </row>
    <row r="40" spans="1:228" ht="14.25" hidden="1" customHeight="1">
      <c r="A40" s="753">
        <f t="shared" si="120"/>
        <v>34</v>
      </c>
      <c r="B40" s="753" t="s">
        <v>236</v>
      </c>
      <c r="C40" s="753">
        <f t="shared" si="121"/>
        <v>3</v>
      </c>
      <c r="D40" s="753" t="s">
        <v>253</v>
      </c>
      <c r="E40" s="717" t="str">
        <f t="shared" si="41"/>
        <v>4th Floor</v>
      </c>
      <c r="F40" s="754"/>
      <c r="G40" s="755" t="s">
        <v>339</v>
      </c>
      <c r="H40" s="756"/>
      <c r="I40" s="755" t="s">
        <v>229</v>
      </c>
      <c r="J40" s="757">
        <v>22</v>
      </c>
      <c r="K40" s="758"/>
      <c r="L40" s="759" t="s">
        <v>69</v>
      </c>
      <c r="M40" s="760" t="s">
        <v>68</v>
      </c>
      <c r="N40" s="761">
        <f t="shared" si="42"/>
        <v>106005.26567735759</v>
      </c>
      <c r="O40" s="762">
        <f t="shared" si="43"/>
        <v>2332115.8449018667</v>
      </c>
      <c r="P40" s="762">
        <f t="shared" si="44"/>
        <v>22400</v>
      </c>
      <c r="Q40" s="762">
        <f t="shared" si="14"/>
        <v>50000</v>
      </c>
      <c r="R40" s="762"/>
      <c r="S40" s="762"/>
      <c r="T40" s="762"/>
      <c r="U40" s="762"/>
      <c r="V40" s="762"/>
      <c r="W40" s="762"/>
      <c r="X40" s="762"/>
      <c r="Y40" s="762"/>
      <c r="Z40" s="762">
        <f t="shared" si="15"/>
        <v>142461</v>
      </c>
      <c r="AA40" s="762">
        <v>45722.732758620688</v>
      </c>
      <c r="AB40" s="762"/>
      <c r="AC40" s="762"/>
      <c r="AD40" s="763">
        <f t="shared" si="45"/>
        <v>260583.7327586207</v>
      </c>
      <c r="AE40" s="763">
        <f t="shared" si="16"/>
        <v>2592699.5776604875</v>
      </c>
      <c r="AF40" s="762">
        <f t="shared" si="17"/>
        <v>64817.489441512189</v>
      </c>
      <c r="AG40" s="762">
        <f t="shared" si="46"/>
        <v>2657517.0671019997</v>
      </c>
      <c r="AH40" s="762">
        <f t="shared" si="18"/>
        <v>66437.92667755</v>
      </c>
      <c r="AI40" s="762">
        <f t="shared" si="47"/>
        <v>2723954.9937795498</v>
      </c>
      <c r="AJ40" s="762">
        <f t="shared" si="48"/>
        <v>136197.74968897749</v>
      </c>
      <c r="AK40" s="762">
        <f t="shared" si="122"/>
        <v>2860152.7434685272</v>
      </c>
      <c r="AL40" s="762">
        <f>AK40*AL$5+29772.4420833333</f>
        <v>58373.969518018566</v>
      </c>
      <c r="AM40" s="762">
        <f t="shared" si="50"/>
        <v>27537.409960060559</v>
      </c>
      <c r="AN40" s="762"/>
      <c r="AO40" s="763">
        <f t="shared" si="51"/>
        <v>2946064.122946606</v>
      </c>
      <c r="AP40" s="763">
        <f t="shared" si="52"/>
        <v>486100.58028619003</v>
      </c>
      <c r="AQ40" s="763">
        <f t="shared" si="53"/>
        <v>3432164.7032327959</v>
      </c>
      <c r="AR40" s="1178">
        <f t="shared" si="19"/>
        <v>3000000</v>
      </c>
      <c r="AS40" s="1178">
        <f t="shared" si="123"/>
        <v>19643.850146945271</v>
      </c>
      <c r="AT40" s="1178">
        <f t="shared" si="54"/>
        <v>432164.70323279593</v>
      </c>
      <c r="AU40" s="1178">
        <f t="shared" si="20"/>
        <v>51859.764387935509</v>
      </c>
      <c r="AV40" s="1178">
        <f t="shared" si="55"/>
        <v>484024.46762073145</v>
      </c>
      <c r="AW40" s="1178">
        <f t="shared" si="56"/>
        <v>3484024.4676207313</v>
      </c>
      <c r="AX40" s="762">
        <f t="shared" si="57"/>
        <v>43550.305845259143</v>
      </c>
      <c r="AY40" s="717" t="s">
        <v>231</v>
      </c>
      <c r="AZ40" s="717">
        <f t="shared" si="58"/>
        <v>3527574.7734659906</v>
      </c>
      <c r="BA40" s="717">
        <f t="shared" si="59"/>
        <v>132284.05400497463</v>
      </c>
      <c r="BB40" s="717"/>
      <c r="BC40" s="717">
        <f t="shared" si="21"/>
        <v>33600</v>
      </c>
      <c r="BD40" s="717">
        <f t="shared" si="60"/>
        <v>3693458.8274709652</v>
      </c>
      <c r="BE40" s="717"/>
      <c r="BF40" s="717">
        <f t="shared" si="61"/>
        <v>3693458.8274709652</v>
      </c>
      <c r="BG40" s="1209"/>
      <c r="BH40" s="717">
        <f t="shared" si="62"/>
        <v>3693458.8274709652</v>
      </c>
      <c r="BI40" s="717"/>
      <c r="BJ40" s="717">
        <f t="shared" si="63"/>
        <v>3693458.8274709652</v>
      </c>
      <c r="BK40" s="717"/>
      <c r="BL40" s="717">
        <f t="shared" si="64"/>
        <v>3693458.8274709652</v>
      </c>
      <c r="BM40" s="717"/>
      <c r="BN40" s="717">
        <f t="shared" si="65"/>
        <v>3693458.8274709652</v>
      </c>
      <c r="BO40" s="717"/>
      <c r="BP40" s="717">
        <f t="shared" si="22"/>
        <v>3693458.8274709652</v>
      </c>
      <c r="BQ40" s="717"/>
      <c r="BR40" s="717">
        <f t="shared" si="133"/>
        <v>3693458.8274709652</v>
      </c>
      <c r="BS40" s="717"/>
      <c r="BT40" s="717">
        <f t="shared" si="66"/>
        <v>3693458.8274709652</v>
      </c>
      <c r="BU40" s="717"/>
      <c r="BV40" s="1235">
        <f t="shared" si="134"/>
        <v>51400</v>
      </c>
      <c r="BW40" s="717">
        <f t="shared" si="67"/>
        <v>3744858.8274709652</v>
      </c>
      <c r="BX40" s="717"/>
      <c r="BY40" s="717">
        <f t="shared" si="68"/>
        <v>3744858.8274709652</v>
      </c>
      <c r="BZ40" s="1194">
        <f t="shared" si="69"/>
        <v>3744858.8274709652</v>
      </c>
      <c r="CA40" s="1194">
        <f t="shared" si="70"/>
        <v>3040858.8274709652</v>
      </c>
      <c r="CB40" s="1194">
        <v>32000</v>
      </c>
      <c r="CC40" s="1194">
        <f t="shared" si="71"/>
        <v>704000</v>
      </c>
      <c r="CD40" s="1194">
        <f t="shared" si="72"/>
        <v>84480</v>
      </c>
      <c r="CE40" s="1194">
        <f t="shared" si="73"/>
        <v>788480</v>
      </c>
      <c r="CF40" s="1200">
        <f t="shared" si="74"/>
        <v>3829338.8274709652</v>
      </c>
      <c r="CG40" s="757">
        <f t="shared" si="75"/>
        <v>3829338.8274709652</v>
      </c>
      <c r="CH40" s="758">
        <f t="shared" si="76"/>
        <v>0</v>
      </c>
      <c r="CI40" s="757">
        <f t="shared" si="25"/>
        <v>392507.2298157739</v>
      </c>
      <c r="CJ40" s="757">
        <f t="shared" si="26"/>
        <v>95733.470686774133</v>
      </c>
      <c r="CK40" s="759">
        <f t="shared" si="155"/>
        <v>4317579.5279735131</v>
      </c>
      <c r="CL40" s="764">
        <f t="shared" si="78"/>
        <v>0.125</v>
      </c>
      <c r="CM40" s="757">
        <f t="shared" si="79"/>
        <v>539697.44099668914</v>
      </c>
      <c r="CN40" s="757">
        <f t="shared" si="124"/>
        <v>30000</v>
      </c>
      <c r="CO40" s="757">
        <f t="shared" si="80"/>
        <v>509697.44099668914</v>
      </c>
      <c r="CP40" s="755">
        <f t="shared" si="81"/>
        <v>29</v>
      </c>
      <c r="CQ40" s="757">
        <f t="shared" si="129"/>
        <v>17575.77382747204</v>
      </c>
      <c r="CR40" s="764">
        <f t="shared" si="83"/>
        <v>0.875</v>
      </c>
      <c r="CS40" s="757">
        <f t="shared" si="84"/>
        <v>3777882.0869768239</v>
      </c>
      <c r="CT40" s="1101">
        <f t="shared" si="85"/>
        <v>29289.879609267446</v>
      </c>
      <c r="CU40" s="1101">
        <f t="shared" si="86"/>
        <v>33956.672237217368</v>
      </c>
      <c r="CV40" s="1101">
        <f t="shared" si="87"/>
        <v>43864.414378616064</v>
      </c>
      <c r="CW40" s="1141">
        <f t="shared" si="27"/>
        <v>74806.593266258133</v>
      </c>
      <c r="CX40" s="1152">
        <f t="shared" si="88"/>
        <v>306889.36997731065</v>
      </c>
      <c r="CY40" s="1152">
        <f t="shared" si="89"/>
        <v>121434.62875607138</v>
      </c>
      <c r="CZ40" s="1152">
        <f t="shared" si="90"/>
        <v>87710.512448231893</v>
      </c>
      <c r="DA40" s="1152">
        <f t="shared" si="91"/>
        <v>66751.737956544399</v>
      </c>
      <c r="DB40" s="1143">
        <f t="shared" si="28"/>
        <v>0.14405490107759863</v>
      </c>
      <c r="DC40" s="1143">
        <f t="shared" si="125"/>
        <v>0.25929516782459988</v>
      </c>
      <c r="DD40" s="1098" t="s">
        <v>232</v>
      </c>
      <c r="DE40" s="1144"/>
      <c r="DF40" s="705"/>
      <c r="DG40" s="765">
        <f t="shared" si="126"/>
        <v>46082</v>
      </c>
      <c r="DH40" s="1116">
        <f t="shared" si="29"/>
        <v>28</v>
      </c>
      <c r="DI40" s="497"/>
      <c r="DJ40" s="1117">
        <f t="shared" si="92"/>
        <v>46147</v>
      </c>
      <c r="DK40" s="1116">
        <f t="shared" si="93"/>
        <v>30</v>
      </c>
      <c r="DL40" s="766" t="s">
        <v>233</v>
      </c>
      <c r="DM40" s="766" t="s">
        <v>234</v>
      </c>
      <c r="DN40" s="767">
        <f t="shared" si="30"/>
        <v>22001.112164578703</v>
      </c>
      <c r="DO40" s="767">
        <f t="shared" si="31"/>
        <v>484024.46762073145</v>
      </c>
      <c r="DP40" s="768">
        <f t="shared" si="32"/>
        <v>0.16134148920691049</v>
      </c>
      <c r="DR40" s="767">
        <f t="shared" si="33"/>
        <v>3829338.8274709652</v>
      </c>
      <c r="DS40" s="767">
        <f>SUM('[6]INTERNAL PRICELIST'!M40)</f>
        <v>2329361</v>
      </c>
      <c r="DT40" s="767">
        <f t="shared" si="94"/>
        <v>1499977.8274709652</v>
      </c>
      <c r="DV40" s="951">
        <f t="shared" si="34"/>
        <v>174060.85579413478</v>
      </c>
      <c r="DX40" s="772">
        <v>17</v>
      </c>
      <c r="DY40" s="773" t="s">
        <v>305</v>
      </c>
      <c r="DZ40" s="774">
        <v>22</v>
      </c>
      <c r="EA40" s="775">
        <f t="shared" si="156"/>
        <v>0</v>
      </c>
      <c r="ED40" s="755" t="s">
        <v>339</v>
      </c>
      <c r="EE40" s="777" t="b">
        <f t="shared" si="36"/>
        <v>1</v>
      </c>
      <c r="EF40" s="1123" t="s">
        <v>340</v>
      </c>
      <c r="EG40" s="1123" t="s">
        <v>336</v>
      </c>
      <c r="EH40" s="1203"/>
      <c r="EP40" s="1230" t="s">
        <v>236</v>
      </c>
      <c r="EQ40" s="1145" t="s">
        <v>236</v>
      </c>
      <c r="ER40" s="753" t="b">
        <f t="shared" si="95"/>
        <v>1</v>
      </c>
      <c r="EU40" s="770">
        <v>2172480</v>
      </c>
      <c r="EV40" s="771" t="s">
        <v>236</v>
      </c>
      <c r="EZ40" s="520"/>
      <c r="FA40" s="778"/>
      <c r="FG40" s="1107"/>
      <c r="FJ40" s="994">
        <v>0.15</v>
      </c>
      <c r="FK40" s="993">
        <v>12820.110851026688</v>
      </c>
      <c r="FL40" s="993">
        <v>13166.600333486867</v>
      </c>
      <c r="FM40" s="497"/>
      <c r="FN40" s="993">
        <f t="shared" si="38"/>
        <v>4317579.5279735131</v>
      </c>
      <c r="FO40" s="994">
        <f t="shared" si="96"/>
        <v>0.15</v>
      </c>
      <c r="FP40" s="775">
        <f t="shared" si="39"/>
        <v>647636.92919602699</v>
      </c>
      <c r="FQ40" s="993">
        <f t="shared" si="40"/>
        <v>30000</v>
      </c>
      <c r="FR40" s="775">
        <f t="shared" si="97"/>
        <v>617636.92919602699</v>
      </c>
      <c r="FS40" s="497">
        <f t="shared" si="98"/>
        <v>40</v>
      </c>
      <c r="FT40" s="775">
        <f t="shared" si="99"/>
        <v>15440.923229900674</v>
      </c>
      <c r="FU40" s="497"/>
      <c r="FV40" s="993">
        <f t="shared" si="100"/>
        <v>4317579.5279735131</v>
      </c>
      <c r="FW40" s="705">
        <f t="shared" si="101"/>
        <v>431757.95279735135</v>
      </c>
      <c r="FX40" s="705">
        <f t="shared" si="102"/>
        <v>107939.48819933784</v>
      </c>
      <c r="FY40" s="705">
        <v>15000</v>
      </c>
      <c r="FZ40" s="705">
        <f t="shared" si="103"/>
        <v>416757.95279735135</v>
      </c>
      <c r="GA40" s="497">
        <f t="shared" si="104"/>
        <v>46</v>
      </c>
      <c r="GB40" s="775">
        <f t="shared" si="105"/>
        <v>9059.955495594595</v>
      </c>
      <c r="GC40" s="497"/>
      <c r="GD40" s="497"/>
      <c r="GE40" s="1107">
        <v>45931</v>
      </c>
      <c r="GH40" s="1095">
        <f t="shared" si="0"/>
        <v>4317579.5279735131</v>
      </c>
      <c r="GI40" s="1098">
        <f t="shared" si="1"/>
        <v>0.125</v>
      </c>
      <c r="GJ40" s="1095">
        <f t="shared" si="2"/>
        <v>539697.44099668914</v>
      </c>
      <c r="GK40" s="1095">
        <f t="shared" si="3"/>
        <v>30000</v>
      </c>
      <c r="GL40" s="1095">
        <f t="shared" si="4"/>
        <v>509697.44099668914</v>
      </c>
      <c r="GM40" s="1095">
        <f t="shared" si="5"/>
        <v>29</v>
      </c>
      <c r="GN40" s="1095">
        <f t="shared" si="6"/>
        <v>17575.77382747204</v>
      </c>
      <c r="GO40" s="1098">
        <f t="shared" si="7"/>
        <v>0.875</v>
      </c>
      <c r="GP40" s="1095">
        <f t="shared" si="8"/>
        <v>3777882.0869768239</v>
      </c>
      <c r="GQ40" s="1095">
        <f t="shared" si="9"/>
        <v>29289.879609267446</v>
      </c>
      <c r="GR40" s="1095">
        <f t="shared" si="10"/>
        <v>33956.672237217368</v>
      </c>
      <c r="GS40" s="1095">
        <f t="shared" si="11"/>
        <v>43864.414378616064</v>
      </c>
      <c r="GT40" s="1095">
        <f t="shared" si="12"/>
        <v>74806.593266258133</v>
      </c>
      <c r="GU40" s="497"/>
      <c r="GV40" s="1095">
        <f t="shared" si="106"/>
        <v>4317579.5279735131</v>
      </c>
      <c r="GW40" s="1098">
        <f t="shared" si="107"/>
        <v>0.125</v>
      </c>
      <c r="GX40" s="1095">
        <f t="shared" si="108"/>
        <v>539697.44099668914</v>
      </c>
      <c r="GY40" s="1095">
        <f t="shared" si="109"/>
        <v>30000</v>
      </c>
      <c r="GZ40" s="1095">
        <f t="shared" si="110"/>
        <v>509697.44099668914</v>
      </c>
      <c r="HA40" s="1106">
        <f t="shared" si="111"/>
        <v>48</v>
      </c>
      <c r="HB40" s="770">
        <f t="shared" si="112"/>
        <v>10618.696687431024</v>
      </c>
      <c r="HC40" s="1098">
        <f t="shared" si="113"/>
        <v>0.875</v>
      </c>
      <c r="HD40" s="1102">
        <f t="shared" si="114"/>
        <v>3777882.0869768239</v>
      </c>
      <c r="HE40" s="1101">
        <f t="shared" si="115"/>
        <v>29289.879609267446</v>
      </c>
      <c r="HF40" s="1101">
        <f t="shared" si="116"/>
        <v>33956.672237217368</v>
      </c>
      <c r="HG40" s="1101">
        <f t="shared" si="117"/>
        <v>43864.414378616064</v>
      </c>
      <c r="HH40" s="1101">
        <f t="shared" si="118"/>
        <v>74806.593266258133</v>
      </c>
      <c r="HI40" s="497"/>
      <c r="HJ40" s="1102">
        <f t="shared" si="119"/>
        <v>-6957.0771400410158</v>
      </c>
      <c r="HL40" s="775"/>
      <c r="HN40" s="775"/>
      <c r="HO40" s="775"/>
      <c r="HQ40" s="702"/>
      <c r="HR40" s="1171"/>
      <c r="HS40" s="702"/>
      <c r="HT40" s="1171"/>
    </row>
    <row r="41" spans="1:228" ht="14.25" hidden="1" customHeight="1">
      <c r="A41" s="753">
        <f t="shared" si="120"/>
        <v>35</v>
      </c>
      <c r="B41" s="753" t="s">
        <v>236</v>
      </c>
      <c r="C41" s="753">
        <f t="shared" si="121"/>
        <v>4</v>
      </c>
      <c r="D41" s="753" t="s">
        <v>253</v>
      </c>
      <c r="E41" s="717" t="str">
        <f t="shared" si="41"/>
        <v>4th Floor</v>
      </c>
      <c r="F41" s="754"/>
      <c r="G41" s="755" t="s">
        <v>341</v>
      </c>
      <c r="H41" s="756"/>
      <c r="I41" s="755" t="s">
        <v>229</v>
      </c>
      <c r="J41" s="757">
        <v>22</v>
      </c>
      <c r="K41" s="758"/>
      <c r="L41" s="759" t="s">
        <v>69</v>
      </c>
      <c r="M41" s="760" t="s">
        <v>68</v>
      </c>
      <c r="N41" s="761">
        <f t="shared" si="42"/>
        <v>106005.26567735759</v>
      </c>
      <c r="O41" s="762">
        <f t="shared" si="43"/>
        <v>2332115.8449018667</v>
      </c>
      <c r="P41" s="762">
        <f t="shared" si="44"/>
        <v>22400</v>
      </c>
      <c r="Q41" s="762">
        <f t="shared" si="14"/>
        <v>50000</v>
      </c>
      <c r="R41" s="762"/>
      <c r="S41" s="762"/>
      <c r="T41" s="762"/>
      <c r="U41" s="762"/>
      <c r="V41" s="762"/>
      <c r="W41" s="762"/>
      <c r="X41" s="762"/>
      <c r="Y41" s="762"/>
      <c r="Z41" s="762">
        <f t="shared" si="15"/>
        <v>142461</v>
      </c>
      <c r="AA41" s="762">
        <v>45722.732758620688</v>
      </c>
      <c r="AB41" s="762"/>
      <c r="AC41" s="762"/>
      <c r="AD41" s="763">
        <f t="shared" si="45"/>
        <v>260583.7327586207</v>
      </c>
      <c r="AE41" s="763">
        <f t="shared" si="16"/>
        <v>2592699.5776604875</v>
      </c>
      <c r="AF41" s="762">
        <f t="shared" si="17"/>
        <v>64817.489441512189</v>
      </c>
      <c r="AG41" s="762">
        <f t="shared" si="46"/>
        <v>2657517.0671019997</v>
      </c>
      <c r="AH41" s="762">
        <f t="shared" si="18"/>
        <v>66437.92667755</v>
      </c>
      <c r="AI41" s="762">
        <f t="shared" si="47"/>
        <v>2723954.9937795498</v>
      </c>
      <c r="AJ41" s="762">
        <f t="shared" si="48"/>
        <v>136197.74968897749</v>
      </c>
      <c r="AK41" s="762">
        <f t="shared" si="122"/>
        <v>2860152.7434685272</v>
      </c>
      <c r="AL41" s="762">
        <f t="shared" si="49"/>
        <v>28601.527434685271</v>
      </c>
      <c r="AM41" s="762">
        <f t="shared" si="50"/>
        <v>27537.409960060559</v>
      </c>
      <c r="AN41" s="762"/>
      <c r="AO41" s="763">
        <f t="shared" si="51"/>
        <v>2916291.6808632729</v>
      </c>
      <c r="AP41" s="763">
        <f t="shared" si="52"/>
        <v>481188.12734244007</v>
      </c>
      <c r="AQ41" s="763">
        <f t="shared" si="53"/>
        <v>3397479.8082057131</v>
      </c>
      <c r="AR41" s="1178">
        <f t="shared" si="19"/>
        <v>3000000</v>
      </c>
      <c r="AS41" s="1178">
        <f t="shared" si="123"/>
        <v>18067.264009350594</v>
      </c>
      <c r="AT41" s="1178">
        <f t="shared" si="54"/>
        <v>397479.80820571305</v>
      </c>
      <c r="AU41" s="1178">
        <f t="shared" si="20"/>
        <v>47697.576984685562</v>
      </c>
      <c r="AV41" s="1178">
        <f t="shared" si="55"/>
        <v>445177.38519039861</v>
      </c>
      <c r="AW41" s="1178">
        <f t="shared" si="56"/>
        <v>3445177.3851903984</v>
      </c>
      <c r="AX41" s="762">
        <f t="shared" si="57"/>
        <v>43064.717314879985</v>
      </c>
      <c r="AY41" s="717" t="s">
        <v>231</v>
      </c>
      <c r="AZ41" s="717">
        <f t="shared" si="58"/>
        <v>3488242.1025052783</v>
      </c>
      <c r="BA41" s="717">
        <f t="shared" si="59"/>
        <v>130809.07884394794</v>
      </c>
      <c r="BB41" s="717"/>
      <c r="BC41" s="717">
        <f t="shared" si="21"/>
        <v>33600</v>
      </c>
      <c r="BD41" s="717">
        <f t="shared" si="60"/>
        <v>3652651.1813492263</v>
      </c>
      <c r="BE41" s="717"/>
      <c r="BF41" s="717">
        <f t="shared" si="61"/>
        <v>3652651.1813492263</v>
      </c>
      <c r="BG41" s="1209"/>
      <c r="BH41" s="717">
        <f t="shared" si="62"/>
        <v>3652651.1813492263</v>
      </c>
      <c r="BI41" s="717"/>
      <c r="BJ41" s="717">
        <f t="shared" si="63"/>
        <v>3652651.1813492263</v>
      </c>
      <c r="BK41" s="717"/>
      <c r="BL41" s="717">
        <f t="shared" si="64"/>
        <v>3652651.1813492263</v>
      </c>
      <c r="BM41" s="717"/>
      <c r="BN41" s="717">
        <f t="shared" si="65"/>
        <v>3652651.1813492263</v>
      </c>
      <c r="BO41" s="717"/>
      <c r="BP41" s="717">
        <f t="shared" si="22"/>
        <v>3652651.1813492263</v>
      </c>
      <c r="BQ41" s="717"/>
      <c r="BR41" s="717">
        <f t="shared" si="133"/>
        <v>3652651.1813492263</v>
      </c>
      <c r="BS41" s="717"/>
      <c r="BT41" s="717">
        <f t="shared" si="66"/>
        <v>3652651.1813492263</v>
      </c>
      <c r="BU41" s="717"/>
      <c r="BV41" s="1235">
        <f t="shared" si="134"/>
        <v>51400</v>
      </c>
      <c r="BW41" s="717">
        <f t="shared" si="67"/>
        <v>3704051.1813492263</v>
      </c>
      <c r="BX41" s="717"/>
      <c r="BY41" s="717">
        <f t="shared" si="68"/>
        <v>3704051.1813492263</v>
      </c>
      <c r="BZ41" s="1194">
        <f t="shared" si="69"/>
        <v>3704051.1813492263</v>
      </c>
      <c r="CA41" s="1194">
        <f t="shared" si="70"/>
        <v>3022051.1813492263</v>
      </c>
      <c r="CB41" s="1194">
        <v>31000</v>
      </c>
      <c r="CC41" s="1194">
        <f t="shared" si="71"/>
        <v>682000</v>
      </c>
      <c r="CD41" s="1194">
        <f t="shared" si="72"/>
        <v>81840</v>
      </c>
      <c r="CE41" s="1194">
        <f t="shared" si="73"/>
        <v>763840</v>
      </c>
      <c r="CF41" s="1200">
        <f t="shared" si="74"/>
        <v>3785891.1813492263</v>
      </c>
      <c r="CG41" s="757">
        <f t="shared" si="75"/>
        <v>3785891.1813492263</v>
      </c>
      <c r="CH41" s="758">
        <f t="shared" si="76"/>
        <v>0</v>
      </c>
      <c r="CI41" s="757">
        <f t="shared" si="25"/>
        <v>388053.84608829569</v>
      </c>
      <c r="CJ41" s="757">
        <f t="shared" si="26"/>
        <v>94647.27953373066</v>
      </c>
      <c r="CK41" s="759">
        <f t="shared" si="155"/>
        <v>4268592.3069712529</v>
      </c>
      <c r="CL41" s="764">
        <f t="shared" si="78"/>
        <v>0.125</v>
      </c>
      <c r="CM41" s="757">
        <f t="shared" si="79"/>
        <v>533574.03837140661</v>
      </c>
      <c r="CN41" s="757">
        <f t="shared" si="124"/>
        <v>30000</v>
      </c>
      <c r="CO41" s="757">
        <f t="shared" si="80"/>
        <v>503574.03837140661</v>
      </c>
      <c r="CP41" s="755">
        <f t="shared" si="81"/>
        <v>29</v>
      </c>
      <c r="CQ41" s="757">
        <f t="shared" si="129"/>
        <v>17364.622012807125</v>
      </c>
      <c r="CR41" s="764">
        <f t="shared" si="83"/>
        <v>0.875</v>
      </c>
      <c r="CS41" s="757">
        <f t="shared" si="84"/>
        <v>3735018.2685998464</v>
      </c>
      <c r="CT41" s="1101">
        <f t="shared" si="85"/>
        <v>28957.556881625129</v>
      </c>
      <c r="CU41" s="1101">
        <f t="shared" si="86"/>
        <v>33571.400119678256</v>
      </c>
      <c r="CV41" s="1101">
        <f t="shared" si="87"/>
        <v>43366.729102090649</v>
      </c>
      <c r="CW41" s="1141">
        <f t="shared" si="27"/>
        <v>73957.838288378131</v>
      </c>
      <c r="CX41" s="1152">
        <f t="shared" si="88"/>
        <v>303407.40576728969</v>
      </c>
      <c r="CY41" s="1152">
        <f t="shared" si="89"/>
        <v>120056.83247978757</v>
      </c>
      <c r="CZ41" s="1152">
        <f t="shared" si="90"/>
        <v>86715.349711868883</v>
      </c>
      <c r="DA41" s="1152">
        <f t="shared" si="91"/>
        <v>65994.373299246014</v>
      </c>
      <c r="DB41" s="1143">
        <f t="shared" si="28"/>
        <v>0.13249326940190434</v>
      </c>
      <c r="DC41" s="1143">
        <f t="shared" si="125"/>
        <v>0.25275548101702755</v>
      </c>
      <c r="DD41" s="1098" t="s">
        <v>232</v>
      </c>
      <c r="DE41" s="1144"/>
      <c r="DF41" s="705"/>
      <c r="DG41" s="765">
        <f t="shared" si="126"/>
        <v>46082</v>
      </c>
      <c r="DH41" s="1116">
        <f t="shared" si="29"/>
        <v>28</v>
      </c>
      <c r="DI41" s="497"/>
      <c r="DJ41" s="1117">
        <f t="shared" si="92"/>
        <v>46147</v>
      </c>
      <c r="DK41" s="1116">
        <f t="shared" si="93"/>
        <v>30</v>
      </c>
      <c r="DL41" s="766" t="s">
        <v>233</v>
      </c>
      <c r="DM41" s="766" t="s">
        <v>234</v>
      </c>
      <c r="DN41" s="767">
        <f t="shared" si="30"/>
        <v>20235.335690472664</v>
      </c>
      <c r="DO41" s="767">
        <f t="shared" si="31"/>
        <v>445177.38519039861</v>
      </c>
      <c r="DP41" s="768">
        <f t="shared" si="32"/>
        <v>0.14839246173013287</v>
      </c>
      <c r="DR41" s="767">
        <f t="shared" si="33"/>
        <v>3785891.1813492263</v>
      </c>
      <c r="DS41" s="767">
        <f>SUM('[6]INTERNAL PRICELIST'!M41)</f>
        <v>2331316</v>
      </c>
      <c r="DT41" s="767">
        <f t="shared" si="94"/>
        <v>1454575.1813492263</v>
      </c>
      <c r="DV41" s="951">
        <f t="shared" si="34"/>
        <v>172085.9627886012</v>
      </c>
      <c r="DX41" s="772">
        <v>18</v>
      </c>
      <c r="DY41" s="773" t="s">
        <v>342</v>
      </c>
      <c r="DZ41" s="772">
        <v>22.34</v>
      </c>
      <c r="EA41" s="775">
        <f t="shared" si="156"/>
        <v>0.33999999999999986</v>
      </c>
      <c r="ED41" s="755" t="s">
        <v>341</v>
      </c>
      <c r="EE41" s="777" t="b">
        <f t="shared" si="36"/>
        <v>1</v>
      </c>
      <c r="EF41" s="1123" t="s">
        <v>343</v>
      </c>
      <c r="EG41" s="1123" t="s">
        <v>336</v>
      </c>
      <c r="EH41" s="1203"/>
      <c r="EP41" s="1230" t="s">
        <v>236</v>
      </c>
      <c r="EQ41" s="1145" t="s">
        <v>236</v>
      </c>
      <c r="ER41" s="753" t="b">
        <f t="shared" si="95"/>
        <v>1</v>
      </c>
      <c r="EU41" s="770">
        <v>2172480</v>
      </c>
      <c r="EV41" s="771" t="s">
        <v>236</v>
      </c>
      <c r="EZ41" s="520"/>
      <c r="FA41" s="778"/>
      <c r="FG41" s="1107"/>
      <c r="FJ41" s="994">
        <v>0.15</v>
      </c>
      <c r="FK41" s="993">
        <v>12820.110851026688</v>
      </c>
      <c r="FL41" s="993">
        <v>13166.600333486867</v>
      </c>
      <c r="FM41" s="497"/>
      <c r="FN41" s="993">
        <f t="shared" si="38"/>
        <v>4268592.3069712529</v>
      </c>
      <c r="FO41" s="994">
        <f t="shared" si="96"/>
        <v>0.15</v>
      </c>
      <c r="FP41" s="775">
        <f t="shared" si="39"/>
        <v>640288.84604568791</v>
      </c>
      <c r="FQ41" s="993">
        <f t="shared" si="40"/>
        <v>30000</v>
      </c>
      <c r="FR41" s="775">
        <f t="shared" si="97"/>
        <v>610288.84604568791</v>
      </c>
      <c r="FS41" s="497">
        <f t="shared" si="98"/>
        <v>40</v>
      </c>
      <c r="FT41" s="775">
        <f t="shared" si="99"/>
        <v>15257.221151142197</v>
      </c>
      <c r="FU41" s="497"/>
      <c r="FV41" s="993">
        <f t="shared" si="100"/>
        <v>4268592.3069712529</v>
      </c>
      <c r="FW41" s="705">
        <f t="shared" si="101"/>
        <v>426859.23069712531</v>
      </c>
      <c r="FX41" s="705">
        <f t="shared" si="102"/>
        <v>106714.80767428133</v>
      </c>
      <c r="FY41" s="705">
        <v>15000</v>
      </c>
      <c r="FZ41" s="705">
        <f t="shared" si="103"/>
        <v>411859.23069712531</v>
      </c>
      <c r="GA41" s="497">
        <f t="shared" si="104"/>
        <v>46</v>
      </c>
      <c r="GB41" s="775">
        <f t="shared" si="105"/>
        <v>8953.4615368940285</v>
      </c>
      <c r="GC41" s="497"/>
      <c r="GD41" s="497"/>
      <c r="GE41" s="1107">
        <v>45962</v>
      </c>
      <c r="GH41" s="1095">
        <f t="shared" si="0"/>
        <v>4268592.3069712529</v>
      </c>
      <c r="GI41" s="1098">
        <f t="shared" si="1"/>
        <v>0.125</v>
      </c>
      <c r="GJ41" s="1095">
        <f t="shared" si="2"/>
        <v>533574.03837140661</v>
      </c>
      <c r="GK41" s="1095">
        <f t="shared" si="3"/>
        <v>30000</v>
      </c>
      <c r="GL41" s="1095">
        <f t="shared" si="4"/>
        <v>503574.03837140661</v>
      </c>
      <c r="GM41" s="1095">
        <f t="shared" si="5"/>
        <v>29</v>
      </c>
      <c r="GN41" s="1095">
        <f t="shared" si="6"/>
        <v>17364.622012807125</v>
      </c>
      <c r="GO41" s="1098">
        <f t="shared" si="7"/>
        <v>0.875</v>
      </c>
      <c r="GP41" s="1095">
        <f t="shared" si="8"/>
        <v>3735018.2685998464</v>
      </c>
      <c r="GQ41" s="1095">
        <f t="shared" si="9"/>
        <v>28957.556881625129</v>
      </c>
      <c r="GR41" s="1095">
        <f t="shared" si="10"/>
        <v>33571.400119678256</v>
      </c>
      <c r="GS41" s="1095">
        <f t="shared" si="11"/>
        <v>43366.729102090649</v>
      </c>
      <c r="GT41" s="1095">
        <f t="shared" si="12"/>
        <v>73957.838288378131</v>
      </c>
      <c r="GU41" s="497"/>
      <c r="GV41" s="1095">
        <f t="shared" si="106"/>
        <v>4268592.3069712529</v>
      </c>
      <c r="GW41" s="1098">
        <f t="shared" si="107"/>
        <v>0.125</v>
      </c>
      <c r="GX41" s="1095">
        <f t="shared" si="108"/>
        <v>533574.03837140661</v>
      </c>
      <c r="GY41" s="1095">
        <f t="shared" si="109"/>
        <v>30000</v>
      </c>
      <c r="GZ41" s="1095">
        <f t="shared" si="110"/>
        <v>503574.03837140661</v>
      </c>
      <c r="HA41" s="1106">
        <f t="shared" si="111"/>
        <v>48</v>
      </c>
      <c r="HB41" s="770">
        <f t="shared" si="112"/>
        <v>10491.125799404304</v>
      </c>
      <c r="HC41" s="1098">
        <f t="shared" si="113"/>
        <v>0.875</v>
      </c>
      <c r="HD41" s="1102">
        <f t="shared" si="114"/>
        <v>3735018.2685998464</v>
      </c>
      <c r="HE41" s="1101">
        <f t="shared" si="115"/>
        <v>28957.556881625129</v>
      </c>
      <c r="HF41" s="1101">
        <f t="shared" si="116"/>
        <v>33571.400119678256</v>
      </c>
      <c r="HG41" s="1101">
        <f t="shared" si="117"/>
        <v>43366.729102090649</v>
      </c>
      <c r="HH41" s="1101">
        <f t="shared" si="118"/>
        <v>73957.838288378131</v>
      </c>
      <c r="HI41" s="497"/>
      <c r="HJ41" s="1102">
        <f t="shared" si="119"/>
        <v>-6873.496213402821</v>
      </c>
      <c r="HL41" s="775"/>
      <c r="HN41" s="775"/>
      <c r="HO41" s="775"/>
      <c r="HQ41" s="702"/>
      <c r="HR41" s="1171"/>
      <c r="HS41" s="702"/>
      <c r="HT41" s="1171"/>
    </row>
    <row r="42" spans="1:228" ht="14.25" hidden="1" customHeight="1">
      <c r="A42" s="753">
        <f t="shared" si="120"/>
        <v>36</v>
      </c>
      <c r="B42" s="753" t="s">
        <v>236</v>
      </c>
      <c r="C42" s="753">
        <f t="shared" si="121"/>
        <v>5</v>
      </c>
      <c r="D42" s="753" t="s">
        <v>253</v>
      </c>
      <c r="E42" s="717" t="str">
        <f t="shared" si="41"/>
        <v>4th Floor</v>
      </c>
      <c r="F42" s="754"/>
      <c r="G42" s="755" t="s">
        <v>344</v>
      </c>
      <c r="H42" s="756"/>
      <c r="I42" s="755" t="s">
        <v>229</v>
      </c>
      <c r="J42" s="757">
        <v>22</v>
      </c>
      <c r="K42" s="758"/>
      <c r="L42" s="759" t="s">
        <v>69</v>
      </c>
      <c r="M42" s="760" t="s">
        <v>68</v>
      </c>
      <c r="N42" s="761">
        <f t="shared" si="42"/>
        <v>106005.26567735759</v>
      </c>
      <c r="O42" s="762">
        <f t="shared" si="43"/>
        <v>2332115.8449018667</v>
      </c>
      <c r="P42" s="762">
        <f t="shared" si="44"/>
        <v>22400</v>
      </c>
      <c r="Q42" s="762">
        <f t="shared" si="14"/>
        <v>50000</v>
      </c>
      <c r="R42" s="762"/>
      <c r="S42" s="762"/>
      <c r="T42" s="762"/>
      <c r="U42" s="762"/>
      <c r="V42" s="762"/>
      <c r="W42" s="762"/>
      <c r="X42" s="762"/>
      <c r="Y42" s="762"/>
      <c r="Z42" s="762">
        <f t="shared" si="15"/>
        <v>142461</v>
      </c>
      <c r="AA42" s="762">
        <v>45722.732758620688</v>
      </c>
      <c r="AB42" s="762"/>
      <c r="AC42" s="762"/>
      <c r="AD42" s="763">
        <f t="shared" si="45"/>
        <v>260583.7327586207</v>
      </c>
      <c r="AE42" s="763">
        <f t="shared" si="16"/>
        <v>2592699.5776604875</v>
      </c>
      <c r="AF42" s="762">
        <f t="shared" si="17"/>
        <v>64817.489441512189</v>
      </c>
      <c r="AG42" s="762">
        <f t="shared" si="46"/>
        <v>2657517.0671019997</v>
      </c>
      <c r="AH42" s="762">
        <f t="shared" si="18"/>
        <v>66437.92667755</v>
      </c>
      <c r="AI42" s="762">
        <f t="shared" si="47"/>
        <v>2723954.9937795498</v>
      </c>
      <c r="AJ42" s="762">
        <f t="shared" si="48"/>
        <v>136197.74968897749</v>
      </c>
      <c r="AK42" s="762">
        <f t="shared" si="122"/>
        <v>2860152.7434685272</v>
      </c>
      <c r="AL42" s="762">
        <f t="shared" si="49"/>
        <v>28601.527434685271</v>
      </c>
      <c r="AM42" s="762">
        <f t="shared" si="50"/>
        <v>27537.409960060559</v>
      </c>
      <c r="AN42" s="762"/>
      <c r="AO42" s="763">
        <f t="shared" si="51"/>
        <v>2916291.6808632729</v>
      </c>
      <c r="AP42" s="763">
        <f t="shared" si="52"/>
        <v>481188.12734244007</v>
      </c>
      <c r="AQ42" s="763">
        <f t="shared" si="53"/>
        <v>3397479.8082057131</v>
      </c>
      <c r="AR42" s="1178">
        <f t="shared" si="19"/>
        <v>3000000</v>
      </c>
      <c r="AS42" s="1178">
        <f t="shared" si="123"/>
        <v>18067.264009350594</v>
      </c>
      <c r="AT42" s="1178">
        <f t="shared" si="54"/>
        <v>397479.80820571305</v>
      </c>
      <c r="AU42" s="1178">
        <f t="shared" si="20"/>
        <v>47697.576984685562</v>
      </c>
      <c r="AV42" s="1178">
        <f t="shared" si="55"/>
        <v>445177.38519039861</v>
      </c>
      <c r="AW42" s="1178">
        <f t="shared" si="56"/>
        <v>3445177.3851903984</v>
      </c>
      <c r="AX42" s="762">
        <f t="shared" si="57"/>
        <v>43064.717314879985</v>
      </c>
      <c r="AY42" s="717" t="s">
        <v>231</v>
      </c>
      <c r="AZ42" s="717">
        <f t="shared" si="58"/>
        <v>3488242.1025052783</v>
      </c>
      <c r="BA42" s="717">
        <f t="shared" si="59"/>
        <v>130809.07884394794</v>
      </c>
      <c r="BB42" s="717"/>
      <c r="BC42" s="717">
        <f t="shared" si="21"/>
        <v>33600</v>
      </c>
      <c r="BD42" s="717">
        <f t="shared" si="60"/>
        <v>3652651.1813492263</v>
      </c>
      <c r="BE42" s="717"/>
      <c r="BF42" s="717">
        <f t="shared" si="61"/>
        <v>3652651.1813492263</v>
      </c>
      <c r="BG42" s="1209"/>
      <c r="BH42" s="717">
        <f t="shared" si="62"/>
        <v>3652651.1813492263</v>
      </c>
      <c r="BI42" s="717"/>
      <c r="BJ42" s="717">
        <f t="shared" si="63"/>
        <v>3652651.1813492263</v>
      </c>
      <c r="BK42" s="717"/>
      <c r="BL42" s="717">
        <f t="shared" si="64"/>
        <v>3652651.1813492263</v>
      </c>
      <c r="BM42" s="717"/>
      <c r="BN42" s="717">
        <f t="shared" si="65"/>
        <v>3652651.1813492263</v>
      </c>
      <c r="BO42" s="717"/>
      <c r="BP42" s="717">
        <f t="shared" si="22"/>
        <v>3652651.1813492263</v>
      </c>
      <c r="BQ42" s="717"/>
      <c r="BR42" s="717">
        <f t="shared" si="133"/>
        <v>3652651.1813492263</v>
      </c>
      <c r="BS42" s="717"/>
      <c r="BT42" s="717">
        <f t="shared" si="66"/>
        <v>3652651.1813492263</v>
      </c>
      <c r="BU42" s="717"/>
      <c r="BV42" s="1235">
        <f t="shared" si="134"/>
        <v>51400</v>
      </c>
      <c r="BW42" s="717">
        <f t="shared" si="67"/>
        <v>3704051.1813492263</v>
      </c>
      <c r="BX42" s="717"/>
      <c r="BY42" s="717">
        <f t="shared" si="68"/>
        <v>3704051.1813492263</v>
      </c>
      <c r="BZ42" s="1194">
        <f t="shared" si="69"/>
        <v>3704051.1813492263</v>
      </c>
      <c r="CA42" s="1194">
        <f t="shared" si="70"/>
        <v>3022051.1813492263</v>
      </c>
      <c r="CB42" s="1194">
        <v>31000</v>
      </c>
      <c r="CC42" s="1194">
        <f t="shared" si="71"/>
        <v>682000</v>
      </c>
      <c r="CD42" s="1194">
        <f t="shared" si="72"/>
        <v>81840</v>
      </c>
      <c r="CE42" s="1194">
        <f t="shared" si="73"/>
        <v>763840</v>
      </c>
      <c r="CF42" s="1200">
        <f t="shared" si="74"/>
        <v>3785891.1813492263</v>
      </c>
      <c r="CG42" s="757">
        <f t="shared" si="75"/>
        <v>3785891.1813492263</v>
      </c>
      <c r="CH42" s="758">
        <f t="shared" si="76"/>
        <v>0</v>
      </c>
      <c r="CI42" s="757">
        <f t="shared" si="25"/>
        <v>388053.84608829569</v>
      </c>
      <c r="CJ42" s="757">
        <f t="shared" si="26"/>
        <v>94647.27953373066</v>
      </c>
      <c r="CK42" s="759">
        <f t="shared" si="155"/>
        <v>4268592.3069712529</v>
      </c>
      <c r="CL42" s="764">
        <f t="shared" si="78"/>
        <v>0.125</v>
      </c>
      <c r="CM42" s="757">
        <f t="shared" si="79"/>
        <v>533574.03837140661</v>
      </c>
      <c r="CN42" s="757">
        <f t="shared" si="124"/>
        <v>30000</v>
      </c>
      <c r="CO42" s="757">
        <f t="shared" si="80"/>
        <v>503574.03837140661</v>
      </c>
      <c r="CP42" s="755">
        <f t="shared" si="81"/>
        <v>29</v>
      </c>
      <c r="CQ42" s="757">
        <f t="shared" si="129"/>
        <v>17364.622012807125</v>
      </c>
      <c r="CR42" s="764">
        <f t="shared" si="83"/>
        <v>0.875</v>
      </c>
      <c r="CS42" s="757">
        <f t="shared" si="84"/>
        <v>3735018.2685998464</v>
      </c>
      <c r="CT42" s="1101">
        <f t="shared" si="85"/>
        <v>28957.556881625129</v>
      </c>
      <c r="CU42" s="1101">
        <f t="shared" si="86"/>
        <v>33571.400119678256</v>
      </c>
      <c r="CV42" s="1101">
        <f t="shared" si="87"/>
        <v>43366.729102090649</v>
      </c>
      <c r="CW42" s="1141">
        <f t="shared" si="27"/>
        <v>73957.838288378131</v>
      </c>
      <c r="CX42" s="1152">
        <f t="shared" si="88"/>
        <v>303407.40576728969</v>
      </c>
      <c r="CY42" s="1152">
        <f t="shared" si="89"/>
        <v>120056.83247978757</v>
      </c>
      <c r="CZ42" s="1152">
        <f t="shared" si="90"/>
        <v>86715.349711868883</v>
      </c>
      <c r="DA42" s="1152">
        <f t="shared" si="91"/>
        <v>65994.373299246014</v>
      </c>
      <c r="DB42" s="1143">
        <f t="shared" si="28"/>
        <v>0.13249326940190434</v>
      </c>
      <c r="DC42" s="1143">
        <f t="shared" si="125"/>
        <v>0.25275548101702755</v>
      </c>
      <c r="DD42" s="1098" t="s">
        <v>232</v>
      </c>
      <c r="DE42" s="1144"/>
      <c r="DF42" s="705"/>
      <c r="DG42" s="765">
        <f t="shared" si="126"/>
        <v>46082</v>
      </c>
      <c r="DH42" s="1116">
        <f t="shared" si="29"/>
        <v>28</v>
      </c>
      <c r="DI42" s="497"/>
      <c r="DJ42" s="1117">
        <f t="shared" si="92"/>
        <v>46147</v>
      </c>
      <c r="DK42" s="1116">
        <f t="shared" si="93"/>
        <v>30</v>
      </c>
      <c r="DL42" s="766" t="s">
        <v>233</v>
      </c>
      <c r="DM42" s="766" t="s">
        <v>234</v>
      </c>
      <c r="DN42" s="767">
        <f t="shared" si="30"/>
        <v>20235.335690472664</v>
      </c>
      <c r="DO42" s="767">
        <f t="shared" si="31"/>
        <v>445177.38519039861</v>
      </c>
      <c r="DP42" s="768">
        <f t="shared" si="32"/>
        <v>0.14839246173013287</v>
      </c>
      <c r="DR42" s="767">
        <f t="shared" si="33"/>
        <v>3785891.1813492263</v>
      </c>
      <c r="DS42" s="767">
        <f>SUM('[6]INTERNAL PRICELIST'!M42)</f>
        <v>2329361</v>
      </c>
      <c r="DT42" s="767">
        <f t="shared" si="94"/>
        <v>1456530.1813492263</v>
      </c>
      <c r="DV42" s="951">
        <f t="shared" si="34"/>
        <v>172085.9627886012</v>
      </c>
      <c r="DX42" s="772">
        <v>1</v>
      </c>
      <c r="DY42" s="773" t="s">
        <v>235</v>
      </c>
      <c r="DZ42" s="774">
        <v>22</v>
      </c>
      <c r="EA42" s="775">
        <f t="shared" si="156"/>
        <v>0</v>
      </c>
      <c r="ED42" s="755" t="s">
        <v>344</v>
      </c>
      <c r="EE42" s="777" t="b">
        <f t="shared" si="36"/>
        <v>1</v>
      </c>
      <c r="EF42" s="1123" t="s">
        <v>345</v>
      </c>
      <c r="EG42" s="1123" t="s">
        <v>336</v>
      </c>
      <c r="EH42" s="1203"/>
      <c r="EP42" s="1230" t="s">
        <v>236</v>
      </c>
      <c r="EQ42" s="1145" t="s">
        <v>236</v>
      </c>
      <c r="ER42" s="753" t="b">
        <f t="shared" si="95"/>
        <v>1</v>
      </c>
      <c r="EU42" s="770">
        <v>2172480</v>
      </c>
      <c r="EV42" s="771" t="s">
        <v>236</v>
      </c>
      <c r="EZ42" s="520"/>
      <c r="FA42" s="778"/>
      <c r="FG42" s="1107"/>
      <c r="FJ42" s="994">
        <v>0.15</v>
      </c>
      <c r="FK42" s="993">
        <v>12820.110851026688</v>
      </c>
      <c r="FL42" s="993">
        <v>13166.600333486867</v>
      </c>
      <c r="FM42" s="497"/>
      <c r="FN42" s="993">
        <f t="shared" si="38"/>
        <v>4268592.3069712529</v>
      </c>
      <c r="FO42" s="994">
        <f t="shared" si="96"/>
        <v>0.15</v>
      </c>
      <c r="FP42" s="775">
        <f t="shared" si="39"/>
        <v>640288.84604568791</v>
      </c>
      <c r="FQ42" s="993">
        <f t="shared" si="40"/>
        <v>30000</v>
      </c>
      <c r="FR42" s="775">
        <f t="shared" si="97"/>
        <v>610288.84604568791</v>
      </c>
      <c r="FS42" s="497">
        <f t="shared" si="98"/>
        <v>40</v>
      </c>
      <c r="FT42" s="775">
        <f t="shared" si="99"/>
        <v>15257.221151142197</v>
      </c>
      <c r="FU42" s="497"/>
      <c r="FV42" s="993">
        <f t="shared" si="100"/>
        <v>4268592.3069712529</v>
      </c>
      <c r="FW42" s="705">
        <f t="shared" si="101"/>
        <v>426859.23069712531</v>
      </c>
      <c r="FX42" s="705">
        <f t="shared" si="102"/>
        <v>106714.80767428133</v>
      </c>
      <c r="FY42" s="705">
        <v>15000</v>
      </c>
      <c r="FZ42" s="705">
        <f t="shared" si="103"/>
        <v>411859.23069712531</v>
      </c>
      <c r="GA42" s="497">
        <f t="shared" si="104"/>
        <v>46</v>
      </c>
      <c r="GB42" s="775">
        <f t="shared" si="105"/>
        <v>8953.4615368940285</v>
      </c>
      <c r="GC42" s="497"/>
      <c r="GD42" s="497"/>
      <c r="GE42" s="1107">
        <v>45992</v>
      </c>
      <c r="GH42" s="1095">
        <f t="shared" si="0"/>
        <v>4268592.3069712529</v>
      </c>
      <c r="GI42" s="1098">
        <f t="shared" si="1"/>
        <v>0.125</v>
      </c>
      <c r="GJ42" s="1095">
        <f t="shared" si="2"/>
        <v>533574.03837140661</v>
      </c>
      <c r="GK42" s="1095">
        <f t="shared" si="3"/>
        <v>30000</v>
      </c>
      <c r="GL42" s="1095">
        <f t="shared" si="4"/>
        <v>503574.03837140661</v>
      </c>
      <c r="GM42" s="1095">
        <f t="shared" si="5"/>
        <v>29</v>
      </c>
      <c r="GN42" s="1095">
        <f t="shared" si="6"/>
        <v>17364.622012807125</v>
      </c>
      <c r="GO42" s="1098">
        <f t="shared" si="7"/>
        <v>0.875</v>
      </c>
      <c r="GP42" s="1095">
        <f t="shared" si="8"/>
        <v>3735018.2685998464</v>
      </c>
      <c r="GQ42" s="1095">
        <f t="shared" si="9"/>
        <v>28957.556881625129</v>
      </c>
      <c r="GR42" s="1095">
        <f t="shared" si="10"/>
        <v>33571.400119678256</v>
      </c>
      <c r="GS42" s="1095">
        <f t="shared" si="11"/>
        <v>43366.729102090649</v>
      </c>
      <c r="GT42" s="1095">
        <f t="shared" si="12"/>
        <v>73957.838288378131</v>
      </c>
      <c r="GU42" s="497"/>
      <c r="GV42" s="1095">
        <f t="shared" si="106"/>
        <v>4268592.3069712529</v>
      </c>
      <c r="GW42" s="1098">
        <f t="shared" si="107"/>
        <v>0.125</v>
      </c>
      <c r="GX42" s="1095">
        <f t="shared" si="108"/>
        <v>533574.03837140661</v>
      </c>
      <c r="GY42" s="1095">
        <f t="shared" si="109"/>
        <v>30000</v>
      </c>
      <c r="GZ42" s="1095">
        <f t="shared" si="110"/>
        <v>503574.03837140661</v>
      </c>
      <c r="HA42" s="1106">
        <f t="shared" si="111"/>
        <v>48</v>
      </c>
      <c r="HB42" s="770">
        <f t="shared" si="112"/>
        <v>10491.125799404304</v>
      </c>
      <c r="HC42" s="1098">
        <f t="shared" si="113"/>
        <v>0.875</v>
      </c>
      <c r="HD42" s="1102">
        <f t="shared" si="114"/>
        <v>3735018.2685998464</v>
      </c>
      <c r="HE42" s="1101">
        <f t="shared" si="115"/>
        <v>28957.556881625129</v>
      </c>
      <c r="HF42" s="1101">
        <f t="shared" si="116"/>
        <v>33571.400119678256</v>
      </c>
      <c r="HG42" s="1101">
        <f t="shared" si="117"/>
        <v>43366.729102090649</v>
      </c>
      <c r="HH42" s="1101">
        <f t="shared" si="118"/>
        <v>73957.838288378131</v>
      </c>
      <c r="HI42" s="497"/>
      <c r="HJ42" s="1102">
        <f t="shared" si="119"/>
        <v>-6873.496213402821</v>
      </c>
      <c r="HL42" s="775"/>
      <c r="HN42" s="775"/>
      <c r="HO42" s="775"/>
      <c r="HQ42" s="702"/>
      <c r="HR42" s="1171"/>
      <c r="HS42" s="702"/>
      <c r="HT42" s="1171"/>
    </row>
    <row r="43" spans="1:228" ht="14.25" hidden="1" customHeight="1">
      <c r="A43" s="753">
        <f t="shared" si="120"/>
        <v>37</v>
      </c>
      <c r="B43" s="753" t="s">
        <v>236</v>
      </c>
      <c r="C43" s="753">
        <f t="shared" si="121"/>
        <v>6</v>
      </c>
      <c r="D43" s="753" t="s">
        <v>253</v>
      </c>
      <c r="E43" s="717" t="str">
        <f t="shared" si="41"/>
        <v>4th Floor</v>
      </c>
      <c r="F43" s="754"/>
      <c r="G43" s="755" t="s">
        <v>346</v>
      </c>
      <c r="H43" s="756"/>
      <c r="I43" s="755" t="s">
        <v>229</v>
      </c>
      <c r="J43" s="757">
        <v>22</v>
      </c>
      <c r="K43" s="758"/>
      <c r="L43" s="759" t="s">
        <v>69</v>
      </c>
      <c r="M43" s="760" t="s">
        <v>68</v>
      </c>
      <c r="N43" s="761">
        <f t="shared" si="42"/>
        <v>106005.26567735759</v>
      </c>
      <c r="O43" s="762">
        <f t="shared" si="43"/>
        <v>2332115.8449018667</v>
      </c>
      <c r="P43" s="762">
        <f t="shared" si="44"/>
        <v>22400</v>
      </c>
      <c r="Q43" s="762">
        <f t="shared" si="14"/>
        <v>50000</v>
      </c>
      <c r="R43" s="762"/>
      <c r="S43" s="762"/>
      <c r="T43" s="762"/>
      <c r="U43" s="762"/>
      <c r="V43" s="762"/>
      <c r="W43" s="762"/>
      <c r="X43" s="762"/>
      <c r="Y43" s="762"/>
      <c r="Z43" s="762">
        <f t="shared" si="15"/>
        <v>142461</v>
      </c>
      <c r="AA43" s="762">
        <v>45722.732758620688</v>
      </c>
      <c r="AB43" s="762"/>
      <c r="AC43" s="762"/>
      <c r="AD43" s="763">
        <f t="shared" si="45"/>
        <v>260583.7327586207</v>
      </c>
      <c r="AE43" s="763">
        <f t="shared" si="16"/>
        <v>2592699.5776604875</v>
      </c>
      <c r="AF43" s="762">
        <f t="shared" si="17"/>
        <v>64817.489441512189</v>
      </c>
      <c r="AG43" s="762">
        <f t="shared" si="46"/>
        <v>2657517.0671019997</v>
      </c>
      <c r="AH43" s="762">
        <f t="shared" si="18"/>
        <v>66437.92667755</v>
      </c>
      <c r="AI43" s="762">
        <f t="shared" si="47"/>
        <v>2723954.9937795498</v>
      </c>
      <c r="AJ43" s="762">
        <f t="shared" si="48"/>
        <v>136197.74968897749</v>
      </c>
      <c r="AK43" s="762">
        <f t="shared" si="122"/>
        <v>2860152.7434685272</v>
      </c>
      <c r="AL43" s="762">
        <f t="shared" si="49"/>
        <v>28601.527434685271</v>
      </c>
      <c r="AM43" s="762">
        <f t="shared" si="50"/>
        <v>27537.409960060559</v>
      </c>
      <c r="AN43" s="762"/>
      <c r="AO43" s="763">
        <f t="shared" si="51"/>
        <v>2916291.6808632729</v>
      </c>
      <c r="AP43" s="763">
        <f t="shared" si="52"/>
        <v>481188.12734244007</v>
      </c>
      <c r="AQ43" s="763">
        <f t="shared" si="53"/>
        <v>3397479.8082057131</v>
      </c>
      <c r="AR43" s="1178">
        <f t="shared" si="19"/>
        <v>3000000</v>
      </c>
      <c r="AS43" s="1178">
        <f t="shared" si="123"/>
        <v>18067.264009350594</v>
      </c>
      <c r="AT43" s="1178">
        <f t="shared" si="54"/>
        <v>397479.80820571305</v>
      </c>
      <c r="AU43" s="1178">
        <f t="shared" si="20"/>
        <v>47697.576984685562</v>
      </c>
      <c r="AV43" s="1178">
        <f t="shared" si="55"/>
        <v>445177.38519039861</v>
      </c>
      <c r="AW43" s="1178">
        <f t="shared" si="56"/>
        <v>3445177.3851903984</v>
      </c>
      <c r="AX43" s="762">
        <f t="shared" si="57"/>
        <v>43064.717314879985</v>
      </c>
      <c r="AY43" s="717" t="s">
        <v>231</v>
      </c>
      <c r="AZ43" s="717">
        <f t="shared" si="58"/>
        <v>3488242.1025052783</v>
      </c>
      <c r="BA43" s="717">
        <f t="shared" si="59"/>
        <v>130809.07884394794</v>
      </c>
      <c r="BB43" s="717"/>
      <c r="BC43" s="717">
        <f t="shared" si="21"/>
        <v>33600</v>
      </c>
      <c r="BD43" s="717">
        <f t="shared" si="60"/>
        <v>3652651.1813492263</v>
      </c>
      <c r="BE43" s="717"/>
      <c r="BF43" s="717">
        <f t="shared" si="61"/>
        <v>3652651.1813492263</v>
      </c>
      <c r="BG43" s="1209"/>
      <c r="BH43" s="717">
        <f t="shared" si="62"/>
        <v>3652651.1813492263</v>
      </c>
      <c r="BI43" s="717"/>
      <c r="BJ43" s="717">
        <f t="shared" si="63"/>
        <v>3652651.1813492263</v>
      </c>
      <c r="BK43" s="717"/>
      <c r="BL43" s="717">
        <f t="shared" si="64"/>
        <v>3652651.1813492263</v>
      </c>
      <c r="BM43" s="717"/>
      <c r="BN43" s="717">
        <f t="shared" si="65"/>
        <v>3652651.1813492263</v>
      </c>
      <c r="BO43" s="717"/>
      <c r="BP43" s="717">
        <f t="shared" si="22"/>
        <v>3652651.1813492263</v>
      </c>
      <c r="BQ43" s="717"/>
      <c r="BR43" s="717">
        <f t="shared" si="133"/>
        <v>3652651.1813492263</v>
      </c>
      <c r="BS43" s="717"/>
      <c r="BT43" s="717">
        <f t="shared" si="66"/>
        <v>3652651.1813492263</v>
      </c>
      <c r="BU43" s="717"/>
      <c r="BV43" s="1235">
        <f t="shared" si="134"/>
        <v>51400</v>
      </c>
      <c r="BW43" s="717">
        <f t="shared" si="67"/>
        <v>3704051.1813492263</v>
      </c>
      <c r="BX43" s="717"/>
      <c r="BY43" s="717">
        <f t="shared" si="68"/>
        <v>3704051.1813492263</v>
      </c>
      <c r="BZ43" s="1194">
        <f t="shared" si="69"/>
        <v>3704051.1813492263</v>
      </c>
      <c r="CA43" s="1194">
        <f t="shared" si="70"/>
        <v>3022051.1813492263</v>
      </c>
      <c r="CB43" s="1194">
        <v>31000</v>
      </c>
      <c r="CC43" s="1194">
        <f t="shared" si="71"/>
        <v>682000</v>
      </c>
      <c r="CD43" s="1194">
        <f t="shared" si="72"/>
        <v>81840</v>
      </c>
      <c r="CE43" s="1194">
        <f t="shared" si="73"/>
        <v>763840</v>
      </c>
      <c r="CF43" s="1200">
        <f t="shared" si="74"/>
        <v>3785891.1813492263</v>
      </c>
      <c r="CG43" s="757">
        <f t="shared" si="75"/>
        <v>3785891.1813492263</v>
      </c>
      <c r="CH43" s="758">
        <f t="shared" si="76"/>
        <v>0</v>
      </c>
      <c r="CI43" s="757">
        <f t="shared" si="25"/>
        <v>388053.84608829569</v>
      </c>
      <c r="CJ43" s="757">
        <f t="shared" si="26"/>
        <v>94647.27953373066</v>
      </c>
      <c r="CK43" s="759">
        <f t="shared" si="155"/>
        <v>4268592.3069712529</v>
      </c>
      <c r="CL43" s="764">
        <f t="shared" si="78"/>
        <v>0.125</v>
      </c>
      <c r="CM43" s="757">
        <f t="shared" si="79"/>
        <v>533574.03837140661</v>
      </c>
      <c r="CN43" s="757">
        <f t="shared" si="124"/>
        <v>30000</v>
      </c>
      <c r="CO43" s="757">
        <f t="shared" si="80"/>
        <v>503574.03837140661</v>
      </c>
      <c r="CP43" s="755">
        <f t="shared" si="81"/>
        <v>29</v>
      </c>
      <c r="CQ43" s="757">
        <f t="shared" si="129"/>
        <v>17364.622012807125</v>
      </c>
      <c r="CR43" s="764">
        <f t="shared" si="83"/>
        <v>0.875</v>
      </c>
      <c r="CS43" s="757">
        <f t="shared" si="84"/>
        <v>3735018.2685998464</v>
      </c>
      <c r="CT43" s="1101">
        <f t="shared" si="85"/>
        <v>28957.556881625129</v>
      </c>
      <c r="CU43" s="1101">
        <f t="shared" si="86"/>
        <v>33571.400119678256</v>
      </c>
      <c r="CV43" s="1101">
        <f t="shared" si="87"/>
        <v>43366.729102090649</v>
      </c>
      <c r="CW43" s="1141">
        <f t="shared" si="27"/>
        <v>73957.838288378131</v>
      </c>
      <c r="CX43" s="1152">
        <f t="shared" si="88"/>
        <v>303407.40576728969</v>
      </c>
      <c r="CY43" s="1152">
        <f t="shared" si="89"/>
        <v>120056.83247978757</v>
      </c>
      <c r="CZ43" s="1152">
        <f t="shared" si="90"/>
        <v>86715.349711868883</v>
      </c>
      <c r="DA43" s="1152">
        <f t="shared" si="91"/>
        <v>65994.373299246014</v>
      </c>
      <c r="DB43" s="1143">
        <f t="shared" si="28"/>
        <v>0.13249326940190434</v>
      </c>
      <c r="DC43" s="1143">
        <f t="shared" si="125"/>
        <v>0.25275548101702755</v>
      </c>
      <c r="DD43" s="1098" t="s">
        <v>232</v>
      </c>
      <c r="DE43" s="1144"/>
      <c r="DF43" s="705"/>
      <c r="DG43" s="765">
        <f t="shared" si="126"/>
        <v>46082</v>
      </c>
      <c r="DH43" s="1116">
        <f t="shared" si="29"/>
        <v>28</v>
      </c>
      <c r="DI43" s="497"/>
      <c r="DJ43" s="1117">
        <f t="shared" si="92"/>
        <v>46147</v>
      </c>
      <c r="DK43" s="1116">
        <f t="shared" si="93"/>
        <v>30</v>
      </c>
      <c r="DL43" s="766" t="s">
        <v>233</v>
      </c>
      <c r="DM43" s="766" t="s">
        <v>234</v>
      </c>
      <c r="DN43" s="767">
        <f t="shared" si="30"/>
        <v>20235.335690472664</v>
      </c>
      <c r="DO43" s="767">
        <f t="shared" si="31"/>
        <v>445177.38519039861</v>
      </c>
      <c r="DP43" s="768">
        <f t="shared" si="32"/>
        <v>0.14839246173013287</v>
      </c>
      <c r="DR43" s="767">
        <f t="shared" si="33"/>
        <v>3785891.1813492263</v>
      </c>
      <c r="DS43" s="767">
        <f>SUM('[6]INTERNAL PRICELIST'!M43)</f>
        <v>2329361</v>
      </c>
      <c r="DT43" s="767">
        <f t="shared" si="94"/>
        <v>1456530.1813492263</v>
      </c>
      <c r="DV43" s="951">
        <f t="shared" si="34"/>
        <v>172085.9627886012</v>
      </c>
      <c r="DX43" s="772">
        <v>2</v>
      </c>
      <c r="DY43" s="773" t="s">
        <v>238</v>
      </c>
      <c r="DZ43" s="774">
        <v>22</v>
      </c>
      <c r="EA43" s="775">
        <f t="shared" si="156"/>
        <v>0</v>
      </c>
      <c r="ED43" s="755" t="s">
        <v>346</v>
      </c>
      <c r="EE43" s="777" t="b">
        <f t="shared" si="36"/>
        <v>1</v>
      </c>
      <c r="EF43" s="1123" t="s">
        <v>347</v>
      </c>
      <c r="EG43" s="1123" t="s">
        <v>336</v>
      </c>
      <c r="EH43" s="1203"/>
      <c r="EP43" s="1230" t="s">
        <v>236</v>
      </c>
      <c r="EQ43" s="1145" t="s">
        <v>236</v>
      </c>
      <c r="ER43" s="753" t="b">
        <f t="shared" si="95"/>
        <v>1</v>
      </c>
      <c r="EU43" s="770">
        <v>2172480</v>
      </c>
      <c r="EV43" s="771" t="s">
        <v>236</v>
      </c>
      <c r="EZ43" s="520"/>
      <c r="FA43" s="778"/>
      <c r="FG43" s="1107"/>
      <c r="FJ43" s="994">
        <v>0.15</v>
      </c>
      <c r="FK43" s="993">
        <v>12820.110851026688</v>
      </c>
      <c r="FL43" s="993">
        <v>13166.600333486867</v>
      </c>
      <c r="FM43" s="497"/>
      <c r="FN43" s="993">
        <f t="shared" si="38"/>
        <v>4268592.3069712529</v>
      </c>
      <c r="FO43" s="994">
        <f t="shared" si="96"/>
        <v>0.15</v>
      </c>
      <c r="FP43" s="775">
        <f t="shared" si="39"/>
        <v>640288.84604568791</v>
      </c>
      <c r="FQ43" s="993">
        <f t="shared" si="40"/>
        <v>30000</v>
      </c>
      <c r="FR43" s="775">
        <f t="shared" si="97"/>
        <v>610288.84604568791</v>
      </c>
      <c r="FS43" s="497">
        <f t="shared" si="98"/>
        <v>40</v>
      </c>
      <c r="FT43" s="775">
        <f t="shared" si="99"/>
        <v>15257.221151142197</v>
      </c>
      <c r="FU43" s="497"/>
      <c r="FV43" s="993">
        <f t="shared" si="100"/>
        <v>4268592.3069712529</v>
      </c>
      <c r="FW43" s="705">
        <f t="shared" si="101"/>
        <v>426859.23069712531</v>
      </c>
      <c r="FX43" s="705">
        <f t="shared" si="102"/>
        <v>106714.80767428133</v>
      </c>
      <c r="FY43" s="705">
        <v>15000</v>
      </c>
      <c r="FZ43" s="705">
        <f t="shared" si="103"/>
        <v>411859.23069712531</v>
      </c>
      <c r="GA43" s="497">
        <f t="shared" si="104"/>
        <v>46</v>
      </c>
      <c r="GB43" s="775">
        <f t="shared" si="105"/>
        <v>8953.4615368940285</v>
      </c>
      <c r="GC43" s="497"/>
      <c r="GD43" s="497"/>
      <c r="GE43" s="1107">
        <v>46023</v>
      </c>
      <c r="GH43" s="1095">
        <f t="shared" si="0"/>
        <v>4268592.3069712529</v>
      </c>
      <c r="GI43" s="1098">
        <f t="shared" si="1"/>
        <v>0.125</v>
      </c>
      <c r="GJ43" s="1095">
        <f t="shared" si="2"/>
        <v>533574.03837140661</v>
      </c>
      <c r="GK43" s="1095">
        <f t="shared" si="3"/>
        <v>30000</v>
      </c>
      <c r="GL43" s="1095">
        <f t="shared" si="4"/>
        <v>503574.03837140661</v>
      </c>
      <c r="GM43" s="1095">
        <f t="shared" si="5"/>
        <v>29</v>
      </c>
      <c r="GN43" s="1095">
        <f t="shared" si="6"/>
        <v>17364.622012807125</v>
      </c>
      <c r="GO43" s="1098">
        <f t="shared" si="7"/>
        <v>0.875</v>
      </c>
      <c r="GP43" s="1095">
        <f t="shared" si="8"/>
        <v>3735018.2685998464</v>
      </c>
      <c r="GQ43" s="1095">
        <f t="shared" si="9"/>
        <v>28957.556881625129</v>
      </c>
      <c r="GR43" s="1095">
        <f t="shared" si="10"/>
        <v>33571.400119678256</v>
      </c>
      <c r="GS43" s="1095">
        <f t="shared" si="11"/>
        <v>43366.729102090649</v>
      </c>
      <c r="GT43" s="1095">
        <f t="shared" si="12"/>
        <v>73957.838288378131</v>
      </c>
      <c r="GU43" s="497"/>
      <c r="GV43" s="1095">
        <f t="shared" si="106"/>
        <v>4268592.3069712529</v>
      </c>
      <c r="GW43" s="1098">
        <f t="shared" si="107"/>
        <v>0.125</v>
      </c>
      <c r="GX43" s="1095">
        <f t="shared" si="108"/>
        <v>533574.03837140661</v>
      </c>
      <c r="GY43" s="1095">
        <f t="shared" si="109"/>
        <v>30000</v>
      </c>
      <c r="GZ43" s="1095">
        <f t="shared" si="110"/>
        <v>503574.03837140661</v>
      </c>
      <c r="HA43" s="1106">
        <f t="shared" si="111"/>
        <v>48</v>
      </c>
      <c r="HB43" s="770">
        <f t="shared" si="112"/>
        <v>10491.125799404304</v>
      </c>
      <c r="HC43" s="1098">
        <f t="shared" si="113"/>
        <v>0.875</v>
      </c>
      <c r="HD43" s="1102">
        <f t="shared" si="114"/>
        <v>3735018.2685998464</v>
      </c>
      <c r="HE43" s="1101">
        <f t="shared" si="115"/>
        <v>28957.556881625129</v>
      </c>
      <c r="HF43" s="1101">
        <f t="shared" si="116"/>
        <v>33571.400119678256</v>
      </c>
      <c r="HG43" s="1101">
        <f t="shared" si="117"/>
        <v>43366.729102090649</v>
      </c>
      <c r="HH43" s="1101">
        <f t="shared" si="118"/>
        <v>73957.838288378131</v>
      </c>
      <c r="HI43" s="497"/>
      <c r="HJ43" s="1102">
        <f t="shared" si="119"/>
        <v>-6873.496213402821</v>
      </c>
      <c r="HL43" s="775"/>
      <c r="HN43" s="775"/>
      <c r="HO43" s="775"/>
      <c r="HQ43" s="702"/>
      <c r="HR43" s="1171"/>
      <c r="HS43" s="702"/>
      <c r="HT43" s="1171"/>
    </row>
    <row r="44" spans="1:228" ht="14.25" customHeight="1">
      <c r="A44" s="753">
        <f t="shared" si="120"/>
        <v>38</v>
      </c>
      <c r="B44" s="753" t="s">
        <v>236</v>
      </c>
      <c r="C44" s="753">
        <f t="shared" si="121"/>
        <v>7</v>
      </c>
      <c r="D44" s="753" t="s">
        <v>253</v>
      </c>
      <c r="E44" s="717" t="str">
        <f t="shared" si="41"/>
        <v>4th Floor</v>
      </c>
      <c r="F44" s="754"/>
      <c r="G44" s="755" t="s">
        <v>348</v>
      </c>
      <c r="H44" s="756"/>
      <c r="I44" s="755" t="s">
        <v>229</v>
      </c>
      <c r="J44" s="757">
        <v>22</v>
      </c>
      <c r="K44" s="758"/>
      <c r="L44" s="759" t="s">
        <v>69</v>
      </c>
      <c r="M44" s="760" t="s">
        <v>68</v>
      </c>
      <c r="N44" s="761">
        <f t="shared" si="42"/>
        <v>106005.26567735759</v>
      </c>
      <c r="O44" s="762">
        <f t="shared" si="43"/>
        <v>2332115.8449018667</v>
      </c>
      <c r="P44" s="762">
        <f t="shared" si="44"/>
        <v>22400</v>
      </c>
      <c r="Q44" s="762">
        <f t="shared" si="14"/>
        <v>50000</v>
      </c>
      <c r="R44" s="762"/>
      <c r="S44" s="762"/>
      <c r="T44" s="762"/>
      <c r="U44" s="762"/>
      <c r="V44" s="762"/>
      <c r="W44" s="762"/>
      <c r="X44" s="762"/>
      <c r="Y44" s="762"/>
      <c r="Z44" s="762">
        <f t="shared" si="15"/>
        <v>142461</v>
      </c>
      <c r="AA44" s="762">
        <v>45722.732758620688</v>
      </c>
      <c r="AB44" s="762"/>
      <c r="AC44" s="762"/>
      <c r="AD44" s="763">
        <f t="shared" si="45"/>
        <v>260583.7327586207</v>
      </c>
      <c r="AE44" s="763">
        <f t="shared" si="16"/>
        <v>2592699.5776604875</v>
      </c>
      <c r="AF44" s="762">
        <f t="shared" si="17"/>
        <v>64817.489441512189</v>
      </c>
      <c r="AG44" s="762">
        <f t="shared" si="46"/>
        <v>2657517.0671019997</v>
      </c>
      <c r="AH44" s="762">
        <f t="shared" si="18"/>
        <v>66437.92667755</v>
      </c>
      <c r="AI44" s="762">
        <f t="shared" si="47"/>
        <v>2723954.9937795498</v>
      </c>
      <c r="AJ44" s="762">
        <f t="shared" si="48"/>
        <v>136197.74968897749</v>
      </c>
      <c r="AK44" s="762">
        <f t="shared" si="122"/>
        <v>2860152.7434685272</v>
      </c>
      <c r="AL44" s="762">
        <f t="shared" si="49"/>
        <v>28601.527434685271</v>
      </c>
      <c r="AM44" s="762">
        <f t="shared" si="50"/>
        <v>27537.409960060559</v>
      </c>
      <c r="AN44" s="762"/>
      <c r="AO44" s="763">
        <f t="shared" si="51"/>
        <v>2916291.6808632729</v>
      </c>
      <c r="AP44" s="763">
        <f t="shared" si="52"/>
        <v>481188.12734244007</v>
      </c>
      <c r="AQ44" s="763">
        <f t="shared" si="53"/>
        <v>3397479.8082057131</v>
      </c>
      <c r="AR44" s="1178">
        <f t="shared" si="19"/>
        <v>3000000</v>
      </c>
      <c r="AS44" s="1178">
        <f t="shared" si="123"/>
        <v>18067.264009350594</v>
      </c>
      <c r="AT44" s="1178">
        <f t="shared" si="54"/>
        <v>397479.80820571305</v>
      </c>
      <c r="AU44" s="1178">
        <f t="shared" si="20"/>
        <v>47697.576984685562</v>
      </c>
      <c r="AV44" s="1178">
        <f t="shared" si="55"/>
        <v>445177.38519039861</v>
      </c>
      <c r="AW44" s="1178">
        <f t="shared" si="56"/>
        <v>3445177.3851903984</v>
      </c>
      <c r="AX44" s="762">
        <f t="shared" si="57"/>
        <v>43064.717314879985</v>
      </c>
      <c r="AY44" s="717" t="s">
        <v>231</v>
      </c>
      <c r="AZ44" s="717">
        <f t="shared" si="58"/>
        <v>3488242.1025052783</v>
      </c>
      <c r="BA44" s="717">
        <f t="shared" si="59"/>
        <v>130809.07884394794</v>
      </c>
      <c r="BB44" s="717"/>
      <c r="BC44" s="717">
        <f t="shared" si="21"/>
        <v>33600</v>
      </c>
      <c r="BD44" s="717">
        <f t="shared" si="60"/>
        <v>3652651.1813492263</v>
      </c>
      <c r="BE44" s="717"/>
      <c r="BF44" s="717">
        <f t="shared" si="61"/>
        <v>3652651.1813492263</v>
      </c>
      <c r="BG44" s="1209"/>
      <c r="BH44" s="717">
        <f t="shared" si="62"/>
        <v>3652651.1813492263</v>
      </c>
      <c r="BI44" s="717"/>
      <c r="BJ44" s="717">
        <f t="shared" si="63"/>
        <v>3652651.1813492263</v>
      </c>
      <c r="BK44" s="717"/>
      <c r="BL44" s="717">
        <f t="shared" si="64"/>
        <v>3652651.1813492263</v>
      </c>
      <c r="BM44" s="717"/>
      <c r="BN44" s="717">
        <f t="shared" si="65"/>
        <v>3652651.1813492263</v>
      </c>
      <c r="BO44" s="717"/>
      <c r="BP44" s="717">
        <f t="shared" si="22"/>
        <v>3652651.1813492263</v>
      </c>
      <c r="BQ44" s="717"/>
      <c r="BR44" s="717">
        <f t="shared" si="133"/>
        <v>3652651.1813492263</v>
      </c>
      <c r="BS44" s="1234">
        <f>$BS$5/64</f>
        <v>2651.4786794501206</v>
      </c>
      <c r="BT44" s="1235">
        <f t="shared" si="66"/>
        <v>3655302.6600286765</v>
      </c>
      <c r="BU44" s="1235">
        <f>$BU$5/65</f>
        <v>211.07692307692309</v>
      </c>
      <c r="BV44" s="1235">
        <f t="shared" si="134"/>
        <v>51400</v>
      </c>
      <c r="BW44" s="717">
        <f t="shared" si="67"/>
        <v>3706913.7369517535</v>
      </c>
      <c r="BX44" s="1234">
        <f t="shared" si="147"/>
        <v>27651.078536278128</v>
      </c>
      <c r="BY44" s="717">
        <f t="shared" si="68"/>
        <v>3734564.8154880316</v>
      </c>
      <c r="BZ44" s="1194">
        <f t="shared" si="69"/>
        <v>3734564.8154880316</v>
      </c>
      <c r="CA44" s="1194">
        <f t="shared" si="70"/>
        <v>2854564.8154880316</v>
      </c>
      <c r="CB44" s="1194">
        <f>$CB$5</f>
        <v>40000</v>
      </c>
      <c r="CC44" s="1194">
        <f t="shared" si="71"/>
        <v>880000</v>
      </c>
      <c r="CD44" s="1194">
        <f t="shared" si="72"/>
        <v>105600</v>
      </c>
      <c r="CE44" s="1194">
        <f t="shared" si="73"/>
        <v>985600</v>
      </c>
      <c r="CF44" s="1200">
        <f t="shared" si="74"/>
        <v>3840164.8154880316</v>
      </c>
      <c r="CG44" s="757">
        <f t="shared" si="75"/>
        <v>3840164.8154880316</v>
      </c>
      <c r="CH44" s="758">
        <f t="shared" si="76"/>
        <v>0</v>
      </c>
      <c r="CI44" s="757">
        <f t="shared" si="25"/>
        <v>393616.8935875232</v>
      </c>
      <c r="CJ44" s="757">
        <f t="shared" si="26"/>
        <v>96004.12038720079</v>
      </c>
      <c r="CK44" s="759">
        <f t="shared" si="155"/>
        <v>4329785.8294627564</v>
      </c>
      <c r="CL44" s="764">
        <f t="shared" si="78"/>
        <v>0.125</v>
      </c>
      <c r="CM44" s="757">
        <f t="shared" si="79"/>
        <v>541223.22868284455</v>
      </c>
      <c r="CN44" s="757">
        <f t="shared" si="124"/>
        <v>30000</v>
      </c>
      <c r="CO44" s="757">
        <f t="shared" si="80"/>
        <v>511223.22868284455</v>
      </c>
      <c r="CP44" s="755">
        <f t="shared" si="81"/>
        <v>29</v>
      </c>
      <c r="CQ44" s="757">
        <f t="shared" si="129"/>
        <v>17628.387195960157</v>
      </c>
      <c r="CR44" s="764">
        <f t="shared" si="83"/>
        <v>0.875</v>
      </c>
      <c r="CS44" s="757">
        <f t="shared" si="84"/>
        <v>3788562.600779912</v>
      </c>
      <c r="CT44" s="1101">
        <f t="shared" si="85"/>
        <v>29372.685519101411</v>
      </c>
      <c r="CU44" s="1101">
        <f t="shared" si="86"/>
        <v>34052.671714751821</v>
      </c>
      <c r="CV44" s="1101">
        <f t="shared" si="87"/>
        <v>43988.424200111069</v>
      </c>
      <c r="CW44" s="1141">
        <f t="shared" si="27"/>
        <v>75018.08024058603</v>
      </c>
      <c r="CX44" s="1152">
        <f t="shared" si="88"/>
        <v>307756.98206170113</v>
      </c>
      <c r="CY44" s="1152">
        <f t="shared" si="89"/>
        <v>121777.93863148359</v>
      </c>
      <c r="CZ44" s="1152">
        <f t="shared" si="90"/>
        <v>87958.480308877566</v>
      </c>
      <c r="DA44" s="1152">
        <f t="shared" si="91"/>
        <v>66940.452914346461</v>
      </c>
      <c r="DB44" s="1143">
        <f t="shared" si="28"/>
        <v>0.13249326940190434</v>
      </c>
      <c r="DC44" s="1143">
        <f t="shared" si="125"/>
        <v>0.34527154354752199</v>
      </c>
      <c r="DD44" s="1098" t="s">
        <v>232</v>
      </c>
      <c r="DE44" s="1144"/>
      <c r="DF44" s="705"/>
      <c r="DG44" s="765">
        <f t="shared" si="126"/>
        <v>46082</v>
      </c>
      <c r="DH44" s="1116">
        <f t="shared" si="29"/>
        <v>28</v>
      </c>
      <c r="DI44" s="497"/>
      <c r="DJ44" s="1117">
        <f t="shared" si="92"/>
        <v>46147</v>
      </c>
      <c r="DK44" s="1116">
        <f t="shared" si="93"/>
        <v>30</v>
      </c>
      <c r="DL44" s="766" t="s">
        <v>233</v>
      </c>
      <c r="DM44" s="766" t="s">
        <v>234</v>
      </c>
      <c r="DN44" s="767">
        <f t="shared" si="30"/>
        <v>20235.335690472664</v>
      </c>
      <c r="DO44" s="767">
        <f t="shared" si="31"/>
        <v>445177.38519039861</v>
      </c>
      <c r="DP44" s="768">
        <f t="shared" si="32"/>
        <v>0.14839246173013287</v>
      </c>
      <c r="DR44" s="767">
        <f t="shared" si="33"/>
        <v>3840164.8154880316</v>
      </c>
      <c r="DS44" s="767">
        <f>SUM('[6]INTERNAL PRICELIST'!M44)</f>
        <v>2329361</v>
      </c>
      <c r="DT44" s="767">
        <f t="shared" si="94"/>
        <v>1510803.8154880316</v>
      </c>
      <c r="DV44" s="951">
        <f t="shared" si="34"/>
        <v>174552.9461585469</v>
      </c>
      <c r="DX44" s="772">
        <v>3</v>
      </c>
      <c r="DY44" s="773" t="s">
        <v>245</v>
      </c>
      <c r="DZ44" s="774">
        <v>22</v>
      </c>
      <c r="EA44" s="775">
        <f t="shared" si="156"/>
        <v>0</v>
      </c>
      <c r="ED44" s="755" t="s">
        <v>348</v>
      </c>
      <c r="EE44" s="777" t="b">
        <f t="shared" si="36"/>
        <v>1</v>
      </c>
      <c r="EF44" s="1123" t="s">
        <v>349</v>
      </c>
      <c r="EG44" s="1123" t="s">
        <v>336</v>
      </c>
      <c r="EH44" s="1203"/>
      <c r="EP44" s="1230" t="s">
        <v>258</v>
      </c>
      <c r="EQ44" s="1145" t="s">
        <v>258</v>
      </c>
      <c r="ER44" s="753" t="b">
        <f t="shared" si="95"/>
        <v>1</v>
      </c>
      <c r="EU44" s="770">
        <v>2981804.7274007285</v>
      </c>
      <c r="EV44" s="771" t="s">
        <v>258</v>
      </c>
      <c r="EW44" s="775">
        <f>EU44-CG44</f>
        <v>-858360.0880873031</v>
      </c>
      <c r="EY44" s="775">
        <v>2949755.5018477989</v>
      </c>
      <c r="EZ44" s="520"/>
      <c r="FA44" s="778"/>
      <c r="FG44" s="1107"/>
      <c r="FJ44" s="994">
        <v>0.15</v>
      </c>
      <c r="FK44" s="993">
        <v>12820.110851026688</v>
      </c>
      <c r="FL44" s="993">
        <v>13166.600333486867</v>
      </c>
      <c r="FM44" s="497"/>
      <c r="FN44" s="993">
        <f t="shared" si="38"/>
        <v>4329785.8294627564</v>
      </c>
      <c r="FO44" s="994">
        <f t="shared" si="96"/>
        <v>0.15</v>
      </c>
      <c r="FP44" s="775">
        <f t="shared" si="39"/>
        <v>649467.87441941339</v>
      </c>
      <c r="FQ44" s="993">
        <f t="shared" si="40"/>
        <v>30000</v>
      </c>
      <c r="FR44" s="775">
        <f t="shared" si="97"/>
        <v>619467.87441941339</v>
      </c>
      <c r="FS44" s="497">
        <f t="shared" si="98"/>
        <v>40</v>
      </c>
      <c r="FT44" s="775">
        <f t="shared" si="99"/>
        <v>15486.696860485335</v>
      </c>
      <c r="FU44" s="497"/>
      <c r="FV44" s="993">
        <f t="shared" si="100"/>
        <v>4329785.8294627564</v>
      </c>
      <c r="FW44" s="705">
        <f t="shared" si="101"/>
        <v>432978.58294627565</v>
      </c>
      <c r="FX44" s="705">
        <f t="shared" si="102"/>
        <v>108244.64573656891</v>
      </c>
      <c r="FY44" s="705">
        <v>15000</v>
      </c>
      <c r="FZ44" s="705">
        <f t="shared" si="103"/>
        <v>417978.58294627565</v>
      </c>
      <c r="GA44" s="497">
        <f t="shared" si="104"/>
        <v>46</v>
      </c>
      <c r="GB44" s="775">
        <f t="shared" si="105"/>
        <v>9086.4909336146884</v>
      </c>
      <c r="GC44" s="497"/>
      <c r="GD44" s="497"/>
      <c r="GE44" s="1107">
        <v>46054</v>
      </c>
      <c r="GH44" s="1095">
        <f t="shared" si="0"/>
        <v>4329785.8294627564</v>
      </c>
      <c r="GI44" s="1098">
        <f t="shared" si="1"/>
        <v>0.125</v>
      </c>
      <c r="GJ44" s="1095">
        <f t="shared" si="2"/>
        <v>541223.22868284455</v>
      </c>
      <c r="GK44" s="1095">
        <f t="shared" si="3"/>
        <v>30000</v>
      </c>
      <c r="GL44" s="1095">
        <f t="shared" si="4"/>
        <v>511223.22868284455</v>
      </c>
      <c r="GM44" s="1095">
        <f t="shared" si="5"/>
        <v>29</v>
      </c>
      <c r="GN44" s="1095">
        <f t="shared" si="6"/>
        <v>17628.387195960157</v>
      </c>
      <c r="GO44" s="1098">
        <f t="shared" si="7"/>
        <v>0.875</v>
      </c>
      <c r="GP44" s="1095">
        <f t="shared" si="8"/>
        <v>3788562.600779912</v>
      </c>
      <c r="GQ44" s="1095">
        <f t="shared" si="9"/>
        <v>29372.685519101411</v>
      </c>
      <c r="GR44" s="1095">
        <f t="shared" si="10"/>
        <v>34052.671714751821</v>
      </c>
      <c r="GS44" s="1095">
        <f t="shared" si="11"/>
        <v>43988.424200111069</v>
      </c>
      <c r="GT44" s="1095">
        <f t="shared" si="12"/>
        <v>75018.08024058603</v>
      </c>
      <c r="GU44" s="497"/>
      <c r="GV44" s="1095">
        <f t="shared" si="106"/>
        <v>4329785.8294627564</v>
      </c>
      <c r="GW44" s="1098">
        <f t="shared" si="107"/>
        <v>0.125</v>
      </c>
      <c r="GX44" s="1095">
        <f t="shared" si="108"/>
        <v>541223.22868284455</v>
      </c>
      <c r="GY44" s="1095">
        <f t="shared" si="109"/>
        <v>30000</v>
      </c>
      <c r="GZ44" s="1095">
        <f t="shared" si="110"/>
        <v>511223.22868284455</v>
      </c>
      <c r="HA44" s="1106">
        <f t="shared" si="111"/>
        <v>48</v>
      </c>
      <c r="HB44" s="770">
        <f t="shared" si="112"/>
        <v>10650.483930892595</v>
      </c>
      <c r="HC44" s="1098">
        <f t="shared" si="113"/>
        <v>0.875</v>
      </c>
      <c r="HD44" s="1102">
        <f t="shared" si="114"/>
        <v>3788562.600779912</v>
      </c>
      <c r="HE44" s="1101">
        <f t="shared" si="115"/>
        <v>29372.685519101411</v>
      </c>
      <c r="HF44" s="1101">
        <f t="shared" si="116"/>
        <v>34052.671714751821</v>
      </c>
      <c r="HG44" s="1101">
        <f t="shared" si="117"/>
        <v>43988.424200111069</v>
      </c>
      <c r="HH44" s="1101">
        <f t="shared" si="118"/>
        <v>75018.08024058603</v>
      </c>
      <c r="HI44" s="497"/>
      <c r="HJ44" s="1102">
        <f t="shared" si="119"/>
        <v>-6977.9032650675617</v>
      </c>
      <c r="HL44" s="775"/>
      <c r="HN44" s="775"/>
      <c r="HO44" s="775"/>
      <c r="HQ44" s="702"/>
      <c r="HR44" s="1171"/>
      <c r="HS44" s="702"/>
      <c r="HT44" s="1171"/>
    </row>
    <row r="45" spans="1:228" ht="14.25" hidden="1" customHeight="1">
      <c r="A45" s="753">
        <f t="shared" si="120"/>
        <v>39</v>
      </c>
      <c r="B45" s="753" t="s">
        <v>236</v>
      </c>
      <c r="C45" s="753">
        <f t="shared" si="121"/>
        <v>8</v>
      </c>
      <c r="D45" s="753" t="s">
        <v>253</v>
      </c>
      <c r="E45" s="717" t="str">
        <f t="shared" si="41"/>
        <v>4th Floor</v>
      </c>
      <c r="F45" s="754"/>
      <c r="G45" s="755" t="s">
        <v>350</v>
      </c>
      <c r="H45" s="756"/>
      <c r="I45" s="755" t="s">
        <v>229</v>
      </c>
      <c r="J45" s="757">
        <v>22</v>
      </c>
      <c r="K45" s="758"/>
      <c r="L45" s="759" t="s">
        <v>69</v>
      </c>
      <c r="M45" s="760" t="s">
        <v>68</v>
      </c>
      <c r="N45" s="761">
        <f t="shared" si="42"/>
        <v>106005.26567735759</v>
      </c>
      <c r="O45" s="762">
        <f t="shared" si="43"/>
        <v>2332115.8449018667</v>
      </c>
      <c r="P45" s="762">
        <f t="shared" si="44"/>
        <v>22400</v>
      </c>
      <c r="Q45" s="762">
        <f t="shared" si="14"/>
        <v>50000</v>
      </c>
      <c r="R45" s="762"/>
      <c r="S45" s="762"/>
      <c r="T45" s="762"/>
      <c r="U45" s="762"/>
      <c r="V45" s="762"/>
      <c r="W45" s="762"/>
      <c r="X45" s="762"/>
      <c r="Y45" s="762"/>
      <c r="Z45" s="762">
        <f t="shared" si="15"/>
        <v>142461</v>
      </c>
      <c r="AA45" s="762">
        <v>45722.732758620688</v>
      </c>
      <c r="AB45" s="762"/>
      <c r="AC45" s="762"/>
      <c r="AD45" s="763">
        <f t="shared" si="45"/>
        <v>260583.7327586207</v>
      </c>
      <c r="AE45" s="763">
        <f t="shared" si="16"/>
        <v>2592699.5776604875</v>
      </c>
      <c r="AF45" s="762">
        <f t="shared" si="17"/>
        <v>64817.489441512189</v>
      </c>
      <c r="AG45" s="762">
        <f t="shared" si="46"/>
        <v>2657517.0671019997</v>
      </c>
      <c r="AH45" s="762">
        <f t="shared" si="18"/>
        <v>66437.92667755</v>
      </c>
      <c r="AI45" s="762">
        <f t="shared" si="47"/>
        <v>2723954.9937795498</v>
      </c>
      <c r="AJ45" s="762">
        <f t="shared" si="48"/>
        <v>136197.74968897749</v>
      </c>
      <c r="AK45" s="762">
        <f t="shared" si="122"/>
        <v>2860152.7434685272</v>
      </c>
      <c r="AL45" s="762">
        <f t="shared" si="49"/>
        <v>28601.527434685271</v>
      </c>
      <c r="AM45" s="762">
        <f t="shared" si="50"/>
        <v>27537.409960060559</v>
      </c>
      <c r="AN45" s="762"/>
      <c r="AO45" s="763">
        <f t="shared" si="51"/>
        <v>2916291.6808632729</v>
      </c>
      <c r="AP45" s="763">
        <f t="shared" si="52"/>
        <v>481188.12734244007</v>
      </c>
      <c r="AQ45" s="763">
        <f t="shared" si="53"/>
        <v>3397479.8082057131</v>
      </c>
      <c r="AR45" s="1178">
        <f t="shared" si="19"/>
        <v>3000000</v>
      </c>
      <c r="AS45" s="1178">
        <f t="shared" si="123"/>
        <v>18067.264009350594</v>
      </c>
      <c r="AT45" s="1178">
        <f t="shared" si="54"/>
        <v>397479.80820571305</v>
      </c>
      <c r="AU45" s="1178">
        <f t="shared" si="20"/>
        <v>47697.576984685562</v>
      </c>
      <c r="AV45" s="1178">
        <f t="shared" si="55"/>
        <v>445177.38519039861</v>
      </c>
      <c r="AW45" s="1178">
        <f t="shared" si="56"/>
        <v>3445177.3851903984</v>
      </c>
      <c r="AX45" s="762">
        <f t="shared" si="57"/>
        <v>43064.717314879985</v>
      </c>
      <c r="AY45" s="717" t="s">
        <v>231</v>
      </c>
      <c r="AZ45" s="717">
        <f t="shared" si="58"/>
        <v>3488242.1025052783</v>
      </c>
      <c r="BA45" s="717">
        <f t="shared" si="59"/>
        <v>130809.07884394794</v>
      </c>
      <c r="BB45" s="717"/>
      <c r="BC45" s="717">
        <f t="shared" si="21"/>
        <v>33600</v>
      </c>
      <c r="BD45" s="717">
        <f t="shared" si="60"/>
        <v>3652651.1813492263</v>
      </c>
      <c r="BE45" s="717"/>
      <c r="BF45" s="717">
        <f t="shared" si="61"/>
        <v>3652651.1813492263</v>
      </c>
      <c r="BG45" s="1209"/>
      <c r="BH45" s="717">
        <f t="shared" si="62"/>
        <v>3652651.1813492263</v>
      </c>
      <c r="BI45" s="717"/>
      <c r="BJ45" s="717">
        <f t="shared" si="63"/>
        <v>3652651.1813492263</v>
      </c>
      <c r="BK45" s="717"/>
      <c r="BL45" s="717">
        <f t="shared" si="64"/>
        <v>3652651.1813492263</v>
      </c>
      <c r="BM45" s="717"/>
      <c r="BN45" s="717">
        <f t="shared" si="65"/>
        <v>3652651.1813492263</v>
      </c>
      <c r="BO45" s="717"/>
      <c r="BP45" s="717">
        <f t="shared" si="22"/>
        <v>3652651.1813492263</v>
      </c>
      <c r="BQ45" s="717"/>
      <c r="BR45" s="717">
        <f t="shared" si="133"/>
        <v>3652651.1813492263</v>
      </c>
      <c r="BS45" s="717"/>
      <c r="BT45" s="717">
        <f t="shared" si="66"/>
        <v>3652651.1813492263</v>
      </c>
      <c r="BU45" s="717"/>
      <c r="BV45" s="1235">
        <f t="shared" si="134"/>
        <v>51400</v>
      </c>
      <c r="BW45" s="717">
        <f t="shared" si="67"/>
        <v>3704051.1813492263</v>
      </c>
      <c r="BX45" s="717"/>
      <c r="BY45" s="717">
        <f t="shared" si="68"/>
        <v>3704051.1813492263</v>
      </c>
      <c r="BZ45" s="1194">
        <f t="shared" si="69"/>
        <v>3704051.1813492263</v>
      </c>
      <c r="CA45" s="1194">
        <f t="shared" si="70"/>
        <v>3022051.1813492263</v>
      </c>
      <c r="CB45" s="1194">
        <v>31000</v>
      </c>
      <c r="CC45" s="1194">
        <f t="shared" si="71"/>
        <v>682000</v>
      </c>
      <c r="CD45" s="1194">
        <f t="shared" si="72"/>
        <v>81840</v>
      </c>
      <c r="CE45" s="1194">
        <f t="shared" si="73"/>
        <v>763840</v>
      </c>
      <c r="CF45" s="1200">
        <f t="shared" si="74"/>
        <v>3785891.1813492263</v>
      </c>
      <c r="CG45" s="757">
        <f t="shared" si="75"/>
        <v>3785891.1813492263</v>
      </c>
      <c r="CH45" s="758">
        <f t="shared" si="76"/>
        <v>0</v>
      </c>
      <c r="CI45" s="757">
        <f t="shared" si="25"/>
        <v>388053.84608829569</v>
      </c>
      <c r="CJ45" s="757">
        <f t="shared" si="26"/>
        <v>94647.27953373066</v>
      </c>
      <c r="CK45" s="759">
        <f t="shared" si="155"/>
        <v>4268592.3069712529</v>
      </c>
      <c r="CL45" s="764">
        <f t="shared" si="78"/>
        <v>0.125</v>
      </c>
      <c r="CM45" s="757">
        <f t="shared" si="79"/>
        <v>533574.03837140661</v>
      </c>
      <c r="CN45" s="757">
        <f t="shared" si="124"/>
        <v>30000</v>
      </c>
      <c r="CO45" s="757">
        <f t="shared" si="80"/>
        <v>503574.03837140661</v>
      </c>
      <c r="CP45" s="755">
        <f t="shared" si="81"/>
        <v>29</v>
      </c>
      <c r="CQ45" s="757">
        <f t="shared" si="129"/>
        <v>17364.622012807125</v>
      </c>
      <c r="CR45" s="764">
        <f t="shared" si="83"/>
        <v>0.875</v>
      </c>
      <c r="CS45" s="757">
        <f t="shared" si="84"/>
        <v>3735018.2685998464</v>
      </c>
      <c r="CT45" s="1101">
        <f t="shared" si="85"/>
        <v>28957.556881625129</v>
      </c>
      <c r="CU45" s="1101">
        <f t="shared" si="86"/>
        <v>33571.400119678256</v>
      </c>
      <c r="CV45" s="1101">
        <f t="shared" si="87"/>
        <v>43366.729102090649</v>
      </c>
      <c r="CW45" s="1141">
        <f t="shared" si="27"/>
        <v>73957.838288378131</v>
      </c>
      <c r="CX45" s="1152">
        <f t="shared" si="88"/>
        <v>303407.40576728969</v>
      </c>
      <c r="CY45" s="1152">
        <f t="shared" si="89"/>
        <v>120056.83247978757</v>
      </c>
      <c r="CZ45" s="1152">
        <f t="shared" si="90"/>
        <v>86715.349711868883</v>
      </c>
      <c r="DA45" s="1152">
        <f t="shared" si="91"/>
        <v>65994.373299246014</v>
      </c>
      <c r="DB45" s="1143">
        <f t="shared" si="28"/>
        <v>0.13249326940190434</v>
      </c>
      <c r="DC45" s="1143">
        <f t="shared" si="125"/>
        <v>0.25275548101702755</v>
      </c>
      <c r="DD45" s="1098" t="s">
        <v>232</v>
      </c>
      <c r="DE45" s="1144"/>
      <c r="DF45" s="705"/>
      <c r="DG45" s="765">
        <f t="shared" si="126"/>
        <v>46082</v>
      </c>
      <c r="DH45" s="1116">
        <f t="shared" si="29"/>
        <v>28</v>
      </c>
      <c r="DI45" s="497"/>
      <c r="DJ45" s="1117">
        <f t="shared" si="92"/>
        <v>46147</v>
      </c>
      <c r="DK45" s="1116">
        <f t="shared" si="93"/>
        <v>30</v>
      </c>
      <c r="DL45" s="766" t="s">
        <v>233</v>
      </c>
      <c r="DM45" s="766" t="s">
        <v>234</v>
      </c>
      <c r="DN45" s="767">
        <f t="shared" si="30"/>
        <v>20235.335690472664</v>
      </c>
      <c r="DO45" s="767">
        <f t="shared" si="31"/>
        <v>445177.38519039861</v>
      </c>
      <c r="DP45" s="768">
        <f t="shared" si="32"/>
        <v>0.14839246173013287</v>
      </c>
      <c r="DR45" s="767">
        <f t="shared" si="33"/>
        <v>3785891.1813492263</v>
      </c>
      <c r="DS45" s="767">
        <f>SUM('[6]INTERNAL PRICELIST'!M45)</f>
        <v>2329361</v>
      </c>
      <c r="DT45" s="767">
        <f t="shared" si="94"/>
        <v>1456530.1813492263</v>
      </c>
      <c r="DV45" s="951">
        <f t="shared" si="34"/>
        <v>172085.9627886012</v>
      </c>
      <c r="DX45" s="772">
        <v>4</v>
      </c>
      <c r="DY45" s="773" t="s">
        <v>250</v>
      </c>
      <c r="DZ45" s="774">
        <v>22</v>
      </c>
      <c r="EA45" s="775">
        <f t="shared" si="156"/>
        <v>0</v>
      </c>
      <c r="ED45" s="755" t="s">
        <v>350</v>
      </c>
      <c r="EE45" s="777" t="b">
        <f t="shared" si="36"/>
        <v>1</v>
      </c>
      <c r="EF45" s="1123" t="s">
        <v>351</v>
      </c>
      <c r="EG45" s="1123" t="s">
        <v>336</v>
      </c>
      <c r="EH45" s="1203"/>
      <c r="EP45" s="1230" t="s">
        <v>236</v>
      </c>
      <c r="EQ45" s="1145" t="s">
        <v>236</v>
      </c>
      <c r="ER45" s="753" t="b">
        <f t="shared" si="95"/>
        <v>1</v>
      </c>
      <c r="EU45" s="770">
        <v>2221760</v>
      </c>
      <c r="EV45" s="771" t="s">
        <v>236</v>
      </c>
      <c r="EZ45" s="520"/>
      <c r="FA45" s="778"/>
      <c r="FG45" s="1107"/>
      <c r="FJ45" s="994">
        <v>0.15</v>
      </c>
      <c r="FK45" s="993">
        <v>12820.110851026688</v>
      </c>
      <c r="FL45" s="993">
        <v>13166.600333486867</v>
      </c>
      <c r="FM45" s="497"/>
      <c r="FN45" s="993">
        <f t="shared" si="38"/>
        <v>4268592.3069712529</v>
      </c>
      <c r="FO45" s="994">
        <f t="shared" si="96"/>
        <v>0.15</v>
      </c>
      <c r="FP45" s="775">
        <f t="shared" si="39"/>
        <v>640288.84604568791</v>
      </c>
      <c r="FQ45" s="993">
        <f t="shared" si="40"/>
        <v>30000</v>
      </c>
      <c r="FR45" s="775">
        <f t="shared" si="97"/>
        <v>610288.84604568791</v>
      </c>
      <c r="FS45" s="497">
        <f t="shared" si="98"/>
        <v>40</v>
      </c>
      <c r="FT45" s="775">
        <f t="shared" si="99"/>
        <v>15257.221151142197</v>
      </c>
      <c r="FU45" s="497"/>
      <c r="FV45" s="993">
        <f t="shared" si="100"/>
        <v>4268592.3069712529</v>
      </c>
      <c r="FW45" s="705">
        <f t="shared" si="101"/>
        <v>426859.23069712531</v>
      </c>
      <c r="FX45" s="705">
        <f t="shared" si="102"/>
        <v>106714.80767428133</v>
      </c>
      <c r="FY45" s="705">
        <v>15000</v>
      </c>
      <c r="FZ45" s="705">
        <f t="shared" si="103"/>
        <v>411859.23069712531</v>
      </c>
      <c r="GA45" s="497">
        <f t="shared" si="104"/>
        <v>46</v>
      </c>
      <c r="GB45" s="775">
        <f t="shared" si="105"/>
        <v>8953.4615368940285</v>
      </c>
      <c r="GC45" s="497"/>
      <c r="GD45" s="497"/>
      <c r="GE45" s="1107">
        <v>46082</v>
      </c>
      <c r="GH45" s="1095">
        <f t="shared" si="0"/>
        <v>4268592.3069712529</v>
      </c>
      <c r="GI45" s="1098">
        <f t="shared" si="1"/>
        <v>0.125</v>
      </c>
      <c r="GJ45" s="1095">
        <f t="shared" si="2"/>
        <v>533574.03837140661</v>
      </c>
      <c r="GK45" s="1095">
        <f t="shared" si="3"/>
        <v>30000</v>
      </c>
      <c r="GL45" s="1095">
        <f t="shared" si="4"/>
        <v>503574.03837140661</v>
      </c>
      <c r="GM45" s="1095">
        <f t="shared" si="5"/>
        <v>29</v>
      </c>
      <c r="GN45" s="1095">
        <f t="shared" si="6"/>
        <v>17364.622012807125</v>
      </c>
      <c r="GO45" s="1098">
        <f t="shared" si="7"/>
        <v>0.875</v>
      </c>
      <c r="GP45" s="1095">
        <f t="shared" si="8"/>
        <v>3735018.2685998464</v>
      </c>
      <c r="GQ45" s="1095">
        <f t="shared" si="9"/>
        <v>28957.556881625129</v>
      </c>
      <c r="GR45" s="1095">
        <f t="shared" si="10"/>
        <v>33571.400119678256</v>
      </c>
      <c r="GS45" s="1095">
        <f t="shared" si="11"/>
        <v>43366.729102090649</v>
      </c>
      <c r="GT45" s="1095">
        <f t="shared" si="12"/>
        <v>73957.838288378131</v>
      </c>
      <c r="GU45" s="497"/>
      <c r="GV45" s="1095">
        <f t="shared" si="106"/>
        <v>4268592.3069712529</v>
      </c>
      <c r="GW45" s="1098">
        <f t="shared" si="107"/>
        <v>0.125</v>
      </c>
      <c r="GX45" s="1095">
        <f t="shared" si="108"/>
        <v>533574.03837140661</v>
      </c>
      <c r="GY45" s="1095">
        <f t="shared" si="109"/>
        <v>30000</v>
      </c>
      <c r="GZ45" s="1095">
        <f t="shared" si="110"/>
        <v>503574.03837140661</v>
      </c>
      <c r="HA45" s="1106">
        <f t="shared" si="111"/>
        <v>48</v>
      </c>
      <c r="HB45" s="770">
        <f t="shared" si="112"/>
        <v>10491.125799404304</v>
      </c>
      <c r="HC45" s="1098">
        <f t="shared" si="113"/>
        <v>0.875</v>
      </c>
      <c r="HD45" s="1102">
        <f t="shared" si="114"/>
        <v>3735018.2685998464</v>
      </c>
      <c r="HE45" s="1101">
        <f t="shared" si="115"/>
        <v>28957.556881625129</v>
      </c>
      <c r="HF45" s="1101">
        <f t="shared" si="116"/>
        <v>33571.400119678256</v>
      </c>
      <c r="HG45" s="1101">
        <f t="shared" si="117"/>
        <v>43366.729102090649</v>
      </c>
      <c r="HH45" s="1101">
        <f t="shared" si="118"/>
        <v>73957.838288378131</v>
      </c>
      <c r="HI45" s="497"/>
      <c r="HJ45" s="1102">
        <f t="shared" si="119"/>
        <v>-6873.496213402821</v>
      </c>
      <c r="HL45" s="775"/>
      <c r="HN45" s="775"/>
      <c r="HO45" s="775"/>
      <c r="HQ45" s="702"/>
      <c r="HR45" s="1171"/>
      <c r="HS45" s="702"/>
      <c r="HT45" s="1171"/>
    </row>
    <row r="46" spans="1:228" ht="14.25" hidden="1" customHeight="1">
      <c r="A46" s="753">
        <f t="shared" si="120"/>
        <v>40</v>
      </c>
      <c r="B46" s="753" t="s">
        <v>236</v>
      </c>
      <c r="C46" s="753">
        <f t="shared" si="121"/>
        <v>9</v>
      </c>
      <c r="D46" s="753" t="s">
        <v>253</v>
      </c>
      <c r="E46" s="717" t="str">
        <f t="shared" si="41"/>
        <v>4th Floor</v>
      </c>
      <c r="F46" s="754"/>
      <c r="G46" s="755" t="s">
        <v>352</v>
      </c>
      <c r="H46" s="756"/>
      <c r="I46" s="755" t="s">
        <v>229</v>
      </c>
      <c r="J46" s="757">
        <v>22</v>
      </c>
      <c r="K46" s="758"/>
      <c r="L46" s="759" t="s">
        <v>69</v>
      </c>
      <c r="M46" s="760" t="s">
        <v>68</v>
      </c>
      <c r="N46" s="761">
        <f t="shared" si="42"/>
        <v>106005.26567735759</v>
      </c>
      <c r="O46" s="762">
        <f t="shared" si="43"/>
        <v>2332115.8449018667</v>
      </c>
      <c r="P46" s="762">
        <f t="shared" si="44"/>
        <v>22400</v>
      </c>
      <c r="Q46" s="762">
        <f t="shared" si="14"/>
        <v>50000</v>
      </c>
      <c r="R46" s="762"/>
      <c r="S46" s="762"/>
      <c r="T46" s="762"/>
      <c r="U46" s="762"/>
      <c r="V46" s="762"/>
      <c r="W46" s="762"/>
      <c r="X46" s="762"/>
      <c r="Y46" s="762"/>
      <c r="Z46" s="762">
        <f t="shared" si="15"/>
        <v>142461</v>
      </c>
      <c r="AA46" s="762">
        <v>45722.732758620688</v>
      </c>
      <c r="AB46" s="762"/>
      <c r="AC46" s="762"/>
      <c r="AD46" s="763">
        <f t="shared" si="45"/>
        <v>260583.7327586207</v>
      </c>
      <c r="AE46" s="763">
        <f t="shared" si="16"/>
        <v>2592699.5776604875</v>
      </c>
      <c r="AF46" s="762">
        <f t="shared" si="17"/>
        <v>64817.489441512189</v>
      </c>
      <c r="AG46" s="762">
        <f t="shared" si="46"/>
        <v>2657517.0671019997</v>
      </c>
      <c r="AH46" s="762">
        <f t="shared" si="18"/>
        <v>66437.92667755</v>
      </c>
      <c r="AI46" s="762">
        <f t="shared" si="47"/>
        <v>2723954.9937795498</v>
      </c>
      <c r="AJ46" s="762">
        <f t="shared" si="48"/>
        <v>136197.74968897749</v>
      </c>
      <c r="AK46" s="762">
        <f t="shared" si="122"/>
        <v>2860152.7434685272</v>
      </c>
      <c r="AL46" s="762">
        <f t="shared" si="49"/>
        <v>28601.527434685271</v>
      </c>
      <c r="AM46" s="762">
        <f t="shared" si="50"/>
        <v>27537.409960060559</v>
      </c>
      <c r="AN46" s="762"/>
      <c r="AO46" s="763">
        <f t="shared" si="51"/>
        <v>2916291.6808632729</v>
      </c>
      <c r="AP46" s="763">
        <f t="shared" si="52"/>
        <v>481188.12734244007</v>
      </c>
      <c r="AQ46" s="763">
        <f t="shared" si="53"/>
        <v>3397479.8082057131</v>
      </c>
      <c r="AR46" s="1178">
        <f t="shared" si="19"/>
        <v>3000000</v>
      </c>
      <c r="AS46" s="1178">
        <f t="shared" si="123"/>
        <v>18067.264009350594</v>
      </c>
      <c r="AT46" s="1178">
        <f t="shared" si="54"/>
        <v>397479.80820571305</v>
      </c>
      <c r="AU46" s="1178">
        <f t="shared" si="20"/>
        <v>47697.576984685562</v>
      </c>
      <c r="AV46" s="1178">
        <f t="shared" si="55"/>
        <v>445177.38519039861</v>
      </c>
      <c r="AW46" s="1178">
        <f t="shared" si="56"/>
        <v>3445177.3851903984</v>
      </c>
      <c r="AX46" s="762">
        <f t="shared" si="57"/>
        <v>43064.717314879985</v>
      </c>
      <c r="AY46" s="717" t="s">
        <v>231</v>
      </c>
      <c r="AZ46" s="717">
        <f t="shared" si="58"/>
        <v>3488242.1025052783</v>
      </c>
      <c r="BA46" s="717">
        <f t="shared" si="59"/>
        <v>130809.07884394794</v>
      </c>
      <c r="BB46" s="717"/>
      <c r="BC46" s="717">
        <f t="shared" si="21"/>
        <v>33600</v>
      </c>
      <c r="BD46" s="717">
        <f t="shared" si="60"/>
        <v>3652651.1813492263</v>
      </c>
      <c r="BE46" s="717"/>
      <c r="BF46" s="717">
        <f t="shared" si="61"/>
        <v>3652651.1813492263</v>
      </c>
      <c r="BG46" s="1209"/>
      <c r="BH46" s="717">
        <f t="shared" si="62"/>
        <v>3652651.1813492263</v>
      </c>
      <c r="BI46" s="717">
        <v>718.43902439024396</v>
      </c>
      <c r="BJ46" s="717">
        <f t="shared" si="63"/>
        <v>3653369.6203736165</v>
      </c>
      <c r="BK46" s="717"/>
      <c r="BL46" s="717">
        <f t="shared" si="64"/>
        <v>3653369.6203736165</v>
      </c>
      <c r="BM46" s="717">
        <f t="shared" ref="BM46:BM47" si="157">$BM$5/41</f>
        <v>1038.0487804878051</v>
      </c>
      <c r="BN46" s="717">
        <f t="shared" si="65"/>
        <v>3654407.6691541043</v>
      </c>
      <c r="BO46" s="717"/>
      <c r="BP46" s="717">
        <f t="shared" si="22"/>
        <v>3654407.6691541043</v>
      </c>
      <c r="BQ46" s="717"/>
      <c r="BR46" s="717">
        <f t="shared" si="133"/>
        <v>3654407.6691541043</v>
      </c>
      <c r="BS46" s="717"/>
      <c r="BT46" s="717">
        <f t="shared" si="66"/>
        <v>3654407.6691541043</v>
      </c>
      <c r="BU46" s="717"/>
      <c r="BV46" s="1235">
        <f t="shared" si="134"/>
        <v>51400</v>
      </c>
      <c r="BW46" s="717">
        <f t="shared" si="67"/>
        <v>3705807.6691541043</v>
      </c>
      <c r="BX46" s="717"/>
      <c r="BY46" s="717">
        <f t="shared" si="68"/>
        <v>3705807.6691541043</v>
      </c>
      <c r="BZ46" s="1194">
        <f t="shared" si="69"/>
        <v>3705807.6691541043</v>
      </c>
      <c r="CA46" s="1194">
        <f t="shared" si="70"/>
        <v>3023807.6691541043</v>
      </c>
      <c r="CB46" s="1194">
        <v>31000</v>
      </c>
      <c r="CC46" s="1194">
        <f t="shared" si="71"/>
        <v>682000</v>
      </c>
      <c r="CD46" s="1194">
        <f t="shared" si="72"/>
        <v>81840</v>
      </c>
      <c r="CE46" s="1194">
        <f t="shared" si="73"/>
        <v>763840</v>
      </c>
      <c r="CF46" s="1200">
        <f t="shared" si="74"/>
        <v>3787647.6691541043</v>
      </c>
      <c r="CG46" s="757">
        <f t="shared" si="75"/>
        <v>3787647.6691541043</v>
      </c>
      <c r="CH46" s="758">
        <f t="shared" si="76"/>
        <v>0</v>
      </c>
      <c r="CI46" s="757">
        <f t="shared" si="25"/>
        <v>388233.88608829567</v>
      </c>
      <c r="CJ46" s="757">
        <f t="shared" si="26"/>
        <v>94691.191728852617</v>
      </c>
      <c r="CK46" s="759">
        <f t="shared" si="155"/>
        <v>4270572.7469712524</v>
      </c>
      <c r="CL46" s="764">
        <f t="shared" si="78"/>
        <v>0.125</v>
      </c>
      <c r="CM46" s="757">
        <f t="shared" si="79"/>
        <v>533821.59337140655</v>
      </c>
      <c r="CN46" s="757">
        <f t="shared" si="124"/>
        <v>30000</v>
      </c>
      <c r="CO46" s="757">
        <f t="shared" si="80"/>
        <v>503821.59337140655</v>
      </c>
      <c r="CP46" s="755">
        <f t="shared" si="81"/>
        <v>29</v>
      </c>
      <c r="CQ46" s="757">
        <f t="shared" si="129"/>
        <v>17373.158392117468</v>
      </c>
      <c r="CR46" s="764">
        <f t="shared" si="83"/>
        <v>0.875</v>
      </c>
      <c r="CS46" s="757">
        <f t="shared" si="84"/>
        <v>3736751.1535998457</v>
      </c>
      <c r="CT46" s="1101">
        <f t="shared" si="85"/>
        <v>28970.99192058562</v>
      </c>
      <c r="CU46" s="1101">
        <f t="shared" si="86"/>
        <v>33586.975779959612</v>
      </c>
      <c r="CV46" s="1101">
        <f t="shared" si="87"/>
        <v>43386.849366291717</v>
      </c>
      <c r="CW46" s="1141">
        <f t="shared" si="27"/>
        <v>73992.151488310701</v>
      </c>
      <c r="CX46" s="1152">
        <f t="shared" si="88"/>
        <v>303548.17352383933</v>
      </c>
      <c r="CY46" s="1152">
        <f t="shared" si="89"/>
        <v>120112.53359533518</v>
      </c>
      <c r="CZ46" s="1152">
        <f t="shared" si="90"/>
        <v>86755.58183872317</v>
      </c>
      <c r="DA46" s="1152">
        <f t="shared" si="91"/>
        <v>66024.991799973577</v>
      </c>
      <c r="DB46" s="1143">
        <f t="shared" si="28"/>
        <v>0.13249326940190434</v>
      </c>
      <c r="DC46" s="1143">
        <f t="shared" si="125"/>
        <v>0.2526086588746832</v>
      </c>
      <c r="DD46" s="1098" t="s">
        <v>232</v>
      </c>
      <c r="DE46" s="1144"/>
      <c r="DF46" s="705"/>
      <c r="DG46" s="765">
        <f t="shared" si="126"/>
        <v>46082</v>
      </c>
      <c r="DH46" s="1116">
        <f t="shared" si="29"/>
        <v>28</v>
      </c>
      <c r="DI46" s="497"/>
      <c r="DJ46" s="1117">
        <f t="shared" si="92"/>
        <v>46147</v>
      </c>
      <c r="DK46" s="1116">
        <f t="shared" si="93"/>
        <v>30</v>
      </c>
      <c r="DL46" s="766" t="s">
        <v>233</v>
      </c>
      <c r="DM46" s="766" t="s">
        <v>234</v>
      </c>
      <c r="DN46" s="767">
        <f t="shared" si="30"/>
        <v>20235.335690472664</v>
      </c>
      <c r="DO46" s="767">
        <f t="shared" si="31"/>
        <v>445177.38519039861</v>
      </c>
      <c r="DP46" s="768">
        <f t="shared" si="32"/>
        <v>0.14839246173013287</v>
      </c>
      <c r="DR46" s="767">
        <f t="shared" si="33"/>
        <v>3787647.6691541043</v>
      </c>
      <c r="DS46" s="767">
        <f>SUM('[6]INTERNAL PRICELIST'!M46)</f>
        <v>2329361</v>
      </c>
      <c r="DT46" s="767">
        <f t="shared" si="94"/>
        <v>1458286.6691541043</v>
      </c>
      <c r="DV46" s="951">
        <f t="shared" si="34"/>
        <v>172165.80314336836</v>
      </c>
      <c r="DX46" s="772">
        <v>5</v>
      </c>
      <c r="DY46" s="773" t="s">
        <v>255</v>
      </c>
      <c r="DZ46" s="774">
        <v>22</v>
      </c>
      <c r="EA46" s="775">
        <f t="shared" si="156"/>
        <v>0</v>
      </c>
      <c r="ED46" s="755" t="s">
        <v>352</v>
      </c>
      <c r="EE46" s="777" t="b">
        <f t="shared" si="36"/>
        <v>1</v>
      </c>
      <c r="EF46" s="1123" t="s">
        <v>353</v>
      </c>
      <c r="EG46" s="1123" t="s">
        <v>336</v>
      </c>
      <c r="EH46" s="1203"/>
      <c r="EP46" s="1230" t="s">
        <v>236</v>
      </c>
      <c r="EQ46" s="1145" t="s">
        <v>236</v>
      </c>
      <c r="ER46" s="753" t="b">
        <f t="shared" si="95"/>
        <v>1</v>
      </c>
      <c r="EU46" s="770">
        <v>2221760</v>
      </c>
      <c r="EV46" s="771" t="s">
        <v>236</v>
      </c>
      <c r="EZ46" s="520"/>
      <c r="FA46" s="778"/>
      <c r="FG46" s="1107"/>
      <c r="FJ46" s="994">
        <v>0.15</v>
      </c>
      <c r="FK46" s="993">
        <v>12820.110851026688</v>
      </c>
      <c r="FL46" s="993">
        <v>13166.600333486867</v>
      </c>
      <c r="FM46" s="497"/>
      <c r="FN46" s="993">
        <f t="shared" si="38"/>
        <v>4270572.7469712524</v>
      </c>
      <c r="FO46" s="994">
        <f t="shared" si="96"/>
        <v>0.15</v>
      </c>
      <c r="FP46" s="775">
        <f t="shared" si="39"/>
        <v>640585.91204568779</v>
      </c>
      <c r="FQ46" s="993">
        <f t="shared" si="40"/>
        <v>30000</v>
      </c>
      <c r="FR46" s="775">
        <f t="shared" si="97"/>
        <v>610585.91204568779</v>
      </c>
      <c r="FS46" s="497">
        <f t="shared" si="98"/>
        <v>40</v>
      </c>
      <c r="FT46" s="775">
        <f t="shared" si="99"/>
        <v>15264.647801142195</v>
      </c>
      <c r="FU46" s="497"/>
      <c r="FV46" s="993">
        <f t="shared" si="100"/>
        <v>4270572.7469712524</v>
      </c>
      <c r="FW46" s="705">
        <f t="shared" si="101"/>
        <v>427057.27469712525</v>
      </c>
      <c r="FX46" s="705">
        <f t="shared" si="102"/>
        <v>106764.31867428131</v>
      </c>
      <c r="FY46" s="705">
        <v>15000</v>
      </c>
      <c r="FZ46" s="705">
        <f t="shared" si="103"/>
        <v>412057.27469712525</v>
      </c>
      <c r="GA46" s="497">
        <f t="shared" si="104"/>
        <v>46</v>
      </c>
      <c r="GB46" s="775">
        <f t="shared" si="105"/>
        <v>8957.7668412418534</v>
      </c>
      <c r="GC46" s="497"/>
      <c r="GD46" s="497"/>
      <c r="GE46" s="1107">
        <v>46113</v>
      </c>
      <c r="GH46" s="1095">
        <f t="shared" si="0"/>
        <v>4270572.7469712524</v>
      </c>
      <c r="GI46" s="1098">
        <f t="shared" si="1"/>
        <v>0.125</v>
      </c>
      <c r="GJ46" s="1095">
        <f t="shared" si="2"/>
        <v>533821.59337140655</v>
      </c>
      <c r="GK46" s="1095">
        <f t="shared" si="3"/>
        <v>30000</v>
      </c>
      <c r="GL46" s="1095">
        <f t="shared" si="4"/>
        <v>503821.59337140655</v>
      </c>
      <c r="GM46" s="1095">
        <f t="shared" si="5"/>
        <v>29</v>
      </c>
      <c r="GN46" s="1095">
        <f t="shared" si="6"/>
        <v>17373.158392117468</v>
      </c>
      <c r="GO46" s="1098">
        <f t="shared" si="7"/>
        <v>0.875</v>
      </c>
      <c r="GP46" s="1095">
        <f t="shared" si="8"/>
        <v>3736751.1535998457</v>
      </c>
      <c r="GQ46" s="1095">
        <f t="shared" si="9"/>
        <v>28970.99192058562</v>
      </c>
      <c r="GR46" s="1095">
        <f t="shared" si="10"/>
        <v>33586.975779959612</v>
      </c>
      <c r="GS46" s="1095">
        <f t="shared" si="11"/>
        <v>43386.849366291717</v>
      </c>
      <c r="GT46" s="1095">
        <f t="shared" si="12"/>
        <v>73992.151488310701</v>
      </c>
      <c r="GU46" s="497"/>
      <c r="GV46" s="1095">
        <f t="shared" si="106"/>
        <v>4270572.7469712524</v>
      </c>
      <c r="GW46" s="1098">
        <f t="shared" si="107"/>
        <v>0.125</v>
      </c>
      <c r="GX46" s="1095">
        <f t="shared" si="108"/>
        <v>533821.59337140655</v>
      </c>
      <c r="GY46" s="1095">
        <f t="shared" si="109"/>
        <v>30000</v>
      </c>
      <c r="GZ46" s="1095">
        <f t="shared" si="110"/>
        <v>503821.59337140655</v>
      </c>
      <c r="HA46" s="1106">
        <f t="shared" si="111"/>
        <v>48</v>
      </c>
      <c r="HB46" s="770">
        <f t="shared" si="112"/>
        <v>10496.283195237636</v>
      </c>
      <c r="HC46" s="1098">
        <f t="shared" si="113"/>
        <v>0.875</v>
      </c>
      <c r="HD46" s="1102">
        <f t="shared" si="114"/>
        <v>3736751.1535998457</v>
      </c>
      <c r="HE46" s="1101">
        <f t="shared" si="115"/>
        <v>28970.99192058562</v>
      </c>
      <c r="HF46" s="1101">
        <f t="shared" si="116"/>
        <v>33586.975779959612</v>
      </c>
      <c r="HG46" s="1101">
        <f t="shared" si="117"/>
        <v>43386.849366291717</v>
      </c>
      <c r="HH46" s="1101">
        <f t="shared" si="118"/>
        <v>73992.151488310701</v>
      </c>
      <c r="HI46" s="497"/>
      <c r="HJ46" s="1102">
        <f t="shared" si="119"/>
        <v>-6876.8751968798315</v>
      </c>
      <c r="HL46" s="775"/>
      <c r="HN46" s="775"/>
      <c r="HO46" s="775"/>
      <c r="HQ46" s="702"/>
      <c r="HR46" s="1171"/>
      <c r="HS46" s="702"/>
      <c r="HT46" s="1171"/>
    </row>
    <row r="47" spans="1:228" ht="14.25" customHeight="1">
      <c r="A47" s="753">
        <f t="shared" si="120"/>
        <v>41</v>
      </c>
      <c r="B47" s="753" t="s">
        <v>236</v>
      </c>
      <c r="C47" s="753">
        <f t="shared" si="121"/>
        <v>10</v>
      </c>
      <c r="D47" s="753" t="s">
        <v>253</v>
      </c>
      <c r="E47" s="717" t="str">
        <f t="shared" si="41"/>
        <v>4th Floor</v>
      </c>
      <c r="F47" s="754"/>
      <c r="G47" s="755" t="s">
        <v>354</v>
      </c>
      <c r="H47" s="756"/>
      <c r="I47" s="755" t="s">
        <v>229</v>
      </c>
      <c r="J47" s="757">
        <v>22</v>
      </c>
      <c r="K47" s="758"/>
      <c r="L47" s="759" t="s">
        <v>277</v>
      </c>
      <c r="M47" s="760" t="s">
        <v>278</v>
      </c>
      <c r="N47" s="761">
        <f t="shared" si="42"/>
        <v>106005.26567735759</v>
      </c>
      <c r="O47" s="762">
        <f t="shared" si="43"/>
        <v>2332115.8449018667</v>
      </c>
      <c r="P47" s="762">
        <f t="shared" si="44"/>
        <v>22400</v>
      </c>
      <c r="Q47" s="762">
        <f t="shared" si="14"/>
        <v>50000</v>
      </c>
      <c r="R47" s="762"/>
      <c r="S47" s="762"/>
      <c r="T47" s="762"/>
      <c r="U47" s="762"/>
      <c r="V47" s="762"/>
      <c r="W47" s="762">
        <f>J47*$W$5</f>
        <v>22000</v>
      </c>
      <c r="X47" s="762"/>
      <c r="Y47" s="762"/>
      <c r="Z47" s="762">
        <f t="shared" si="15"/>
        <v>142461</v>
      </c>
      <c r="AA47" s="762">
        <v>49222.732758620703</v>
      </c>
      <c r="AB47" s="762"/>
      <c r="AC47" s="762"/>
      <c r="AD47" s="763">
        <f t="shared" si="45"/>
        <v>286083.7327586207</v>
      </c>
      <c r="AE47" s="763">
        <f t="shared" si="16"/>
        <v>2618199.5776604875</v>
      </c>
      <c r="AF47" s="762">
        <f t="shared" si="17"/>
        <v>65454.989441512189</v>
      </c>
      <c r="AG47" s="762">
        <f t="shared" si="46"/>
        <v>2683654.5671019997</v>
      </c>
      <c r="AH47" s="762">
        <f t="shared" si="18"/>
        <v>67091.36417755</v>
      </c>
      <c r="AI47" s="762">
        <f t="shared" si="47"/>
        <v>2750745.9312795498</v>
      </c>
      <c r="AJ47" s="762">
        <f t="shared" si="48"/>
        <v>137537.29656397749</v>
      </c>
      <c r="AK47" s="762">
        <f t="shared" si="122"/>
        <v>2888283.2278435272</v>
      </c>
      <c r="AL47" s="762">
        <f>AK47*AL$5+29772.4420833333</f>
        <v>58655.27436176857</v>
      </c>
      <c r="AM47" s="762">
        <f t="shared" si="50"/>
        <v>27537.409960060559</v>
      </c>
      <c r="AN47" s="762"/>
      <c r="AO47" s="763">
        <f t="shared" si="51"/>
        <v>2974475.9121653563</v>
      </c>
      <c r="AP47" s="763">
        <f t="shared" si="52"/>
        <v>490788.5255072838</v>
      </c>
      <c r="AQ47" s="763">
        <f t="shared" si="53"/>
        <v>3465264.4376726402</v>
      </c>
      <c r="AR47" s="1178">
        <f t="shared" si="19"/>
        <v>3000000</v>
      </c>
      <c r="AS47" s="1178">
        <f t="shared" si="123"/>
        <v>21148.383530574556</v>
      </c>
      <c r="AT47" s="1178">
        <f t="shared" si="54"/>
        <v>465264.4376726402</v>
      </c>
      <c r="AU47" s="1178">
        <f t="shared" si="20"/>
        <v>55831.732520716825</v>
      </c>
      <c r="AV47" s="1178">
        <f t="shared" si="55"/>
        <v>521096.17019335704</v>
      </c>
      <c r="AW47" s="1178">
        <f t="shared" si="56"/>
        <v>3521096.1701933569</v>
      </c>
      <c r="AX47" s="762">
        <f t="shared" si="57"/>
        <v>44013.702127416967</v>
      </c>
      <c r="AY47" s="717">
        <v>7575.3956645161297</v>
      </c>
      <c r="AZ47" s="717">
        <f t="shared" si="58"/>
        <v>3572685.2679852899</v>
      </c>
      <c r="BA47" s="717">
        <f t="shared" si="59"/>
        <v>133975.69754944838</v>
      </c>
      <c r="BB47" s="717"/>
      <c r="BC47" s="717">
        <f t="shared" si="21"/>
        <v>33600</v>
      </c>
      <c r="BD47" s="717">
        <f t="shared" si="60"/>
        <v>3740260.9655347383</v>
      </c>
      <c r="BE47" s="717">
        <v>18367.830916129038</v>
      </c>
      <c r="BF47" s="717">
        <f t="shared" si="61"/>
        <v>3758628.7964508673</v>
      </c>
      <c r="BG47" s="1209"/>
      <c r="BH47" s="717">
        <f t="shared" si="62"/>
        <v>3758628.7964508673</v>
      </c>
      <c r="BI47" s="717">
        <v>718.43902439024396</v>
      </c>
      <c r="BJ47" s="717">
        <f t="shared" si="63"/>
        <v>3759347.2354752575</v>
      </c>
      <c r="BK47" s="717"/>
      <c r="BL47" s="717">
        <f t="shared" si="64"/>
        <v>3759347.2354752575</v>
      </c>
      <c r="BM47" s="717">
        <f t="shared" si="157"/>
        <v>1038.0487804878051</v>
      </c>
      <c r="BN47" s="717">
        <f t="shared" si="65"/>
        <v>3760385.2842557454</v>
      </c>
      <c r="BO47" s="717">
        <f>$BO$5/51</f>
        <v>7289.0781490196077</v>
      </c>
      <c r="BP47" s="717">
        <f t="shared" si="22"/>
        <v>3767674.3624047651</v>
      </c>
      <c r="BQ47" s="717">
        <f>$BQ$5/56</f>
        <v>4468.4242000000004</v>
      </c>
      <c r="BR47" s="717">
        <f t="shared" si="133"/>
        <v>3772142.7866047649</v>
      </c>
      <c r="BS47" s="1234">
        <f>$BS$5/64</f>
        <v>2651.4786794501206</v>
      </c>
      <c r="BT47" s="1235">
        <f t="shared" si="66"/>
        <v>3774794.2652842151</v>
      </c>
      <c r="BU47" s="1235">
        <f>$BU$5/65</f>
        <v>211.07692307692309</v>
      </c>
      <c r="BV47" s="1235">
        <f t="shared" si="134"/>
        <v>51400</v>
      </c>
      <c r="BW47" s="717">
        <f t="shared" si="67"/>
        <v>3826405.3422072921</v>
      </c>
      <c r="BX47" s="1234">
        <f t="shared" si="147"/>
        <v>27651.078536278128</v>
      </c>
      <c r="BY47" s="717">
        <f t="shared" si="68"/>
        <v>3854056.4207435702</v>
      </c>
      <c r="BZ47" s="1194">
        <f t="shared" si="69"/>
        <v>3854056.4207435702</v>
      </c>
      <c r="CA47" s="1194">
        <f t="shared" si="70"/>
        <v>2974056.4207435702</v>
      </c>
      <c r="CB47" s="1194">
        <f>$CB$5</f>
        <v>40000</v>
      </c>
      <c r="CC47" s="1194">
        <f t="shared" si="71"/>
        <v>880000</v>
      </c>
      <c r="CD47" s="1194">
        <f t="shared" si="72"/>
        <v>105600</v>
      </c>
      <c r="CE47" s="1194">
        <f t="shared" si="73"/>
        <v>985600</v>
      </c>
      <c r="CF47" s="1200">
        <f t="shared" si="74"/>
        <v>3959656.4207435702</v>
      </c>
      <c r="CG47" s="757">
        <f t="shared" si="75"/>
        <v>3959656.4207435702</v>
      </c>
      <c r="CH47" s="758">
        <f t="shared" si="76"/>
        <v>0</v>
      </c>
      <c r="CI47" s="757">
        <f t="shared" si="25"/>
        <v>405864.78312621592</v>
      </c>
      <c r="CJ47" s="757">
        <f t="shared" si="26"/>
        <v>98991.410518589255</v>
      </c>
      <c r="CK47" s="759">
        <f t="shared" si="155"/>
        <v>4464512.6143883755</v>
      </c>
      <c r="CL47" s="764">
        <f t="shared" si="78"/>
        <v>0.125</v>
      </c>
      <c r="CM47" s="757">
        <f t="shared" si="79"/>
        <v>558064.07679854694</v>
      </c>
      <c r="CN47" s="757">
        <f t="shared" si="124"/>
        <v>30000</v>
      </c>
      <c r="CO47" s="757">
        <f t="shared" si="80"/>
        <v>528064.07679854694</v>
      </c>
      <c r="CP47" s="755">
        <f t="shared" si="81"/>
        <v>29</v>
      </c>
      <c r="CQ47" s="757">
        <f t="shared" si="129"/>
        <v>18209.106096501619</v>
      </c>
      <c r="CR47" s="764">
        <f t="shared" si="83"/>
        <v>0.875</v>
      </c>
      <c r="CS47" s="757">
        <f t="shared" si="84"/>
        <v>3906448.5375898285</v>
      </c>
      <c r="CT47" s="1101">
        <f t="shared" si="85"/>
        <v>30286.65393243303</v>
      </c>
      <c r="CU47" s="1101">
        <f t="shared" si="86"/>
        <v>35112.263842158573</v>
      </c>
      <c r="CV47" s="1101">
        <f t="shared" si="87"/>
        <v>45357.179884537298</v>
      </c>
      <c r="CW47" s="1141">
        <f t="shared" si="27"/>
        <v>77352.363080474286</v>
      </c>
      <c r="CX47" s="1152">
        <f t="shared" si="88"/>
        <v>317333.2314109049</v>
      </c>
      <c r="CY47" s="1152">
        <f t="shared" si="89"/>
        <v>125567.21385037471</v>
      </c>
      <c r="CZ47" s="1152">
        <f t="shared" si="90"/>
        <v>90695.420131240287</v>
      </c>
      <c r="DA47" s="1152">
        <f t="shared" si="91"/>
        <v>69023.390121366174</v>
      </c>
      <c r="DB47" s="1143">
        <f t="shared" si="28"/>
        <v>0.15508814589088007</v>
      </c>
      <c r="DC47" s="1143">
        <f t="shared" si="125"/>
        <v>0.33139922737362909</v>
      </c>
      <c r="DD47" s="1098" t="s">
        <v>232</v>
      </c>
      <c r="DE47" s="1144"/>
      <c r="DF47" s="705"/>
      <c r="DG47" s="765">
        <f t="shared" si="126"/>
        <v>46082</v>
      </c>
      <c r="DH47" s="1116">
        <f t="shared" si="29"/>
        <v>28</v>
      </c>
      <c r="DI47" s="497"/>
      <c r="DJ47" s="1117">
        <f t="shared" si="92"/>
        <v>46147</v>
      </c>
      <c r="DK47" s="1116">
        <f t="shared" si="93"/>
        <v>30</v>
      </c>
      <c r="DL47" s="766" t="s">
        <v>233</v>
      </c>
      <c r="DM47" s="766" t="s">
        <v>234</v>
      </c>
      <c r="DN47" s="767">
        <f t="shared" si="30"/>
        <v>23686.189554243501</v>
      </c>
      <c r="DO47" s="767">
        <f t="shared" si="31"/>
        <v>521096.17019335704</v>
      </c>
      <c r="DP47" s="768">
        <f t="shared" si="32"/>
        <v>0.17369872339778569</v>
      </c>
      <c r="DR47" s="767">
        <f t="shared" si="33"/>
        <v>3959656.4207435702</v>
      </c>
      <c r="DS47" s="767">
        <f>SUM('[6]INTERNAL PRICELIST'!M47)</f>
        <v>2329361</v>
      </c>
      <c r="DT47" s="767">
        <f t="shared" si="94"/>
        <v>1630295.4207435702</v>
      </c>
      <c r="DV47" s="951">
        <f t="shared" si="34"/>
        <v>179984.38276107138</v>
      </c>
      <c r="DX47" s="773">
        <v>6</v>
      </c>
      <c r="DY47" s="773" t="s">
        <v>262</v>
      </c>
      <c r="DZ47" s="774">
        <v>22</v>
      </c>
      <c r="EA47" s="775">
        <f t="shared" si="156"/>
        <v>0</v>
      </c>
      <c r="ED47" s="755" t="s">
        <v>354</v>
      </c>
      <c r="EE47" s="777" t="b">
        <f t="shared" si="36"/>
        <v>1</v>
      </c>
      <c r="EF47" s="1123" t="s">
        <v>355</v>
      </c>
      <c r="EG47" s="1123" t="s">
        <v>336</v>
      </c>
      <c r="EH47" s="1203"/>
      <c r="EP47" s="1230" t="s">
        <v>258</v>
      </c>
      <c r="EQ47" s="1145" t="s">
        <v>258</v>
      </c>
      <c r="ER47" s="753" t="b">
        <f t="shared" si="95"/>
        <v>1</v>
      </c>
      <c r="EU47" s="770">
        <v>2172480</v>
      </c>
      <c r="EV47" s="771" t="s">
        <v>236</v>
      </c>
      <c r="EZ47" s="520"/>
      <c r="FA47" s="778"/>
      <c r="FG47" s="1107"/>
      <c r="FJ47" s="994">
        <v>0.15</v>
      </c>
      <c r="FK47" s="993">
        <v>12942.297377862546</v>
      </c>
      <c r="FL47" s="993">
        <v>13292.089198885857</v>
      </c>
      <c r="FM47" s="497"/>
      <c r="FN47" s="993">
        <f t="shared" si="38"/>
        <v>4464512.6143883755</v>
      </c>
      <c r="FO47" s="994">
        <f t="shared" si="96"/>
        <v>0.15</v>
      </c>
      <c r="FP47" s="775">
        <f t="shared" si="39"/>
        <v>669676.89215825626</v>
      </c>
      <c r="FQ47" s="993">
        <f t="shared" si="40"/>
        <v>30000</v>
      </c>
      <c r="FR47" s="775">
        <f t="shared" si="97"/>
        <v>639676.89215825626</v>
      </c>
      <c r="FS47" s="497">
        <f t="shared" si="98"/>
        <v>40</v>
      </c>
      <c r="FT47" s="775">
        <f t="shared" si="99"/>
        <v>15991.922303956406</v>
      </c>
      <c r="FU47" s="497"/>
      <c r="FV47" s="993">
        <f t="shared" si="100"/>
        <v>4464512.6143883755</v>
      </c>
      <c r="FW47" s="705">
        <f t="shared" si="101"/>
        <v>446451.26143883757</v>
      </c>
      <c r="FX47" s="705">
        <f t="shared" si="102"/>
        <v>111612.81535970939</v>
      </c>
      <c r="FY47" s="705">
        <v>15000</v>
      </c>
      <c r="FZ47" s="705">
        <f t="shared" si="103"/>
        <v>431451.26143883757</v>
      </c>
      <c r="GA47" s="497">
        <f t="shared" si="104"/>
        <v>46</v>
      </c>
      <c r="GB47" s="775">
        <f t="shared" si="105"/>
        <v>9379.3752486703816</v>
      </c>
      <c r="GC47" s="497"/>
      <c r="GD47" s="497"/>
      <c r="GE47" s="1107">
        <v>46143</v>
      </c>
      <c r="GH47" s="1095">
        <f t="shared" si="0"/>
        <v>4464512.6143883755</v>
      </c>
      <c r="GI47" s="1098">
        <f t="shared" si="1"/>
        <v>0.125</v>
      </c>
      <c r="GJ47" s="1095">
        <f t="shared" si="2"/>
        <v>558064.07679854694</v>
      </c>
      <c r="GK47" s="1095">
        <f t="shared" si="3"/>
        <v>30000</v>
      </c>
      <c r="GL47" s="1095">
        <f t="shared" si="4"/>
        <v>528064.07679854694</v>
      </c>
      <c r="GM47" s="1095">
        <f t="shared" si="5"/>
        <v>29</v>
      </c>
      <c r="GN47" s="1095">
        <f t="shared" si="6"/>
        <v>18209.106096501619</v>
      </c>
      <c r="GO47" s="1098">
        <f t="shared" si="7"/>
        <v>0.875</v>
      </c>
      <c r="GP47" s="1095">
        <f t="shared" si="8"/>
        <v>3906448.5375898285</v>
      </c>
      <c r="GQ47" s="1095">
        <f t="shared" si="9"/>
        <v>30286.65393243303</v>
      </c>
      <c r="GR47" s="1095">
        <f t="shared" si="10"/>
        <v>35112.263842158573</v>
      </c>
      <c r="GS47" s="1095">
        <f t="shared" si="11"/>
        <v>45357.179884537298</v>
      </c>
      <c r="GT47" s="1095">
        <f t="shared" si="12"/>
        <v>77352.363080474286</v>
      </c>
      <c r="GU47" s="497"/>
      <c r="GV47" s="1095">
        <f t="shared" si="106"/>
        <v>4464512.6143883755</v>
      </c>
      <c r="GW47" s="1098">
        <f t="shared" si="107"/>
        <v>0.125</v>
      </c>
      <c r="GX47" s="1095">
        <f t="shared" si="108"/>
        <v>558064.07679854694</v>
      </c>
      <c r="GY47" s="1095">
        <f t="shared" si="109"/>
        <v>30000</v>
      </c>
      <c r="GZ47" s="1095">
        <f t="shared" si="110"/>
        <v>528064.07679854694</v>
      </c>
      <c r="HA47" s="1106">
        <f t="shared" si="111"/>
        <v>48</v>
      </c>
      <c r="HB47" s="770">
        <f t="shared" si="112"/>
        <v>11001.334933303062</v>
      </c>
      <c r="HC47" s="1098">
        <f t="shared" si="113"/>
        <v>0.875</v>
      </c>
      <c r="HD47" s="1102">
        <f t="shared" si="114"/>
        <v>3906448.5375898285</v>
      </c>
      <c r="HE47" s="1101">
        <f t="shared" si="115"/>
        <v>30286.65393243303</v>
      </c>
      <c r="HF47" s="1101">
        <f t="shared" si="116"/>
        <v>35112.263842158573</v>
      </c>
      <c r="HG47" s="1101">
        <f t="shared" si="117"/>
        <v>45357.179884537298</v>
      </c>
      <c r="HH47" s="1101">
        <f t="shared" si="118"/>
        <v>77352.363080474286</v>
      </c>
      <c r="HI47" s="497"/>
      <c r="HJ47" s="1102">
        <f t="shared" si="119"/>
        <v>-7207.7711631985567</v>
      </c>
      <c r="HL47" s="775"/>
      <c r="HN47" s="775"/>
      <c r="HO47" s="775"/>
      <c r="HQ47" s="702"/>
      <c r="HR47" s="1171"/>
      <c r="HS47" s="702"/>
      <c r="HT47" s="1171"/>
    </row>
    <row r="48" spans="1:228" ht="14.25" hidden="1" customHeight="1">
      <c r="A48" s="753">
        <f t="shared" si="120"/>
        <v>42</v>
      </c>
      <c r="B48" s="753"/>
      <c r="C48" s="753">
        <f t="shared" si="121"/>
        <v>11</v>
      </c>
      <c r="D48" s="753" t="s">
        <v>253</v>
      </c>
      <c r="E48" s="717" t="str">
        <f t="shared" si="41"/>
        <v>4th Floor</v>
      </c>
      <c r="F48" s="754"/>
      <c r="G48" s="755" t="s">
        <v>356</v>
      </c>
      <c r="H48" s="756"/>
      <c r="I48" s="755" t="s">
        <v>229</v>
      </c>
      <c r="J48" s="757">
        <v>22</v>
      </c>
      <c r="K48" s="758"/>
      <c r="L48" s="759" t="s">
        <v>277</v>
      </c>
      <c r="M48" s="760" t="s">
        <v>68</v>
      </c>
      <c r="N48" s="761">
        <f t="shared" si="42"/>
        <v>106005.26567735759</v>
      </c>
      <c r="O48" s="762">
        <f t="shared" si="43"/>
        <v>2332115.8449018667</v>
      </c>
      <c r="P48" s="762">
        <f t="shared" si="44"/>
        <v>22400</v>
      </c>
      <c r="Q48" s="762">
        <f t="shared" si="14"/>
        <v>50000</v>
      </c>
      <c r="R48" s="762"/>
      <c r="S48" s="762"/>
      <c r="T48" s="762"/>
      <c r="U48" s="762"/>
      <c r="V48" s="762"/>
      <c r="W48" s="762"/>
      <c r="X48" s="762"/>
      <c r="Y48" s="762"/>
      <c r="Z48" s="762">
        <f t="shared" si="15"/>
        <v>142461</v>
      </c>
      <c r="AA48" s="762">
        <v>45722.732758620688</v>
      </c>
      <c r="AB48" s="762"/>
      <c r="AC48" s="762"/>
      <c r="AD48" s="763">
        <f t="shared" si="45"/>
        <v>260583.7327586207</v>
      </c>
      <c r="AE48" s="763">
        <f t="shared" si="16"/>
        <v>2592699.5776604875</v>
      </c>
      <c r="AF48" s="762">
        <f t="shared" si="17"/>
        <v>64817.489441512189</v>
      </c>
      <c r="AG48" s="762">
        <f t="shared" si="46"/>
        <v>2657517.0671019997</v>
      </c>
      <c r="AH48" s="762">
        <f t="shared" si="18"/>
        <v>66437.92667755</v>
      </c>
      <c r="AI48" s="762">
        <f t="shared" si="47"/>
        <v>2723954.9937795498</v>
      </c>
      <c r="AJ48" s="762">
        <f t="shared" si="48"/>
        <v>136197.74968897749</v>
      </c>
      <c r="AK48" s="762">
        <f t="shared" si="122"/>
        <v>2860152.7434685272</v>
      </c>
      <c r="AL48" s="762">
        <f t="shared" si="49"/>
        <v>28601.527434685271</v>
      </c>
      <c r="AM48" s="762">
        <f t="shared" si="50"/>
        <v>27537.409960060559</v>
      </c>
      <c r="AN48" s="762"/>
      <c r="AO48" s="763">
        <f t="shared" si="51"/>
        <v>2916291.6808632729</v>
      </c>
      <c r="AP48" s="763">
        <f t="shared" si="52"/>
        <v>481188.12734244007</v>
      </c>
      <c r="AQ48" s="763">
        <f t="shared" si="53"/>
        <v>3397479.8082057131</v>
      </c>
      <c r="AR48" s="1178">
        <f t="shared" si="19"/>
        <v>3000000</v>
      </c>
      <c r="AS48" s="1178">
        <f t="shared" si="123"/>
        <v>18067.264009350594</v>
      </c>
      <c r="AT48" s="1178">
        <f t="shared" si="54"/>
        <v>397479.80820571305</v>
      </c>
      <c r="AU48" s="1178">
        <f t="shared" si="20"/>
        <v>47697.576984685562</v>
      </c>
      <c r="AV48" s="1178">
        <f t="shared" si="55"/>
        <v>445177.38519039861</v>
      </c>
      <c r="AW48" s="1178">
        <f t="shared" si="56"/>
        <v>3445177.3851903984</v>
      </c>
      <c r="AX48" s="762">
        <f t="shared" si="57"/>
        <v>43064.717314879985</v>
      </c>
      <c r="AY48" s="717" t="s">
        <v>231</v>
      </c>
      <c r="AZ48" s="717">
        <f t="shared" si="58"/>
        <v>3488242.1025052783</v>
      </c>
      <c r="BA48" s="717">
        <f t="shared" si="59"/>
        <v>130809.07884394794</v>
      </c>
      <c r="BB48" s="717"/>
      <c r="BC48" s="717">
        <f t="shared" si="21"/>
        <v>33600</v>
      </c>
      <c r="BD48" s="717">
        <f t="shared" si="60"/>
        <v>3652651.1813492263</v>
      </c>
      <c r="BE48" s="717"/>
      <c r="BF48" s="717">
        <f t="shared" si="61"/>
        <v>3652651.1813492263</v>
      </c>
      <c r="BG48" s="1209"/>
      <c r="BH48" s="717">
        <f t="shared" si="62"/>
        <v>3652651.1813492263</v>
      </c>
      <c r="BI48" s="717"/>
      <c r="BJ48" s="717">
        <f t="shared" si="63"/>
        <v>3652651.1813492263</v>
      </c>
      <c r="BK48" s="717"/>
      <c r="BL48" s="717">
        <f t="shared" si="64"/>
        <v>3652651.1813492263</v>
      </c>
      <c r="BM48" s="717"/>
      <c r="BN48" s="717">
        <f t="shared" si="65"/>
        <v>3652651.1813492263</v>
      </c>
      <c r="BO48" s="717"/>
      <c r="BP48" s="717">
        <f t="shared" si="22"/>
        <v>3652651.1813492263</v>
      </c>
      <c r="BQ48" s="717"/>
      <c r="BR48" s="717">
        <f t="shared" si="133"/>
        <v>3652651.1813492263</v>
      </c>
      <c r="BS48" s="717"/>
      <c r="BT48" s="717">
        <f t="shared" si="66"/>
        <v>3652651.1813492263</v>
      </c>
      <c r="BU48" s="717"/>
      <c r="BV48" s="1235">
        <f t="shared" si="134"/>
        <v>51400</v>
      </c>
      <c r="BW48" s="717">
        <f t="shared" si="67"/>
        <v>3704051.1813492263</v>
      </c>
      <c r="BX48" s="717"/>
      <c r="BY48" s="717">
        <f t="shared" si="68"/>
        <v>3704051.1813492263</v>
      </c>
      <c r="BZ48" s="1194">
        <f t="shared" si="69"/>
        <v>3704051.1813492263</v>
      </c>
      <c r="CA48" s="1194">
        <f t="shared" si="70"/>
        <v>3022051.1813492263</v>
      </c>
      <c r="CB48" s="1194">
        <v>31000</v>
      </c>
      <c r="CC48" s="1194">
        <f t="shared" si="71"/>
        <v>682000</v>
      </c>
      <c r="CD48" s="1194">
        <f t="shared" si="72"/>
        <v>81840</v>
      </c>
      <c r="CE48" s="1194">
        <f t="shared" si="73"/>
        <v>763840</v>
      </c>
      <c r="CF48" s="1200">
        <f t="shared" si="74"/>
        <v>3785891.1813492263</v>
      </c>
      <c r="CG48" s="757">
        <f t="shared" si="75"/>
        <v>3785891.1813492263</v>
      </c>
      <c r="CH48" s="758">
        <f t="shared" si="76"/>
        <v>0</v>
      </c>
      <c r="CI48" s="757">
        <f t="shared" si="25"/>
        <v>388053.84608829569</v>
      </c>
      <c r="CJ48" s="757">
        <f t="shared" si="26"/>
        <v>94647.27953373066</v>
      </c>
      <c r="CK48" s="759">
        <f t="shared" si="155"/>
        <v>4268592.3069712529</v>
      </c>
      <c r="CL48" s="764">
        <f t="shared" si="78"/>
        <v>0.125</v>
      </c>
      <c r="CM48" s="757">
        <f t="shared" si="79"/>
        <v>533574.03837140661</v>
      </c>
      <c r="CN48" s="757">
        <f t="shared" si="124"/>
        <v>30000</v>
      </c>
      <c r="CO48" s="757">
        <f t="shared" si="80"/>
        <v>503574.03837140661</v>
      </c>
      <c r="CP48" s="755">
        <f t="shared" si="81"/>
        <v>29</v>
      </c>
      <c r="CQ48" s="757">
        <f t="shared" si="129"/>
        <v>17364.622012807125</v>
      </c>
      <c r="CR48" s="764">
        <f t="shared" si="83"/>
        <v>0.875</v>
      </c>
      <c r="CS48" s="757">
        <f t="shared" si="84"/>
        <v>3735018.2685998464</v>
      </c>
      <c r="CT48" s="1101">
        <f t="shared" si="85"/>
        <v>28957.556881625129</v>
      </c>
      <c r="CU48" s="1101">
        <f t="shared" si="86"/>
        <v>33571.400119678256</v>
      </c>
      <c r="CV48" s="1101">
        <f t="shared" si="87"/>
        <v>43366.729102090649</v>
      </c>
      <c r="CW48" s="1141">
        <f t="shared" si="27"/>
        <v>73957.838288378131</v>
      </c>
      <c r="CX48" s="1152">
        <f t="shared" si="88"/>
        <v>303407.40576728969</v>
      </c>
      <c r="CY48" s="1152">
        <f t="shared" si="89"/>
        <v>120056.83247978757</v>
      </c>
      <c r="CZ48" s="1152">
        <f t="shared" si="90"/>
        <v>86715.349711868883</v>
      </c>
      <c r="DA48" s="1152">
        <f t="shared" si="91"/>
        <v>65994.373299246014</v>
      </c>
      <c r="DB48" s="1143">
        <f t="shared" si="28"/>
        <v>0.13249326940190434</v>
      </c>
      <c r="DC48" s="1143">
        <f t="shared" si="125"/>
        <v>0.25275548101702755</v>
      </c>
      <c r="DD48" s="1098" t="s">
        <v>232</v>
      </c>
      <c r="DE48" s="1144"/>
      <c r="DF48" s="705"/>
      <c r="DG48" s="765">
        <f t="shared" si="126"/>
        <v>46082</v>
      </c>
      <c r="DH48" s="1116">
        <f t="shared" si="29"/>
        <v>28</v>
      </c>
      <c r="DI48" s="497"/>
      <c r="DJ48" s="1117">
        <f t="shared" si="92"/>
        <v>46147</v>
      </c>
      <c r="DK48" s="1116">
        <f t="shared" si="93"/>
        <v>30</v>
      </c>
      <c r="DL48" s="766" t="s">
        <v>233</v>
      </c>
      <c r="DM48" s="766" t="s">
        <v>234</v>
      </c>
      <c r="DN48" s="767">
        <f t="shared" si="30"/>
        <v>20235.335690472664</v>
      </c>
      <c r="DO48" s="767">
        <f t="shared" si="31"/>
        <v>445177.38519039861</v>
      </c>
      <c r="DP48" s="768">
        <f t="shared" si="32"/>
        <v>0.14839246173013287</v>
      </c>
      <c r="DR48" s="767">
        <f t="shared" si="33"/>
        <v>3785891.1813492263</v>
      </c>
      <c r="DS48" s="767">
        <f>SUM('[6]INTERNAL PRICELIST'!M48)</f>
        <v>2329361</v>
      </c>
      <c r="DT48" s="767">
        <f t="shared" si="94"/>
        <v>1456530.1813492263</v>
      </c>
      <c r="DV48" s="951">
        <f t="shared" si="34"/>
        <v>172085.9627886012</v>
      </c>
      <c r="DX48" s="772">
        <v>7</v>
      </c>
      <c r="DY48" s="773" t="s">
        <v>267</v>
      </c>
      <c r="DZ48" s="774">
        <v>22</v>
      </c>
      <c r="EA48" s="775">
        <f t="shared" si="156"/>
        <v>0</v>
      </c>
      <c r="ED48" s="755" t="s">
        <v>356</v>
      </c>
      <c r="EE48" s="777" t="b">
        <f t="shared" si="36"/>
        <v>1</v>
      </c>
      <c r="EF48" s="777"/>
      <c r="EG48" s="777"/>
      <c r="EH48" s="1203"/>
      <c r="EP48" s="1230" t="s">
        <v>236</v>
      </c>
      <c r="EQ48" s="1145" t="s">
        <v>236</v>
      </c>
      <c r="ER48" s="753" t="b">
        <f t="shared" si="95"/>
        <v>1</v>
      </c>
      <c r="EU48" s="770">
        <v>2757027.6533960267</v>
      </c>
      <c r="EV48" s="771" t="s">
        <v>236</v>
      </c>
      <c r="EZ48" s="520"/>
      <c r="FA48" s="778"/>
      <c r="FG48" s="1107"/>
      <c r="FJ48" s="994">
        <v>0.15</v>
      </c>
      <c r="FK48" s="993">
        <v>12820.110851026688</v>
      </c>
      <c r="FL48" s="993">
        <v>13166.600333486867</v>
      </c>
      <c r="FM48" s="497"/>
      <c r="FN48" s="993">
        <f t="shared" si="38"/>
        <v>4268592.3069712529</v>
      </c>
      <c r="FO48" s="994">
        <f t="shared" si="96"/>
        <v>0.15</v>
      </c>
      <c r="FP48" s="775">
        <f t="shared" si="39"/>
        <v>640288.84604568791</v>
      </c>
      <c r="FQ48" s="993">
        <f t="shared" si="40"/>
        <v>30000</v>
      </c>
      <c r="FR48" s="775">
        <f t="shared" si="97"/>
        <v>610288.84604568791</v>
      </c>
      <c r="FS48" s="497">
        <f t="shared" si="98"/>
        <v>40</v>
      </c>
      <c r="FT48" s="775">
        <f t="shared" si="99"/>
        <v>15257.221151142197</v>
      </c>
      <c r="FU48" s="497"/>
      <c r="FV48" s="993">
        <f t="shared" si="100"/>
        <v>4268592.3069712529</v>
      </c>
      <c r="FW48" s="705">
        <f t="shared" si="101"/>
        <v>426859.23069712531</v>
      </c>
      <c r="FX48" s="705">
        <f t="shared" si="102"/>
        <v>106714.80767428133</v>
      </c>
      <c r="FY48" s="705">
        <v>15000</v>
      </c>
      <c r="FZ48" s="705">
        <f t="shared" si="103"/>
        <v>411859.23069712531</v>
      </c>
      <c r="GA48" s="497">
        <f t="shared" si="104"/>
        <v>46</v>
      </c>
      <c r="GB48" s="775">
        <f t="shared" si="105"/>
        <v>8953.4615368940285</v>
      </c>
      <c r="GC48" s="497"/>
      <c r="GD48" s="497"/>
      <c r="GE48" s="1107">
        <v>46174</v>
      </c>
      <c r="GH48" s="1095">
        <f t="shared" si="0"/>
        <v>4268592.3069712529</v>
      </c>
      <c r="GI48" s="1098">
        <f t="shared" si="1"/>
        <v>0.125</v>
      </c>
      <c r="GJ48" s="1095">
        <f t="shared" si="2"/>
        <v>533574.03837140661</v>
      </c>
      <c r="GK48" s="1095">
        <f t="shared" si="3"/>
        <v>30000</v>
      </c>
      <c r="GL48" s="1095">
        <f t="shared" si="4"/>
        <v>503574.03837140661</v>
      </c>
      <c r="GM48" s="1095">
        <f t="shared" si="5"/>
        <v>29</v>
      </c>
      <c r="GN48" s="1095">
        <f t="shared" si="6"/>
        <v>17364.622012807125</v>
      </c>
      <c r="GO48" s="1098">
        <f t="shared" si="7"/>
        <v>0.875</v>
      </c>
      <c r="GP48" s="1095">
        <f t="shared" si="8"/>
        <v>3735018.2685998464</v>
      </c>
      <c r="GQ48" s="1095">
        <f t="shared" si="9"/>
        <v>28957.556881625129</v>
      </c>
      <c r="GR48" s="1095">
        <f t="shared" si="10"/>
        <v>33571.400119678256</v>
      </c>
      <c r="GS48" s="1095">
        <f t="shared" si="11"/>
        <v>43366.729102090649</v>
      </c>
      <c r="GT48" s="1095">
        <f t="shared" si="12"/>
        <v>73957.838288378131</v>
      </c>
      <c r="GU48" s="497"/>
      <c r="GV48" s="1095">
        <f t="shared" si="106"/>
        <v>4268592.3069712529</v>
      </c>
      <c r="GW48" s="1098">
        <f t="shared" si="107"/>
        <v>0.125</v>
      </c>
      <c r="GX48" s="1095">
        <f t="shared" si="108"/>
        <v>533574.03837140661</v>
      </c>
      <c r="GY48" s="1095">
        <f t="shared" si="109"/>
        <v>30000</v>
      </c>
      <c r="GZ48" s="1095">
        <f t="shared" si="110"/>
        <v>503574.03837140661</v>
      </c>
      <c r="HA48" s="1106">
        <f t="shared" si="111"/>
        <v>48</v>
      </c>
      <c r="HB48" s="770">
        <f t="shared" si="112"/>
        <v>10491.125799404304</v>
      </c>
      <c r="HC48" s="1098">
        <f t="shared" si="113"/>
        <v>0.875</v>
      </c>
      <c r="HD48" s="1102">
        <f t="shared" si="114"/>
        <v>3735018.2685998464</v>
      </c>
      <c r="HE48" s="1101">
        <f t="shared" si="115"/>
        <v>28957.556881625129</v>
      </c>
      <c r="HF48" s="1101">
        <f t="shared" si="116"/>
        <v>33571.400119678256</v>
      </c>
      <c r="HG48" s="1101">
        <f t="shared" si="117"/>
        <v>43366.729102090649</v>
      </c>
      <c r="HH48" s="1101">
        <f t="shared" si="118"/>
        <v>73957.838288378131</v>
      </c>
      <c r="HI48" s="497"/>
      <c r="HJ48" s="1102">
        <f t="shared" si="119"/>
        <v>-6873.496213402821</v>
      </c>
      <c r="HL48" s="775"/>
      <c r="HN48" s="775"/>
      <c r="HO48" s="775"/>
      <c r="HQ48" s="702"/>
      <c r="HR48" s="1171"/>
      <c r="HS48" s="702"/>
      <c r="HT48" s="1171"/>
    </row>
    <row r="49" spans="1:228" ht="14.25" hidden="1" customHeight="1">
      <c r="A49" s="753">
        <f t="shared" si="120"/>
        <v>43</v>
      </c>
      <c r="B49" s="753"/>
      <c r="C49" s="753">
        <f t="shared" si="121"/>
        <v>12</v>
      </c>
      <c r="D49" s="753" t="s">
        <v>253</v>
      </c>
      <c r="E49" s="717" t="str">
        <f t="shared" si="41"/>
        <v>4th Floor</v>
      </c>
      <c r="F49" s="754"/>
      <c r="G49" s="755" t="s">
        <v>357</v>
      </c>
      <c r="H49" s="756"/>
      <c r="I49" s="755" t="s">
        <v>229</v>
      </c>
      <c r="J49" s="757">
        <v>22</v>
      </c>
      <c r="K49" s="758"/>
      <c r="L49" s="759" t="s">
        <v>277</v>
      </c>
      <c r="M49" s="760" t="s">
        <v>68</v>
      </c>
      <c r="N49" s="761">
        <f t="shared" si="42"/>
        <v>106005.26567735759</v>
      </c>
      <c r="O49" s="762">
        <f t="shared" si="43"/>
        <v>2332115.8449018667</v>
      </c>
      <c r="P49" s="762">
        <f t="shared" si="44"/>
        <v>22400</v>
      </c>
      <c r="Q49" s="762">
        <f t="shared" si="14"/>
        <v>50000</v>
      </c>
      <c r="R49" s="762"/>
      <c r="S49" s="762"/>
      <c r="T49" s="762"/>
      <c r="U49" s="762"/>
      <c r="V49" s="762"/>
      <c r="W49" s="762"/>
      <c r="X49" s="762"/>
      <c r="Y49" s="762"/>
      <c r="Z49" s="762">
        <f t="shared" si="15"/>
        <v>142461</v>
      </c>
      <c r="AA49" s="762">
        <v>45722.732758620688</v>
      </c>
      <c r="AB49" s="762"/>
      <c r="AC49" s="762"/>
      <c r="AD49" s="763">
        <f t="shared" si="45"/>
        <v>260583.7327586207</v>
      </c>
      <c r="AE49" s="763">
        <f t="shared" si="16"/>
        <v>2592699.5776604875</v>
      </c>
      <c r="AF49" s="762">
        <f t="shared" si="17"/>
        <v>64817.489441512189</v>
      </c>
      <c r="AG49" s="762">
        <f t="shared" si="46"/>
        <v>2657517.0671019997</v>
      </c>
      <c r="AH49" s="762">
        <f t="shared" si="18"/>
        <v>66437.92667755</v>
      </c>
      <c r="AI49" s="762">
        <f t="shared" si="47"/>
        <v>2723954.9937795498</v>
      </c>
      <c r="AJ49" s="762">
        <f t="shared" si="48"/>
        <v>136197.74968897749</v>
      </c>
      <c r="AK49" s="762">
        <f t="shared" si="122"/>
        <v>2860152.7434685272</v>
      </c>
      <c r="AL49" s="762">
        <f t="shared" si="49"/>
        <v>28601.527434685271</v>
      </c>
      <c r="AM49" s="762">
        <f t="shared" si="50"/>
        <v>27537.409960060559</v>
      </c>
      <c r="AN49" s="762"/>
      <c r="AO49" s="763">
        <f t="shared" si="51"/>
        <v>2916291.6808632729</v>
      </c>
      <c r="AP49" s="763">
        <f t="shared" si="52"/>
        <v>481188.12734244007</v>
      </c>
      <c r="AQ49" s="763">
        <f t="shared" si="53"/>
        <v>3397479.8082057131</v>
      </c>
      <c r="AR49" s="1178">
        <f t="shared" si="19"/>
        <v>3000000</v>
      </c>
      <c r="AS49" s="1178">
        <f t="shared" si="123"/>
        <v>18067.264009350594</v>
      </c>
      <c r="AT49" s="1178">
        <f t="shared" si="54"/>
        <v>397479.80820571305</v>
      </c>
      <c r="AU49" s="1178">
        <f t="shared" si="20"/>
        <v>47697.576984685562</v>
      </c>
      <c r="AV49" s="1178">
        <f t="shared" si="55"/>
        <v>445177.38519039861</v>
      </c>
      <c r="AW49" s="1178">
        <f t="shared" si="56"/>
        <v>3445177.3851903984</v>
      </c>
      <c r="AX49" s="762">
        <f t="shared" si="57"/>
        <v>43064.717314879985</v>
      </c>
      <c r="AY49" s="717" t="s">
        <v>231</v>
      </c>
      <c r="AZ49" s="717">
        <f t="shared" si="58"/>
        <v>3488242.1025052783</v>
      </c>
      <c r="BA49" s="717">
        <f t="shared" si="59"/>
        <v>130809.07884394794</v>
      </c>
      <c r="BB49" s="717"/>
      <c r="BC49" s="717">
        <f t="shared" si="21"/>
        <v>33600</v>
      </c>
      <c r="BD49" s="717">
        <f t="shared" si="60"/>
        <v>3652651.1813492263</v>
      </c>
      <c r="BE49" s="717"/>
      <c r="BF49" s="717">
        <f t="shared" si="61"/>
        <v>3652651.1813492263</v>
      </c>
      <c r="BG49" s="1209"/>
      <c r="BH49" s="717">
        <f t="shared" si="62"/>
        <v>3652651.1813492263</v>
      </c>
      <c r="BI49" s="717"/>
      <c r="BJ49" s="717">
        <f t="shared" si="63"/>
        <v>3652651.1813492263</v>
      </c>
      <c r="BK49" s="717"/>
      <c r="BL49" s="717">
        <f t="shared" si="64"/>
        <v>3652651.1813492263</v>
      </c>
      <c r="BM49" s="717"/>
      <c r="BN49" s="717">
        <f t="shared" si="65"/>
        <v>3652651.1813492263</v>
      </c>
      <c r="BO49" s="717"/>
      <c r="BP49" s="717">
        <f t="shared" si="22"/>
        <v>3652651.1813492263</v>
      </c>
      <c r="BQ49" s="717"/>
      <c r="BR49" s="717">
        <f t="shared" si="133"/>
        <v>3652651.1813492263</v>
      </c>
      <c r="BS49" s="717"/>
      <c r="BT49" s="717">
        <f t="shared" si="66"/>
        <v>3652651.1813492263</v>
      </c>
      <c r="BU49" s="717"/>
      <c r="BV49" s="1235">
        <f t="shared" si="134"/>
        <v>51400</v>
      </c>
      <c r="BW49" s="717">
        <f t="shared" si="67"/>
        <v>3704051.1813492263</v>
      </c>
      <c r="BX49" s="717"/>
      <c r="BY49" s="717">
        <f t="shared" si="68"/>
        <v>3704051.1813492263</v>
      </c>
      <c r="BZ49" s="1194">
        <f t="shared" si="69"/>
        <v>3704051.1813492263</v>
      </c>
      <c r="CA49" s="1194">
        <f t="shared" si="70"/>
        <v>3022051.1813492263</v>
      </c>
      <c r="CB49" s="1194">
        <v>31000</v>
      </c>
      <c r="CC49" s="1194">
        <f t="shared" si="71"/>
        <v>682000</v>
      </c>
      <c r="CD49" s="1194">
        <f t="shared" si="72"/>
        <v>81840</v>
      </c>
      <c r="CE49" s="1194">
        <f t="shared" si="73"/>
        <v>763840</v>
      </c>
      <c r="CF49" s="1200">
        <f t="shared" si="74"/>
        <v>3785891.1813492263</v>
      </c>
      <c r="CG49" s="757">
        <f t="shared" si="75"/>
        <v>3785891.1813492263</v>
      </c>
      <c r="CH49" s="758">
        <f t="shared" si="76"/>
        <v>0</v>
      </c>
      <c r="CI49" s="757">
        <f t="shared" si="25"/>
        <v>388053.84608829569</v>
      </c>
      <c r="CJ49" s="757">
        <f t="shared" si="26"/>
        <v>94647.27953373066</v>
      </c>
      <c r="CK49" s="759">
        <f t="shared" si="155"/>
        <v>4268592.3069712529</v>
      </c>
      <c r="CL49" s="764">
        <f t="shared" si="78"/>
        <v>0.125</v>
      </c>
      <c r="CM49" s="757">
        <f t="shared" si="79"/>
        <v>533574.03837140661</v>
      </c>
      <c r="CN49" s="757">
        <f t="shared" si="124"/>
        <v>30000</v>
      </c>
      <c r="CO49" s="757">
        <f t="shared" si="80"/>
        <v>503574.03837140661</v>
      </c>
      <c r="CP49" s="755">
        <f t="shared" si="81"/>
        <v>29</v>
      </c>
      <c r="CQ49" s="757">
        <f t="shared" si="129"/>
        <v>17364.622012807125</v>
      </c>
      <c r="CR49" s="764">
        <f t="shared" si="83"/>
        <v>0.875</v>
      </c>
      <c r="CS49" s="757">
        <f t="shared" si="84"/>
        <v>3735018.2685998464</v>
      </c>
      <c r="CT49" s="1101">
        <f t="shared" si="85"/>
        <v>28957.556881625129</v>
      </c>
      <c r="CU49" s="1101">
        <f t="shared" si="86"/>
        <v>33571.400119678256</v>
      </c>
      <c r="CV49" s="1101">
        <f t="shared" si="87"/>
        <v>43366.729102090649</v>
      </c>
      <c r="CW49" s="1141">
        <f t="shared" si="27"/>
        <v>73957.838288378131</v>
      </c>
      <c r="CX49" s="1152">
        <f t="shared" si="88"/>
        <v>303407.40576728969</v>
      </c>
      <c r="CY49" s="1152">
        <f t="shared" si="89"/>
        <v>120056.83247978757</v>
      </c>
      <c r="CZ49" s="1152">
        <f t="shared" si="90"/>
        <v>86715.349711868883</v>
      </c>
      <c r="DA49" s="1152">
        <f t="shared" si="91"/>
        <v>65994.373299246014</v>
      </c>
      <c r="DB49" s="1143">
        <f t="shared" si="28"/>
        <v>0.13249326940190434</v>
      </c>
      <c r="DC49" s="1143">
        <f t="shared" si="125"/>
        <v>0.25275548101702755</v>
      </c>
      <c r="DD49" s="1098" t="s">
        <v>232</v>
      </c>
      <c r="DE49" s="1144"/>
      <c r="DF49" s="705"/>
      <c r="DG49" s="765">
        <f t="shared" si="126"/>
        <v>46082</v>
      </c>
      <c r="DH49" s="1116">
        <f t="shared" si="29"/>
        <v>28</v>
      </c>
      <c r="DI49" s="497"/>
      <c r="DJ49" s="1117">
        <f t="shared" si="92"/>
        <v>46147</v>
      </c>
      <c r="DK49" s="1116">
        <f t="shared" si="93"/>
        <v>30</v>
      </c>
      <c r="DL49" s="766" t="s">
        <v>233</v>
      </c>
      <c r="DM49" s="766" t="s">
        <v>234</v>
      </c>
      <c r="DN49" s="767">
        <f t="shared" si="30"/>
        <v>20235.335690472664</v>
      </c>
      <c r="DO49" s="767">
        <f t="shared" si="31"/>
        <v>445177.38519039861</v>
      </c>
      <c r="DP49" s="768">
        <f t="shared" si="32"/>
        <v>0.14839246173013287</v>
      </c>
      <c r="DR49" s="767">
        <f t="shared" si="33"/>
        <v>3785891.1813492263</v>
      </c>
      <c r="DS49" s="767">
        <f>SUM('[6]INTERNAL PRICELIST'!M49)</f>
        <v>2331316</v>
      </c>
      <c r="DT49" s="767">
        <f t="shared" si="94"/>
        <v>1454575.1813492263</v>
      </c>
      <c r="DV49" s="951">
        <f t="shared" si="34"/>
        <v>172085.9627886012</v>
      </c>
      <c r="DX49" s="772">
        <v>8</v>
      </c>
      <c r="DY49" s="773" t="s">
        <v>271</v>
      </c>
      <c r="DZ49" s="772">
        <v>22.34</v>
      </c>
      <c r="EA49" s="775">
        <f t="shared" si="156"/>
        <v>0.33999999999999986</v>
      </c>
      <c r="ED49" s="755" t="s">
        <v>357</v>
      </c>
      <c r="EE49" s="777" t="b">
        <f t="shared" si="36"/>
        <v>1</v>
      </c>
      <c r="EF49" s="777"/>
      <c r="EG49" s="777"/>
      <c r="EH49" s="1203"/>
      <c r="EP49" s="1230" t="s">
        <v>236</v>
      </c>
      <c r="EQ49" s="1145" t="s">
        <v>236</v>
      </c>
      <c r="ER49" s="753" t="b">
        <f t="shared" si="95"/>
        <v>1</v>
      </c>
      <c r="EU49" s="770">
        <v>2221760</v>
      </c>
      <c r="EV49" s="771" t="s">
        <v>236</v>
      </c>
      <c r="EZ49" s="520"/>
      <c r="FA49" s="778"/>
      <c r="FG49" s="1107"/>
      <c r="FJ49" s="994">
        <v>0.15</v>
      </c>
      <c r="FK49" s="993">
        <v>12820.110851026688</v>
      </c>
      <c r="FL49" s="993">
        <v>13166.600333486867</v>
      </c>
      <c r="FM49" s="497"/>
      <c r="FN49" s="993">
        <f t="shared" si="38"/>
        <v>4268592.3069712529</v>
      </c>
      <c r="FO49" s="994">
        <f t="shared" si="96"/>
        <v>0.15</v>
      </c>
      <c r="FP49" s="775">
        <f t="shared" si="39"/>
        <v>640288.84604568791</v>
      </c>
      <c r="FQ49" s="993">
        <f t="shared" si="40"/>
        <v>30000</v>
      </c>
      <c r="FR49" s="775">
        <f t="shared" si="97"/>
        <v>610288.84604568791</v>
      </c>
      <c r="FS49" s="497">
        <f t="shared" si="98"/>
        <v>40</v>
      </c>
      <c r="FT49" s="775">
        <f t="shared" si="99"/>
        <v>15257.221151142197</v>
      </c>
      <c r="FU49" s="497"/>
      <c r="FV49" s="993">
        <f t="shared" si="100"/>
        <v>4268592.3069712529</v>
      </c>
      <c r="FW49" s="705">
        <f t="shared" si="101"/>
        <v>426859.23069712531</v>
      </c>
      <c r="FX49" s="705">
        <f t="shared" si="102"/>
        <v>106714.80767428133</v>
      </c>
      <c r="FY49" s="705">
        <v>15000</v>
      </c>
      <c r="FZ49" s="705">
        <f t="shared" si="103"/>
        <v>411859.23069712531</v>
      </c>
      <c r="GA49" s="497">
        <f t="shared" si="104"/>
        <v>46</v>
      </c>
      <c r="GB49" s="775">
        <f t="shared" si="105"/>
        <v>8953.4615368940285</v>
      </c>
      <c r="GC49" s="497"/>
      <c r="GD49" s="497"/>
      <c r="GE49" s="1107">
        <v>46204</v>
      </c>
      <c r="GH49" s="1095">
        <f t="shared" si="0"/>
        <v>4268592.3069712529</v>
      </c>
      <c r="GI49" s="1098">
        <f t="shared" si="1"/>
        <v>0.125</v>
      </c>
      <c r="GJ49" s="1095">
        <f t="shared" si="2"/>
        <v>533574.03837140661</v>
      </c>
      <c r="GK49" s="1095">
        <f t="shared" si="3"/>
        <v>30000</v>
      </c>
      <c r="GL49" s="1095">
        <f t="shared" si="4"/>
        <v>503574.03837140661</v>
      </c>
      <c r="GM49" s="1095">
        <f t="shared" si="5"/>
        <v>29</v>
      </c>
      <c r="GN49" s="1095">
        <f t="shared" si="6"/>
        <v>17364.622012807125</v>
      </c>
      <c r="GO49" s="1098">
        <f t="shared" si="7"/>
        <v>0.875</v>
      </c>
      <c r="GP49" s="1095">
        <f t="shared" si="8"/>
        <v>3735018.2685998464</v>
      </c>
      <c r="GQ49" s="1095">
        <f t="shared" si="9"/>
        <v>28957.556881625129</v>
      </c>
      <c r="GR49" s="1095">
        <f t="shared" si="10"/>
        <v>33571.400119678256</v>
      </c>
      <c r="GS49" s="1095">
        <f t="shared" si="11"/>
        <v>43366.729102090649</v>
      </c>
      <c r="GT49" s="1095">
        <f t="shared" si="12"/>
        <v>73957.838288378131</v>
      </c>
      <c r="GU49" s="497"/>
      <c r="GV49" s="1095">
        <f t="shared" si="106"/>
        <v>4268592.3069712529</v>
      </c>
      <c r="GW49" s="1098">
        <f t="shared" si="107"/>
        <v>0.125</v>
      </c>
      <c r="GX49" s="1095">
        <f t="shared" si="108"/>
        <v>533574.03837140661</v>
      </c>
      <c r="GY49" s="1095">
        <f t="shared" si="109"/>
        <v>30000</v>
      </c>
      <c r="GZ49" s="1095">
        <f t="shared" si="110"/>
        <v>503574.03837140661</v>
      </c>
      <c r="HA49" s="1106">
        <f t="shared" si="111"/>
        <v>48</v>
      </c>
      <c r="HB49" s="770">
        <f t="shared" si="112"/>
        <v>10491.125799404304</v>
      </c>
      <c r="HC49" s="1098">
        <f t="shared" si="113"/>
        <v>0.875</v>
      </c>
      <c r="HD49" s="1102">
        <f t="shared" si="114"/>
        <v>3735018.2685998464</v>
      </c>
      <c r="HE49" s="1101">
        <f t="shared" si="115"/>
        <v>28957.556881625129</v>
      </c>
      <c r="HF49" s="1101">
        <f t="shared" si="116"/>
        <v>33571.400119678256</v>
      </c>
      <c r="HG49" s="1101">
        <f t="shared" si="117"/>
        <v>43366.729102090649</v>
      </c>
      <c r="HH49" s="1101">
        <f t="shared" si="118"/>
        <v>73957.838288378131</v>
      </c>
      <c r="HI49" s="497"/>
      <c r="HJ49" s="1102">
        <f t="shared" si="119"/>
        <v>-6873.496213402821</v>
      </c>
      <c r="HL49" s="775"/>
      <c r="HN49" s="775"/>
      <c r="HO49" s="775"/>
      <c r="HQ49" s="702"/>
      <c r="HR49" s="1171"/>
      <c r="HS49" s="702"/>
      <c r="HT49" s="1171"/>
    </row>
    <row r="50" spans="1:228" ht="14.25" hidden="1" customHeight="1">
      <c r="A50" s="753">
        <f t="shared" si="120"/>
        <v>44</v>
      </c>
      <c r="B50" s="753"/>
      <c r="C50" s="753">
        <f t="shared" si="121"/>
        <v>13</v>
      </c>
      <c r="D50" s="753" t="s">
        <v>253</v>
      </c>
      <c r="E50" s="717" t="str">
        <f t="shared" si="41"/>
        <v>4th Floor</v>
      </c>
      <c r="F50" s="754"/>
      <c r="G50" s="755" t="s">
        <v>358</v>
      </c>
      <c r="H50" s="756"/>
      <c r="I50" s="755" t="s">
        <v>229</v>
      </c>
      <c r="J50" s="757">
        <v>22</v>
      </c>
      <c r="K50" s="758"/>
      <c r="L50" s="759" t="s">
        <v>277</v>
      </c>
      <c r="M50" s="760" t="s">
        <v>68</v>
      </c>
      <c r="N50" s="761">
        <f t="shared" si="42"/>
        <v>106005.26567735759</v>
      </c>
      <c r="O50" s="762">
        <f t="shared" si="43"/>
        <v>2332115.8449018667</v>
      </c>
      <c r="P50" s="762">
        <f t="shared" si="44"/>
        <v>22400</v>
      </c>
      <c r="Q50" s="762">
        <f t="shared" si="14"/>
        <v>50000</v>
      </c>
      <c r="R50" s="762"/>
      <c r="S50" s="762"/>
      <c r="T50" s="762"/>
      <c r="U50" s="762"/>
      <c r="V50" s="762"/>
      <c r="W50" s="762"/>
      <c r="X50" s="762"/>
      <c r="Y50" s="762"/>
      <c r="Z50" s="762">
        <f t="shared" si="15"/>
        <v>142461</v>
      </c>
      <c r="AA50" s="762">
        <v>45722.732758620688</v>
      </c>
      <c r="AB50" s="762"/>
      <c r="AC50" s="762"/>
      <c r="AD50" s="763">
        <f t="shared" si="45"/>
        <v>260583.7327586207</v>
      </c>
      <c r="AE50" s="763">
        <f t="shared" si="16"/>
        <v>2592699.5776604875</v>
      </c>
      <c r="AF50" s="762">
        <f t="shared" si="17"/>
        <v>64817.489441512189</v>
      </c>
      <c r="AG50" s="762">
        <f t="shared" si="46"/>
        <v>2657517.0671019997</v>
      </c>
      <c r="AH50" s="762">
        <f t="shared" si="18"/>
        <v>66437.92667755</v>
      </c>
      <c r="AI50" s="762">
        <f t="shared" si="47"/>
        <v>2723954.9937795498</v>
      </c>
      <c r="AJ50" s="762">
        <f t="shared" si="48"/>
        <v>136197.74968897749</v>
      </c>
      <c r="AK50" s="762">
        <f t="shared" si="122"/>
        <v>2860152.7434685272</v>
      </c>
      <c r="AL50" s="762">
        <f t="shared" si="49"/>
        <v>28601.527434685271</v>
      </c>
      <c r="AM50" s="762">
        <f t="shared" si="50"/>
        <v>27537.409960060559</v>
      </c>
      <c r="AN50" s="762"/>
      <c r="AO50" s="763">
        <f t="shared" si="51"/>
        <v>2916291.6808632729</v>
      </c>
      <c r="AP50" s="763">
        <f t="shared" si="52"/>
        <v>481188.12734244007</v>
      </c>
      <c r="AQ50" s="763">
        <f t="shared" si="53"/>
        <v>3397479.8082057131</v>
      </c>
      <c r="AR50" s="1178">
        <f t="shared" si="19"/>
        <v>3000000</v>
      </c>
      <c r="AS50" s="1178">
        <f t="shared" si="123"/>
        <v>18067.264009350594</v>
      </c>
      <c r="AT50" s="1178">
        <f t="shared" si="54"/>
        <v>397479.80820571305</v>
      </c>
      <c r="AU50" s="1178">
        <f t="shared" si="20"/>
        <v>47697.576984685562</v>
      </c>
      <c r="AV50" s="1178">
        <f t="shared" si="55"/>
        <v>445177.38519039861</v>
      </c>
      <c r="AW50" s="1178">
        <f t="shared" si="56"/>
        <v>3445177.3851903984</v>
      </c>
      <c r="AX50" s="762">
        <f t="shared" si="57"/>
        <v>43064.717314879985</v>
      </c>
      <c r="AY50" s="717" t="s">
        <v>231</v>
      </c>
      <c r="AZ50" s="717">
        <f t="shared" si="58"/>
        <v>3488242.1025052783</v>
      </c>
      <c r="BA50" s="717">
        <f t="shared" si="59"/>
        <v>130809.07884394794</v>
      </c>
      <c r="BB50" s="717"/>
      <c r="BC50" s="717">
        <f t="shared" si="21"/>
        <v>33600</v>
      </c>
      <c r="BD50" s="717">
        <f t="shared" si="60"/>
        <v>3652651.1813492263</v>
      </c>
      <c r="BE50" s="717"/>
      <c r="BF50" s="717">
        <f t="shared" si="61"/>
        <v>3652651.1813492263</v>
      </c>
      <c r="BG50" s="1209"/>
      <c r="BH50" s="717">
        <f t="shared" si="62"/>
        <v>3652651.1813492263</v>
      </c>
      <c r="BI50" s="717"/>
      <c r="BJ50" s="717">
        <f t="shared" si="63"/>
        <v>3652651.1813492263</v>
      </c>
      <c r="BK50" s="717"/>
      <c r="BL50" s="717">
        <f t="shared" si="64"/>
        <v>3652651.1813492263</v>
      </c>
      <c r="BM50" s="717"/>
      <c r="BN50" s="717">
        <f t="shared" si="65"/>
        <v>3652651.1813492263</v>
      </c>
      <c r="BO50" s="717"/>
      <c r="BP50" s="717">
        <f t="shared" si="22"/>
        <v>3652651.1813492263</v>
      </c>
      <c r="BQ50" s="717"/>
      <c r="BR50" s="717">
        <f t="shared" si="133"/>
        <v>3652651.1813492263</v>
      </c>
      <c r="BS50" s="717"/>
      <c r="BT50" s="717">
        <f t="shared" si="66"/>
        <v>3652651.1813492263</v>
      </c>
      <c r="BU50" s="717"/>
      <c r="BV50" s="1235">
        <f t="shared" si="134"/>
        <v>51400</v>
      </c>
      <c r="BW50" s="717">
        <f t="shared" si="67"/>
        <v>3704051.1813492263</v>
      </c>
      <c r="BX50" s="717"/>
      <c r="BY50" s="717">
        <f t="shared" si="68"/>
        <v>3704051.1813492263</v>
      </c>
      <c r="BZ50" s="1194">
        <f t="shared" si="69"/>
        <v>3704051.1813492263</v>
      </c>
      <c r="CA50" s="1194">
        <f t="shared" si="70"/>
        <v>3022051.1813492263</v>
      </c>
      <c r="CB50" s="1194">
        <v>31000</v>
      </c>
      <c r="CC50" s="1194">
        <f t="shared" si="71"/>
        <v>682000</v>
      </c>
      <c r="CD50" s="1194">
        <f t="shared" si="72"/>
        <v>81840</v>
      </c>
      <c r="CE50" s="1194">
        <f t="shared" si="73"/>
        <v>763840</v>
      </c>
      <c r="CF50" s="1200">
        <f t="shared" si="74"/>
        <v>3785891.1813492263</v>
      </c>
      <c r="CG50" s="757">
        <f t="shared" si="75"/>
        <v>3785891.1813492263</v>
      </c>
      <c r="CH50" s="758">
        <f t="shared" si="76"/>
        <v>0</v>
      </c>
      <c r="CI50" s="757">
        <f t="shared" si="25"/>
        <v>388053.84608829569</v>
      </c>
      <c r="CJ50" s="757">
        <f t="shared" si="26"/>
        <v>94647.27953373066</v>
      </c>
      <c r="CK50" s="759">
        <f t="shared" si="155"/>
        <v>4268592.3069712529</v>
      </c>
      <c r="CL50" s="764">
        <f t="shared" si="78"/>
        <v>0.125</v>
      </c>
      <c r="CM50" s="757">
        <f t="shared" si="79"/>
        <v>533574.03837140661</v>
      </c>
      <c r="CN50" s="757">
        <f t="shared" si="124"/>
        <v>30000</v>
      </c>
      <c r="CO50" s="757">
        <f t="shared" si="80"/>
        <v>503574.03837140661</v>
      </c>
      <c r="CP50" s="755">
        <f t="shared" si="81"/>
        <v>29</v>
      </c>
      <c r="CQ50" s="757">
        <f t="shared" si="129"/>
        <v>17364.622012807125</v>
      </c>
      <c r="CR50" s="764">
        <f t="shared" si="83"/>
        <v>0.875</v>
      </c>
      <c r="CS50" s="757">
        <f t="shared" si="84"/>
        <v>3735018.2685998464</v>
      </c>
      <c r="CT50" s="1101">
        <f t="shared" si="85"/>
        <v>28957.556881625129</v>
      </c>
      <c r="CU50" s="1101">
        <f t="shared" si="86"/>
        <v>33571.400119678256</v>
      </c>
      <c r="CV50" s="1101">
        <f t="shared" si="87"/>
        <v>43366.729102090649</v>
      </c>
      <c r="CW50" s="1141">
        <f t="shared" si="27"/>
        <v>73957.838288378131</v>
      </c>
      <c r="CX50" s="1152">
        <f t="shared" si="88"/>
        <v>303407.40576728969</v>
      </c>
      <c r="CY50" s="1152">
        <f t="shared" si="89"/>
        <v>120056.83247978757</v>
      </c>
      <c r="CZ50" s="1152">
        <f t="shared" si="90"/>
        <v>86715.349711868883</v>
      </c>
      <c r="DA50" s="1152">
        <f t="shared" si="91"/>
        <v>65994.373299246014</v>
      </c>
      <c r="DB50" s="1143">
        <f t="shared" si="28"/>
        <v>0.13249326940190434</v>
      </c>
      <c r="DC50" s="1143">
        <f t="shared" si="125"/>
        <v>0.25275548101702755</v>
      </c>
      <c r="DD50" s="1098" t="s">
        <v>232</v>
      </c>
      <c r="DE50" s="1144"/>
      <c r="DF50" s="705"/>
      <c r="DG50" s="765">
        <f t="shared" si="126"/>
        <v>46082</v>
      </c>
      <c r="DH50" s="1116">
        <f t="shared" si="29"/>
        <v>28</v>
      </c>
      <c r="DI50" s="497"/>
      <c r="DJ50" s="1117">
        <f t="shared" si="92"/>
        <v>46147</v>
      </c>
      <c r="DK50" s="1116">
        <f t="shared" si="93"/>
        <v>30</v>
      </c>
      <c r="DL50" s="766" t="s">
        <v>233</v>
      </c>
      <c r="DM50" s="766" t="s">
        <v>234</v>
      </c>
      <c r="DN50" s="767">
        <f t="shared" si="30"/>
        <v>20235.335690472664</v>
      </c>
      <c r="DO50" s="767">
        <f t="shared" si="31"/>
        <v>445177.38519039861</v>
      </c>
      <c r="DP50" s="768">
        <f t="shared" si="32"/>
        <v>0.14839246173013287</v>
      </c>
      <c r="DR50" s="767">
        <f t="shared" si="33"/>
        <v>3785891.1813492263</v>
      </c>
      <c r="DS50" s="767">
        <f>SUM('[6]INTERNAL PRICELIST'!M50)</f>
        <v>2329361</v>
      </c>
      <c r="DT50" s="767">
        <f t="shared" si="94"/>
        <v>1456530.1813492263</v>
      </c>
      <c r="DV50" s="951">
        <f t="shared" si="34"/>
        <v>172085.9627886012</v>
      </c>
      <c r="DX50" s="772">
        <v>9</v>
      </c>
      <c r="DY50" s="773" t="s">
        <v>274</v>
      </c>
      <c r="DZ50" s="774">
        <v>22</v>
      </c>
      <c r="EA50" s="775">
        <f t="shared" si="156"/>
        <v>0</v>
      </c>
      <c r="ED50" s="755" t="s">
        <v>358</v>
      </c>
      <c r="EE50" s="777" t="b">
        <f t="shared" si="36"/>
        <v>1</v>
      </c>
      <c r="EF50" s="777"/>
      <c r="EG50" s="777"/>
      <c r="EH50" s="1203"/>
      <c r="EP50" s="1230" t="s">
        <v>236</v>
      </c>
      <c r="EQ50" s="1145" t="s">
        <v>236</v>
      </c>
      <c r="ER50" s="753" t="b">
        <f t="shared" si="95"/>
        <v>1</v>
      </c>
      <c r="EU50" s="770">
        <v>2221760</v>
      </c>
      <c r="EV50" s="771" t="s">
        <v>236</v>
      </c>
      <c r="EZ50" s="520"/>
      <c r="FA50" s="778"/>
      <c r="FG50" s="1107"/>
      <c r="FJ50" s="994">
        <v>0.15</v>
      </c>
      <c r="FK50" s="993">
        <v>12820.110851026688</v>
      </c>
      <c r="FL50" s="993">
        <v>13166.600333486867</v>
      </c>
      <c r="FM50" s="497"/>
      <c r="FN50" s="993">
        <f t="shared" si="38"/>
        <v>4268592.3069712529</v>
      </c>
      <c r="FO50" s="994">
        <f t="shared" si="96"/>
        <v>0.15</v>
      </c>
      <c r="FP50" s="775">
        <f t="shared" si="39"/>
        <v>640288.84604568791</v>
      </c>
      <c r="FQ50" s="993">
        <f t="shared" si="40"/>
        <v>30000</v>
      </c>
      <c r="FR50" s="775">
        <f t="shared" si="97"/>
        <v>610288.84604568791</v>
      </c>
      <c r="FS50" s="497">
        <f t="shared" si="98"/>
        <v>40</v>
      </c>
      <c r="FT50" s="775">
        <f t="shared" si="99"/>
        <v>15257.221151142197</v>
      </c>
      <c r="FU50" s="497"/>
      <c r="FV50" s="993">
        <f t="shared" si="100"/>
        <v>4268592.3069712529</v>
      </c>
      <c r="FW50" s="705">
        <f t="shared" si="101"/>
        <v>426859.23069712531</v>
      </c>
      <c r="FX50" s="705">
        <f t="shared" si="102"/>
        <v>106714.80767428133</v>
      </c>
      <c r="FY50" s="705">
        <v>15000</v>
      </c>
      <c r="FZ50" s="705">
        <f t="shared" si="103"/>
        <v>411859.23069712531</v>
      </c>
      <c r="GA50" s="497">
        <f t="shared" si="104"/>
        <v>46</v>
      </c>
      <c r="GB50" s="775">
        <f t="shared" si="105"/>
        <v>8953.4615368940285</v>
      </c>
      <c r="GC50" s="497"/>
      <c r="GD50" s="497"/>
      <c r="GE50" s="1107">
        <v>46235</v>
      </c>
      <c r="GH50" s="1095">
        <f t="shared" si="0"/>
        <v>4268592.3069712529</v>
      </c>
      <c r="GI50" s="1098">
        <f t="shared" si="1"/>
        <v>0.125</v>
      </c>
      <c r="GJ50" s="1095">
        <f t="shared" si="2"/>
        <v>533574.03837140661</v>
      </c>
      <c r="GK50" s="1095">
        <f t="shared" si="3"/>
        <v>30000</v>
      </c>
      <c r="GL50" s="1095">
        <f t="shared" si="4"/>
        <v>503574.03837140661</v>
      </c>
      <c r="GM50" s="1095">
        <f t="shared" si="5"/>
        <v>29</v>
      </c>
      <c r="GN50" s="1095">
        <f t="shared" si="6"/>
        <v>17364.622012807125</v>
      </c>
      <c r="GO50" s="1098">
        <f t="shared" si="7"/>
        <v>0.875</v>
      </c>
      <c r="GP50" s="1095">
        <f t="shared" si="8"/>
        <v>3735018.2685998464</v>
      </c>
      <c r="GQ50" s="1095">
        <f t="shared" si="9"/>
        <v>28957.556881625129</v>
      </c>
      <c r="GR50" s="1095">
        <f t="shared" si="10"/>
        <v>33571.400119678256</v>
      </c>
      <c r="GS50" s="1095">
        <f t="shared" si="11"/>
        <v>43366.729102090649</v>
      </c>
      <c r="GT50" s="1095">
        <f t="shared" si="12"/>
        <v>73957.838288378131</v>
      </c>
      <c r="GU50" s="497"/>
      <c r="GV50" s="1095">
        <f t="shared" si="106"/>
        <v>4268592.3069712529</v>
      </c>
      <c r="GW50" s="1098">
        <f t="shared" si="107"/>
        <v>0.125</v>
      </c>
      <c r="GX50" s="1095">
        <f t="shared" si="108"/>
        <v>533574.03837140661</v>
      </c>
      <c r="GY50" s="1095">
        <f t="shared" si="109"/>
        <v>30000</v>
      </c>
      <c r="GZ50" s="1095">
        <f t="shared" si="110"/>
        <v>503574.03837140661</v>
      </c>
      <c r="HA50" s="1106">
        <f t="shared" si="111"/>
        <v>48</v>
      </c>
      <c r="HB50" s="770">
        <f t="shared" si="112"/>
        <v>10491.125799404304</v>
      </c>
      <c r="HC50" s="1098">
        <f t="shared" si="113"/>
        <v>0.875</v>
      </c>
      <c r="HD50" s="1102">
        <f t="shared" si="114"/>
        <v>3735018.2685998464</v>
      </c>
      <c r="HE50" s="1101">
        <f t="shared" si="115"/>
        <v>28957.556881625129</v>
      </c>
      <c r="HF50" s="1101">
        <f t="shared" si="116"/>
        <v>33571.400119678256</v>
      </c>
      <c r="HG50" s="1101">
        <f t="shared" si="117"/>
        <v>43366.729102090649</v>
      </c>
      <c r="HH50" s="1101">
        <f t="shared" si="118"/>
        <v>73957.838288378131</v>
      </c>
      <c r="HI50" s="497"/>
      <c r="HJ50" s="1102">
        <f t="shared" si="119"/>
        <v>-6873.496213402821</v>
      </c>
      <c r="HL50" s="775"/>
      <c r="HN50" s="775"/>
      <c r="HO50" s="775"/>
      <c r="HQ50" s="702"/>
      <c r="HR50" s="1171"/>
      <c r="HS50" s="702"/>
      <c r="HT50" s="1171"/>
    </row>
    <row r="51" spans="1:228" ht="14.25" hidden="1" customHeight="1">
      <c r="A51" s="753">
        <f t="shared" si="120"/>
        <v>45</v>
      </c>
      <c r="B51" s="753"/>
      <c r="C51" s="753">
        <f t="shared" si="121"/>
        <v>14</v>
      </c>
      <c r="D51" s="753" t="s">
        <v>253</v>
      </c>
      <c r="E51" s="717" t="str">
        <f t="shared" si="41"/>
        <v>4th Floor</v>
      </c>
      <c r="F51" s="754"/>
      <c r="G51" s="755" t="s">
        <v>359</v>
      </c>
      <c r="H51" s="756"/>
      <c r="I51" s="755" t="s">
        <v>229</v>
      </c>
      <c r="J51" s="757">
        <v>22</v>
      </c>
      <c r="K51" s="758"/>
      <c r="L51" s="759" t="s">
        <v>277</v>
      </c>
      <c r="M51" s="760" t="s">
        <v>278</v>
      </c>
      <c r="N51" s="761">
        <f t="shared" si="42"/>
        <v>106005.26567735759</v>
      </c>
      <c r="O51" s="762">
        <f t="shared" si="43"/>
        <v>2332115.8449018667</v>
      </c>
      <c r="P51" s="762">
        <f t="shared" si="44"/>
        <v>22400</v>
      </c>
      <c r="Q51" s="762">
        <f t="shared" si="14"/>
        <v>50000</v>
      </c>
      <c r="R51" s="762"/>
      <c r="S51" s="762"/>
      <c r="T51" s="762"/>
      <c r="U51" s="762"/>
      <c r="V51" s="762"/>
      <c r="W51" s="762">
        <f t="shared" ref="W51:W52" si="158">J51*$W$5</f>
        <v>22000</v>
      </c>
      <c r="X51" s="762"/>
      <c r="Y51" s="762"/>
      <c r="Z51" s="762">
        <f t="shared" si="15"/>
        <v>142461</v>
      </c>
      <c r="AA51" s="762">
        <v>45722.732758620688</v>
      </c>
      <c r="AB51" s="762"/>
      <c r="AC51" s="762"/>
      <c r="AD51" s="763">
        <f t="shared" si="45"/>
        <v>282583.7327586207</v>
      </c>
      <c r="AE51" s="763">
        <f t="shared" si="16"/>
        <v>2614699.5776604875</v>
      </c>
      <c r="AF51" s="762">
        <f t="shared" si="17"/>
        <v>65367.489441512189</v>
      </c>
      <c r="AG51" s="762">
        <f t="shared" si="46"/>
        <v>2680067.0671019997</v>
      </c>
      <c r="AH51" s="762">
        <f t="shared" si="18"/>
        <v>67001.67667755</v>
      </c>
      <c r="AI51" s="762">
        <f t="shared" si="47"/>
        <v>2747068.7437795498</v>
      </c>
      <c r="AJ51" s="762">
        <f t="shared" si="48"/>
        <v>137353.43718897749</v>
      </c>
      <c r="AK51" s="762">
        <f t="shared" si="122"/>
        <v>2884422.1809685272</v>
      </c>
      <c r="AL51" s="762">
        <f t="shared" si="49"/>
        <v>28844.221809685274</v>
      </c>
      <c r="AM51" s="762">
        <f t="shared" si="50"/>
        <v>27537.409960060559</v>
      </c>
      <c r="AN51" s="762"/>
      <c r="AO51" s="763">
        <f t="shared" si="51"/>
        <v>2940803.8127382728</v>
      </c>
      <c r="AP51" s="763">
        <f t="shared" si="52"/>
        <v>485232.62910181505</v>
      </c>
      <c r="AQ51" s="763">
        <f t="shared" si="53"/>
        <v>3426036.441840088</v>
      </c>
      <c r="AR51" s="1178">
        <f t="shared" si="19"/>
        <v>3000000</v>
      </c>
      <c r="AS51" s="1178">
        <f t="shared" si="123"/>
        <v>19365.292810913092</v>
      </c>
      <c r="AT51" s="1178">
        <f t="shared" si="54"/>
        <v>426036.44184008799</v>
      </c>
      <c r="AU51" s="1178">
        <f t="shared" si="20"/>
        <v>51124.373020810555</v>
      </c>
      <c r="AV51" s="1178">
        <f t="shared" si="55"/>
        <v>477160.81486089854</v>
      </c>
      <c r="AW51" s="1178">
        <f t="shared" si="56"/>
        <v>3477160.8148608985</v>
      </c>
      <c r="AX51" s="762">
        <f t="shared" si="57"/>
        <v>43464.510185761232</v>
      </c>
      <c r="AY51" s="717" t="s">
        <v>231</v>
      </c>
      <c r="AZ51" s="717">
        <f t="shared" si="58"/>
        <v>3520625.3250466599</v>
      </c>
      <c r="BA51" s="717">
        <f t="shared" si="59"/>
        <v>132023.44968924974</v>
      </c>
      <c r="BB51" s="717"/>
      <c r="BC51" s="717">
        <f t="shared" si="21"/>
        <v>33600</v>
      </c>
      <c r="BD51" s="717">
        <f t="shared" si="60"/>
        <v>3686248.7747359099</v>
      </c>
      <c r="BE51" s="717"/>
      <c r="BF51" s="717">
        <f t="shared" si="61"/>
        <v>3686248.7747359099</v>
      </c>
      <c r="BG51" s="1209"/>
      <c r="BH51" s="717">
        <f t="shared" si="62"/>
        <v>3686248.7747359099</v>
      </c>
      <c r="BI51" s="717"/>
      <c r="BJ51" s="717">
        <f t="shared" si="63"/>
        <v>3686248.7747359099</v>
      </c>
      <c r="BK51" s="717"/>
      <c r="BL51" s="717">
        <f t="shared" si="64"/>
        <v>3686248.7747359099</v>
      </c>
      <c r="BM51" s="717"/>
      <c r="BN51" s="717">
        <f t="shared" si="65"/>
        <v>3686248.7747359099</v>
      </c>
      <c r="BO51" s="717"/>
      <c r="BP51" s="717">
        <f t="shared" si="22"/>
        <v>3686248.7747359099</v>
      </c>
      <c r="BQ51" s="717"/>
      <c r="BR51" s="717">
        <f t="shared" si="133"/>
        <v>3686248.7747359099</v>
      </c>
      <c r="BS51" s="717"/>
      <c r="BT51" s="717">
        <f t="shared" si="66"/>
        <v>3686248.7747359099</v>
      </c>
      <c r="BU51" s="717"/>
      <c r="BV51" s="1235">
        <f t="shared" si="134"/>
        <v>51400</v>
      </c>
      <c r="BW51" s="717">
        <f t="shared" si="67"/>
        <v>3737648.7747359099</v>
      </c>
      <c r="BX51" s="717"/>
      <c r="BY51" s="717">
        <f t="shared" si="68"/>
        <v>3737648.7747359099</v>
      </c>
      <c r="BZ51" s="1194">
        <f t="shared" si="69"/>
        <v>3737648.7747359099</v>
      </c>
      <c r="CA51" s="1194">
        <f t="shared" si="70"/>
        <v>3033648.7747359099</v>
      </c>
      <c r="CB51" s="1194">
        <v>32000</v>
      </c>
      <c r="CC51" s="1194">
        <f t="shared" si="71"/>
        <v>704000</v>
      </c>
      <c r="CD51" s="1194">
        <f t="shared" si="72"/>
        <v>84480</v>
      </c>
      <c r="CE51" s="1194">
        <f t="shared" si="73"/>
        <v>788480</v>
      </c>
      <c r="CF51" s="1200">
        <f t="shared" si="74"/>
        <v>3822128.7747359099</v>
      </c>
      <c r="CG51" s="757">
        <f t="shared" si="75"/>
        <v>3822128.7747359099</v>
      </c>
      <c r="CH51" s="758">
        <f t="shared" si="76"/>
        <v>0</v>
      </c>
      <c r="CI51" s="757">
        <f t="shared" si="25"/>
        <v>391768.19941043074</v>
      </c>
      <c r="CJ51" s="757">
        <f t="shared" si="26"/>
        <v>95553.219368397753</v>
      </c>
      <c r="CK51" s="759">
        <f t="shared" si="155"/>
        <v>4309450.1935147392</v>
      </c>
      <c r="CL51" s="764">
        <f t="shared" si="78"/>
        <v>0.125</v>
      </c>
      <c r="CM51" s="757">
        <f t="shared" si="79"/>
        <v>538681.2741893424</v>
      </c>
      <c r="CN51" s="757">
        <f t="shared" si="124"/>
        <v>30000</v>
      </c>
      <c r="CO51" s="757">
        <f t="shared" si="80"/>
        <v>508681.2741893424</v>
      </c>
      <c r="CP51" s="755">
        <f t="shared" si="81"/>
        <v>29</v>
      </c>
      <c r="CQ51" s="757">
        <f t="shared" si="129"/>
        <v>17540.733592735945</v>
      </c>
      <c r="CR51" s="764">
        <f t="shared" si="83"/>
        <v>0.875</v>
      </c>
      <c r="CS51" s="757">
        <f t="shared" si="84"/>
        <v>3770768.9193253969</v>
      </c>
      <c r="CT51" s="1101">
        <f t="shared" si="85"/>
        <v>29234.731296177142</v>
      </c>
      <c r="CU51" s="1101">
        <f t="shared" si="86"/>
        <v>33892.737075413213</v>
      </c>
      <c r="CV51" s="1101">
        <f t="shared" si="87"/>
        <v>43781.824470772634</v>
      </c>
      <c r="CW51" s="1141">
        <f t="shared" si="27"/>
        <v>74665.744021341437</v>
      </c>
      <c r="CX51" s="1152">
        <f t="shared" si="88"/>
        <v>306311.54475968023</v>
      </c>
      <c r="CY51" s="1152">
        <f t="shared" si="89"/>
        <v>121205.98613220325</v>
      </c>
      <c r="CZ51" s="1152">
        <f t="shared" si="90"/>
        <v>87545.367119321934</v>
      </c>
      <c r="DA51" s="1152">
        <f t="shared" si="91"/>
        <v>66626.05475834565</v>
      </c>
      <c r="DB51" s="1143">
        <f t="shared" si="28"/>
        <v>0.14201214728002934</v>
      </c>
      <c r="DC51" s="1143">
        <f t="shared" si="125"/>
        <v>0.25991143291419422</v>
      </c>
      <c r="DD51" s="1098" t="s">
        <v>232</v>
      </c>
      <c r="DE51" s="1144"/>
      <c r="DF51" s="705"/>
      <c r="DG51" s="765">
        <f t="shared" si="126"/>
        <v>46082</v>
      </c>
      <c r="DH51" s="1116">
        <f t="shared" si="29"/>
        <v>28</v>
      </c>
      <c r="DI51" s="497"/>
      <c r="DJ51" s="1117">
        <f t="shared" si="92"/>
        <v>46147</v>
      </c>
      <c r="DK51" s="1116">
        <f t="shared" si="93"/>
        <v>30</v>
      </c>
      <c r="DL51" s="766" t="s">
        <v>233</v>
      </c>
      <c r="DM51" s="766" t="s">
        <v>234</v>
      </c>
      <c r="DN51" s="767">
        <f t="shared" si="30"/>
        <v>21689.12794822266</v>
      </c>
      <c r="DO51" s="767">
        <f t="shared" si="31"/>
        <v>477160.81486089854</v>
      </c>
      <c r="DP51" s="768">
        <f t="shared" si="32"/>
        <v>0.15905360495363285</v>
      </c>
      <c r="DR51" s="767">
        <f t="shared" si="33"/>
        <v>3822128.7747359099</v>
      </c>
      <c r="DS51" s="767">
        <f>SUM('[6]INTERNAL PRICELIST'!M51)</f>
        <v>2329361</v>
      </c>
      <c r="DT51" s="767">
        <f t="shared" si="94"/>
        <v>1492767.7747359099</v>
      </c>
      <c r="DV51" s="951">
        <f t="shared" si="34"/>
        <v>173733.12612435955</v>
      </c>
      <c r="DX51" s="772">
        <v>10</v>
      </c>
      <c r="DY51" s="773" t="s">
        <v>279</v>
      </c>
      <c r="DZ51" s="774">
        <v>22</v>
      </c>
      <c r="EA51" s="775">
        <f t="shared" si="156"/>
        <v>0</v>
      </c>
      <c r="ED51" s="755" t="s">
        <v>359</v>
      </c>
      <c r="EE51" s="777" t="b">
        <f t="shared" si="36"/>
        <v>1</v>
      </c>
      <c r="EF51" s="777"/>
      <c r="EG51" s="777"/>
      <c r="EH51" s="1203"/>
      <c r="EP51" s="1230" t="s">
        <v>236</v>
      </c>
      <c r="EQ51" s="1145" t="s">
        <v>236</v>
      </c>
      <c r="ER51" s="753" t="b">
        <f t="shared" si="95"/>
        <v>1</v>
      </c>
      <c r="EU51" s="770">
        <v>2221760</v>
      </c>
      <c r="EV51" s="771" t="s">
        <v>236</v>
      </c>
      <c r="EZ51" s="520"/>
      <c r="FA51" s="778"/>
      <c r="FG51" s="1107"/>
      <c r="FJ51" s="994">
        <v>0.15</v>
      </c>
      <c r="FK51" s="993">
        <v>12942.297377862546</v>
      </c>
      <c r="FL51" s="993">
        <v>13292.089198885857</v>
      </c>
      <c r="FM51" s="497"/>
      <c r="FN51" s="993">
        <f t="shared" si="38"/>
        <v>4309450.1935147392</v>
      </c>
      <c r="FO51" s="994">
        <f t="shared" si="96"/>
        <v>0.15</v>
      </c>
      <c r="FP51" s="775">
        <f t="shared" si="39"/>
        <v>646417.5290272109</v>
      </c>
      <c r="FQ51" s="993">
        <f t="shared" si="40"/>
        <v>30000</v>
      </c>
      <c r="FR51" s="775">
        <f t="shared" si="97"/>
        <v>616417.5290272109</v>
      </c>
      <c r="FS51" s="497">
        <f t="shared" si="98"/>
        <v>40</v>
      </c>
      <c r="FT51" s="775">
        <f t="shared" si="99"/>
        <v>15410.438225680273</v>
      </c>
      <c r="FU51" s="497"/>
      <c r="FV51" s="993">
        <f t="shared" si="100"/>
        <v>4309450.1935147392</v>
      </c>
      <c r="FW51" s="705">
        <f t="shared" si="101"/>
        <v>430945.01935147395</v>
      </c>
      <c r="FX51" s="705">
        <f t="shared" si="102"/>
        <v>107736.25483786849</v>
      </c>
      <c r="FY51" s="705">
        <v>15000</v>
      </c>
      <c r="FZ51" s="705">
        <f t="shared" si="103"/>
        <v>415945.01935147395</v>
      </c>
      <c r="GA51" s="497">
        <f t="shared" si="104"/>
        <v>46</v>
      </c>
      <c r="GB51" s="775">
        <f t="shared" si="105"/>
        <v>9042.2830293798688</v>
      </c>
      <c r="GC51" s="497"/>
      <c r="GD51" s="497"/>
      <c r="GE51" s="1107">
        <v>46266</v>
      </c>
      <c r="GH51" s="1095">
        <f t="shared" si="0"/>
        <v>4309450.1935147392</v>
      </c>
      <c r="GI51" s="1098">
        <f t="shared" si="1"/>
        <v>0.125</v>
      </c>
      <c r="GJ51" s="1095">
        <f t="shared" si="2"/>
        <v>538681.2741893424</v>
      </c>
      <c r="GK51" s="1095">
        <f t="shared" si="3"/>
        <v>30000</v>
      </c>
      <c r="GL51" s="1095">
        <f t="shared" si="4"/>
        <v>508681.2741893424</v>
      </c>
      <c r="GM51" s="1095">
        <f t="shared" si="5"/>
        <v>29</v>
      </c>
      <c r="GN51" s="1095">
        <f t="shared" si="6"/>
        <v>17540.733592735945</v>
      </c>
      <c r="GO51" s="1098">
        <f t="shared" si="7"/>
        <v>0.875</v>
      </c>
      <c r="GP51" s="1095">
        <f t="shared" si="8"/>
        <v>3770768.9193253969</v>
      </c>
      <c r="GQ51" s="1095">
        <f t="shared" si="9"/>
        <v>29234.731296177142</v>
      </c>
      <c r="GR51" s="1095">
        <f t="shared" si="10"/>
        <v>33892.737075413213</v>
      </c>
      <c r="GS51" s="1095">
        <f t="shared" si="11"/>
        <v>43781.824470772634</v>
      </c>
      <c r="GT51" s="1095">
        <f t="shared" si="12"/>
        <v>74665.744021341437</v>
      </c>
      <c r="GU51" s="497"/>
      <c r="GV51" s="1095">
        <f t="shared" si="106"/>
        <v>4309450.1935147392</v>
      </c>
      <c r="GW51" s="1098">
        <f t="shared" si="107"/>
        <v>0.125</v>
      </c>
      <c r="GX51" s="1095">
        <f t="shared" si="108"/>
        <v>538681.2741893424</v>
      </c>
      <c r="GY51" s="1095">
        <f t="shared" si="109"/>
        <v>30000</v>
      </c>
      <c r="GZ51" s="1095">
        <f t="shared" si="110"/>
        <v>508681.2741893424</v>
      </c>
      <c r="HA51" s="1106">
        <f t="shared" si="111"/>
        <v>48</v>
      </c>
      <c r="HB51" s="770">
        <f t="shared" si="112"/>
        <v>10597.526545611299</v>
      </c>
      <c r="HC51" s="1098">
        <f t="shared" si="113"/>
        <v>0.875</v>
      </c>
      <c r="HD51" s="1102">
        <f t="shared" si="114"/>
        <v>3770768.9193253969</v>
      </c>
      <c r="HE51" s="1101">
        <f t="shared" si="115"/>
        <v>29234.731296177142</v>
      </c>
      <c r="HF51" s="1101">
        <f t="shared" si="116"/>
        <v>33892.737075413213</v>
      </c>
      <c r="HG51" s="1101">
        <f t="shared" si="117"/>
        <v>43781.824470772634</v>
      </c>
      <c r="HH51" s="1101">
        <f t="shared" si="118"/>
        <v>74665.744021341437</v>
      </c>
      <c r="HI51" s="497"/>
      <c r="HJ51" s="1102">
        <f t="shared" si="119"/>
        <v>-6943.2070471246461</v>
      </c>
      <c r="HL51" s="775"/>
      <c r="HN51" s="775"/>
      <c r="HO51" s="775"/>
      <c r="HQ51" s="702"/>
      <c r="HR51" s="1171"/>
      <c r="HS51" s="702"/>
      <c r="HT51" s="1171"/>
    </row>
    <row r="52" spans="1:228" ht="14.25" hidden="1" customHeight="1">
      <c r="A52" s="753">
        <f t="shared" si="120"/>
        <v>46</v>
      </c>
      <c r="B52" s="753"/>
      <c r="C52" s="753">
        <f t="shared" si="121"/>
        <v>15</v>
      </c>
      <c r="D52" s="753" t="s">
        <v>253</v>
      </c>
      <c r="E52" s="717" t="str">
        <f t="shared" si="41"/>
        <v>4th Floor</v>
      </c>
      <c r="F52" s="754"/>
      <c r="G52" s="755" t="s">
        <v>360</v>
      </c>
      <c r="H52" s="756"/>
      <c r="I52" s="755" t="s">
        <v>229</v>
      </c>
      <c r="J52" s="757">
        <v>22</v>
      </c>
      <c r="K52" s="758"/>
      <c r="L52" s="759" t="s">
        <v>277</v>
      </c>
      <c r="M52" s="760" t="s">
        <v>278</v>
      </c>
      <c r="N52" s="761">
        <f t="shared" si="42"/>
        <v>106005.26567735759</v>
      </c>
      <c r="O52" s="762">
        <f t="shared" si="43"/>
        <v>2332115.8449018667</v>
      </c>
      <c r="P52" s="762">
        <f t="shared" si="44"/>
        <v>22400</v>
      </c>
      <c r="Q52" s="762">
        <f t="shared" si="14"/>
        <v>50000</v>
      </c>
      <c r="R52" s="762"/>
      <c r="S52" s="762"/>
      <c r="T52" s="762"/>
      <c r="U52" s="762"/>
      <c r="V52" s="762"/>
      <c r="W52" s="762">
        <f t="shared" si="158"/>
        <v>22000</v>
      </c>
      <c r="X52" s="762"/>
      <c r="Y52" s="762"/>
      <c r="Z52" s="762">
        <f t="shared" si="15"/>
        <v>142461</v>
      </c>
      <c r="AA52" s="762">
        <v>45722.732758620688</v>
      </c>
      <c r="AB52" s="762"/>
      <c r="AC52" s="762"/>
      <c r="AD52" s="763">
        <f t="shared" si="45"/>
        <v>282583.7327586207</v>
      </c>
      <c r="AE52" s="763">
        <f t="shared" si="16"/>
        <v>2614699.5776604875</v>
      </c>
      <c r="AF52" s="762">
        <f t="shared" si="17"/>
        <v>65367.489441512189</v>
      </c>
      <c r="AG52" s="762">
        <f t="shared" si="46"/>
        <v>2680067.0671019997</v>
      </c>
      <c r="AH52" s="762">
        <f t="shared" si="18"/>
        <v>67001.67667755</v>
      </c>
      <c r="AI52" s="762">
        <f t="shared" si="47"/>
        <v>2747068.7437795498</v>
      </c>
      <c r="AJ52" s="762">
        <f t="shared" si="48"/>
        <v>137353.43718897749</v>
      </c>
      <c r="AK52" s="762">
        <f t="shared" si="122"/>
        <v>2884422.1809685272</v>
      </c>
      <c r="AL52" s="762">
        <f t="shared" si="49"/>
        <v>28844.221809685274</v>
      </c>
      <c r="AM52" s="762">
        <f t="shared" si="50"/>
        <v>27537.409960060559</v>
      </c>
      <c r="AN52" s="762"/>
      <c r="AO52" s="763">
        <f t="shared" si="51"/>
        <v>2940803.8127382728</v>
      </c>
      <c r="AP52" s="763">
        <f t="shared" si="52"/>
        <v>485232.62910181505</v>
      </c>
      <c r="AQ52" s="763">
        <f t="shared" si="53"/>
        <v>3426036.441840088</v>
      </c>
      <c r="AR52" s="1178">
        <f t="shared" si="19"/>
        <v>3000000</v>
      </c>
      <c r="AS52" s="1178">
        <f t="shared" si="123"/>
        <v>19365.292810913092</v>
      </c>
      <c r="AT52" s="1178">
        <f t="shared" si="54"/>
        <v>426036.44184008799</v>
      </c>
      <c r="AU52" s="1178">
        <f t="shared" si="20"/>
        <v>51124.373020810555</v>
      </c>
      <c r="AV52" s="1178">
        <f t="shared" si="55"/>
        <v>477160.81486089854</v>
      </c>
      <c r="AW52" s="1178">
        <f t="shared" si="56"/>
        <v>3477160.8148608985</v>
      </c>
      <c r="AX52" s="762">
        <f t="shared" si="57"/>
        <v>43464.510185761232</v>
      </c>
      <c r="AY52" s="717" t="s">
        <v>231</v>
      </c>
      <c r="AZ52" s="717">
        <f t="shared" si="58"/>
        <v>3520625.3250466599</v>
      </c>
      <c r="BA52" s="717">
        <f t="shared" si="59"/>
        <v>132023.44968924974</v>
      </c>
      <c r="BB52" s="717"/>
      <c r="BC52" s="717">
        <f t="shared" si="21"/>
        <v>33600</v>
      </c>
      <c r="BD52" s="717">
        <f t="shared" si="60"/>
        <v>3686248.7747359099</v>
      </c>
      <c r="BE52" s="717"/>
      <c r="BF52" s="717">
        <f t="shared" si="61"/>
        <v>3686248.7747359099</v>
      </c>
      <c r="BG52" s="1209"/>
      <c r="BH52" s="717">
        <f t="shared" si="62"/>
        <v>3686248.7747359099</v>
      </c>
      <c r="BI52" s="717"/>
      <c r="BJ52" s="717">
        <f t="shared" si="63"/>
        <v>3686248.7747359099</v>
      </c>
      <c r="BK52" s="717"/>
      <c r="BL52" s="717">
        <f t="shared" si="64"/>
        <v>3686248.7747359099</v>
      </c>
      <c r="BM52" s="717"/>
      <c r="BN52" s="717">
        <f t="shared" si="65"/>
        <v>3686248.7747359099</v>
      </c>
      <c r="BO52" s="717"/>
      <c r="BP52" s="717">
        <f t="shared" si="22"/>
        <v>3686248.7747359099</v>
      </c>
      <c r="BQ52" s="717"/>
      <c r="BR52" s="717">
        <f t="shared" si="133"/>
        <v>3686248.7747359099</v>
      </c>
      <c r="BS52" s="717"/>
      <c r="BT52" s="717">
        <f t="shared" si="66"/>
        <v>3686248.7747359099</v>
      </c>
      <c r="BU52" s="717"/>
      <c r="BV52" s="1235">
        <f t="shared" si="134"/>
        <v>51400</v>
      </c>
      <c r="BW52" s="717">
        <f t="shared" si="67"/>
        <v>3737648.7747359099</v>
      </c>
      <c r="BX52" s="717"/>
      <c r="BY52" s="717">
        <f t="shared" si="68"/>
        <v>3737648.7747359099</v>
      </c>
      <c r="BZ52" s="1194">
        <f t="shared" si="69"/>
        <v>3737648.7747359099</v>
      </c>
      <c r="CA52" s="1194">
        <f t="shared" si="70"/>
        <v>3033648.7747359099</v>
      </c>
      <c r="CB52" s="1194">
        <v>32000</v>
      </c>
      <c r="CC52" s="1194">
        <f t="shared" si="71"/>
        <v>704000</v>
      </c>
      <c r="CD52" s="1194">
        <f t="shared" si="72"/>
        <v>84480</v>
      </c>
      <c r="CE52" s="1194">
        <f t="shared" si="73"/>
        <v>788480</v>
      </c>
      <c r="CF52" s="1200">
        <f t="shared" si="74"/>
        <v>3822128.7747359099</v>
      </c>
      <c r="CG52" s="757">
        <f t="shared" si="75"/>
        <v>3822128.7747359099</v>
      </c>
      <c r="CH52" s="758">
        <f t="shared" si="76"/>
        <v>0</v>
      </c>
      <c r="CI52" s="757">
        <f t="shared" si="25"/>
        <v>391768.19941043074</v>
      </c>
      <c r="CJ52" s="757">
        <f t="shared" si="26"/>
        <v>95553.219368397753</v>
      </c>
      <c r="CK52" s="759">
        <f t="shared" si="155"/>
        <v>4309450.1935147392</v>
      </c>
      <c r="CL52" s="764">
        <f t="shared" si="78"/>
        <v>0.125</v>
      </c>
      <c r="CM52" s="757">
        <f t="shared" si="79"/>
        <v>538681.2741893424</v>
      </c>
      <c r="CN52" s="757">
        <f t="shared" si="124"/>
        <v>30000</v>
      </c>
      <c r="CO52" s="757">
        <f t="shared" si="80"/>
        <v>508681.2741893424</v>
      </c>
      <c r="CP52" s="755">
        <f t="shared" si="81"/>
        <v>29</v>
      </c>
      <c r="CQ52" s="757">
        <f t="shared" si="129"/>
        <v>17540.733592735945</v>
      </c>
      <c r="CR52" s="764">
        <f t="shared" si="83"/>
        <v>0.875</v>
      </c>
      <c r="CS52" s="757">
        <f t="shared" si="84"/>
        <v>3770768.9193253969</v>
      </c>
      <c r="CT52" s="1101">
        <f t="shared" si="85"/>
        <v>29234.731296177142</v>
      </c>
      <c r="CU52" s="1101">
        <f t="shared" si="86"/>
        <v>33892.737075413213</v>
      </c>
      <c r="CV52" s="1101">
        <f t="shared" si="87"/>
        <v>43781.824470772634</v>
      </c>
      <c r="CW52" s="1141">
        <f t="shared" si="27"/>
        <v>74665.744021341437</v>
      </c>
      <c r="CX52" s="1152">
        <f t="shared" si="88"/>
        <v>306311.54475968023</v>
      </c>
      <c r="CY52" s="1152">
        <f t="shared" si="89"/>
        <v>121205.98613220325</v>
      </c>
      <c r="CZ52" s="1152">
        <f t="shared" si="90"/>
        <v>87545.367119321934</v>
      </c>
      <c r="DA52" s="1152">
        <f t="shared" si="91"/>
        <v>66626.05475834565</v>
      </c>
      <c r="DB52" s="1143">
        <f t="shared" si="28"/>
        <v>0.14201214728002934</v>
      </c>
      <c r="DC52" s="1143">
        <f t="shared" si="125"/>
        <v>0.25991143291419422</v>
      </c>
      <c r="DD52" s="1098" t="s">
        <v>232</v>
      </c>
      <c r="DE52" s="1144"/>
      <c r="DF52" s="705"/>
      <c r="DG52" s="765">
        <f t="shared" si="126"/>
        <v>46082</v>
      </c>
      <c r="DH52" s="1116">
        <f t="shared" si="29"/>
        <v>28</v>
      </c>
      <c r="DI52" s="497"/>
      <c r="DJ52" s="1117">
        <f t="shared" si="92"/>
        <v>46147</v>
      </c>
      <c r="DK52" s="1116">
        <f t="shared" si="93"/>
        <v>30</v>
      </c>
      <c r="DL52" s="766" t="s">
        <v>233</v>
      </c>
      <c r="DM52" s="766" t="s">
        <v>234</v>
      </c>
      <c r="DN52" s="767">
        <f t="shared" si="30"/>
        <v>21689.12794822266</v>
      </c>
      <c r="DO52" s="767">
        <f t="shared" si="31"/>
        <v>477160.81486089854</v>
      </c>
      <c r="DP52" s="768">
        <f t="shared" si="32"/>
        <v>0.15905360495363285</v>
      </c>
      <c r="DR52" s="767">
        <f t="shared" si="33"/>
        <v>3822128.7747359099</v>
      </c>
      <c r="DS52" s="767">
        <f>SUM('[6]INTERNAL PRICELIST'!M52)</f>
        <v>2329361</v>
      </c>
      <c r="DT52" s="767">
        <f t="shared" si="94"/>
        <v>1492767.7747359099</v>
      </c>
      <c r="DV52" s="951">
        <f t="shared" si="34"/>
        <v>173733.12612435955</v>
      </c>
      <c r="DX52" s="772">
        <v>11</v>
      </c>
      <c r="DY52" s="773" t="s">
        <v>283</v>
      </c>
      <c r="DZ52" s="774">
        <v>22</v>
      </c>
      <c r="EA52" s="775">
        <f t="shared" si="156"/>
        <v>0</v>
      </c>
      <c r="ED52" s="755" t="s">
        <v>360</v>
      </c>
      <c r="EE52" s="777" t="b">
        <f t="shared" si="36"/>
        <v>1</v>
      </c>
      <c r="EF52" s="777"/>
      <c r="EG52" s="777"/>
      <c r="EH52" s="1203"/>
      <c r="EP52" s="1230" t="s">
        <v>236</v>
      </c>
      <c r="EQ52" s="1145" t="s">
        <v>236</v>
      </c>
      <c r="ER52" s="753" t="b">
        <f t="shared" si="95"/>
        <v>1</v>
      </c>
      <c r="EU52" s="770">
        <v>2782915.0533960266</v>
      </c>
      <c r="EV52" s="771" t="s">
        <v>236</v>
      </c>
      <c r="EZ52" s="520"/>
      <c r="FA52" s="778"/>
      <c r="FG52" s="1107"/>
      <c r="FJ52" s="994">
        <v>0.15</v>
      </c>
      <c r="FK52" s="993">
        <v>12942.297377862546</v>
      </c>
      <c r="FL52" s="993">
        <v>13292.089198885857</v>
      </c>
      <c r="FM52" s="497"/>
      <c r="FN52" s="993">
        <f t="shared" si="38"/>
        <v>4309450.1935147392</v>
      </c>
      <c r="FO52" s="994">
        <f t="shared" si="96"/>
        <v>0.15</v>
      </c>
      <c r="FP52" s="775">
        <f t="shared" si="39"/>
        <v>646417.5290272109</v>
      </c>
      <c r="FQ52" s="993">
        <f t="shared" si="40"/>
        <v>30000</v>
      </c>
      <c r="FR52" s="775">
        <f t="shared" si="97"/>
        <v>616417.5290272109</v>
      </c>
      <c r="FS52" s="497">
        <f t="shared" si="98"/>
        <v>40</v>
      </c>
      <c r="FT52" s="775">
        <f t="shared" si="99"/>
        <v>15410.438225680273</v>
      </c>
      <c r="FU52" s="497"/>
      <c r="FV52" s="993">
        <f t="shared" si="100"/>
        <v>4309450.1935147392</v>
      </c>
      <c r="FW52" s="705">
        <f t="shared" si="101"/>
        <v>430945.01935147395</v>
      </c>
      <c r="FX52" s="705">
        <f t="shared" si="102"/>
        <v>107736.25483786849</v>
      </c>
      <c r="FY52" s="705">
        <v>15000</v>
      </c>
      <c r="FZ52" s="705">
        <f t="shared" si="103"/>
        <v>415945.01935147395</v>
      </c>
      <c r="GA52" s="497">
        <f t="shared" si="104"/>
        <v>46</v>
      </c>
      <c r="GB52" s="775">
        <f t="shared" si="105"/>
        <v>9042.2830293798688</v>
      </c>
      <c r="GC52" s="497"/>
      <c r="GD52" s="497"/>
      <c r="GE52" s="1107">
        <v>46296</v>
      </c>
      <c r="GH52" s="1095">
        <f t="shared" si="0"/>
        <v>4309450.1935147392</v>
      </c>
      <c r="GI52" s="1098">
        <f t="shared" si="1"/>
        <v>0.125</v>
      </c>
      <c r="GJ52" s="1095">
        <f t="shared" si="2"/>
        <v>538681.2741893424</v>
      </c>
      <c r="GK52" s="1095">
        <f t="shared" si="3"/>
        <v>30000</v>
      </c>
      <c r="GL52" s="1095">
        <f t="shared" si="4"/>
        <v>508681.2741893424</v>
      </c>
      <c r="GM52" s="1095">
        <f t="shared" si="5"/>
        <v>29</v>
      </c>
      <c r="GN52" s="1095">
        <f t="shared" si="6"/>
        <v>17540.733592735945</v>
      </c>
      <c r="GO52" s="1098">
        <f t="shared" si="7"/>
        <v>0.875</v>
      </c>
      <c r="GP52" s="1095">
        <f t="shared" si="8"/>
        <v>3770768.9193253969</v>
      </c>
      <c r="GQ52" s="1095">
        <f t="shared" si="9"/>
        <v>29234.731296177142</v>
      </c>
      <c r="GR52" s="1095">
        <f t="shared" si="10"/>
        <v>33892.737075413213</v>
      </c>
      <c r="GS52" s="1095">
        <f t="shared" si="11"/>
        <v>43781.824470772634</v>
      </c>
      <c r="GT52" s="1095">
        <f t="shared" si="12"/>
        <v>74665.744021341437</v>
      </c>
      <c r="GU52" s="497"/>
      <c r="GV52" s="1095">
        <f t="shared" si="106"/>
        <v>4309450.1935147392</v>
      </c>
      <c r="GW52" s="1098">
        <f t="shared" si="107"/>
        <v>0.125</v>
      </c>
      <c r="GX52" s="1095">
        <f t="shared" si="108"/>
        <v>538681.2741893424</v>
      </c>
      <c r="GY52" s="1095">
        <f t="shared" si="109"/>
        <v>30000</v>
      </c>
      <c r="GZ52" s="1095">
        <f t="shared" si="110"/>
        <v>508681.2741893424</v>
      </c>
      <c r="HA52" s="1106">
        <f t="shared" si="111"/>
        <v>48</v>
      </c>
      <c r="HB52" s="770">
        <f t="shared" si="112"/>
        <v>10597.526545611299</v>
      </c>
      <c r="HC52" s="1098">
        <f t="shared" si="113"/>
        <v>0.875</v>
      </c>
      <c r="HD52" s="1102">
        <f t="shared" si="114"/>
        <v>3770768.9193253969</v>
      </c>
      <c r="HE52" s="1101">
        <f t="shared" si="115"/>
        <v>29234.731296177142</v>
      </c>
      <c r="HF52" s="1101">
        <f t="shared" si="116"/>
        <v>33892.737075413213</v>
      </c>
      <c r="HG52" s="1101">
        <f t="shared" si="117"/>
        <v>43781.824470772634</v>
      </c>
      <c r="HH52" s="1101">
        <f t="shared" si="118"/>
        <v>74665.744021341437</v>
      </c>
      <c r="HI52" s="497"/>
      <c r="HJ52" s="1102">
        <f t="shared" si="119"/>
        <v>-6943.2070471246461</v>
      </c>
      <c r="HL52" s="775"/>
      <c r="HN52" s="775"/>
      <c r="HO52" s="775"/>
      <c r="HQ52" s="702"/>
      <c r="HR52" s="1171"/>
      <c r="HS52" s="702"/>
      <c r="HT52" s="1171"/>
    </row>
    <row r="53" spans="1:228" ht="14.25" hidden="1" customHeight="1">
      <c r="A53" s="753">
        <f t="shared" si="120"/>
        <v>47</v>
      </c>
      <c r="B53" s="753" t="s">
        <v>236</v>
      </c>
      <c r="C53" s="753">
        <f t="shared" si="121"/>
        <v>16</v>
      </c>
      <c r="D53" s="753" t="s">
        <v>253</v>
      </c>
      <c r="E53" s="717" t="str">
        <f t="shared" si="41"/>
        <v>4th Floor</v>
      </c>
      <c r="F53" s="754"/>
      <c r="G53" s="755" t="s">
        <v>361</v>
      </c>
      <c r="H53" s="756"/>
      <c r="I53" s="755" t="s">
        <v>229</v>
      </c>
      <c r="J53" s="757">
        <v>22</v>
      </c>
      <c r="K53" s="758"/>
      <c r="L53" s="759" t="s">
        <v>277</v>
      </c>
      <c r="M53" s="760" t="s">
        <v>230</v>
      </c>
      <c r="N53" s="761">
        <f t="shared" si="42"/>
        <v>106005.26567735759</v>
      </c>
      <c r="O53" s="762">
        <f t="shared" si="43"/>
        <v>2332115.8449018667</v>
      </c>
      <c r="P53" s="762">
        <f t="shared" si="44"/>
        <v>22400</v>
      </c>
      <c r="Q53" s="762">
        <f t="shared" si="14"/>
        <v>50000</v>
      </c>
      <c r="R53" s="762"/>
      <c r="S53" s="762"/>
      <c r="T53" s="762"/>
      <c r="U53" s="762"/>
      <c r="V53" s="762">
        <f>J53*$V$5</f>
        <v>55000</v>
      </c>
      <c r="W53" s="762"/>
      <c r="X53" s="762"/>
      <c r="Y53" s="762"/>
      <c r="Z53" s="762">
        <f t="shared" si="15"/>
        <v>142461</v>
      </c>
      <c r="AA53" s="762">
        <v>45722.732758620688</v>
      </c>
      <c r="AB53" s="762"/>
      <c r="AC53" s="762"/>
      <c r="AD53" s="763">
        <f t="shared" si="45"/>
        <v>315583.7327586207</v>
      </c>
      <c r="AE53" s="763">
        <f t="shared" si="16"/>
        <v>2647699.5776604875</v>
      </c>
      <c r="AF53" s="762">
        <f t="shared" si="17"/>
        <v>66192.489441512196</v>
      </c>
      <c r="AG53" s="762">
        <f t="shared" si="46"/>
        <v>2713892.0671019997</v>
      </c>
      <c r="AH53" s="762">
        <f t="shared" si="18"/>
        <v>67847.30167755</v>
      </c>
      <c r="AI53" s="762">
        <f t="shared" si="47"/>
        <v>2781739.3687795498</v>
      </c>
      <c r="AJ53" s="762">
        <f t="shared" si="48"/>
        <v>139086.96843897749</v>
      </c>
      <c r="AK53" s="762">
        <f t="shared" si="122"/>
        <v>2920826.3372185272</v>
      </c>
      <c r="AL53" s="762">
        <f t="shared" si="49"/>
        <v>29208.263372185273</v>
      </c>
      <c r="AM53" s="762">
        <f t="shared" si="50"/>
        <v>27537.409960060559</v>
      </c>
      <c r="AN53" s="762"/>
      <c r="AO53" s="763">
        <f t="shared" si="51"/>
        <v>2977572.0105507728</v>
      </c>
      <c r="AP53" s="763">
        <f t="shared" si="52"/>
        <v>491299.38174087752</v>
      </c>
      <c r="AQ53" s="763">
        <f t="shared" si="53"/>
        <v>3468871.3922916502</v>
      </c>
      <c r="AR53" s="1178">
        <f t="shared" si="19"/>
        <v>3000000</v>
      </c>
      <c r="AS53" s="1178">
        <f t="shared" si="123"/>
        <v>21312.336013256827</v>
      </c>
      <c r="AT53" s="1178">
        <f t="shared" si="54"/>
        <v>468871.39229165018</v>
      </c>
      <c r="AU53" s="1178">
        <f t="shared" si="20"/>
        <v>56264.56707499802</v>
      </c>
      <c r="AV53" s="1178">
        <f t="shared" si="55"/>
        <v>525135.95936664823</v>
      </c>
      <c r="AW53" s="1178">
        <f t="shared" si="56"/>
        <v>3525135.959366648</v>
      </c>
      <c r="AX53" s="762">
        <f t="shared" si="57"/>
        <v>44064.199492083106</v>
      </c>
      <c r="AY53" s="717" t="s">
        <v>231</v>
      </c>
      <c r="AZ53" s="717">
        <f t="shared" si="58"/>
        <v>3569200.1588587309</v>
      </c>
      <c r="BA53" s="717">
        <f t="shared" si="59"/>
        <v>133845.0059572024</v>
      </c>
      <c r="BB53" s="717"/>
      <c r="BC53" s="717">
        <f t="shared" si="21"/>
        <v>33600</v>
      </c>
      <c r="BD53" s="717">
        <f t="shared" si="60"/>
        <v>3736645.1648159334</v>
      </c>
      <c r="BE53" s="717"/>
      <c r="BF53" s="717">
        <f t="shared" si="61"/>
        <v>3736645.1648159334</v>
      </c>
      <c r="BG53" s="1209"/>
      <c r="BH53" s="717">
        <f t="shared" si="62"/>
        <v>3736645.1648159334</v>
      </c>
      <c r="BI53" s="717"/>
      <c r="BJ53" s="717">
        <f t="shared" si="63"/>
        <v>3736645.1648159334</v>
      </c>
      <c r="BK53" s="717"/>
      <c r="BL53" s="717">
        <f t="shared" si="64"/>
        <v>3736645.1648159334</v>
      </c>
      <c r="BM53" s="717"/>
      <c r="BN53" s="717">
        <f t="shared" si="65"/>
        <v>3736645.1648159334</v>
      </c>
      <c r="BO53" s="717"/>
      <c r="BP53" s="717">
        <f t="shared" si="22"/>
        <v>3736645.1648159334</v>
      </c>
      <c r="BQ53" s="717"/>
      <c r="BR53" s="717">
        <f t="shared" si="133"/>
        <v>3736645.1648159334</v>
      </c>
      <c r="BS53" s="717"/>
      <c r="BT53" s="717">
        <f t="shared" si="66"/>
        <v>3736645.1648159334</v>
      </c>
      <c r="BU53" s="717"/>
      <c r="BV53" s="1235">
        <f t="shared" si="134"/>
        <v>51400</v>
      </c>
      <c r="BW53" s="717">
        <f t="shared" si="67"/>
        <v>3788045.1648159334</v>
      </c>
      <c r="BX53" s="717"/>
      <c r="BY53" s="717">
        <f t="shared" si="68"/>
        <v>3788045.1648159334</v>
      </c>
      <c r="BZ53" s="1194">
        <f t="shared" si="69"/>
        <v>3788045.1648159334</v>
      </c>
      <c r="CA53" s="1194">
        <f t="shared" si="70"/>
        <v>3040045.1648159334</v>
      </c>
      <c r="CB53" s="1194">
        <v>34000</v>
      </c>
      <c r="CC53" s="1194">
        <f t="shared" si="71"/>
        <v>748000</v>
      </c>
      <c r="CD53" s="1194">
        <f t="shared" si="72"/>
        <v>89760</v>
      </c>
      <c r="CE53" s="1194">
        <f t="shared" si="73"/>
        <v>837760</v>
      </c>
      <c r="CF53" s="1200">
        <f t="shared" si="74"/>
        <v>3877805.1648159334</v>
      </c>
      <c r="CG53" s="757">
        <f t="shared" si="75"/>
        <v>3877805.1648159334</v>
      </c>
      <c r="CH53" s="758">
        <f t="shared" si="76"/>
        <v>0</v>
      </c>
      <c r="CI53" s="757">
        <f t="shared" si="25"/>
        <v>397475.02939363313</v>
      </c>
      <c r="CJ53" s="757">
        <f t="shared" si="26"/>
        <v>96945.129120398342</v>
      </c>
      <c r="CK53" s="759">
        <f t="shared" si="155"/>
        <v>4372225.3233299647</v>
      </c>
      <c r="CL53" s="764">
        <f t="shared" si="78"/>
        <v>0.125</v>
      </c>
      <c r="CM53" s="757">
        <f t="shared" si="79"/>
        <v>546528.16541624558</v>
      </c>
      <c r="CN53" s="757">
        <f t="shared" si="124"/>
        <v>30000</v>
      </c>
      <c r="CO53" s="757">
        <f t="shared" si="80"/>
        <v>516528.16541624558</v>
      </c>
      <c r="CP53" s="755">
        <f t="shared" si="81"/>
        <v>29</v>
      </c>
      <c r="CQ53" s="757">
        <f t="shared" si="129"/>
        <v>17811.316048836055</v>
      </c>
      <c r="CR53" s="764">
        <f t="shared" si="83"/>
        <v>0.875</v>
      </c>
      <c r="CS53" s="757">
        <f t="shared" si="84"/>
        <v>3825697.1579137193</v>
      </c>
      <c r="CT53" s="1101">
        <f t="shared" si="85"/>
        <v>29660.589345306602</v>
      </c>
      <c r="CU53" s="1101">
        <f t="shared" si="86"/>
        <v>34386.447612526325</v>
      </c>
      <c r="CV53" s="1101">
        <f t="shared" si="87"/>
        <v>44419.587895637422</v>
      </c>
      <c r="CW53" s="1141">
        <f t="shared" si="27"/>
        <v>75753.388979100506</v>
      </c>
      <c r="CX53" s="1152">
        <f t="shared" si="88"/>
        <v>310773.54017040064</v>
      </c>
      <c r="CY53" s="1152">
        <f t="shared" si="89"/>
        <v>122971.57598059779</v>
      </c>
      <c r="CZ53" s="1152">
        <f t="shared" si="90"/>
        <v>88820.627660424681</v>
      </c>
      <c r="DA53" s="1152">
        <f t="shared" si="91"/>
        <v>67596.586740087907</v>
      </c>
      <c r="DB53" s="1143">
        <f t="shared" si="28"/>
        <v>0.15629046409721672</v>
      </c>
      <c r="DC53" s="1143">
        <f t="shared" si="125"/>
        <v>0.27557485319489461</v>
      </c>
      <c r="DD53" s="1098" t="s">
        <v>232</v>
      </c>
      <c r="DE53" s="1144"/>
      <c r="DF53" s="705"/>
      <c r="DG53" s="765">
        <f t="shared" si="126"/>
        <v>46082</v>
      </c>
      <c r="DH53" s="1116">
        <f t="shared" si="29"/>
        <v>28</v>
      </c>
      <c r="DI53" s="497"/>
      <c r="DJ53" s="1117">
        <f t="shared" si="92"/>
        <v>46147</v>
      </c>
      <c r="DK53" s="1116">
        <f t="shared" si="93"/>
        <v>30</v>
      </c>
      <c r="DL53" s="766" t="s">
        <v>233</v>
      </c>
      <c r="DM53" s="766" t="s">
        <v>234</v>
      </c>
      <c r="DN53" s="767">
        <f t="shared" si="30"/>
        <v>23869.816334847648</v>
      </c>
      <c r="DO53" s="767">
        <f t="shared" si="31"/>
        <v>525135.95936664823</v>
      </c>
      <c r="DP53" s="768">
        <f t="shared" si="32"/>
        <v>0.17504531978888274</v>
      </c>
      <c r="DR53" s="767">
        <f t="shared" si="33"/>
        <v>3877805.1648159334</v>
      </c>
      <c r="DS53" s="767">
        <f>SUM('[6]INTERNAL PRICELIST'!M53)</f>
        <v>2329361</v>
      </c>
      <c r="DT53" s="767">
        <f t="shared" si="94"/>
        <v>1548444.1648159334</v>
      </c>
      <c r="DV53" s="951">
        <f t="shared" si="34"/>
        <v>176263.87112799697</v>
      </c>
      <c r="DX53" s="772">
        <v>12</v>
      </c>
      <c r="DY53" s="773" t="s">
        <v>286</v>
      </c>
      <c r="DZ53" s="774">
        <v>22</v>
      </c>
      <c r="EA53" s="775">
        <f t="shared" si="156"/>
        <v>0</v>
      </c>
      <c r="ED53" s="1133" t="s">
        <v>361</v>
      </c>
      <c r="EE53" s="777" t="b">
        <f t="shared" si="36"/>
        <v>1</v>
      </c>
      <c r="EF53" s="1123" t="s">
        <v>362</v>
      </c>
      <c r="EG53" s="1123" t="s">
        <v>336</v>
      </c>
      <c r="EH53" s="1203"/>
      <c r="EP53" s="1230" t="s">
        <v>236</v>
      </c>
      <c r="EQ53" s="1145" t="s">
        <v>236</v>
      </c>
      <c r="ER53" s="753" t="b">
        <f t="shared" si="95"/>
        <v>1</v>
      </c>
      <c r="EU53" s="770">
        <v>2172480</v>
      </c>
      <c r="EV53" s="771" t="s">
        <v>236</v>
      </c>
      <c r="EZ53" s="520"/>
      <c r="FA53" s="778"/>
      <c r="FG53" s="1107"/>
      <c r="FJ53" s="994">
        <v>0.15</v>
      </c>
      <c r="FK53" s="993">
        <v>13378.682179649855</v>
      </c>
      <c r="FL53" s="993">
        <v>13740.268184505258</v>
      </c>
      <c r="FM53" s="497"/>
      <c r="FN53" s="993">
        <f t="shared" si="38"/>
        <v>4372225.3233299647</v>
      </c>
      <c r="FO53" s="994">
        <f t="shared" si="96"/>
        <v>0.15</v>
      </c>
      <c r="FP53" s="775">
        <f t="shared" si="39"/>
        <v>655833.79849949467</v>
      </c>
      <c r="FQ53" s="993">
        <f t="shared" si="40"/>
        <v>30000</v>
      </c>
      <c r="FR53" s="775">
        <f t="shared" si="97"/>
        <v>625833.79849949467</v>
      </c>
      <c r="FS53" s="497">
        <f t="shared" si="98"/>
        <v>40</v>
      </c>
      <c r="FT53" s="775">
        <f t="shared" si="99"/>
        <v>15645.844962487367</v>
      </c>
      <c r="FU53" s="497"/>
      <c r="FV53" s="993">
        <f t="shared" si="100"/>
        <v>4372225.3233299647</v>
      </c>
      <c r="FW53" s="705">
        <f t="shared" si="101"/>
        <v>437222.53233299649</v>
      </c>
      <c r="FX53" s="705">
        <f t="shared" si="102"/>
        <v>109305.63308324912</v>
      </c>
      <c r="FY53" s="705">
        <v>15000</v>
      </c>
      <c r="FZ53" s="705">
        <f t="shared" si="103"/>
        <v>422222.53233299649</v>
      </c>
      <c r="GA53" s="497">
        <f t="shared" si="104"/>
        <v>46</v>
      </c>
      <c r="GB53" s="775">
        <f t="shared" si="105"/>
        <v>9178.7507028912278</v>
      </c>
      <c r="GC53" s="497"/>
      <c r="GD53" s="497"/>
      <c r="GE53" s="1107">
        <v>46327</v>
      </c>
      <c r="GH53" s="1095">
        <f t="shared" si="0"/>
        <v>4372225.3233299647</v>
      </c>
      <c r="GI53" s="1098">
        <f t="shared" si="1"/>
        <v>0.125</v>
      </c>
      <c r="GJ53" s="1095">
        <f t="shared" si="2"/>
        <v>546528.16541624558</v>
      </c>
      <c r="GK53" s="1095">
        <f t="shared" si="3"/>
        <v>30000</v>
      </c>
      <c r="GL53" s="1095">
        <f t="shared" si="4"/>
        <v>516528.16541624558</v>
      </c>
      <c r="GM53" s="1095">
        <f t="shared" si="5"/>
        <v>29</v>
      </c>
      <c r="GN53" s="1095">
        <f t="shared" si="6"/>
        <v>17811.316048836055</v>
      </c>
      <c r="GO53" s="1098">
        <f t="shared" si="7"/>
        <v>0.875</v>
      </c>
      <c r="GP53" s="1095">
        <f t="shared" si="8"/>
        <v>3825697.1579137193</v>
      </c>
      <c r="GQ53" s="1095">
        <f t="shared" si="9"/>
        <v>29660.589345306602</v>
      </c>
      <c r="GR53" s="1095">
        <f t="shared" si="10"/>
        <v>34386.447612526325</v>
      </c>
      <c r="GS53" s="1095">
        <f t="shared" si="11"/>
        <v>44419.587895637422</v>
      </c>
      <c r="GT53" s="1095">
        <f t="shared" si="12"/>
        <v>75753.388979100506</v>
      </c>
      <c r="GU53" s="497"/>
      <c r="GV53" s="1095">
        <f t="shared" si="106"/>
        <v>4372225.3233299647</v>
      </c>
      <c r="GW53" s="1098">
        <f t="shared" si="107"/>
        <v>0.125</v>
      </c>
      <c r="GX53" s="1095">
        <f t="shared" si="108"/>
        <v>546528.16541624558</v>
      </c>
      <c r="GY53" s="1095">
        <f t="shared" si="109"/>
        <v>30000</v>
      </c>
      <c r="GZ53" s="1095">
        <f t="shared" si="110"/>
        <v>516528.16541624558</v>
      </c>
      <c r="HA53" s="1106">
        <f t="shared" si="111"/>
        <v>48</v>
      </c>
      <c r="HB53" s="770">
        <f t="shared" si="112"/>
        <v>10761.003446171782</v>
      </c>
      <c r="HC53" s="1098">
        <f t="shared" si="113"/>
        <v>0.875</v>
      </c>
      <c r="HD53" s="1102">
        <f t="shared" si="114"/>
        <v>3825697.1579137193</v>
      </c>
      <c r="HE53" s="1101">
        <f t="shared" si="115"/>
        <v>29660.589345306602</v>
      </c>
      <c r="HF53" s="1101">
        <f t="shared" si="116"/>
        <v>34386.447612526325</v>
      </c>
      <c r="HG53" s="1101">
        <f t="shared" si="117"/>
        <v>44419.587895637422</v>
      </c>
      <c r="HH53" s="1101">
        <f t="shared" si="118"/>
        <v>75753.388979100506</v>
      </c>
      <c r="HI53" s="497"/>
      <c r="HJ53" s="1102">
        <f t="shared" si="119"/>
        <v>-7050.3126026642731</v>
      </c>
      <c r="HL53" s="775"/>
      <c r="HN53" s="775"/>
      <c r="HO53" s="775"/>
      <c r="HQ53" s="702"/>
      <c r="HR53" s="1171"/>
      <c r="HS53" s="702"/>
      <c r="HT53" s="1171"/>
    </row>
    <row r="54" spans="1:228" ht="14.25" customHeight="1">
      <c r="A54" s="753">
        <f t="shared" si="120"/>
        <v>48</v>
      </c>
      <c r="B54" s="753" t="s">
        <v>236</v>
      </c>
      <c r="C54" s="753">
        <f t="shared" si="121"/>
        <v>17</v>
      </c>
      <c r="D54" s="753" t="s">
        <v>253</v>
      </c>
      <c r="E54" s="717" t="str">
        <f t="shared" si="41"/>
        <v>4th Floor</v>
      </c>
      <c r="F54" s="754"/>
      <c r="G54" s="755" t="s">
        <v>363</v>
      </c>
      <c r="H54" s="756"/>
      <c r="I54" s="755" t="s">
        <v>229</v>
      </c>
      <c r="J54" s="757">
        <v>22</v>
      </c>
      <c r="K54" s="758"/>
      <c r="L54" s="759" t="s">
        <v>69</v>
      </c>
      <c r="M54" s="760" t="s">
        <v>68</v>
      </c>
      <c r="N54" s="761">
        <f t="shared" si="42"/>
        <v>106005.26567735759</v>
      </c>
      <c r="O54" s="762">
        <f t="shared" si="43"/>
        <v>2332115.8449018667</v>
      </c>
      <c r="P54" s="762">
        <f t="shared" si="44"/>
        <v>22400</v>
      </c>
      <c r="Q54" s="762">
        <f t="shared" si="14"/>
        <v>50000</v>
      </c>
      <c r="R54" s="762"/>
      <c r="S54" s="762"/>
      <c r="T54" s="762"/>
      <c r="U54" s="762"/>
      <c r="V54" s="762"/>
      <c r="W54" s="762"/>
      <c r="X54" s="762"/>
      <c r="Y54" s="762"/>
      <c r="Z54" s="762">
        <f t="shared" si="15"/>
        <v>142461</v>
      </c>
      <c r="AA54" s="762">
        <v>45722.732758620688</v>
      </c>
      <c r="AB54" s="762"/>
      <c r="AC54" s="762"/>
      <c r="AD54" s="763">
        <f t="shared" si="45"/>
        <v>260583.7327586207</v>
      </c>
      <c r="AE54" s="763">
        <f t="shared" si="16"/>
        <v>2592699.5776604875</v>
      </c>
      <c r="AF54" s="762">
        <f t="shared" si="17"/>
        <v>64817.489441512189</v>
      </c>
      <c r="AG54" s="762">
        <f t="shared" si="46"/>
        <v>2657517.0671019997</v>
      </c>
      <c r="AH54" s="762">
        <f t="shared" si="18"/>
        <v>66437.92667755</v>
      </c>
      <c r="AI54" s="762">
        <f t="shared" si="47"/>
        <v>2723954.9937795498</v>
      </c>
      <c r="AJ54" s="762">
        <f t="shared" si="48"/>
        <v>136197.74968897749</v>
      </c>
      <c r="AK54" s="762">
        <f t="shared" si="122"/>
        <v>2860152.7434685272</v>
      </c>
      <c r="AL54" s="762">
        <f t="shared" si="49"/>
        <v>28601.527434685271</v>
      </c>
      <c r="AM54" s="762">
        <f t="shared" si="50"/>
        <v>27537.409960060559</v>
      </c>
      <c r="AN54" s="762"/>
      <c r="AO54" s="763">
        <f t="shared" si="51"/>
        <v>2916291.6808632729</v>
      </c>
      <c r="AP54" s="763">
        <f t="shared" si="52"/>
        <v>481188.12734244007</v>
      </c>
      <c r="AQ54" s="763">
        <f t="shared" si="53"/>
        <v>3397479.8082057131</v>
      </c>
      <c r="AR54" s="1178">
        <f t="shared" si="19"/>
        <v>3000000</v>
      </c>
      <c r="AS54" s="1178">
        <f t="shared" si="123"/>
        <v>18067.264009350594</v>
      </c>
      <c r="AT54" s="1178">
        <f t="shared" si="54"/>
        <v>397479.80820571305</v>
      </c>
      <c r="AU54" s="1178">
        <f t="shared" si="20"/>
        <v>47697.576984685562</v>
      </c>
      <c r="AV54" s="1178">
        <f t="shared" si="55"/>
        <v>445177.38519039861</v>
      </c>
      <c r="AW54" s="1178">
        <f t="shared" si="56"/>
        <v>3445177.3851903984</v>
      </c>
      <c r="AX54" s="762">
        <f t="shared" si="57"/>
        <v>43064.717314879985</v>
      </c>
      <c r="AY54" s="717" t="s">
        <v>231</v>
      </c>
      <c r="AZ54" s="717">
        <f t="shared" si="58"/>
        <v>3488242.1025052783</v>
      </c>
      <c r="BA54" s="717">
        <f t="shared" si="59"/>
        <v>130809.07884394794</v>
      </c>
      <c r="BB54" s="717"/>
      <c r="BC54" s="717">
        <f t="shared" si="21"/>
        <v>33600</v>
      </c>
      <c r="BD54" s="717">
        <f t="shared" si="60"/>
        <v>3652651.1813492263</v>
      </c>
      <c r="BE54" s="717">
        <v>18367.830916129038</v>
      </c>
      <c r="BF54" s="717">
        <f t="shared" si="61"/>
        <v>3671019.0122653553</v>
      </c>
      <c r="BG54" s="1209"/>
      <c r="BH54" s="717">
        <f t="shared" si="62"/>
        <v>3671019.0122653553</v>
      </c>
      <c r="BI54" s="717"/>
      <c r="BJ54" s="717">
        <f t="shared" si="63"/>
        <v>3671019.0122653553</v>
      </c>
      <c r="BK54" s="717"/>
      <c r="BL54" s="717">
        <f t="shared" si="64"/>
        <v>3671019.0122653553</v>
      </c>
      <c r="BM54" s="717">
        <f>$BM$5/41</f>
        <v>1038.0487804878051</v>
      </c>
      <c r="BN54" s="717">
        <f t="shared" si="65"/>
        <v>3672057.0610458432</v>
      </c>
      <c r="BO54" s="717">
        <f>$BO$5/51</f>
        <v>7289.0781490196077</v>
      </c>
      <c r="BP54" s="717">
        <f t="shared" si="22"/>
        <v>3679346.1391948629</v>
      </c>
      <c r="BQ54" s="717">
        <f>$BQ$5/56</f>
        <v>4468.4242000000004</v>
      </c>
      <c r="BR54" s="717">
        <f t="shared" si="133"/>
        <v>3683814.5633948627</v>
      </c>
      <c r="BS54" s="1234">
        <f>$BS$5/64</f>
        <v>2651.4786794501206</v>
      </c>
      <c r="BT54" s="1235">
        <f t="shared" si="66"/>
        <v>3686466.0420743129</v>
      </c>
      <c r="BU54" s="1235">
        <f>$BU$5/65</f>
        <v>211.07692307692309</v>
      </c>
      <c r="BV54" s="1235">
        <f t="shared" si="134"/>
        <v>51400</v>
      </c>
      <c r="BW54" s="717">
        <f t="shared" si="67"/>
        <v>3738077.1189973899</v>
      </c>
      <c r="BX54" s="1234">
        <f t="shared" si="147"/>
        <v>27651.078536278128</v>
      </c>
      <c r="BY54" s="717">
        <f t="shared" si="68"/>
        <v>3765728.197533668</v>
      </c>
      <c r="BZ54" s="1194">
        <f t="shared" si="69"/>
        <v>3765728.197533668</v>
      </c>
      <c r="CA54" s="1194">
        <f t="shared" si="70"/>
        <v>2885728.197533668</v>
      </c>
      <c r="CB54" s="1194">
        <f>$CB$5</f>
        <v>40000</v>
      </c>
      <c r="CC54" s="1194">
        <f t="shared" si="71"/>
        <v>880000</v>
      </c>
      <c r="CD54" s="1194">
        <f t="shared" si="72"/>
        <v>105600</v>
      </c>
      <c r="CE54" s="1194">
        <f t="shared" si="73"/>
        <v>985600</v>
      </c>
      <c r="CF54" s="1200">
        <f t="shared" si="74"/>
        <v>3871328.197533668</v>
      </c>
      <c r="CG54" s="757">
        <f t="shared" si="75"/>
        <v>3871328.197533668</v>
      </c>
      <c r="CH54" s="758">
        <f t="shared" si="76"/>
        <v>0</v>
      </c>
      <c r="CI54" s="757">
        <f t="shared" si="25"/>
        <v>396811.14024720096</v>
      </c>
      <c r="CJ54" s="757">
        <f t="shared" si="26"/>
        <v>96783.204938341703</v>
      </c>
      <c r="CK54" s="759">
        <f t="shared" si="155"/>
        <v>4364922.5427192105</v>
      </c>
      <c r="CL54" s="764">
        <f t="shared" si="78"/>
        <v>0.125</v>
      </c>
      <c r="CM54" s="757">
        <f t="shared" si="79"/>
        <v>545615.31783990131</v>
      </c>
      <c r="CN54" s="757">
        <f t="shared" si="124"/>
        <v>30000</v>
      </c>
      <c r="CO54" s="757">
        <f t="shared" si="80"/>
        <v>515615.31783990131</v>
      </c>
      <c r="CP54" s="755">
        <f t="shared" si="81"/>
        <v>29</v>
      </c>
      <c r="CQ54" s="757">
        <f t="shared" si="129"/>
        <v>17779.838546203493</v>
      </c>
      <c r="CR54" s="764">
        <f t="shared" si="83"/>
        <v>0.875</v>
      </c>
      <c r="CS54" s="757">
        <f t="shared" si="84"/>
        <v>3819307.2248793091</v>
      </c>
      <c r="CT54" s="1101">
        <f t="shared" si="85"/>
        <v>29611.04826250406</v>
      </c>
      <c r="CU54" s="1101">
        <f t="shared" si="86"/>
        <v>34329.013087924512</v>
      </c>
      <c r="CV54" s="1101">
        <f t="shared" si="87"/>
        <v>44345.395354943998</v>
      </c>
      <c r="CW54" s="1141">
        <f t="shared" si="27"/>
        <v>75626.860646426619</v>
      </c>
      <c r="CX54" s="1152">
        <f t="shared" si="88"/>
        <v>310254.46559952211</v>
      </c>
      <c r="CY54" s="1152">
        <f t="shared" si="89"/>
        <v>122766.18070145855</v>
      </c>
      <c r="CZ54" s="1152">
        <f t="shared" si="90"/>
        <v>88672.27355935573</v>
      </c>
      <c r="DA54" s="1152">
        <f t="shared" si="91"/>
        <v>67483.682439304364</v>
      </c>
      <c r="DB54" s="1143">
        <f t="shared" si="28"/>
        <v>0.13249326940190434</v>
      </c>
      <c r="DC54" s="1143">
        <f t="shared" si="125"/>
        <v>0.34154290790184544</v>
      </c>
      <c r="DD54" s="1098" t="s">
        <v>232</v>
      </c>
      <c r="DE54" s="1144"/>
      <c r="DF54" s="705"/>
      <c r="DG54" s="765">
        <f t="shared" si="126"/>
        <v>46082</v>
      </c>
      <c r="DH54" s="1116">
        <f t="shared" si="29"/>
        <v>28</v>
      </c>
      <c r="DI54" s="497"/>
      <c r="DJ54" s="1117">
        <f t="shared" si="92"/>
        <v>46147</v>
      </c>
      <c r="DK54" s="1116">
        <f t="shared" si="93"/>
        <v>30</v>
      </c>
      <c r="DL54" s="766" t="s">
        <v>233</v>
      </c>
      <c r="DM54" s="766" t="s">
        <v>234</v>
      </c>
      <c r="DN54" s="767">
        <f t="shared" si="30"/>
        <v>20235.335690472664</v>
      </c>
      <c r="DO54" s="767">
        <f t="shared" si="31"/>
        <v>445177.38519039861</v>
      </c>
      <c r="DP54" s="768">
        <f t="shared" si="32"/>
        <v>0.14839246173013287</v>
      </c>
      <c r="DR54" s="767">
        <f t="shared" si="33"/>
        <v>3871328.197533668</v>
      </c>
      <c r="DS54" s="767">
        <f>SUM('[6]INTERNAL PRICELIST'!M54)</f>
        <v>2329361</v>
      </c>
      <c r="DT54" s="767">
        <f t="shared" si="94"/>
        <v>1541967.197533668</v>
      </c>
      <c r="DV54" s="951">
        <f t="shared" si="34"/>
        <v>175969.46352425765</v>
      </c>
      <c r="DX54" s="772">
        <v>13</v>
      </c>
      <c r="DY54" s="773" t="s">
        <v>289</v>
      </c>
      <c r="DZ54" s="774">
        <v>22</v>
      </c>
      <c r="EA54" s="775">
        <f t="shared" si="156"/>
        <v>0</v>
      </c>
      <c r="ED54" s="755" t="s">
        <v>363</v>
      </c>
      <c r="EE54" s="777" t="b">
        <f t="shared" si="36"/>
        <v>1</v>
      </c>
      <c r="EF54" s="1123" t="s">
        <v>364</v>
      </c>
      <c r="EG54" s="1123" t="s">
        <v>336</v>
      </c>
      <c r="EH54" s="1203"/>
      <c r="EP54" s="1232" t="s">
        <v>258</v>
      </c>
      <c r="EQ54" s="1145" t="s">
        <v>258</v>
      </c>
      <c r="ER54" s="753" t="b">
        <f t="shared" si="95"/>
        <v>1</v>
      </c>
      <c r="EU54" s="770">
        <v>2172480</v>
      </c>
      <c r="EV54" s="771" t="s">
        <v>236</v>
      </c>
      <c r="EZ54" s="520"/>
      <c r="FA54" s="778"/>
      <c r="FG54" s="1107"/>
      <c r="FJ54" s="994">
        <v>0.15</v>
      </c>
      <c r="FK54" s="993">
        <v>12820.110851026688</v>
      </c>
      <c r="FL54" s="993">
        <v>13166.600333486867</v>
      </c>
      <c r="FM54" s="497"/>
      <c r="FN54" s="993">
        <f t="shared" si="38"/>
        <v>4364922.5427192105</v>
      </c>
      <c r="FO54" s="994">
        <f t="shared" si="96"/>
        <v>0.15</v>
      </c>
      <c r="FP54" s="775">
        <f t="shared" si="39"/>
        <v>654738.3814078815</v>
      </c>
      <c r="FQ54" s="993">
        <f t="shared" si="40"/>
        <v>30000</v>
      </c>
      <c r="FR54" s="775">
        <f t="shared" si="97"/>
        <v>624738.3814078815</v>
      </c>
      <c r="FS54" s="497">
        <f t="shared" si="98"/>
        <v>40</v>
      </c>
      <c r="FT54" s="775">
        <f t="shared" si="99"/>
        <v>15618.459535197038</v>
      </c>
      <c r="FU54" s="497"/>
      <c r="FV54" s="993">
        <f t="shared" si="100"/>
        <v>4364922.5427192105</v>
      </c>
      <c r="FW54" s="705">
        <f t="shared" si="101"/>
        <v>436492.25427192106</v>
      </c>
      <c r="FX54" s="705">
        <f t="shared" si="102"/>
        <v>109123.06356798027</v>
      </c>
      <c r="FY54" s="705">
        <v>15000</v>
      </c>
      <c r="FZ54" s="705">
        <f t="shared" si="103"/>
        <v>421492.25427192106</v>
      </c>
      <c r="GA54" s="497">
        <f t="shared" si="104"/>
        <v>46</v>
      </c>
      <c r="GB54" s="775">
        <f t="shared" si="105"/>
        <v>9162.8750928678492</v>
      </c>
      <c r="GC54" s="497"/>
      <c r="GD54" s="497"/>
      <c r="GE54" s="1107">
        <v>46357</v>
      </c>
      <c r="GH54" s="1095">
        <f t="shared" si="0"/>
        <v>4364922.5427192105</v>
      </c>
      <c r="GI54" s="1098">
        <f t="shared" si="1"/>
        <v>0.125</v>
      </c>
      <c r="GJ54" s="1095">
        <f t="shared" si="2"/>
        <v>545615.31783990131</v>
      </c>
      <c r="GK54" s="1095">
        <f t="shared" si="3"/>
        <v>30000</v>
      </c>
      <c r="GL54" s="1095">
        <f t="shared" si="4"/>
        <v>515615.31783990131</v>
      </c>
      <c r="GM54" s="1095">
        <f t="shared" si="5"/>
        <v>29</v>
      </c>
      <c r="GN54" s="1095">
        <f t="shared" si="6"/>
        <v>17779.838546203493</v>
      </c>
      <c r="GO54" s="1098">
        <f t="shared" si="7"/>
        <v>0.875</v>
      </c>
      <c r="GP54" s="1095">
        <f t="shared" si="8"/>
        <v>3819307.2248793091</v>
      </c>
      <c r="GQ54" s="1095">
        <f t="shared" si="9"/>
        <v>29611.04826250406</v>
      </c>
      <c r="GR54" s="1095">
        <f t="shared" si="10"/>
        <v>34329.013087924512</v>
      </c>
      <c r="GS54" s="1095">
        <f t="shared" si="11"/>
        <v>44345.395354943998</v>
      </c>
      <c r="GT54" s="1095">
        <f t="shared" si="12"/>
        <v>75626.860646426619</v>
      </c>
      <c r="GU54" s="497"/>
      <c r="GV54" s="1095">
        <f t="shared" si="106"/>
        <v>4364922.5427192105</v>
      </c>
      <c r="GW54" s="1098">
        <f t="shared" si="107"/>
        <v>0.125</v>
      </c>
      <c r="GX54" s="1095">
        <f t="shared" si="108"/>
        <v>545615.31783990131</v>
      </c>
      <c r="GY54" s="1095">
        <f t="shared" si="109"/>
        <v>30000</v>
      </c>
      <c r="GZ54" s="1095">
        <f t="shared" si="110"/>
        <v>515615.31783990131</v>
      </c>
      <c r="HA54" s="1106">
        <f t="shared" si="111"/>
        <v>48</v>
      </c>
      <c r="HB54" s="770">
        <f t="shared" si="112"/>
        <v>10741.985788331278</v>
      </c>
      <c r="HC54" s="1098">
        <f t="shared" si="113"/>
        <v>0.875</v>
      </c>
      <c r="HD54" s="1102">
        <f t="shared" si="114"/>
        <v>3819307.2248793091</v>
      </c>
      <c r="HE54" s="1101">
        <f t="shared" si="115"/>
        <v>29611.04826250406</v>
      </c>
      <c r="HF54" s="1101">
        <f t="shared" si="116"/>
        <v>34329.013087924512</v>
      </c>
      <c r="HG54" s="1101">
        <f t="shared" si="117"/>
        <v>44345.395354943998</v>
      </c>
      <c r="HH54" s="1101">
        <f t="shared" si="118"/>
        <v>75626.860646426619</v>
      </c>
      <c r="HI54" s="497"/>
      <c r="HJ54" s="1102">
        <f t="shared" si="119"/>
        <v>-7037.8527578722151</v>
      </c>
      <c r="HL54" s="775"/>
      <c r="HN54" s="775"/>
      <c r="HO54" s="775"/>
      <c r="HQ54" s="702"/>
      <c r="HR54" s="1171"/>
      <c r="HS54" s="702"/>
      <c r="HT54" s="1171"/>
    </row>
    <row r="55" spans="1:228" ht="14.25" hidden="1" customHeight="1">
      <c r="A55" s="753">
        <f t="shared" si="120"/>
        <v>49</v>
      </c>
      <c r="B55" s="753" t="s">
        <v>236</v>
      </c>
      <c r="C55" s="753">
        <f t="shared" si="121"/>
        <v>18</v>
      </c>
      <c r="D55" s="753" t="s">
        <v>253</v>
      </c>
      <c r="E55" s="717" t="str">
        <f t="shared" si="41"/>
        <v>4th Floor</v>
      </c>
      <c r="F55" s="754"/>
      <c r="G55" s="755" t="s">
        <v>365</v>
      </c>
      <c r="H55" s="756"/>
      <c r="I55" s="755" t="s">
        <v>229</v>
      </c>
      <c r="J55" s="757">
        <v>22</v>
      </c>
      <c r="K55" s="758"/>
      <c r="L55" s="759" t="s">
        <v>69</v>
      </c>
      <c r="M55" s="760" t="s">
        <v>68</v>
      </c>
      <c r="N55" s="761">
        <f t="shared" si="42"/>
        <v>106005.26567735759</v>
      </c>
      <c r="O55" s="762">
        <f t="shared" si="43"/>
        <v>2332115.8449018667</v>
      </c>
      <c r="P55" s="762">
        <f t="shared" si="44"/>
        <v>22400</v>
      </c>
      <c r="Q55" s="762">
        <f t="shared" si="14"/>
        <v>50000</v>
      </c>
      <c r="R55" s="762"/>
      <c r="S55" s="762"/>
      <c r="T55" s="762"/>
      <c r="U55" s="762"/>
      <c r="V55" s="762"/>
      <c r="W55" s="762"/>
      <c r="X55" s="762"/>
      <c r="Y55" s="762"/>
      <c r="Z55" s="762">
        <f t="shared" si="15"/>
        <v>142461</v>
      </c>
      <c r="AA55" s="762">
        <v>45722.732758620688</v>
      </c>
      <c r="AB55" s="762"/>
      <c r="AC55" s="762"/>
      <c r="AD55" s="763">
        <f t="shared" si="45"/>
        <v>260583.7327586207</v>
      </c>
      <c r="AE55" s="763">
        <f t="shared" si="16"/>
        <v>2592699.5776604875</v>
      </c>
      <c r="AF55" s="762">
        <f t="shared" si="17"/>
        <v>64817.489441512189</v>
      </c>
      <c r="AG55" s="762">
        <f t="shared" si="46"/>
        <v>2657517.0671019997</v>
      </c>
      <c r="AH55" s="762">
        <f t="shared" si="18"/>
        <v>66437.92667755</v>
      </c>
      <c r="AI55" s="762">
        <f t="shared" si="47"/>
        <v>2723954.9937795498</v>
      </c>
      <c r="AJ55" s="762">
        <f t="shared" si="48"/>
        <v>136197.74968897749</v>
      </c>
      <c r="AK55" s="762">
        <f t="shared" si="122"/>
        <v>2860152.7434685272</v>
      </c>
      <c r="AL55" s="762">
        <f t="shared" si="49"/>
        <v>28601.527434685271</v>
      </c>
      <c r="AM55" s="762">
        <f t="shared" si="50"/>
        <v>27537.409960060559</v>
      </c>
      <c r="AN55" s="762"/>
      <c r="AO55" s="763">
        <f t="shared" si="51"/>
        <v>2916291.6808632729</v>
      </c>
      <c r="AP55" s="763">
        <f t="shared" si="52"/>
        <v>481188.12734244007</v>
      </c>
      <c r="AQ55" s="763">
        <f t="shared" si="53"/>
        <v>3397479.8082057131</v>
      </c>
      <c r="AR55" s="1178">
        <f t="shared" si="19"/>
        <v>3000000</v>
      </c>
      <c r="AS55" s="1178">
        <f t="shared" si="123"/>
        <v>18067.264009350594</v>
      </c>
      <c r="AT55" s="1178">
        <f t="shared" si="54"/>
        <v>397479.80820571305</v>
      </c>
      <c r="AU55" s="1178">
        <f t="shared" si="20"/>
        <v>47697.576984685562</v>
      </c>
      <c r="AV55" s="1178">
        <f t="shared" si="55"/>
        <v>445177.38519039861</v>
      </c>
      <c r="AW55" s="1178">
        <f t="shared" si="56"/>
        <v>3445177.3851903984</v>
      </c>
      <c r="AX55" s="762">
        <f t="shared" si="57"/>
        <v>43064.717314879985</v>
      </c>
      <c r="AY55" s="717" t="s">
        <v>231</v>
      </c>
      <c r="AZ55" s="717">
        <f t="shared" si="58"/>
        <v>3488242.1025052783</v>
      </c>
      <c r="BA55" s="717">
        <f t="shared" si="59"/>
        <v>130809.07884394794</v>
      </c>
      <c r="BB55" s="717"/>
      <c r="BC55" s="717">
        <f t="shared" si="21"/>
        <v>33600</v>
      </c>
      <c r="BD55" s="717">
        <f t="shared" si="60"/>
        <v>3652651.1813492263</v>
      </c>
      <c r="BE55" s="717"/>
      <c r="BF55" s="717">
        <f t="shared" si="61"/>
        <v>3652651.1813492263</v>
      </c>
      <c r="BG55" s="1209"/>
      <c r="BH55" s="717">
        <f t="shared" si="62"/>
        <v>3652651.1813492263</v>
      </c>
      <c r="BI55" s="717"/>
      <c r="BJ55" s="717">
        <f t="shared" si="63"/>
        <v>3652651.1813492263</v>
      </c>
      <c r="BK55" s="717"/>
      <c r="BL55" s="717">
        <f t="shared" si="64"/>
        <v>3652651.1813492263</v>
      </c>
      <c r="BM55" s="717"/>
      <c r="BN55" s="717">
        <f t="shared" si="65"/>
        <v>3652651.1813492263</v>
      </c>
      <c r="BO55" s="717"/>
      <c r="BP55" s="717">
        <f t="shared" si="22"/>
        <v>3652651.1813492263</v>
      </c>
      <c r="BQ55" s="717"/>
      <c r="BR55" s="717">
        <f t="shared" si="133"/>
        <v>3652651.1813492263</v>
      </c>
      <c r="BS55" s="717"/>
      <c r="BT55" s="717">
        <f t="shared" si="66"/>
        <v>3652651.1813492263</v>
      </c>
      <c r="BU55" s="717"/>
      <c r="BV55" s="1235">
        <f t="shared" si="134"/>
        <v>51400</v>
      </c>
      <c r="BW55" s="717">
        <f t="shared" si="67"/>
        <v>3704051.1813492263</v>
      </c>
      <c r="BX55" s="717"/>
      <c r="BY55" s="717">
        <f t="shared" si="68"/>
        <v>3704051.1813492263</v>
      </c>
      <c r="BZ55" s="1194">
        <f t="shared" si="69"/>
        <v>3704051.1813492263</v>
      </c>
      <c r="CA55" s="1194">
        <f t="shared" si="70"/>
        <v>3022051.1813492263</v>
      </c>
      <c r="CB55" s="1194">
        <v>31000</v>
      </c>
      <c r="CC55" s="1194">
        <f t="shared" si="71"/>
        <v>682000</v>
      </c>
      <c r="CD55" s="1194">
        <f t="shared" si="72"/>
        <v>81840</v>
      </c>
      <c r="CE55" s="1194">
        <f t="shared" si="73"/>
        <v>763840</v>
      </c>
      <c r="CF55" s="1200">
        <f t="shared" si="74"/>
        <v>3785891.1813492263</v>
      </c>
      <c r="CG55" s="757">
        <f t="shared" si="75"/>
        <v>3785891.1813492263</v>
      </c>
      <c r="CH55" s="758">
        <f t="shared" si="76"/>
        <v>0</v>
      </c>
      <c r="CI55" s="757">
        <f t="shared" si="25"/>
        <v>388053.84608829569</v>
      </c>
      <c r="CJ55" s="757">
        <f t="shared" si="26"/>
        <v>94647.27953373066</v>
      </c>
      <c r="CK55" s="759">
        <f t="shared" si="155"/>
        <v>4268592.3069712529</v>
      </c>
      <c r="CL55" s="764">
        <f t="shared" si="78"/>
        <v>0.125</v>
      </c>
      <c r="CM55" s="757">
        <f t="shared" si="79"/>
        <v>533574.03837140661</v>
      </c>
      <c r="CN55" s="757">
        <f t="shared" si="124"/>
        <v>30000</v>
      </c>
      <c r="CO55" s="757">
        <f t="shared" si="80"/>
        <v>503574.03837140661</v>
      </c>
      <c r="CP55" s="755">
        <f t="shared" si="81"/>
        <v>29</v>
      </c>
      <c r="CQ55" s="757">
        <f t="shared" si="129"/>
        <v>17364.622012807125</v>
      </c>
      <c r="CR55" s="764">
        <f t="shared" si="83"/>
        <v>0.875</v>
      </c>
      <c r="CS55" s="757">
        <f t="shared" si="84"/>
        <v>3735018.2685998464</v>
      </c>
      <c r="CT55" s="1101">
        <f t="shared" si="85"/>
        <v>28957.556881625129</v>
      </c>
      <c r="CU55" s="1101">
        <f t="shared" si="86"/>
        <v>33571.400119678256</v>
      </c>
      <c r="CV55" s="1101">
        <f t="shared" si="87"/>
        <v>43366.729102090649</v>
      </c>
      <c r="CW55" s="1141">
        <f t="shared" si="27"/>
        <v>73957.838288378131</v>
      </c>
      <c r="CX55" s="1152">
        <f t="shared" si="88"/>
        <v>303407.40576728969</v>
      </c>
      <c r="CY55" s="1152">
        <f t="shared" si="89"/>
        <v>120056.83247978757</v>
      </c>
      <c r="CZ55" s="1152">
        <f t="shared" si="90"/>
        <v>86715.349711868883</v>
      </c>
      <c r="DA55" s="1152">
        <f t="shared" si="91"/>
        <v>65994.373299246014</v>
      </c>
      <c r="DB55" s="1143">
        <f t="shared" si="28"/>
        <v>0.13249326940190434</v>
      </c>
      <c r="DC55" s="1143">
        <f t="shared" si="125"/>
        <v>0.25275548101702755</v>
      </c>
      <c r="DD55" s="1098" t="s">
        <v>232</v>
      </c>
      <c r="DE55" s="1144"/>
      <c r="DF55" s="705"/>
      <c r="DG55" s="765">
        <f t="shared" si="126"/>
        <v>46082</v>
      </c>
      <c r="DH55" s="1116">
        <f t="shared" si="29"/>
        <v>28</v>
      </c>
      <c r="DI55" s="497"/>
      <c r="DJ55" s="1117">
        <f t="shared" si="92"/>
        <v>46147</v>
      </c>
      <c r="DK55" s="1116">
        <f t="shared" si="93"/>
        <v>30</v>
      </c>
      <c r="DL55" s="766" t="s">
        <v>233</v>
      </c>
      <c r="DM55" s="766" t="s">
        <v>234</v>
      </c>
      <c r="DN55" s="767">
        <f t="shared" si="30"/>
        <v>20235.335690472664</v>
      </c>
      <c r="DO55" s="767">
        <f t="shared" si="31"/>
        <v>445177.38519039861</v>
      </c>
      <c r="DP55" s="768">
        <f t="shared" si="32"/>
        <v>0.14839246173013287</v>
      </c>
      <c r="DR55" s="767">
        <f t="shared" si="33"/>
        <v>3785891.1813492263</v>
      </c>
      <c r="DS55" s="767">
        <f>SUM('[6]INTERNAL PRICELIST'!M55)</f>
        <v>2329361</v>
      </c>
      <c r="DT55" s="767">
        <f t="shared" si="94"/>
        <v>1456530.1813492263</v>
      </c>
      <c r="DV55" s="951">
        <f t="shared" si="34"/>
        <v>172085.9627886012</v>
      </c>
      <c r="DX55" s="772">
        <v>14</v>
      </c>
      <c r="DY55" s="773" t="s">
        <v>294</v>
      </c>
      <c r="DZ55" s="774">
        <v>22</v>
      </c>
      <c r="EA55" s="775">
        <f t="shared" si="156"/>
        <v>0</v>
      </c>
      <c r="ED55" s="755" t="s">
        <v>365</v>
      </c>
      <c r="EE55" s="777" t="b">
        <f t="shared" si="36"/>
        <v>1</v>
      </c>
      <c r="EF55" s="1123" t="s">
        <v>366</v>
      </c>
      <c r="EG55" s="1123" t="s">
        <v>336</v>
      </c>
      <c r="EH55" s="1203"/>
      <c r="EP55" s="1230" t="s">
        <v>236</v>
      </c>
      <c r="EQ55" s="1145" t="s">
        <v>236</v>
      </c>
      <c r="ER55" s="753" t="b">
        <f t="shared" si="95"/>
        <v>1</v>
      </c>
      <c r="EU55" s="770">
        <v>2981804.7274007285</v>
      </c>
      <c r="EV55" s="771" t="s">
        <v>258</v>
      </c>
      <c r="EW55" s="775">
        <f>EU55-CG55</f>
        <v>-804086.45394849777</v>
      </c>
      <c r="EZ55" s="520"/>
      <c r="FA55" s="778"/>
      <c r="FG55" s="1107"/>
      <c r="FJ55" s="994">
        <v>0.15</v>
      </c>
      <c r="FK55" s="993">
        <v>12820.110851026688</v>
      </c>
      <c r="FL55" s="993">
        <v>13166.600333486867</v>
      </c>
      <c r="FM55" s="497"/>
      <c r="FN55" s="993">
        <f t="shared" si="38"/>
        <v>4268592.3069712529</v>
      </c>
      <c r="FO55" s="994">
        <f t="shared" si="96"/>
        <v>0.15</v>
      </c>
      <c r="FP55" s="775">
        <f t="shared" si="39"/>
        <v>640288.84604568791</v>
      </c>
      <c r="FQ55" s="993">
        <f t="shared" si="40"/>
        <v>30000</v>
      </c>
      <c r="FR55" s="775">
        <f t="shared" si="97"/>
        <v>610288.84604568791</v>
      </c>
      <c r="FS55" s="497">
        <f t="shared" si="98"/>
        <v>40</v>
      </c>
      <c r="FT55" s="775">
        <f t="shared" si="99"/>
        <v>15257.221151142197</v>
      </c>
      <c r="FU55" s="497"/>
      <c r="FV55" s="993">
        <f t="shared" si="100"/>
        <v>4268592.3069712529</v>
      </c>
      <c r="FW55" s="705">
        <f t="shared" si="101"/>
        <v>426859.23069712531</v>
      </c>
      <c r="FX55" s="705">
        <f t="shared" si="102"/>
        <v>106714.80767428133</v>
      </c>
      <c r="FY55" s="705">
        <v>15000</v>
      </c>
      <c r="FZ55" s="705">
        <f t="shared" si="103"/>
        <v>411859.23069712531</v>
      </c>
      <c r="GA55" s="497">
        <f t="shared" si="104"/>
        <v>46</v>
      </c>
      <c r="GB55" s="775">
        <f t="shared" si="105"/>
        <v>8953.4615368940285</v>
      </c>
      <c r="GC55" s="497"/>
      <c r="GD55" s="497"/>
      <c r="GE55" s="1107">
        <v>46388</v>
      </c>
      <c r="GH55" s="1095">
        <f t="shared" si="0"/>
        <v>4268592.3069712529</v>
      </c>
      <c r="GI55" s="1098">
        <f t="shared" si="1"/>
        <v>0.125</v>
      </c>
      <c r="GJ55" s="1095">
        <f t="shared" si="2"/>
        <v>533574.03837140661</v>
      </c>
      <c r="GK55" s="1095">
        <f t="shared" si="3"/>
        <v>30000</v>
      </c>
      <c r="GL55" s="1095">
        <f t="shared" si="4"/>
        <v>503574.03837140661</v>
      </c>
      <c r="GM55" s="1095">
        <f t="shared" si="5"/>
        <v>29</v>
      </c>
      <c r="GN55" s="1095">
        <f t="shared" si="6"/>
        <v>17364.622012807125</v>
      </c>
      <c r="GO55" s="1098">
        <f t="shared" si="7"/>
        <v>0.875</v>
      </c>
      <c r="GP55" s="1095">
        <f t="shared" si="8"/>
        <v>3735018.2685998464</v>
      </c>
      <c r="GQ55" s="1095">
        <f t="shared" si="9"/>
        <v>28957.556881625129</v>
      </c>
      <c r="GR55" s="1095">
        <f t="shared" si="10"/>
        <v>33571.400119678256</v>
      </c>
      <c r="GS55" s="1095">
        <f t="shared" si="11"/>
        <v>43366.729102090649</v>
      </c>
      <c r="GT55" s="1095">
        <f t="shared" si="12"/>
        <v>73957.838288378131</v>
      </c>
      <c r="GU55" s="497"/>
      <c r="GV55" s="1095">
        <f t="shared" si="106"/>
        <v>4268592.3069712529</v>
      </c>
      <c r="GW55" s="1098">
        <f t="shared" si="107"/>
        <v>0.125</v>
      </c>
      <c r="GX55" s="1095">
        <f t="shared" si="108"/>
        <v>533574.03837140661</v>
      </c>
      <c r="GY55" s="1095">
        <f t="shared" si="109"/>
        <v>30000</v>
      </c>
      <c r="GZ55" s="1095">
        <f t="shared" si="110"/>
        <v>503574.03837140661</v>
      </c>
      <c r="HA55" s="1106">
        <f t="shared" si="111"/>
        <v>48</v>
      </c>
      <c r="HB55" s="770">
        <f t="shared" si="112"/>
        <v>10491.125799404304</v>
      </c>
      <c r="HC55" s="1098">
        <f t="shared" si="113"/>
        <v>0.875</v>
      </c>
      <c r="HD55" s="1102">
        <f t="shared" si="114"/>
        <v>3735018.2685998464</v>
      </c>
      <c r="HE55" s="1101">
        <f t="shared" si="115"/>
        <v>28957.556881625129</v>
      </c>
      <c r="HF55" s="1101">
        <f t="shared" si="116"/>
        <v>33571.400119678256</v>
      </c>
      <c r="HG55" s="1101">
        <f t="shared" si="117"/>
        <v>43366.729102090649</v>
      </c>
      <c r="HH55" s="1101">
        <f t="shared" si="118"/>
        <v>73957.838288378131</v>
      </c>
      <c r="HI55" s="497"/>
      <c r="HJ55" s="1102">
        <f t="shared" si="119"/>
        <v>-6873.496213402821</v>
      </c>
      <c r="HL55" s="775"/>
      <c r="HN55" s="775"/>
      <c r="HO55" s="775"/>
      <c r="HQ55" s="702"/>
      <c r="HR55" s="1171"/>
      <c r="HS55" s="702"/>
      <c r="HT55" s="1171"/>
    </row>
    <row r="56" spans="1:228" ht="14.25" hidden="1" customHeight="1">
      <c r="A56" s="753">
        <f t="shared" si="120"/>
        <v>50</v>
      </c>
      <c r="B56" s="753" t="s">
        <v>236</v>
      </c>
      <c r="C56" s="753">
        <f t="shared" si="121"/>
        <v>19</v>
      </c>
      <c r="D56" s="753" t="s">
        <v>253</v>
      </c>
      <c r="E56" s="717" t="str">
        <f t="shared" si="41"/>
        <v>4th Floor</v>
      </c>
      <c r="F56" s="754"/>
      <c r="G56" s="755" t="s">
        <v>367</v>
      </c>
      <c r="H56" s="756"/>
      <c r="I56" s="755" t="s">
        <v>229</v>
      </c>
      <c r="J56" s="757">
        <v>22</v>
      </c>
      <c r="K56" s="758"/>
      <c r="L56" s="759" t="s">
        <v>69</v>
      </c>
      <c r="M56" s="760" t="s">
        <v>68</v>
      </c>
      <c r="N56" s="761">
        <f t="shared" si="42"/>
        <v>106005.26567735759</v>
      </c>
      <c r="O56" s="762">
        <f t="shared" si="43"/>
        <v>2332115.8449018667</v>
      </c>
      <c r="P56" s="762">
        <f t="shared" si="44"/>
        <v>22400</v>
      </c>
      <c r="Q56" s="762">
        <f t="shared" si="14"/>
        <v>50000</v>
      </c>
      <c r="R56" s="762"/>
      <c r="S56" s="762"/>
      <c r="T56" s="762"/>
      <c r="U56" s="762"/>
      <c r="V56" s="762"/>
      <c r="W56" s="762"/>
      <c r="X56" s="762"/>
      <c r="Y56" s="762"/>
      <c r="Z56" s="762">
        <f t="shared" si="15"/>
        <v>142461</v>
      </c>
      <c r="AA56" s="762">
        <v>45722.732758620688</v>
      </c>
      <c r="AB56" s="762"/>
      <c r="AC56" s="762"/>
      <c r="AD56" s="763">
        <f t="shared" si="45"/>
        <v>260583.7327586207</v>
      </c>
      <c r="AE56" s="763">
        <f t="shared" si="16"/>
        <v>2592699.5776604875</v>
      </c>
      <c r="AF56" s="762">
        <f t="shared" si="17"/>
        <v>64817.489441512189</v>
      </c>
      <c r="AG56" s="762">
        <f t="shared" si="46"/>
        <v>2657517.0671019997</v>
      </c>
      <c r="AH56" s="762">
        <f t="shared" si="18"/>
        <v>66437.92667755</v>
      </c>
      <c r="AI56" s="762">
        <f t="shared" si="47"/>
        <v>2723954.9937795498</v>
      </c>
      <c r="AJ56" s="762">
        <f t="shared" si="48"/>
        <v>136197.74968897749</v>
      </c>
      <c r="AK56" s="762">
        <f t="shared" si="122"/>
        <v>2860152.7434685272</v>
      </c>
      <c r="AL56" s="762">
        <f t="shared" si="49"/>
        <v>28601.527434685271</v>
      </c>
      <c r="AM56" s="762">
        <f t="shared" si="50"/>
        <v>27537.409960060559</v>
      </c>
      <c r="AN56" s="762"/>
      <c r="AO56" s="763">
        <f t="shared" si="51"/>
        <v>2916291.6808632729</v>
      </c>
      <c r="AP56" s="763">
        <f t="shared" si="52"/>
        <v>481188.12734244007</v>
      </c>
      <c r="AQ56" s="763">
        <f t="shared" si="53"/>
        <v>3397479.8082057131</v>
      </c>
      <c r="AR56" s="1178">
        <f t="shared" si="19"/>
        <v>3000000</v>
      </c>
      <c r="AS56" s="1178">
        <f t="shared" si="123"/>
        <v>18067.264009350594</v>
      </c>
      <c r="AT56" s="1178">
        <f t="shared" si="54"/>
        <v>397479.80820571305</v>
      </c>
      <c r="AU56" s="1178">
        <f t="shared" si="20"/>
        <v>47697.576984685562</v>
      </c>
      <c r="AV56" s="1178">
        <f t="shared" si="55"/>
        <v>445177.38519039861</v>
      </c>
      <c r="AW56" s="1178">
        <f t="shared" si="56"/>
        <v>3445177.3851903984</v>
      </c>
      <c r="AX56" s="762">
        <f t="shared" si="57"/>
        <v>43064.717314879985</v>
      </c>
      <c r="AY56" s="717" t="s">
        <v>231</v>
      </c>
      <c r="AZ56" s="717">
        <f t="shared" si="58"/>
        <v>3488242.1025052783</v>
      </c>
      <c r="BA56" s="717">
        <f t="shared" si="59"/>
        <v>130809.07884394794</v>
      </c>
      <c r="BB56" s="717"/>
      <c r="BC56" s="717">
        <f t="shared" si="21"/>
        <v>33600</v>
      </c>
      <c r="BD56" s="717">
        <f t="shared" si="60"/>
        <v>3652651.1813492263</v>
      </c>
      <c r="BE56" s="717"/>
      <c r="BF56" s="717">
        <f t="shared" si="61"/>
        <v>3652651.1813492263</v>
      </c>
      <c r="BG56" s="1209"/>
      <c r="BH56" s="717">
        <f t="shared" si="62"/>
        <v>3652651.1813492263</v>
      </c>
      <c r="BI56" s="717"/>
      <c r="BJ56" s="717">
        <f t="shared" si="63"/>
        <v>3652651.1813492263</v>
      </c>
      <c r="BK56" s="717"/>
      <c r="BL56" s="717">
        <f t="shared" si="64"/>
        <v>3652651.1813492263</v>
      </c>
      <c r="BM56" s="717"/>
      <c r="BN56" s="717">
        <f t="shared" si="65"/>
        <v>3652651.1813492263</v>
      </c>
      <c r="BO56" s="717"/>
      <c r="BP56" s="717">
        <f t="shared" si="22"/>
        <v>3652651.1813492263</v>
      </c>
      <c r="BQ56" s="717"/>
      <c r="BR56" s="717">
        <f t="shared" si="133"/>
        <v>3652651.1813492263</v>
      </c>
      <c r="BS56" s="717"/>
      <c r="BT56" s="717">
        <f t="shared" si="66"/>
        <v>3652651.1813492263</v>
      </c>
      <c r="BU56" s="717"/>
      <c r="BV56" s="1235">
        <f t="shared" si="134"/>
        <v>51400</v>
      </c>
      <c r="BW56" s="717">
        <f t="shared" si="67"/>
        <v>3704051.1813492263</v>
      </c>
      <c r="BX56" s="717"/>
      <c r="BY56" s="717">
        <f t="shared" si="68"/>
        <v>3704051.1813492263</v>
      </c>
      <c r="BZ56" s="1194">
        <f t="shared" si="69"/>
        <v>3704051.1813492263</v>
      </c>
      <c r="CA56" s="1194">
        <f t="shared" si="70"/>
        <v>3022051.1813492263</v>
      </c>
      <c r="CB56" s="1194">
        <v>31000</v>
      </c>
      <c r="CC56" s="1194">
        <f t="shared" si="71"/>
        <v>682000</v>
      </c>
      <c r="CD56" s="1194">
        <f t="shared" si="72"/>
        <v>81840</v>
      </c>
      <c r="CE56" s="1194">
        <f t="shared" si="73"/>
        <v>763840</v>
      </c>
      <c r="CF56" s="1200">
        <f t="shared" si="74"/>
        <v>3785891.1813492263</v>
      </c>
      <c r="CG56" s="757">
        <f t="shared" si="75"/>
        <v>3785891.1813492263</v>
      </c>
      <c r="CH56" s="758">
        <f t="shared" si="76"/>
        <v>0</v>
      </c>
      <c r="CI56" s="757">
        <f t="shared" si="25"/>
        <v>388053.84608829569</v>
      </c>
      <c r="CJ56" s="757">
        <f t="shared" si="26"/>
        <v>94647.27953373066</v>
      </c>
      <c r="CK56" s="759">
        <f t="shared" si="155"/>
        <v>4268592.3069712529</v>
      </c>
      <c r="CL56" s="764">
        <f t="shared" si="78"/>
        <v>0.125</v>
      </c>
      <c r="CM56" s="757">
        <f t="shared" si="79"/>
        <v>533574.03837140661</v>
      </c>
      <c r="CN56" s="757">
        <f t="shared" si="124"/>
        <v>30000</v>
      </c>
      <c r="CO56" s="757">
        <f t="shared" si="80"/>
        <v>503574.03837140661</v>
      </c>
      <c r="CP56" s="755">
        <f t="shared" si="81"/>
        <v>29</v>
      </c>
      <c r="CQ56" s="757">
        <f t="shared" si="129"/>
        <v>17364.622012807125</v>
      </c>
      <c r="CR56" s="764">
        <f t="shared" si="83"/>
        <v>0.875</v>
      </c>
      <c r="CS56" s="757">
        <f t="shared" si="84"/>
        <v>3735018.2685998464</v>
      </c>
      <c r="CT56" s="1101">
        <f t="shared" si="85"/>
        <v>28957.556881625129</v>
      </c>
      <c r="CU56" s="1101">
        <f t="shared" si="86"/>
        <v>33571.400119678256</v>
      </c>
      <c r="CV56" s="1101">
        <f t="shared" si="87"/>
        <v>43366.729102090649</v>
      </c>
      <c r="CW56" s="1141">
        <f t="shared" si="27"/>
        <v>73957.838288378131</v>
      </c>
      <c r="CX56" s="1152">
        <f t="shared" si="88"/>
        <v>303407.40576728969</v>
      </c>
      <c r="CY56" s="1152">
        <f t="shared" si="89"/>
        <v>120056.83247978757</v>
      </c>
      <c r="CZ56" s="1152">
        <f t="shared" si="90"/>
        <v>86715.349711868883</v>
      </c>
      <c r="DA56" s="1152">
        <f t="shared" si="91"/>
        <v>65994.373299246014</v>
      </c>
      <c r="DB56" s="1143">
        <f t="shared" si="28"/>
        <v>0.13249326940190434</v>
      </c>
      <c r="DC56" s="1143">
        <f t="shared" si="125"/>
        <v>0.25275548101702755</v>
      </c>
      <c r="DD56" s="1098" t="s">
        <v>232</v>
      </c>
      <c r="DE56" s="1144"/>
      <c r="DF56" s="705"/>
      <c r="DG56" s="765">
        <f t="shared" si="126"/>
        <v>46082</v>
      </c>
      <c r="DH56" s="1116">
        <f t="shared" si="29"/>
        <v>28</v>
      </c>
      <c r="DI56" s="497"/>
      <c r="DJ56" s="1117">
        <f t="shared" si="92"/>
        <v>46147</v>
      </c>
      <c r="DK56" s="1116">
        <f t="shared" si="93"/>
        <v>30</v>
      </c>
      <c r="DL56" s="766" t="s">
        <v>233</v>
      </c>
      <c r="DM56" s="766" t="s">
        <v>234</v>
      </c>
      <c r="DN56" s="767">
        <f t="shared" si="30"/>
        <v>20235.335690472664</v>
      </c>
      <c r="DO56" s="767">
        <f t="shared" si="31"/>
        <v>445177.38519039861</v>
      </c>
      <c r="DP56" s="768">
        <f t="shared" si="32"/>
        <v>0.14839246173013287</v>
      </c>
      <c r="DR56" s="767">
        <f t="shared" si="33"/>
        <v>3785891.1813492263</v>
      </c>
      <c r="DS56" s="767">
        <f>SUM('[6]INTERNAL PRICELIST'!M56)</f>
        <v>2329361</v>
      </c>
      <c r="DT56" s="767">
        <f t="shared" si="94"/>
        <v>1456530.1813492263</v>
      </c>
      <c r="DV56" s="951">
        <f t="shared" si="34"/>
        <v>172085.9627886012</v>
      </c>
      <c r="DX56" s="772">
        <v>15</v>
      </c>
      <c r="DY56" s="773" t="s">
        <v>299</v>
      </c>
      <c r="DZ56" s="774">
        <v>22</v>
      </c>
      <c r="EA56" s="775">
        <f t="shared" si="156"/>
        <v>0</v>
      </c>
      <c r="ED56" s="755" t="s">
        <v>367</v>
      </c>
      <c r="EE56" s="777" t="b">
        <f t="shared" si="36"/>
        <v>1</v>
      </c>
      <c r="EF56" s="1123" t="s">
        <v>368</v>
      </c>
      <c r="EG56" s="1123" t="s">
        <v>336</v>
      </c>
      <c r="EH56" s="1203"/>
      <c r="EP56" s="1230" t="s">
        <v>236</v>
      </c>
      <c r="EQ56" s="1145" t="s">
        <v>236</v>
      </c>
      <c r="ER56" s="753" t="b">
        <f t="shared" si="95"/>
        <v>1</v>
      </c>
      <c r="EU56" s="770">
        <v>2172480</v>
      </c>
      <c r="EV56" s="771" t="s">
        <v>236</v>
      </c>
      <c r="EZ56" s="520"/>
      <c r="FA56" s="778"/>
      <c r="FG56" s="1107"/>
      <c r="FJ56" s="994">
        <v>0.15</v>
      </c>
      <c r="FK56" s="993">
        <v>12820.110851026688</v>
      </c>
      <c r="FL56" s="993">
        <v>13166.600333486867</v>
      </c>
      <c r="FM56" s="497"/>
      <c r="FN56" s="993">
        <f t="shared" si="38"/>
        <v>4268592.3069712529</v>
      </c>
      <c r="FO56" s="994">
        <f t="shared" si="96"/>
        <v>0.15</v>
      </c>
      <c r="FP56" s="775">
        <f t="shared" si="39"/>
        <v>640288.84604568791</v>
      </c>
      <c r="FQ56" s="993">
        <f t="shared" si="40"/>
        <v>30000</v>
      </c>
      <c r="FR56" s="775">
        <f t="shared" si="97"/>
        <v>610288.84604568791</v>
      </c>
      <c r="FS56" s="497">
        <f t="shared" si="98"/>
        <v>40</v>
      </c>
      <c r="FT56" s="775">
        <f t="shared" si="99"/>
        <v>15257.221151142197</v>
      </c>
      <c r="FU56" s="497"/>
      <c r="FV56" s="993">
        <f t="shared" si="100"/>
        <v>4268592.3069712529</v>
      </c>
      <c r="FW56" s="705">
        <f t="shared" si="101"/>
        <v>426859.23069712531</v>
      </c>
      <c r="FX56" s="705">
        <f t="shared" si="102"/>
        <v>106714.80767428133</v>
      </c>
      <c r="FY56" s="705">
        <v>15000</v>
      </c>
      <c r="FZ56" s="705">
        <f t="shared" si="103"/>
        <v>411859.23069712531</v>
      </c>
      <c r="GA56" s="497">
        <f t="shared" si="104"/>
        <v>46</v>
      </c>
      <c r="GB56" s="775">
        <f t="shared" si="105"/>
        <v>8953.4615368940285</v>
      </c>
      <c r="GC56" s="497"/>
      <c r="GD56" s="497"/>
      <c r="GE56" s="1107">
        <v>46419</v>
      </c>
      <c r="GH56" s="1095">
        <f t="shared" si="0"/>
        <v>4268592.3069712529</v>
      </c>
      <c r="GI56" s="1098">
        <f t="shared" si="1"/>
        <v>0.125</v>
      </c>
      <c r="GJ56" s="1095">
        <f t="shared" si="2"/>
        <v>533574.03837140661</v>
      </c>
      <c r="GK56" s="1095">
        <f t="shared" si="3"/>
        <v>30000</v>
      </c>
      <c r="GL56" s="1095">
        <f t="shared" si="4"/>
        <v>503574.03837140661</v>
      </c>
      <c r="GM56" s="1095">
        <f t="shared" si="5"/>
        <v>29</v>
      </c>
      <c r="GN56" s="1095">
        <f t="shared" si="6"/>
        <v>17364.622012807125</v>
      </c>
      <c r="GO56" s="1098">
        <f t="shared" si="7"/>
        <v>0.875</v>
      </c>
      <c r="GP56" s="1095">
        <f t="shared" si="8"/>
        <v>3735018.2685998464</v>
      </c>
      <c r="GQ56" s="1095">
        <f t="shared" si="9"/>
        <v>28957.556881625129</v>
      </c>
      <c r="GR56" s="1095">
        <f t="shared" si="10"/>
        <v>33571.400119678256</v>
      </c>
      <c r="GS56" s="1095">
        <f t="shared" si="11"/>
        <v>43366.729102090649</v>
      </c>
      <c r="GT56" s="1095">
        <f t="shared" si="12"/>
        <v>73957.838288378131</v>
      </c>
      <c r="GU56" s="497"/>
      <c r="GV56" s="1095">
        <f t="shared" si="106"/>
        <v>4268592.3069712529</v>
      </c>
      <c r="GW56" s="1098">
        <f t="shared" si="107"/>
        <v>0.125</v>
      </c>
      <c r="GX56" s="1095">
        <f t="shared" si="108"/>
        <v>533574.03837140661</v>
      </c>
      <c r="GY56" s="1095">
        <f t="shared" si="109"/>
        <v>30000</v>
      </c>
      <c r="GZ56" s="1095">
        <f t="shared" si="110"/>
        <v>503574.03837140661</v>
      </c>
      <c r="HA56" s="1106">
        <f t="shared" si="111"/>
        <v>48</v>
      </c>
      <c r="HB56" s="770">
        <f t="shared" si="112"/>
        <v>10491.125799404304</v>
      </c>
      <c r="HC56" s="1098">
        <f t="shared" si="113"/>
        <v>0.875</v>
      </c>
      <c r="HD56" s="1102">
        <f t="shared" si="114"/>
        <v>3735018.2685998464</v>
      </c>
      <c r="HE56" s="1101">
        <f t="shared" si="115"/>
        <v>28957.556881625129</v>
      </c>
      <c r="HF56" s="1101">
        <f t="shared" si="116"/>
        <v>33571.400119678256</v>
      </c>
      <c r="HG56" s="1101">
        <f t="shared" si="117"/>
        <v>43366.729102090649</v>
      </c>
      <c r="HH56" s="1101">
        <f t="shared" si="118"/>
        <v>73957.838288378131</v>
      </c>
      <c r="HI56" s="497"/>
      <c r="HJ56" s="1102">
        <f t="shared" si="119"/>
        <v>-6873.496213402821</v>
      </c>
      <c r="HL56" s="775"/>
      <c r="HN56" s="775"/>
      <c r="HO56" s="775"/>
      <c r="HQ56" s="702"/>
      <c r="HR56" s="1171"/>
      <c r="HS56" s="702"/>
      <c r="HT56" s="1171"/>
    </row>
    <row r="57" spans="1:228" ht="14.25" customHeight="1">
      <c r="A57" s="753">
        <f t="shared" si="120"/>
        <v>51</v>
      </c>
      <c r="B57" s="753" t="s">
        <v>236</v>
      </c>
      <c r="C57" s="753">
        <f t="shared" si="121"/>
        <v>20</v>
      </c>
      <c r="D57" s="753" t="s">
        <v>253</v>
      </c>
      <c r="E57" s="717" t="str">
        <f t="shared" si="41"/>
        <v>4th Floor</v>
      </c>
      <c r="F57" s="754"/>
      <c r="G57" s="755" t="s">
        <v>369</v>
      </c>
      <c r="H57" s="756"/>
      <c r="I57" s="755" t="s">
        <v>229</v>
      </c>
      <c r="J57" s="757">
        <v>22</v>
      </c>
      <c r="K57" s="758"/>
      <c r="L57" s="759" t="s">
        <v>69</v>
      </c>
      <c r="M57" s="760" t="s">
        <v>68</v>
      </c>
      <c r="N57" s="761">
        <f t="shared" si="42"/>
        <v>106005.26567735759</v>
      </c>
      <c r="O57" s="762">
        <f t="shared" si="43"/>
        <v>2332115.8449018667</v>
      </c>
      <c r="P57" s="762">
        <f t="shared" si="44"/>
        <v>22400</v>
      </c>
      <c r="Q57" s="762">
        <f t="shared" si="14"/>
        <v>50000</v>
      </c>
      <c r="R57" s="762"/>
      <c r="S57" s="762"/>
      <c r="T57" s="762"/>
      <c r="U57" s="762"/>
      <c r="V57" s="762"/>
      <c r="W57" s="762"/>
      <c r="X57" s="762"/>
      <c r="Y57" s="762"/>
      <c r="Z57" s="762">
        <f t="shared" si="15"/>
        <v>142461</v>
      </c>
      <c r="AA57" s="762">
        <v>45722.732758620688</v>
      </c>
      <c r="AB57" s="762"/>
      <c r="AC57" s="762"/>
      <c r="AD57" s="763">
        <f t="shared" si="45"/>
        <v>260583.7327586207</v>
      </c>
      <c r="AE57" s="763">
        <f t="shared" si="16"/>
        <v>2592699.5776604875</v>
      </c>
      <c r="AF57" s="762">
        <f t="shared" si="17"/>
        <v>64817.489441512189</v>
      </c>
      <c r="AG57" s="762">
        <f t="shared" si="46"/>
        <v>2657517.0671019997</v>
      </c>
      <c r="AH57" s="762">
        <f t="shared" si="18"/>
        <v>66437.92667755</v>
      </c>
      <c r="AI57" s="762">
        <f t="shared" si="47"/>
        <v>2723954.9937795498</v>
      </c>
      <c r="AJ57" s="762">
        <f t="shared" si="48"/>
        <v>136197.74968897749</v>
      </c>
      <c r="AK57" s="762">
        <f t="shared" si="122"/>
        <v>2860152.7434685272</v>
      </c>
      <c r="AL57" s="762">
        <f t="shared" si="49"/>
        <v>28601.527434685271</v>
      </c>
      <c r="AM57" s="762">
        <f t="shared" si="50"/>
        <v>27537.409960060559</v>
      </c>
      <c r="AN57" s="762"/>
      <c r="AO57" s="763">
        <f t="shared" si="51"/>
        <v>2916291.6808632729</v>
      </c>
      <c r="AP57" s="763">
        <f t="shared" si="52"/>
        <v>481188.12734244007</v>
      </c>
      <c r="AQ57" s="763">
        <f t="shared" si="53"/>
        <v>3397479.8082057131</v>
      </c>
      <c r="AR57" s="1178">
        <f t="shared" si="19"/>
        <v>3000000</v>
      </c>
      <c r="AS57" s="1178">
        <f t="shared" si="123"/>
        <v>18067.264009350594</v>
      </c>
      <c r="AT57" s="1178">
        <f t="shared" si="54"/>
        <v>397479.80820571305</v>
      </c>
      <c r="AU57" s="1178">
        <f t="shared" si="20"/>
        <v>47697.576984685562</v>
      </c>
      <c r="AV57" s="1178">
        <f t="shared" si="55"/>
        <v>445177.38519039861</v>
      </c>
      <c r="AW57" s="1178">
        <f t="shared" si="56"/>
        <v>3445177.3851903984</v>
      </c>
      <c r="AX57" s="762">
        <f t="shared" si="57"/>
        <v>43064.717314879985</v>
      </c>
      <c r="AY57" s="717" t="s">
        <v>231</v>
      </c>
      <c r="AZ57" s="717">
        <f t="shared" si="58"/>
        <v>3488242.1025052783</v>
      </c>
      <c r="BA57" s="717">
        <f t="shared" si="59"/>
        <v>130809.07884394794</v>
      </c>
      <c r="BB57" s="717"/>
      <c r="BC57" s="717">
        <f t="shared" si="21"/>
        <v>33600</v>
      </c>
      <c r="BD57" s="717">
        <f t="shared" si="60"/>
        <v>3652651.1813492263</v>
      </c>
      <c r="BE57" s="717"/>
      <c r="BF57" s="717">
        <f t="shared" si="61"/>
        <v>3652651.1813492263</v>
      </c>
      <c r="BG57" s="1209"/>
      <c r="BH57" s="717">
        <f t="shared" si="62"/>
        <v>3652651.1813492263</v>
      </c>
      <c r="BI57" s="717"/>
      <c r="BJ57" s="717">
        <f t="shared" si="63"/>
        <v>3652651.1813492263</v>
      </c>
      <c r="BK57" s="717"/>
      <c r="BL57" s="717">
        <f t="shared" si="64"/>
        <v>3652651.1813492263</v>
      </c>
      <c r="BM57" s="717"/>
      <c r="BN57" s="717">
        <f t="shared" si="65"/>
        <v>3652651.1813492263</v>
      </c>
      <c r="BO57" s="717"/>
      <c r="BP57" s="717">
        <f t="shared" si="22"/>
        <v>3652651.1813492263</v>
      </c>
      <c r="BQ57" s="717"/>
      <c r="BR57" s="717">
        <f t="shared" si="133"/>
        <v>3652651.1813492263</v>
      </c>
      <c r="BS57" s="1234">
        <f>$BS$5/64</f>
        <v>2651.4786794501206</v>
      </c>
      <c r="BT57" s="1235">
        <f t="shared" si="66"/>
        <v>3655302.6600286765</v>
      </c>
      <c r="BU57" s="1235">
        <f>$BU$5/65</f>
        <v>211.07692307692309</v>
      </c>
      <c r="BV57" s="1235">
        <f t="shared" si="134"/>
        <v>51400</v>
      </c>
      <c r="BW57" s="717">
        <f t="shared" si="67"/>
        <v>3706913.7369517535</v>
      </c>
      <c r="BX57" s="1234">
        <f t="shared" si="147"/>
        <v>27651.078536278128</v>
      </c>
      <c r="BY57" s="717">
        <f t="shared" si="68"/>
        <v>3734564.8154880316</v>
      </c>
      <c r="BZ57" s="1194">
        <f t="shared" si="69"/>
        <v>3734564.8154880316</v>
      </c>
      <c r="CA57" s="1194">
        <f t="shared" si="70"/>
        <v>2854564.8154880316</v>
      </c>
      <c r="CB57" s="1194">
        <f>$CB$5</f>
        <v>40000</v>
      </c>
      <c r="CC57" s="1194">
        <f t="shared" si="71"/>
        <v>880000</v>
      </c>
      <c r="CD57" s="1194">
        <f t="shared" si="72"/>
        <v>105600</v>
      </c>
      <c r="CE57" s="1194">
        <f t="shared" si="73"/>
        <v>985600</v>
      </c>
      <c r="CF57" s="1200">
        <f t="shared" si="74"/>
        <v>3840164.8154880316</v>
      </c>
      <c r="CG57" s="757">
        <f t="shared" si="75"/>
        <v>3840164.8154880316</v>
      </c>
      <c r="CH57" s="758">
        <f t="shared" si="76"/>
        <v>0</v>
      </c>
      <c r="CI57" s="757">
        <f t="shared" si="25"/>
        <v>393616.8935875232</v>
      </c>
      <c r="CJ57" s="757">
        <f t="shared" si="26"/>
        <v>96004.12038720079</v>
      </c>
      <c r="CK57" s="759">
        <f t="shared" si="155"/>
        <v>4329785.8294627564</v>
      </c>
      <c r="CL57" s="764">
        <f t="shared" si="78"/>
        <v>0.125</v>
      </c>
      <c r="CM57" s="757">
        <f t="shared" si="79"/>
        <v>541223.22868284455</v>
      </c>
      <c r="CN57" s="757">
        <f t="shared" si="124"/>
        <v>30000</v>
      </c>
      <c r="CO57" s="757">
        <f t="shared" si="80"/>
        <v>511223.22868284455</v>
      </c>
      <c r="CP57" s="755">
        <f t="shared" si="81"/>
        <v>29</v>
      </c>
      <c r="CQ57" s="757">
        <f t="shared" si="129"/>
        <v>17628.387195960157</v>
      </c>
      <c r="CR57" s="764">
        <f t="shared" si="83"/>
        <v>0.875</v>
      </c>
      <c r="CS57" s="757">
        <f t="shared" si="84"/>
        <v>3788562.600779912</v>
      </c>
      <c r="CT57" s="1101">
        <f t="shared" si="85"/>
        <v>29372.685519101411</v>
      </c>
      <c r="CU57" s="1101">
        <f t="shared" si="86"/>
        <v>34052.671714751821</v>
      </c>
      <c r="CV57" s="1101">
        <f t="shared" si="87"/>
        <v>43988.424200111069</v>
      </c>
      <c r="CW57" s="1141">
        <f t="shared" si="27"/>
        <v>75018.08024058603</v>
      </c>
      <c r="CX57" s="1152">
        <f t="shared" si="88"/>
        <v>307756.98206170113</v>
      </c>
      <c r="CY57" s="1152">
        <f t="shared" si="89"/>
        <v>121777.93863148359</v>
      </c>
      <c r="CZ57" s="1152">
        <f t="shared" si="90"/>
        <v>87958.480308877566</v>
      </c>
      <c r="DA57" s="1152">
        <f t="shared" si="91"/>
        <v>66940.452914346461</v>
      </c>
      <c r="DB57" s="1143">
        <f t="shared" si="28"/>
        <v>0.13249326940190434</v>
      </c>
      <c r="DC57" s="1143">
        <f t="shared" si="125"/>
        <v>0.34527154354752199</v>
      </c>
      <c r="DD57" s="1098" t="s">
        <v>232</v>
      </c>
      <c r="DE57" s="1144"/>
      <c r="DF57" s="705"/>
      <c r="DG57" s="765">
        <f t="shared" si="126"/>
        <v>46082</v>
      </c>
      <c r="DH57" s="1116">
        <f t="shared" si="29"/>
        <v>28</v>
      </c>
      <c r="DI57" s="497"/>
      <c r="DJ57" s="1117">
        <f t="shared" si="92"/>
        <v>46147</v>
      </c>
      <c r="DK57" s="1116">
        <f t="shared" si="93"/>
        <v>30</v>
      </c>
      <c r="DL57" s="766" t="s">
        <v>233</v>
      </c>
      <c r="DM57" s="766" t="s">
        <v>234</v>
      </c>
      <c r="DN57" s="767">
        <f t="shared" si="30"/>
        <v>20235.335690472664</v>
      </c>
      <c r="DO57" s="767">
        <f t="shared" si="31"/>
        <v>445177.38519039861</v>
      </c>
      <c r="DP57" s="768">
        <f t="shared" si="32"/>
        <v>0.14839246173013287</v>
      </c>
      <c r="DR57" s="767">
        <f t="shared" si="33"/>
        <v>3840164.8154880316</v>
      </c>
      <c r="DS57" s="767">
        <f>SUM('[6]INTERNAL PRICELIST'!M57)</f>
        <v>2329361</v>
      </c>
      <c r="DT57" s="767">
        <f t="shared" si="94"/>
        <v>1510803.8154880316</v>
      </c>
      <c r="DV57" s="951">
        <f t="shared" si="34"/>
        <v>174552.9461585469</v>
      </c>
      <c r="DX57" s="772">
        <v>16</v>
      </c>
      <c r="DY57" s="773" t="s">
        <v>303</v>
      </c>
      <c r="DZ57" s="774">
        <v>22</v>
      </c>
      <c r="EA57" s="775">
        <f t="shared" si="156"/>
        <v>0</v>
      </c>
      <c r="ED57" s="755" t="s">
        <v>369</v>
      </c>
      <c r="EE57" s="777" t="b">
        <f t="shared" si="36"/>
        <v>1</v>
      </c>
      <c r="EF57" s="1123" t="s">
        <v>370</v>
      </c>
      <c r="EG57" s="1123" t="s">
        <v>336</v>
      </c>
      <c r="EH57" s="1203"/>
      <c r="EP57" s="1230" t="s">
        <v>258</v>
      </c>
      <c r="EQ57" s="1145" t="s">
        <v>258</v>
      </c>
      <c r="ER57" s="753" t="b">
        <f t="shared" si="95"/>
        <v>1</v>
      </c>
      <c r="EU57" s="770">
        <v>2172480</v>
      </c>
      <c r="EV57" s="771" t="s">
        <v>236</v>
      </c>
      <c r="EZ57" s="520"/>
      <c r="FA57" s="778"/>
      <c r="FG57" s="1107"/>
      <c r="FJ57" s="994">
        <v>0.15</v>
      </c>
      <c r="FK57" s="993">
        <v>12820.110851026688</v>
      </c>
      <c r="FL57" s="993">
        <v>13166.600333486867</v>
      </c>
      <c r="FM57" s="497"/>
      <c r="FN57" s="993">
        <f t="shared" si="38"/>
        <v>4329785.8294627564</v>
      </c>
      <c r="FO57" s="994">
        <f t="shared" si="96"/>
        <v>0.15</v>
      </c>
      <c r="FP57" s="775">
        <f t="shared" si="39"/>
        <v>649467.87441941339</v>
      </c>
      <c r="FQ57" s="993">
        <f t="shared" si="40"/>
        <v>30000</v>
      </c>
      <c r="FR57" s="775">
        <f t="shared" si="97"/>
        <v>619467.87441941339</v>
      </c>
      <c r="FS57" s="497">
        <f t="shared" si="98"/>
        <v>40</v>
      </c>
      <c r="FT57" s="775">
        <f t="shared" si="99"/>
        <v>15486.696860485335</v>
      </c>
      <c r="FU57" s="497"/>
      <c r="FV57" s="993">
        <f t="shared" si="100"/>
        <v>4329785.8294627564</v>
      </c>
      <c r="FW57" s="705">
        <f t="shared" si="101"/>
        <v>432978.58294627565</v>
      </c>
      <c r="FX57" s="705">
        <f t="shared" si="102"/>
        <v>108244.64573656891</v>
      </c>
      <c r="FY57" s="705">
        <v>15000</v>
      </c>
      <c r="FZ57" s="705">
        <f t="shared" si="103"/>
        <v>417978.58294627565</v>
      </c>
      <c r="GA57" s="497">
        <f t="shared" si="104"/>
        <v>46</v>
      </c>
      <c r="GB57" s="775">
        <f t="shared" si="105"/>
        <v>9086.4909336146884</v>
      </c>
      <c r="GC57" s="497"/>
      <c r="GD57" s="497"/>
      <c r="GE57" s="1107">
        <v>46447</v>
      </c>
      <c r="GH57" s="1095">
        <f t="shared" si="0"/>
        <v>4329785.8294627564</v>
      </c>
      <c r="GI57" s="1098">
        <f t="shared" si="1"/>
        <v>0.125</v>
      </c>
      <c r="GJ57" s="1095">
        <f t="shared" si="2"/>
        <v>541223.22868284455</v>
      </c>
      <c r="GK57" s="1095">
        <f t="shared" si="3"/>
        <v>30000</v>
      </c>
      <c r="GL57" s="1095">
        <f t="shared" si="4"/>
        <v>511223.22868284455</v>
      </c>
      <c r="GM57" s="1095">
        <f t="shared" si="5"/>
        <v>29</v>
      </c>
      <c r="GN57" s="1095">
        <f t="shared" si="6"/>
        <v>17628.387195960157</v>
      </c>
      <c r="GO57" s="1098">
        <f t="shared" si="7"/>
        <v>0.875</v>
      </c>
      <c r="GP57" s="1095">
        <f t="shared" si="8"/>
        <v>3788562.600779912</v>
      </c>
      <c r="GQ57" s="1095">
        <f t="shared" si="9"/>
        <v>29372.685519101411</v>
      </c>
      <c r="GR57" s="1095">
        <f t="shared" si="10"/>
        <v>34052.671714751821</v>
      </c>
      <c r="GS57" s="1095">
        <f t="shared" si="11"/>
        <v>43988.424200111069</v>
      </c>
      <c r="GT57" s="1095">
        <f t="shared" si="12"/>
        <v>75018.08024058603</v>
      </c>
      <c r="GU57" s="497"/>
      <c r="GV57" s="1095">
        <f t="shared" si="106"/>
        <v>4329785.8294627564</v>
      </c>
      <c r="GW57" s="1098">
        <f t="shared" si="107"/>
        <v>0.125</v>
      </c>
      <c r="GX57" s="1095">
        <f t="shared" si="108"/>
        <v>541223.22868284455</v>
      </c>
      <c r="GY57" s="1095">
        <f t="shared" si="109"/>
        <v>30000</v>
      </c>
      <c r="GZ57" s="1095">
        <f t="shared" si="110"/>
        <v>511223.22868284455</v>
      </c>
      <c r="HA57" s="1106">
        <f t="shared" si="111"/>
        <v>48</v>
      </c>
      <c r="HB57" s="770">
        <f t="shared" si="112"/>
        <v>10650.483930892595</v>
      </c>
      <c r="HC57" s="1098">
        <f t="shared" si="113"/>
        <v>0.875</v>
      </c>
      <c r="HD57" s="1102">
        <f t="shared" si="114"/>
        <v>3788562.600779912</v>
      </c>
      <c r="HE57" s="1101">
        <f t="shared" si="115"/>
        <v>29372.685519101411</v>
      </c>
      <c r="HF57" s="1101">
        <f t="shared" si="116"/>
        <v>34052.671714751821</v>
      </c>
      <c r="HG57" s="1101">
        <f t="shared" si="117"/>
        <v>43988.424200111069</v>
      </c>
      <c r="HH57" s="1101">
        <f t="shared" si="118"/>
        <v>75018.08024058603</v>
      </c>
      <c r="HI57" s="497"/>
      <c r="HJ57" s="1102">
        <f t="shared" si="119"/>
        <v>-6977.9032650675617</v>
      </c>
      <c r="HL57" s="775"/>
      <c r="HN57" s="775"/>
      <c r="HO57" s="775"/>
      <c r="HQ57" s="702"/>
      <c r="HR57" s="1171"/>
      <c r="HS57" s="702"/>
      <c r="HT57" s="1171"/>
    </row>
    <row r="58" spans="1:228" ht="14.25" hidden="1" customHeight="1">
      <c r="A58" s="753">
        <f t="shared" si="120"/>
        <v>52</v>
      </c>
      <c r="B58" s="753" t="s">
        <v>236</v>
      </c>
      <c r="C58" s="753">
        <f t="shared" si="121"/>
        <v>21</v>
      </c>
      <c r="D58" s="753" t="s">
        <v>253</v>
      </c>
      <c r="E58" s="717" t="str">
        <f t="shared" si="41"/>
        <v>4th Floor</v>
      </c>
      <c r="F58" s="754"/>
      <c r="G58" s="755" t="s">
        <v>371</v>
      </c>
      <c r="H58" s="756"/>
      <c r="I58" s="755" t="s">
        <v>229</v>
      </c>
      <c r="J58" s="757">
        <v>22</v>
      </c>
      <c r="K58" s="758"/>
      <c r="L58" s="759" t="s">
        <v>69</v>
      </c>
      <c r="M58" s="760" t="s">
        <v>68</v>
      </c>
      <c r="N58" s="761">
        <f t="shared" si="42"/>
        <v>106005.26567735759</v>
      </c>
      <c r="O58" s="762">
        <f t="shared" si="43"/>
        <v>2332115.8449018667</v>
      </c>
      <c r="P58" s="762">
        <f t="shared" si="44"/>
        <v>22400</v>
      </c>
      <c r="Q58" s="762">
        <f t="shared" si="14"/>
        <v>50000</v>
      </c>
      <c r="R58" s="762"/>
      <c r="S58" s="762"/>
      <c r="T58" s="762"/>
      <c r="U58" s="762"/>
      <c r="V58" s="762"/>
      <c r="W58" s="762"/>
      <c r="X58" s="762"/>
      <c r="Y58" s="762"/>
      <c r="Z58" s="762">
        <f t="shared" si="15"/>
        <v>142461</v>
      </c>
      <c r="AA58" s="762">
        <v>45722.732758620688</v>
      </c>
      <c r="AB58" s="762"/>
      <c r="AC58" s="762"/>
      <c r="AD58" s="763">
        <f t="shared" si="45"/>
        <v>260583.7327586207</v>
      </c>
      <c r="AE58" s="763">
        <f t="shared" si="16"/>
        <v>2592699.5776604875</v>
      </c>
      <c r="AF58" s="762">
        <f t="shared" si="17"/>
        <v>64817.489441512189</v>
      </c>
      <c r="AG58" s="762">
        <f t="shared" si="46"/>
        <v>2657517.0671019997</v>
      </c>
      <c r="AH58" s="762">
        <f t="shared" si="18"/>
        <v>66437.92667755</v>
      </c>
      <c r="AI58" s="762">
        <f t="shared" si="47"/>
        <v>2723954.9937795498</v>
      </c>
      <c r="AJ58" s="762">
        <f t="shared" si="48"/>
        <v>136197.74968897749</v>
      </c>
      <c r="AK58" s="762">
        <f t="shared" si="122"/>
        <v>2860152.7434685272</v>
      </c>
      <c r="AL58" s="762">
        <f t="shared" si="49"/>
        <v>28601.527434685271</v>
      </c>
      <c r="AM58" s="762">
        <f t="shared" si="50"/>
        <v>27537.409960060559</v>
      </c>
      <c r="AN58" s="762"/>
      <c r="AO58" s="763">
        <f t="shared" si="51"/>
        <v>2916291.6808632729</v>
      </c>
      <c r="AP58" s="763">
        <f t="shared" si="52"/>
        <v>481188.12734244007</v>
      </c>
      <c r="AQ58" s="763">
        <f t="shared" si="53"/>
        <v>3397479.8082057131</v>
      </c>
      <c r="AR58" s="1178">
        <f t="shared" si="19"/>
        <v>3000000</v>
      </c>
      <c r="AS58" s="1178">
        <f t="shared" si="123"/>
        <v>18067.264009350594</v>
      </c>
      <c r="AT58" s="1178">
        <f t="shared" si="54"/>
        <v>397479.80820571305</v>
      </c>
      <c r="AU58" s="1178">
        <f t="shared" si="20"/>
        <v>47697.576984685562</v>
      </c>
      <c r="AV58" s="1178">
        <f t="shared" si="55"/>
        <v>445177.38519039861</v>
      </c>
      <c r="AW58" s="1178">
        <f t="shared" si="56"/>
        <v>3445177.3851903984</v>
      </c>
      <c r="AX58" s="762">
        <f t="shared" si="57"/>
        <v>43064.717314879985</v>
      </c>
      <c r="AY58" s="717" t="s">
        <v>231</v>
      </c>
      <c r="AZ58" s="717">
        <f t="shared" si="58"/>
        <v>3488242.1025052783</v>
      </c>
      <c r="BA58" s="717">
        <f t="shared" si="59"/>
        <v>130809.07884394794</v>
      </c>
      <c r="BB58" s="717"/>
      <c r="BC58" s="717">
        <f t="shared" si="21"/>
        <v>33600</v>
      </c>
      <c r="BD58" s="717">
        <f t="shared" si="60"/>
        <v>3652651.1813492263</v>
      </c>
      <c r="BE58" s="717"/>
      <c r="BF58" s="717">
        <f t="shared" si="61"/>
        <v>3652651.1813492263</v>
      </c>
      <c r="BG58" s="1209"/>
      <c r="BH58" s="717">
        <f t="shared" si="62"/>
        <v>3652651.1813492263</v>
      </c>
      <c r="BI58" s="717"/>
      <c r="BJ58" s="717">
        <f t="shared" si="63"/>
        <v>3652651.1813492263</v>
      </c>
      <c r="BK58" s="717"/>
      <c r="BL58" s="717">
        <f t="shared" si="64"/>
        <v>3652651.1813492263</v>
      </c>
      <c r="BM58" s="717"/>
      <c r="BN58" s="717">
        <f t="shared" si="65"/>
        <v>3652651.1813492263</v>
      </c>
      <c r="BO58" s="717"/>
      <c r="BP58" s="717">
        <f t="shared" si="22"/>
        <v>3652651.1813492263</v>
      </c>
      <c r="BQ58" s="717"/>
      <c r="BR58" s="717">
        <f t="shared" si="133"/>
        <v>3652651.1813492263</v>
      </c>
      <c r="BS58" s="717"/>
      <c r="BT58" s="717">
        <f t="shared" si="66"/>
        <v>3652651.1813492263</v>
      </c>
      <c r="BU58" s="717"/>
      <c r="BV58" s="1235">
        <f t="shared" si="134"/>
        <v>51400</v>
      </c>
      <c r="BW58" s="717">
        <f t="shared" si="67"/>
        <v>3704051.1813492263</v>
      </c>
      <c r="BX58" s="717"/>
      <c r="BY58" s="717">
        <f t="shared" si="68"/>
        <v>3704051.1813492263</v>
      </c>
      <c r="BZ58" s="1194">
        <f t="shared" si="69"/>
        <v>3704051.1813492263</v>
      </c>
      <c r="CA58" s="1194">
        <f t="shared" si="70"/>
        <v>3022051.1813492263</v>
      </c>
      <c r="CB58" s="1194">
        <v>31000</v>
      </c>
      <c r="CC58" s="1194">
        <f t="shared" si="71"/>
        <v>682000</v>
      </c>
      <c r="CD58" s="1194">
        <f t="shared" si="72"/>
        <v>81840</v>
      </c>
      <c r="CE58" s="1194">
        <f t="shared" si="73"/>
        <v>763840</v>
      </c>
      <c r="CF58" s="1200">
        <f t="shared" si="74"/>
        <v>3785891.1813492263</v>
      </c>
      <c r="CG58" s="757">
        <f t="shared" si="75"/>
        <v>3785891.1813492263</v>
      </c>
      <c r="CH58" s="758">
        <f t="shared" si="76"/>
        <v>0</v>
      </c>
      <c r="CI58" s="757">
        <f t="shared" si="25"/>
        <v>388053.84608829569</v>
      </c>
      <c r="CJ58" s="757">
        <f t="shared" si="26"/>
        <v>94647.27953373066</v>
      </c>
      <c r="CK58" s="759">
        <f t="shared" si="155"/>
        <v>4268592.3069712529</v>
      </c>
      <c r="CL58" s="764">
        <f t="shared" si="78"/>
        <v>0.125</v>
      </c>
      <c r="CM58" s="757">
        <f t="shared" si="79"/>
        <v>533574.03837140661</v>
      </c>
      <c r="CN58" s="757">
        <f t="shared" si="124"/>
        <v>30000</v>
      </c>
      <c r="CO58" s="757">
        <f t="shared" si="80"/>
        <v>503574.03837140661</v>
      </c>
      <c r="CP58" s="755">
        <f t="shared" si="81"/>
        <v>29</v>
      </c>
      <c r="CQ58" s="757">
        <f t="shared" si="129"/>
        <v>17364.622012807125</v>
      </c>
      <c r="CR58" s="764">
        <f t="shared" si="83"/>
        <v>0.875</v>
      </c>
      <c r="CS58" s="757">
        <f t="shared" si="84"/>
        <v>3735018.2685998464</v>
      </c>
      <c r="CT58" s="1101">
        <f t="shared" si="85"/>
        <v>28957.556881625129</v>
      </c>
      <c r="CU58" s="1101">
        <f t="shared" si="86"/>
        <v>33571.400119678256</v>
      </c>
      <c r="CV58" s="1101">
        <f t="shared" si="87"/>
        <v>43366.729102090649</v>
      </c>
      <c r="CW58" s="1141">
        <f t="shared" si="27"/>
        <v>73957.838288378131</v>
      </c>
      <c r="CX58" s="1152">
        <f t="shared" si="88"/>
        <v>303407.40576728969</v>
      </c>
      <c r="CY58" s="1152">
        <f t="shared" si="89"/>
        <v>120056.83247978757</v>
      </c>
      <c r="CZ58" s="1152">
        <f t="shared" si="90"/>
        <v>86715.349711868883</v>
      </c>
      <c r="DA58" s="1152">
        <f t="shared" si="91"/>
        <v>65994.373299246014</v>
      </c>
      <c r="DB58" s="1143">
        <f t="shared" si="28"/>
        <v>0.13249326940190434</v>
      </c>
      <c r="DC58" s="1143">
        <f t="shared" si="125"/>
        <v>0.25275548101702755</v>
      </c>
      <c r="DD58" s="1098" t="s">
        <v>232</v>
      </c>
      <c r="DE58" s="1144"/>
      <c r="DF58" s="705"/>
      <c r="DG58" s="765">
        <f t="shared" si="126"/>
        <v>46082</v>
      </c>
      <c r="DH58" s="1116">
        <f t="shared" si="29"/>
        <v>28</v>
      </c>
      <c r="DI58" s="497"/>
      <c r="DJ58" s="1117">
        <f t="shared" si="92"/>
        <v>46147</v>
      </c>
      <c r="DK58" s="1116">
        <f t="shared" si="93"/>
        <v>30</v>
      </c>
      <c r="DL58" s="766" t="s">
        <v>233</v>
      </c>
      <c r="DM58" s="766" t="s">
        <v>234</v>
      </c>
      <c r="DN58" s="767">
        <f t="shared" si="30"/>
        <v>20235.335690472664</v>
      </c>
      <c r="DO58" s="767">
        <f t="shared" si="31"/>
        <v>445177.38519039861</v>
      </c>
      <c r="DP58" s="768">
        <f t="shared" si="32"/>
        <v>0.14839246173013287</v>
      </c>
      <c r="DR58" s="767">
        <f t="shared" si="33"/>
        <v>3785891.1813492263</v>
      </c>
      <c r="DS58" s="767">
        <f>SUM('[6]INTERNAL PRICELIST'!M58)</f>
        <v>2329361</v>
      </c>
      <c r="DT58" s="767">
        <f t="shared" si="94"/>
        <v>1456530.1813492263</v>
      </c>
      <c r="DV58" s="951">
        <f t="shared" si="34"/>
        <v>172085.9627886012</v>
      </c>
      <c r="DX58" s="772">
        <v>17</v>
      </c>
      <c r="DY58" s="773" t="s">
        <v>305</v>
      </c>
      <c r="DZ58" s="774">
        <v>22</v>
      </c>
      <c r="EA58" s="775">
        <f t="shared" si="156"/>
        <v>0</v>
      </c>
      <c r="ED58" s="755" t="s">
        <v>371</v>
      </c>
      <c r="EE58" s="777" t="b">
        <f t="shared" si="36"/>
        <v>1</v>
      </c>
      <c r="EF58" s="1123" t="s">
        <v>372</v>
      </c>
      <c r="EG58" s="1123" t="s">
        <v>336</v>
      </c>
      <c r="EH58" s="1203"/>
      <c r="EP58" s="1230" t="s">
        <v>236</v>
      </c>
      <c r="EQ58" s="1145" t="s">
        <v>236</v>
      </c>
      <c r="ER58" s="753" t="b">
        <f t="shared" si="95"/>
        <v>1</v>
      </c>
      <c r="EU58" s="770">
        <v>2172480</v>
      </c>
      <c r="EV58" s="771" t="s">
        <v>236</v>
      </c>
      <c r="EZ58" s="520"/>
      <c r="FA58" s="778"/>
      <c r="FG58" s="1107"/>
      <c r="FJ58" s="994">
        <v>0.15</v>
      </c>
      <c r="FK58" s="993">
        <v>12820.110851026688</v>
      </c>
      <c r="FL58" s="993">
        <v>13166.600333486867</v>
      </c>
      <c r="FM58" s="497"/>
      <c r="FN58" s="993">
        <f t="shared" si="38"/>
        <v>4268592.3069712529</v>
      </c>
      <c r="FO58" s="994">
        <f t="shared" si="96"/>
        <v>0.15</v>
      </c>
      <c r="FP58" s="775">
        <f t="shared" si="39"/>
        <v>640288.84604568791</v>
      </c>
      <c r="FQ58" s="993">
        <f t="shared" si="40"/>
        <v>30000</v>
      </c>
      <c r="FR58" s="775">
        <f t="shared" si="97"/>
        <v>610288.84604568791</v>
      </c>
      <c r="FS58" s="497">
        <f t="shared" si="98"/>
        <v>40</v>
      </c>
      <c r="FT58" s="775">
        <f t="shared" si="99"/>
        <v>15257.221151142197</v>
      </c>
      <c r="FU58" s="497"/>
      <c r="FV58" s="993">
        <f t="shared" si="100"/>
        <v>4268592.3069712529</v>
      </c>
      <c r="FW58" s="705">
        <f t="shared" si="101"/>
        <v>426859.23069712531</v>
      </c>
      <c r="FX58" s="705">
        <f t="shared" si="102"/>
        <v>106714.80767428133</v>
      </c>
      <c r="FY58" s="705">
        <v>15000</v>
      </c>
      <c r="FZ58" s="705">
        <f t="shared" si="103"/>
        <v>411859.23069712531</v>
      </c>
      <c r="GA58" s="497">
        <f t="shared" si="104"/>
        <v>46</v>
      </c>
      <c r="GB58" s="775">
        <f t="shared" si="105"/>
        <v>8953.4615368940285</v>
      </c>
      <c r="GC58" s="497"/>
      <c r="GD58" s="497"/>
      <c r="GE58" s="1107">
        <v>46478</v>
      </c>
      <c r="GH58" s="1095">
        <f t="shared" si="0"/>
        <v>4268592.3069712529</v>
      </c>
      <c r="GI58" s="1098">
        <f t="shared" si="1"/>
        <v>0.125</v>
      </c>
      <c r="GJ58" s="1095">
        <f t="shared" si="2"/>
        <v>533574.03837140661</v>
      </c>
      <c r="GK58" s="1095">
        <f t="shared" si="3"/>
        <v>30000</v>
      </c>
      <c r="GL58" s="1095">
        <f t="shared" si="4"/>
        <v>503574.03837140661</v>
      </c>
      <c r="GM58" s="1095">
        <f t="shared" si="5"/>
        <v>29</v>
      </c>
      <c r="GN58" s="1095">
        <f t="shared" si="6"/>
        <v>17364.622012807125</v>
      </c>
      <c r="GO58" s="1098">
        <f t="shared" si="7"/>
        <v>0.875</v>
      </c>
      <c r="GP58" s="1095">
        <f t="shared" si="8"/>
        <v>3735018.2685998464</v>
      </c>
      <c r="GQ58" s="1095">
        <f t="shared" si="9"/>
        <v>28957.556881625129</v>
      </c>
      <c r="GR58" s="1095">
        <f t="shared" si="10"/>
        <v>33571.400119678256</v>
      </c>
      <c r="GS58" s="1095">
        <f t="shared" si="11"/>
        <v>43366.729102090649</v>
      </c>
      <c r="GT58" s="1095">
        <f t="shared" si="12"/>
        <v>73957.838288378131</v>
      </c>
      <c r="GU58" s="497"/>
      <c r="GV58" s="1095">
        <f t="shared" si="106"/>
        <v>4268592.3069712529</v>
      </c>
      <c r="GW58" s="1098">
        <f t="shared" si="107"/>
        <v>0.125</v>
      </c>
      <c r="GX58" s="1095">
        <f t="shared" si="108"/>
        <v>533574.03837140661</v>
      </c>
      <c r="GY58" s="1095">
        <f t="shared" si="109"/>
        <v>30000</v>
      </c>
      <c r="GZ58" s="1095">
        <f t="shared" si="110"/>
        <v>503574.03837140661</v>
      </c>
      <c r="HA58" s="1106">
        <f t="shared" si="111"/>
        <v>48</v>
      </c>
      <c r="HB58" s="770">
        <f t="shared" si="112"/>
        <v>10491.125799404304</v>
      </c>
      <c r="HC58" s="1098">
        <f t="shared" si="113"/>
        <v>0.875</v>
      </c>
      <c r="HD58" s="1102">
        <f t="shared" si="114"/>
        <v>3735018.2685998464</v>
      </c>
      <c r="HE58" s="1101">
        <f t="shared" si="115"/>
        <v>28957.556881625129</v>
      </c>
      <c r="HF58" s="1101">
        <f t="shared" si="116"/>
        <v>33571.400119678256</v>
      </c>
      <c r="HG58" s="1101">
        <f t="shared" si="117"/>
        <v>43366.729102090649</v>
      </c>
      <c r="HH58" s="1101">
        <f t="shared" si="118"/>
        <v>73957.838288378131</v>
      </c>
      <c r="HI58" s="497"/>
      <c r="HJ58" s="1102">
        <f t="shared" si="119"/>
        <v>-6873.496213402821</v>
      </c>
      <c r="HL58" s="775"/>
      <c r="HN58" s="775"/>
      <c r="HO58" s="775"/>
      <c r="HQ58" s="702"/>
      <c r="HR58" s="1171"/>
      <c r="HS58" s="702"/>
      <c r="HT58" s="1171"/>
    </row>
    <row r="59" spans="1:228" ht="14.25" hidden="1" customHeight="1">
      <c r="A59" s="753">
        <f t="shared" si="120"/>
        <v>53</v>
      </c>
      <c r="B59" s="753" t="s">
        <v>236</v>
      </c>
      <c r="C59" s="753">
        <f t="shared" si="121"/>
        <v>22</v>
      </c>
      <c r="D59" s="753" t="s">
        <v>253</v>
      </c>
      <c r="E59" s="717" t="str">
        <f t="shared" si="41"/>
        <v>4th Floor</v>
      </c>
      <c r="F59" s="754"/>
      <c r="G59" s="755" t="s">
        <v>373</v>
      </c>
      <c r="H59" s="756"/>
      <c r="I59" s="755" t="s">
        <v>229</v>
      </c>
      <c r="J59" s="757">
        <v>22</v>
      </c>
      <c r="K59" s="758"/>
      <c r="L59" s="759" t="s">
        <v>69</v>
      </c>
      <c r="M59" s="760" t="s">
        <v>68</v>
      </c>
      <c r="N59" s="761">
        <f t="shared" si="42"/>
        <v>106005.26567735759</v>
      </c>
      <c r="O59" s="762">
        <f t="shared" si="43"/>
        <v>2332115.8449018667</v>
      </c>
      <c r="P59" s="762">
        <f t="shared" si="44"/>
        <v>22400</v>
      </c>
      <c r="Q59" s="762">
        <f t="shared" si="14"/>
        <v>50000</v>
      </c>
      <c r="R59" s="762"/>
      <c r="S59" s="762"/>
      <c r="T59" s="762"/>
      <c r="U59" s="762"/>
      <c r="V59" s="762"/>
      <c r="W59" s="762"/>
      <c r="X59" s="762"/>
      <c r="Y59" s="762"/>
      <c r="Z59" s="762">
        <f t="shared" si="15"/>
        <v>142461</v>
      </c>
      <c r="AA59" s="762">
        <v>45722.732758620688</v>
      </c>
      <c r="AB59" s="762"/>
      <c r="AC59" s="762"/>
      <c r="AD59" s="763">
        <f t="shared" si="45"/>
        <v>260583.7327586207</v>
      </c>
      <c r="AE59" s="763">
        <f t="shared" si="16"/>
        <v>2592699.5776604875</v>
      </c>
      <c r="AF59" s="762">
        <f t="shared" si="17"/>
        <v>64817.489441512189</v>
      </c>
      <c r="AG59" s="762">
        <f t="shared" si="46"/>
        <v>2657517.0671019997</v>
      </c>
      <c r="AH59" s="762">
        <f t="shared" si="18"/>
        <v>66437.92667755</v>
      </c>
      <c r="AI59" s="762">
        <f t="shared" si="47"/>
        <v>2723954.9937795498</v>
      </c>
      <c r="AJ59" s="762">
        <f t="shared" si="48"/>
        <v>136197.74968897749</v>
      </c>
      <c r="AK59" s="762">
        <f t="shared" si="122"/>
        <v>2860152.7434685272</v>
      </c>
      <c r="AL59" s="762">
        <f t="shared" si="49"/>
        <v>28601.527434685271</v>
      </c>
      <c r="AM59" s="762">
        <f t="shared" si="50"/>
        <v>27537.409960060559</v>
      </c>
      <c r="AN59" s="762"/>
      <c r="AO59" s="763">
        <f t="shared" si="51"/>
        <v>2916291.6808632729</v>
      </c>
      <c r="AP59" s="763">
        <f t="shared" si="52"/>
        <v>481188.12734244007</v>
      </c>
      <c r="AQ59" s="763">
        <f t="shared" si="53"/>
        <v>3397479.8082057131</v>
      </c>
      <c r="AR59" s="1178">
        <f t="shared" si="19"/>
        <v>3000000</v>
      </c>
      <c r="AS59" s="1178">
        <f t="shared" si="123"/>
        <v>18067.264009350594</v>
      </c>
      <c r="AT59" s="1178">
        <f t="shared" si="54"/>
        <v>397479.80820571305</v>
      </c>
      <c r="AU59" s="1178">
        <f t="shared" si="20"/>
        <v>47697.576984685562</v>
      </c>
      <c r="AV59" s="1178">
        <f t="shared" si="55"/>
        <v>445177.38519039861</v>
      </c>
      <c r="AW59" s="1178">
        <f t="shared" si="56"/>
        <v>3445177.3851903984</v>
      </c>
      <c r="AX59" s="762">
        <f t="shared" si="57"/>
        <v>43064.717314879985</v>
      </c>
      <c r="AY59" s="717" t="s">
        <v>231</v>
      </c>
      <c r="AZ59" s="717">
        <f t="shared" si="58"/>
        <v>3488242.1025052783</v>
      </c>
      <c r="BA59" s="717">
        <f t="shared" si="59"/>
        <v>130809.07884394794</v>
      </c>
      <c r="BB59" s="717"/>
      <c r="BC59" s="717">
        <f t="shared" si="21"/>
        <v>33600</v>
      </c>
      <c r="BD59" s="717">
        <f t="shared" si="60"/>
        <v>3652651.1813492263</v>
      </c>
      <c r="BE59" s="717"/>
      <c r="BF59" s="717">
        <f t="shared" si="61"/>
        <v>3652651.1813492263</v>
      </c>
      <c r="BG59" s="1209"/>
      <c r="BH59" s="717">
        <f t="shared" si="62"/>
        <v>3652651.1813492263</v>
      </c>
      <c r="BI59" s="717"/>
      <c r="BJ59" s="717">
        <f t="shared" si="63"/>
        <v>3652651.1813492263</v>
      </c>
      <c r="BK59" s="717"/>
      <c r="BL59" s="717">
        <f t="shared" si="64"/>
        <v>3652651.1813492263</v>
      </c>
      <c r="BM59" s="717"/>
      <c r="BN59" s="717">
        <f t="shared" si="65"/>
        <v>3652651.1813492263</v>
      </c>
      <c r="BO59" s="717"/>
      <c r="BP59" s="717">
        <f t="shared" si="22"/>
        <v>3652651.1813492263</v>
      </c>
      <c r="BQ59" s="717"/>
      <c r="BR59" s="717">
        <f t="shared" si="133"/>
        <v>3652651.1813492263</v>
      </c>
      <c r="BS59" s="717"/>
      <c r="BT59" s="717">
        <f t="shared" si="66"/>
        <v>3652651.1813492263</v>
      </c>
      <c r="BU59" s="717"/>
      <c r="BV59" s="1235">
        <f t="shared" si="134"/>
        <v>51400</v>
      </c>
      <c r="BW59" s="717">
        <f t="shared" si="67"/>
        <v>3704051.1813492263</v>
      </c>
      <c r="BX59" s="717"/>
      <c r="BY59" s="717">
        <f t="shared" si="68"/>
        <v>3704051.1813492263</v>
      </c>
      <c r="BZ59" s="1194">
        <f t="shared" si="69"/>
        <v>3704051.1813492263</v>
      </c>
      <c r="CA59" s="1194">
        <f t="shared" si="70"/>
        <v>3022051.1813492263</v>
      </c>
      <c r="CB59" s="1194">
        <v>31000</v>
      </c>
      <c r="CC59" s="1194">
        <f t="shared" si="71"/>
        <v>682000</v>
      </c>
      <c r="CD59" s="1194">
        <f t="shared" si="72"/>
        <v>81840</v>
      </c>
      <c r="CE59" s="1194">
        <f t="shared" si="73"/>
        <v>763840</v>
      </c>
      <c r="CF59" s="1200">
        <f t="shared" si="74"/>
        <v>3785891.1813492263</v>
      </c>
      <c r="CG59" s="757">
        <f t="shared" si="75"/>
        <v>3785891.1813492263</v>
      </c>
      <c r="CH59" s="758">
        <f t="shared" si="76"/>
        <v>0</v>
      </c>
      <c r="CI59" s="757">
        <f t="shared" si="25"/>
        <v>388053.84608829569</v>
      </c>
      <c r="CJ59" s="757">
        <f t="shared" si="26"/>
        <v>94647.27953373066</v>
      </c>
      <c r="CK59" s="759">
        <f t="shared" si="155"/>
        <v>4268592.3069712529</v>
      </c>
      <c r="CL59" s="764">
        <f t="shared" si="78"/>
        <v>0.125</v>
      </c>
      <c r="CM59" s="757">
        <f t="shared" si="79"/>
        <v>533574.03837140661</v>
      </c>
      <c r="CN59" s="757">
        <f t="shared" si="124"/>
        <v>30000</v>
      </c>
      <c r="CO59" s="757">
        <f t="shared" si="80"/>
        <v>503574.03837140661</v>
      </c>
      <c r="CP59" s="755">
        <f t="shared" si="81"/>
        <v>29</v>
      </c>
      <c r="CQ59" s="757">
        <f t="shared" si="129"/>
        <v>17364.622012807125</v>
      </c>
      <c r="CR59" s="764">
        <f t="shared" si="83"/>
        <v>0.875</v>
      </c>
      <c r="CS59" s="757">
        <f t="shared" si="84"/>
        <v>3735018.2685998464</v>
      </c>
      <c r="CT59" s="1101">
        <f t="shared" si="85"/>
        <v>28957.556881625129</v>
      </c>
      <c r="CU59" s="1101">
        <f t="shared" si="86"/>
        <v>33571.400119678256</v>
      </c>
      <c r="CV59" s="1101">
        <f t="shared" si="87"/>
        <v>43366.729102090649</v>
      </c>
      <c r="CW59" s="1141">
        <f t="shared" si="27"/>
        <v>73957.838288378131</v>
      </c>
      <c r="CX59" s="1152">
        <f t="shared" si="88"/>
        <v>303407.40576728969</v>
      </c>
      <c r="CY59" s="1152">
        <f t="shared" si="89"/>
        <v>120056.83247978757</v>
      </c>
      <c r="CZ59" s="1152">
        <f t="shared" si="90"/>
        <v>86715.349711868883</v>
      </c>
      <c r="DA59" s="1152">
        <f t="shared" si="91"/>
        <v>65994.373299246014</v>
      </c>
      <c r="DB59" s="1143">
        <f t="shared" si="28"/>
        <v>0.13249326940190434</v>
      </c>
      <c r="DC59" s="1143">
        <f t="shared" si="125"/>
        <v>0.25275548101702755</v>
      </c>
      <c r="DD59" s="1098" t="s">
        <v>232</v>
      </c>
      <c r="DE59" s="1144"/>
      <c r="DF59" s="705"/>
      <c r="DG59" s="765">
        <f t="shared" si="126"/>
        <v>46082</v>
      </c>
      <c r="DH59" s="1116">
        <f t="shared" si="29"/>
        <v>28</v>
      </c>
      <c r="DI59" s="497"/>
      <c r="DJ59" s="1117">
        <f t="shared" si="92"/>
        <v>46147</v>
      </c>
      <c r="DK59" s="1116">
        <f t="shared" si="93"/>
        <v>30</v>
      </c>
      <c r="DL59" s="766" t="s">
        <v>233</v>
      </c>
      <c r="DM59" s="766" t="s">
        <v>234</v>
      </c>
      <c r="DN59" s="767">
        <f t="shared" si="30"/>
        <v>20235.335690472664</v>
      </c>
      <c r="DO59" s="767">
        <f t="shared" si="31"/>
        <v>445177.38519039861</v>
      </c>
      <c r="DP59" s="768">
        <f t="shared" si="32"/>
        <v>0.14839246173013287</v>
      </c>
      <c r="DR59" s="767">
        <f t="shared" si="33"/>
        <v>3785891.1813492263</v>
      </c>
      <c r="DS59" s="767">
        <f>SUM('[6]INTERNAL PRICELIST'!M59)</f>
        <v>2331316</v>
      </c>
      <c r="DT59" s="767">
        <f t="shared" si="94"/>
        <v>1454575.1813492263</v>
      </c>
      <c r="DV59" s="951">
        <f t="shared" si="34"/>
        <v>172085.9627886012</v>
      </c>
      <c r="DX59" s="772">
        <v>18</v>
      </c>
      <c r="DY59" s="773" t="s">
        <v>342</v>
      </c>
      <c r="DZ59" s="772">
        <v>22.34</v>
      </c>
      <c r="EA59" s="775">
        <f t="shared" si="156"/>
        <v>0.33999999999999986</v>
      </c>
      <c r="ED59" s="755" t="s">
        <v>373</v>
      </c>
      <c r="EE59" s="777" t="b">
        <f t="shared" si="36"/>
        <v>1</v>
      </c>
      <c r="EF59" s="1123" t="s">
        <v>374</v>
      </c>
      <c r="EG59" s="1123" t="s">
        <v>336</v>
      </c>
      <c r="EH59" s="1203"/>
      <c r="EP59" s="1230" t="s">
        <v>236</v>
      </c>
      <c r="EQ59" s="1145" t="s">
        <v>236</v>
      </c>
      <c r="ER59" s="753" t="b">
        <f t="shared" si="95"/>
        <v>1</v>
      </c>
      <c r="EU59" s="770">
        <v>2311180</v>
      </c>
      <c r="EV59" s="771" t="s">
        <v>236</v>
      </c>
      <c r="EZ59" s="520"/>
      <c r="FA59" s="778"/>
      <c r="FG59" s="1107"/>
      <c r="FJ59" s="994">
        <v>0.15</v>
      </c>
      <c r="FK59" s="993">
        <v>12820.110851026688</v>
      </c>
      <c r="FL59" s="993">
        <v>13166.600333486867</v>
      </c>
      <c r="FM59" s="497"/>
      <c r="FN59" s="993">
        <f t="shared" si="38"/>
        <v>4268592.3069712529</v>
      </c>
      <c r="FO59" s="994">
        <f t="shared" si="96"/>
        <v>0.15</v>
      </c>
      <c r="FP59" s="775">
        <f t="shared" si="39"/>
        <v>640288.84604568791</v>
      </c>
      <c r="FQ59" s="993">
        <f t="shared" si="40"/>
        <v>30000</v>
      </c>
      <c r="FR59" s="775">
        <f t="shared" si="97"/>
        <v>610288.84604568791</v>
      </c>
      <c r="FS59" s="497">
        <f t="shared" si="98"/>
        <v>40</v>
      </c>
      <c r="FT59" s="775">
        <f t="shared" si="99"/>
        <v>15257.221151142197</v>
      </c>
      <c r="FU59" s="497"/>
      <c r="FV59" s="993">
        <f t="shared" si="100"/>
        <v>4268592.3069712529</v>
      </c>
      <c r="FW59" s="705">
        <f t="shared" si="101"/>
        <v>426859.23069712531</v>
      </c>
      <c r="FX59" s="705">
        <f t="shared" si="102"/>
        <v>106714.80767428133</v>
      </c>
      <c r="FY59" s="705">
        <v>15000</v>
      </c>
      <c r="FZ59" s="705">
        <f t="shared" si="103"/>
        <v>411859.23069712531</v>
      </c>
      <c r="GA59" s="497">
        <f t="shared" si="104"/>
        <v>46</v>
      </c>
      <c r="GB59" s="775">
        <f t="shared" si="105"/>
        <v>8953.4615368940285</v>
      </c>
      <c r="GC59" s="497"/>
      <c r="GD59" s="497"/>
      <c r="GE59" s="1107">
        <v>46508</v>
      </c>
      <c r="GH59" s="1095">
        <f t="shared" si="0"/>
        <v>4268592.3069712529</v>
      </c>
      <c r="GI59" s="1098">
        <f t="shared" si="1"/>
        <v>0.125</v>
      </c>
      <c r="GJ59" s="1095">
        <f t="shared" si="2"/>
        <v>533574.03837140661</v>
      </c>
      <c r="GK59" s="1095">
        <f t="shared" si="3"/>
        <v>30000</v>
      </c>
      <c r="GL59" s="1095">
        <f t="shared" si="4"/>
        <v>503574.03837140661</v>
      </c>
      <c r="GM59" s="1095">
        <f t="shared" si="5"/>
        <v>29</v>
      </c>
      <c r="GN59" s="1095">
        <f t="shared" si="6"/>
        <v>17364.622012807125</v>
      </c>
      <c r="GO59" s="1098">
        <f t="shared" si="7"/>
        <v>0.875</v>
      </c>
      <c r="GP59" s="1095">
        <f t="shared" si="8"/>
        <v>3735018.2685998464</v>
      </c>
      <c r="GQ59" s="1095">
        <f t="shared" si="9"/>
        <v>28957.556881625129</v>
      </c>
      <c r="GR59" s="1095">
        <f t="shared" si="10"/>
        <v>33571.400119678256</v>
      </c>
      <c r="GS59" s="1095">
        <f t="shared" si="11"/>
        <v>43366.729102090649</v>
      </c>
      <c r="GT59" s="1095">
        <f t="shared" si="12"/>
        <v>73957.838288378131</v>
      </c>
      <c r="GU59" s="497"/>
      <c r="GV59" s="1095">
        <f t="shared" si="106"/>
        <v>4268592.3069712529</v>
      </c>
      <c r="GW59" s="1098">
        <f t="shared" si="107"/>
        <v>0.125</v>
      </c>
      <c r="GX59" s="1095">
        <f t="shared" si="108"/>
        <v>533574.03837140661</v>
      </c>
      <c r="GY59" s="1095">
        <f t="shared" si="109"/>
        <v>30000</v>
      </c>
      <c r="GZ59" s="1095">
        <f t="shared" si="110"/>
        <v>503574.03837140661</v>
      </c>
      <c r="HA59" s="1106">
        <f t="shared" si="111"/>
        <v>48</v>
      </c>
      <c r="HB59" s="770">
        <f t="shared" si="112"/>
        <v>10491.125799404304</v>
      </c>
      <c r="HC59" s="1098">
        <f t="shared" si="113"/>
        <v>0.875</v>
      </c>
      <c r="HD59" s="1102">
        <f t="shared" si="114"/>
        <v>3735018.2685998464</v>
      </c>
      <c r="HE59" s="1101">
        <f t="shared" si="115"/>
        <v>28957.556881625129</v>
      </c>
      <c r="HF59" s="1101">
        <f t="shared" si="116"/>
        <v>33571.400119678256</v>
      </c>
      <c r="HG59" s="1101">
        <f t="shared" si="117"/>
        <v>43366.729102090649</v>
      </c>
      <c r="HH59" s="1101">
        <f t="shared" si="118"/>
        <v>73957.838288378131</v>
      </c>
      <c r="HI59" s="497"/>
      <c r="HJ59" s="1102">
        <f t="shared" si="119"/>
        <v>-6873.496213402821</v>
      </c>
      <c r="HL59" s="775"/>
      <c r="HN59" s="775"/>
      <c r="HO59" s="775"/>
      <c r="HQ59" s="702"/>
      <c r="HR59" s="1171"/>
      <c r="HS59" s="702"/>
      <c r="HT59" s="1171"/>
    </row>
    <row r="60" spans="1:228" ht="14.25" hidden="1" customHeight="1">
      <c r="A60" s="753">
        <f t="shared" si="120"/>
        <v>54</v>
      </c>
      <c r="B60" s="753" t="s">
        <v>236</v>
      </c>
      <c r="C60" s="753">
        <f t="shared" si="121"/>
        <v>23</v>
      </c>
      <c r="D60" s="753" t="s">
        <v>253</v>
      </c>
      <c r="E60" s="717" t="str">
        <f t="shared" si="41"/>
        <v>4th Floor</v>
      </c>
      <c r="F60" s="754"/>
      <c r="G60" s="755" t="s">
        <v>375</v>
      </c>
      <c r="H60" s="756"/>
      <c r="I60" s="755" t="s">
        <v>229</v>
      </c>
      <c r="J60" s="757">
        <v>22</v>
      </c>
      <c r="K60" s="758"/>
      <c r="L60" s="759" t="s">
        <v>69</v>
      </c>
      <c r="M60" s="760" t="s">
        <v>68</v>
      </c>
      <c r="N60" s="761">
        <f t="shared" si="42"/>
        <v>106005.26567735759</v>
      </c>
      <c r="O60" s="762">
        <f t="shared" si="43"/>
        <v>2332115.8449018667</v>
      </c>
      <c r="P60" s="762">
        <f t="shared" si="44"/>
        <v>22400</v>
      </c>
      <c r="Q60" s="762">
        <f t="shared" si="14"/>
        <v>50000</v>
      </c>
      <c r="R60" s="762"/>
      <c r="S60" s="762"/>
      <c r="T60" s="762"/>
      <c r="U60" s="762"/>
      <c r="V60" s="762"/>
      <c r="W60" s="762"/>
      <c r="X60" s="762"/>
      <c r="Y60" s="762"/>
      <c r="Z60" s="762">
        <f t="shared" si="15"/>
        <v>142461</v>
      </c>
      <c r="AA60" s="762">
        <v>45722.732758620688</v>
      </c>
      <c r="AB60" s="762"/>
      <c r="AC60" s="762"/>
      <c r="AD60" s="763">
        <f t="shared" si="45"/>
        <v>260583.7327586207</v>
      </c>
      <c r="AE60" s="763">
        <f t="shared" si="16"/>
        <v>2592699.5776604875</v>
      </c>
      <c r="AF60" s="762">
        <f t="shared" si="17"/>
        <v>64817.489441512189</v>
      </c>
      <c r="AG60" s="762">
        <f t="shared" si="46"/>
        <v>2657517.0671019997</v>
      </c>
      <c r="AH60" s="762">
        <f t="shared" si="18"/>
        <v>66437.92667755</v>
      </c>
      <c r="AI60" s="762">
        <f t="shared" si="47"/>
        <v>2723954.9937795498</v>
      </c>
      <c r="AJ60" s="762">
        <f t="shared" si="48"/>
        <v>136197.74968897749</v>
      </c>
      <c r="AK60" s="762">
        <f t="shared" si="122"/>
        <v>2860152.7434685272</v>
      </c>
      <c r="AL60" s="762">
        <f t="shared" si="49"/>
        <v>28601.527434685271</v>
      </c>
      <c r="AM60" s="762">
        <f t="shared" si="50"/>
        <v>27537.409960060559</v>
      </c>
      <c r="AN60" s="762"/>
      <c r="AO60" s="763">
        <f t="shared" si="51"/>
        <v>2916291.6808632729</v>
      </c>
      <c r="AP60" s="763">
        <f t="shared" si="52"/>
        <v>481188.12734244007</v>
      </c>
      <c r="AQ60" s="763">
        <f t="shared" si="53"/>
        <v>3397479.8082057131</v>
      </c>
      <c r="AR60" s="1178">
        <f t="shared" si="19"/>
        <v>3000000</v>
      </c>
      <c r="AS60" s="1178">
        <f t="shared" si="123"/>
        <v>18067.264009350594</v>
      </c>
      <c r="AT60" s="1178">
        <f t="shared" si="54"/>
        <v>397479.80820571305</v>
      </c>
      <c r="AU60" s="1178">
        <f t="shared" si="20"/>
        <v>47697.576984685562</v>
      </c>
      <c r="AV60" s="1178">
        <f t="shared" si="55"/>
        <v>445177.38519039861</v>
      </c>
      <c r="AW60" s="1178">
        <f t="shared" si="56"/>
        <v>3445177.3851903984</v>
      </c>
      <c r="AX60" s="762">
        <f t="shared" si="57"/>
        <v>43064.717314879985</v>
      </c>
      <c r="AY60" s="717" t="s">
        <v>231</v>
      </c>
      <c r="AZ60" s="717">
        <f t="shared" si="58"/>
        <v>3488242.1025052783</v>
      </c>
      <c r="BA60" s="717">
        <f t="shared" si="59"/>
        <v>130809.07884394794</v>
      </c>
      <c r="BB60" s="717"/>
      <c r="BC60" s="717">
        <f t="shared" si="21"/>
        <v>33600</v>
      </c>
      <c r="BD60" s="717">
        <f t="shared" si="60"/>
        <v>3652651.1813492263</v>
      </c>
      <c r="BE60" s="717"/>
      <c r="BF60" s="717">
        <f t="shared" si="61"/>
        <v>3652651.1813492263</v>
      </c>
      <c r="BG60" s="1209"/>
      <c r="BH60" s="717">
        <f t="shared" si="62"/>
        <v>3652651.1813492263</v>
      </c>
      <c r="BI60" s="717"/>
      <c r="BJ60" s="717">
        <f t="shared" si="63"/>
        <v>3652651.1813492263</v>
      </c>
      <c r="BK60" s="717"/>
      <c r="BL60" s="717">
        <f t="shared" si="64"/>
        <v>3652651.1813492263</v>
      </c>
      <c r="BM60" s="717"/>
      <c r="BN60" s="717">
        <f t="shared" si="65"/>
        <v>3652651.1813492263</v>
      </c>
      <c r="BO60" s="717"/>
      <c r="BP60" s="717">
        <f t="shared" si="22"/>
        <v>3652651.1813492263</v>
      </c>
      <c r="BQ60" s="717"/>
      <c r="BR60" s="717">
        <f t="shared" si="133"/>
        <v>3652651.1813492263</v>
      </c>
      <c r="BS60" s="717"/>
      <c r="BT60" s="717">
        <f t="shared" si="66"/>
        <v>3652651.1813492263</v>
      </c>
      <c r="BU60" s="717"/>
      <c r="BV60" s="1235">
        <f t="shared" si="134"/>
        <v>51400</v>
      </c>
      <c r="BW60" s="717">
        <f t="shared" si="67"/>
        <v>3704051.1813492263</v>
      </c>
      <c r="BX60" s="717"/>
      <c r="BY60" s="717">
        <f t="shared" si="68"/>
        <v>3704051.1813492263</v>
      </c>
      <c r="BZ60" s="1194">
        <f t="shared" si="69"/>
        <v>3704051.1813492263</v>
      </c>
      <c r="CA60" s="1194">
        <f t="shared" si="70"/>
        <v>3022051.1813492263</v>
      </c>
      <c r="CB60" s="1194">
        <v>31000</v>
      </c>
      <c r="CC60" s="1194">
        <f t="shared" si="71"/>
        <v>682000</v>
      </c>
      <c r="CD60" s="1194">
        <f t="shared" si="72"/>
        <v>81840</v>
      </c>
      <c r="CE60" s="1194">
        <f t="shared" si="73"/>
        <v>763840</v>
      </c>
      <c r="CF60" s="1200">
        <f t="shared" si="74"/>
        <v>3785891.1813492263</v>
      </c>
      <c r="CG60" s="757">
        <f t="shared" si="75"/>
        <v>3785891.1813492263</v>
      </c>
      <c r="CH60" s="758">
        <f t="shared" si="76"/>
        <v>0</v>
      </c>
      <c r="CI60" s="757">
        <f t="shared" si="25"/>
        <v>388053.84608829569</v>
      </c>
      <c r="CJ60" s="757">
        <f t="shared" si="26"/>
        <v>94647.27953373066</v>
      </c>
      <c r="CK60" s="759">
        <f t="shared" si="155"/>
        <v>4268592.3069712529</v>
      </c>
      <c r="CL60" s="764">
        <f t="shared" si="78"/>
        <v>0.125</v>
      </c>
      <c r="CM60" s="757">
        <f t="shared" si="79"/>
        <v>533574.03837140661</v>
      </c>
      <c r="CN60" s="757">
        <f t="shared" si="124"/>
        <v>30000</v>
      </c>
      <c r="CO60" s="757">
        <f t="shared" si="80"/>
        <v>503574.03837140661</v>
      </c>
      <c r="CP60" s="755">
        <f t="shared" si="81"/>
        <v>29</v>
      </c>
      <c r="CQ60" s="757">
        <f t="shared" si="129"/>
        <v>17364.622012807125</v>
      </c>
      <c r="CR60" s="764">
        <f t="shared" si="83"/>
        <v>0.875</v>
      </c>
      <c r="CS60" s="757">
        <f t="shared" si="84"/>
        <v>3735018.2685998464</v>
      </c>
      <c r="CT60" s="1101">
        <f t="shared" si="85"/>
        <v>28957.556881625129</v>
      </c>
      <c r="CU60" s="1101">
        <f t="shared" si="86"/>
        <v>33571.400119678256</v>
      </c>
      <c r="CV60" s="1101">
        <f t="shared" si="87"/>
        <v>43366.729102090649</v>
      </c>
      <c r="CW60" s="1141">
        <f t="shared" si="27"/>
        <v>73957.838288378131</v>
      </c>
      <c r="CX60" s="1152">
        <f t="shared" si="88"/>
        <v>303407.40576728969</v>
      </c>
      <c r="CY60" s="1152">
        <f t="shared" si="89"/>
        <v>120056.83247978757</v>
      </c>
      <c r="CZ60" s="1152">
        <f t="shared" si="90"/>
        <v>86715.349711868883</v>
      </c>
      <c r="DA60" s="1152">
        <f t="shared" si="91"/>
        <v>65994.373299246014</v>
      </c>
      <c r="DB60" s="1143">
        <f t="shared" si="28"/>
        <v>0.13249326940190434</v>
      </c>
      <c r="DC60" s="1143">
        <f t="shared" si="125"/>
        <v>0.25275548101702755</v>
      </c>
      <c r="DD60" s="1098" t="s">
        <v>232</v>
      </c>
      <c r="DE60" s="1144"/>
      <c r="DF60" s="705"/>
      <c r="DG60" s="765">
        <f t="shared" si="126"/>
        <v>46082</v>
      </c>
      <c r="DH60" s="1116">
        <f t="shared" si="29"/>
        <v>28</v>
      </c>
      <c r="DI60" s="497"/>
      <c r="DJ60" s="1117">
        <f t="shared" si="92"/>
        <v>46147</v>
      </c>
      <c r="DK60" s="1116">
        <f t="shared" si="93"/>
        <v>30</v>
      </c>
      <c r="DL60" s="766" t="s">
        <v>233</v>
      </c>
      <c r="DM60" s="766" t="s">
        <v>234</v>
      </c>
      <c r="DN60" s="767">
        <f t="shared" si="30"/>
        <v>20235.335690472664</v>
      </c>
      <c r="DO60" s="767">
        <f t="shared" si="31"/>
        <v>445177.38519039861</v>
      </c>
      <c r="DP60" s="768">
        <f t="shared" si="32"/>
        <v>0.14839246173013287</v>
      </c>
      <c r="DR60" s="767">
        <f t="shared" si="33"/>
        <v>3785891.1813492263</v>
      </c>
      <c r="DS60" s="767">
        <f>SUM('[6]INTERNAL PRICELIST'!M60)</f>
        <v>2329361</v>
      </c>
      <c r="DT60" s="767">
        <f t="shared" si="94"/>
        <v>1456530.1813492263</v>
      </c>
      <c r="DV60" s="951">
        <f t="shared" si="34"/>
        <v>172085.9627886012</v>
      </c>
      <c r="DX60" s="772">
        <v>1</v>
      </c>
      <c r="DY60" s="773" t="s">
        <v>235</v>
      </c>
      <c r="DZ60" s="774">
        <v>22</v>
      </c>
      <c r="EA60" s="775">
        <f t="shared" si="156"/>
        <v>0</v>
      </c>
      <c r="ED60" s="755" t="s">
        <v>375</v>
      </c>
      <c r="EE60" s="777" t="b">
        <f t="shared" si="36"/>
        <v>1</v>
      </c>
      <c r="EF60" s="1123" t="s">
        <v>376</v>
      </c>
      <c r="EG60" s="1123" t="s">
        <v>336</v>
      </c>
      <c r="EH60" s="1203"/>
      <c r="EP60" s="1230" t="s">
        <v>236</v>
      </c>
      <c r="EQ60" s="1145" t="s">
        <v>236</v>
      </c>
      <c r="ER60" s="753" t="b">
        <f t="shared" si="95"/>
        <v>1</v>
      </c>
      <c r="EU60" s="770">
        <v>2221760</v>
      </c>
      <c r="EV60" s="771" t="s">
        <v>236</v>
      </c>
      <c r="EZ60" s="520"/>
      <c r="FA60" s="778"/>
      <c r="FG60" s="1107"/>
      <c r="FJ60" s="994">
        <v>0.15</v>
      </c>
      <c r="FK60" s="993">
        <v>12820.110851026688</v>
      </c>
      <c r="FL60" s="993">
        <v>13166.600333486867</v>
      </c>
      <c r="FM60" s="497"/>
      <c r="FN60" s="993">
        <f t="shared" si="38"/>
        <v>4268592.3069712529</v>
      </c>
      <c r="FO60" s="994">
        <f t="shared" si="96"/>
        <v>0.15</v>
      </c>
      <c r="FP60" s="775">
        <f t="shared" si="39"/>
        <v>640288.84604568791</v>
      </c>
      <c r="FQ60" s="993">
        <f t="shared" si="40"/>
        <v>30000</v>
      </c>
      <c r="FR60" s="775">
        <f t="shared" si="97"/>
        <v>610288.84604568791</v>
      </c>
      <c r="FS60" s="497">
        <f t="shared" si="98"/>
        <v>40</v>
      </c>
      <c r="FT60" s="775">
        <f t="shared" si="99"/>
        <v>15257.221151142197</v>
      </c>
      <c r="FU60" s="497"/>
      <c r="FV60" s="993">
        <f t="shared" si="100"/>
        <v>4268592.3069712529</v>
      </c>
      <c r="FW60" s="705">
        <f t="shared" si="101"/>
        <v>426859.23069712531</v>
      </c>
      <c r="FX60" s="705">
        <f t="shared" si="102"/>
        <v>106714.80767428133</v>
      </c>
      <c r="FY60" s="705">
        <v>15000</v>
      </c>
      <c r="FZ60" s="705">
        <f t="shared" si="103"/>
        <v>411859.23069712531</v>
      </c>
      <c r="GA60" s="497">
        <f t="shared" si="104"/>
        <v>46</v>
      </c>
      <c r="GB60" s="775">
        <f t="shared" si="105"/>
        <v>8953.4615368940285</v>
      </c>
      <c r="GC60" s="497"/>
      <c r="GD60" s="497"/>
      <c r="GE60" s="1107">
        <v>46539</v>
      </c>
      <c r="GH60" s="1095">
        <f t="shared" si="0"/>
        <v>4268592.3069712529</v>
      </c>
      <c r="GI60" s="1098">
        <f t="shared" si="1"/>
        <v>0.125</v>
      </c>
      <c r="GJ60" s="1095">
        <f t="shared" si="2"/>
        <v>533574.03837140661</v>
      </c>
      <c r="GK60" s="1095">
        <f t="shared" si="3"/>
        <v>30000</v>
      </c>
      <c r="GL60" s="1095">
        <f t="shared" si="4"/>
        <v>503574.03837140661</v>
      </c>
      <c r="GM60" s="1095">
        <f t="shared" si="5"/>
        <v>29</v>
      </c>
      <c r="GN60" s="1095">
        <f t="shared" si="6"/>
        <v>17364.622012807125</v>
      </c>
      <c r="GO60" s="1098">
        <f t="shared" si="7"/>
        <v>0.875</v>
      </c>
      <c r="GP60" s="1095">
        <f t="shared" si="8"/>
        <v>3735018.2685998464</v>
      </c>
      <c r="GQ60" s="1095">
        <f t="shared" si="9"/>
        <v>28957.556881625129</v>
      </c>
      <c r="GR60" s="1095">
        <f t="shared" si="10"/>
        <v>33571.400119678256</v>
      </c>
      <c r="GS60" s="1095">
        <f t="shared" si="11"/>
        <v>43366.729102090649</v>
      </c>
      <c r="GT60" s="1095">
        <f t="shared" si="12"/>
        <v>73957.838288378131</v>
      </c>
      <c r="GU60" s="497"/>
      <c r="GV60" s="1095">
        <f t="shared" si="106"/>
        <v>4268592.3069712529</v>
      </c>
      <c r="GW60" s="1098">
        <f t="shared" si="107"/>
        <v>0.125</v>
      </c>
      <c r="GX60" s="1095">
        <f t="shared" si="108"/>
        <v>533574.03837140661</v>
      </c>
      <c r="GY60" s="1095">
        <f t="shared" si="109"/>
        <v>30000</v>
      </c>
      <c r="GZ60" s="1095">
        <f t="shared" si="110"/>
        <v>503574.03837140661</v>
      </c>
      <c r="HA60" s="1106">
        <f t="shared" si="111"/>
        <v>48</v>
      </c>
      <c r="HB60" s="770">
        <f t="shared" si="112"/>
        <v>10491.125799404304</v>
      </c>
      <c r="HC60" s="1098">
        <f t="shared" si="113"/>
        <v>0.875</v>
      </c>
      <c r="HD60" s="1102">
        <f t="shared" si="114"/>
        <v>3735018.2685998464</v>
      </c>
      <c r="HE60" s="1101">
        <f t="shared" si="115"/>
        <v>28957.556881625129</v>
      </c>
      <c r="HF60" s="1101">
        <f t="shared" si="116"/>
        <v>33571.400119678256</v>
      </c>
      <c r="HG60" s="1101">
        <f t="shared" si="117"/>
        <v>43366.729102090649</v>
      </c>
      <c r="HH60" s="1101">
        <f t="shared" si="118"/>
        <v>73957.838288378131</v>
      </c>
      <c r="HI60" s="497"/>
      <c r="HJ60" s="1102">
        <f t="shared" si="119"/>
        <v>-6873.496213402821</v>
      </c>
      <c r="HL60" s="775"/>
      <c r="HN60" s="775"/>
      <c r="HO60" s="775"/>
      <c r="HQ60" s="702"/>
      <c r="HR60" s="1171"/>
      <c r="HS60" s="702"/>
      <c r="HT60" s="1171"/>
    </row>
    <row r="61" spans="1:228" ht="14.25" hidden="1" customHeight="1">
      <c r="A61" s="753">
        <f t="shared" si="120"/>
        <v>55</v>
      </c>
      <c r="B61" s="753" t="s">
        <v>236</v>
      </c>
      <c r="C61" s="753">
        <f t="shared" si="121"/>
        <v>24</v>
      </c>
      <c r="D61" s="753" t="s">
        <v>253</v>
      </c>
      <c r="E61" s="717" t="str">
        <f t="shared" si="41"/>
        <v>4th Floor</v>
      </c>
      <c r="F61" s="754"/>
      <c r="G61" s="755" t="s">
        <v>377</v>
      </c>
      <c r="H61" s="756"/>
      <c r="I61" s="755" t="s">
        <v>229</v>
      </c>
      <c r="J61" s="757">
        <v>22</v>
      </c>
      <c r="K61" s="758"/>
      <c r="L61" s="759" t="s">
        <v>69</v>
      </c>
      <c r="M61" s="760" t="s">
        <v>68</v>
      </c>
      <c r="N61" s="761">
        <f t="shared" si="42"/>
        <v>106005.26567735759</v>
      </c>
      <c r="O61" s="762">
        <f t="shared" si="43"/>
        <v>2332115.8449018667</v>
      </c>
      <c r="P61" s="762">
        <f t="shared" si="44"/>
        <v>22400</v>
      </c>
      <c r="Q61" s="762">
        <f t="shared" si="14"/>
        <v>50000</v>
      </c>
      <c r="R61" s="762"/>
      <c r="S61" s="762"/>
      <c r="T61" s="762"/>
      <c r="U61" s="762"/>
      <c r="V61" s="762"/>
      <c r="W61" s="762"/>
      <c r="X61" s="762"/>
      <c r="Y61" s="762"/>
      <c r="Z61" s="762">
        <f t="shared" si="15"/>
        <v>142461</v>
      </c>
      <c r="AA61" s="762">
        <v>45722.732758620688</v>
      </c>
      <c r="AB61" s="762"/>
      <c r="AC61" s="762"/>
      <c r="AD61" s="763">
        <f t="shared" si="45"/>
        <v>260583.7327586207</v>
      </c>
      <c r="AE61" s="763">
        <f t="shared" si="16"/>
        <v>2592699.5776604875</v>
      </c>
      <c r="AF61" s="762">
        <f t="shared" si="17"/>
        <v>64817.489441512189</v>
      </c>
      <c r="AG61" s="762">
        <f t="shared" si="46"/>
        <v>2657517.0671019997</v>
      </c>
      <c r="AH61" s="762">
        <f t="shared" si="18"/>
        <v>66437.92667755</v>
      </c>
      <c r="AI61" s="762">
        <f t="shared" si="47"/>
        <v>2723954.9937795498</v>
      </c>
      <c r="AJ61" s="762">
        <f t="shared" si="48"/>
        <v>136197.74968897749</v>
      </c>
      <c r="AK61" s="762">
        <f t="shared" si="122"/>
        <v>2860152.7434685272</v>
      </c>
      <c r="AL61" s="762">
        <f t="shared" si="49"/>
        <v>28601.527434685271</v>
      </c>
      <c r="AM61" s="762">
        <f t="shared" si="50"/>
        <v>27537.409960060559</v>
      </c>
      <c r="AN61" s="762"/>
      <c r="AO61" s="763">
        <f t="shared" si="51"/>
        <v>2916291.6808632729</v>
      </c>
      <c r="AP61" s="763">
        <f t="shared" si="52"/>
        <v>481188.12734244007</v>
      </c>
      <c r="AQ61" s="763">
        <f t="shared" si="53"/>
        <v>3397479.8082057131</v>
      </c>
      <c r="AR61" s="1178">
        <f t="shared" si="19"/>
        <v>3000000</v>
      </c>
      <c r="AS61" s="1178">
        <f t="shared" si="123"/>
        <v>18067.264009350594</v>
      </c>
      <c r="AT61" s="1178">
        <f t="shared" si="54"/>
        <v>397479.80820571305</v>
      </c>
      <c r="AU61" s="1178">
        <f t="shared" si="20"/>
        <v>47697.576984685562</v>
      </c>
      <c r="AV61" s="1178">
        <f t="shared" si="55"/>
        <v>445177.38519039861</v>
      </c>
      <c r="AW61" s="1178">
        <f t="shared" si="56"/>
        <v>3445177.3851903984</v>
      </c>
      <c r="AX61" s="762">
        <f t="shared" si="57"/>
        <v>43064.717314879985</v>
      </c>
      <c r="AY61" s="717" t="s">
        <v>231</v>
      </c>
      <c r="AZ61" s="717">
        <f t="shared" si="58"/>
        <v>3488242.1025052783</v>
      </c>
      <c r="BA61" s="717">
        <f t="shared" si="59"/>
        <v>130809.07884394794</v>
      </c>
      <c r="BB61" s="717"/>
      <c r="BC61" s="717">
        <f t="shared" si="21"/>
        <v>33600</v>
      </c>
      <c r="BD61" s="717">
        <f t="shared" si="60"/>
        <v>3652651.1813492263</v>
      </c>
      <c r="BE61" s="717"/>
      <c r="BF61" s="717">
        <f t="shared" si="61"/>
        <v>3652651.1813492263</v>
      </c>
      <c r="BG61" s="1209"/>
      <c r="BH61" s="717">
        <f t="shared" si="62"/>
        <v>3652651.1813492263</v>
      </c>
      <c r="BI61" s="717"/>
      <c r="BJ61" s="717">
        <f t="shared" si="63"/>
        <v>3652651.1813492263</v>
      </c>
      <c r="BK61" s="717"/>
      <c r="BL61" s="717">
        <f t="shared" si="64"/>
        <v>3652651.1813492263</v>
      </c>
      <c r="BM61" s="717"/>
      <c r="BN61" s="717">
        <f t="shared" si="65"/>
        <v>3652651.1813492263</v>
      </c>
      <c r="BO61" s="717"/>
      <c r="BP61" s="717">
        <f t="shared" si="22"/>
        <v>3652651.1813492263</v>
      </c>
      <c r="BQ61" s="717"/>
      <c r="BR61" s="717">
        <f t="shared" si="133"/>
        <v>3652651.1813492263</v>
      </c>
      <c r="BS61" s="717"/>
      <c r="BT61" s="717">
        <f t="shared" si="66"/>
        <v>3652651.1813492263</v>
      </c>
      <c r="BU61" s="717"/>
      <c r="BV61" s="1235">
        <f t="shared" si="134"/>
        <v>51400</v>
      </c>
      <c r="BW61" s="717">
        <f t="shared" si="67"/>
        <v>3704051.1813492263</v>
      </c>
      <c r="BX61" s="717"/>
      <c r="BY61" s="717">
        <f t="shared" si="68"/>
        <v>3704051.1813492263</v>
      </c>
      <c r="BZ61" s="1194">
        <f t="shared" si="69"/>
        <v>3704051.1813492263</v>
      </c>
      <c r="CA61" s="1194">
        <f t="shared" si="70"/>
        <v>3022051.1813492263</v>
      </c>
      <c r="CB61" s="1194">
        <v>31000</v>
      </c>
      <c r="CC61" s="1194">
        <f t="shared" si="71"/>
        <v>682000</v>
      </c>
      <c r="CD61" s="1194">
        <f t="shared" si="72"/>
        <v>81840</v>
      </c>
      <c r="CE61" s="1194">
        <f t="shared" si="73"/>
        <v>763840</v>
      </c>
      <c r="CF61" s="1200">
        <f t="shared" si="74"/>
        <v>3785891.1813492263</v>
      </c>
      <c r="CG61" s="757">
        <f t="shared" si="75"/>
        <v>3785891.1813492263</v>
      </c>
      <c r="CH61" s="758">
        <f t="shared" si="76"/>
        <v>0</v>
      </c>
      <c r="CI61" s="757">
        <f t="shared" si="25"/>
        <v>388053.84608829569</v>
      </c>
      <c r="CJ61" s="757">
        <f t="shared" si="26"/>
        <v>94647.27953373066</v>
      </c>
      <c r="CK61" s="759">
        <f t="shared" si="155"/>
        <v>4268592.3069712529</v>
      </c>
      <c r="CL61" s="764">
        <f t="shared" si="78"/>
        <v>0.125</v>
      </c>
      <c r="CM61" s="757">
        <f t="shared" si="79"/>
        <v>533574.03837140661</v>
      </c>
      <c r="CN61" s="757">
        <f t="shared" si="124"/>
        <v>30000</v>
      </c>
      <c r="CO61" s="757">
        <f t="shared" si="80"/>
        <v>503574.03837140661</v>
      </c>
      <c r="CP61" s="755">
        <f t="shared" si="81"/>
        <v>29</v>
      </c>
      <c r="CQ61" s="757">
        <f t="shared" si="129"/>
        <v>17364.622012807125</v>
      </c>
      <c r="CR61" s="764">
        <f t="shared" si="83"/>
        <v>0.875</v>
      </c>
      <c r="CS61" s="757">
        <f t="shared" si="84"/>
        <v>3735018.2685998464</v>
      </c>
      <c r="CT61" s="1101">
        <f t="shared" si="85"/>
        <v>28957.556881625129</v>
      </c>
      <c r="CU61" s="1101">
        <f t="shared" si="86"/>
        <v>33571.400119678256</v>
      </c>
      <c r="CV61" s="1101">
        <f t="shared" si="87"/>
        <v>43366.729102090649</v>
      </c>
      <c r="CW61" s="1141">
        <f t="shared" si="27"/>
        <v>73957.838288378131</v>
      </c>
      <c r="CX61" s="1152">
        <f t="shared" si="88"/>
        <v>303407.40576728969</v>
      </c>
      <c r="CY61" s="1152">
        <f t="shared" si="89"/>
        <v>120056.83247978757</v>
      </c>
      <c r="CZ61" s="1152">
        <f t="shared" si="90"/>
        <v>86715.349711868883</v>
      </c>
      <c r="DA61" s="1152">
        <f t="shared" si="91"/>
        <v>65994.373299246014</v>
      </c>
      <c r="DB61" s="1143">
        <f t="shared" si="28"/>
        <v>0.13249326940190434</v>
      </c>
      <c r="DC61" s="1143">
        <f t="shared" si="125"/>
        <v>0.25275548101702755</v>
      </c>
      <c r="DD61" s="1098" t="s">
        <v>232</v>
      </c>
      <c r="DE61" s="1144"/>
      <c r="DF61" s="705"/>
      <c r="DG61" s="765">
        <f t="shared" si="126"/>
        <v>46082</v>
      </c>
      <c r="DH61" s="1116">
        <f t="shared" si="29"/>
        <v>28</v>
      </c>
      <c r="DI61" s="497"/>
      <c r="DJ61" s="1117">
        <f t="shared" si="92"/>
        <v>46147</v>
      </c>
      <c r="DK61" s="1116">
        <f t="shared" si="93"/>
        <v>30</v>
      </c>
      <c r="DL61" s="766" t="s">
        <v>233</v>
      </c>
      <c r="DM61" s="766" t="s">
        <v>234</v>
      </c>
      <c r="DN61" s="767">
        <f t="shared" si="30"/>
        <v>20235.335690472664</v>
      </c>
      <c r="DO61" s="767">
        <f t="shared" si="31"/>
        <v>445177.38519039861</v>
      </c>
      <c r="DP61" s="768">
        <f t="shared" si="32"/>
        <v>0.14839246173013287</v>
      </c>
      <c r="DR61" s="767">
        <f t="shared" si="33"/>
        <v>3785891.1813492263</v>
      </c>
      <c r="DS61" s="767">
        <f>SUM('[6]INTERNAL PRICELIST'!M61)</f>
        <v>2329361</v>
      </c>
      <c r="DT61" s="767">
        <f t="shared" si="94"/>
        <v>1456530.1813492263</v>
      </c>
      <c r="DV61" s="951">
        <f t="shared" si="34"/>
        <v>172085.9627886012</v>
      </c>
      <c r="DX61" s="772">
        <v>2</v>
      </c>
      <c r="DY61" s="773" t="s">
        <v>238</v>
      </c>
      <c r="DZ61" s="774">
        <v>22</v>
      </c>
      <c r="EA61" s="775">
        <f t="shared" si="156"/>
        <v>0</v>
      </c>
      <c r="ED61" s="755" t="s">
        <v>377</v>
      </c>
      <c r="EE61" s="777" t="b">
        <f t="shared" si="36"/>
        <v>1</v>
      </c>
      <c r="EF61" s="1123" t="s">
        <v>378</v>
      </c>
      <c r="EG61" s="1123" t="s">
        <v>336</v>
      </c>
      <c r="EH61" s="1203"/>
      <c r="EP61" s="1230" t="s">
        <v>236</v>
      </c>
      <c r="EQ61" s="1145" t="s">
        <v>236</v>
      </c>
      <c r="ER61" s="753" t="b">
        <f t="shared" si="95"/>
        <v>1</v>
      </c>
      <c r="EU61" s="770">
        <v>2172480</v>
      </c>
      <c r="EV61" s="771" t="s">
        <v>236</v>
      </c>
      <c r="EZ61" s="520"/>
      <c r="FA61" s="778"/>
      <c r="FG61" s="1107"/>
      <c r="FJ61" s="994">
        <v>0.15</v>
      </c>
      <c r="FK61" s="993">
        <v>12820.110851026688</v>
      </c>
      <c r="FL61" s="993">
        <v>13166.600333486867</v>
      </c>
      <c r="FM61" s="497"/>
      <c r="FN61" s="993">
        <f t="shared" si="38"/>
        <v>4268592.3069712529</v>
      </c>
      <c r="FO61" s="994">
        <f t="shared" si="96"/>
        <v>0.15</v>
      </c>
      <c r="FP61" s="775">
        <f t="shared" si="39"/>
        <v>640288.84604568791</v>
      </c>
      <c r="FQ61" s="993">
        <f t="shared" si="40"/>
        <v>30000</v>
      </c>
      <c r="FR61" s="775">
        <f t="shared" si="97"/>
        <v>610288.84604568791</v>
      </c>
      <c r="FS61" s="497">
        <f t="shared" si="98"/>
        <v>40</v>
      </c>
      <c r="FT61" s="775">
        <f t="shared" si="99"/>
        <v>15257.221151142197</v>
      </c>
      <c r="FU61" s="497"/>
      <c r="FV61" s="993">
        <f t="shared" si="100"/>
        <v>4268592.3069712529</v>
      </c>
      <c r="FW61" s="705">
        <f t="shared" si="101"/>
        <v>426859.23069712531</v>
      </c>
      <c r="FX61" s="705">
        <f t="shared" si="102"/>
        <v>106714.80767428133</v>
      </c>
      <c r="FY61" s="705">
        <v>15000</v>
      </c>
      <c r="FZ61" s="705">
        <f t="shared" si="103"/>
        <v>411859.23069712531</v>
      </c>
      <c r="GA61" s="497">
        <f t="shared" si="104"/>
        <v>46</v>
      </c>
      <c r="GB61" s="775">
        <f t="shared" si="105"/>
        <v>8953.4615368940285</v>
      </c>
      <c r="GC61" s="497"/>
      <c r="GD61" s="497"/>
      <c r="GE61" s="1107">
        <v>46569</v>
      </c>
      <c r="GH61" s="1095">
        <f t="shared" si="0"/>
        <v>4268592.3069712529</v>
      </c>
      <c r="GI61" s="1098">
        <f t="shared" si="1"/>
        <v>0.125</v>
      </c>
      <c r="GJ61" s="1095">
        <f t="shared" si="2"/>
        <v>533574.03837140661</v>
      </c>
      <c r="GK61" s="1095">
        <f t="shared" si="3"/>
        <v>30000</v>
      </c>
      <c r="GL61" s="1095">
        <f t="shared" si="4"/>
        <v>503574.03837140661</v>
      </c>
      <c r="GM61" s="1095">
        <f t="shared" si="5"/>
        <v>29</v>
      </c>
      <c r="GN61" s="1095">
        <f t="shared" si="6"/>
        <v>17364.622012807125</v>
      </c>
      <c r="GO61" s="1098">
        <f t="shared" si="7"/>
        <v>0.875</v>
      </c>
      <c r="GP61" s="1095">
        <f t="shared" si="8"/>
        <v>3735018.2685998464</v>
      </c>
      <c r="GQ61" s="1095">
        <f t="shared" si="9"/>
        <v>28957.556881625129</v>
      </c>
      <c r="GR61" s="1095">
        <f t="shared" si="10"/>
        <v>33571.400119678256</v>
      </c>
      <c r="GS61" s="1095">
        <f t="shared" si="11"/>
        <v>43366.729102090649</v>
      </c>
      <c r="GT61" s="1095">
        <f t="shared" si="12"/>
        <v>73957.838288378131</v>
      </c>
      <c r="GU61" s="497"/>
      <c r="GV61" s="1095">
        <f t="shared" si="106"/>
        <v>4268592.3069712529</v>
      </c>
      <c r="GW61" s="1098">
        <f t="shared" si="107"/>
        <v>0.125</v>
      </c>
      <c r="GX61" s="1095">
        <f t="shared" si="108"/>
        <v>533574.03837140661</v>
      </c>
      <c r="GY61" s="1095">
        <f t="shared" si="109"/>
        <v>30000</v>
      </c>
      <c r="GZ61" s="1095">
        <f t="shared" si="110"/>
        <v>503574.03837140661</v>
      </c>
      <c r="HA61" s="1106">
        <f t="shared" si="111"/>
        <v>48</v>
      </c>
      <c r="HB61" s="770">
        <f t="shared" si="112"/>
        <v>10491.125799404304</v>
      </c>
      <c r="HC61" s="1098">
        <f t="shared" si="113"/>
        <v>0.875</v>
      </c>
      <c r="HD61" s="1102">
        <f t="shared" si="114"/>
        <v>3735018.2685998464</v>
      </c>
      <c r="HE61" s="1101">
        <f t="shared" si="115"/>
        <v>28957.556881625129</v>
      </c>
      <c r="HF61" s="1101">
        <f t="shared" si="116"/>
        <v>33571.400119678256</v>
      </c>
      <c r="HG61" s="1101">
        <f t="shared" si="117"/>
        <v>43366.729102090649</v>
      </c>
      <c r="HH61" s="1101">
        <f t="shared" si="118"/>
        <v>73957.838288378131</v>
      </c>
      <c r="HI61" s="497"/>
      <c r="HJ61" s="1102">
        <f t="shared" si="119"/>
        <v>-6873.496213402821</v>
      </c>
      <c r="HL61" s="775"/>
      <c r="HN61" s="775"/>
      <c r="HO61" s="775"/>
      <c r="HQ61" s="702"/>
      <c r="HR61" s="1171"/>
      <c r="HS61" s="702"/>
      <c r="HT61" s="1171"/>
    </row>
    <row r="62" spans="1:228" ht="14.25" hidden="1" customHeight="1">
      <c r="A62" s="753">
        <f t="shared" si="120"/>
        <v>56</v>
      </c>
      <c r="B62" s="753" t="s">
        <v>236</v>
      </c>
      <c r="C62" s="753">
        <f t="shared" si="121"/>
        <v>25</v>
      </c>
      <c r="D62" s="753" t="s">
        <v>253</v>
      </c>
      <c r="E62" s="717" t="str">
        <f t="shared" si="41"/>
        <v>4th Floor</v>
      </c>
      <c r="F62" s="754"/>
      <c r="G62" s="755" t="s">
        <v>379</v>
      </c>
      <c r="H62" s="756"/>
      <c r="I62" s="755" t="s">
        <v>229</v>
      </c>
      <c r="J62" s="757">
        <v>22</v>
      </c>
      <c r="K62" s="758"/>
      <c r="L62" s="759" t="s">
        <v>69</v>
      </c>
      <c r="M62" s="760" t="s">
        <v>230</v>
      </c>
      <c r="N62" s="761">
        <f t="shared" si="42"/>
        <v>106005.26567735759</v>
      </c>
      <c r="O62" s="762">
        <f t="shared" si="43"/>
        <v>2332115.8449018667</v>
      </c>
      <c r="P62" s="762">
        <f t="shared" si="44"/>
        <v>22400</v>
      </c>
      <c r="Q62" s="762">
        <f t="shared" si="14"/>
        <v>50000</v>
      </c>
      <c r="R62" s="762"/>
      <c r="S62" s="762"/>
      <c r="T62" s="762"/>
      <c r="U62" s="762"/>
      <c r="V62" s="762">
        <f t="shared" ref="V62:V63" si="159">J62*$V$5</f>
        <v>55000</v>
      </c>
      <c r="W62" s="762"/>
      <c r="X62" s="762"/>
      <c r="Y62" s="762"/>
      <c r="Z62" s="762">
        <f t="shared" si="15"/>
        <v>142461</v>
      </c>
      <c r="AA62" s="762">
        <v>49222.732758620703</v>
      </c>
      <c r="AB62" s="762"/>
      <c r="AC62" s="762"/>
      <c r="AD62" s="763">
        <f t="shared" si="45"/>
        <v>319083.7327586207</v>
      </c>
      <c r="AE62" s="763">
        <f t="shared" si="16"/>
        <v>2651199.5776604875</v>
      </c>
      <c r="AF62" s="762">
        <f t="shared" si="17"/>
        <v>66279.989441512196</v>
      </c>
      <c r="AG62" s="762">
        <f t="shared" si="46"/>
        <v>2717479.5671019997</v>
      </c>
      <c r="AH62" s="762">
        <f t="shared" si="18"/>
        <v>67936.98917755</v>
      </c>
      <c r="AI62" s="762">
        <f t="shared" si="47"/>
        <v>2785416.5562795498</v>
      </c>
      <c r="AJ62" s="762">
        <f t="shared" si="48"/>
        <v>139270.82781397749</v>
      </c>
      <c r="AK62" s="762">
        <f t="shared" si="122"/>
        <v>2924687.3840935272</v>
      </c>
      <c r="AL62" s="762">
        <f>AK62*AL$5+29772.4420833333</f>
        <v>59019.315924268572</v>
      </c>
      <c r="AM62" s="762">
        <f t="shared" si="50"/>
        <v>27537.409960060559</v>
      </c>
      <c r="AN62" s="762"/>
      <c r="AO62" s="763">
        <f t="shared" si="51"/>
        <v>3011244.1099778563</v>
      </c>
      <c r="AP62" s="763">
        <f t="shared" si="52"/>
        <v>496855.27814634633</v>
      </c>
      <c r="AQ62" s="763">
        <f t="shared" si="53"/>
        <v>3508099.3881242024</v>
      </c>
      <c r="AR62" s="1178">
        <f t="shared" si="19"/>
        <v>3000000</v>
      </c>
      <c r="AS62" s="1178">
        <f t="shared" si="123"/>
        <v>23095.426732918291</v>
      </c>
      <c r="AT62" s="1178">
        <f t="shared" si="54"/>
        <v>508099.38812420238</v>
      </c>
      <c r="AU62" s="1178">
        <f t="shared" si="20"/>
        <v>60971.926574904282</v>
      </c>
      <c r="AV62" s="1178">
        <f t="shared" si="55"/>
        <v>569071.31469910662</v>
      </c>
      <c r="AW62" s="1178">
        <f t="shared" si="56"/>
        <v>3569071.3146991068</v>
      </c>
      <c r="AX62" s="762">
        <f t="shared" si="57"/>
        <v>44613.391433738841</v>
      </c>
      <c r="AY62" s="717" t="s">
        <v>231</v>
      </c>
      <c r="AZ62" s="717">
        <f t="shared" si="58"/>
        <v>3613684.7061328455</v>
      </c>
      <c r="BA62" s="717">
        <f t="shared" si="59"/>
        <v>135513.17647998169</v>
      </c>
      <c r="BB62" s="717"/>
      <c r="BC62" s="717">
        <f t="shared" si="21"/>
        <v>33600</v>
      </c>
      <c r="BD62" s="717">
        <f t="shared" si="60"/>
        <v>3782797.8826128272</v>
      </c>
      <c r="BE62" s="717"/>
      <c r="BF62" s="717">
        <f t="shared" si="61"/>
        <v>3782797.8826128272</v>
      </c>
      <c r="BG62" s="1209"/>
      <c r="BH62" s="717">
        <f t="shared" si="62"/>
        <v>3782797.8826128272</v>
      </c>
      <c r="BI62" s="717"/>
      <c r="BJ62" s="717">
        <f t="shared" si="63"/>
        <v>3782797.8826128272</v>
      </c>
      <c r="BK62" s="717"/>
      <c r="BL62" s="717">
        <f t="shared" si="64"/>
        <v>3782797.8826128272</v>
      </c>
      <c r="BM62" s="717"/>
      <c r="BN62" s="717">
        <f t="shared" si="65"/>
        <v>3782797.8826128272</v>
      </c>
      <c r="BO62" s="717"/>
      <c r="BP62" s="717">
        <f t="shared" si="22"/>
        <v>3782797.8826128272</v>
      </c>
      <c r="BQ62" s="717"/>
      <c r="BR62" s="717">
        <f t="shared" si="133"/>
        <v>3782797.8826128272</v>
      </c>
      <c r="BS62" s="717"/>
      <c r="BT62" s="717">
        <f t="shared" si="66"/>
        <v>3782797.8826128272</v>
      </c>
      <c r="BU62" s="717"/>
      <c r="BV62" s="1235">
        <f t="shared" si="134"/>
        <v>51400</v>
      </c>
      <c r="BW62" s="717">
        <f t="shared" si="67"/>
        <v>3834197.8826128272</v>
      </c>
      <c r="BX62" s="717"/>
      <c r="BY62" s="717">
        <f t="shared" si="68"/>
        <v>3834197.8826128272</v>
      </c>
      <c r="BZ62" s="1194">
        <f t="shared" si="69"/>
        <v>3834197.8826128272</v>
      </c>
      <c r="CA62" s="1194">
        <f t="shared" si="70"/>
        <v>3031197.8826128272</v>
      </c>
      <c r="CB62" s="1194">
        <v>36500</v>
      </c>
      <c r="CC62" s="1194">
        <f t="shared" si="71"/>
        <v>803000</v>
      </c>
      <c r="CD62" s="1194">
        <f t="shared" si="72"/>
        <v>96360</v>
      </c>
      <c r="CE62" s="1194">
        <f t="shared" si="73"/>
        <v>899360</v>
      </c>
      <c r="CF62" s="1200">
        <f t="shared" si="74"/>
        <v>3930557.8826128272</v>
      </c>
      <c r="CG62" s="757">
        <f t="shared" si="75"/>
        <v>3930557.8826128272</v>
      </c>
      <c r="CH62" s="758">
        <f t="shared" si="76"/>
        <v>0</v>
      </c>
      <c r="CI62" s="757">
        <f t="shared" si="25"/>
        <v>402882.18296781479</v>
      </c>
      <c r="CJ62" s="757">
        <f t="shared" si="26"/>
        <v>98263.947065320681</v>
      </c>
      <c r="CK62" s="759">
        <f t="shared" si="155"/>
        <v>4431704.0126459626</v>
      </c>
      <c r="CL62" s="764">
        <f t="shared" si="78"/>
        <v>0.125</v>
      </c>
      <c r="CM62" s="757">
        <f t="shared" si="79"/>
        <v>553963.00158074533</v>
      </c>
      <c r="CN62" s="757">
        <f t="shared" si="124"/>
        <v>30000</v>
      </c>
      <c r="CO62" s="757">
        <f t="shared" si="80"/>
        <v>523963.00158074533</v>
      </c>
      <c r="CP62" s="755">
        <f t="shared" si="81"/>
        <v>29</v>
      </c>
      <c r="CQ62" s="757">
        <f t="shared" si="129"/>
        <v>18067.689709680875</v>
      </c>
      <c r="CR62" s="764">
        <f t="shared" si="83"/>
        <v>0.875</v>
      </c>
      <c r="CS62" s="757">
        <f t="shared" si="84"/>
        <v>3877741.0110652172</v>
      </c>
      <c r="CT62" s="1101">
        <f t="shared" si="85"/>
        <v>30064.084784845218</v>
      </c>
      <c r="CU62" s="1101">
        <f t="shared" si="86"/>
        <v>34854.232477892911</v>
      </c>
      <c r="CV62" s="1101">
        <f t="shared" si="87"/>
        <v>45023.861159847198</v>
      </c>
      <c r="CW62" s="1141">
        <f t="shared" si="27"/>
        <v>76783.919648158102</v>
      </c>
      <c r="CX62" s="1152">
        <f t="shared" si="88"/>
        <v>315001.22778402758</v>
      </c>
      <c r="CY62" s="1152">
        <f t="shared" si="89"/>
        <v>124644.45137506121</v>
      </c>
      <c r="CZ62" s="1152">
        <f t="shared" si="90"/>
        <v>90028.921864585864</v>
      </c>
      <c r="DA62" s="1152">
        <f t="shared" si="91"/>
        <v>68516.154256446709</v>
      </c>
      <c r="DB62" s="1143">
        <f t="shared" si="28"/>
        <v>0.16936646270806746</v>
      </c>
      <c r="DC62" s="1143">
        <f t="shared" si="125"/>
        <v>0.29670118376592791</v>
      </c>
      <c r="DD62" s="1098" t="s">
        <v>232</v>
      </c>
      <c r="DE62" s="1144"/>
      <c r="DF62" s="705"/>
      <c r="DG62" s="765">
        <f t="shared" si="126"/>
        <v>46082</v>
      </c>
      <c r="DH62" s="1116">
        <f t="shared" si="29"/>
        <v>28</v>
      </c>
      <c r="DI62" s="497"/>
      <c r="DJ62" s="1117">
        <f t="shared" si="92"/>
        <v>46147</v>
      </c>
      <c r="DK62" s="1116">
        <f t="shared" si="93"/>
        <v>30</v>
      </c>
      <c r="DL62" s="766" t="s">
        <v>233</v>
      </c>
      <c r="DM62" s="766" t="s">
        <v>234</v>
      </c>
      <c r="DN62" s="767">
        <f t="shared" si="30"/>
        <v>25866.877940868482</v>
      </c>
      <c r="DO62" s="767">
        <f t="shared" si="31"/>
        <v>569071.31469910662</v>
      </c>
      <c r="DP62" s="768">
        <f t="shared" si="32"/>
        <v>0.18969043823303555</v>
      </c>
      <c r="DR62" s="767">
        <f t="shared" si="33"/>
        <v>3930557.8826128272</v>
      </c>
      <c r="DS62" s="767">
        <f>SUM('[6]INTERNAL PRICELIST'!M62)</f>
        <v>2329361</v>
      </c>
      <c r="DT62" s="767">
        <f t="shared" si="94"/>
        <v>1601196.8826128272</v>
      </c>
      <c r="DV62" s="951">
        <f t="shared" si="34"/>
        <v>178661.72193694671</v>
      </c>
      <c r="DX62" s="772">
        <v>3</v>
      </c>
      <c r="DY62" s="773" t="s">
        <v>245</v>
      </c>
      <c r="DZ62" s="774">
        <v>22</v>
      </c>
      <c r="EA62" s="775">
        <f t="shared" si="156"/>
        <v>0</v>
      </c>
      <c r="ED62" s="1133" t="s">
        <v>379</v>
      </c>
      <c r="EE62" s="777" t="b">
        <f t="shared" si="36"/>
        <v>1</v>
      </c>
      <c r="EF62" s="1123" t="s">
        <v>380</v>
      </c>
      <c r="EG62" s="1123" t="s">
        <v>336</v>
      </c>
      <c r="EH62" s="1203"/>
      <c r="EO62" s="497" t="s">
        <v>330</v>
      </c>
      <c r="EP62" s="1230" t="s">
        <v>236</v>
      </c>
      <c r="EQ62" s="1145" t="s">
        <v>236</v>
      </c>
      <c r="ER62" s="753" t="b">
        <f t="shared" si="95"/>
        <v>1</v>
      </c>
      <c r="EU62" s="770">
        <v>2172480</v>
      </c>
      <c r="EV62" s="771" t="s">
        <v>236</v>
      </c>
      <c r="EZ62" s="520"/>
      <c r="FA62" s="778"/>
      <c r="FG62" s="1107"/>
      <c r="FJ62" s="994">
        <v>0.15</v>
      </c>
      <c r="FK62" s="993">
        <v>13378.682179649855</v>
      </c>
      <c r="FL62" s="993">
        <v>13740.268184505258</v>
      </c>
      <c r="FM62" s="497"/>
      <c r="FN62" s="993">
        <f t="shared" si="38"/>
        <v>4431704.0126459626</v>
      </c>
      <c r="FO62" s="994">
        <f t="shared" si="96"/>
        <v>0.15</v>
      </c>
      <c r="FP62" s="775">
        <f t="shared" si="39"/>
        <v>664755.6018968944</v>
      </c>
      <c r="FQ62" s="993">
        <f t="shared" si="40"/>
        <v>30000</v>
      </c>
      <c r="FR62" s="775">
        <f t="shared" si="97"/>
        <v>634755.6018968944</v>
      </c>
      <c r="FS62" s="497">
        <f t="shared" si="98"/>
        <v>40</v>
      </c>
      <c r="FT62" s="775">
        <f t="shared" si="99"/>
        <v>15868.890047422359</v>
      </c>
      <c r="FU62" s="497"/>
      <c r="FV62" s="993">
        <f t="shared" si="100"/>
        <v>4431704.0126459626</v>
      </c>
      <c r="FW62" s="705">
        <f t="shared" si="101"/>
        <v>443170.40126459626</v>
      </c>
      <c r="FX62" s="705">
        <f t="shared" si="102"/>
        <v>110792.60031614907</v>
      </c>
      <c r="FY62" s="705">
        <v>15000</v>
      </c>
      <c r="FZ62" s="705">
        <f t="shared" si="103"/>
        <v>428170.40126459626</v>
      </c>
      <c r="GA62" s="497">
        <f t="shared" si="104"/>
        <v>46</v>
      </c>
      <c r="GB62" s="775">
        <f t="shared" si="105"/>
        <v>9308.0522014042672</v>
      </c>
      <c r="GC62" s="497"/>
      <c r="GD62" s="1214"/>
      <c r="GE62" s="1215">
        <v>46600</v>
      </c>
      <c r="GF62" s="497" t="s">
        <v>6</v>
      </c>
      <c r="GH62" s="1095">
        <f t="shared" si="0"/>
        <v>4431704.0126459626</v>
      </c>
      <c r="GI62" s="1098">
        <f t="shared" si="1"/>
        <v>0.125</v>
      </c>
      <c r="GJ62" s="1095">
        <f t="shared" si="2"/>
        <v>553963.00158074533</v>
      </c>
      <c r="GK62" s="1095">
        <f t="shared" si="3"/>
        <v>30000</v>
      </c>
      <c r="GL62" s="1095">
        <f t="shared" si="4"/>
        <v>523963.00158074533</v>
      </c>
      <c r="GM62" s="1095">
        <f t="shared" si="5"/>
        <v>29</v>
      </c>
      <c r="GN62" s="1095">
        <f t="shared" si="6"/>
        <v>18067.689709680875</v>
      </c>
      <c r="GO62" s="1098">
        <f t="shared" si="7"/>
        <v>0.875</v>
      </c>
      <c r="GP62" s="1095">
        <f t="shared" si="8"/>
        <v>3877741.0110652172</v>
      </c>
      <c r="GQ62" s="1095">
        <f t="shared" si="9"/>
        <v>30064.084784845218</v>
      </c>
      <c r="GR62" s="1095">
        <f t="shared" si="10"/>
        <v>34854.232477892911</v>
      </c>
      <c r="GS62" s="1095">
        <f t="shared" si="11"/>
        <v>45023.861159847198</v>
      </c>
      <c r="GT62" s="1095">
        <f t="shared" si="12"/>
        <v>76783.919648158102</v>
      </c>
      <c r="GU62" s="497"/>
      <c r="GV62" s="1095">
        <f t="shared" si="106"/>
        <v>4431704.0126459626</v>
      </c>
      <c r="GW62" s="1098">
        <f t="shared" si="107"/>
        <v>0.125</v>
      </c>
      <c r="GX62" s="1095">
        <f t="shared" si="108"/>
        <v>553963.00158074533</v>
      </c>
      <c r="GY62" s="1095">
        <f t="shared" si="109"/>
        <v>30000</v>
      </c>
      <c r="GZ62" s="1095">
        <f t="shared" si="110"/>
        <v>523963.00158074533</v>
      </c>
      <c r="HA62" s="1106">
        <f t="shared" si="111"/>
        <v>48</v>
      </c>
      <c r="HB62" s="770">
        <f t="shared" si="112"/>
        <v>10915.895866265528</v>
      </c>
      <c r="HC62" s="1098">
        <f t="shared" si="113"/>
        <v>0.875</v>
      </c>
      <c r="HD62" s="1102">
        <f t="shared" si="114"/>
        <v>3877741.0110652172</v>
      </c>
      <c r="HE62" s="1101">
        <f t="shared" si="115"/>
        <v>30064.084784845218</v>
      </c>
      <c r="HF62" s="1101">
        <f t="shared" si="116"/>
        <v>34854.232477892911</v>
      </c>
      <c r="HG62" s="1101">
        <f t="shared" si="117"/>
        <v>45023.861159847198</v>
      </c>
      <c r="HH62" s="1101">
        <f t="shared" si="118"/>
        <v>76783.919648158102</v>
      </c>
      <c r="HI62" s="497"/>
      <c r="HJ62" s="1102">
        <f t="shared" si="119"/>
        <v>-7151.7938434153475</v>
      </c>
      <c r="HL62" s="775"/>
      <c r="HN62" s="775"/>
      <c r="HO62" s="775"/>
      <c r="HQ62" s="702"/>
      <c r="HR62" s="1171"/>
      <c r="HS62" s="702"/>
      <c r="HT62" s="1171"/>
    </row>
    <row r="63" spans="1:228" ht="14.25" hidden="1" customHeight="1">
      <c r="A63" s="753">
        <f t="shared" si="120"/>
        <v>57</v>
      </c>
      <c r="B63" s="753" t="s">
        <v>236</v>
      </c>
      <c r="C63" s="753">
        <f t="shared" si="121"/>
        <v>26</v>
      </c>
      <c r="D63" s="753" t="s">
        <v>253</v>
      </c>
      <c r="E63" s="717" t="str">
        <f t="shared" si="41"/>
        <v>4th Floor</v>
      </c>
      <c r="F63" s="754"/>
      <c r="G63" s="755" t="s">
        <v>381</v>
      </c>
      <c r="H63" s="756"/>
      <c r="I63" s="755" t="s">
        <v>229</v>
      </c>
      <c r="J63" s="757">
        <v>22</v>
      </c>
      <c r="K63" s="758"/>
      <c r="L63" s="759" t="s">
        <v>277</v>
      </c>
      <c r="M63" s="760" t="s">
        <v>230</v>
      </c>
      <c r="N63" s="761">
        <f t="shared" si="42"/>
        <v>106005.26567735759</v>
      </c>
      <c r="O63" s="762">
        <f t="shared" si="43"/>
        <v>2332115.8449018667</v>
      </c>
      <c r="P63" s="762">
        <f t="shared" si="44"/>
        <v>22400</v>
      </c>
      <c r="Q63" s="762">
        <f t="shared" si="14"/>
        <v>50000</v>
      </c>
      <c r="R63" s="762"/>
      <c r="S63" s="762"/>
      <c r="T63" s="762"/>
      <c r="U63" s="762"/>
      <c r="V63" s="762">
        <f t="shared" si="159"/>
        <v>55000</v>
      </c>
      <c r="W63" s="762"/>
      <c r="X63" s="762"/>
      <c r="Y63" s="762"/>
      <c r="Z63" s="762">
        <f t="shared" si="15"/>
        <v>142461</v>
      </c>
      <c r="AA63" s="762">
        <v>45722.732758620688</v>
      </c>
      <c r="AB63" s="762"/>
      <c r="AC63" s="762"/>
      <c r="AD63" s="763">
        <f t="shared" si="45"/>
        <v>315583.7327586207</v>
      </c>
      <c r="AE63" s="763">
        <f t="shared" si="16"/>
        <v>2647699.5776604875</v>
      </c>
      <c r="AF63" s="762">
        <f t="shared" si="17"/>
        <v>66192.489441512196</v>
      </c>
      <c r="AG63" s="762">
        <f t="shared" si="46"/>
        <v>2713892.0671019997</v>
      </c>
      <c r="AH63" s="762">
        <f t="shared" si="18"/>
        <v>67847.30167755</v>
      </c>
      <c r="AI63" s="762">
        <f t="shared" si="47"/>
        <v>2781739.3687795498</v>
      </c>
      <c r="AJ63" s="762">
        <f t="shared" si="48"/>
        <v>139086.96843897749</v>
      </c>
      <c r="AK63" s="762">
        <f t="shared" si="122"/>
        <v>2920826.3372185272</v>
      </c>
      <c r="AL63" s="762">
        <f t="shared" si="49"/>
        <v>29208.263372185273</v>
      </c>
      <c r="AM63" s="762">
        <f t="shared" si="50"/>
        <v>27537.409960060559</v>
      </c>
      <c r="AN63" s="762"/>
      <c r="AO63" s="763">
        <f t="shared" si="51"/>
        <v>2977572.0105507728</v>
      </c>
      <c r="AP63" s="763">
        <f t="shared" si="52"/>
        <v>491299.38174087752</v>
      </c>
      <c r="AQ63" s="763">
        <f t="shared" si="53"/>
        <v>3468871.3922916502</v>
      </c>
      <c r="AR63" s="1178">
        <f t="shared" si="19"/>
        <v>3000000</v>
      </c>
      <c r="AS63" s="1178">
        <f t="shared" si="123"/>
        <v>21312.336013256827</v>
      </c>
      <c r="AT63" s="1178">
        <f t="shared" si="54"/>
        <v>468871.39229165018</v>
      </c>
      <c r="AU63" s="1178">
        <f t="shared" si="20"/>
        <v>56264.56707499802</v>
      </c>
      <c r="AV63" s="1178">
        <f t="shared" si="55"/>
        <v>525135.95936664823</v>
      </c>
      <c r="AW63" s="1178">
        <f t="shared" si="56"/>
        <v>3525135.959366648</v>
      </c>
      <c r="AX63" s="762">
        <f t="shared" si="57"/>
        <v>44064.199492083106</v>
      </c>
      <c r="AY63" s="717" t="s">
        <v>231</v>
      </c>
      <c r="AZ63" s="717">
        <f t="shared" si="58"/>
        <v>3569200.1588587309</v>
      </c>
      <c r="BA63" s="717">
        <f t="shared" si="59"/>
        <v>133845.0059572024</v>
      </c>
      <c r="BB63" s="717"/>
      <c r="BC63" s="717">
        <f t="shared" si="21"/>
        <v>33600</v>
      </c>
      <c r="BD63" s="717">
        <f t="shared" si="60"/>
        <v>3736645.1648159334</v>
      </c>
      <c r="BE63" s="717"/>
      <c r="BF63" s="717">
        <f t="shared" si="61"/>
        <v>3736645.1648159334</v>
      </c>
      <c r="BG63" s="1209"/>
      <c r="BH63" s="717">
        <f t="shared" si="62"/>
        <v>3736645.1648159334</v>
      </c>
      <c r="BI63" s="717"/>
      <c r="BJ63" s="717">
        <f t="shared" si="63"/>
        <v>3736645.1648159334</v>
      </c>
      <c r="BK63" s="717"/>
      <c r="BL63" s="717">
        <f t="shared" si="64"/>
        <v>3736645.1648159334</v>
      </c>
      <c r="BM63" s="717"/>
      <c r="BN63" s="717">
        <f t="shared" si="65"/>
        <v>3736645.1648159334</v>
      </c>
      <c r="BO63" s="717"/>
      <c r="BP63" s="717">
        <f t="shared" si="22"/>
        <v>3736645.1648159334</v>
      </c>
      <c r="BQ63" s="717"/>
      <c r="BR63" s="717">
        <f t="shared" si="133"/>
        <v>3736645.1648159334</v>
      </c>
      <c r="BS63" s="717"/>
      <c r="BT63" s="717">
        <f t="shared" si="66"/>
        <v>3736645.1648159334</v>
      </c>
      <c r="BU63" s="717"/>
      <c r="BV63" s="1235">
        <f t="shared" si="134"/>
        <v>51400</v>
      </c>
      <c r="BW63" s="717">
        <f t="shared" si="67"/>
        <v>3788045.1648159334</v>
      </c>
      <c r="BX63" s="717"/>
      <c r="BY63" s="717">
        <f t="shared" si="68"/>
        <v>3788045.1648159334</v>
      </c>
      <c r="BZ63" s="1194">
        <f t="shared" si="69"/>
        <v>3788045.1648159334</v>
      </c>
      <c r="CA63" s="1194">
        <f t="shared" si="70"/>
        <v>3040045.1648159334</v>
      </c>
      <c r="CB63" s="1194">
        <v>34000</v>
      </c>
      <c r="CC63" s="1194">
        <f t="shared" si="71"/>
        <v>748000</v>
      </c>
      <c r="CD63" s="1194">
        <f t="shared" si="72"/>
        <v>89760</v>
      </c>
      <c r="CE63" s="1194">
        <f t="shared" si="73"/>
        <v>837760</v>
      </c>
      <c r="CF63" s="1200">
        <f t="shared" si="74"/>
        <v>3877805.1648159334</v>
      </c>
      <c r="CG63" s="757">
        <f t="shared" si="75"/>
        <v>3877805.1648159334</v>
      </c>
      <c r="CH63" s="758">
        <f t="shared" si="76"/>
        <v>0</v>
      </c>
      <c r="CI63" s="757">
        <f t="shared" si="25"/>
        <v>397475.02939363313</v>
      </c>
      <c r="CJ63" s="757">
        <f t="shared" si="26"/>
        <v>96945.129120398342</v>
      </c>
      <c r="CK63" s="759">
        <f t="shared" si="155"/>
        <v>4372225.3233299647</v>
      </c>
      <c r="CL63" s="764">
        <f t="shared" si="78"/>
        <v>0.125</v>
      </c>
      <c r="CM63" s="757">
        <f t="shared" si="79"/>
        <v>546528.16541624558</v>
      </c>
      <c r="CN63" s="757">
        <f t="shared" si="124"/>
        <v>30000</v>
      </c>
      <c r="CO63" s="757">
        <f t="shared" si="80"/>
        <v>516528.16541624558</v>
      </c>
      <c r="CP63" s="755">
        <f t="shared" si="81"/>
        <v>29</v>
      </c>
      <c r="CQ63" s="757">
        <f t="shared" si="129"/>
        <v>17811.316048836055</v>
      </c>
      <c r="CR63" s="764">
        <f t="shared" si="83"/>
        <v>0.875</v>
      </c>
      <c r="CS63" s="757">
        <f t="shared" si="84"/>
        <v>3825697.1579137193</v>
      </c>
      <c r="CT63" s="1101">
        <f t="shared" si="85"/>
        <v>29660.589345306602</v>
      </c>
      <c r="CU63" s="1101">
        <f t="shared" si="86"/>
        <v>34386.447612526325</v>
      </c>
      <c r="CV63" s="1101">
        <f t="shared" si="87"/>
        <v>44419.587895637422</v>
      </c>
      <c r="CW63" s="1141">
        <f t="shared" si="27"/>
        <v>75753.388979100506</v>
      </c>
      <c r="CX63" s="1152">
        <f t="shared" si="88"/>
        <v>310773.54017040064</v>
      </c>
      <c r="CY63" s="1152">
        <f t="shared" si="89"/>
        <v>122971.57598059779</v>
      </c>
      <c r="CZ63" s="1152">
        <f t="shared" si="90"/>
        <v>88820.627660424681</v>
      </c>
      <c r="DA63" s="1152">
        <f t="shared" si="91"/>
        <v>67596.586740087907</v>
      </c>
      <c r="DB63" s="1143">
        <f t="shared" si="28"/>
        <v>0.15629046409721672</v>
      </c>
      <c r="DC63" s="1143">
        <f t="shared" si="125"/>
        <v>0.27557485319489461</v>
      </c>
      <c r="DD63" s="1098" t="s">
        <v>232</v>
      </c>
      <c r="DE63" s="1144"/>
      <c r="DF63" s="705"/>
      <c r="DG63" s="765">
        <f t="shared" si="126"/>
        <v>46082</v>
      </c>
      <c r="DH63" s="1116">
        <f t="shared" si="29"/>
        <v>28</v>
      </c>
      <c r="DI63" s="497"/>
      <c r="DJ63" s="1117">
        <f t="shared" si="92"/>
        <v>46147</v>
      </c>
      <c r="DK63" s="1116">
        <f t="shared" si="93"/>
        <v>30</v>
      </c>
      <c r="DL63" s="766" t="s">
        <v>233</v>
      </c>
      <c r="DM63" s="766" t="s">
        <v>234</v>
      </c>
      <c r="DN63" s="767">
        <f t="shared" si="30"/>
        <v>23869.816334847648</v>
      </c>
      <c r="DO63" s="767">
        <f t="shared" si="31"/>
        <v>525135.95936664823</v>
      </c>
      <c r="DP63" s="768">
        <f t="shared" si="32"/>
        <v>0.17504531978888274</v>
      </c>
      <c r="DR63" s="767">
        <f t="shared" si="33"/>
        <v>3877805.1648159334</v>
      </c>
      <c r="DS63" s="767">
        <f>SUM('[6]INTERNAL PRICELIST'!M63)</f>
        <v>2329361</v>
      </c>
      <c r="DT63" s="767">
        <f t="shared" si="94"/>
        <v>1548444.1648159334</v>
      </c>
      <c r="DV63" s="951">
        <f t="shared" si="34"/>
        <v>176263.87112799697</v>
      </c>
      <c r="DX63" s="772">
        <v>4</v>
      </c>
      <c r="DY63" s="773" t="s">
        <v>250</v>
      </c>
      <c r="DZ63" s="774">
        <v>22</v>
      </c>
      <c r="EA63" s="775">
        <f t="shared" si="156"/>
        <v>0</v>
      </c>
      <c r="ED63" s="1133" t="s">
        <v>381</v>
      </c>
      <c r="EE63" s="777" t="b">
        <f t="shared" si="36"/>
        <v>1</v>
      </c>
      <c r="EF63" s="1123" t="s">
        <v>382</v>
      </c>
      <c r="EG63" s="1123" t="s">
        <v>336</v>
      </c>
      <c r="EH63" s="1203"/>
      <c r="EP63" s="1230" t="s">
        <v>236</v>
      </c>
      <c r="EQ63" s="1145" t="s">
        <v>236</v>
      </c>
      <c r="ER63" s="753" t="b">
        <f t="shared" si="95"/>
        <v>1</v>
      </c>
      <c r="EU63" s="770">
        <v>2123200</v>
      </c>
      <c r="EV63" s="771" t="s">
        <v>236</v>
      </c>
      <c r="EZ63" s="520"/>
      <c r="FA63" s="778"/>
      <c r="FG63" s="1107"/>
      <c r="FJ63" s="994">
        <v>0.15</v>
      </c>
      <c r="FK63" s="993">
        <v>13378.682179649855</v>
      </c>
      <c r="FL63" s="993">
        <v>13740.268184505258</v>
      </c>
      <c r="FM63" s="497"/>
      <c r="FN63" s="993">
        <f t="shared" si="38"/>
        <v>4372225.3233299647</v>
      </c>
      <c r="FO63" s="994">
        <f t="shared" si="96"/>
        <v>0.15</v>
      </c>
      <c r="FP63" s="775">
        <f t="shared" si="39"/>
        <v>655833.79849949467</v>
      </c>
      <c r="FQ63" s="993">
        <f t="shared" si="40"/>
        <v>30000</v>
      </c>
      <c r="FR63" s="775">
        <f t="shared" si="97"/>
        <v>625833.79849949467</v>
      </c>
      <c r="FS63" s="497">
        <f t="shared" si="98"/>
        <v>40</v>
      </c>
      <c r="FT63" s="775">
        <f t="shared" si="99"/>
        <v>15645.844962487367</v>
      </c>
      <c r="FU63" s="497"/>
      <c r="FV63" s="993">
        <f t="shared" si="100"/>
        <v>4372225.3233299647</v>
      </c>
      <c r="FW63" s="705">
        <f t="shared" si="101"/>
        <v>437222.53233299649</v>
      </c>
      <c r="FX63" s="705">
        <f t="shared" si="102"/>
        <v>109305.63308324912</v>
      </c>
      <c r="FY63" s="705">
        <v>15000</v>
      </c>
      <c r="FZ63" s="705">
        <f t="shared" si="103"/>
        <v>422222.53233299649</v>
      </c>
      <c r="GA63" s="497">
        <f t="shared" si="104"/>
        <v>46</v>
      </c>
      <c r="GB63" s="775">
        <f t="shared" si="105"/>
        <v>9178.7507028912278</v>
      </c>
      <c r="GC63" s="497"/>
      <c r="GD63" s="497"/>
      <c r="GE63" s="1107"/>
      <c r="GH63" s="1095">
        <f t="shared" si="0"/>
        <v>4372225.3233299647</v>
      </c>
      <c r="GI63" s="1098">
        <f t="shared" si="1"/>
        <v>0.125</v>
      </c>
      <c r="GJ63" s="1095">
        <f t="shared" si="2"/>
        <v>546528.16541624558</v>
      </c>
      <c r="GK63" s="1095">
        <f t="shared" si="3"/>
        <v>30000</v>
      </c>
      <c r="GL63" s="1095">
        <f t="shared" si="4"/>
        <v>516528.16541624558</v>
      </c>
      <c r="GM63" s="1095">
        <f t="shared" si="5"/>
        <v>29</v>
      </c>
      <c r="GN63" s="1095">
        <f t="shared" si="6"/>
        <v>17811.316048836055</v>
      </c>
      <c r="GO63" s="1098">
        <f t="shared" si="7"/>
        <v>0.875</v>
      </c>
      <c r="GP63" s="1095">
        <f t="shared" si="8"/>
        <v>3825697.1579137193</v>
      </c>
      <c r="GQ63" s="1095">
        <f t="shared" si="9"/>
        <v>29660.589345306602</v>
      </c>
      <c r="GR63" s="1095">
        <f t="shared" si="10"/>
        <v>34386.447612526325</v>
      </c>
      <c r="GS63" s="1095">
        <f t="shared" si="11"/>
        <v>44419.587895637422</v>
      </c>
      <c r="GT63" s="1095">
        <f t="shared" si="12"/>
        <v>75753.388979100506</v>
      </c>
      <c r="GU63" s="497"/>
      <c r="GV63" s="1095">
        <f t="shared" si="106"/>
        <v>4372225.3233299647</v>
      </c>
      <c r="GW63" s="1098">
        <f t="shared" si="107"/>
        <v>0.125</v>
      </c>
      <c r="GX63" s="1095">
        <f t="shared" si="108"/>
        <v>546528.16541624558</v>
      </c>
      <c r="GY63" s="1095">
        <f t="shared" si="109"/>
        <v>30000</v>
      </c>
      <c r="GZ63" s="1095">
        <f t="shared" si="110"/>
        <v>516528.16541624558</v>
      </c>
      <c r="HA63" s="1106">
        <f t="shared" si="111"/>
        <v>48</v>
      </c>
      <c r="HB63" s="770">
        <f t="shared" si="112"/>
        <v>10761.003446171782</v>
      </c>
      <c r="HC63" s="1098">
        <f t="shared" si="113"/>
        <v>0.875</v>
      </c>
      <c r="HD63" s="1102">
        <f t="shared" si="114"/>
        <v>3825697.1579137193</v>
      </c>
      <c r="HE63" s="1101">
        <f t="shared" si="115"/>
        <v>29660.589345306602</v>
      </c>
      <c r="HF63" s="1101">
        <f t="shared" si="116"/>
        <v>34386.447612526325</v>
      </c>
      <c r="HG63" s="1101">
        <f t="shared" si="117"/>
        <v>44419.587895637422</v>
      </c>
      <c r="HH63" s="1101">
        <f t="shared" si="118"/>
        <v>75753.388979100506</v>
      </c>
      <c r="HI63" s="497"/>
      <c r="HJ63" s="1102">
        <f t="shared" si="119"/>
        <v>-7050.3126026642731</v>
      </c>
      <c r="HL63" s="775"/>
      <c r="HN63" s="775"/>
      <c r="HO63" s="775"/>
      <c r="HQ63" s="702"/>
      <c r="HR63" s="1171"/>
      <c r="HS63" s="702"/>
      <c r="HT63" s="1171"/>
    </row>
    <row r="64" spans="1:228" ht="14.25" hidden="1" customHeight="1">
      <c r="A64" s="753">
        <f t="shared" si="120"/>
        <v>58</v>
      </c>
      <c r="B64" s="753" t="s">
        <v>236</v>
      </c>
      <c r="C64" s="753">
        <f t="shared" si="121"/>
        <v>27</v>
      </c>
      <c r="D64" s="753" t="s">
        <v>253</v>
      </c>
      <c r="E64" s="717" t="str">
        <f t="shared" si="41"/>
        <v>4th Floor</v>
      </c>
      <c r="F64" s="754"/>
      <c r="G64" s="755" t="s">
        <v>383</v>
      </c>
      <c r="H64" s="756"/>
      <c r="I64" s="755" t="s">
        <v>229</v>
      </c>
      <c r="J64" s="757">
        <v>22</v>
      </c>
      <c r="K64" s="758"/>
      <c r="L64" s="759" t="s">
        <v>277</v>
      </c>
      <c r="M64" s="760" t="s">
        <v>278</v>
      </c>
      <c r="N64" s="761">
        <f t="shared" si="42"/>
        <v>106005.26567735759</v>
      </c>
      <c r="O64" s="762">
        <f t="shared" si="43"/>
        <v>2332115.8449018667</v>
      </c>
      <c r="P64" s="762">
        <f t="shared" si="44"/>
        <v>22400</v>
      </c>
      <c r="Q64" s="762">
        <f t="shared" si="14"/>
        <v>50000</v>
      </c>
      <c r="R64" s="762"/>
      <c r="S64" s="762"/>
      <c r="T64" s="762"/>
      <c r="U64" s="762"/>
      <c r="V64" s="762"/>
      <c r="W64" s="762">
        <f t="shared" ref="W64:W65" si="160">J64*$W$5</f>
        <v>22000</v>
      </c>
      <c r="X64" s="762"/>
      <c r="Y64" s="762"/>
      <c r="Z64" s="762">
        <f t="shared" si="15"/>
        <v>142461</v>
      </c>
      <c r="AA64" s="762">
        <v>45722.732758620688</v>
      </c>
      <c r="AB64" s="762"/>
      <c r="AC64" s="762"/>
      <c r="AD64" s="763">
        <f t="shared" si="45"/>
        <v>282583.7327586207</v>
      </c>
      <c r="AE64" s="763">
        <f t="shared" si="16"/>
        <v>2614699.5776604875</v>
      </c>
      <c r="AF64" s="762">
        <f t="shared" si="17"/>
        <v>65367.489441512189</v>
      </c>
      <c r="AG64" s="762">
        <f t="shared" si="46"/>
        <v>2680067.0671019997</v>
      </c>
      <c r="AH64" s="762">
        <f t="shared" si="18"/>
        <v>67001.67667755</v>
      </c>
      <c r="AI64" s="762">
        <f t="shared" si="47"/>
        <v>2747068.7437795498</v>
      </c>
      <c r="AJ64" s="762">
        <f t="shared" si="48"/>
        <v>137353.43718897749</v>
      </c>
      <c r="AK64" s="762">
        <f t="shared" si="122"/>
        <v>2884422.1809685272</v>
      </c>
      <c r="AL64" s="762">
        <f t="shared" si="49"/>
        <v>28844.221809685274</v>
      </c>
      <c r="AM64" s="762">
        <f t="shared" si="50"/>
        <v>27537.409960060559</v>
      </c>
      <c r="AN64" s="762"/>
      <c r="AO64" s="763">
        <f t="shared" si="51"/>
        <v>2940803.8127382728</v>
      </c>
      <c r="AP64" s="763">
        <f t="shared" si="52"/>
        <v>485232.62910181505</v>
      </c>
      <c r="AQ64" s="763">
        <f t="shared" si="53"/>
        <v>3426036.441840088</v>
      </c>
      <c r="AR64" s="1178">
        <f t="shared" si="19"/>
        <v>3000000</v>
      </c>
      <c r="AS64" s="1178">
        <f t="shared" si="123"/>
        <v>19365.292810913092</v>
      </c>
      <c r="AT64" s="1178">
        <f t="shared" si="54"/>
        <v>426036.44184008799</v>
      </c>
      <c r="AU64" s="1178">
        <f t="shared" si="20"/>
        <v>51124.373020810555</v>
      </c>
      <c r="AV64" s="1178">
        <f t="shared" si="55"/>
        <v>477160.81486089854</v>
      </c>
      <c r="AW64" s="1178">
        <f t="shared" si="56"/>
        <v>3477160.8148608985</v>
      </c>
      <c r="AX64" s="762">
        <f t="shared" si="57"/>
        <v>43464.510185761232</v>
      </c>
      <c r="AY64" s="717" t="s">
        <v>231</v>
      </c>
      <c r="AZ64" s="717">
        <f t="shared" si="58"/>
        <v>3520625.3250466599</v>
      </c>
      <c r="BA64" s="717">
        <f t="shared" si="59"/>
        <v>132023.44968924974</v>
      </c>
      <c r="BB64" s="717"/>
      <c r="BC64" s="717">
        <f t="shared" si="21"/>
        <v>33600</v>
      </c>
      <c r="BD64" s="717">
        <f t="shared" si="60"/>
        <v>3686248.7747359099</v>
      </c>
      <c r="BE64" s="717"/>
      <c r="BF64" s="717">
        <f t="shared" si="61"/>
        <v>3686248.7747359099</v>
      </c>
      <c r="BG64" s="1209"/>
      <c r="BH64" s="717">
        <f t="shared" si="62"/>
        <v>3686248.7747359099</v>
      </c>
      <c r="BI64" s="717"/>
      <c r="BJ64" s="717">
        <f t="shared" si="63"/>
        <v>3686248.7747359099</v>
      </c>
      <c r="BK64" s="717"/>
      <c r="BL64" s="717">
        <f t="shared" si="64"/>
        <v>3686248.7747359099</v>
      </c>
      <c r="BM64" s="717"/>
      <c r="BN64" s="717">
        <f t="shared" si="65"/>
        <v>3686248.7747359099</v>
      </c>
      <c r="BO64" s="717"/>
      <c r="BP64" s="717">
        <f t="shared" si="22"/>
        <v>3686248.7747359099</v>
      </c>
      <c r="BQ64" s="717"/>
      <c r="BR64" s="717">
        <f t="shared" si="133"/>
        <v>3686248.7747359099</v>
      </c>
      <c r="BS64" s="717"/>
      <c r="BT64" s="717">
        <f t="shared" si="66"/>
        <v>3686248.7747359099</v>
      </c>
      <c r="BU64" s="717"/>
      <c r="BV64" s="1235">
        <f t="shared" si="134"/>
        <v>51400</v>
      </c>
      <c r="BW64" s="717">
        <f t="shared" si="67"/>
        <v>3737648.7747359099</v>
      </c>
      <c r="BX64" s="717"/>
      <c r="BY64" s="717">
        <f t="shared" si="68"/>
        <v>3737648.7747359099</v>
      </c>
      <c r="BZ64" s="1194">
        <f t="shared" si="69"/>
        <v>3737648.7747359099</v>
      </c>
      <c r="CA64" s="1194">
        <f t="shared" si="70"/>
        <v>3033648.7747359099</v>
      </c>
      <c r="CB64" s="1194">
        <v>32000</v>
      </c>
      <c r="CC64" s="1194">
        <f t="shared" si="71"/>
        <v>704000</v>
      </c>
      <c r="CD64" s="1194">
        <f t="shared" si="72"/>
        <v>84480</v>
      </c>
      <c r="CE64" s="1194">
        <f t="shared" si="73"/>
        <v>788480</v>
      </c>
      <c r="CF64" s="1200">
        <f t="shared" si="74"/>
        <v>3822128.7747359099</v>
      </c>
      <c r="CG64" s="757">
        <f t="shared" si="75"/>
        <v>3822128.7747359099</v>
      </c>
      <c r="CH64" s="758">
        <f t="shared" si="76"/>
        <v>0</v>
      </c>
      <c r="CI64" s="757">
        <f t="shared" si="25"/>
        <v>391768.19941043074</v>
      </c>
      <c r="CJ64" s="757">
        <f t="shared" si="26"/>
        <v>95553.219368397753</v>
      </c>
      <c r="CK64" s="759">
        <f t="shared" si="155"/>
        <v>4309450.1935147392</v>
      </c>
      <c r="CL64" s="764">
        <f t="shared" si="78"/>
        <v>0.125</v>
      </c>
      <c r="CM64" s="757">
        <f t="shared" si="79"/>
        <v>538681.2741893424</v>
      </c>
      <c r="CN64" s="757">
        <f t="shared" si="124"/>
        <v>30000</v>
      </c>
      <c r="CO64" s="757">
        <f t="shared" si="80"/>
        <v>508681.2741893424</v>
      </c>
      <c r="CP64" s="755">
        <f t="shared" si="81"/>
        <v>29</v>
      </c>
      <c r="CQ64" s="757">
        <f t="shared" si="129"/>
        <v>17540.733592735945</v>
      </c>
      <c r="CR64" s="764">
        <f t="shared" si="83"/>
        <v>0.875</v>
      </c>
      <c r="CS64" s="757">
        <f t="shared" si="84"/>
        <v>3770768.9193253969</v>
      </c>
      <c r="CT64" s="1101">
        <f t="shared" si="85"/>
        <v>29234.731296177142</v>
      </c>
      <c r="CU64" s="1101">
        <f t="shared" si="86"/>
        <v>33892.737075413213</v>
      </c>
      <c r="CV64" s="1101">
        <f t="shared" si="87"/>
        <v>43781.824470772634</v>
      </c>
      <c r="CW64" s="1141">
        <f t="shared" si="27"/>
        <v>74665.744021341437</v>
      </c>
      <c r="CX64" s="1152">
        <f t="shared" si="88"/>
        <v>306311.54475968023</v>
      </c>
      <c r="CY64" s="1152">
        <f t="shared" si="89"/>
        <v>121205.98613220325</v>
      </c>
      <c r="CZ64" s="1152">
        <f t="shared" si="90"/>
        <v>87545.367119321934</v>
      </c>
      <c r="DA64" s="1152">
        <f t="shared" si="91"/>
        <v>66626.05475834565</v>
      </c>
      <c r="DB64" s="1143">
        <f t="shared" si="28"/>
        <v>0.14201214728002934</v>
      </c>
      <c r="DC64" s="1143">
        <f t="shared" si="125"/>
        <v>0.25991143291419422</v>
      </c>
      <c r="DD64" s="1098" t="s">
        <v>232</v>
      </c>
      <c r="DE64" s="1144"/>
      <c r="DF64" s="705"/>
      <c r="DG64" s="765">
        <f t="shared" si="126"/>
        <v>46082</v>
      </c>
      <c r="DH64" s="1116">
        <f t="shared" si="29"/>
        <v>28</v>
      </c>
      <c r="DI64" s="497"/>
      <c r="DJ64" s="1117">
        <f t="shared" si="92"/>
        <v>46147</v>
      </c>
      <c r="DK64" s="1116">
        <f t="shared" si="93"/>
        <v>30</v>
      </c>
      <c r="DL64" s="766" t="s">
        <v>233</v>
      </c>
      <c r="DM64" s="766" t="s">
        <v>234</v>
      </c>
      <c r="DN64" s="767">
        <f t="shared" si="30"/>
        <v>21689.12794822266</v>
      </c>
      <c r="DO64" s="767">
        <f t="shared" si="31"/>
        <v>477160.81486089854</v>
      </c>
      <c r="DP64" s="768">
        <f t="shared" si="32"/>
        <v>0.15905360495363285</v>
      </c>
      <c r="DR64" s="767">
        <f t="shared" si="33"/>
        <v>3822128.7747359099</v>
      </c>
      <c r="DS64" s="767">
        <f>SUM('[6]INTERNAL PRICELIST'!M64)</f>
        <v>2329361</v>
      </c>
      <c r="DT64" s="767">
        <f t="shared" si="94"/>
        <v>1492767.7747359099</v>
      </c>
      <c r="DV64" s="951">
        <f t="shared" si="34"/>
        <v>173733.12612435955</v>
      </c>
      <c r="DX64" s="772">
        <v>5</v>
      </c>
      <c r="DY64" s="773" t="s">
        <v>255</v>
      </c>
      <c r="DZ64" s="774">
        <v>22</v>
      </c>
      <c r="EA64" s="775">
        <f t="shared" si="156"/>
        <v>0</v>
      </c>
      <c r="ED64" s="755" t="s">
        <v>383</v>
      </c>
      <c r="EE64" s="777" t="b">
        <f t="shared" si="36"/>
        <v>1</v>
      </c>
      <c r="EF64" s="1123" t="s">
        <v>384</v>
      </c>
      <c r="EG64" s="1123" t="s">
        <v>336</v>
      </c>
      <c r="EH64" s="1203"/>
      <c r="EP64" s="1230" t="s">
        <v>236</v>
      </c>
      <c r="EQ64" s="1145" t="s">
        <v>236</v>
      </c>
      <c r="ER64" s="753" t="b">
        <f t="shared" si="95"/>
        <v>1</v>
      </c>
      <c r="EU64" s="770">
        <v>2172480</v>
      </c>
      <c r="EV64" s="771" t="s">
        <v>236</v>
      </c>
      <c r="EZ64" s="520"/>
      <c r="FA64" s="778"/>
      <c r="FG64" s="1107"/>
      <c r="FJ64" s="994">
        <v>0.15</v>
      </c>
      <c r="FK64" s="993">
        <v>12942.297377862546</v>
      </c>
      <c r="FL64" s="993">
        <v>13292.089198885857</v>
      </c>
      <c r="FM64" s="497"/>
      <c r="FN64" s="993">
        <f t="shared" si="38"/>
        <v>4309450.1935147392</v>
      </c>
      <c r="FO64" s="994">
        <f t="shared" si="96"/>
        <v>0.15</v>
      </c>
      <c r="FP64" s="775">
        <f t="shared" si="39"/>
        <v>646417.5290272109</v>
      </c>
      <c r="FQ64" s="993">
        <f t="shared" si="40"/>
        <v>30000</v>
      </c>
      <c r="FR64" s="775">
        <f t="shared" si="97"/>
        <v>616417.5290272109</v>
      </c>
      <c r="FS64" s="497">
        <f t="shared" si="98"/>
        <v>40</v>
      </c>
      <c r="FT64" s="775">
        <f t="shared" si="99"/>
        <v>15410.438225680273</v>
      </c>
      <c r="FU64" s="497"/>
      <c r="FV64" s="993">
        <f t="shared" si="100"/>
        <v>4309450.1935147392</v>
      </c>
      <c r="FW64" s="705">
        <f t="shared" si="101"/>
        <v>430945.01935147395</v>
      </c>
      <c r="FX64" s="705">
        <f t="shared" si="102"/>
        <v>107736.25483786849</v>
      </c>
      <c r="FY64" s="705">
        <v>15000</v>
      </c>
      <c r="FZ64" s="705">
        <f t="shared" si="103"/>
        <v>415945.01935147395</v>
      </c>
      <c r="GA64" s="497">
        <f t="shared" si="104"/>
        <v>46</v>
      </c>
      <c r="GB64" s="775">
        <f t="shared" si="105"/>
        <v>9042.2830293798688</v>
      </c>
      <c r="GC64" s="497"/>
      <c r="GD64" s="497"/>
      <c r="GE64" s="1107"/>
      <c r="GH64" s="1095">
        <f t="shared" si="0"/>
        <v>4309450.1935147392</v>
      </c>
      <c r="GI64" s="1098">
        <f t="shared" si="1"/>
        <v>0.125</v>
      </c>
      <c r="GJ64" s="1095">
        <f t="shared" si="2"/>
        <v>538681.2741893424</v>
      </c>
      <c r="GK64" s="1095">
        <f t="shared" si="3"/>
        <v>30000</v>
      </c>
      <c r="GL64" s="1095">
        <f t="shared" si="4"/>
        <v>508681.2741893424</v>
      </c>
      <c r="GM64" s="1095">
        <f t="shared" si="5"/>
        <v>29</v>
      </c>
      <c r="GN64" s="1095">
        <f t="shared" si="6"/>
        <v>17540.733592735945</v>
      </c>
      <c r="GO64" s="1098">
        <f t="shared" si="7"/>
        <v>0.875</v>
      </c>
      <c r="GP64" s="1095">
        <f t="shared" si="8"/>
        <v>3770768.9193253969</v>
      </c>
      <c r="GQ64" s="1095">
        <f t="shared" si="9"/>
        <v>29234.731296177142</v>
      </c>
      <c r="GR64" s="1095">
        <f t="shared" si="10"/>
        <v>33892.737075413213</v>
      </c>
      <c r="GS64" s="1095">
        <f t="shared" si="11"/>
        <v>43781.824470772634</v>
      </c>
      <c r="GT64" s="1095">
        <f t="shared" si="12"/>
        <v>74665.744021341437</v>
      </c>
      <c r="GU64" s="497"/>
      <c r="GV64" s="1095">
        <f t="shared" si="106"/>
        <v>4309450.1935147392</v>
      </c>
      <c r="GW64" s="1098">
        <f t="shared" si="107"/>
        <v>0.125</v>
      </c>
      <c r="GX64" s="1095">
        <f t="shared" si="108"/>
        <v>538681.2741893424</v>
      </c>
      <c r="GY64" s="1095">
        <f t="shared" si="109"/>
        <v>30000</v>
      </c>
      <c r="GZ64" s="1095">
        <f t="shared" si="110"/>
        <v>508681.2741893424</v>
      </c>
      <c r="HA64" s="1106">
        <f t="shared" si="111"/>
        <v>48</v>
      </c>
      <c r="HB64" s="770">
        <f t="shared" si="112"/>
        <v>10597.526545611299</v>
      </c>
      <c r="HC64" s="1098">
        <f t="shared" si="113"/>
        <v>0.875</v>
      </c>
      <c r="HD64" s="1102">
        <f t="shared" si="114"/>
        <v>3770768.9193253969</v>
      </c>
      <c r="HE64" s="1101">
        <f t="shared" si="115"/>
        <v>29234.731296177142</v>
      </c>
      <c r="HF64" s="1101">
        <f t="shared" si="116"/>
        <v>33892.737075413213</v>
      </c>
      <c r="HG64" s="1101">
        <f t="shared" si="117"/>
        <v>43781.824470772634</v>
      </c>
      <c r="HH64" s="1101">
        <f t="shared" si="118"/>
        <v>74665.744021341437</v>
      </c>
      <c r="HI64" s="497"/>
      <c r="HJ64" s="1102">
        <f t="shared" si="119"/>
        <v>-6943.2070471246461</v>
      </c>
      <c r="HL64" s="775"/>
      <c r="HN64" s="775"/>
      <c r="HO64" s="775"/>
      <c r="HQ64" s="702"/>
      <c r="HR64" s="1171"/>
      <c r="HS64" s="702"/>
      <c r="HT64" s="1171"/>
    </row>
    <row r="65" spans="1:228" ht="14.25" hidden="1" customHeight="1">
      <c r="A65" s="753">
        <f t="shared" si="120"/>
        <v>59</v>
      </c>
      <c r="B65" s="753" t="s">
        <v>236</v>
      </c>
      <c r="C65" s="753">
        <f t="shared" si="121"/>
        <v>28</v>
      </c>
      <c r="D65" s="753" t="s">
        <v>253</v>
      </c>
      <c r="E65" s="717" t="str">
        <f t="shared" si="41"/>
        <v>4th Floor</v>
      </c>
      <c r="F65" s="754"/>
      <c r="G65" s="755" t="s">
        <v>385</v>
      </c>
      <c r="H65" s="756"/>
      <c r="I65" s="755" t="s">
        <v>229</v>
      </c>
      <c r="J65" s="757">
        <v>22</v>
      </c>
      <c r="K65" s="758"/>
      <c r="L65" s="759" t="s">
        <v>277</v>
      </c>
      <c r="M65" s="760" t="s">
        <v>278</v>
      </c>
      <c r="N65" s="761">
        <f t="shared" si="42"/>
        <v>106005.26567735759</v>
      </c>
      <c r="O65" s="762">
        <f t="shared" si="43"/>
        <v>2332115.8449018667</v>
      </c>
      <c r="P65" s="762">
        <f t="shared" si="44"/>
        <v>22400</v>
      </c>
      <c r="Q65" s="762">
        <f t="shared" si="14"/>
        <v>50000</v>
      </c>
      <c r="R65" s="762"/>
      <c r="S65" s="762"/>
      <c r="T65" s="762"/>
      <c r="U65" s="762"/>
      <c r="V65" s="762"/>
      <c r="W65" s="762">
        <f t="shared" si="160"/>
        <v>22000</v>
      </c>
      <c r="X65" s="762"/>
      <c r="Y65" s="762"/>
      <c r="Z65" s="762">
        <f t="shared" si="15"/>
        <v>142461</v>
      </c>
      <c r="AA65" s="762">
        <v>45722.732758620688</v>
      </c>
      <c r="AB65" s="762"/>
      <c r="AC65" s="762"/>
      <c r="AD65" s="763">
        <f t="shared" si="45"/>
        <v>282583.7327586207</v>
      </c>
      <c r="AE65" s="763">
        <f t="shared" si="16"/>
        <v>2614699.5776604875</v>
      </c>
      <c r="AF65" s="762">
        <f t="shared" si="17"/>
        <v>65367.489441512189</v>
      </c>
      <c r="AG65" s="762">
        <f t="shared" si="46"/>
        <v>2680067.0671019997</v>
      </c>
      <c r="AH65" s="762">
        <f t="shared" si="18"/>
        <v>67001.67667755</v>
      </c>
      <c r="AI65" s="762">
        <f t="shared" si="47"/>
        <v>2747068.7437795498</v>
      </c>
      <c r="AJ65" s="762">
        <f t="shared" si="48"/>
        <v>137353.43718897749</v>
      </c>
      <c r="AK65" s="762">
        <f t="shared" si="122"/>
        <v>2884422.1809685272</v>
      </c>
      <c r="AL65" s="762">
        <f t="shared" si="49"/>
        <v>28844.221809685274</v>
      </c>
      <c r="AM65" s="762">
        <f t="shared" si="50"/>
        <v>27537.409960060559</v>
      </c>
      <c r="AN65" s="762"/>
      <c r="AO65" s="763">
        <f t="shared" si="51"/>
        <v>2940803.8127382728</v>
      </c>
      <c r="AP65" s="763">
        <f t="shared" si="52"/>
        <v>485232.62910181505</v>
      </c>
      <c r="AQ65" s="763">
        <f t="shared" si="53"/>
        <v>3426036.441840088</v>
      </c>
      <c r="AR65" s="1178">
        <f t="shared" si="19"/>
        <v>3000000</v>
      </c>
      <c r="AS65" s="1178">
        <f t="shared" si="123"/>
        <v>19365.292810913092</v>
      </c>
      <c r="AT65" s="1178">
        <f t="shared" si="54"/>
        <v>426036.44184008799</v>
      </c>
      <c r="AU65" s="1178">
        <f t="shared" si="20"/>
        <v>51124.373020810555</v>
      </c>
      <c r="AV65" s="1178">
        <f t="shared" si="55"/>
        <v>477160.81486089854</v>
      </c>
      <c r="AW65" s="1178">
        <f t="shared" si="56"/>
        <v>3477160.8148608985</v>
      </c>
      <c r="AX65" s="762">
        <f t="shared" si="57"/>
        <v>43464.510185761232</v>
      </c>
      <c r="AY65" s="717" t="s">
        <v>231</v>
      </c>
      <c r="AZ65" s="717">
        <f t="shared" si="58"/>
        <v>3520625.3250466599</v>
      </c>
      <c r="BA65" s="717">
        <f t="shared" si="59"/>
        <v>132023.44968924974</v>
      </c>
      <c r="BB65" s="717"/>
      <c r="BC65" s="717">
        <f t="shared" si="21"/>
        <v>33600</v>
      </c>
      <c r="BD65" s="717">
        <f t="shared" si="60"/>
        <v>3686248.7747359099</v>
      </c>
      <c r="BE65" s="717"/>
      <c r="BF65" s="717">
        <f t="shared" si="61"/>
        <v>3686248.7747359099</v>
      </c>
      <c r="BG65" s="1209"/>
      <c r="BH65" s="717">
        <f t="shared" si="62"/>
        <v>3686248.7747359099</v>
      </c>
      <c r="BI65" s="717"/>
      <c r="BJ65" s="717">
        <f t="shared" si="63"/>
        <v>3686248.7747359099</v>
      </c>
      <c r="BK65" s="717"/>
      <c r="BL65" s="717">
        <f t="shared" si="64"/>
        <v>3686248.7747359099</v>
      </c>
      <c r="BM65" s="717"/>
      <c r="BN65" s="717">
        <f t="shared" si="65"/>
        <v>3686248.7747359099</v>
      </c>
      <c r="BO65" s="717"/>
      <c r="BP65" s="717">
        <f t="shared" si="22"/>
        <v>3686248.7747359099</v>
      </c>
      <c r="BQ65" s="717"/>
      <c r="BR65" s="717">
        <f t="shared" si="133"/>
        <v>3686248.7747359099</v>
      </c>
      <c r="BS65" s="717"/>
      <c r="BT65" s="717">
        <f t="shared" si="66"/>
        <v>3686248.7747359099</v>
      </c>
      <c r="BU65" s="717"/>
      <c r="BV65" s="1235">
        <f t="shared" si="134"/>
        <v>51400</v>
      </c>
      <c r="BW65" s="717">
        <f t="shared" si="67"/>
        <v>3737648.7747359099</v>
      </c>
      <c r="BX65" s="717"/>
      <c r="BY65" s="717">
        <f t="shared" si="68"/>
        <v>3737648.7747359099</v>
      </c>
      <c r="BZ65" s="1194">
        <f t="shared" si="69"/>
        <v>3737648.7747359099</v>
      </c>
      <c r="CA65" s="1194">
        <f t="shared" si="70"/>
        <v>3033648.7747359099</v>
      </c>
      <c r="CB65" s="1194">
        <v>32000</v>
      </c>
      <c r="CC65" s="1194">
        <f t="shared" si="71"/>
        <v>704000</v>
      </c>
      <c r="CD65" s="1194">
        <f t="shared" si="72"/>
        <v>84480</v>
      </c>
      <c r="CE65" s="1194">
        <f t="shared" si="73"/>
        <v>788480</v>
      </c>
      <c r="CF65" s="1200">
        <f t="shared" si="74"/>
        <v>3822128.7747359099</v>
      </c>
      <c r="CG65" s="757">
        <f t="shared" si="75"/>
        <v>3822128.7747359099</v>
      </c>
      <c r="CH65" s="758">
        <f t="shared" si="76"/>
        <v>0</v>
      </c>
      <c r="CI65" s="757">
        <f t="shared" si="25"/>
        <v>391768.19941043074</v>
      </c>
      <c r="CJ65" s="757">
        <f t="shared" si="26"/>
        <v>95553.219368397753</v>
      </c>
      <c r="CK65" s="759">
        <f t="shared" si="155"/>
        <v>4309450.1935147392</v>
      </c>
      <c r="CL65" s="764">
        <f t="shared" si="78"/>
        <v>0.125</v>
      </c>
      <c r="CM65" s="757">
        <f t="shared" si="79"/>
        <v>538681.2741893424</v>
      </c>
      <c r="CN65" s="757">
        <f t="shared" si="124"/>
        <v>30000</v>
      </c>
      <c r="CO65" s="757">
        <f t="shared" si="80"/>
        <v>508681.2741893424</v>
      </c>
      <c r="CP65" s="755">
        <f t="shared" si="81"/>
        <v>29</v>
      </c>
      <c r="CQ65" s="757">
        <f t="shared" si="129"/>
        <v>17540.733592735945</v>
      </c>
      <c r="CR65" s="764">
        <f t="shared" si="83"/>
        <v>0.875</v>
      </c>
      <c r="CS65" s="757">
        <f t="shared" si="84"/>
        <v>3770768.9193253969</v>
      </c>
      <c r="CT65" s="1101">
        <f t="shared" si="85"/>
        <v>29234.731296177142</v>
      </c>
      <c r="CU65" s="1101">
        <f t="shared" si="86"/>
        <v>33892.737075413213</v>
      </c>
      <c r="CV65" s="1101">
        <f t="shared" si="87"/>
        <v>43781.824470772634</v>
      </c>
      <c r="CW65" s="1141">
        <f t="shared" si="27"/>
        <v>74665.744021341437</v>
      </c>
      <c r="CX65" s="1152">
        <f t="shared" si="88"/>
        <v>306311.54475968023</v>
      </c>
      <c r="CY65" s="1152">
        <f t="shared" si="89"/>
        <v>121205.98613220325</v>
      </c>
      <c r="CZ65" s="1152">
        <f t="shared" si="90"/>
        <v>87545.367119321934</v>
      </c>
      <c r="DA65" s="1152">
        <f t="shared" si="91"/>
        <v>66626.05475834565</v>
      </c>
      <c r="DB65" s="1143">
        <f t="shared" si="28"/>
        <v>0.14201214728002934</v>
      </c>
      <c r="DC65" s="1143">
        <f t="shared" si="125"/>
        <v>0.25991143291419422</v>
      </c>
      <c r="DD65" s="1098" t="s">
        <v>232</v>
      </c>
      <c r="DE65" s="1144"/>
      <c r="DF65" s="705"/>
      <c r="DG65" s="765">
        <f t="shared" si="126"/>
        <v>46082</v>
      </c>
      <c r="DH65" s="1116">
        <f t="shared" si="29"/>
        <v>28</v>
      </c>
      <c r="DI65" s="497"/>
      <c r="DJ65" s="1117">
        <f t="shared" si="92"/>
        <v>46147</v>
      </c>
      <c r="DK65" s="1116">
        <f t="shared" si="93"/>
        <v>30</v>
      </c>
      <c r="DL65" s="766" t="s">
        <v>233</v>
      </c>
      <c r="DM65" s="766" t="s">
        <v>234</v>
      </c>
      <c r="DN65" s="767">
        <f t="shared" si="30"/>
        <v>21689.12794822266</v>
      </c>
      <c r="DO65" s="767">
        <f t="shared" si="31"/>
        <v>477160.81486089854</v>
      </c>
      <c r="DP65" s="768">
        <f t="shared" si="32"/>
        <v>0.15905360495363285</v>
      </c>
      <c r="DR65" s="767">
        <f t="shared" si="33"/>
        <v>3822128.7747359099</v>
      </c>
      <c r="DS65" s="767">
        <f>SUM('[6]INTERNAL PRICELIST'!M65)</f>
        <v>2329361</v>
      </c>
      <c r="DT65" s="767">
        <f t="shared" si="94"/>
        <v>1492767.7747359099</v>
      </c>
      <c r="DV65" s="951">
        <f t="shared" si="34"/>
        <v>173733.12612435955</v>
      </c>
      <c r="DX65" s="773">
        <v>6</v>
      </c>
      <c r="DY65" s="773" t="s">
        <v>262</v>
      </c>
      <c r="DZ65" s="774">
        <v>22</v>
      </c>
      <c r="EA65" s="775">
        <f t="shared" si="156"/>
        <v>0</v>
      </c>
      <c r="ED65" s="755" t="s">
        <v>385</v>
      </c>
      <c r="EE65" s="777" t="b">
        <f t="shared" si="36"/>
        <v>1</v>
      </c>
      <c r="EF65" s="1123" t="s">
        <v>386</v>
      </c>
      <c r="EG65" s="1123" t="s">
        <v>336</v>
      </c>
      <c r="EH65" s="1203"/>
      <c r="EP65" s="1230" t="s">
        <v>236</v>
      </c>
      <c r="EQ65" s="1145" t="s">
        <v>236</v>
      </c>
      <c r="ER65" s="753" t="b">
        <f t="shared" si="95"/>
        <v>1</v>
      </c>
      <c r="EU65" s="770">
        <v>2123200</v>
      </c>
      <c r="EV65" s="771" t="s">
        <v>236</v>
      </c>
      <c r="EZ65" s="520"/>
      <c r="FA65" s="778"/>
      <c r="FG65" s="1107"/>
      <c r="FJ65" s="994">
        <v>0.15</v>
      </c>
      <c r="FK65" s="993">
        <v>12942.297377862546</v>
      </c>
      <c r="FL65" s="993">
        <v>13292.089198885857</v>
      </c>
      <c r="FM65" s="497"/>
      <c r="FN65" s="993">
        <f t="shared" si="38"/>
        <v>4309450.1935147392</v>
      </c>
      <c r="FO65" s="994">
        <f t="shared" si="96"/>
        <v>0.15</v>
      </c>
      <c r="FP65" s="775">
        <f t="shared" si="39"/>
        <v>646417.5290272109</v>
      </c>
      <c r="FQ65" s="993">
        <f t="shared" si="40"/>
        <v>30000</v>
      </c>
      <c r="FR65" s="775">
        <f t="shared" si="97"/>
        <v>616417.5290272109</v>
      </c>
      <c r="FS65" s="497">
        <f t="shared" si="98"/>
        <v>40</v>
      </c>
      <c r="FT65" s="775">
        <f t="shared" si="99"/>
        <v>15410.438225680273</v>
      </c>
      <c r="FU65" s="497"/>
      <c r="FV65" s="993">
        <f t="shared" si="100"/>
        <v>4309450.1935147392</v>
      </c>
      <c r="FW65" s="705">
        <f t="shared" si="101"/>
        <v>430945.01935147395</v>
      </c>
      <c r="FX65" s="705">
        <f t="shared" si="102"/>
        <v>107736.25483786849</v>
      </c>
      <c r="FY65" s="705">
        <v>15000</v>
      </c>
      <c r="FZ65" s="705">
        <f t="shared" si="103"/>
        <v>415945.01935147395</v>
      </c>
      <c r="GA65" s="497">
        <f t="shared" si="104"/>
        <v>46</v>
      </c>
      <c r="GB65" s="775">
        <f t="shared" si="105"/>
        <v>9042.2830293798688</v>
      </c>
      <c r="GC65" s="497"/>
      <c r="GD65" s="497"/>
      <c r="GE65" s="1107"/>
      <c r="GH65" s="1095">
        <f t="shared" si="0"/>
        <v>4309450.1935147392</v>
      </c>
      <c r="GI65" s="1098">
        <f t="shared" si="1"/>
        <v>0.125</v>
      </c>
      <c r="GJ65" s="1095">
        <f t="shared" si="2"/>
        <v>538681.2741893424</v>
      </c>
      <c r="GK65" s="1095">
        <f t="shared" si="3"/>
        <v>30000</v>
      </c>
      <c r="GL65" s="1095">
        <f t="shared" si="4"/>
        <v>508681.2741893424</v>
      </c>
      <c r="GM65" s="1095">
        <f t="shared" si="5"/>
        <v>29</v>
      </c>
      <c r="GN65" s="1095">
        <f t="shared" si="6"/>
        <v>17540.733592735945</v>
      </c>
      <c r="GO65" s="1098">
        <f t="shared" si="7"/>
        <v>0.875</v>
      </c>
      <c r="GP65" s="1095">
        <f t="shared" si="8"/>
        <v>3770768.9193253969</v>
      </c>
      <c r="GQ65" s="1095">
        <f t="shared" si="9"/>
        <v>29234.731296177142</v>
      </c>
      <c r="GR65" s="1095">
        <f t="shared" si="10"/>
        <v>33892.737075413213</v>
      </c>
      <c r="GS65" s="1095">
        <f t="shared" si="11"/>
        <v>43781.824470772634</v>
      </c>
      <c r="GT65" s="1095">
        <f t="shared" si="12"/>
        <v>74665.744021341437</v>
      </c>
      <c r="GU65" s="497"/>
      <c r="GV65" s="1095">
        <f t="shared" si="106"/>
        <v>4309450.1935147392</v>
      </c>
      <c r="GW65" s="1098">
        <f t="shared" si="107"/>
        <v>0.125</v>
      </c>
      <c r="GX65" s="1095">
        <f t="shared" si="108"/>
        <v>538681.2741893424</v>
      </c>
      <c r="GY65" s="1095">
        <f t="shared" si="109"/>
        <v>30000</v>
      </c>
      <c r="GZ65" s="1095">
        <f t="shared" si="110"/>
        <v>508681.2741893424</v>
      </c>
      <c r="HA65" s="1106">
        <f t="shared" si="111"/>
        <v>48</v>
      </c>
      <c r="HB65" s="770">
        <f t="shared" si="112"/>
        <v>10597.526545611299</v>
      </c>
      <c r="HC65" s="1098">
        <f t="shared" si="113"/>
        <v>0.875</v>
      </c>
      <c r="HD65" s="1102">
        <f t="shared" si="114"/>
        <v>3770768.9193253969</v>
      </c>
      <c r="HE65" s="1101">
        <f t="shared" si="115"/>
        <v>29234.731296177142</v>
      </c>
      <c r="HF65" s="1101">
        <f t="shared" si="116"/>
        <v>33892.737075413213</v>
      </c>
      <c r="HG65" s="1101">
        <f t="shared" si="117"/>
        <v>43781.824470772634</v>
      </c>
      <c r="HH65" s="1101">
        <f t="shared" si="118"/>
        <v>74665.744021341437</v>
      </c>
      <c r="HI65" s="497"/>
      <c r="HJ65" s="1102">
        <f t="shared" si="119"/>
        <v>-6943.2070471246461</v>
      </c>
      <c r="HL65" s="775"/>
      <c r="HN65" s="775"/>
      <c r="HO65" s="775"/>
      <c r="HQ65" s="702"/>
      <c r="HR65" s="1171"/>
      <c r="HS65" s="702"/>
      <c r="HT65" s="1171"/>
    </row>
    <row r="66" spans="1:228" ht="14.25" customHeight="1">
      <c r="A66" s="753">
        <f t="shared" si="120"/>
        <v>60</v>
      </c>
      <c r="B66" s="753" t="s">
        <v>236</v>
      </c>
      <c r="C66" s="753">
        <f t="shared" si="121"/>
        <v>29</v>
      </c>
      <c r="D66" s="753" t="s">
        <v>253</v>
      </c>
      <c r="E66" s="717" t="str">
        <f t="shared" si="41"/>
        <v>4th Floor</v>
      </c>
      <c r="F66" s="754"/>
      <c r="G66" s="755" t="s">
        <v>387</v>
      </c>
      <c r="H66" s="756"/>
      <c r="I66" s="755" t="s">
        <v>229</v>
      </c>
      <c r="J66" s="757">
        <v>22</v>
      </c>
      <c r="K66" s="758"/>
      <c r="L66" s="759" t="s">
        <v>277</v>
      </c>
      <c r="M66" s="760" t="s">
        <v>68</v>
      </c>
      <c r="N66" s="761">
        <f t="shared" si="42"/>
        <v>106005.26567735759</v>
      </c>
      <c r="O66" s="762">
        <f t="shared" si="43"/>
        <v>2332115.8449018667</v>
      </c>
      <c r="P66" s="762">
        <f t="shared" si="44"/>
        <v>22400</v>
      </c>
      <c r="Q66" s="762">
        <f t="shared" si="14"/>
        <v>50000</v>
      </c>
      <c r="R66" s="762"/>
      <c r="S66" s="762"/>
      <c r="T66" s="762"/>
      <c r="U66" s="762"/>
      <c r="V66" s="762"/>
      <c r="W66" s="762"/>
      <c r="X66" s="762"/>
      <c r="Y66" s="762"/>
      <c r="Z66" s="762">
        <f t="shared" si="15"/>
        <v>142461</v>
      </c>
      <c r="AA66" s="762">
        <v>49222.732758620703</v>
      </c>
      <c r="AB66" s="762"/>
      <c r="AC66" s="762"/>
      <c r="AD66" s="763">
        <f t="shared" si="45"/>
        <v>264083.7327586207</v>
      </c>
      <c r="AE66" s="763">
        <f t="shared" si="16"/>
        <v>2596199.5776604875</v>
      </c>
      <c r="AF66" s="762">
        <f t="shared" si="17"/>
        <v>64904.989441512189</v>
      </c>
      <c r="AG66" s="762">
        <f t="shared" si="46"/>
        <v>2661104.5671019997</v>
      </c>
      <c r="AH66" s="762">
        <f t="shared" si="18"/>
        <v>66527.61417755</v>
      </c>
      <c r="AI66" s="762">
        <f t="shared" si="47"/>
        <v>2727632.1812795498</v>
      </c>
      <c r="AJ66" s="762">
        <f t="shared" si="48"/>
        <v>136381.60906397749</v>
      </c>
      <c r="AK66" s="762">
        <f t="shared" si="122"/>
        <v>2864013.7903435272</v>
      </c>
      <c r="AL66" s="762">
        <f>AK66*AL$5+29772.4420833333</f>
        <v>58412.579986768571</v>
      </c>
      <c r="AM66" s="762">
        <f t="shared" si="50"/>
        <v>27537.409960060559</v>
      </c>
      <c r="AN66" s="762"/>
      <c r="AO66" s="763">
        <f t="shared" si="51"/>
        <v>2949963.7802903564</v>
      </c>
      <c r="AP66" s="763">
        <f t="shared" si="52"/>
        <v>486744.02374790882</v>
      </c>
      <c r="AQ66" s="763">
        <f t="shared" si="53"/>
        <v>3436707.8040382653</v>
      </c>
      <c r="AR66" s="1178">
        <f t="shared" si="19"/>
        <v>3000000</v>
      </c>
      <c r="AS66" s="1178">
        <f t="shared" si="123"/>
        <v>19850.354729012059</v>
      </c>
      <c r="AT66" s="1178">
        <f t="shared" si="54"/>
        <v>436707.80403826525</v>
      </c>
      <c r="AU66" s="1178">
        <f t="shared" si="20"/>
        <v>52404.936484591832</v>
      </c>
      <c r="AV66" s="1178">
        <f t="shared" si="55"/>
        <v>489112.74052285706</v>
      </c>
      <c r="AW66" s="1178">
        <f t="shared" si="56"/>
        <v>3489112.7405228573</v>
      </c>
      <c r="AX66" s="762">
        <f t="shared" si="57"/>
        <v>43613.90925653572</v>
      </c>
      <c r="AY66" s="717">
        <v>7575.3956645161297</v>
      </c>
      <c r="AZ66" s="717">
        <f t="shared" si="58"/>
        <v>3540302.0454439088</v>
      </c>
      <c r="BA66" s="717">
        <f t="shared" si="59"/>
        <v>132761.32670414657</v>
      </c>
      <c r="BB66" s="717"/>
      <c r="BC66" s="717">
        <f t="shared" si="21"/>
        <v>33600</v>
      </c>
      <c r="BD66" s="717">
        <f t="shared" si="60"/>
        <v>3706663.3721480556</v>
      </c>
      <c r="BE66" s="717">
        <v>18367.830916129038</v>
      </c>
      <c r="BF66" s="717">
        <f t="shared" si="61"/>
        <v>3725031.2030641846</v>
      </c>
      <c r="BG66" s="1209"/>
      <c r="BH66" s="717">
        <f t="shared" si="62"/>
        <v>3725031.2030641846</v>
      </c>
      <c r="BI66" s="717">
        <v>718.43902439024396</v>
      </c>
      <c r="BJ66" s="717">
        <f t="shared" si="63"/>
        <v>3725749.6420885748</v>
      </c>
      <c r="BK66" s="717"/>
      <c r="BL66" s="717">
        <f t="shared" si="64"/>
        <v>3725749.6420885748</v>
      </c>
      <c r="BM66" s="717">
        <f>$BM$5/41</f>
        <v>1038.0487804878051</v>
      </c>
      <c r="BN66" s="717">
        <f t="shared" si="65"/>
        <v>3726787.6908690627</v>
      </c>
      <c r="BO66" s="717">
        <f>$BO$5/51</f>
        <v>7289.0781490196077</v>
      </c>
      <c r="BP66" s="717">
        <f t="shared" si="22"/>
        <v>3734076.7690180824</v>
      </c>
      <c r="BQ66" s="717">
        <f>$BQ$5/56</f>
        <v>4468.4242000000004</v>
      </c>
      <c r="BR66" s="717">
        <f t="shared" si="133"/>
        <v>3738545.1932180822</v>
      </c>
      <c r="BS66" s="1234">
        <f>$BS$5/64</f>
        <v>2651.4786794501206</v>
      </c>
      <c r="BT66" s="1235">
        <f t="shared" si="66"/>
        <v>3741196.6718975324</v>
      </c>
      <c r="BU66" s="1235">
        <f>$BU$5/65</f>
        <v>211.07692307692309</v>
      </c>
      <c r="BV66" s="1235">
        <f t="shared" si="134"/>
        <v>51400</v>
      </c>
      <c r="BW66" s="717">
        <f t="shared" si="67"/>
        <v>3792807.7488206094</v>
      </c>
      <c r="BX66" s="1234">
        <f t="shared" si="147"/>
        <v>27651.078536278128</v>
      </c>
      <c r="BY66" s="717">
        <f t="shared" si="68"/>
        <v>3820458.8273568875</v>
      </c>
      <c r="BZ66" s="1194">
        <f t="shared" si="69"/>
        <v>3820458.8273568875</v>
      </c>
      <c r="CA66" s="1194">
        <f t="shared" si="70"/>
        <v>2940458.8273568875</v>
      </c>
      <c r="CB66" s="1194">
        <f>$CB$5</f>
        <v>40000</v>
      </c>
      <c r="CC66" s="1194">
        <f t="shared" si="71"/>
        <v>880000</v>
      </c>
      <c r="CD66" s="1194">
        <f t="shared" si="72"/>
        <v>105600</v>
      </c>
      <c r="CE66" s="1194">
        <f t="shared" si="73"/>
        <v>985600</v>
      </c>
      <c r="CF66" s="1200">
        <f t="shared" si="74"/>
        <v>3926058.8273568875</v>
      </c>
      <c r="CG66" s="757">
        <f t="shared" si="75"/>
        <v>3926058.8273568875</v>
      </c>
      <c r="CH66" s="758">
        <f t="shared" si="76"/>
        <v>0</v>
      </c>
      <c r="CI66" s="757">
        <f t="shared" si="25"/>
        <v>402421.02980408096</v>
      </c>
      <c r="CJ66" s="757">
        <f t="shared" si="26"/>
        <v>98151.470683922191</v>
      </c>
      <c r="CK66" s="759">
        <f t="shared" si="155"/>
        <v>4426631.3278448908</v>
      </c>
      <c r="CL66" s="764">
        <f t="shared" si="78"/>
        <v>0.125</v>
      </c>
      <c r="CM66" s="757">
        <f t="shared" si="79"/>
        <v>553328.91598061135</v>
      </c>
      <c r="CN66" s="757">
        <f t="shared" si="124"/>
        <v>30000</v>
      </c>
      <c r="CO66" s="757">
        <f t="shared" si="80"/>
        <v>523328.91598061135</v>
      </c>
      <c r="CP66" s="755">
        <f t="shared" si="81"/>
        <v>29</v>
      </c>
      <c r="CQ66" s="757">
        <f t="shared" si="129"/>
        <v>18045.824688986599</v>
      </c>
      <c r="CR66" s="764">
        <f t="shared" si="83"/>
        <v>0.875</v>
      </c>
      <c r="CS66" s="757">
        <f t="shared" si="84"/>
        <v>3873302.4118642793</v>
      </c>
      <c r="CT66" s="1101">
        <f t="shared" si="85"/>
        <v>30029.672372483958</v>
      </c>
      <c r="CU66" s="1101">
        <f t="shared" si="86"/>
        <v>34814.337093445058</v>
      </c>
      <c r="CV66" s="1101">
        <f t="shared" si="87"/>
        <v>44972.325259539015</v>
      </c>
      <c r="CW66" s="1141">
        <f t="shared" si="27"/>
        <v>76696.030064139311</v>
      </c>
      <c r="CX66" s="1152">
        <f t="shared" si="88"/>
        <v>314640.66626278439</v>
      </c>
      <c r="CY66" s="1152">
        <f t="shared" si="89"/>
        <v>124501.77893750131</v>
      </c>
      <c r="CZ66" s="1152">
        <f t="shared" si="90"/>
        <v>89925.871583633838</v>
      </c>
      <c r="DA66" s="1152">
        <f t="shared" si="91"/>
        <v>68437.728248452317</v>
      </c>
      <c r="DB66" s="1143">
        <f t="shared" si="28"/>
        <v>0.14556926801275508</v>
      </c>
      <c r="DC66" s="1143">
        <f t="shared" si="125"/>
        <v>0.33518578489532319</v>
      </c>
      <c r="DD66" s="1098" t="s">
        <v>232</v>
      </c>
      <c r="DE66" s="1144"/>
      <c r="DF66" s="705"/>
      <c r="DG66" s="765">
        <f t="shared" si="126"/>
        <v>46082</v>
      </c>
      <c r="DH66" s="1116">
        <f t="shared" si="29"/>
        <v>28</v>
      </c>
      <c r="DI66" s="497"/>
      <c r="DJ66" s="1117">
        <f t="shared" si="92"/>
        <v>46147</v>
      </c>
      <c r="DK66" s="1116">
        <f t="shared" si="93"/>
        <v>30</v>
      </c>
      <c r="DL66" s="766" t="s">
        <v>233</v>
      </c>
      <c r="DM66" s="766" t="s">
        <v>234</v>
      </c>
      <c r="DN66" s="767">
        <f t="shared" si="30"/>
        <v>22232.397296493502</v>
      </c>
      <c r="DO66" s="767">
        <f t="shared" si="31"/>
        <v>489112.74052285706</v>
      </c>
      <c r="DP66" s="768">
        <f t="shared" si="32"/>
        <v>0.16303758017428568</v>
      </c>
      <c r="DR66" s="767">
        <f t="shared" si="33"/>
        <v>3926058.8273568875</v>
      </c>
      <c r="DS66" s="767">
        <f>SUM('[6]INTERNAL PRICELIST'!M66)</f>
        <v>2329361</v>
      </c>
      <c r="DT66" s="767">
        <f t="shared" si="94"/>
        <v>1596697.8273568875</v>
      </c>
      <c r="DV66" s="951">
        <f t="shared" si="34"/>
        <v>178457.21942531306</v>
      </c>
      <c r="DX66" s="772">
        <v>7</v>
      </c>
      <c r="DY66" s="773" t="s">
        <v>267</v>
      </c>
      <c r="DZ66" s="774">
        <v>22</v>
      </c>
      <c r="EA66" s="775">
        <f t="shared" si="156"/>
        <v>0</v>
      </c>
      <c r="ED66" s="755" t="s">
        <v>387</v>
      </c>
      <c r="EE66" s="777" t="b">
        <f t="shared" si="36"/>
        <v>1</v>
      </c>
      <c r="EF66" s="1123" t="s">
        <v>388</v>
      </c>
      <c r="EG66" s="1123" t="s">
        <v>336</v>
      </c>
      <c r="EH66" s="1203"/>
      <c r="EP66" s="1230" t="s">
        <v>258</v>
      </c>
      <c r="EQ66" s="1145" t="s">
        <v>258</v>
      </c>
      <c r="ER66" s="753" t="b">
        <f t="shared" si="95"/>
        <v>1</v>
      </c>
      <c r="EU66" s="770">
        <v>2360460</v>
      </c>
      <c r="EV66" s="771" t="s">
        <v>236</v>
      </c>
      <c r="EZ66" s="520"/>
      <c r="FA66" s="778"/>
      <c r="FG66" s="1107"/>
      <c r="FJ66" s="994">
        <v>0.15</v>
      </c>
      <c r="FK66" s="993">
        <v>12820.110851026688</v>
      </c>
      <c r="FL66" s="993">
        <v>13166.600333486867</v>
      </c>
      <c r="FM66" s="497"/>
      <c r="FN66" s="993">
        <f t="shared" si="38"/>
        <v>4426631.3278448908</v>
      </c>
      <c r="FO66" s="994">
        <f t="shared" si="96"/>
        <v>0.15</v>
      </c>
      <c r="FP66" s="775">
        <f t="shared" si="39"/>
        <v>663994.69917673361</v>
      </c>
      <c r="FQ66" s="993">
        <f t="shared" si="40"/>
        <v>30000</v>
      </c>
      <c r="FR66" s="775">
        <f t="shared" si="97"/>
        <v>633994.69917673361</v>
      </c>
      <c r="FS66" s="497">
        <f t="shared" si="98"/>
        <v>40</v>
      </c>
      <c r="FT66" s="775">
        <f t="shared" si="99"/>
        <v>15849.867479418341</v>
      </c>
      <c r="FU66" s="497"/>
      <c r="FV66" s="993">
        <f t="shared" si="100"/>
        <v>4426631.3278448908</v>
      </c>
      <c r="FW66" s="705">
        <f t="shared" si="101"/>
        <v>442663.13278448908</v>
      </c>
      <c r="FX66" s="705">
        <f t="shared" si="102"/>
        <v>110665.78319612227</v>
      </c>
      <c r="FY66" s="705">
        <v>15000</v>
      </c>
      <c r="FZ66" s="705">
        <f t="shared" si="103"/>
        <v>427663.13278448908</v>
      </c>
      <c r="GA66" s="497">
        <f t="shared" si="104"/>
        <v>46</v>
      </c>
      <c r="GB66" s="775">
        <f t="shared" si="105"/>
        <v>9297.024625749762</v>
      </c>
      <c r="GC66" s="497"/>
      <c r="GD66" s="497"/>
      <c r="GE66" s="1107"/>
      <c r="GH66" s="1095">
        <f t="shared" si="0"/>
        <v>4426631.3278448908</v>
      </c>
      <c r="GI66" s="1098">
        <f t="shared" si="1"/>
        <v>0.125</v>
      </c>
      <c r="GJ66" s="1095">
        <f t="shared" si="2"/>
        <v>553328.91598061135</v>
      </c>
      <c r="GK66" s="1095">
        <f t="shared" si="3"/>
        <v>30000</v>
      </c>
      <c r="GL66" s="1095">
        <f t="shared" si="4"/>
        <v>523328.91598061135</v>
      </c>
      <c r="GM66" s="1095">
        <f t="shared" si="5"/>
        <v>29</v>
      </c>
      <c r="GN66" s="1095">
        <f t="shared" si="6"/>
        <v>18045.824688986599</v>
      </c>
      <c r="GO66" s="1098">
        <f t="shared" si="7"/>
        <v>0.875</v>
      </c>
      <c r="GP66" s="1095">
        <f t="shared" si="8"/>
        <v>3873302.4118642793</v>
      </c>
      <c r="GQ66" s="1095">
        <f t="shared" si="9"/>
        <v>30029.672372483958</v>
      </c>
      <c r="GR66" s="1095">
        <f t="shared" si="10"/>
        <v>34814.337093445058</v>
      </c>
      <c r="GS66" s="1095">
        <f t="shared" si="11"/>
        <v>44972.325259539015</v>
      </c>
      <c r="GT66" s="1095">
        <f t="shared" si="12"/>
        <v>76696.030064139311</v>
      </c>
      <c r="GU66" s="497"/>
      <c r="GV66" s="1095">
        <f t="shared" si="106"/>
        <v>4426631.3278448908</v>
      </c>
      <c r="GW66" s="1098">
        <f t="shared" si="107"/>
        <v>0.125</v>
      </c>
      <c r="GX66" s="1095">
        <f t="shared" si="108"/>
        <v>553328.91598061135</v>
      </c>
      <c r="GY66" s="1095">
        <f t="shared" si="109"/>
        <v>30000</v>
      </c>
      <c r="GZ66" s="1095">
        <f t="shared" si="110"/>
        <v>523328.91598061135</v>
      </c>
      <c r="HA66" s="1106">
        <f t="shared" si="111"/>
        <v>48</v>
      </c>
      <c r="HB66" s="770">
        <f t="shared" si="112"/>
        <v>10902.68574959607</v>
      </c>
      <c r="HC66" s="1098">
        <f t="shared" si="113"/>
        <v>0.875</v>
      </c>
      <c r="HD66" s="1102">
        <f t="shared" si="114"/>
        <v>3873302.4118642793</v>
      </c>
      <c r="HE66" s="1101">
        <f t="shared" si="115"/>
        <v>30029.672372483958</v>
      </c>
      <c r="HF66" s="1101">
        <f t="shared" si="116"/>
        <v>34814.337093445058</v>
      </c>
      <c r="HG66" s="1101">
        <f t="shared" si="117"/>
        <v>44972.325259539015</v>
      </c>
      <c r="HH66" s="1101">
        <f t="shared" si="118"/>
        <v>76696.030064139311</v>
      </c>
      <c r="HI66" s="497"/>
      <c r="HJ66" s="1102">
        <f t="shared" si="119"/>
        <v>-7143.1389393905283</v>
      </c>
      <c r="HL66" s="775"/>
      <c r="HN66" s="775"/>
      <c r="HO66" s="775"/>
      <c r="HQ66" s="702"/>
      <c r="HR66" s="1171"/>
      <c r="HS66" s="702"/>
      <c r="HT66" s="1171"/>
    </row>
    <row r="67" spans="1:228" ht="14.25" hidden="1" customHeight="1">
      <c r="A67" s="753">
        <f t="shared" si="120"/>
        <v>61</v>
      </c>
      <c r="B67" s="753" t="s">
        <v>236</v>
      </c>
      <c r="C67" s="753">
        <f t="shared" si="121"/>
        <v>30</v>
      </c>
      <c r="D67" s="753" t="s">
        <v>253</v>
      </c>
      <c r="E67" s="717" t="str">
        <f t="shared" si="41"/>
        <v>4th Floor</v>
      </c>
      <c r="F67" s="754"/>
      <c r="G67" s="755" t="s">
        <v>389</v>
      </c>
      <c r="H67" s="756"/>
      <c r="I67" s="755" t="s">
        <v>229</v>
      </c>
      <c r="J67" s="757">
        <v>22</v>
      </c>
      <c r="K67" s="758"/>
      <c r="L67" s="759" t="s">
        <v>277</v>
      </c>
      <c r="M67" s="760" t="s">
        <v>68</v>
      </c>
      <c r="N67" s="761">
        <f t="shared" si="42"/>
        <v>106005.26567735759</v>
      </c>
      <c r="O67" s="762">
        <f t="shared" si="43"/>
        <v>2332115.8449018667</v>
      </c>
      <c r="P67" s="762">
        <f t="shared" si="44"/>
        <v>22400</v>
      </c>
      <c r="Q67" s="762">
        <f t="shared" si="14"/>
        <v>50000</v>
      </c>
      <c r="R67" s="762"/>
      <c r="S67" s="762"/>
      <c r="T67" s="762"/>
      <c r="U67" s="762"/>
      <c r="V67" s="762"/>
      <c r="W67" s="762"/>
      <c r="X67" s="762"/>
      <c r="Y67" s="762"/>
      <c r="Z67" s="762">
        <f t="shared" si="15"/>
        <v>142461</v>
      </c>
      <c r="AA67" s="762">
        <v>45722.732758620688</v>
      </c>
      <c r="AB67" s="762"/>
      <c r="AC67" s="762"/>
      <c r="AD67" s="763">
        <f t="shared" si="45"/>
        <v>260583.7327586207</v>
      </c>
      <c r="AE67" s="763">
        <f t="shared" si="16"/>
        <v>2592699.5776604875</v>
      </c>
      <c r="AF67" s="762">
        <f t="shared" si="17"/>
        <v>64817.489441512189</v>
      </c>
      <c r="AG67" s="762">
        <f t="shared" si="46"/>
        <v>2657517.0671019997</v>
      </c>
      <c r="AH67" s="762">
        <f t="shared" si="18"/>
        <v>66437.92667755</v>
      </c>
      <c r="AI67" s="762">
        <f t="shared" si="47"/>
        <v>2723954.9937795498</v>
      </c>
      <c r="AJ67" s="762">
        <f t="shared" si="48"/>
        <v>136197.74968897749</v>
      </c>
      <c r="AK67" s="762">
        <f t="shared" si="122"/>
        <v>2860152.7434685272</v>
      </c>
      <c r="AL67" s="762">
        <f t="shared" si="49"/>
        <v>28601.527434685271</v>
      </c>
      <c r="AM67" s="762">
        <f t="shared" si="50"/>
        <v>27537.409960060559</v>
      </c>
      <c r="AN67" s="762"/>
      <c r="AO67" s="763">
        <f t="shared" si="51"/>
        <v>2916291.6808632729</v>
      </c>
      <c r="AP67" s="763">
        <f t="shared" si="52"/>
        <v>481188.12734244007</v>
      </c>
      <c r="AQ67" s="763">
        <f t="shared" si="53"/>
        <v>3397479.8082057131</v>
      </c>
      <c r="AR67" s="1178">
        <f t="shared" si="19"/>
        <v>3000000</v>
      </c>
      <c r="AS67" s="1178">
        <f t="shared" si="123"/>
        <v>18067.264009350594</v>
      </c>
      <c r="AT67" s="1178">
        <f t="shared" si="54"/>
        <v>397479.80820571305</v>
      </c>
      <c r="AU67" s="1178">
        <f t="shared" si="20"/>
        <v>47697.576984685562</v>
      </c>
      <c r="AV67" s="1178">
        <f t="shared" si="55"/>
        <v>445177.38519039861</v>
      </c>
      <c r="AW67" s="1178">
        <f t="shared" si="56"/>
        <v>3445177.3851903984</v>
      </c>
      <c r="AX67" s="762">
        <f t="shared" si="57"/>
        <v>43064.717314879985</v>
      </c>
      <c r="AY67" s="717" t="s">
        <v>231</v>
      </c>
      <c r="AZ67" s="717">
        <f t="shared" si="58"/>
        <v>3488242.1025052783</v>
      </c>
      <c r="BA67" s="717">
        <f t="shared" si="59"/>
        <v>130809.07884394794</v>
      </c>
      <c r="BB67" s="717"/>
      <c r="BC67" s="717">
        <f t="shared" si="21"/>
        <v>33600</v>
      </c>
      <c r="BD67" s="717">
        <f t="shared" si="60"/>
        <v>3652651.1813492263</v>
      </c>
      <c r="BE67" s="717"/>
      <c r="BF67" s="717">
        <f t="shared" si="61"/>
        <v>3652651.1813492263</v>
      </c>
      <c r="BG67" s="1209"/>
      <c r="BH67" s="717">
        <f t="shared" si="62"/>
        <v>3652651.1813492263</v>
      </c>
      <c r="BI67" s="717"/>
      <c r="BJ67" s="717">
        <f t="shared" si="63"/>
        <v>3652651.1813492263</v>
      </c>
      <c r="BK67" s="717"/>
      <c r="BL67" s="717">
        <f t="shared" si="64"/>
        <v>3652651.1813492263</v>
      </c>
      <c r="BM67" s="717"/>
      <c r="BN67" s="717">
        <f t="shared" si="65"/>
        <v>3652651.1813492263</v>
      </c>
      <c r="BO67" s="717"/>
      <c r="BP67" s="717">
        <f t="shared" si="22"/>
        <v>3652651.1813492263</v>
      </c>
      <c r="BQ67" s="717"/>
      <c r="BR67" s="717">
        <f t="shared" si="133"/>
        <v>3652651.1813492263</v>
      </c>
      <c r="BS67" s="717"/>
      <c r="BT67" s="717">
        <f t="shared" si="66"/>
        <v>3652651.1813492263</v>
      </c>
      <c r="BU67" s="717"/>
      <c r="BV67" s="1235">
        <f t="shared" si="134"/>
        <v>51400</v>
      </c>
      <c r="BW67" s="717">
        <f t="shared" si="67"/>
        <v>3704051.1813492263</v>
      </c>
      <c r="BX67" s="717"/>
      <c r="BY67" s="717">
        <f t="shared" si="68"/>
        <v>3704051.1813492263</v>
      </c>
      <c r="BZ67" s="1194">
        <f t="shared" si="69"/>
        <v>3704051.1813492263</v>
      </c>
      <c r="CA67" s="1194">
        <f t="shared" si="70"/>
        <v>3022051.1813492263</v>
      </c>
      <c r="CB67" s="1194">
        <v>31000</v>
      </c>
      <c r="CC67" s="1194">
        <f t="shared" si="71"/>
        <v>682000</v>
      </c>
      <c r="CD67" s="1194">
        <f t="shared" si="72"/>
        <v>81840</v>
      </c>
      <c r="CE67" s="1194">
        <f t="shared" si="73"/>
        <v>763840</v>
      </c>
      <c r="CF67" s="1200">
        <f t="shared" si="74"/>
        <v>3785891.1813492263</v>
      </c>
      <c r="CG67" s="757">
        <f t="shared" si="75"/>
        <v>3785891.1813492263</v>
      </c>
      <c r="CH67" s="758">
        <f t="shared" si="76"/>
        <v>0</v>
      </c>
      <c r="CI67" s="757">
        <f t="shared" si="25"/>
        <v>388053.84608829569</v>
      </c>
      <c r="CJ67" s="757">
        <f t="shared" si="26"/>
        <v>94647.27953373066</v>
      </c>
      <c r="CK67" s="759">
        <f t="shared" si="155"/>
        <v>4268592.3069712529</v>
      </c>
      <c r="CL67" s="764">
        <f t="shared" si="78"/>
        <v>0.125</v>
      </c>
      <c r="CM67" s="757">
        <f t="shared" si="79"/>
        <v>533574.03837140661</v>
      </c>
      <c r="CN67" s="757">
        <f t="shared" si="124"/>
        <v>30000</v>
      </c>
      <c r="CO67" s="757">
        <f t="shared" si="80"/>
        <v>503574.03837140661</v>
      </c>
      <c r="CP67" s="755">
        <f t="shared" si="81"/>
        <v>29</v>
      </c>
      <c r="CQ67" s="757">
        <f t="shared" si="129"/>
        <v>17364.622012807125</v>
      </c>
      <c r="CR67" s="764">
        <f t="shared" si="83"/>
        <v>0.875</v>
      </c>
      <c r="CS67" s="757">
        <f t="shared" si="84"/>
        <v>3735018.2685998464</v>
      </c>
      <c r="CT67" s="1101">
        <f t="shared" si="85"/>
        <v>28957.556881625129</v>
      </c>
      <c r="CU67" s="1101">
        <f t="shared" si="86"/>
        <v>33571.400119678256</v>
      </c>
      <c r="CV67" s="1101">
        <f t="shared" si="87"/>
        <v>43366.729102090649</v>
      </c>
      <c r="CW67" s="1141">
        <f t="shared" si="27"/>
        <v>73957.838288378131</v>
      </c>
      <c r="CX67" s="1152">
        <f t="shared" si="88"/>
        <v>303407.40576728969</v>
      </c>
      <c r="CY67" s="1152">
        <f t="shared" si="89"/>
        <v>120056.83247978757</v>
      </c>
      <c r="CZ67" s="1152">
        <f t="shared" si="90"/>
        <v>86715.349711868883</v>
      </c>
      <c r="DA67" s="1152">
        <f t="shared" si="91"/>
        <v>65994.373299246014</v>
      </c>
      <c r="DB67" s="1143">
        <f t="shared" si="28"/>
        <v>0.13249326940190434</v>
      </c>
      <c r="DC67" s="1143">
        <f t="shared" si="125"/>
        <v>0.25275548101702755</v>
      </c>
      <c r="DD67" s="1098" t="s">
        <v>232</v>
      </c>
      <c r="DE67" s="1144"/>
      <c r="DF67" s="705"/>
      <c r="DG67" s="765">
        <f t="shared" si="126"/>
        <v>46082</v>
      </c>
      <c r="DH67" s="1116">
        <f t="shared" si="29"/>
        <v>28</v>
      </c>
      <c r="DI67" s="497"/>
      <c r="DJ67" s="1117">
        <f t="shared" si="92"/>
        <v>46147</v>
      </c>
      <c r="DK67" s="1116">
        <f t="shared" si="93"/>
        <v>30</v>
      </c>
      <c r="DL67" s="766" t="s">
        <v>233</v>
      </c>
      <c r="DM67" s="766" t="s">
        <v>234</v>
      </c>
      <c r="DN67" s="767">
        <f t="shared" si="30"/>
        <v>20235.335690472664</v>
      </c>
      <c r="DO67" s="767">
        <f t="shared" si="31"/>
        <v>445177.38519039861</v>
      </c>
      <c r="DP67" s="768">
        <f t="shared" si="32"/>
        <v>0.14839246173013287</v>
      </c>
      <c r="DR67" s="767">
        <f t="shared" si="33"/>
        <v>3785891.1813492263</v>
      </c>
      <c r="DS67" s="767">
        <f>SUM('[6]INTERNAL PRICELIST'!M67)</f>
        <v>2331316</v>
      </c>
      <c r="DT67" s="767">
        <f t="shared" si="94"/>
        <v>1454575.1813492263</v>
      </c>
      <c r="DV67" s="951">
        <f t="shared" si="34"/>
        <v>172085.9627886012</v>
      </c>
      <c r="DX67" s="772">
        <v>8</v>
      </c>
      <c r="DY67" s="773" t="s">
        <v>271</v>
      </c>
      <c r="DZ67" s="772">
        <v>22.34</v>
      </c>
      <c r="EA67" s="775">
        <f t="shared" si="156"/>
        <v>0.33999999999999986</v>
      </c>
      <c r="ED67" s="755" t="s">
        <v>389</v>
      </c>
      <c r="EE67" s="777" t="b">
        <f t="shared" si="36"/>
        <v>1</v>
      </c>
      <c r="EF67" s="1123" t="s">
        <v>390</v>
      </c>
      <c r="EG67" s="1123" t="s">
        <v>336</v>
      </c>
      <c r="EH67" s="1203"/>
      <c r="EP67" s="1230" t="s">
        <v>236</v>
      </c>
      <c r="EQ67" s="1145" t="s">
        <v>236</v>
      </c>
      <c r="ER67" s="753" t="b">
        <f t="shared" si="95"/>
        <v>1</v>
      </c>
      <c r="EU67" s="770">
        <v>2123200</v>
      </c>
      <c r="EV67" s="771" t="s">
        <v>236</v>
      </c>
      <c r="EZ67" s="520"/>
      <c r="FA67" s="778"/>
      <c r="FG67" s="1107"/>
      <c r="FJ67" s="994">
        <v>0.15</v>
      </c>
      <c r="FK67" s="993">
        <v>12820.110851026688</v>
      </c>
      <c r="FL67" s="993">
        <v>13166.600333486867</v>
      </c>
      <c r="FM67" s="497"/>
      <c r="FN67" s="993">
        <f t="shared" si="38"/>
        <v>4268592.3069712529</v>
      </c>
      <c r="FO67" s="994">
        <f t="shared" si="96"/>
        <v>0.15</v>
      </c>
      <c r="FP67" s="775">
        <f t="shared" si="39"/>
        <v>640288.84604568791</v>
      </c>
      <c r="FQ67" s="993">
        <f t="shared" si="40"/>
        <v>30000</v>
      </c>
      <c r="FR67" s="775">
        <f t="shared" si="97"/>
        <v>610288.84604568791</v>
      </c>
      <c r="FS67" s="497">
        <f t="shared" si="98"/>
        <v>40</v>
      </c>
      <c r="FT67" s="775">
        <f t="shared" si="99"/>
        <v>15257.221151142197</v>
      </c>
      <c r="FU67" s="497"/>
      <c r="FV67" s="993">
        <f t="shared" si="100"/>
        <v>4268592.3069712529</v>
      </c>
      <c r="FW67" s="705">
        <f t="shared" si="101"/>
        <v>426859.23069712531</v>
      </c>
      <c r="FX67" s="705">
        <f t="shared" si="102"/>
        <v>106714.80767428133</v>
      </c>
      <c r="FY67" s="705">
        <v>15000</v>
      </c>
      <c r="FZ67" s="705">
        <f t="shared" si="103"/>
        <v>411859.23069712531</v>
      </c>
      <c r="GA67" s="497">
        <f t="shared" si="104"/>
        <v>46</v>
      </c>
      <c r="GB67" s="775">
        <f t="shared" si="105"/>
        <v>8953.4615368940285</v>
      </c>
      <c r="GC67" s="497"/>
      <c r="GD67" s="497"/>
      <c r="GE67" s="1107"/>
      <c r="GH67" s="1095">
        <f t="shared" si="0"/>
        <v>4268592.3069712529</v>
      </c>
      <c r="GI67" s="1098">
        <f t="shared" si="1"/>
        <v>0.125</v>
      </c>
      <c r="GJ67" s="1095">
        <f t="shared" si="2"/>
        <v>533574.03837140661</v>
      </c>
      <c r="GK67" s="1095">
        <f t="shared" si="3"/>
        <v>30000</v>
      </c>
      <c r="GL67" s="1095">
        <f t="shared" si="4"/>
        <v>503574.03837140661</v>
      </c>
      <c r="GM67" s="1095">
        <f t="shared" si="5"/>
        <v>29</v>
      </c>
      <c r="GN67" s="1095">
        <f t="shared" si="6"/>
        <v>17364.622012807125</v>
      </c>
      <c r="GO67" s="1098">
        <f t="shared" si="7"/>
        <v>0.875</v>
      </c>
      <c r="GP67" s="1095">
        <f t="shared" si="8"/>
        <v>3735018.2685998464</v>
      </c>
      <c r="GQ67" s="1095">
        <f t="shared" si="9"/>
        <v>28957.556881625129</v>
      </c>
      <c r="GR67" s="1095">
        <f t="shared" si="10"/>
        <v>33571.400119678256</v>
      </c>
      <c r="GS67" s="1095">
        <f t="shared" si="11"/>
        <v>43366.729102090649</v>
      </c>
      <c r="GT67" s="1095">
        <f t="shared" si="12"/>
        <v>73957.838288378131</v>
      </c>
      <c r="GU67" s="497"/>
      <c r="GV67" s="1095">
        <f t="shared" si="106"/>
        <v>4268592.3069712529</v>
      </c>
      <c r="GW67" s="1098">
        <f t="shared" si="107"/>
        <v>0.125</v>
      </c>
      <c r="GX67" s="1095">
        <f t="shared" si="108"/>
        <v>533574.03837140661</v>
      </c>
      <c r="GY67" s="1095">
        <f t="shared" si="109"/>
        <v>30000</v>
      </c>
      <c r="GZ67" s="1095">
        <f t="shared" si="110"/>
        <v>503574.03837140661</v>
      </c>
      <c r="HA67" s="1106">
        <f t="shared" si="111"/>
        <v>48</v>
      </c>
      <c r="HB67" s="770">
        <f t="shared" si="112"/>
        <v>10491.125799404304</v>
      </c>
      <c r="HC67" s="1098">
        <f t="shared" si="113"/>
        <v>0.875</v>
      </c>
      <c r="HD67" s="1102">
        <f t="shared" si="114"/>
        <v>3735018.2685998464</v>
      </c>
      <c r="HE67" s="1101">
        <f t="shared" si="115"/>
        <v>28957.556881625129</v>
      </c>
      <c r="HF67" s="1101">
        <f t="shared" si="116"/>
        <v>33571.400119678256</v>
      </c>
      <c r="HG67" s="1101">
        <f t="shared" si="117"/>
        <v>43366.729102090649</v>
      </c>
      <c r="HH67" s="1101">
        <f t="shared" si="118"/>
        <v>73957.838288378131</v>
      </c>
      <c r="HI67" s="497"/>
      <c r="HJ67" s="1102">
        <f t="shared" si="119"/>
        <v>-6873.496213402821</v>
      </c>
      <c r="HL67" s="775"/>
      <c r="HN67" s="775"/>
      <c r="HO67" s="775"/>
      <c r="HQ67" s="702"/>
      <c r="HR67" s="1171"/>
      <c r="HS67" s="702"/>
      <c r="HT67" s="1171"/>
    </row>
    <row r="68" spans="1:228" ht="14.25" hidden="1" customHeight="1">
      <c r="A68" s="753">
        <f t="shared" si="120"/>
        <v>62</v>
      </c>
      <c r="B68" s="753"/>
      <c r="C68" s="753">
        <f t="shared" si="121"/>
        <v>31</v>
      </c>
      <c r="D68" s="753" t="s">
        <v>253</v>
      </c>
      <c r="E68" s="717" t="str">
        <f t="shared" si="41"/>
        <v>4th Floor</v>
      </c>
      <c r="F68" s="754"/>
      <c r="G68" s="755" t="s">
        <v>391</v>
      </c>
      <c r="H68" s="756"/>
      <c r="I68" s="755" t="s">
        <v>229</v>
      </c>
      <c r="J68" s="757">
        <v>22</v>
      </c>
      <c r="K68" s="758"/>
      <c r="L68" s="759" t="s">
        <v>277</v>
      </c>
      <c r="M68" s="760" t="s">
        <v>278</v>
      </c>
      <c r="N68" s="761">
        <f t="shared" si="42"/>
        <v>106005.26567735759</v>
      </c>
      <c r="O68" s="762">
        <f t="shared" si="43"/>
        <v>2332115.8449018667</v>
      </c>
      <c r="P68" s="762">
        <f t="shared" si="44"/>
        <v>22400</v>
      </c>
      <c r="Q68" s="762">
        <f t="shared" si="14"/>
        <v>50000</v>
      </c>
      <c r="R68" s="762"/>
      <c r="S68" s="762"/>
      <c r="T68" s="762"/>
      <c r="U68" s="762"/>
      <c r="V68" s="762"/>
      <c r="W68" s="762">
        <f>J68*$W$5</f>
        <v>22000</v>
      </c>
      <c r="X68" s="762"/>
      <c r="Y68" s="762"/>
      <c r="Z68" s="762">
        <f t="shared" si="15"/>
        <v>142461</v>
      </c>
      <c r="AA68" s="762">
        <v>45722.732758620688</v>
      </c>
      <c r="AB68" s="762"/>
      <c r="AC68" s="762"/>
      <c r="AD68" s="763">
        <f t="shared" si="45"/>
        <v>282583.7327586207</v>
      </c>
      <c r="AE68" s="763">
        <f t="shared" si="16"/>
        <v>2614699.5776604875</v>
      </c>
      <c r="AF68" s="762">
        <f t="shared" si="17"/>
        <v>65367.489441512189</v>
      </c>
      <c r="AG68" s="762">
        <f t="shared" si="46"/>
        <v>2680067.0671019997</v>
      </c>
      <c r="AH68" s="762">
        <f t="shared" si="18"/>
        <v>67001.67667755</v>
      </c>
      <c r="AI68" s="762">
        <f t="shared" si="47"/>
        <v>2747068.7437795498</v>
      </c>
      <c r="AJ68" s="762">
        <f t="shared" si="48"/>
        <v>137353.43718897749</v>
      </c>
      <c r="AK68" s="762">
        <f t="shared" si="122"/>
        <v>2884422.1809685272</v>
      </c>
      <c r="AL68" s="762">
        <f t="shared" si="49"/>
        <v>28844.221809685274</v>
      </c>
      <c r="AM68" s="762">
        <f t="shared" si="50"/>
        <v>27537.409960060559</v>
      </c>
      <c r="AN68" s="762"/>
      <c r="AO68" s="763">
        <f t="shared" si="51"/>
        <v>2940803.8127382728</v>
      </c>
      <c r="AP68" s="763">
        <f t="shared" si="52"/>
        <v>485232.62910181505</v>
      </c>
      <c r="AQ68" s="763">
        <f t="shared" si="53"/>
        <v>3426036.441840088</v>
      </c>
      <c r="AR68" s="1178">
        <f t="shared" si="19"/>
        <v>3000000</v>
      </c>
      <c r="AS68" s="1178">
        <f t="shared" si="123"/>
        <v>19365.292810913092</v>
      </c>
      <c r="AT68" s="1178">
        <f t="shared" si="54"/>
        <v>426036.44184008799</v>
      </c>
      <c r="AU68" s="1178">
        <f t="shared" si="20"/>
        <v>51124.373020810555</v>
      </c>
      <c r="AV68" s="1178">
        <f t="shared" si="55"/>
        <v>477160.81486089854</v>
      </c>
      <c r="AW68" s="1178">
        <f t="shared" si="56"/>
        <v>3477160.8148608985</v>
      </c>
      <c r="AX68" s="762">
        <f t="shared" si="57"/>
        <v>43464.510185761232</v>
      </c>
      <c r="AY68" s="717" t="s">
        <v>231</v>
      </c>
      <c r="AZ68" s="717">
        <f t="shared" si="58"/>
        <v>3520625.3250466599</v>
      </c>
      <c r="BA68" s="717">
        <f t="shared" si="59"/>
        <v>132023.44968924974</v>
      </c>
      <c r="BB68" s="717"/>
      <c r="BC68" s="717">
        <f t="shared" si="21"/>
        <v>33600</v>
      </c>
      <c r="BD68" s="717">
        <f t="shared" si="60"/>
        <v>3686248.7747359099</v>
      </c>
      <c r="BE68" s="717"/>
      <c r="BF68" s="717">
        <f t="shared" si="61"/>
        <v>3686248.7747359099</v>
      </c>
      <c r="BG68" s="1209"/>
      <c r="BH68" s="717">
        <f t="shared" si="62"/>
        <v>3686248.7747359099</v>
      </c>
      <c r="BI68" s="717"/>
      <c r="BJ68" s="717">
        <f t="shared" si="63"/>
        <v>3686248.7747359099</v>
      </c>
      <c r="BK68" s="717"/>
      <c r="BL68" s="717">
        <f t="shared" si="64"/>
        <v>3686248.7747359099</v>
      </c>
      <c r="BM68" s="717"/>
      <c r="BN68" s="717">
        <f t="shared" si="65"/>
        <v>3686248.7747359099</v>
      </c>
      <c r="BO68" s="717"/>
      <c r="BP68" s="717">
        <f t="shared" si="22"/>
        <v>3686248.7747359099</v>
      </c>
      <c r="BQ68" s="717"/>
      <c r="BR68" s="717">
        <f t="shared" si="133"/>
        <v>3686248.7747359099</v>
      </c>
      <c r="BS68" s="717"/>
      <c r="BT68" s="717">
        <f t="shared" si="66"/>
        <v>3686248.7747359099</v>
      </c>
      <c r="BU68" s="717"/>
      <c r="BV68" s="1235">
        <f t="shared" si="134"/>
        <v>51400</v>
      </c>
      <c r="BW68" s="717">
        <f t="shared" si="67"/>
        <v>3737648.7747359099</v>
      </c>
      <c r="BX68" s="717"/>
      <c r="BY68" s="717">
        <f t="shared" si="68"/>
        <v>3737648.7747359099</v>
      </c>
      <c r="BZ68" s="1194">
        <f t="shared" si="69"/>
        <v>3737648.7747359099</v>
      </c>
      <c r="CA68" s="1194">
        <f t="shared" si="70"/>
        <v>3033648.7747359099</v>
      </c>
      <c r="CB68" s="1194">
        <v>32000</v>
      </c>
      <c r="CC68" s="1194">
        <f t="shared" si="71"/>
        <v>704000</v>
      </c>
      <c r="CD68" s="1194">
        <f t="shared" si="72"/>
        <v>84480</v>
      </c>
      <c r="CE68" s="1194">
        <f t="shared" si="73"/>
        <v>788480</v>
      </c>
      <c r="CF68" s="1200">
        <f t="shared" si="74"/>
        <v>3822128.7747359099</v>
      </c>
      <c r="CG68" s="757">
        <f t="shared" si="75"/>
        <v>3822128.7747359099</v>
      </c>
      <c r="CH68" s="758">
        <f t="shared" si="76"/>
        <v>0</v>
      </c>
      <c r="CI68" s="757">
        <f t="shared" si="25"/>
        <v>391768.19941043074</v>
      </c>
      <c r="CJ68" s="757">
        <f t="shared" si="26"/>
        <v>95553.219368397753</v>
      </c>
      <c r="CK68" s="759">
        <f t="shared" si="155"/>
        <v>4309450.1935147392</v>
      </c>
      <c r="CL68" s="764">
        <f t="shared" si="78"/>
        <v>0.125</v>
      </c>
      <c r="CM68" s="757">
        <f t="shared" si="79"/>
        <v>538681.2741893424</v>
      </c>
      <c r="CN68" s="757">
        <f t="shared" si="124"/>
        <v>30000</v>
      </c>
      <c r="CO68" s="757">
        <f t="shared" si="80"/>
        <v>508681.2741893424</v>
      </c>
      <c r="CP68" s="755">
        <f t="shared" si="81"/>
        <v>29</v>
      </c>
      <c r="CQ68" s="757">
        <f t="shared" si="129"/>
        <v>17540.733592735945</v>
      </c>
      <c r="CR68" s="764">
        <f t="shared" si="83"/>
        <v>0.875</v>
      </c>
      <c r="CS68" s="757">
        <f t="shared" si="84"/>
        <v>3770768.9193253969</v>
      </c>
      <c r="CT68" s="1101">
        <f t="shared" si="85"/>
        <v>29234.731296177142</v>
      </c>
      <c r="CU68" s="1101">
        <f t="shared" si="86"/>
        <v>33892.737075413213</v>
      </c>
      <c r="CV68" s="1101">
        <f t="shared" si="87"/>
        <v>43781.824470772634</v>
      </c>
      <c r="CW68" s="1141">
        <f t="shared" si="27"/>
        <v>74665.744021341437</v>
      </c>
      <c r="CX68" s="1152">
        <f t="shared" si="88"/>
        <v>306311.54475968023</v>
      </c>
      <c r="CY68" s="1152">
        <f t="shared" si="89"/>
        <v>121205.98613220325</v>
      </c>
      <c r="CZ68" s="1152">
        <f t="shared" si="90"/>
        <v>87545.367119321934</v>
      </c>
      <c r="DA68" s="1152">
        <f t="shared" si="91"/>
        <v>66626.05475834565</v>
      </c>
      <c r="DB68" s="1143">
        <f t="shared" si="28"/>
        <v>0.14201214728002934</v>
      </c>
      <c r="DC68" s="1143">
        <f t="shared" si="125"/>
        <v>0.25991143291419422</v>
      </c>
      <c r="DD68" s="1098" t="s">
        <v>232</v>
      </c>
      <c r="DE68" s="1144"/>
      <c r="DF68" s="705"/>
      <c r="DG68" s="765">
        <f t="shared" si="126"/>
        <v>46082</v>
      </c>
      <c r="DH68" s="1116">
        <f t="shared" si="29"/>
        <v>28</v>
      </c>
      <c r="DI68" s="497"/>
      <c r="DJ68" s="1117">
        <f t="shared" si="92"/>
        <v>46147</v>
      </c>
      <c r="DK68" s="1116">
        <f t="shared" si="93"/>
        <v>30</v>
      </c>
      <c r="DL68" s="766" t="s">
        <v>233</v>
      </c>
      <c r="DM68" s="766" t="s">
        <v>234</v>
      </c>
      <c r="DN68" s="767">
        <f t="shared" si="30"/>
        <v>21689.12794822266</v>
      </c>
      <c r="DO68" s="767">
        <f t="shared" si="31"/>
        <v>477160.81486089854</v>
      </c>
      <c r="DP68" s="768">
        <f t="shared" si="32"/>
        <v>0.15905360495363285</v>
      </c>
      <c r="DR68" s="767">
        <f t="shared" si="33"/>
        <v>3822128.7747359099</v>
      </c>
      <c r="DS68" s="767">
        <f>SUM('[6]INTERNAL PRICELIST'!M68)</f>
        <v>2329361</v>
      </c>
      <c r="DT68" s="767">
        <f t="shared" si="94"/>
        <v>1492767.7747359099</v>
      </c>
      <c r="DV68" s="951">
        <f t="shared" si="34"/>
        <v>173733.12612435955</v>
      </c>
      <c r="DX68" s="772">
        <v>9</v>
      </c>
      <c r="DY68" s="773" t="s">
        <v>274</v>
      </c>
      <c r="DZ68" s="774">
        <v>22</v>
      </c>
      <c r="EA68" s="775">
        <f t="shared" si="156"/>
        <v>0</v>
      </c>
      <c r="ED68" s="755" t="s">
        <v>391</v>
      </c>
      <c r="EE68" s="777" t="b">
        <f t="shared" si="36"/>
        <v>1</v>
      </c>
      <c r="EF68" s="777"/>
      <c r="EG68" s="777"/>
      <c r="EH68" s="1203"/>
      <c r="EP68" s="1230" t="s">
        <v>236</v>
      </c>
      <c r="EQ68" s="1145" t="s">
        <v>236</v>
      </c>
      <c r="ER68" s="753" t="b">
        <f t="shared" si="95"/>
        <v>1</v>
      </c>
      <c r="EU68" s="770">
        <v>2172480</v>
      </c>
      <c r="EV68" s="771" t="s">
        <v>236</v>
      </c>
      <c r="EZ68" s="520"/>
      <c r="FA68" s="778"/>
      <c r="FG68" s="1107"/>
      <c r="FJ68" s="994">
        <v>0.15</v>
      </c>
      <c r="FK68" s="993">
        <v>12942.297377862546</v>
      </c>
      <c r="FL68" s="993">
        <v>13292.089198885857</v>
      </c>
      <c r="FM68" s="497"/>
      <c r="FN68" s="993">
        <f t="shared" si="38"/>
        <v>4309450.1935147392</v>
      </c>
      <c r="FO68" s="994">
        <f t="shared" si="96"/>
        <v>0.15</v>
      </c>
      <c r="FP68" s="775">
        <f t="shared" si="39"/>
        <v>646417.5290272109</v>
      </c>
      <c r="FQ68" s="993">
        <f t="shared" si="40"/>
        <v>30000</v>
      </c>
      <c r="FR68" s="775">
        <f t="shared" si="97"/>
        <v>616417.5290272109</v>
      </c>
      <c r="FS68" s="497">
        <f t="shared" si="98"/>
        <v>40</v>
      </c>
      <c r="FT68" s="775">
        <f t="shared" si="99"/>
        <v>15410.438225680273</v>
      </c>
      <c r="FU68" s="497"/>
      <c r="FV68" s="993">
        <f t="shared" si="100"/>
        <v>4309450.1935147392</v>
      </c>
      <c r="FW68" s="705">
        <f t="shared" si="101"/>
        <v>430945.01935147395</v>
      </c>
      <c r="FX68" s="705">
        <f t="shared" si="102"/>
        <v>107736.25483786849</v>
      </c>
      <c r="FY68" s="705">
        <v>15000</v>
      </c>
      <c r="FZ68" s="705">
        <f t="shared" si="103"/>
        <v>415945.01935147395</v>
      </c>
      <c r="GA68" s="497">
        <f t="shared" si="104"/>
        <v>46</v>
      </c>
      <c r="GB68" s="775">
        <f t="shared" si="105"/>
        <v>9042.2830293798688</v>
      </c>
      <c r="GC68" s="497"/>
      <c r="GD68" s="497"/>
      <c r="GE68" s="1107"/>
      <c r="GH68" s="1095">
        <f t="shared" si="0"/>
        <v>4309450.1935147392</v>
      </c>
      <c r="GI68" s="1098">
        <f t="shared" si="1"/>
        <v>0.125</v>
      </c>
      <c r="GJ68" s="1095">
        <f t="shared" si="2"/>
        <v>538681.2741893424</v>
      </c>
      <c r="GK68" s="1095">
        <f t="shared" si="3"/>
        <v>30000</v>
      </c>
      <c r="GL68" s="1095">
        <f t="shared" si="4"/>
        <v>508681.2741893424</v>
      </c>
      <c r="GM68" s="1095">
        <f t="shared" si="5"/>
        <v>29</v>
      </c>
      <c r="GN68" s="1095">
        <f t="shared" si="6"/>
        <v>17540.733592735945</v>
      </c>
      <c r="GO68" s="1098">
        <f t="shared" si="7"/>
        <v>0.875</v>
      </c>
      <c r="GP68" s="1095">
        <f t="shared" si="8"/>
        <v>3770768.9193253969</v>
      </c>
      <c r="GQ68" s="1095">
        <f t="shared" si="9"/>
        <v>29234.731296177142</v>
      </c>
      <c r="GR68" s="1095">
        <f t="shared" si="10"/>
        <v>33892.737075413213</v>
      </c>
      <c r="GS68" s="1095">
        <f t="shared" si="11"/>
        <v>43781.824470772634</v>
      </c>
      <c r="GT68" s="1095">
        <f t="shared" si="12"/>
        <v>74665.744021341437</v>
      </c>
      <c r="GU68" s="497"/>
      <c r="GV68" s="1095">
        <f t="shared" si="106"/>
        <v>4309450.1935147392</v>
      </c>
      <c r="GW68" s="1098">
        <f t="shared" si="107"/>
        <v>0.125</v>
      </c>
      <c r="GX68" s="1095">
        <f t="shared" si="108"/>
        <v>538681.2741893424</v>
      </c>
      <c r="GY68" s="1095">
        <f t="shared" si="109"/>
        <v>30000</v>
      </c>
      <c r="GZ68" s="1095">
        <f t="shared" si="110"/>
        <v>508681.2741893424</v>
      </c>
      <c r="HA68" s="1106">
        <f t="shared" si="111"/>
        <v>48</v>
      </c>
      <c r="HB68" s="770">
        <f t="shared" si="112"/>
        <v>10597.526545611299</v>
      </c>
      <c r="HC68" s="1098">
        <f t="shared" si="113"/>
        <v>0.875</v>
      </c>
      <c r="HD68" s="1102">
        <f t="shared" si="114"/>
        <v>3770768.9193253969</v>
      </c>
      <c r="HE68" s="1101">
        <f t="shared" si="115"/>
        <v>29234.731296177142</v>
      </c>
      <c r="HF68" s="1101">
        <f t="shared" si="116"/>
        <v>33892.737075413213</v>
      </c>
      <c r="HG68" s="1101">
        <f t="shared" si="117"/>
        <v>43781.824470772634</v>
      </c>
      <c r="HH68" s="1101">
        <f t="shared" si="118"/>
        <v>74665.744021341437</v>
      </c>
      <c r="HI68" s="497"/>
      <c r="HJ68" s="1102">
        <f t="shared" si="119"/>
        <v>-6943.2070471246461</v>
      </c>
      <c r="HL68" s="775"/>
      <c r="HN68" s="775"/>
      <c r="HO68" s="775"/>
      <c r="HQ68" s="702"/>
      <c r="HR68" s="1171"/>
      <c r="HS68" s="702"/>
      <c r="HT68" s="1171"/>
    </row>
    <row r="69" spans="1:228" ht="14.25" customHeight="1">
      <c r="A69" s="753">
        <f t="shared" si="120"/>
        <v>63</v>
      </c>
      <c r="B69" s="753" t="s">
        <v>236</v>
      </c>
      <c r="C69" s="753">
        <v>1</v>
      </c>
      <c r="D69" s="753" t="s">
        <v>260</v>
      </c>
      <c r="E69" s="717" t="str">
        <f t="shared" si="41"/>
        <v>5th Floor</v>
      </c>
      <c r="F69" s="754"/>
      <c r="G69" s="756" t="s">
        <v>392</v>
      </c>
      <c r="H69" s="756"/>
      <c r="I69" s="755" t="s">
        <v>229</v>
      </c>
      <c r="J69" s="757">
        <v>22</v>
      </c>
      <c r="K69" s="758"/>
      <c r="L69" s="759" t="s">
        <v>69</v>
      </c>
      <c r="M69" s="760" t="s">
        <v>230</v>
      </c>
      <c r="N69" s="761">
        <f t="shared" si="42"/>
        <v>106005.26567735759</v>
      </c>
      <c r="O69" s="762">
        <f t="shared" si="43"/>
        <v>2332115.8449018667</v>
      </c>
      <c r="P69" s="762">
        <f t="shared" si="44"/>
        <v>22400</v>
      </c>
      <c r="Q69" s="762">
        <f t="shared" si="14"/>
        <v>50000</v>
      </c>
      <c r="R69" s="762"/>
      <c r="S69" s="762"/>
      <c r="T69" s="762"/>
      <c r="U69" s="762"/>
      <c r="V69" s="762">
        <f>J69*$V$5</f>
        <v>55000</v>
      </c>
      <c r="W69" s="762"/>
      <c r="X69" s="762"/>
      <c r="Y69" s="762">
        <f>Y5</f>
        <v>20000</v>
      </c>
      <c r="Z69" s="762">
        <f t="shared" si="15"/>
        <v>142461</v>
      </c>
      <c r="AA69" s="762">
        <v>45722.732758620688</v>
      </c>
      <c r="AB69" s="762"/>
      <c r="AC69" s="762"/>
      <c r="AD69" s="763">
        <f t="shared" si="45"/>
        <v>335583.7327586207</v>
      </c>
      <c r="AE69" s="763">
        <f t="shared" si="16"/>
        <v>2667699.5776604875</v>
      </c>
      <c r="AF69" s="762">
        <f t="shared" si="17"/>
        <v>66692.489441512196</v>
      </c>
      <c r="AG69" s="762">
        <f t="shared" si="46"/>
        <v>2734392.0671019997</v>
      </c>
      <c r="AH69" s="762">
        <f t="shared" si="18"/>
        <v>68359.80167755</v>
      </c>
      <c r="AI69" s="762">
        <f t="shared" si="47"/>
        <v>2802751.8687795498</v>
      </c>
      <c r="AJ69" s="762">
        <f t="shared" si="48"/>
        <v>140137.59343897749</v>
      </c>
      <c r="AK69" s="762">
        <f t="shared" si="122"/>
        <v>2942889.4622185272</v>
      </c>
      <c r="AL69" s="762">
        <f t="shared" si="49"/>
        <v>29428.894622185271</v>
      </c>
      <c r="AM69" s="762">
        <f t="shared" si="50"/>
        <v>27537.409960060559</v>
      </c>
      <c r="AN69" s="762"/>
      <c r="AO69" s="763">
        <f t="shared" si="51"/>
        <v>2999855.7668007729</v>
      </c>
      <c r="AP69" s="763">
        <f t="shared" si="52"/>
        <v>494976.20152212755</v>
      </c>
      <c r="AQ69" s="763">
        <f t="shared" si="53"/>
        <v>3494831.9683229006</v>
      </c>
      <c r="AR69" s="1178">
        <f t="shared" si="19"/>
        <v>3000000</v>
      </c>
      <c r="AS69" s="1178">
        <f t="shared" si="123"/>
        <v>22492.36219649548</v>
      </c>
      <c r="AT69" s="1178">
        <f t="shared" si="54"/>
        <v>494831.96832290059</v>
      </c>
      <c r="AU69" s="1178">
        <f t="shared" si="20"/>
        <v>59379.836198748068</v>
      </c>
      <c r="AV69" s="1178">
        <f t="shared" si="55"/>
        <v>554211.80452164868</v>
      </c>
      <c r="AW69" s="1178">
        <f t="shared" si="56"/>
        <v>3554211.8045216487</v>
      </c>
      <c r="AX69" s="762">
        <f t="shared" si="57"/>
        <v>44427.647556520613</v>
      </c>
      <c r="AY69" s="717" t="s">
        <v>231</v>
      </c>
      <c r="AZ69" s="717">
        <f t="shared" si="58"/>
        <v>3598639.4520781692</v>
      </c>
      <c r="BA69" s="717">
        <f t="shared" si="59"/>
        <v>134948.97945293135</v>
      </c>
      <c r="BB69" s="717"/>
      <c r="BC69" s="717">
        <f t="shared" si="21"/>
        <v>33600</v>
      </c>
      <c r="BD69" s="717">
        <f t="shared" si="60"/>
        <v>3767188.4315311005</v>
      </c>
      <c r="BE69" s="717"/>
      <c r="BF69" s="717">
        <f t="shared" si="61"/>
        <v>3767188.4315311005</v>
      </c>
      <c r="BG69" s="1209"/>
      <c r="BH69" s="717">
        <f t="shared" si="62"/>
        <v>3767188.4315311005</v>
      </c>
      <c r="BI69" s="717"/>
      <c r="BJ69" s="717">
        <f t="shared" si="63"/>
        <v>3767188.4315311005</v>
      </c>
      <c r="BK69" s="717"/>
      <c r="BL69" s="717">
        <f t="shared" si="64"/>
        <v>3767188.4315311005</v>
      </c>
      <c r="BM69" s="717"/>
      <c r="BN69" s="717">
        <f t="shared" si="65"/>
        <v>3767188.4315311005</v>
      </c>
      <c r="BO69" s="717"/>
      <c r="BP69" s="717">
        <f t="shared" si="22"/>
        <v>3767188.4315311005</v>
      </c>
      <c r="BQ69" s="717"/>
      <c r="BR69" s="717">
        <f t="shared" si="133"/>
        <v>3767188.4315311005</v>
      </c>
      <c r="BS69" s="717"/>
      <c r="BT69" s="717">
        <f t="shared" si="66"/>
        <v>3767188.4315311005</v>
      </c>
      <c r="BU69" s="717"/>
      <c r="BV69" s="1235">
        <f t="shared" si="134"/>
        <v>51400</v>
      </c>
      <c r="BW69" s="717">
        <f t="shared" si="67"/>
        <v>3818588.4315311005</v>
      </c>
      <c r="BX69" s="717">
        <f t="shared" si="147"/>
        <v>27651.078536278128</v>
      </c>
      <c r="BY69" s="717">
        <f t="shared" si="68"/>
        <v>3846239.5100673786</v>
      </c>
      <c r="BZ69" s="1194">
        <f t="shared" si="69"/>
        <v>3846239.5100673786</v>
      </c>
      <c r="CA69" s="1194">
        <f t="shared" si="70"/>
        <v>2966239.5100673786</v>
      </c>
      <c r="CB69" s="1194">
        <v>40000</v>
      </c>
      <c r="CC69" s="1194">
        <f t="shared" si="71"/>
        <v>880000</v>
      </c>
      <c r="CD69" s="1194">
        <f t="shared" si="72"/>
        <v>105600</v>
      </c>
      <c r="CE69" s="1194">
        <f t="shared" si="73"/>
        <v>985600</v>
      </c>
      <c r="CF69" s="1200">
        <f t="shared" si="74"/>
        <v>3951839.5100673786</v>
      </c>
      <c r="CG69" s="757">
        <f t="shared" si="75"/>
        <v>3951839.5100673786</v>
      </c>
      <c r="CH69" s="758">
        <f t="shared" si="76"/>
        <v>0</v>
      </c>
      <c r="CI69" s="757">
        <f t="shared" si="25"/>
        <v>405063.5497819063</v>
      </c>
      <c r="CJ69" s="757">
        <f t="shared" si="26"/>
        <v>98795.987751684472</v>
      </c>
      <c r="CK69" s="759">
        <f t="shared" si="155"/>
        <v>4455699.0476009687</v>
      </c>
      <c r="CL69" s="764">
        <f t="shared" si="78"/>
        <v>0.125</v>
      </c>
      <c r="CM69" s="757">
        <f t="shared" si="79"/>
        <v>556962.38095012109</v>
      </c>
      <c r="CN69" s="757">
        <f t="shared" si="124"/>
        <v>30000</v>
      </c>
      <c r="CO69" s="757">
        <f t="shared" si="80"/>
        <v>526962.38095012109</v>
      </c>
      <c r="CP69" s="755">
        <f t="shared" si="81"/>
        <v>29</v>
      </c>
      <c r="CQ69" s="757">
        <f t="shared" si="129"/>
        <v>18171.116584486936</v>
      </c>
      <c r="CR69" s="764">
        <f t="shared" si="83"/>
        <v>0.875</v>
      </c>
      <c r="CS69" s="757">
        <f t="shared" si="84"/>
        <v>3898736.6666508475</v>
      </c>
      <c r="CT69" s="1101">
        <f t="shared" si="85"/>
        <v>30226.863879126813</v>
      </c>
      <c r="CU69" s="1101">
        <f t="shared" si="86"/>
        <v>35042.947365947366</v>
      </c>
      <c r="CV69" s="1101">
        <f t="shared" si="87"/>
        <v>45267.638523871756</v>
      </c>
      <c r="CW69" s="1141">
        <f t="shared" si="27"/>
        <v>77199.65879289397</v>
      </c>
      <c r="CX69" s="1152">
        <f t="shared" si="88"/>
        <v>316706.77162223955</v>
      </c>
      <c r="CY69" s="1152">
        <f t="shared" si="89"/>
        <v>125319.32676366066</v>
      </c>
      <c r="CZ69" s="1152">
        <f t="shared" si="90"/>
        <v>90516.374799379788</v>
      </c>
      <c r="DA69" s="1152">
        <f t="shared" si="91"/>
        <v>68887.128380998969</v>
      </c>
      <c r="DB69" s="1143">
        <f t="shared" si="28"/>
        <v>0.16494398944096686</v>
      </c>
      <c r="DC69" s="1143">
        <f t="shared" si="125"/>
        <v>0.33227256148901202</v>
      </c>
      <c r="DD69" s="1098" t="s">
        <v>232</v>
      </c>
      <c r="DE69" s="1144"/>
      <c r="DF69" s="705"/>
      <c r="DG69" s="765">
        <f t="shared" si="126"/>
        <v>46082</v>
      </c>
      <c r="DH69" s="1116">
        <f t="shared" si="29"/>
        <v>28</v>
      </c>
      <c r="DI69" s="497"/>
      <c r="DJ69" s="1117">
        <f t="shared" si="92"/>
        <v>46147</v>
      </c>
      <c r="DK69" s="1116">
        <f t="shared" si="93"/>
        <v>30</v>
      </c>
      <c r="DL69" s="766" t="s">
        <v>233</v>
      </c>
      <c r="DM69" s="766" t="s">
        <v>234</v>
      </c>
      <c r="DN69" s="767">
        <f t="shared" si="30"/>
        <v>25191.44566007494</v>
      </c>
      <c r="DO69" s="767">
        <f t="shared" si="31"/>
        <v>554211.80452164868</v>
      </c>
      <c r="DP69" s="768">
        <f t="shared" si="32"/>
        <v>0.18473726817388289</v>
      </c>
      <c r="DR69" s="767">
        <f t="shared" si="33"/>
        <v>3951839.5100673786</v>
      </c>
      <c r="DS69" s="767">
        <f>SUM('[6]INTERNAL PRICELIST'!M69)</f>
        <v>2329361</v>
      </c>
      <c r="DT69" s="767">
        <f t="shared" si="94"/>
        <v>1622478.5100673786</v>
      </c>
      <c r="DV69" s="951">
        <f t="shared" si="34"/>
        <v>179629.06863942629</v>
      </c>
      <c r="DX69" s="772">
        <v>10</v>
      </c>
      <c r="DY69" s="773" t="s">
        <v>279</v>
      </c>
      <c r="DZ69" s="774">
        <v>22</v>
      </c>
      <c r="EA69" s="775">
        <f t="shared" si="156"/>
        <v>0</v>
      </c>
      <c r="ED69" s="1133" t="s">
        <v>392</v>
      </c>
      <c r="EE69" s="777" t="b">
        <f t="shared" si="36"/>
        <v>1</v>
      </c>
      <c r="EF69" s="1123" t="s">
        <v>393</v>
      </c>
      <c r="EG69" s="1123" t="s">
        <v>394</v>
      </c>
      <c r="EH69" s="1203"/>
      <c r="EP69" s="1230" t="s">
        <v>258</v>
      </c>
      <c r="EQ69" s="1145" t="s">
        <v>258</v>
      </c>
      <c r="ER69" s="753" t="b">
        <f t="shared" si="95"/>
        <v>1</v>
      </c>
      <c r="EU69" s="770">
        <v>2271040</v>
      </c>
      <c r="EV69" s="771" t="s">
        <v>236</v>
      </c>
      <c r="EZ69" s="520"/>
      <c r="FA69" s="778"/>
      <c r="FG69" s="1107"/>
      <c r="FJ69" s="994">
        <v>0.15</v>
      </c>
      <c r="FK69" s="993">
        <v>13489.760840409723</v>
      </c>
      <c r="FL69" s="993">
        <v>13854.348971231608</v>
      </c>
      <c r="FM69" s="497"/>
      <c r="FN69" s="993">
        <f t="shared" si="38"/>
        <v>4455699.0476009687</v>
      </c>
      <c r="FO69" s="994">
        <f t="shared" si="96"/>
        <v>0.15</v>
      </c>
      <c r="FP69" s="775">
        <f t="shared" si="39"/>
        <v>668354.85714014526</v>
      </c>
      <c r="FQ69" s="993">
        <f t="shared" si="40"/>
        <v>30000</v>
      </c>
      <c r="FR69" s="775">
        <f t="shared" si="97"/>
        <v>638354.85714014526</v>
      </c>
      <c r="FS69" s="497">
        <f t="shared" si="98"/>
        <v>40</v>
      </c>
      <c r="FT69" s="775">
        <f t="shared" si="99"/>
        <v>15958.871428503631</v>
      </c>
      <c r="FU69" s="497"/>
      <c r="FV69" s="993">
        <f t="shared" si="100"/>
        <v>4455699.0476009687</v>
      </c>
      <c r="FW69" s="705">
        <f t="shared" si="101"/>
        <v>445569.90476009692</v>
      </c>
      <c r="FX69" s="705">
        <f t="shared" si="102"/>
        <v>111392.47619002423</v>
      </c>
      <c r="FY69" s="705">
        <v>15000</v>
      </c>
      <c r="FZ69" s="705">
        <f t="shared" si="103"/>
        <v>430569.90476009692</v>
      </c>
      <c r="GA69" s="497">
        <f t="shared" si="104"/>
        <v>46</v>
      </c>
      <c r="GB69" s="775">
        <f t="shared" si="105"/>
        <v>9360.2153208716718</v>
      </c>
      <c r="GC69" s="497"/>
      <c r="GD69" s="497"/>
      <c r="GE69" s="1107"/>
      <c r="GH69" s="1095">
        <f t="shared" si="0"/>
        <v>4455699.0476009687</v>
      </c>
      <c r="GI69" s="1098">
        <f t="shared" si="1"/>
        <v>0.125</v>
      </c>
      <c r="GJ69" s="1095">
        <f t="shared" si="2"/>
        <v>556962.38095012109</v>
      </c>
      <c r="GK69" s="1095">
        <f t="shared" si="3"/>
        <v>30000</v>
      </c>
      <c r="GL69" s="1095">
        <f t="shared" si="4"/>
        <v>526962.38095012109</v>
      </c>
      <c r="GM69" s="1095">
        <f t="shared" si="5"/>
        <v>29</v>
      </c>
      <c r="GN69" s="1095">
        <f t="shared" si="6"/>
        <v>18171.116584486936</v>
      </c>
      <c r="GO69" s="1098">
        <f t="shared" si="7"/>
        <v>0.875</v>
      </c>
      <c r="GP69" s="1095">
        <f t="shared" si="8"/>
        <v>3898736.6666508475</v>
      </c>
      <c r="GQ69" s="1095">
        <f t="shared" si="9"/>
        <v>30226.863879126813</v>
      </c>
      <c r="GR69" s="1095">
        <f t="shared" si="10"/>
        <v>35042.947365947366</v>
      </c>
      <c r="GS69" s="1095">
        <f t="shared" si="11"/>
        <v>45267.638523871756</v>
      </c>
      <c r="GT69" s="1095">
        <f t="shared" si="12"/>
        <v>77199.65879289397</v>
      </c>
      <c r="GU69" s="497"/>
      <c r="GV69" s="1095">
        <f t="shared" si="106"/>
        <v>4455699.0476009687</v>
      </c>
      <c r="GW69" s="1098">
        <f t="shared" si="107"/>
        <v>0.125</v>
      </c>
      <c r="GX69" s="1095">
        <f t="shared" si="108"/>
        <v>556962.38095012109</v>
      </c>
      <c r="GY69" s="1095">
        <f t="shared" si="109"/>
        <v>30000</v>
      </c>
      <c r="GZ69" s="1095">
        <f t="shared" si="110"/>
        <v>526962.38095012109</v>
      </c>
      <c r="HA69" s="1106">
        <f t="shared" si="111"/>
        <v>48</v>
      </c>
      <c r="HB69" s="770">
        <f t="shared" si="112"/>
        <v>10978.382936460855</v>
      </c>
      <c r="HC69" s="1098">
        <f t="shared" si="113"/>
        <v>0.875</v>
      </c>
      <c r="HD69" s="1102">
        <f t="shared" si="114"/>
        <v>3898736.6666508475</v>
      </c>
      <c r="HE69" s="1101">
        <f t="shared" si="115"/>
        <v>30226.863879126813</v>
      </c>
      <c r="HF69" s="1101">
        <f t="shared" si="116"/>
        <v>35042.947365947366</v>
      </c>
      <c r="HG69" s="1101">
        <f t="shared" si="117"/>
        <v>45267.638523871756</v>
      </c>
      <c r="HH69" s="1101">
        <f t="shared" si="118"/>
        <v>77199.65879289397</v>
      </c>
      <c r="HI69" s="497"/>
      <c r="HJ69" s="1102">
        <f t="shared" si="119"/>
        <v>-7192.7336480260801</v>
      </c>
      <c r="HL69" s="775"/>
      <c r="HN69" s="775"/>
      <c r="HO69" s="775"/>
      <c r="HQ69" s="702"/>
      <c r="HR69" s="1171"/>
      <c r="HS69" s="702"/>
      <c r="HT69" s="1171"/>
    </row>
    <row r="70" spans="1:228" ht="14.25" customHeight="1">
      <c r="A70" s="753">
        <f t="shared" si="120"/>
        <v>64</v>
      </c>
      <c r="B70" s="753" t="s">
        <v>236</v>
      </c>
      <c r="C70" s="753">
        <f>C69+1</f>
        <v>2</v>
      </c>
      <c r="D70" s="753" t="s">
        <v>260</v>
      </c>
      <c r="E70" s="717" t="str">
        <f t="shared" si="41"/>
        <v>5th Floor</v>
      </c>
      <c r="F70" s="754"/>
      <c r="G70" s="756" t="s">
        <v>395</v>
      </c>
      <c r="H70" s="756"/>
      <c r="I70" s="755" t="s">
        <v>229</v>
      </c>
      <c r="J70" s="757">
        <v>22</v>
      </c>
      <c r="K70" s="758"/>
      <c r="L70" s="759" t="s">
        <v>69</v>
      </c>
      <c r="M70" s="760" t="s">
        <v>68</v>
      </c>
      <c r="N70" s="761">
        <f t="shared" si="42"/>
        <v>106005.26567735759</v>
      </c>
      <c r="O70" s="762">
        <f t="shared" si="43"/>
        <v>2332115.8449018667</v>
      </c>
      <c r="P70" s="762">
        <f t="shared" si="44"/>
        <v>22400</v>
      </c>
      <c r="Q70" s="762">
        <f t="shared" si="14"/>
        <v>50000</v>
      </c>
      <c r="R70" s="762"/>
      <c r="S70" s="762"/>
      <c r="T70" s="762"/>
      <c r="U70" s="762"/>
      <c r="V70" s="762"/>
      <c r="W70" s="762"/>
      <c r="X70" s="762"/>
      <c r="Y70" s="762">
        <f>$Y$69</f>
        <v>20000</v>
      </c>
      <c r="Z70" s="762">
        <f t="shared" si="15"/>
        <v>142461</v>
      </c>
      <c r="AA70" s="762">
        <v>45722.732758620688</v>
      </c>
      <c r="AB70" s="762"/>
      <c r="AC70" s="762"/>
      <c r="AD70" s="763">
        <f t="shared" si="45"/>
        <v>280583.7327586207</v>
      </c>
      <c r="AE70" s="763">
        <f t="shared" si="16"/>
        <v>2612699.5776604875</v>
      </c>
      <c r="AF70" s="762">
        <f t="shared" si="17"/>
        <v>65317.489441512189</v>
      </c>
      <c r="AG70" s="762">
        <f t="shared" si="46"/>
        <v>2678017.0671019997</v>
      </c>
      <c r="AH70" s="762">
        <f t="shared" si="18"/>
        <v>66950.42667755</v>
      </c>
      <c r="AI70" s="762">
        <f t="shared" si="47"/>
        <v>2744967.4937795498</v>
      </c>
      <c r="AJ70" s="762">
        <f t="shared" si="48"/>
        <v>137248.37468897749</v>
      </c>
      <c r="AK70" s="762">
        <f t="shared" si="122"/>
        <v>2882215.8684685272</v>
      </c>
      <c r="AL70" s="762">
        <f t="shared" si="49"/>
        <v>28822.158684685273</v>
      </c>
      <c r="AM70" s="762">
        <f t="shared" si="50"/>
        <v>27537.409960060559</v>
      </c>
      <c r="AN70" s="762"/>
      <c r="AO70" s="763">
        <f t="shared" si="51"/>
        <v>2938575.437113273</v>
      </c>
      <c r="AP70" s="763">
        <f t="shared" si="52"/>
        <v>484864.94712369004</v>
      </c>
      <c r="AQ70" s="763">
        <f t="shared" si="53"/>
        <v>3423440.384236963</v>
      </c>
      <c r="AR70" s="1178">
        <f t="shared" si="19"/>
        <v>3000000</v>
      </c>
      <c r="AS70" s="1178">
        <f t="shared" si="123"/>
        <v>19247.290192589226</v>
      </c>
      <c r="AT70" s="1178">
        <f t="shared" si="54"/>
        <v>423440.384236963</v>
      </c>
      <c r="AU70" s="1178">
        <f t="shared" si="20"/>
        <v>50812.846108435559</v>
      </c>
      <c r="AV70" s="1178">
        <f t="shared" si="55"/>
        <v>474253.23034539854</v>
      </c>
      <c r="AW70" s="1178">
        <f t="shared" si="56"/>
        <v>3474253.2303453987</v>
      </c>
      <c r="AX70" s="762">
        <f t="shared" si="57"/>
        <v>43428.165379317485</v>
      </c>
      <c r="AY70" s="717" t="s">
        <v>231</v>
      </c>
      <c r="AZ70" s="717">
        <f t="shared" si="58"/>
        <v>3517681.3957247161</v>
      </c>
      <c r="BA70" s="717">
        <f t="shared" si="59"/>
        <v>131913.05233967685</v>
      </c>
      <c r="BB70" s="717"/>
      <c r="BC70" s="717">
        <f t="shared" si="21"/>
        <v>33600</v>
      </c>
      <c r="BD70" s="717">
        <f t="shared" si="60"/>
        <v>3683194.4480643929</v>
      </c>
      <c r="BE70" s="717"/>
      <c r="BF70" s="717">
        <f t="shared" si="61"/>
        <v>3683194.4480643929</v>
      </c>
      <c r="BG70" s="1209"/>
      <c r="BH70" s="717">
        <f t="shared" si="62"/>
        <v>3683194.4480643929</v>
      </c>
      <c r="BI70" s="717"/>
      <c r="BJ70" s="717">
        <f t="shared" si="63"/>
        <v>3683194.4480643929</v>
      </c>
      <c r="BK70" s="717"/>
      <c r="BL70" s="717">
        <f t="shared" si="64"/>
        <v>3683194.4480643929</v>
      </c>
      <c r="BM70" s="717"/>
      <c r="BN70" s="717">
        <f t="shared" si="65"/>
        <v>3683194.4480643929</v>
      </c>
      <c r="BO70" s="717"/>
      <c r="BP70" s="717">
        <f t="shared" si="22"/>
        <v>3683194.4480643929</v>
      </c>
      <c r="BQ70" s="717"/>
      <c r="BR70" s="717">
        <f t="shared" si="133"/>
        <v>3683194.4480643929</v>
      </c>
      <c r="BS70" s="1234">
        <f>$BS$5/64</f>
        <v>2651.4786794501206</v>
      </c>
      <c r="BT70" s="1235">
        <f t="shared" si="66"/>
        <v>3685845.9267438431</v>
      </c>
      <c r="BU70" s="1235">
        <f>$BU$5/65</f>
        <v>211.07692307692309</v>
      </c>
      <c r="BV70" s="1235">
        <f t="shared" si="134"/>
        <v>51400</v>
      </c>
      <c r="BW70" s="717">
        <f t="shared" si="67"/>
        <v>3737457.0036669201</v>
      </c>
      <c r="BX70" s="1234">
        <f t="shared" si="147"/>
        <v>27651.078536278128</v>
      </c>
      <c r="BY70" s="717">
        <f t="shared" si="68"/>
        <v>3765108.0822031982</v>
      </c>
      <c r="BZ70" s="1194">
        <f t="shared" si="69"/>
        <v>3765108.0822031982</v>
      </c>
      <c r="CA70" s="1194">
        <f t="shared" si="70"/>
        <v>2885108.0822031982</v>
      </c>
      <c r="CB70" s="1194">
        <f>$CB$5</f>
        <v>40000</v>
      </c>
      <c r="CC70" s="1194">
        <f t="shared" si="71"/>
        <v>880000</v>
      </c>
      <c r="CD70" s="1194">
        <f t="shared" si="72"/>
        <v>105600</v>
      </c>
      <c r="CE70" s="1194">
        <f t="shared" si="73"/>
        <v>985600</v>
      </c>
      <c r="CF70" s="1200">
        <f t="shared" si="74"/>
        <v>3870708.0822031982</v>
      </c>
      <c r="CG70" s="757">
        <f t="shared" si="75"/>
        <v>3870708.0822031982</v>
      </c>
      <c r="CH70" s="758">
        <f t="shared" si="76"/>
        <v>0</v>
      </c>
      <c r="CI70" s="757">
        <f t="shared" si="25"/>
        <v>396747.57842582779</v>
      </c>
      <c r="CJ70" s="757">
        <f t="shared" si="26"/>
        <v>96767.702055079964</v>
      </c>
      <c r="CK70" s="759">
        <f t="shared" si="155"/>
        <v>4364223.3626841055</v>
      </c>
      <c r="CL70" s="764">
        <f t="shared" si="78"/>
        <v>0.125</v>
      </c>
      <c r="CM70" s="757">
        <f t="shared" si="79"/>
        <v>545527.92033551319</v>
      </c>
      <c r="CN70" s="757">
        <f t="shared" si="124"/>
        <v>30000</v>
      </c>
      <c r="CO70" s="757">
        <f t="shared" si="80"/>
        <v>515527.92033551319</v>
      </c>
      <c r="CP70" s="755">
        <f t="shared" si="81"/>
        <v>29</v>
      </c>
      <c r="CQ70" s="757">
        <f t="shared" si="129"/>
        <v>17776.824839155626</v>
      </c>
      <c r="CR70" s="764">
        <f t="shared" si="83"/>
        <v>0.875</v>
      </c>
      <c r="CS70" s="757">
        <f t="shared" si="84"/>
        <v>3818695.4423485924</v>
      </c>
      <c r="CT70" s="1101">
        <f t="shared" si="85"/>
        <v>29606.305119055112</v>
      </c>
      <c r="CU70" s="1101">
        <f t="shared" si="86"/>
        <v>34323.51421358229</v>
      </c>
      <c r="CV70" s="1101">
        <f t="shared" si="87"/>
        <v>44338.292041018591</v>
      </c>
      <c r="CW70" s="1141">
        <f t="shared" si="27"/>
        <v>75614.746619072364</v>
      </c>
      <c r="CX70" s="1152">
        <f t="shared" si="88"/>
        <v>310204.76855999243</v>
      </c>
      <c r="CY70" s="1152">
        <f t="shared" si="89"/>
        <v>122746.51582500484</v>
      </c>
      <c r="CZ70" s="1152">
        <f t="shared" si="90"/>
        <v>88658.06989761068</v>
      </c>
      <c r="DA70" s="1152">
        <f t="shared" si="91"/>
        <v>67472.87279881358</v>
      </c>
      <c r="DB70" s="1143">
        <f t="shared" si="28"/>
        <v>0.14114679474565434</v>
      </c>
      <c r="DC70" s="1143">
        <f t="shared" si="125"/>
        <v>0.3416163179742478</v>
      </c>
      <c r="DD70" s="1098" t="s">
        <v>232</v>
      </c>
      <c r="DE70" s="1144"/>
      <c r="DF70" s="705"/>
      <c r="DG70" s="765">
        <f t="shared" si="126"/>
        <v>46082</v>
      </c>
      <c r="DH70" s="1116">
        <f t="shared" si="29"/>
        <v>28</v>
      </c>
      <c r="DI70" s="497"/>
      <c r="DJ70" s="1117">
        <f t="shared" si="92"/>
        <v>46147</v>
      </c>
      <c r="DK70" s="1116">
        <f t="shared" si="93"/>
        <v>30</v>
      </c>
      <c r="DL70" s="766" t="s">
        <v>233</v>
      </c>
      <c r="DM70" s="766" t="s">
        <v>234</v>
      </c>
      <c r="DN70" s="767">
        <f t="shared" si="30"/>
        <v>21556.965015699934</v>
      </c>
      <c r="DO70" s="767">
        <f t="shared" si="31"/>
        <v>474253.23034539854</v>
      </c>
      <c r="DP70" s="768">
        <f t="shared" si="32"/>
        <v>0.15808441011513286</v>
      </c>
      <c r="DR70" s="767">
        <f t="shared" si="33"/>
        <v>3870708.0822031982</v>
      </c>
      <c r="DS70" s="767">
        <f>SUM('[6]INTERNAL PRICELIST'!M70)</f>
        <v>2329361</v>
      </c>
      <c r="DT70" s="767">
        <f t="shared" si="94"/>
        <v>1541347.0822031982</v>
      </c>
      <c r="DV70" s="951">
        <f t="shared" si="34"/>
        <v>175941.27646378175</v>
      </c>
      <c r="DX70" s="772">
        <v>11</v>
      </c>
      <c r="DY70" s="773" t="s">
        <v>283</v>
      </c>
      <c r="DZ70" s="774">
        <v>22</v>
      </c>
      <c r="EA70" s="775">
        <f t="shared" si="156"/>
        <v>0</v>
      </c>
      <c r="ED70" s="755" t="s">
        <v>395</v>
      </c>
      <c r="EE70" s="777" t="b">
        <f t="shared" si="36"/>
        <v>1</v>
      </c>
      <c r="EF70" s="1123" t="s">
        <v>396</v>
      </c>
      <c r="EG70" s="1123" t="s">
        <v>394</v>
      </c>
      <c r="EH70" s="1203"/>
      <c r="EP70" s="1230" t="s">
        <v>258</v>
      </c>
      <c r="EQ70" s="1145" t="s">
        <v>258</v>
      </c>
      <c r="ER70" s="753" t="b">
        <f t="shared" si="95"/>
        <v>1</v>
      </c>
      <c r="EU70" s="770">
        <v>2271040</v>
      </c>
      <c r="EV70" s="771" t="s">
        <v>236</v>
      </c>
      <c r="EZ70" s="520"/>
      <c r="FA70" s="778"/>
      <c r="FG70" s="1107"/>
      <c r="FJ70" s="994">
        <v>0.15</v>
      </c>
      <c r="FK70" s="993">
        <v>12931.189511786559</v>
      </c>
      <c r="FL70" s="993">
        <v>13280.681120213221</v>
      </c>
      <c r="FM70" s="497"/>
      <c r="FN70" s="993">
        <f t="shared" si="38"/>
        <v>4364223.3626841055</v>
      </c>
      <c r="FO70" s="994">
        <f t="shared" si="96"/>
        <v>0.15</v>
      </c>
      <c r="FP70" s="775">
        <f t="shared" si="39"/>
        <v>654633.50440261583</v>
      </c>
      <c r="FQ70" s="993">
        <f t="shared" si="40"/>
        <v>30000</v>
      </c>
      <c r="FR70" s="775">
        <f t="shared" si="97"/>
        <v>624633.50440261583</v>
      </c>
      <c r="FS70" s="497">
        <f t="shared" si="98"/>
        <v>40</v>
      </c>
      <c r="FT70" s="775">
        <f t="shared" si="99"/>
        <v>15615.837610065395</v>
      </c>
      <c r="FU70" s="497"/>
      <c r="FV70" s="993">
        <f t="shared" si="100"/>
        <v>4364223.3626841055</v>
      </c>
      <c r="FW70" s="705">
        <f t="shared" si="101"/>
        <v>436422.33626841055</v>
      </c>
      <c r="FX70" s="705">
        <f t="shared" si="102"/>
        <v>109105.58406710264</v>
      </c>
      <c r="FY70" s="705">
        <v>15000</v>
      </c>
      <c r="FZ70" s="705">
        <f t="shared" si="103"/>
        <v>421422.33626841055</v>
      </c>
      <c r="GA70" s="497">
        <f t="shared" si="104"/>
        <v>46</v>
      </c>
      <c r="GB70" s="775">
        <f t="shared" si="105"/>
        <v>9161.3551362697945</v>
      </c>
      <c r="GC70" s="497"/>
      <c r="GD70" s="497"/>
      <c r="GE70" s="1107"/>
      <c r="GH70" s="1095">
        <f t="shared" ref="GH70:GH133" si="161">CK70</f>
        <v>4364223.3626841055</v>
      </c>
      <c r="GI70" s="1098">
        <f t="shared" ref="GI70:GI133" si="162">CL70</f>
        <v>0.125</v>
      </c>
      <c r="GJ70" s="1095">
        <f t="shared" ref="GJ70:GJ133" si="163">CM70</f>
        <v>545527.92033551319</v>
      </c>
      <c r="GK70" s="1095">
        <f t="shared" ref="GK70:GK133" si="164">CN70</f>
        <v>30000</v>
      </c>
      <c r="GL70" s="1095">
        <f t="shared" ref="GL70:GL133" si="165">CO70</f>
        <v>515527.92033551319</v>
      </c>
      <c r="GM70" s="1095">
        <f t="shared" ref="GM70:GM133" si="166">CP70</f>
        <v>29</v>
      </c>
      <c r="GN70" s="1095">
        <f t="shared" ref="GN70:GN133" si="167">CQ70</f>
        <v>17776.824839155626</v>
      </c>
      <c r="GO70" s="1098">
        <f t="shared" ref="GO70:GO133" si="168">CR70</f>
        <v>0.875</v>
      </c>
      <c r="GP70" s="1095">
        <f t="shared" ref="GP70:GP133" si="169">CS70</f>
        <v>3818695.4423485924</v>
      </c>
      <c r="GQ70" s="1095">
        <f t="shared" ref="GQ70:GQ133" si="170">CT70</f>
        <v>29606.305119055112</v>
      </c>
      <c r="GR70" s="1095">
        <f t="shared" ref="GR70:GR133" si="171">CU70</f>
        <v>34323.51421358229</v>
      </c>
      <c r="GS70" s="1095">
        <f t="shared" ref="GS70:GS133" si="172">CV70</f>
        <v>44338.292041018591</v>
      </c>
      <c r="GT70" s="1095">
        <f t="shared" ref="GT70:GT133" si="173">CW70</f>
        <v>75614.746619072364</v>
      </c>
      <c r="GU70" s="497"/>
      <c r="GV70" s="1095">
        <f t="shared" si="106"/>
        <v>4364223.3626841055</v>
      </c>
      <c r="GW70" s="1098">
        <f t="shared" si="107"/>
        <v>0.125</v>
      </c>
      <c r="GX70" s="1095">
        <f t="shared" si="108"/>
        <v>545527.92033551319</v>
      </c>
      <c r="GY70" s="1095">
        <f t="shared" si="109"/>
        <v>30000</v>
      </c>
      <c r="GZ70" s="1095">
        <f t="shared" si="110"/>
        <v>515527.92033551319</v>
      </c>
      <c r="HA70" s="1106">
        <f t="shared" si="111"/>
        <v>48</v>
      </c>
      <c r="HB70" s="770">
        <f t="shared" si="112"/>
        <v>10740.165006989859</v>
      </c>
      <c r="HC70" s="1098">
        <f t="shared" si="113"/>
        <v>0.875</v>
      </c>
      <c r="HD70" s="1102">
        <f t="shared" si="114"/>
        <v>3818695.4423485924</v>
      </c>
      <c r="HE70" s="1101">
        <f t="shared" si="115"/>
        <v>29606.305119055112</v>
      </c>
      <c r="HF70" s="1101">
        <f t="shared" si="116"/>
        <v>34323.51421358229</v>
      </c>
      <c r="HG70" s="1101">
        <f t="shared" si="117"/>
        <v>44338.292041018591</v>
      </c>
      <c r="HH70" s="1101">
        <f t="shared" si="118"/>
        <v>75614.746619072364</v>
      </c>
      <c r="HI70" s="497"/>
      <c r="HJ70" s="1102">
        <f t="shared" si="119"/>
        <v>-7036.6598321657675</v>
      </c>
      <c r="HL70" s="775"/>
      <c r="HN70" s="775"/>
      <c r="HO70" s="775"/>
      <c r="HQ70" s="702"/>
      <c r="HR70" s="1171"/>
      <c r="HS70" s="702"/>
      <c r="HT70" s="1171"/>
    </row>
    <row r="71" spans="1:228" ht="14.25" hidden="1" customHeight="1">
      <c r="A71" s="753">
        <f t="shared" si="120"/>
        <v>65</v>
      </c>
      <c r="B71" s="753" t="s">
        <v>236</v>
      </c>
      <c r="C71" s="753">
        <f t="shared" ref="C71:C99" si="174">C70+1</f>
        <v>3</v>
      </c>
      <c r="D71" s="753" t="s">
        <v>260</v>
      </c>
      <c r="E71" s="717" t="str">
        <f t="shared" si="41"/>
        <v>5th Floor</v>
      </c>
      <c r="F71" s="754"/>
      <c r="G71" s="756" t="s">
        <v>397</v>
      </c>
      <c r="H71" s="756"/>
      <c r="I71" s="755" t="s">
        <v>229</v>
      </c>
      <c r="J71" s="757">
        <v>22</v>
      </c>
      <c r="K71" s="758"/>
      <c r="L71" s="759" t="s">
        <v>69</v>
      </c>
      <c r="M71" s="760" t="s">
        <v>68</v>
      </c>
      <c r="N71" s="761">
        <f t="shared" si="42"/>
        <v>106005.26567735759</v>
      </c>
      <c r="O71" s="762">
        <f t="shared" si="43"/>
        <v>2332115.8449018667</v>
      </c>
      <c r="P71" s="762">
        <f t="shared" si="44"/>
        <v>22400</v>
      </c>
      <c r="Q71" s="762">
        <f t="shared" ref="Q71:Q134" si="175">$Q$5</f>
        <v>50000</v>
      </c>
      <c r="R71" s="762"/>
      <c r="S71" s="762"/>
      <c r="T71" s="762"/>
      <c r="U71" s="762"/>
      <c r="V71" s="762"/>
      <c r="W71" s="762"/>
      <c r="X71" s="762"/>
      <c r="Y71" s="762">
        <f t="shared" ref="Y71:Y99" si="176">$Y$69</f>
        <v>20000</v>
      </c>
      <c r="Z71" s="762">
        <f t="shared" ref="Z71:Z134" si="177">$Z$5</f>
        <v>142461</v>
      </c>
      <c r="AA71" s="762">
        <v>45722.732758620688</v>
      </c>
      <c r="AB71" s="762"/>
      <c r="AC71" s="762"/>
      <c r="AD71" s="763">
        <f t="shared" si="45"/>
        <v>280583.7327586207</v>
      </c>
      <c r="AE71" s="763">
        <f t="shared" ref="AE71:AE134" si="178">O71+AD71</f>
        <v>2612699.5776604875</v>
      </c>
      <c r="AF71" s="762">
        <f t="shared" ref="AF71:AF134" si="179">AE71*$AF$5</f>
        <v>65317.489441512189</v>
      </c>
      <c r="AG71" s="762">
        <f t="shared" si="46"/>
        <v>2678017.0671019997</v>
      </c>
      <c r="AH71" s="762">
        <f t="shared" ref="AH71:AH134" si="180">AG71*$AH$5</f>
        <v>66950.42667755</v>
      </c>
      <c r="AI71" s="762">
        <f t="shared" si="47"/>
        <v>2744967.4937795498</v>
      </c>
      <c r="AJ71" s="762">
        <f t="shared" si="48"/>
        <v>137248.37468897749</v>
      </c>
      <c r="AK71" s="762">
        <f t="shared" si="122"/>
        <v>2882215.8684685272</v>
      </c>
      <c r="AL71" s="762">
        <f t="shared" si="49"/>
        <v>28822.158684685273</v>
      </c>
      <c r="AM71" s="762">
        <f t="shared" si="50"/>
        <v>27537.409960060559</v>
      </c>
      <c r="AN71" s="762"/>
      <c r="AO71" s="763">
        <f t="shared" si="51"/>
        <v>2938575.437113273</v>
      </c>
      <c r="AP71" s="763">
        <f t="shared" si="52"/>
        <v>484864.94712369004</v>
      </c>
      <c r="AQ71" s="763">
        <f t="shared" si="53"/>
        <v>3423440.384236963</v>
      </c>
      <c r="AR71" s="1178">
        <f t="shared" ref="AR71:AR134" si="181">$AR$5</f>
        <v>3000000</v>
      </c>
      <c r="AS71" s="1178">
        <f t="shared" si="123"/>
        <v>19247.290192589226</v>
      </c>
      <c r="AT71" s="1178">
        <f t="shared" si="54"/>
        <v>423440.384236963</v>
      </c>
      <c r="AU71" s="1178">
        <f t="shared" ref="AU71:AU134" si="182">AT71*$AU$5</f>
        <v>50812.846108435559</v>
      </c>
      <c r="AV71" s="1178">
        <f t="shared" si="55"/>
        <v>474253.23034539854</v>
      </c>
      <c r="AW71" s="1178">
        <f t="shared" si="56"/>
        <v>3474253.2303453987</v>
      </c>
      <c r="AX71" s="762">
        <f t="shared" si="57"/>
        <v>43428.165379317485</v>
      </c>
      <c r="AY71" s="717" t="s">
        <v>231</v>
      </c>
      <c r="AZ71" s="717">
        <f t="shared" si="58"/>
        <v>3517681.3957247161</v>
      </c>
      <c r="BA71" s="717">
        <f t="shared" si="59"/>
        <v>131913.05233967685</v>
      </c>
      <c r="BB71" s="717"/>
      <c r="BC71" s="717">
        <f t="shared" ref="BC71:BC134" si="183">$BC$5*1.12</f>
        <v>33600</v>
      </c>
      <c r="BD71" s="717">
        <f t="shared" si="60"/>
        <v>3683194.4480643929</v>
      </c>
      <c r="BE71" s="717"/>
      <c r="BF71" s="717">
        <f t="shared" si="61"/>
        <v>3683194.4480643929</v>
      </c>
      <c r="BG71" s="1209"/>
      <c r="BH71" s="717">
        <f t="shared" si="62"/>
        <v>3683194.4480643929</v>
      </c>
      <c r="BI71" s="717"/>
      <c r="BJ71" s="717">
        <f t="shared" si="63"/>
        <v>3683194.4480643929</v>
      </c>
      <c r="BK71" s="717"/>
      <c r="BL71" s="717">
        <f t="shared" si="64"/>
        <v>3683194.4480643929</v>
      </c>
      <c r="BM71" s="717"/>
      <c r="BN71" s="717">
        <f t="shared" si="65"/>
        <v>3683194.4480643929</v>
      </c>
      <c r="BO71" s="717"/>
      <c r="BP71" s="717">
        <f t="shared" ref="BP71:BP134" si="184">BN71+BO71</f>
        <v>3683194.4480643929</v>
      </c>
      <c r="BQ71" s="717"/>
      <c r="BR71" s="717">
        <f t="shared" si="133"/>
        <v>3683194.4480643929</v>
      </c>
      <c r="BS71" s="717"/>
      <c r="BT71" s="717">
        <f t="shared" si="66"/>
        <v>3683194.4480643929</v>
      </c>
      <c r="BU71" s="717"/>
      <c r="BV71" s="1235">
        <f t="shared" si="134"/>
        <v>51400</v>
      </c>
      <c r="BW71" s="717">
        <f t="shared" si="67"/>
        <v>3734594.4480643929</v>
      </c>
      <c r="BX71" s="717"/>
      <c r="BY71" s="717">
        <f t="shared" si="68"/>
        <v>3734594.4480643929</v>
      </c>
      <c r="BZ71" s="1194">
        <f t="shared" si="69"/>
        <v>3734594.4480643929</v>
      </c>
      <c r="CA71" s="1194">
        <f t="shared" si="70"/>
        <v>3030594.4480643929</v>
      </c>
      <c r="CB71" s="1194">
        <v>32000</v>
      </c>
      <c r="CC71" s="1194">
        <f t="shared" si="71"/>
        <v>704000</v>
      </c>
      <c r="CD71" s="1194">
        <f t="shared" si="72"/>
        <v>84480</v>
      </c>
      <c r="CE71" s="1194">
        <f t="shared" si="73"/>
        <v>788480</v>
      </c>
      <c r="CF71" s="1200">
        <f t="shared" si="74"/>
        <v>3819074.4480643929</v>
      </c>
      <c r="CG71" s="757">
        <f t="shared" si="75"/>
        <v>3819074.4480643929</v>
      </c>
      <c r="CH71" s="758">
        <f t="shared" si="76"/>
        <v>0</v>
      </c>
      <c r="CI71" s="757">
        <f t="shared" ref="CI71:CI134" si="185">CG71*CI$5</f>
        <v>391455.13092660025</v>
      </c>
      <c r="CJ71" s="757">
        <f t="shared" ref="CJ71:CJ134" si="186">CG71*CJ$5</f>
        <v>95476.861201609834</v>
      </c>
      <c r="CK71" s="759">
        <f t="shared" si="155"/>
        <v>4306006.4401926026</v>
      </c>
      <c r="CL71" s="764">
        <f t="shared" si="78"/>
        <v>0.125</v>
      </c>
      <c r="CM71" s="757">
        <f t="shared" si="79"/>
        <v>538250.80502407532</v>
      </c>
      <c r="CN71" s="757">
        <f t="shared" si="124"/>
        <v>30000</v>
      </c>
      <c r="CO71" s="757">
        <f t="shared" si="80"/>
        <v>508250.80502407532</v>
      </c>
      <c r="CP71" s="755">
        <f t="shared" si="81"/>
        <v>29</v>
      </c>
      <c r="CQ71" s="757">
        <f t="shared" si="129"/>
        <v>17525.889828416392</v>
      </c>
      <c r="CR71" s="764">
        <f t="shared" si="83"/>
        <v>0.875</v>
      </c>
      <c r="CS71" s="757">
        <f t="shared" si="84"/>
        <v>3767755.6351685273</v>
      </c>
      <c r="CT71" s="1101">
        <f t="shared" si="85"/>
        <v>29211.36933618176</v>
      </c>
      <c r="CU71" s="1101">
        <f t="shared" si="86"/>
        <v>33865.652825530153</v>
      </c>
      <c r="CV71" s="1101">
        <f t="shared" si="87"/>
        <v>43746.837686681865</v>
      </c>
      <c r="CW71" s="1141">
        <f t="shared" ref="CW71:CW134" si="187">-PMT($CT$5/12,60,CS71,0)</f>
        <v>74606.077383492782</v>
      </c>
      <c r="CX71" s="1152">
        <f t="shared" si="88"/>
        <v>306066.76610985096</v>
      </c>
      <c r="CY71" s="1152">
        <f t="shared" si="89"/>
        <v>121109.12841285109</v>
      </c>
      <c r="CZ71" s="1152">
        <f t="shared" si="90"/>
        <v>87475.408160448584</v>
      </c>
      <c r="DA71" s="1152">
        <f t="shared" si="91"/>
        <v>66572.812769898912</v>
      </c>
      <c r="DB71" s="1143">
        <f t="shared" ref="DB71:DB134" si="188">AT71/AR71</f>
        <v>0.14114679474565434</v>
      </c>
      <c r="DC71" s="1143">
        <f t="shared" si="125"/>
        <v>0.26017337968252185</v>
      </c>
      <c r="DD71" s="1098" t="s">
        <v>232</v>
      </c>
      <c r="DE71" s="1144"/>
      <c r="DF71" s="705"/>
      <c r="DG71" s="765">
        <f t="shared" si="126"/>
        <v>46082</v>
      </c>
      <c r="DH71" s="1116">
        <f t="shared" ref="DH71:DH134" si="189">(YEAR(DG71)-YEAR($DH$5))*12+MONTH(DG71)-MONTH($DH$5)</f>
        <v>28</v>
      </c>
      <c r="DI71" s="497"/>
      <c r="DJ71" s="1117">
        <f t="shared" si="92"/>
        <v>46147</v>
      </c>
      <c r="DK71" s="1116">
        <f t="shared" si="93"/>
        <v>30</v>
      </c>
      <c r="DL71" s="766" t="s">
        <v>233</v>
      </c>
      <c r="DM71" s="766" t="s">
        <v>234</v>
      </c>
      <c r="DN71" s="767">
        <f t="shared" ref="DN71:DN134" si="190">DO71/J71</f>
        <v>21556.965015699934</v>
      </c>
      <c r="DO71" s="767">
        <f t="shared" ref="DO71:DO134" si="191">AV71</f>
        <v>474253.23034539854</v>
      </c>
      <c r="DP71" s="768">
        <f t="shared" ref="DP71:DP134" si="192">AV71/AR71</f>
        <v>0.15808441011513286</v>
      </c>
      <c r="DR71" s="767">
        <f t="shared" ref="DR71:DR134" si="193">CG71</f>
        <v>3819074.4480643929</v>
      </c>
      <c r="DS71" s="767">
        <f>SUM('[6]INTERNAL PRICELIST'!M71)</f>
        <v>2329361</v>
      </c>
      <c r="DT71" s="767">
        <f t="shared" si="94"/>
        <v>1489713.4480643929</v>
      </c>
      <c r="DV71" s="951">
        <f t="shared" ref="DV71:DV134" si="194">DR71/J71</f>
        <v>173594.29309383605</v>
      </c>
      <c r="DX71" s="772">
        <v>12</v>
      </c>
      <c r="DY71" s="773" t="s">
        <v>286</v>
      </c>
      <c r="DZ71" s="774">
        <v>22</v>
      </c>
      <c r="EA71" s="775">
        <f t="shared" ref="EA71:EA102" si="195">DZ71-J71</f>
        <v>0</v>
      </c>
      <c r="ED71" s="755" t="s">
        <v>397</v>
      </c>
      <c r="EE71" s="777" t="b">
        <f t="shared" ref="EE71:EE134" si="196">G71=ED71</f>
        <v>1</v>
      </c>
      <c r="EF71" s="1123" t="s">
        <v>398</v>
      </c>
      <c r="EG71" s="1123" t="s">
        <v>394</v>
      </c>
      <c r="EH71" s="1203"/>
      <c r="EP71" s="1230" t="s">
        <v>236</v>
      </c>
      <c r="EQ71" s="1145" t="s">
        <v>236</v>
      </c>
      <c r="ER71" s="753" t="b">
        <f t="shared" si="95"/>
        <v>1</v>
      </c>
      <c r="EU71" s="770">
        <v>2221760</v>
      </c>
      <c r="EV71" s="771" t="s">
        <v>236</v>
      </c>
      <c r="EZ71" s="520"/>
      <c r="FA71" s="778"/>
      <c r="FG71" s="1107"/>
      <c r="FJ71" s="994">
        <v>0.15</v>
      </c>
      <c r="FK71" s="993">
        <v>12931.189511786559</v>
      </c>
      <c r="FL71" s="993">
        <v>13280.681120213221</v>
      </c>
      <c r="FM71" s="497"/>
      <c r="FN71" s="993">
        <f t="shared" ref="FN71:FN134" si="197">CK71</f>
        <v>4306006.4401926026</v>
      </c>
      <c r="FO71" s="994">
        <f t="shared" si="96"/>
        <v>0.15</v>
      </c>
      <c r="FP71" s="775">
        <f t="shared" ref="FP71:FP134" si="198">FN71*FO71</f>
        <v>645900.96602889034</v>
      </c>
      <c r="FQ71" s="993">
        <f t="shared" ref="FQ71:FQ134" si="199">CN71</f>
        <v>30000</v>
      </c>
      <c r="FR71" s="775">
        <f t="shared" si="97"/>
        <v>615900.96602889034</v>
      </c>
      <c r="FS71" s="497">
        <f t="shared" si="98"/>
        <v>40</v>
      </c>
      <c r="FT71" s="775">
        <f t="shared" si="99"/>
        <v>15397.524150722258</v>
      </c>
      <c r="FU71" s="497"/>
      <c r="FV71" s="993">
        <f t="shared" si="100"/>
        <v>4306006.4401926026</v>
      </c>
      <c r="FW71" s="705">
        <f t="shared" si="101"/>
        <v>430600.6440192603</v>
      </c>
      <c r="FX71" s="705">
        <f t="shared" si="102"/>
        <v>107650.16100481508</v>
      </c>
      <c r="FY71" s="705">
        <v>15000</v>
      </c>
      <c r="FZ71" s="705">
        <f t="shared" si="103"/>
        <v>415600.6440192603</v>
      </c>
      <c r="GA71" s="497">
        <f t="shared" si="104"/>
        <v>46</v>
      </c>
      <c r="GB71" s="775">
        <f t="shared" si="105"/>
        <v>9034.7966091143553</v>
      </c>
      <c r="GC71" s="497"/>
      <c r="GD71" s="497"/>
      <c r="GE71" s="1107"/>
      <c r="GH71" s="1095">
        <f t="shared" si="161"/>
        <v>4306006.4401926026</v>
      </c>
      <c r="GI71" s="1098">
        <f t="shared" si="162"/>
        <v>0.125</v>
      </c>
      <c r="GJ71" s="1095">
        <f t="shared" si="163"/>
        <v>538250.80502407532</v>
      </c>
      <c r="GK71" s="1095">
        <f t="shared" si="164"/>
        <v>30000</v>
      </c>
      <c r="GL71" s="1095">
        <f t="shared" si="165"/>
        <v>508250.80502407532</v>
      </c>
      <c r="GM71" s="1095">
        <f t="shared" si="166"/>
        <v>29</v>
      </c>
      <c r="GN71" s="1095">
        <f t="shared" si="167"/>
        <v>17525.889828416392</v>
      </c>
      <c r="GO71" s="1098">
        <f t="shared" si="168"/>
        <v>0.875</v>
      </c>
      <c r="GP71" s="1095">
        <f t="shared" si="169"/>
        <v>3767755.6351685273</v>
      </c>
      <c r="GQ71" s="1095">
        <f t="shared" si="170"/>
        <v>29211.36933618176</v>
      </c>
      <c r="GR71" s="1095">
        <f t="shared" si="171"/>
        <v>33865.652825530153</v>
      </c>
      <c r="GS71" s="1095">
        <f t="shared" si="172"/>
        <v>43746.837686681865</v>
      </c>
      <c r="GT71" s="1095">
        <f t="shared" si="173"/>
        <v>74606.077383492782</v>
      </c>
      <c r="GU71" s="497"/>
      <c r="GV71" s="1095">
        <f t="shared" si="106"/>
        <v>4306006.4401926026</v>
      </c>
      <c r="GW71" s="1098">
        <f t="shared" si="107"/>
        <v>0.125</v>
      </c>
      <c r="GX71" s="1095">
        <f t="shared" si="108"/>
        <v>538250.80502407532</v>
      </c>
      <c r="GY71" s="1095">
        <f t="shared" si="109"/>
        <v>30000</v>
      </c>
      <c r="GZ71" s="1095">
        <f t="shared" si="110"/>
        <v>508250.80502407532</v>
      </c>
      <c r="HA71" s="1106">
        <f t="shared" si="111"/>
        <v>48</v>
      </c>
      <c r="HB71" s="770">
        <f t="shared" si="112"/>
        <v>10588.55843800157</v>
      </c>
      <c r="HC71" s="1098">
        <f t="shared" si="113"/>
        <v>0.875</v>
      </c>
      <c r="HD71" s="1102">
        <f t="shared" si="114"/>
        <v>3767755.6351685273</v>
      </c>
      <c r="HE71" s="1101">
        <f t="shared" si="115"/>
        <v>29211.36933618176</v>
      </c>
      <c r="HF71" s="1101">
        <f t="shared" si="116"/>
        <v>33865.652825530153</v>
      </c>
      <c r="HG71" s="1101">
        <f t="shared" si="117"/>
        <v>43746.837686681865</v>
      </c>
      <c r="HH71" s="1101">
        <f t="shared" si="118"/>
        <v>74606.077383492782</v>
      </c>
      <c r="HI71" s="497"/>
      <c r="HJ71" s="1102">
        <f t="shared" si="119"/>
        <v>-6937.3313904148217</v>
      </c>
      <c r="HL71" s="775"/>
      <c r="HN71" s="775"/>
      <c r="HO71" s="775"/>
      <c r="HQ71" s="702"/>
      <c r="HR71" s="1171"/>
      <c r="HS71" s="702"/>
      <c r="HT71" s="1171"/>
    </row>
    <row r="72" spans="1:228" ht="14.25" hidden="1" customHeight="1">
      <c r="A72" s="753">
        <f t="shared" si="120"/>
        <v>66</v>
      </c>
      <c r="B72" s="753" t="s">
        <v>236</v>
      </c>
      <c r="C72" s="753">
        <f t="shared" si="174"/>
        <v>4</v>
      </c>
      <c r="D72" s="753" t="s">
        <v>260</v>
      </c>
      <c r="E72" s="717" t="str">
        <f t="shared" ref="E72:E135" si="200">D72</f>
        <v>5th Floor</v>
      </c>
      <c r="F72" s="754"/>
      <c r="G72" s="756" t="s">
        <v>399</v>
      </c>
      <c r="H72" s="756"/>
      <c r="I72" s="755" t="s">
        <v>229</v>
      </c>
      <c r="J72" s="757">
        <v>22</v>
      </c>
      <c r="K72" s="758"/>
      <c r="L72" s="759" t="s">
        <v>69</v>
      </c>
      <c r="M72" s="760" t="s">
        <v>68</v>
      </c>
      <c r="N72" s="761">
        <f t="shared" ref="N72:N135" si="201">$N$5</f>
        <v>106005.26567735759</v>
      </c>
      <c r="O72" s="762">
        <f t="shared" ref="O72:O135" si="202">J72*N72</f>
        <v>2332115.8449018667</v>
      </c>
      <c r="P72" s="762">
        <f t="shared" ref="P72:P135" si="203">$P$7</f>
        <v>22400</v>
      </c>
      <c r="Q72" s="762">
        <f t="shared" si="175"/>
        <v>50000</v>
      </c>
      <c r="R72" s="762"/>
      <c r="S72" s="762"/>
      <c r="T72" s="762"/>
      <c r="U72" s="762"/>
      <c r="V72" s="762"/>
      <c r="W72" s="762"/>
      <c r="X72" s="762"/>
      <c r="Y72" s="762">
        <f t="shared" si="176"/>
        <v>20000</v>
      </c>
      <c r="Z72" s="762">
        <f t="shared" si="177"/>
        <v>142461</v>
      </c>
      <c r="AA72" s="762">
        <v>45722.732758620688</v>
      </c>
      <c r="AB72" s="762"/>
      <c r="AC72" s="762"/>
      <c r="AD72" s="763">
        <f t="shared" ref="AD72:AD135" si="204">SUM(P72:AC72)</f>
        <v>280583.7327586207</v>
      </c>
      <c r="AE72" s="763">
        <f t="shared" si="178"/>
        <v>2612699.5776604875</v>
      </c>
      <c r="AF72" s="762">
        <f t="shared" si="179"/>
        <v>65317.489441512189</v>
      </c>
      <c r="AG72" s="762">
        <f t="shared" ref="AG72:AG135" si="205">AE72+AF72</f>
        <v>2678017.0671019997</v>
      </c>
      <c r="AH72" s="762">
        <f t="shared" si="180"/>
        <v>66950.42667755</v>
      </c>
      <c r="AI72" s="762">
        <f t="shared" ref="AI72:AI135" si="206">AG72+AH72</f>
        <v>2744967.4937795498</v>
      </c>
      <c r="AJ72" s="762">
        <f t="shared" ref="AJ72:AJ135" si="207">AI72*$AJ$5</f>
        <v>137248.37468897749</v>
      </c>
      <c r="AK72" s="762">
        <f t="shared" ref="AK72:AK135" si="208">AI72+AJ72</f>
        <v>2882215.8684685272</v>
      </c>
      <c r="AL72" s="762">
        <f t="shared" ref="AL72:AL135" si="209">AK72*AL$5</f>
        <v>28822.158684685273</v>
      </c>
      <c r="AM72" s="762">
        <f t="shared" ref="AM72:AM135" si="210">$AM$5</f>
        <v>27537.409960060559</v>
      </c>
      <c r="AN72" s="762"/>
      <c r="AO72" s="763">
        <f t="shared" ref="AO72:AO135" si="211">AK72+AL72+AM72+AN72</f>
        <v>2938575.437113273</v>
      </c>
      <c r="AP72" s="763">
        <f t="shared" ref="AP72:AP135" si="212">AO72*$AP$5</f>
        <v>484864.94712369004</v>
      </c>
      <c r="AQ72" s="763">
        <f t="shared" ref="AQ72:AQ135" si="213">AO72+AP72</f>
        <v>3423440.384236963</v>
      </c>
      <c r="AR72" s="1178">
        <f t="shared" si="181"/>
        <v>3000000</v>
      </c>
      <c r="AS72" s="1178">
        <f t="shared" ref="AS72:AS135" si="214">AT72/J72</f>
        <v>19247.290192589226</v>
      </c>
      <c r="AT72" s="1178">
        <f t="shared" ref="AT72:AT135" si="215">AQ72-AR72</f>
        <v>423440.384236963</v>
      </c>
      <c r="AU72" s="1178">
        <f t="shared" si="182"/>
        <v>50812.846108435559</v>
      </c>
      <c r="AV72" s="1178">
        <f t="shared" ref="AV72:AV135" si="216">AT72+AU72</f>
        <v>474253.23034539854</v>
      </c>
      <c r="AW72" s="1178">
        <f t="shared" ref="AW72:AW135" si="217">AR72+AT72+AU72</f>
        <v>3474253.2303453987</v>
      </c>
      <c r="AX72" s="762">
        <f t="shared" ref="AX72:AX135" si="218">AW72*$AX$5</f>
        <v>43428.165379317485</v>
      </c>
      <c r="AY72" s="717" t="s">
        <v>231</v>
      </c>
      <c r="AZ72" s="717">
        <f t="shared" ref="AZ72:AZ135" si="219">AW72+AX72+AY72</f>
        <v>3517681.3957247161</v>
      </c>
      <c r="BA72" s="717">
        <f t="shared" ref="BA72:BA135" si="220">AZ72*$BA$5</f>
        <v>131913.05233967685</v>
      </c>
      <c r="BB72" s="717"/>
      <c r="BC72" s="717">
        <f t="shared" si="183"/>
        <v>33600</v>
      </c>
      <c r="BD72" s="717">
        <f t="shared" ref="BD72:BD135" si="221">AZ72+BA72+BB72+BC72</f>
        <v>3683194.4480643929</v>
      </c>
      <c r="BE72" s="717"/>
      <c r="BF72" s="717">
        <f t="shared" ref="BF72:BF135" si="222">BD72+BE72</f>
        <v>3683194.4480643929</v>
      </c>
      <c r="BG72" s="1209"/>
      <c r="BH72" s="717">
        <f t="shared" ref="BH72:BH135" si="223">BF72+BG72</f>
        <v>3683194.4480643929</v>
      </c>
      <c r="BI72" s="717"/>
      <c r="BJ72" s="717">
        <f t="shared" ref="BJ72:BJ135" si="224">BH72+BI72</f>
        <v>3683194.4480643929</v>
      </c>
      <c r="BK72" s="717"/>
      <c r="BL72" s="717">
        <f t="shared" ref="BL72:BL135" si="225">BJ72+BK72</f>
        <v>3683194.4480643929</v>
      </c>
      <c r="BM72" s="717"/>
      <c r="BN72" s="717">
        <f t="shared" ref="BN72:BN135" si="226">BL72+BM72</f>
        <v>3683194.4480643929</v>
      </c>
      <c r="BO72" s="717"/>
      <c r="BP72" s="717">
        <f t="shared" si="184"/>
        <v>3683194.4480643929</v>
      </c>
      <c r="BQ72" s="717"/>
      <c r="BR72" s="717">
        <f t="shared" si="133"/>
        <v>3683194.4480643929</v>
      </c>
      <c r="BS72" s="717"/>
      <c r="BT72" s="717">
        <f t="shared" ref="BT72:BT135" si="227">BS72+BR72</f>
        <v>3683194.4480643929</v>
      </c>
      <c r="BU72" s="717"/>
      <c r="BV72" s="1235">
        <f t="shared" si="134"/>
        <v>51400</v>
      </c>
      <c r="BW72" s="717">
        <f t="shared" ref="BW72:BW135" si="228">SUM(BT72:BV72)</f>
        <v>3734594.4480643929</v>
      </c>
      <c r="BX72" s="717"/>
      <c r="BY72" s="717">
        <f t="shared" ref="BY72:BY135" si="229">BW72+BX72</f>
        <v>3734594.4480643929</v>
      </c>
      <c r="BZ72" s="1194">
        <f t="shared" ref="BZ72:BZ135" si="230">BY72</f>
        <v>3734594.4480643929</v>
      </c>
      <c r="CA72" s="1194">
        <f t="shared" ref="CA72:CA135" si="231">BZ72-CC72</f>
        <v>3030594.4480643929</v>
      </c>
      <c r="CB72" s="1194">
        <v>32000</v>
      </c>
      <c r="CC72" s="1194">
        <f t="shared" ref="CC72:CC135" si="232">CB72*J72</f>
        <v>704000</v>
      </c>
      <c r="CD72" s="1194">
        <f t="shared" ref="CD72:CD135" si="233">CC72*$CD$5</f>
        <v>84480</v>
      </c>
      <c r="CE72" s="1194">
        <f t="shared" ref="CE72:CE135" si="234">SUM(CC72:CD72)</f>
        <v>788480</v>
      </c>
      <c r="CF72" s="1200">
        <f t="shared" ref="CF72:CF135" si="235">BZ72+CD72</f>
        <v>3819074.4480643929</v>
      </c>
      <c r="CG72" s="757">
        <f t="shared" ref="CG72:CG135" si="236">CF72</f>
        <v>3819074.4480643929</v>
      </c>
      <c r="CH72" s="758">
        <f t="shared" ref="CH72:CH135" si="237">IF(CA72&lt;=$CA$3,0,12%*CA72)</f>
        <v>0</v>
      </c>
      <c r="CI72" s="757">
        <f t="shared" si="185"/>
        <v>391455.13092660025</v>
      </c>
      <c r="CJ72" s="757">
        <f t="shared" si="186"/>
        <v>95476.861201609834</v>
      </c>
      <c r="CK72" s="759">
        <f t="shared" si="155"/>
        <v>4306006.4401926026</v>
      </c>
      <c r="CL72" s="764">
        <f t="shared" ref="CL72:CL135" si="238">$CL$5</f>
        <v>0.125</v>
      </c>
      <c r="CM72" s="757">
        <f t="shared" ref="CM72:CM135" si="239">CK72*CL72</f>
        <v>538250.80502407532</v>
      </c>
      <c r="CN72" s="757">
        <f t="shared" si="124"/>
        <v>30000</v>
      </c>
      <c r="CO72" s="757">
        <f t="shared" ref="CO72:CO135" si="240">CM72-CN72</f>
        <v>508250.80502407532</v>
      </c>
      <c r="CP72" s="755">
        <f t="shared" ref="CP72:CP135" si="241">VLOOKUP(E72,$ID$6:$IF$20,3,FALSE)</f>
        <v>29</v>
      </c>
      <c r="CQ72" s="757">
        <f t="shared" si="129"/>
        <v>17525.889828416392</v>
      </c>
      <c r="CR72" s="764">
        <f t="shared" ref="CR72:CR135" si="242">100%-CL72</f>
        <v>0.875</v>
      </c>
      <c r="CS72" s="757">
        <f t="shared" ref="CS72:CS135" si="243">CK72*CR72</f>
        <v>3767755.6351685273</v>
      </c>
      <c r="CT72" s="1101">
        <f t="shared" ref="CT72:CT135" si="244">-PMT($CT$5/12,240,CS72,0)</f>
        <v>29211.36933618176</v>
      </c>
      <c r="CU72" s="1101">
        <f t="shared" ref="CU72:CU135" si="245">-PMT($CT$5/12,180,CS72,0)</f>
        <v>33865.652825530153</v>
      </c>
      <c r="CV72" s="1101">
        <f t="shared" ref="CV72:CV135" si="246">-PMT($CT$5/12,120,CS72,0)</f>
        <v>43746.837686681865</v>
      </c>
      <c r="CW72" s="1141">
        <f t="shared" si="187"/>
        <v>74606.077383492782</v>
      </c>
      <c r="CX72" s="1152">
        <f t="shared" ref="CX72:CX135" si="247">(CK72*80%)*$CX$5</f>
        <v>306066.76610985096</v>
      </c>
      <c r="CY72" s="1152">
        <f t="shared" ref="CY72:CY135" si="248">(CK72*80%)*$CY$5</f>
        <v>121109.12841285109</v>
      </c>
      <c r="CZ72" s="1152">
        <f t="shared" ref="CZ72:CZ135" si="249">(CK72*80%)*$CZ$5</f>
        <v>87475.408160448584</v>
      </c>
      <c r="DA72" s="1152">
        <f t="shared" ref="DA72:DA135" si="250">(CK72*80%)*$DA$5</f>
        <v>66572.812769898912</v>
      </c>
      <c r="DB72" s="1143">
        <f t="shared" si="188"/>
        <v>0.14114679474565434</v>
      </c>
      <c r="DC72" s="1143">
        <f t="shared" ref="DC72:DC135" si="251">CE72/CA72</f>
        <v>0.26017337968252185</v>
      </c>
      <c r="DD72" s="1098" t="s">
        <v>232</v>
      </c>
      <c r="DE72" s="1144"/>
      <c r="DF72" s="705"/>
      <c r="DG72" s="765">
        <f t="shared" si="126"/>
        <v>46082</v>
      </c>
      <c r="DH72" s="1116">
        <f t="shared" si="189"/>
        <v>28</v>
      </c>
      <c r="DI72" s="497"/>
      <c r="DJ72" s="1117">
        <f t="shared" ref="DJ72:DJ135" si="252">DG72+65</f>
        <v>46147</v>
      </c>
      <c r="DK72" s="1116">
        <f t="shared" ref="DK72:DK135" si="253">(YEAR(DJ72)-YEAR($DK$5))*12+MONTH(DJ72)-MONTH($DK$5)+$DK$4+$DK$3</f>
        <v>30</v>
      </c>
      <c r="DL72" s="766" t="s">
        <v>233</v>
      </c>
      <c r="DM72" s="766" t="s">
        <v>234</v>
      </c>
      <c r="DN72" s="767">
        <f t="shared" si="190"/>
        <v>21556.965015699934</v>
      </c>
      <c r="DO72" s="767">
        <f t="shared" si="191"/>
        <v>474253.23034539854</v>
      </c>
      <c r="DP72" s="768">
        <f t="shared" si="192"/>
        <v>0.15808441011513286</v>
      </c>
      <c r="DR72" s="767">
        <f t="shared" si="193"/>
        <v>3819074.4480643929</v>
      </c>
      <c r="DS72" s="767">
        <f>SUM('[6]INTERNAL PRICELIST'!M72)</f>
        <v>2329361</v>
      </c>
      <c r="DT72" s="767">
        <f t="shared" ref="DT72:DT135" si="254">DR72-DS72</f>
        <v>1489713.4480643929</v>
      </c>
      <c r="DV72" s="951">
        <f t="shared" si="194"/>
        <v>173594.29309383605</v>
      </c>
      <c r="DX72" s="772">
        <v>13</v>
      </c>
      <c r="DY72" s="773" t="s">
        <v>289</v>
      </c>
      <c r="DZ72" s="774">
        <v>22</v>
      </c>
      <c r="EA72" s="775">
        <f t="shared" si="195"/>
        <v>0</v>
      </c>
      <c r="ED72" s="755" t="s">
        <v>399</v>
      </c>
      <c r="EE72" s="777" t="b">
        <f t="shared" si="196"/>
        <v>1</v>
      </c>
      <c r="EF72" s="1123" t="s">
        <v>400</v>
      </c>
      <c r="EG72" s="1123" t="s">
        <v>394</v>
      </c>
      <c r="EH72" s="1203"/>
      <c r="EP72" s="1230" t="s">
        <v>236</v>
      </c>
      <c r="EQ72" s="1145" t="s">
        <v>236</v>
      </c>
      <c r="ER72" s="753" t="b">
        <f t="shared" ref="ER72:ER135" si="255">EP72=EQ72</f>
        <v>1</v>
      </c>
      <c r="EU72" s="770">
        <v>2221760</v>
      </c>
      <c r="EV72" s="771" t="s">
        <v>236</v>
      </c>
      <c r="EZ72" s="520"/>
      <c r="FA72" s="778"/>
      <c r="FG72" s="1107"/>
      <c r="FJ72" s="994">
        <v>0.15</v>
      </c>
      <c r="FK72" s="993">
        <v>12931.189511786559</v>
      </c>
      <c r="FL72" s="993">
        <v>13280.681120213221</v>
      </c>
      <c r="FM72" s="497"/>
      <c r="FN72" s="993">
        <f t="shared" si="197"/>
        <v>4306006.4401926026</v>
      </c>
      <c r="FO72" s="994">
        <f t="shared" ref="FO72:FO135" si="256">$FO$5</f>
        <v>0.15</v>
      </c>
      <c r="FP72" s="775">
        <f t="shared" si="198"/>
        <v>645900.96602889034</v>
      </c>
      <c r="FQ72" s="993">
        <f t="shared" si="199"/>
        <v>30000</v>
      </c>
      <c r="FR72" s="775">
        <f t="shared" ref="FR72:FR135" si="257">FP72-FQ72</f>
        <v>615900.96602889034</v>
      </c>
      <c r="FS72" s="497">
        <f t="shared" ref="FS72:FS135" si="258">$FS$5</f>
        <v>40</v>
      </c>
      <c r="FT72" s="775">
        <f t="shared" ref="FT72:FT135" si="259">FR72/FS72</f>
        <v>15397.524150722258</v>
      </c>
      <c r="FU72" s="497"/>
      <c r="FV72" s="993">
        <f t="shared" ref="FV72:FV135" si="260">FN72</f>
        <v>4306006.4401926026</v>
      </c>
      <c r="FW72" s="705">
        <f t="shared" ref="FW72:FW135" si="261">FV72*$FW$5</f>
        <v>430600.6440192603</v>
      </c>
      <c r="FX72" s="705">
        <f t="shared" ref="FX72:FX135" si="262">FV72*$FX$5</f>
        <v>107650.16100481508</v>
      </c>
      <c r="FY72" s="705">
        <v>15000</v>
      </c>
      <c r="FZ72" s="705">
        <f t="shared" ref="FZ72:FZ135" si="263">FW72-FY72</f>
        <v>415600.6440192603</v>
      </c>
      <c r="GA72" s="497">
        <f t="shared" ref="GA72:GA135" si="264">$GA$5</f>
        <v>46</v>
      </c>
      <c r="GB72" s="775">
        <f t="shared" ref="GB72:GB135" si="265">FZ72/GA72</f>
        <v>9034.7966091143553</v>
      </c>
      <c r="GC72" s="497"/>
      <c r="GD72" s="497"/>
      <c r="GE72" s="1107"/>
      <c r="GH72" s="1095">
        <f t="shared" si="161"/>
        <v>4306006.4401926026</v>
      </c>
      <c r="GI72" s="1098">
        <f t="shared" si="162"/>
        <v>0.125</v>
      </c>
      <c r="GJ72" s="1095">
        <f t="shared" si="163"/>
        <v>538250.80502407532</v>
      </c>
      <c r="GK72" s="1095">
        <f t="shared" si="164"/>
        <v>30000</v>
      </c>
      <c r="GL72" s="1095">
        <f t="shared" si="165"/>
        <v>508250.80502407532</v>
      </c>
      <c r="GM72" s="1095">
        <f t="shared" si="166"/>
        <v>29</v>
      </c>
      <c r="GN72" s="1095">
        <f t="shared" si="167"/>
        <v>17525.889828416392</v>
      </c>
      <c r="GO72" s="1098">
        <f t="shared" si="168"/>
        <v>0.875</v>
      </c>
      <c r="GP72" s="1095">
        <f t="shared" si="169"/>
        <v>3767755.6351685273</v>
      </c>
      <c r="GQ72" s="1095">
        <f t="shared" si="170"/>
        <v>29211.36933618176</v>
      </c>
      <c r="GR72" s="1095">
        <f t="shared" si="171"/>
        <v>33865.652825530153</v>
      </c>
      <c r="GS72" s="1095">
        <f t="shared" si="172"/>
        <v>43746.837686681865</v>
      </c>
      <c r="GT72" s="1095">
        <f t="shared" si="173"/>
        <v>74606.077383492782</v>
      </c>
      <c r="GU72" s="497"/>
      <c r="GV72" s="1095">
        <f t="shared" ref="GV72:GV135" si="266">GH72</f>
        <v>4306006.4401926026</v>
      </c>
      <c r="GW72" s="1098">
        <f t="shared" ref="GW72:GW135" si="267">GI72</f>
        <v>0.125</v>
      </c>
      <c r="GX72" s="1095">
        <f t="shared" ref="GX72:GX135" si="268">GJ72</f>
        <v>538250.80502407532</v>
      </c>
      <c r="GY72" s="1095">
        <f t="shared" ref="GY72:GY135" si="269">GK72</f>
        <v>30000</v>
      </c>
      <c r="GZ72" s="1095">
        <f t="shared" ref="GZ72:GZ135" si="270">GL72</f>
        <v>508250.80502407532</v>
      </c>
      <c r="HA72" s="1106">
        <f t="shared" ref="HA72:HA135" si="271">$HA$5</f>
        <v>48</v>
      </c>
      <c r="HB72" s="770">
        <f t="shared" ref="HB72:HB135" si="272">GZ72/HA72</f>
        <v>10588.55843800157</v>
      </c>
      <c r="HC72" s="1098">
        <f t="shared" ref="HC72:HC135" si="273">100%-GW72</f>
        <v>0.875</v>
      </c>
      <c r="HD72" s="1102">
        <f t="shared" ref="HD72:HD135" si="274">GV72*HC72</f>
        <v>3767755.6351685273</v>
      </c>
      <c r="HE72" s="1101">
        <f t="shared" ref="HE72:HE135" si="275">-PMT(7%/12,240,HD72,0)</f>
        <v>29211.36933618176</v>
      </c>
      <c r="HF72" s="1101">
        <f t="shared" ref="HF72:HF135" si="276">-PMT(7%/12,180,HD72,0)</f>
        <v>33865.652825530153</v>
      </c>
      <c r="HG72" s="1101">
        <f t="shared" ref="HG72:HG135" si="277">-PMT(7%/12,120,HD72,0)</f>
        <v>43746.837686681865</v>
      </c>
      <c r="HH72" s="1101">
        <f t="shared" ref="HH72:HH135" si="278">-PMT(7%/12,60,HD72,0)</f>
        <v>74606.077383492782</v>
      </c>
      <c r="HI72" s="497"/>
      <c r="HJ72" s="1102">
        <f t="shared" ref="HJ72:HJ135" si="279">HB72-GN72</f>
        <v>-6937.3313904148217</v>
      </c>
      <c r="HL72" s="775"/>
      <c r="HN72" s="775"/>
      <c r="HO72" s="775"/>
      <c r="HQ72" s="702"/>
      <c r="HR72" s="1171"/>
      <c r="HS72" s="702"/>
      <c r="HT72" s="1171"/>
    </row>
    <row r="73" spans="1:228" ht="14.25" hidden="1" customHeight="1">
      <c r="A73" s="753">
        <f t="shared" ref="A73:A136" si="280">A72+1</f>
        <v>67</v>
      </c>
      <c r="B73" s="753" t="s">
        <v>236</v>
      </c>
      <c r="C73" s="753">
        <f t="shared" si="174"/>
        <v>5</v>
      </c>
      <c r="D73" s="753" t="s">
        <v>260</v>
      </c>
      <c r="E73" s="717" t="str">
        <f t="shared" si="200"/>
        <v>5th Floor</v>
      </c>
      <c r="F73" s="754"/>
      <c r="G73" s="756" t="s">
        <v>401</v>
      </c>
      <c r="H73" s="756"/>
      <c r="I73" s="755" t="s">
        <v>229</v>
      </c>
      <c r="J73" s="757">
        <v>22</v>
      </c>
      <c r="K73" s="758"/>
      <c r="L73" s="759" t="s">
        <v>69</v>
      </c>
      <c r="M73" s="760" t="s">
        <v>68</v>
      </c>
      <c r="N73" s="761">
        <f t="shared" si="201"/>
        <v>106005.26567735759</v>
      </c>
      <c r="O73" s="762">
        <f t="shared" si="202"/>
        <v>2332115.8449018667</v>
      </c>
      <c r="P73" s="762">
        <f t="shared" si="203"/>
        <v>22400</v>
      </c>
      <c r="Q73" s="762">
        <f t="shared" si="175"/>
        <v>50000</v>
      </c>
      <c r="R73" s="762"/>
      <c r="S73" s="762"/>
      <c r="T73" s="762"/>
      <c r="U73" s="762"/>
      <c r="V73" s="762"/>
      <c r="W73" s="762"/>
      <c r="X73" s="762"/>
      <c r="Y73" s="762">
        <f t="shared" si="176"/>
        <v>20000</v>
      </c>
      <c r="Z73" s="762">
        <f t="shared" si="177"/>
        <v>142461</v>
      </c>
      <c r="AA73" s="762">
        <v>45722.732758620688</v>
      </c>
      <c r="AB73" s="762"/>
      <c r="AC73" s="762"/>
      <c r="AD73" s="763">
        <f t="shared" si="204"/>
        <v>280583.7327586207</v>
      </c>
      <c r="AE73" s="763">
        <f t="shared" si="178"/>
        <v>2612699.5776604875</v>
      </c>
      <c r="AF73" s="762">
        <f t="shared" si="179"/>
        <v>65317.489441512189</v>
      </c>
      <c r="AG73" s="762">
        <f t="shared" si="205"/>
        <v>2678017.0671019997</v>
      </c>
      <c r="AH73" s="762">
        <f t="shared" si="180"/>
        <v>66950.42667755</v>
      </c>
      <c r="AI73" s="762">
        <f t="shared" si="206"/>
        <v>2744967.4937795498</v>
      </c>
      <c r="AJ73" s="762">
        <f t="shared" si="207"/>
        <v>137248.37468897749</v>
      </c>
      <c r="AK73" s="762">
        <f t="shared" si="208"/>
        <v>2882215.8684685272</v>
      </c>
      <c r="AL73" s="762">
        <f t="shared" si="209"/>
        <v>28822.158684685273</v>
      </c>
      <c r="AM73" s="762">
        <f t="shared" si="210"/>
        <v>27537.409960060559</v>
      </c>
      <c r="AN73" s="762"/>
      <c r="AO73" s="763">
        <f t="shared" si="211"/>
        <v>2938575.437113273</v>
      </c>
      <c r="AP73" s="763">
        <f t="shared" si="212"/>
        <v>484864.94712369004</v>
      </c>
      <c r="AQ73" s="763">
        <f t="shared" si="213"/>
        <v>3423440.384236963</v>
      </c>
      <c r="AR73" s="1178">
        <f t="shared" si="181"/>
        <v>3000000</v>
      </c>
      <c r="AS73" s="1178">
        <f t="shared" si="214"/>
        <v>19247.290192589226</v>
      </c>
      <c r="AT73" s="1178">
        <f t="shared" si="215"/>
        <v>423440.384236963</v>
      </c>
      <c r="AU73" s="1178">
        <f t="shared" si="182"/>
        <v>50812.846108435559</v>
      </c>
      <c r="AV73" s="1178">
        <f t="shared" si="216"/>
        <v>474253.23034539854</v>
      </c>
      <c r="AW73" s="1178">
        <f t="shared" si="217"/>
        <v>3474253.2303453987</v>
      </c>
      <c r="AX73" s="762">
        <f t="shared" si="218"/>
        <v>43428.165379317485</v>
      </c>
      <c r="AY73" s="717" t="s">
        <v>231</v>
      </c>
      <c r="AZ73" s="717">
        <f t="shared" si="219"/>
        <v>3517681.3957247161</v>
      </c>
      <c r="BA73" s="717">
        <f t="shared" si="220"/>
        <v>131913.05233967685</v>
      </c>
      <c r="BB73" s="717"/>
      <c r="BC73" s="717">
        <f t="shared" si="183"/>
        <v>33600</v>
      </c>
      <c r="BD73" s="717">
        <f t="shared" si="221"/>
        <v>3683194.4480643929</v>
      </c>
      <c r="BE73" s="717"/>
      <c r="BF73" s="717">
        <f t="shared" si="222"/>
        <v>3683194.4480643929</v>
      </c>
      <c r="BG73" s="1209"/>
      <c r="BH73" s="717">
        <f t="shared" si="223"/>
        <v>3683194.4480643929</v>
      </c>
      <c r="BI73" s="717"/>
      <c r="BJ73" s="717">
        <f t="shared" si="224"/>
        <v>3683194.4480643929</v>
      </c>
      <c r="BK73" s="717"/>
      <c r="BL73" s="717">
        <f t="shared" si="225"/>
        <v>3683194.4480643929</v>
      </c>
      <c r="BM73" s="717"/>
      <c r="BN73" s="717">
        <f t="shared" si="226"/>
        <v>3683194.4480643929</v>
      </c>
      <c r="BO73" s="717"/>
      <c r="BP73" s="717">
        <f t="shared" si="184"/>
        <v>3683194.4480643929</v>
      </c>
      <c r="BQ73" s="717"/>
      <c r="BR73" s="717">
        <f t="shared" si="133"/>
        <v>3683194.4480643929</v>
      </c>
      <c r="BS73" s="717"/>
      <c r="BT73" s="717">
        <f t="shared" si="227"/>
        <v>3683194.4480643929</v>
      </c>
      <c r="BU73" s="717"/>
      <c r="BV73" s="1235">
        <f t="shared" si="134"/>
        <v>51400</v>
      </c>
      <c r="BW73" s="717">
        <f t="shared" si="228"/>
        <v>3734594.4480643929</v>
      </c>
      <c r="BX73" s="717"/>
      <c r="BY73" s="717">
        <f t="shared" si="229"/>
        <v>3734594.4480643929</v>
      </c>
      <c r="BZ73" s="1194">
        <f t="shared" si="230"/>
        <v>3734594.4480643929</v>
      </c>
      <c r="CA73" s="1194">
        <f t="shared" si="231"/>
        <v>3030594.4480643929</v>
      </c>
      <c r="CB73" s="1194">
        <v>32000</v>
      </c>
      <c r="CC73" s="1194">
        <f t="shared" si="232"/>
        <v>704000</v>
      </c>
      <c r="CD73" s="1194">
        <f t="shared" si="233"/>
        <v>84480</v>
      </c>
      <c r="CE73" s="1194">
        <f t="shared" si="234"/>
        <v>788480</v>
      </c>
      <c r="CF73" s="1200">
        <f t="shared" si="235"/>
        <v>3819074.4480643929</v>
      </c>
      <c r="CG73" s="757">
        <f t="shared" si="236"/>
        <v>3819074.4480643929</v>
      </c>
      <c r="CH73" s="758">
        <f t="shared" si="237"/>
        <v>0</v>
      </c>
      <c r="CI73" s="757">
        <f t="shared" si="185"/>
        <v>391455.13092660025</v>
      </c>
      <c r="CJ73" s="757">
        <f t="shared" si="186"/>
        <v>95476.861201609834</v>
      </c>
      <c r="CK73" s="759">
        <f t="shared" si="155"/>
        <v>4306006.4401926026</v>
      </c>
      <c r="CL73" s="764">
        <f t="shared" si="238"/>
        <v>0.125</v>
      </c>
      <c r="CM73" s="757">
        <f t="shared" si="239"/>
        <v>538250.80502407532</v>
      </c>
      <c r="CN73" s="757">
        <f t="shared" ref="CN73:CN136" si="281">CN$5</f>
        <v>30000</v>
      </c>
      <c r="CO73" s="757">
        <f t="shared" si="240"/>
        <v>508250.80502407532</v>
      </c>
      <c r="CP73" s="755">
        <f t="shared" si="241"/>
        <v>29</v>
      </c>
      <c r="CQ73" s="757">
        <f t="shared" si="129"/>
        <v>17525.889828416392</v>
      </c>
      <c r="CR73" s="764">
        <f t="shared" si="242"/>
        <v>0.875</v>
      </c>
      <c r="CS73" s="757">
        <f t="shared" si="243"/>
        <v>3767755.6351685273</v>
      </c>
      <c r="CT73" s="1101">
        <f t="shared" si="244"/>
        <v>29211.36933618176</v>
      </c>
      <c r="CU73" s="1101">
        <f t="shared" si="245"/>
        <v>33865.652825530153</v>
      </c>
      <c r="CV73" s="1101">
        <f t="shared" si="246"/>
        <v>43746.837686681865</v>
      </c>
      <c r="CW73" s="1141">
        <f t="shared" si="187"/>
        <v>74606.077383492782</v>
      </c>
      <c r="CX73" s="1152">
        <f t="shared" si="247"/>
        <v>306066.76610985096</v>
      </c>
      <c r="CY73" s="1152">
        <f t="shared" si="248"/>
        <v>121109.12841285109</v>
      </c>
      <c r="CZ73" s="1152">
        <f t="shared" si="249"/>
        <v>87475.408160448584</v>
      </c>
      <c r="DA73" s="1152">
        <f t="shared" si="250"/>
        <v>66572.812769898912</v>
      </c>
      <c r="DB73" s="1143">
        <f t="shared" si="188"/>
        <v>0.14114679474565434</v>
      </c>
      <c r="DC73" s="1143">
        <f t="shared" si="251"/>
        <v>0.26017337968252185</v>
      </c>
      <c r="DD73" s="1098" t="s">
        <v>232</v>
      </c>
      <c r="DE73" s="1144"/>
      <c r="DF73" s="705"/>
      <c r="DG73" s="765">
        <f t="shared" ref="DG73:DG136" si="282">$DG$7</f>
        <v>46082</v>
      </c>
      <c r="DH73" s="1116">
        <f t="shared" si="189"/>
        <v>28</v>
      </c>
      <c r="DI73" s="497"/>
      <c r="DJ73" s="1117">
        <f t="shared" si="252"/>
        <v>46147</v>
      </c>
      <c r="DK73" s="1116">
        <f t="shared" si="253"/>
        <v>30</v>
      </c>
      <c r="DL73" s="766" t="s">
        <v>233</v>
      </c>
      <c r="DM73" s="766" t="s">
        <v>234</v>
      </c>
      <c r="DN73" s="767">
        <f t="shared" si="190"/>
        <v>21556.965015699934</v>
      </c>
      <c r="DO73" s="767">
        <f t="shared" si="191"/>
        <v>474253.23034539854</v>
      </c>
      <c r="DP73" s="768">
        <f t="shared" si="192"/>
        <v>0.15808441011513286</v>
      </c>
      <c r="DR73" s="767">
        <f t="shared" si="193"/>
        <v>3819074.4480643929</v>
      </c>
      <c r="DS73" s="767">
        <f>SUM('[6]INTERNAL PRICELIST'!M73)</f>
        <v>2329361</v>
      </c>
      <c r="DT73" s="767">
        <f t="shared" si="254"/>
        <v>1489713.4480643929</v>
      </c>
      <c r="DV73" s="951">
        <f t="shared" si="194"/>
        <v>173594.29309383605</v>
      </c>
      <c r="DX73" s="772">
        <v>14</v>
      </c>
      <c r="DY73" s="773" t="s">
        <v>294</v>
      </c>
      <c r="DZ73" s="774">
        <v>22</v>
      </c>
      <c r="EA73" s="775">
        <f t="shared" si="195"/>
        <v>0</v>
      </c>
      <c r="ED73" s="755" t="s">
        <v>401</v>
      </c>
      <c r="EE73" s="777" t="b">
        <f t="shared" si="196"/>
        <v>1</v>
      </c>
      <c r="EF73" s="1123" t="s">
        <v>402</v>
      </c>
      <c r="EG73" s="1123" t="s">
        <v>394</v>
      </c>
      <c r="EH73" s="1203"/>
      <c r="EP73" s="1230" t="s">
        <v>236</v>
      </c>
      <c r="EQ73" s="1145" t="s">
        <v>236</v>
      </c>
      <c r="ER73" s="753" t="b">
        <f t="shared" si="255"/>
        <v>1</v>
      </c>
      <c r="EU73" s="770">
        <v>2123200</v>
      </c>
      <c r="EV73" s="771" t="s">
        <v>236</v>
      </c>
      <c r="EZ73" s="520"/>
      <c r="FA73" s="778"/>
      <c r="FG73" s="1107"/>
      <c r="FJ73" s="994">
        <v>0.15</v>
      </c>
      <c r="FK73" s="993">
        <v>12931.189511786559</v>
      </c>
      <c r="FL73" s="993">
        <v>13280.681120213221</v>
      </c>
      <c r="FM73" s="497"/>
      <c r="FN73" s="993">
        <f t="shared" si="197"/>
        <v>4306006.4401926026</v>
      </c>
      <c r="FO73" s="994">
        <f t="shared" si="256"/>
        <v>0.15</v>
      </c>
      <c r="FP73" s="775">
        <f t="shared" si="198"/>
        <v>645900.96602889034</v>
      </c>
      <c r="FQ73" s="993">
        <f t="shared" si="199"/>
        <v>30000</v>
      </c>
      <c r="FR73" s="775">
        <f t="shared" si="257"/>
        <v>615900.96602889034</v>
      </c>
      <c r="FS73" s="497">
        <f t="shared" si="258"/>
        <v>40</v>
      </c>
      <c r="FT73" s="775">
        <f t="shared" si="259"/>
        <v>15397.524150722258</v>
      </c>
      <c r="FU73" s="497"/>
      <c r="FV73" s="993">
        <f t="shared" si="260"/>
        <v>4306006.4401926026</v>
      </c>
      <c r="FW73" s="705">
        <f t="shared" si="261"/>
        <v>430600.6440192603</v>
      </c>
      <c r="FX73" s="705">
        <f t="shared" si="262"/>
        <v>107650.16100481508</v>
      </c>
      <c r="FY73" s="705">
        <v>15000</v>
      </c>
      <c r="FZ73" s="705">
        <f t="shared" si="263"/>
        <v>415600.6440192603</v>
      </c>
      <c r="GA73" s="497">
        <f t="shared" si="264"/>
        <v>46</v>
      </c>
      <c r="GB73" s="775">
        <f t="shared" si="265"/>
        <v>9034.7966091143553</v>
      </c>
      <c r="GC73" s="497"/>
      <c r="GD73" s="497"/>
      <c r="GE73" s="1107"/>
      <c r="GH73" s="1095">
        <f t="shared" si="161"/>
        <v>4306006.4401926026</v>
      </c>
      <c r="GI73" s="1098">
        <f t="shared" si="162"/>
        <v>0.125</v>
      </c>
      <c r="GJ73" s="1095">
        <f t="shared" si="163"/>
        <v>538250.80502407532</v>
      </c>
      <c r="GK73" s="1095">
        <f t="shared" si="164"/>
        <v>30000</v>
      </c>
      <c r="GL73" s="1095">
        <f t="shared" si="165"/>
        <v>508250.80502407532</v>
      </c>
      <c r="GM73" s="1095">
        <f t="shared" si="166"/>
        <v>29</v>
      </c>
      <c r="GN73" s="1095">
        <f t="shared" si="167"/>
        <v>17525.889828416392</v>
      </c>
      <c r="GO73" s="1098">
        <f t="shared" si="168"/>
        <v>0.875</v>
      </c>
      <c r="GP73" s="1095">
        <f t="shared" si="169"/>
        <v>3767755.6351685273</v>
      </c>
      <c r="GQ73" s="1095">
        <f t="shared" si="170"/>
        <v>29211.36933618176</v>
      </c>
      <c r="GR73" s="1095">
        <f t="shared" si="171"/>
        <v>33865.652825530153</v>
      </c>
      <c r="GS73" s="1095">
        <f t="shared" si="172"/>
        <v>43746.837686681865</v>
      </c>
      <c r="GT73" s="1095">
        <f t="shared" si="173"/>
        <v>74606.077383492782</v>
      </c>
      <c r="GU73" s="497"/>
      <c r="GV73" s="1095">
        <f t="shared" si="266"/>
        <v>4306006.4401926026</v>
      </c>
      <c r="GW73" s="1098">
        <f t="shared" si="267"/>
        <v>0.125</v>
      </c>
      <c r="GX73" s="1095">
        <f t="shared" si="268"/>
        <v>538250.80502407532</v>
      </c>
      <c r="GY73" s="1095">
        <f t="shared" si="269"/>
        <v>30000</v>
      </c>
      <c r="GZ73" s="1095">
        <f t="shared" si="270"/>
        <v>508250.80502407532</v>
      </c>
      <c r="HA73" s="1106">
        <f t="shared" si="271"/>
        <v>48</v>
      </c>
      <c r="HB73" s="770">
        <f t="shared" si="272"/>
        <v>10588.55843800157</v>
      </c>
      <c r="HC73" s="1098">
        <f t="shared" si="273"/>
        <v>0.875</v>
      </c>
      <c r="HD73" s="1102">
        <f t="shared" si="274"/>
        <v>3767755.6351685273</v>
      </c>
      <c r="HE73" s="1101">
        <f t="shared" si="275"/>
        <v>29211.36933618176</v>
      </c>
      <c r="HF73" s="1101">
        <f t="shared" si="276"/>
        <v>33865.652825530153</v>
      </c>
      <c r="HG73" s="1101">
        <f t="shared" si="277"/>
        <v>43746.837686681865</v>
      </c>
      <c r="HH73" s="1101">
        <f t="shared" si="278"/>
        <v>74606.077383492782</v>
      </c>
      <c r="HI73" s="497"/>
      <c r="HJ73" s="1102">
        <f t="shared" si="279"/>
        <v>-6937.3313904148217</v>
      </c>
      <c r="HL73" s="775"/>
      <c r="HN73" s="775"/>
      <c r="HO73" s="775"/>
      <c r="HQ73" s="702"/>
      <c r="HR73" s="1171"/>
      <c r="HS73" s="702"/>
      <c r="HT73" s="1171"/>
    </row>
    <row r="74" spans="1:228" ht="14.25" hidden="1" customHeight="1">
      <c r="A74" s="753">
        <f t="shared" si="280"/>
        <v>68</v>
      </c>
      <c r="B74" s="753" t="s">
        <v>236</v>
      </c>
      <c r="C74" s="753">
        <f t="shared" si="174"/>
        <v>6</v>
      </c>
      <c r="D74" s="753" t="s">
        <v>260</v>
      </c>
      <c r="E74" s="717" t="str">
        <f t="shared" si="200"/>
        <v>5th Floor</v>
      </c>
      <c r="F74" s="754"/>
      <c r="G74" s="756" t="s">
        <v>403</v>
      </c>
      <c r="H74" s="756"/>
      <c r="I74" s="755" t="s">
        <v>229</v>
      </c>
      <c r="J74" s="757">
        <v>22</v>
      </c>
      <c r="K74" s="758"/>
      <c r="L74" s="759" t="s">
        <v>69</v>
      </c>
      <c r="M74" s="760" t="s">
        <v>68</v>
      </c>
      <c r="N74" s="761">
        <f t="shared" si="201"/>
        <v>106005.26567735759</v>
      </c>
      <c r="O74" s="762">
        <f t="shared" si="202"/>
        <v>2332115.8449018667</v>
      </c>
      <c r="P74" s="762">
        <f t="shared" si="203"/>
        <v>22400</v>
      </c>
      <c r="Q74" s="762">
        <f t="shared" si="175"/>
        <v>50000</v>
      </c>
      <c r="R74" s="762"/>
      <c r="S74" s="762"/>
      <c r="T74" s="762"/>
      <c r="U74" s="762"/>
      <c r="V74" s="762"/>
      <c r="W74" s="762"/>
      <c r="X74" s="762"/>
      <c r="Y74" s="762">
        <f t="shared" si="176"/>
        <v>20000</v>
      </c>
      <c r="Z74" s="762">
        <f t="shared" si="177"/>
        <v>142461</v>
      </c>
      <c r="AA74" s="762">
        <v>45722.732758620688</v>
      </c>
      <c r="AB74" s="762"/>
      <c r="AC74" s="762"/>
      <c r="AD74" s="763">
        <f t="shared" si="204"/>
        <v>280583.7327586207</v>
      </c>
      <c r="AE74" s="763">
        <f t="shared" si="178"/>
        <v>2612699.5776604875</v>
      </c>
      <c r="AF74" s="762">
        <f t="shared" si="179"/>
        <v>65317.489441512189</v>
      </c>
      <c r="AG74" s="762">
        <f t="shared" si="205"/>
        <v>2678017.0671019997</v>
      </c>
      <c r="AH74" s="762">
        <f t="shared" si="180"/>
        <v>66950.42667755</v>
      </c>
      <c r="AI74" s="762">
        <f t="shared" si="206"/>
        <v>2744967.4937795498</v>
      </c>
      <c r="AJ74" s="762">
        <f t="shared" si="207"/>
        <v>137248.37468897749</v>
      </c>
      <c r="AK74" s="762">
        <f t="shared" si="208"/>
        <v>2882215.8684685272</v>
      </c>
      <c r="AL74" s="762">
        <f t="shared" si="209"/>
        <v>28822.158684685273</v>
      </c>
      <c r="AM74" s="762">
        <f t="shared" si="210"/>
        <v>27537.409960060559</v>
      </c>
      <c r="AN74" s="762"/>
      <c r="AO74" s="763">
        <f t="shared" si="211"/>
        <v>2938575.437113273</v>
      </c>
      <c r="AP74" s="763">
        <f t="shared" si="212"/>
        <v>484864.94712369004</v>
      </c>
      <c r="AQ74" s="763">
        <f t="shared" si="213"/>
        <v>3423440.384236963</v>
      </c>
      <c r="AR74" s="1178">
        <f t="shared" si="181"/>
        <v>3000000</v>
      </c>
      <c r="AS74" s="1178">
        <f t="shared" si="214"/>
        <v>19247.290192589226</v>
      </c>
      <c r="AT74" s="1178">
        <f t="shared" si="215"/>
        <v>423440.384236963</v>
      </c>
      <c r="AU74" s="1178">
        <f t="shared" si="182"/>
        <v>50812.846108435559</v>
      </c>
      <c r="AV74" s="1178">
        <f t="shared" si="216"/>
        <v>474253.23034539854</v>
      </c>
      <c r="AW74" s="1178">
        <f t="shared" si="217"/>
        <v>3474253.2303453987</v>
      </c>
      <c r="AX74" s="762">
        <f t="shared" si="218"/>
        <v>43428.165379317485</v>
      </c>
      <c r="AY74" s="717" t="s">
        <v>231</v>
      </c>
      <c r="AZ74" s="717">
        <f t="shared" si="219"/>
        <v>3517681.3957247161</v>
      </c>
      <c r="BA74" s="717">
        <f t="shared" si="220"/>
        <v>131913.05233967685</v>
      </c>
      <c r="BB74" s="717"/>
      <c r="BC74" s="717">
        <f t="shared" si="183"/>
        <v>33600</v>
      </c>
      <c r="BD74" s="717">
        <f t="shared" si="221"/>
        <v>3683194.4480643929</v>
      </c>
      <c r="BE74" s="717"/>
      <c r="BF74" s="717">
        <f t="shared" si="222"/>
        <v>3683194.4480643929</v>
      </c>
      <c r="BG74" s="1209"/>
      <c r="BH74" s="717">
        <f t="shared" si="223"/>
        <v>3683194.4480643929</v>
      </c>
      <c r="BI74" s="717"/>
      <c r="BJ74" s="717">
        <f t="shared" si="224"/>
        <v>3683194.4480643929</v>
      </c>
      <c r="BK74" s="717"/>
      <c r="BL74" s="717">
        <f t="shared" si="225"/>
        <v>3683194.4480643929</v>
      </c>
      <c r="BM74" s="717"/>
      <c r="BN74" s="717">
        <f t="shared" si="226"/>
        <v>3683194.4480643929</v>
      </c>
      <c r="BO74" s="717"/>
      <c r="BP74" s="717">
        <f t="shared" si="184"/>
        <v>3683194.4480643929</v>
      </c>
      <c r="BQ74" s="717"/>
      <c r="BR74" s="717">
        <f t="shared" si="133"/>
        <v>3683194.4480643929</v>
      </c>
      <c r="BS74" s="717"/>
      <c r="BT74" s="717">
        <f t="shared" si="227"/>
        <v>3683194.4480643929</v>
      </c>
      <c r="BU74" s="717"/>
      <c r="BV74" s="1235">
        <f t="shared" si="134"/>
        <v>51400</v>
      </c>
      <c r="BW74" s="717">
        <f t="shared" si="228"/>
        <v>3734594.4480643929</v>
      </c>
      <c r="BX74" s="717"/>
      <c r="BY74" s="717">
        <f t="shared" si="229"/>
        <v>3734594.4480643929</v>
      </c>
      <c r="BZ74" s="1194">
        <f t="shared" si="230"/>
        <v>3734594.4480643929</v>
      </c>
      <c r="CA74" s="1194">
        <f t="shared" si="231"/>
        <v>3030594.4480643929</v>
      </c>
      <c r="CB74" s="1194">
        <v>32000</v>
      </c>
      <c r="CC74" s="1194">
        <f t="shared" si="232"/>
        <v>704000</v>
      </c>
      <c r="CD74" s="1194">
        <f t="shared" si="233"/>
        <v>84480</v>
      </c>
      <c r="CE74" s="1194">
        <f t="shared" si="234"/>
        <v>788480</v>
      </c>
      <c r="CF74" s="1200">
        <f t="shared" si="235"/>
        <v>3819074.4480643929</v>
      </c>
      <c r="CG74" s="757">
        <f t="shared" si="236"/>
        <v>3819074.4480643929</v>
      </c>
      <c r="CH74" s="758">
        <f t="shared" si="237"/>
        <v>0</v>
      </c>
      <c r="CI74" s="757">
        <f t="shared" si="185"/>
        <v>391455.13092660025</v>
      </c>
      <c r="CJ74" s="757">
        <f t="shared" si="186"/>
        <v>95476.861201609834</v>
      </c>
      <c r="CK74" s="759">
        <f t="shared" si="155"/>
        <v>4306006.4401926026</v>
      </c>
      <c r="CL74" s="764">
        <f t="shared" si="238"/>
        <v>0.125</v>
      </c>
      <c r="CM74" s="757">
        <f t="shared" si="239"/>
        <v>538250.80502407532</v>
      </c>
      <c r="CN74" s="757">
        <f t="shared" si="281"/>
        <v>30000</v>
      </c>
      <c r="CO74" s="757">
        <f t="shared" si="240"/>
        <v>508250.80502407532</v>
      </c>
      <c r="CP74" s="755">
        <f t="shared" si="241"/>
        <v>29</v>
      </c>
      <c r="CQ74" s="757">
        <f t="shared" si="129"/>
        <v>17525.889828416392</v>
      </c>
      <c r="CR74" s="764">
        <f t="shared" si="242"/>
        <v>0.875</v>
      </c>
      <c r="CS74" s="757">
        <f t="shared" si="243"/>
        <v>3767755.6351685273</v>
      </c>
      <c r="CT74" s="1101">
        <f t="shared" si="244"/>
        <v>29211.36933618176</v>
      </c>
      <c r="CU74" s="1101">
        <f t="shared" si="245"/>
        <v>33865.652825530153</v>
      </c>
      <c r="CV74" s="1101">
        <f t="shared" si="246"/>
        <v>43746.837686681865</v>
      </c>
      <c r="CW74" s="1141">
        <f t="shared" si="187"/>
        <v>74606.077383492782</v>
      </c>
      <c r="CX74" s="1152">
        <f t="shared" si="247"/>
        <v>306066.76610985096</v>
      </c>
      <c r="CY74" s="1152">
        <f t="shared" si="248"/>
        <v>121109.12841285109</v>
      </c>
      <c r="CZ74" s="1152">
        <f t="shared" si="249"/>
        <v>87475.408160448584</v>
      </c>
      <c r="DA74" s="1152">
        <f t="shared" si="250"/>
        <v>66572.812769898912</v>
      </c>
      <c r="DB74" s="1143">
        <f t="shared" si="188"/>
        <v>0.14114679474565434</v>
      </c>
      <c r="DC74" s="1143">
        <f t="shared" si="251"/>
        <v>0.26017337968252185</v>
      </c>
      <c r="DD74" s="1098" t="s">
        <v>232</v>
      </c>
      <c r="DE74" s="1144"/>
      <c r="DF74" s="705"/>
      <c r="DG74" s="765">
        <f t="shared" si="282"/>
        <v>46082</v>
      </c>
      <c r="DH74" s="1116">
        <f t="shared" si="189"/>
        <v>28</v>
      </c>
      <c r="DI74" s="497"/>
      <c r="DJ74" s="1117">
        <f t="shared" si="252"/>
        <v>46147</v>
      </c>
      <c r="DK74" s="1116">
        <f t="shared" si="253"/>
        <v>30</v>
      </c>
      <c r="DL74" s="766" t="s">
        <v>233</v>
      </c>
      <c r="DM74" s="766" t="s">
        <v>234</v>
      </c>
      <c r="DN74" s="767">
        <f t="shared" si="190"/>
        <v>21556.965015699934</v>
      </c>
      <c r="DO74" s="767">
        <f t="shared" si="191"/>
        <v>474253.23034539854</v>
      </c>
      <c r="DP74" s="768">
        <f t="shared" si="192"/>
        <v>0.15808441011513286</v>
      </c>
      <c r="DR74" s="767">
        <f t="shared" si="193"/>
        <v>3819074.4480643929</v>
      </c>
      <c r="DS74" s="767">
        <f>SUM('[6]INTERNAL PRICELIST'!M74)</f>
        <v>2329361</v>
      </c>
      <c r="DT74" s="767">
        <f t="shared" si="254"/>
        <v>1489713.4480643929</v>
      </c>
      <c r="DV74" s="951">
        <f t="shared" si="194"/>
        <v>173594.29309383605</v>
      </c>
      <c r="DX74" s="772">
        <v>15</v>
      </c>
      <c r="DY74" s="773" t="s">
        <v>299</v>
      </c>
      <c r="DZ74" s="774">
        <v>22</v>
      </c>
      <c r="EA74" s="775">
        <f t="shared" si="195"/>
        <v>0</v>
      </c>
      <c r="ED74" s="755" t="s">
        <v>403</v>
      </c>
      <c r="EE74" s="777" t="b">
        <f t="shared" si="196"/>
        <v>1</v>
      </c>
      <c r="EF74" s="1123" t="s">
        <v>404</v>
      </c>
      <c r="EG74" s="1123" t="s">
        <v>394</v>
      </c>
      <c r="EH74" s="1203"/>
      <c r="EP74" s="1230" t="s">
        <v>236</v>
      </c>
      <c r="EQ74" s="1145" t="s">
        <v>236</v>
      </c>
      <c r="ER74" s="753" t="b">
        <f t="shared" si="255"/>
        <v>1</v>
      </c>
      <c r="EU74" s="770">
        <v>2123200</v>
      </c>
      <c r="EV74" s="771" t="s">
        <v>236</v>
      </c>
      <c r="EZ74" s="520"/>
      <c r="FA74" s="778"/>
      <c r="FG74" s="1107"/>
      <c r="FJ74" s="994">
        <v>0.15</v>
      </c>
      <c r="FK74" s="993">
        <v>12931.189511786559</v>
      </c>
      <c r="FL74" s="993">
        <v>13280.681120213221</v>
      </c>
      <c r="FM74" s="497"/>
      <c r="FN74" s="993">
        <f t="shared" si="197"/>
        <v>4306006.4401926026</v>
      </c>
      <c r="FO74" s="994">
        <f t="shared" si="256"/>
        <v>0.15</v>
      </c>
      <c r="FP74" s="775">
        <f t="shared" si="198"/>
        <v>645900.96602889034</v>
      </c>
      <c r="FQ74" s="993">
        <f t="shared" si="199"/>
        <v>30000</v>
      </c>
      <c r="FR74" s="775">
        <f t="shared" si="257"/>
        <v>615900.96602889034</v>
      </c>
      <c r="FS74" s="497">
        <f t="shared" si="258"/>
        <v>40</v>
      </c>
      <c r="FT74" s="775">
        <f t="shared" si="259"/>
        <v>15397.524150722258</v>
      </c>
      <c r="FU74" s="497"/>
      <c r="FV74" s="993">
        <f t="shared" si="260"/>
        <v>4306006.4401926026</v>
      </c>
      <c r="FW74" s="705">
        <f t="shared" si="261"/>
        <v>430600.6440192603</v>
      </c>
      <c r="FX74" s="705">
        <f t="shared" si="262"/>
        <v>107650.16100481508</v>
      </c>
      <c r="FY74" s="705">
        <v>15000</v>
      </c>
      <c r="FZ74" s="705">
        <f t="shared" si="263"/>
        <v>415600.6440192603</v>
      </c>
      <c r="GA74" s="497">
        <f t="shared" si="264"/>
        <v>46</v>
      </c>
      <c r="GB74" s="775">
        <f t="shared" si="265"/>
        <v>9034.7966091143553</v>
      </c>
      <c r="GC74" s="497"/>
      <c r="GD74" s="497"/>
      <c r="GE74" s="1107"/>
      <c r="GH74" s="1095">
        <f t="shared" si="161"/>
        <v>4306006.4401926026</v>
      </c>
      <c r="GI74" s="1098">
        <f t="shared" si="162"/>
        <v>0.125</v>
      </c>
      <c r="GJ74" s="1095">
        <f t="shared" si="163"/>
        <v>538250.80502407532</v>
      </c>
      <c r="GK74" s="1095">
        <f t="shared" si="164"/>
        <v>30000</v>
      </c>
      <c r="GL74" s="1095">
        <f t="shared" si="165"/>
        <v>508250.80502407532</v>
      </c>
      <c r="GM74" s="1095">
        <f t="shared" si="166"/>
        <v>29</v>
      </c>
      <c r="GN74" s="1095">
        <f t="shared" si="167"/>
        <v>17525.889828416392</v>
      </c>
      <c r="GO74" s="1098">
        <f t="shared" si="168"/>
        <v>0.875</v>
      </c>
      <c r="GP74" s="1095">
        <f t="shared" si="169"/>
        <v>3767755.6351685273</v>
      </c>
      <c r="GQ74" s="1095">
        <f t="shared" si="170"/>
        <v>29211.36933618176</v>
      </c>
      <c r="GR74" s="1095">
        <f t="shared" si="171"/>
        <v>33865.652825530153</v>
      </c>
      <c r="GS74" s="1095">
        <f t="shared" si="172"/>
        <v>43746.837686681865</v>
      </c>
      <c r="GT74" s="1095">
        <f t="shared" si="173"/>
        <v>74606.077383492782</v>
      </c>
      <c r="GU74" s="497"/>
      <c r="GV74" s="1095">
        <f t="shared" si="266"/>
        <v>4306006.4401926026</v>
      </c>
      <c r="GW74" s="1098">
        <f t="shared" si="267"/>
        <v>0.125</v>
      </c>
      <c r="GX74" s="1095">
        <f t="shared" si="268"/>
        <v>538250.80502407532</v>
      </c>
      <c r="GY74" s="1095">
        <f t="shared" si="269"/>
        <v>30000</v>
      </c>
      <c r="GZ74" s="1095">
        <f t="shared" si="270"/>
        <v>508250.80502407532</v>
      </c>
      <c r="HA74" s="1106">
        <f t="shared" si="271"/>
        <v>48</v>
      </c>
      <c r="HB74" s="770">
        <f t="shared" si="272"/>
        <v>10588.55843800157</v>
      </c>
      <c r="HC74" s="1098">
        <f t="shared" si="273"/>
        <v>0.875</v>
      </c>
      <c r="HD74" s="1102">
        <f t="shared" si="274"/>
        <v>3767755.6351685273</v>
      </c>
      <c r="HE74" s="1101">
        <f t="shared" si="275"/>
        <v>29211.36933618176</v>
      </c>
      <c r="HF74" s="1101">
        <f t="shared" si="276"/>
        <v>33865.652825530153</v>
      </c>
      <c r="HG74" s="1101">
        <f t="shared" si="277"/>
        <v>43746.837686681865</v>
      </c>
      <c r="HH74" s="1101">
        <f t="shared" si="278"/>
        <v>74606.077383492782</v>
      </c>
      <c r="HI74" s="497"/>
      <c r="HJ74" s="1102">
        <f t="shared" si="279"/>
        <v>-6937.3313904148217</v>
      </c>
      <c r="HL74" s="775"/>
      <c r="HN74" s="775"/>
      <c r="HO74" s="775"/>
      <c r="HQ74" s="702"/>
      <c r="HR74" s="1171"/>
      <c r="HS74" s="702"/>
      <c r="HT74" s="1171"/>
    </row>
    <row r="75" spans="1:228" ht="14.25" hidden="1" customHeight="1">
      <c r="A75" s="753">
        <f t="shared" si="280"/>
        <v>69</v>
      </c>
      <c r="B75" s="753" t="s">
        <v>236</v>
      </c>
      <c r="C75" s="753">
        <f t="shared" si="174"/>
        <v>7</v>
      </c>
      <c r="D75" s="753" t="s">
        <v>260</v>
      </c>
      <c r="E75" s="717" t="str">
        <f t="shared" si="200"/>
        <v>5th Floor</v>
      </c>
      <c r="F75" s="754"/>
      <c r="G75" s="756" t="s">
        <v>405</v>
      </c>
      <c r="H75" s="756"/>
      <c r="I75" s="755" t="s">
        <v>229</v>
      </c>
      <c r="J75" s="757">
        <v>22</v>
      </c>
      <c r="K75" s="758"/>
      <c r="L75" s="759" t="s">
        <v>69</v>
      </c>
      <c r="M75" s="760" t="s">
        <v>68</v>
      </c>
      <c r="N75" s="761">
        <f t="shared" si="201"/>
        <v>106005.26567735759</v>
      </c>
      <c r="O75" s="762">
        <f t="shared" si="202"/>
        <v>2332115.8449018667</v>
      </c>
      <c r="P75" s="762">
        <f t="shared" si="203"/>
        <v>22400</v>
      </c>
      <c r="Q75" s="762">
        <f t="shared" si="175"/>
        <v>50000</v>
      </c>
      <c r="R75" s="762"/>
      <c r="S75" s="762"/>
      <c r="T75" s="762"/>
      <c r="U75" s="762"/>
      <c r="V75" s="762"/>
      <c r="W75" s="762"/>
      <c r="X75" s="762"/>
      <c r="Y75" s="762">
        <f t="shared" si="176"/>
        <v>20000</v>
      </c>
      <c r="Z75" s="762">
        <f t="shared" si="177"/>
        <v>142461</v>
      </c>
      <c r="AA75" s="762">
        <v>45722.732758620688</v>
      </c>
      <c r="AB75" s="762"/>
      <c r="AC75" s="762"/>
      <c r="AD75" s="763">
        <f t="shared" si="204"/>
        <v>280583.7327586207</v>
      </c>
      <c r="AE75" s="763">
        <f t="shared" si="178"/>
        <v>2612699.5776604875</v>
      </c>
      <c r="AF75" s="762">
        <f t="shared" si="179"/>
        <v>65317.489441512189</v>
      </c>
      <c r="AG75" s="762">
        <f t="shared" si="205"/>
        <v>2678017.0671019997</v>
      </c>
      <c r="AH75" s="762">
        <f t="shared" si="180"/>
        <v>66950.42667755</v>
      </c>
      <c r="AI75" s="762">
        <f t="shared" si="206"/>
        <v>2744967.4937795498</v>
      </c>
      <c r="AJ75" s="762">
        <f t="shared" si="207"/>
        <v>137248.37468897749</v>
      </c>
      <c r="AK75" s="762">
        <f t="shared" si="208"/>
        <v>2882215.8684685272</v>
      </c>
      <c r="AL75" s="762">
        <f t="shared" si="209"/>
        <v>28822.158684685273</v>
      </c>
      <c r="AM75" s="762">
        <f t="shared" si="210"/>
        <v>27537.409960060559</v>
      </c>
      <c r="AN75" s="762"/>
      <c r="AO75" s="763">
        <f t="shared" si="211"/>
        <v>2938575.437113273</v>
      </c>
      <c r="AP75" s="763">
        <f t="shared" si="212"/>
        <v>484864.94712369004</v>
      </c>
      <c r="AQ75" s="763">
        <f t="shared" si="213"/>
        <v>3423440.384236963</v>
      </c>
      <c r="AR75" s="1178">
        <f t="shared" si="181"/>
        <v>3000000</v>
      </c>
      <c r="AS75" s="1178">
        <f t="shared" si="214"/>
        <v>19247.290192589226</v>
      </c>
      <c r="AT75" s="1178">
        <f t="shared" si="215"/>
        <v>423440.384236963</v>
      </c>
      <c r="AU75" s="1178">
        <f t="shared" si="182"/>
        <v>50812.846108435559</v>
      </c>
      <c r="AV75" s="1178">
        <f t="shared" si="216"/>
        <v>474253.23034539854</v>
      </c>
      <c r="AW75" s="1178">
        <f t="shared" si="217"/>
        <v>3474253.2303453987</v>
      </c>
      <c r="AX75" s="762">
        <f t="shared" si="218"/>
        <v>43428.165379317485</v>
      </c>
      <c r="AY75" s="717" t="s">
        <v>231</v>
      </c>
      <c r="AZ75" s="717">
        <f t="shared" si="219"/>
        <v>3517681.3957247161</v>
      </c>
      <c r="BA75" s="717">
        <f t="shared" si="220"/>
        <v>131913.05233967685</v>
      </c>
      <c r="BB75" s="717"/>
      <c r="BC75" s="717">
        <f t="shared" si="183"/>
        <v>33600</v>
      </c>
      <c r="BD75" s="717">
        <f t="shared" si="221"/>
        <v>3683194.4480643929</v>
      </c>
      <c r="BE75" s="717"/>
      <c r="BF75" s="717">
        <f t="shared" si="222"/>
        <v>3683194.4480643929</v>
      </c>
      <c r="BG75" s="1209"/>
      <c r="BH75" s="717">
        <f t="shared" si="223"/>
        <v>3683194.4480643929</v>
      </c>
      <c r="BI75" s="717"/>
      <c r="BJ75" s="717">
        <f t="shared" si="224"/>
        <v>3683194.4480643929</v>
      </c>
      <c r="BK75" s="717"/>
      <c r="BL75" s="717">
        <f t="shared" si="225"/>
        <v>3683194.4480643929</v>
      </c>
      <c r="BM75" s="717"/>
      <c r="BN75" s="717">
        <f t="shared" si="226"/>
        <v>3683194.4480643929</v>
      </c>
      <c r="BO75" s="717"/>
      <c r="BP75" s="717">
        <f t="shared" si="184"/>
        <v>3683194.4480643929</v>
      </c>
      <c r="BQ75" s="717"/>
      <c r="BR75" s="717">
        <f t="shared" si="133"/>
        <v>3683194.4480643929</v>
      </c>
      <c r="BS75" s="717"/>
      <c r="BT75" s="717">
        <f t="shared" si="227"/>
        <v>3683194.4480643929</v>
      </c>
      <c r="BU75" s="717"/>
      <c r="BV75" s="1235">
        <f t="shared" si="134"/>
        <v>51400</v>
      </c>
      <c r="BW75" s="717">
        <f t="shared" si="228"/>
        <v>3734594.4480643929</v>
      </c>
      <c r="BX75" s="717"/>
      <c r="BY75" s="717">
        <f t="shared" si="229"/>
        <v>3734594.4480643929</v>
      </c>
      <c r="BZ75" s="1194">
        <f t="shared" si="230"/>
        <v>3734594.4480643929</v>
      </c>
      <c r="CA75" s="1194">
        <f t="shared" si="231"/>
        <v>3030594.4480643929</v>
      </c>
      <c r="CB75" s="1194">
        <v>32000</v>
      </c>
      <c r="CC75" s="1194">
        <f t="shared" si="232"/>
        <v>704000</v>
      </c>
      <c r="CD75" s="1194">
        <f t="shared" si="233"/>
        <v>84480</v>
      </c>
      <c r="CE75" s="1194">
        <f t="shared" si="234"/>
        <v>788480</v>
      </c>
      <c r="CF75" s="1200">
        <f t="shared" si="235"/>
        <v>3819074.4480643929</v>
      </c>
      <c r="CG75" s="757">
        <f t="shared" si="236"/>
        <v>3819074.4480643929</v>
      </c>
      <c r="CH75" s="758">
        <f t="shared" si="237"/>
        <v>0</v>
      </c>
      <c r="CI75" s="757">
        <f t="shared" si="185"/>
        <v>391455.13092660025</v>
      </c>
      <c r="CJ75" s="757">
        <f t="shared" si="186"/>
        <v>95476.861201609834</v>
      </c>
      <c r="CK75" s="759">
        <f t="shared" si="155"/>
        <v>4306006.4401926026</v>
      </c>
      <c r="CL75" s="764">
        <f t="shared" si="238"/>
        <v>0.125</v>
      </c>
      <c r="CM75" s="757">
        <f t="shared" si="239"/>
        <v>538250.80502407532</v>
      </c>
      <c r="CN75" s="757">
        <f t="shared" si="281"/>
        <v>30000</v>
      </c>
      <c r="CO75" s="757">
        <f t="shared" si="240"/>
        <v>508250.80502407532</v>
      </c>
      <c r="CP75" s="755">
        <f t="shared" si="241"/>
        <v>29</v>
      </c>
      <c r="CQ75" s="757">
        <f t="shared" ref="CQ75:CQ138" si="283">CO75/CP75</f>
        <v>17525.889828416392</v>
      </c>
      <c r="CR75" s="764">
        <f t="shared" si="242"/>
        <v>0.875</v>
      </c>
      <c r="CS75" s="757">
        <f t="shared" si="243"/>
        <v>3767755.6351685273</v>
      </c>
      <c r="CT75" s="1101">
        <f t="shared" si="244"/>
        <v>29211.36933618176</v>
      </c>
      <c r="CU75" s="1101">
        <f t="shared" si="245"/>
        <v>33865.652825530153</v>
      </c>
      <c r="CV75" s="1101">
        <f t="shared" si="246"/>
        <v>43746.837686681865</v>
      </c>
      <c r="CW75" s="1141">
        <f t="shared" si="187"/>
        <v>74606.077383492782</v>
      </c>
      <c r="CX75" s="1152">
        <f t="shared" si="247"/>
        <v>306066.76610985096</v>
      </c>
      <c r="CY75" s="1152">
        <f t="shared" si="248"/>
        <v>121109.12841285109</v>
      </c>
      <c r="CZ75" s="1152">
        <f t="shared" si="249"/>
        <v>87475.408160448584</v>
      </c>
      <c r="DA75" s="1152">
        <f t="shared" si="250"/>
        <v>66572.812769898912</v>
      </c>
      <c r="DB75" s="1143">
        <f t="shared" si="188"/>
        <v>0.14114679474565434</v>
      </c>
      <c r="DC75" s="1143">
        <f t="shared" si="251"/>
        <v>0.26017337968252185</v>
      </c>
      <c r="DD75" s="1098" t="s">
        <v>232</v>
      </c>
      <c r="DE75" s="1144"/>
      <c r="DF75" s="705"/>
      <c r="DG75" s="765">
        <f t="shared" si="282"/>
        <v>46082</v>
      </c>
      <c r="DH75" s="1116">
        <f t="shared" si="189"/>
        <v>28</v>
      </c>
      <c r="DI75" s="497"/>
      <c r="DJ75" s="1117">
        <f t="shared" si="252"/>
        <v>46147</v>
      </c>
      <c r="DK75" s="1116">
        <f t="shared" si="253"/>
        <v>30</v>
      </c>
      <c r="DL75" s="766" t="s">
        <v>233</v>
      </c>
      <c r="DM75" s="766" t="s">
        <v>234</v>
      </c>
      <c r="DN75" s="767">
        <f t="shared" si="190"/>
        <v>21556.965015699934</v>
      </c>
      <c r="DO75" s="767">
        <f t="shared" si="191"/>
        <v>474253.23034539854</v>
      </c>
      <c r="DP75" s="768">
        <f t="shared" si="192"/>
        <v>0.15808441011513286</v>
      </c>
      <c r="DR75" s="767">
        <f t="shared" si="193"/>
        <v>3819074.4480643929</v>
      </c>
      <c r="DS75" s="767">
        <f>SUM('[6]INTERNAL PRICELIST'!M75)</f>
        <v>2329361</v>
      </c>
      <c r="DT75" s="767">
        <f t="shared" si="254"/>
        <v>1489713.4480643929</v>
      </c>
      <c r="DV75" s="951">
        <f t="shared" si="194"/>
        <v>173594.29309383605</v>
      </c>
      <c r="DX75" s="772">
        <v>16</v>
      </c>
      <c r="DY75" s="773" t="s">
        <v>303</v>
      </c>
      <c r="DZ75" s="774">
        <v>22</v>
      </c>
      <c r="EA75" s="775">
        <f t="shared" si="195"/>
        <v>0</v>
      </c>
      <c r="ED75" s="755" t="s">
        <v>405</v>
      </c>
      <c r="EE75" s="777" t="b">
        <f t="shared" si="196"/>
        <v>1</v>
      </c>
      <c r="EF75" s="1123" t="s">
        <v>406</v>
      </c>
      <c r="EG75" s="1123" t="s">
        <v>394</v>
      </c>
      <c r="EH75" s="1203"/>
      <c r="EP75" s="1230" t="s">
        <v>236</v>
      </c>
      <c r="EQ75" s="1145" t="s">
        <v>236</v>
      </c>
      <c r="ER75" s="753" t="b">
        <f t="shared" si="255"/>
        <v>1</v>
      </c>
      <c r="EU75" s="770">
        <v>2481161</v>
      </c>
      <c r="EV75" s="771" t="s">
        <v>236</v>
      </c>
      <c r="EZ75" s="520"/>
      <c r="FA75" s="778"/>
      <c r="FG75" s="1107"/>
      <c r="FJ75" s="994">
        <v>0.15</v>
      </c>
      <c r="FK75" s="993">
        <v>12931.189511786559</v>
      </c>
      <c r="FL75" s="993">
        <v>13280.681120213221</v>
      </c>
      <c r="FM75" s="497"/>
      <c r="FN75" s="993">
        <f t="shared" si="197"/>
        <v>4306006.4401926026</v>
      </c>
      <c r="FO75" s="994">
        <f t="shared" si="256"/>
        <v>0.15</v>
      </c>
      <c r="FP75" s="775">
        <f t="shared" si="198"/>
        <v>645900.96602889034</v>
      </c>
      <c r="FQ75" s="993">
        <f t="shared" si="199"/>
        <v>30000</v>
      </c>
      <c r="FR75" s="775">
        <f t="shared" si="257"/>
        <v>615900.96602889034</v>
      </c>
      <c r="FS75" s="497">
        <f t="shared" si="258"/>
        <v>40</v>
      </c>
      <c r="FT75" s="775">
        <f t="shared" si="259"/>
        <v>15397.524150722258</v>
      </c>
      <c r="FU75" s="497"/>
      <c r="FV75" s="993">
        <f t="shared" si="260"/>
        <v>4306006.4401926026</v>
      </c>
      <c r="FW75" s="705">
        <f t="shared" si="261"/>
        <v>430600.6440192603</v>
      </c>
      <c r="FX75" s="705">
        <f t="shared" si="262"/>
        <v>107650.16100481508</v>
      </c>
      <c r="FY75" s="705">
        <v>15000</v>
      </c>
      <c r="FZ75" s="705">
        <f t="shared" si="263"/>
        <v>415600.6440192603</v>
      </c>
      <c r="GA75" s="497">
        <f t="shared" si="264"/>
        <v>46</v>
      </c>
      <c r="GB75" s="775">
        <f t="shared" si="265"/>
        <v>9034.7966091143553</v>
      </c>
      <c r="GC75" s="497"/>
      <c r="GD75" s="497"/>
      <c r="GE75" s="1107"/>
      <c r="GH75" s="1095">
        <f t="shared" si="161"/>
        <v>4306006.4401926026</v>
      </c>
      <c r="GI75" s="1098">
        <f t="shared" si="162"/>
        <v>0.125</v>
      </c>
      <c r="GJ75" s="1095">
        <f t="shared" si="163"/>
        <v>538250.80502407532</v>
      </c>
      <c r="GK75" s="1095">
        <f t="shared" si="164"/>
        <v>30000</v>
      </c>
      <c r="GL75" s="1095">
        <f t="shared" si="165"/>
        <v>508250.80502407532</v>
      </c>
      <c r="GM75" s="1095">
        <f t="shared" si="166"/>
        <v>29</v>
      </c>
      <c r="GN75" s="1095">
        <f t="shared" si="167"/>
        <v>17525.889828416392</v>
      </c>
      <c r="GO75" s="1098">
        <f t="shared" si="168"/>
        <v>0.875</v>
      </c>
      <c r="GP75" s="1095">
        <f t="shared" si="169"/>
        <v>3767755.6351685273</v>
      </c>
      <c r="GQ75" s="1095">
        <f t="shared" si="170"/>
        <v>29211.36933618176</v>
      </c>
      <c r="GR75" s="1095">
        <f t="shared" si="171"/>
        <v>33865.652825530153</v>
      </c>
      <c r="GS75" s="1095">
        <f t="shared" si="172"/>
        <v>43746.837686681865</v>
      </c>
      <c r="GT75" s="1095">
        <f t="shared" si="173"/>
        <v>74606.077383492782</v>
      </c>
      <c r="GU75" s="497"/>
      <c r="GV75" s="1095">
        <f t="shared" si="266"/>
        <v>4306006.4401926026</v>
      </c>
      <c r="GW75" s="1098">
        <f t="shared" si="267"/>
        <v>0.125</v>
      </c>
      <c r="GX75" s="1095">
        <f t="shared" si="268"/>
        <v>538250.80502407532</v>
      </c>
      <c r="GY75" s="1095">
        <f t="shared" si="269"/>
        <v>30000</v>
      </c>
      <c r="GZ75" s="1095">
        <f t="shared" si="270"/>
        <v>508250.80502407532</v>
      </c>
      <c r="HA75" s="1106">
        <f t="shared" si="271"/>
        <v>48</v>
      </c>
      <c r="HB75" s="770">
        <f t="shared" si="272"/>
        <v>10588.55843800157</v>
      </c>
      <c r="HC75" s="1098">
        <f t="shared" si="273"/>
        <v>0.875</v>
      </c>
      <c r="HD75" s="1102">
        <f t="shared" si="274"/>
        <v>3767755.6351685273</v>
      </c>
      <c r="HE75" s="1101">
        <f t="shared" si="275"/>
        <v>29211.36933618176</v>
      </c>
      <c r="HF75" s="1101">
        <f t="shared" si="276"/>
        <v>33865.652825530153</v>
      </c>
      <c r="HG75" s="1101">
        <f t="shared" si="277"/>
        <v>43746.837686681865</v>
      </c>
      <c r="HH75" s="1101">
        <f t="shared" si="278"/>
        <v>74606.077383492782</v>
      </c>
      <c r="HI75" s="497"/>
      <c r="HJ75" s="1102">
        <f t="shared" si="279"/>
        <v>-6937.3313904148217</v>
      </c>
      <c r="HL75" s="775"/>
      <c r="HN75" s="775"/>
      <c r="HO75" s="775"/>
      <c r="HQ75" s="702"/>
      <c r="HR75" s="1171"/>
      <c r="HS75" s="702"/>
      <c r="HT75" s="1171"/>
    </row>
    <row r="76" spans="1:228" ht="14.25" hidden="1" customHeight="1">
      <c r="A76" s="753">
        <f t="shared" si="280"/>
        <v>70</v>
      </c>
      <c r="B76" s="753" t="s">
        <v>236</v>
      </c>
      <c r="C76" s="753">
        <f t="shared" si="174"/>
        <v>8</v>
      </c>
      <c r="D76" s="753" t="s">
        <v>260</v>
      </c>
      <c r="E76" s="717" t="str">
        <f t="shared" si="200"/>
        <v>5th Floor</v>
      </c>
      <c r="F76" s="754"/>
      <c r="G76" s="756" t="s">
        <v>407</v>
      </c>
      <c r="H76" s="756"/>
      <c r="I76" s="755" t="s">
        <v>229</v>
      </c>
      <c r="J76" s="757">
        <v>22</v>
      </c>
      <c r="K76" s="758"/>
      <c r="L76" s="759" t="s">
        <v>69</v>
      </c>
      <c r="M76" s="760" t="s">
        <v>68</v>
      </c>
      <c r="N76" s="761">
        <f t="shared" si="201"/>
        <v>106005.26567735759</v>
      </c>
      <c r="O76" s="762">
        <f t="shared" si="202"/>
        <v>2332115.8449018667</v>
      </c>
      <c r="P76" s="762">
        <f t="shared" si="203"/>
        <v>22400</v>
      </c>
      <c r="Q76" s="762">
        <f t="shared" si="175"/>
        <v>50000</v>
      </c>
      <c r="R76" s="762"/>
      <c r="S76" s="762"/>
      <c r="T76" s="762"/>
      <c r="U76" s="762"/>
      <c r="V76" s="762"/>
      <c r="W76" s="762"/>
      <c r="X76" s="762"/>
      <c r="Y76" s="762">
        <f t="shared" si="176"/>
        <v>20000</v>
      </c>
      <c r="Z76" s="762">
        <f t="shared" si="177"/>
        <v>142461</v>
      </c>
      <c r="AA76" s="762">
        <v>45722.732758620688</v>
      </c>
      <c r="AB76" s="762"/>
      <c r="AC76" s="762"/>
      <c r="AD76" s="763">
        <f t="shared" si="204"/>
        <v>280583.7327586207</v>
      </c>
      <c r="AE76" s="763">
        <f t="shared" si="178"/>
        <v>2612699.5776604875</v>
      </c>
      <c r="AF76" s="762">
        <f t="shared" si="179"/>
        <v>65317.489441512189</v>
      </c>
      <c r="AG76" s="762">
        <f t="shared" si="205"/>
        <v>2678017.0671019997</v>
      </c>
      <c r="AH76" s="762">
        <f t="shared" si="180"/>
        <v>66950.42667755</v>
      </c>
      <c r="AI76" s="762">
        <f t="shared" si="206"/>
        <v>2744967.4937795498</v>
      </c>
      <c r="AJ76" s="762">
        <f t="shared" si="207"/>
        <v>137248.37468897749</v>
      </c>
      <c r="AK76" s="762">
        <f t="shared" si="208"/>
        <v>2882215.8684685272</v>
      </c>
      <c r="AL76" s="762">
        <f t="shared" si="209"/>
        <v>28822.158684685273</v>
      </c>
      <c r="AM76" s="762">
        <f t="shared" si="210"/>
        <v>27537.409960060559</v>
      </c>
      <c r="AN76" s="762"/>
      <c r="AO76" s="763">
        <f t="shared" si="211"/>
        <v>2938575.437113273</v>
      </c>
      <c r="AP76" s="763">
        <f t="shared" si="212"/>
        <v>484864.94712369004</v>
      </c>
      <c r="AQ76" s="763">
        <f t="shared" si="213"/>
        <v>3423440.384236963</v>
      </c>
      <c r="AR76" s="1178">
        <f t="shared" si="181"/>
        <v>3000000</v>
      </c>
      <c r="AS76" s="1178">
        <f t="shared" si="214"/>
        <v>19247.290192589226</v>
      </c>
      <c r="AT76" s="1178">
        <f t="shared" si="215"/>
        <v>423440.384236963</v>
      </c>
      <c r="AU76" s="1178">
        <f t="shared" si="182"/>
        <v>50812.846108435559</v>
      </c>
      <c r="AV76" s="1178">
        <f t="shared" si="216"/>
        <v>474253.23034539854</v>
      </c>
      <c r="AW76" s="1178">
        <f t="shared" si="217"/>
        <v>3474253.2303453987</v>
      </c>
      <c r="AX76" s="762">
        <f t="shared" si="218"/>
        <v>43428.165379317485</v>
      </c>
      <c r="AY76" s="717" t="s">
        <v>231</v>
      </c>
      <c r="AZ76" s="717">
        <f t="shared" si="219"/>
        <v>3517681.3957247161</v>
      </c>
      <c r="BA76" s="717">
        <f t="shared" si="220"/>
        <v>131913.05233967685</v>
      </c>
      <c r="BB76" s="717"/>
      <c r="BC76" s="717">
        <f t="shared" si="183"/>
        <v>33600</v>
      </c>
      <c r="BD76" s="717">
        <f t="shared" si="221"/>
        <v>3683194.4480643929</v>
      </c>
      <c r="BE76" s="717"/>
      <c r="BF76" s="717">
        <f t="shared" si="222"/>
        <v>3683194.4480643929</v>
      </c>
      <c r="BG76" s="1209"/>
      <c r="BH76" s="717">
        <f t="shared" si="223"/>
        <v>3683194.4480643929</v>
      </c>
      <c r="BI76" s="717"/>
      <c r="BJ76" s="717">
        <f t="shared" si="224"/>
        <v>3683194.4480643929</v>
      </c>
      <c r="BK76" s="717"/>
      <c r="BL76" s="717">
        <f t="shared" si="225"/>
        <v>3683194.4480643929</v>
      </c>
      <c r="BM76" s="717"/>
      <c r="BN76" s="717">
        <f t="shared" si="226"/>
        <v>3683194.4480643929</v>
      </c>
      <c r="BO76" s="717"/>
      <c r="BP76" s="717">
        <f t="shared" si="184"/>
        <v>3683194.4480643929</v>
      </c>
      <c r="BQ76" s="717"/>
      <c r="BR76" s="717">
        <f t="shared" si="133"/>
        <v>3683194.4480643929</v>
      </c>
      <c r="BS76" s="717"/>
      <c r="BT76" s="717">
        <f t="shared" si="227"/>
        <v>3683194.4480643929</v>
      </c>
      <c r="BU76" s="717"/>
      <c r="BV76" s="1235">
        <f t="shared" si="134"/>
        <v>51400</v>
      </c>
      <c r="BW76" s="717">
        <f t="shared" si="228"/>
        <v>3734594.4480643929</v>
      </c>
      <c r="BX76" s="717"/>
      <c r="BY76" s="717">
        <f t="shared" si="229"/>
        <v>3734594.4480643929</v>
      </c>
      <c r="BZ76" s="1194">
        <f t="shared" si="230"/>
        <v>3734594.4480643929</v>
      </c>
      <c r="CA76" s="1194">
        <f t="shared" si="231"/>
        <v>3030594.4480643929</v>
      </c>
      <c r="CB76" s="1194">
        <v>32000</v>
      </c>
      <c r="CC76" s="1194">
        <f t="shared" si="232"/>
        <v>704000</v>
      </c>
      <c r="CD76" s="1194">
        <f t="shared" si="233"/>
        <v>84480</v>
      </c>
      <c r="CE76" s="1194">
        <f t="shared" si="234"/>
        <v>788480</v>
      </c>
      <c r="CF76" s="1200">
        <f t="shared" si="235"/>
        <v>3819074.4480643929</v>
      </c>
      <c r="CG76" s="757">
        <f t="shared" si="236"/>
        <v>3819074.4480643929</v>
      </c>
      <c r="CH76" s="758">
        <f t="shared" si="237"/>
        <v>0</v>
      </c>
      <c r="CI76" s="757">
        <f t="shared" si="185"/>
        <v>391455.13092660025</v>
      </c>
      <c r="CJ76" s="757">
        <f t="shared" si="186"/>
        <v>95476.861201609834</v>
      </c>
      <c r="CK76" s="759">
        <f t="shared" si="155"/>
        <v>4306006.4401926026</v>
      </c>
      <c r="CL76" s="764">
        <f t="shared" si="238"/>
        <v>0.125</v>
      </c>
      <c r="CM76" s="757">
        <f t="shared" si="239"/>
        <v>538250.80502407532</v>
      </c>
      <c r="CN76" s="757">
        <f t="shared" si="281"/>
        <v>30000</v>
      </c>
      <c r="CO76" s="757">
        <f t="shared" si="240"/>
        <v>508250.80502407532</v>
      </c>
      <c r="CP76" s="755">
        <f t="shared" si="241"/>
        <v>29</v>
      </c>
      <c r="CQ76" s="757">
        <f t="shared" si="283"/>
        <v>17525.889828416392</v>
      </c>
      <c r="CR76" s="764">
        <f t="shared" si="242"/>
        <v>0.875</v>
      </c>
      <c r="CS76" s="757">
        <f t="shared" si="243"/>
        <v>3767755.6351685273</v>
      </c>
      <c r="CT76" s="1101">
        <f t="shared" si="244"/>
        <v>29211.36933618176</v>
      </c>
      <c r="CU76" s="1101">
        <f t="shared" si="245"/>
        <v>33865.652825530153</v>
      </c>
      <c r="CV76" s="1101">
        <f t="shared" si="246"/>
        <v>43746.837686681865</v>
      </c>
      <c r="CW76" s="1141">
        <f t="shared" si="187"/>
        <v>74606.077383492782</v>
      </c>
      <c r="CX76" s="1152">
        <f t="shared" si="247"/>
        <v>306066.76610985096</v>
      </c>
      <c r="CY76" s="1152">
        <f t="shared" si="248"/>
        <v>121109.12841285109</v>
      </c>
      <c r="CZ76" s="1152">
        <f t="shared" si="249"/>
        <v>87475.408160448584</v>
      </c>
      <c r="DA76" s="1152">
        <f t="shared" si="250"/>
        <v>66572.812769898912</v>
      </c>
      <c r="DB76" s="1143">
        <f t="shared" si="188"/>
        <v>0.14114679474565434</v>
      </c>
      <c r="DC76" s="1143">
        <f t="shared" si="251"/>
        <v>0.26017337968252185</v>
      </c>
      <c r="DD76" s="1098" t="s">
        <v>232</v>
      </c>
      <c r="DE76" s="1144"/>
      <c r="DF76" s="705"/>
      <c r="DG76" s="765">
        <f t="shared" si="282"/>
        <v>46082</v>
      </c>
      <c r="DH76" s="1116">
        <f t="shared" si="189"/>
        <v>28</v>
      </c>
      <c r="DI76" s="497"/>
      <c r="DJ76" s="1117">
        <f t="shared" si="252"/>
        <v>46147</v>
      </c>
      <c r="DK76" s="1116">
        <f t="shared" si="253"/>
        <v>30</v>
      </c>
      <c r="DL76" s="766" t="s">
        <v>233</v>
      </c>
      <c r="DM76" s="766" t="s">
        <v>234</v>
      </c>
      <c r="DN76" s="767">
        <f t="shared" si="190"/>
        <v>21556.965015699934</v>
      </c>
      <c r="DO76" s="767">
        <f t="shared" si="191"/>
        <v>474253.23034539854</v>
      </c>
      <c r="DP76" s="768">
        <f t="shared" si="192"/>
        <v>0.15808441011513286</v>
      </c>
      <c r="DR76" s="767">
        <f t="shared" si="193"/>
        <v>3819074.4480643929</v>
      </c>
      <c r="DS76" s="767">
        <f>SUM('[6]INTERNAL PRICELIST'!M76)</f>
        <v>2329361</v>
      </c>
      <c r="DT76" s="767">
        <f t="shared" si="254"/>
        <v>1489713.4480643929</v>
      </c>
      <c r="DV76" s="951">
        <f t="shared" si="194"/>
        <v>173594.29309383605</v>
      </c>
      <c r="DX76" s="772">
        <v>17</v>
      </c>
      <c r="DY76" s="773" t="s">
        <v>305</v>
      </c>
      <c r="DZ76" s="774">
        <v>22</v>
      </c>
      <c r="EA76" s="775">
        <f t="shared" si="195"/>
        <v>0</v>
      </c>
      <c r="ED76" s="755" t="s">
        <v>407</v>
      </c>
      <c r="EE76" s="777" t="b">
        <f t="shared" si="196"/>
        <v>1</v>
      </c>
      <c r="EF76" s="1123" t="s">
        <v>408</v>
      </c>
      <c r="EG76" s="1123" t="s">
        <v>394</v>
      </c>
      <c r="EH76" s="1203"/>
      <c r="EP76" s="1230" t="s">
        <v>236</v>
      </c>
      <c r="EQ76" s="1145" t="s">
        <v>236</v>
      </c>
      <c r="ER76" s="753" t="b">
        <f t="shared" si="255"/>
        <v>1</v>
      </c>
      <c r="EU76" s="770">
        <v>2409740</v>
      </c>
      <c r="EV76" s="771" t="s">
        <v>236</v>
      </c>
      <c r="EZ76" s="520"/>
      <c r="FA76" s="778"/>
      <c r="FG76" s="1107"/>
      <c r="FJ76" s="994">
        <v>0.15</v>
      </c>
      <c r="FK76" s="993">
        <v>12931.189511786559</v>
      </c>
      <c r="FL76" s="993">
        <v>13280.681120213221</v>
      </c>
      <c r="FM76" s="497"/>
      <c r="FN76" s="993">
        <f t="shared" si="197"/>
        <v>4306006.4401926026</v>
      </c>
      <c r="FO76" s="994">
        <f t="shared" si="256"/>
        <v>0.15</v>
      </c>
      <c r="FP76" s="775">
        <f t="shared" si="198"/>
        <v>645900.96602889034</v>
      </c>
      <c r="FQ76" s="993">
        <f t="shared" si="199"/>
        <v>30000</v>
      </c>
      <c r="FR76" s="775">
        <f t="shared" si="257"/>
        <v>615900.96602889034</v>
      </c>
      <c r="FS76" s="497">
        <f t="shared" si="258"/>
        <v>40</v>
      </c>
      <c r="FT76" s="775">
        <f t="shared" si="259"/>
        <v>15397.524150722258</v>
      </c>
      <c r="FU76" s="497"/>
      <c r="FV76" s="993">
        <f t="shared" si="260"/>
        <v>4306006.4401926026</v>
      </c>
      <c r="FW76" s="705">
        <f t="shared" si="261"/>
        <v>430600.6440192603</v>
      </c>
      <c r="FX76" s="705">
        <f t="shared" si="262"/>
        <v>107650.16100481508</v>
      </c>
      <c r="FY76" s="705">
        <v>15000</v>
      </c>
      <c r="FZ76" s="705">
        <f t="shared" si="263"/>
        <v>415600.6440192603</v>
      </c>
      <c r="GA76" s="497">
        <f t="shared" si="264"/>
        <v>46</v>
      </c>
      <c r="GB76" s="775">
        <f t="shared" si="265"/>
        <v>9034.7966091143553</v>
      </c>
      <c r="GC76" s="497"/>
      <c r="GD76" s="497"/>
      <c r="GE76" s="1107"/>
      <c r="GH76" s="1095">
        <f t="shared" si="161"/>
        <v>4306006.4401926026</v>
      </c>
      <c r="GI76" s="1098">
        <f t="shared" si="162"/>
        <v>0.125</v>
      </c>
      <c r="GJ76" s="1095">
        <f t="shared" si="163"/>
        <v>538250.80502407532</v>
      </c>
      <c r="GK76" s="1095">
        <f t="shared" si="164"/>
        <v>30000</v>
      </c>
      <c r="GL76" s="1095">
        <f t="shared" si="165"/>
        <v>508250.80502407532</v>
      </c>
      <c r="GM76" s="1095">
        <f t="shared" si="166"/>
        <v>29</v>
      </c>
      <c r="GN76" s="1095">
        <f t="shared" si="167"/>
        <v>17525.889828416392</v>
      </c>
      <c r="GO76" s="1098">
        <f t="shared" si="168"/>
        <v>0.875</v>
      </c>
      <c r="GP76" s="1095">
        <f t="shared" si="169"/>
        <v>3767755.6351685273</v>
      </c>
      <c r="GQ76" s="1095">
        <f t="shared" si="170"/>
        <v>29211.36933618176</v>
      </c>
      <c r="GR76" s="1095">
        <f t="shared" si="171"/>
        <v>33865.652825530153</v>
      </c>
      <c r="GS76" s="1095">
        <f t="shared" si="172"/>
        <v>43746.837686681865</v>
      </c>
      <c r="GT76" s="1095">
        <f t="shared" si="173"/>
        <v>74606.077383492782</v>
      </c>
      <c r="GU76" s="497"/>
      <c r="GV76" s="1095">
        <f t="shared" si="266"/>
        <v>4306006.4401926026</v>
      </c>
      <c r="GW76" s="1098">
        <f t="shared" si="267"/>
        <v>0.125</v>
      </c>
      <c r="GX76" s="1095">
        <f t="shared" si="268"/>
        <v>538250.80502407532</v>
      </c>
      <c r="GY76" s="1095">
        <f t="shared" si="269"/>
        <v>30000</v>
      </c>
      <c r="GZ76" s="1095">
        <f t="shared" si="270"/>
        <v>508250.80502407532</v>
      </c>
      <c r="HA76" s="1106">
        <f t="shared" si="271"/>
        <v>48</v>
      </c>
      <c r="HB76" s="770">
        <f t="shared" si="272"/>
        <v>10588.55843800157</v>
      </c>
      <c r="HC76" s="1098">
        <f t="shared" si="273"/>
        <v>0.875</v>
      </c>
      <c r="HD76" s="1102">
        <f t="shared" si="274"/>
        <v>3767755.6351685273</v>
      </c>
      <c r="HE76" s="1101">
        <f t="shared" si="275"/>
        <v>29211.36933618176</v>
      </c>
      <c r="HF76" s="1101">
        <f t="shared" si="276"/>
        <v>33865.652825530153</v>
      </c>
      <c r="HG76" s="1101">
        <f t="shared" si="277"/>
        <v>43746.837686681865</v>
      </c>
      <c r="HH76" s="1101">
        <f t="shared" si="278"/>
        <v>74606.077383492782</v>
      </c>
      <c r="HI76" s="497"/>
      <c r="HJ76" s="1102">
        <f t="shared" si="279"/>
        <v>-6937.3313904148217</v>
      </c>
      <c r="HL76" s="775"/>
      <c r="HN76" s="775"/>
      <c r="HO76" s="775"/>
      <c r="HQ76" s="702"/>
      <c r="HR76" s="1171"/>
      <c r="HS76" s="702"/>
      <c r="HT76" s="1171"/>
    </row>
    <row r="77" spans="1:228" ht="14.25" hidden="1" customHeight="1">
      <c r="A77" s="753">
        <f t="shared" si="280"/>
        <v>71</v>
      </c>
      <c r="B77" s="753" t="s">
        <v>236</v>
      </c>
      <c r="C77" s="753">
        <f t="shared" si="174"/>
        <v>9</v>
      </c>
      <c r="D77" s="753" t="s">
        <v>260</v>
      </c>
      <c r="E77" s="717" t="str">
        <f t="shared" si="200"/>
        <v>5th Floor</v>
      </c>
      <c r="F77" s="754"/>
      <c r="G77" s="756" t="s">
        <v>409</v>
      </c>
      <c r="H77" s="756"/>
      <c r="I77" s="755" t="s">
        <v>229</v>
      </c>
      <c r="J77" s="757">
        <v>22</v>
      </c>
      <c r="K77" s="758"/>
      <c r="L77" s="759" t="s">
        <v>69</v>
      </c>
      <c r="M77" s="760" t="s">
        <v>68</v>
      </c>
      <c r="N77" s="761">
        <f t="shared" si="201"/>
        <v>106005.26567735759</v>
      </c>
      <c r="O77" s="762">
        <f t="shared" si="202"/>
        <v>2332115.8449018667</v>
      </c>
      <c r="P77" s="762">
        <f t="shared" si="203"/>
        <v>22400</v>
      </c>
      <c r="Q77" s="762">
        <f t="shared" si="175"/>
        <v>50000</v>
      </c>
      <c r="R77" s="762"/>
      <c r="S77" s="762"/>
      <c r="T77" s="762"/>
      <c r="U77" s="762"/>
      <c r="V77" s="762"/>
      <c r="W77" s="762"/>
      <c r="X77" s="762"/>
      <c r="Y77" s="762">
        <f t="shared" si="176"/>
        <v>20000</v>
      </c>
      <c r="Z77" s="762">
        <f t="shared" si="177"/>
        <v>142461</v>
      </c>
      <c r="AA77" s="762">
        <v>45722.732758620688</v>
      </c>
      <c r="AB77" s="762"/>
      <c r="AC77" s="762"/>
      <c r="AD77" s="763">
        <f t="shared" si="204"/>
        <v>280583.7327586207</v>
      </c>
      <c r="AE77" s="763">
        <f t="shared" si="178"/>
        <v>2612699.5776604875</v>
      </c>
      <c r="AF77" s="762">
        <f t="shared" si="179"/>
        <v>65317.489441512189</v>
      </c>
      <c r="AG77" s="762">
        <f t="shared" si="205"/>
        <v>2678017.0671019997</v>
      </c>
      <c r="AH77" s="762">
        <f t="shared" si="180"/>
        <v>66950.42667755</v>
      </c>
      <c r="AI77" s="762">
        <f t="shared" si="206"/>
        <v>2744967.4937795498</v>
      </c>
      <c r="AJ77" s="762">
        <f t="shared" si="207"/>
        <v>137248.37468897749</v>
      </c>
      <c r="AK77" s="762">
        <f t="shared" si="208"/>
        <v>2882215.8684685272</v>
      </c>
      <c r="AL77" s="762">
        <f t="shared" si="209"/>
        <v>28822.158684685273</v>
      </c>
      <c r="AM77" s="762">
        <f t="shared" si="210"/>
        <v>27537.409960060559</v>
      </c>
      <c r="AN77" s="762"/>
      <c r="AO77" s="763">
        <f t="shared" si="211"/>
        <v>2938575.437113273</v>
      </c>
      <c r="AP77" s="763">
        <f t="shared" si="212"/>
        <v>484864.94712369004</v>
      </c>
      <c r="AQ77" s="763">
        <f t="shared" si="213"/>
        <v>3423440.384236963</v>
      </c>
      <c r="AR77" s="1178">
        <f t="shared" si="181"/>
        <v>3000000</v>
      </c>
      <c r="AS77" s="1178">
        <f t="shared" si="214"/>
        <v>19247.290192589226</v>
      </c>
      <c r="AT77" s="1178">
        <f t="shared" si="215"/>
        <v>423440.384236963</v>
      </c>
      <c r="AU77" s="1178">
        <f t="shared" si="182"/>
        <v>50812.846108435559</v>
      </c>
      <c r="AV77" s="1178">
        <f t="shared" si="216"/>
        <v>474253.23034539854</v>
      </c>
      <c r="AW77" s="1178">
        <f t="shared" si="217"/>
        <v>3474253.2303453987</v>
      </c>
      <c r="AX77" s="762">
        <f t="shared" si="218"/>
        <v>43428.165379317485</v>
      </c>
      <c r="AY77" s="717" t="s">
        <v>231</v>
      </c>
      <c r="AZ77" s="717">
        <f t="shared" si="219"/>
        <v>3517681.3957247161</v>
      </c>
      <c r="BA77" s="717">
        <f t="shared" si="220"/>
        <v>131913.05233967685</v>
      </c>
      <c r="BB77" s="717"/>
      <c r="BC77" s="717">
        <f t="shared" si="183"/>
        <v>33600</v>
      </c>
      <c r="BD77" s="717">
        <f t="shared" si="221"/>
        <v>3683194.4480643929</v>
      </c>
      <c r="BE77" s="717"/>
      <c r="BF77" s="717">
        <f t="shared" si="222"/>
        <v>3683194.4480643929</v>
      </c>
      <c r="BG77" s="1209"/>
      <c r="BH77" s="717">
        <f t="shared" si="223"/>
        <v>3683194.4480643929</v>
      </c>
      <c r="BI77" s="717"/>
      <c r="BJ77" s="717">
        <f t="shared" si="224"/>
        <v>3683194.4480643929</v>
      </c>
      <c r="BK77" s="717"/>
      <c r="BL77" s="717">
        <f t="shared" si="225"/>
        <v>3683194.4480643929</v>
      </c>
      <c r="BM77" s="717"/>
      <c r="BN77" s="717">
        <f t="shared" si="226"/>
        <v>3683194.4480643929</v>
      </c>
      <c r="BO77" s="717"/>
      <c r="BP77" s="717">
        <f t="shared" si="184"/>
        <v>3683194.4480643929</v>
      </c>
      <c r="BQ77" s="717"/>
      <c r="BR77" s="717">
        <f t="shared" si="133"/>
        <v>3683194.4480643929</v>
      </c>
      <c r="BS77" s="717"/>
      <c r="BT77" s="717">
        <f t="shared" si="227"/>
        <v>3683194.4480643929</v>
      </c>
      <c r="BU77" s="717"/>
      <c r="BV77" s="1235">
        <f t="shared" si="134"/>
        <v>51400</v>
      </c>
      <c r="BW77" s="717">
        <f t="shared" si="228"/>
        <v>3734594.4480643929</v>
      </c>
      <c r="BX77" s="717"/>
      <c r="BY77" s="717">
        <f t="shared" si="229"/>
        <v>3734594.4480643929</v>
      </c>
      <c r="BZ77" s="1194">
        <f t="shared" si="230"/>
        <v>3734594.4480643929</v>
      </c>
      <c r="CA77" s="1194">
        <f t="shared" si="231"/>
        <v>3030594.4480643929</v>
      </c>
      <c r="CB77" s="1194">
        <v>32000</v>
      </c>
      <c r="CC77" s="1194">
        <f t="shared" si="232"/>
        <v>704000</v>
      </c>
      <c r="CD77" s="1194">
        <f t="shared" si="233"/>
        <v>84480</v>
      </c>
      <c r="CE77" s="1194">
        <f t="shared" si="234"/>
        <v>788480</v>
      </c>
      <c r="CF77" s="1200">
        <f t="shared" si="235"/>
        <v>3819074.4480643929</v>
      </c>
      <c r="CG77" s="757">
        <f t="shared" si="236"/>
        <v>3819074.4480643929</v>
      </c>
      <c r="CH77" s="758">
        <f t="shared" si="237"/>
        <v>0</v>
      </c>
      <c r="CI77" s="757">
        <f t="shared" si="185"/>
        <v>391455.13092660025</v>
      </c>
      <c r="CJ77" s="757">
        <f t="shared" si="186"/>
        <v>95476.861201609834</v>
      </c>
      <c r="CK77" s="759">
        <f t="shared" si="155"/>
        <v>4306006.4401926026</v>
      </c>
      <c r="CL77" s="764">
        <f t="shared" si="238"/>
        <v>0.125</v>
      </c>
      <c r="CM77" s="757">
        <f t="shared" si="239"/>
        <v>538250.80502407532</v>
      </c>
      <c r="CN77" s="757">
        <f t="shared" si="281"/>
        <v>30000</v>
      </c>
      <c r="CO77" s="757">
        <f t="shared" si="240"/>
        <v>508250.80502407532</v>
      </c>
      <c r="CP77" s="755">
        <f t="shared" si="241"/>
        <v>29</v>
      </c>
      <c r="CQ77" s="757">
        <f t="shared" si="283"/>
        <v>17525.889828416392</v>
      </c>
      <c r="CR77" s="764">
        <f t="shared" si="242"/>
        <v>0.875</v>
      </c>
      <c r="CS77" s="757">
        <f t="shared" si="243"/>
        <v>3767755.6351685273</v>
      </c>
      <c r="CT77" s="1101">
        <f t="shared" si="244"/>
        <v>29211.36933618176</v>
      </c>
      <c r="CU77" s="1101">
        <f t="shared" si="245"/>
        <v>33865.652825530153</v>
      </c>
      <c r="CV77" s="1101">
        <f t="shared" si="246"/>
        <v>43746.837686681865</v>
      </c>
      <c r="CW77" s="1141">
        <f t="shared" si="187"/>
        <v>74606.077383492782</v>
      </c>
      <c r="CX77" s="1152">
        <f t="shared" si="247"/>
        <v>306066.76610985096</v>
      </c>
      <c r="CY77" s="1152">
        <f t="shared" si="248"/>
        <v>121109.12841285109</v>
      </c>
      <c r="CZ77" s="1152">
        <f t="shared" si="249"/>
        <v>87475.408160448584</v>
      </c>
      <c r="DA77" s="1152">
        <f t="shared" si="250"/>
        <v>66572.812769898912</v>
      </c>
      <c r="DB77" s="1143">
        <f t="shared" si="188"/>
        <v>0.14114679474565434</v>
      </c>
      <c r="DC77" s="1143">
        <f t="shared" si="251"/>
        <v>0.26017337968252185</v>
      </c>
      <c r="DD77" s="1098" t="s">
        <v>232</v>
      </c>
      <c r="DE77" s="1144"/>
      <c r="DF77" s="705"/>
      <c r="DG77" s="765">
        <f t="shared" si="282"/>
        <v>46082</v>
      </c>
      <c r="DH77" s="1116">
        <f t="shared" si="189"/>
        <v>28</v>
      </c>
      <c r="DI77" s="497"/>
      <c r="DJ77" s="1117">
        <f t="shared" si="252"/>
        <v>46147</v>
      </c>
      <c r="DK77" s="1116">
        <f t="shared" si="253"/>
        <v>30</v>
      </c>
      <c r="DL77" s="766" t="s">
        <v>233</v>
      </c>
      <c r="DM77" s="766" t="s">
        <v>234</v>
      </c>
      <c r="DN77" s="767">
        <f t="shared" si="190"/>
        <v>21556.965015699934</v>
      </c>
      <c r="DO77" s="767">
        <f t="shared" si="191"/>
        <v>474253.23034539854</v>
      </c>
      <c r="DP77" s="768">
        <f t="shared" si="192"/>
        <v>0.15808441011513286</v>
      </c>
      <c r="DR77" s="767">
        <f t="shared" si="193"/>
        <v>3819074.4480643929</v>
      </c>
      <c r="DS77" s="767">
        <f>SUM('[6]INTERNAL PRICELIST'!M77)</f>
        <v>2331316</v>
      </c>
      <c r="DT77" s="767">
        <f t="shared" si="254"/>
        <v>1487758.4480643929</v>
      </c>
      <c r="DV77" s="951">
        <f t="shared" si="194"/>
        <v>173594.29309383605</v>
      </c>
      <c r="DX77" s="772">
        <v>18</v>
      </c>
      <c r="DY77" s="773" t="s">
        <v>342</v>
      </c>
      <c r="DZ77" s="772">
        <v>22.34</v>
      </c>
      <c r="EA77" s="775">
        <f t="shared" si="195"/>
        <v>0.33999999999999986</v>
      </c>
      <c r="ED77" s="755" t="s">
        <v>409</v>
      </c>
      <c r="EE77" s="777" t="b">
        <f t="shared" si="196"/>
        <v>1</v>
      </c>
      <c r="EF77" s="1123" t="s">
        <v>410</v>
      </c>
      <c r="EG77" s="1123" t="s">
        <v>394</v>
      </c>
      <c r="EH77" s="1203"/>
      <c r="EP77" s="1230" t="s">
        <v>236</v>
      </c>
      <c r="EQ77" s="1145" t="s">
        <v>236</v>
      </c>
      <c r="ER77" s="753" t="b">
        <f t="shared" si="255"/>
        <v>1</v>
      </c>
      <c r="EU77" s="770">
        <v>2221760</v>
      </c>
      <c r="EV77" s="771" t="s">
        <v>236</v>
      </c>
      <c r="EZ77" s="520"/>
      <c r="FA77" s="778"/>
      <c r="FG77" s="1107"/>
      <c r="FJ77" s="994">
        <v>0.15</v>
      </c>
      <c r="FK77" s="993">
        <v>12931.189511786559</v>
      </c>
      <c r="FL77" s="993">
        <v>13280.681120213221</v>
      </c>
      <c r="FM77" s="497"/>
      <c r="FN77" s="993">
        <f t="shared" si="197"/>
        <v>4306006.4401926026</v>
      </c>
      <c r="FO77" s="994">
        <f t="shared" si="256"/>
        <v>0.15</v>
      </c>
      <c r="FP77" s="775">
        <f t="shared" si="198"/>
        <v>645900.96602889034</v>
      </c>
      <c r="FQ77" s="993">
        <f t="shared" si="199"/>
        <v>30000</v>
      </c>
      <c r="FR77" s="775">
        <f t="shared" si="257"/>
        <v>615900.96602889034</v>
      </c>
      <c r="FS77" s="497">
        <f t="shared" si="258"/>
        <v>40</v>
      </c>
      <c r="FT77" s="775">
        <f t="shared" si="259"/>
        <v>15397.524150722258</v>
      </c>
      <c r="FU77" s="497"/>
      <c r="FV77" s="993">
        <f t="shared" si="260"/>
        <v>4306006.4401926026</v>
      </c>
      <c r="FW77" s="705">
        <f t="shared" si="261"/>
        <v>430600.6440192603</v>
      </c>
      <c r="FX77" s="705">
        <f t="shared" si="262"/>
        <v>107650.16100481508</v>
      </c>
      <c r="FY77" s="705">
        <v>15000</v>
      </c>
      <c r="FZ77" s="705">
        <f t="shared" si="263"/>
        <v>415600.6440192603</v>
      </c>
      <c r="GA77" s="497">
        <f t="shared" si="264"/>
        <v>46</v>
      </c>
      <c r="GB77" s="775">
        <f t="shared" si="265"/>
        <v>9034.7966091143553</v>
      </c>
      <c r="GC77" s="497"/>
      <c r="GD77" s="497"/>
      <c r="GE77" s="1107"/>
      <c r="GH77" s="1095">
        <f t="shared" si="161"/>
        <v>4306006.4401926026</v>
      </c>
      <c r="GI77" s="1098">
        <f t="shared" si="162"/>
        <v>0.125</v>
      </c>
      <c r="GJ77" s="1095">
        <f t="shared" si="163"/>
        <v>538250.80502407532</v>
      </c>
      <c r="GK77" s="1095">
        <f t="shared" si="164"/>
        <v>30000</v>
      </c>
      <c r="GL77" s="1095">
        <f t="shared" si="165"/>
        <v>508250.80502407532</v>
      </c>
      <c r="GM77" s="1095">
        <f t="shared" si="166"/>
        <v>29</v>
      </c>
      <c r="GN77" s="1095">
        <f t="shared" si="167"/>
        <v>17525.889828416392</v>
      </c>
      <c r="GO77" s="1098">
        <f t="shared" si="168"/>
        <v>0.875</v>
      </c>
      <c r="GP77" s="1095">
        <f t="shared" si="169"/>
        <v>3767755.6351685273</v>
      </c>
      <c r="GQ77" s="1095">
        <f t="shared" si="170"/>
        <v>29211.36933618176</v>
      </c>
      <c r="GR77" s="1095">
        <f t="shared" si="171"/>
        <v>33865.652825530153</v>
      </c>
      <c r="GS77" s="1095">
        <f t="shared" si="172"/>
        <v>43746.837686681865</v>
      </c>
      <c r="GT77" s="1095">
        <f t="shared" si="173"/>
        <v>74606.077383492782</v>
      </c>
      <c r="GU77" s="497"/>
      <c r="GV77" s="1095">
        <f t="shared" si="266"/>
        <v>4306006.4401926026</v>
      </c>
      <c r="GW77" s="1098">
        <f t="shared" si="267"/>
        <v>0.125</v>
      </c>
      <c r="GX77" s="1095">
        <f t="shared" si="268"/>
        <v>538250.80502407532</v>
      </c>
      <c r="GY77" s="1095">
        <f t="shared" si="269"/>
        <v>30000</v>
      </c>
      <c r="GZ77" s="1095">
        <f t="shared" si="270"/>
        <v>508250.80502407532</v>
      </c>
      <c r="HA77" s="1106">
        <f t="shared" si="271"/>
        <v>48</v>
      </c>
      <c r="HB77" s="770">
        <f t="shared" si="272"/>
        <v>10588.55843800157</v>
      </c>
      <c r="HC77" s="1098">
        <f t="shared" si="273"/>
        <v>0.875</v>
      </c>
      <c r="HD77" s="1102">
        <f t="shared" si="274"/>
        <v>3767755.6351685273</v>
      </c>
      <c r="HE77" s="1101">
        <f t="shared" si="275"/>
        <v>29211.36933618176</v>
      </c>
      <c r="HF77" s="1101">
        <f t="shared" si="276"/>
        <v>33865.652825530153</v>
      </c>
      <c r="HG77" s="1101">
        <f t="shared" si="277"/>
        <v>43746.837686681865</v>
      </c>
      <c r="HH77" s="1101">
        <f t="shared" si="278"/>
        <v>74606.077383492782</v>
      </c>
      <c r="HI77" s="497"/>
      <c r="HJ77" s="1102">
        <f t="shared" si="279"/>
        <v>-6937.3313904148217</v>
      </c>
      <c r="HL77" s="775"/>
      <c r="HN77" s="775"/>
      <c r="HO77" s="775"/>
      <c r="HQ77" s="702"/>
      <c r="HR77" s="1171"/>
      <c r="HS77" s="702"/>
      <c r="HT77" s="1171"/>
    </row>
    <row r="78" spans="1:228" ht="14.25" hidden="1" customHeight="1">
      <c r="A78" s="753">
        <f t="shared" si="280"/>
        <v>72</v>
      </c>
      <c r="B78" s="753" t="s">
        <v>236</v>
      </c>
      <c r="C78" s="753">
        <f t="shared" si="174"/>
        <v>10</v>
      </c>
      <c r="D78" s="753" t="s">
        <v>260</v>
      </c>
      <c r="E78" s="717" t="str">
        <f t="shared" si="200"/>
        <v>5th Floor</v>
      </c>
      <c r="F78" s="754"/>
      <c r="G78" s="756" t="s">
        <v>411</v>
      </c>
      <c r="H78" s="756"/>
      <c r="I78" s="755" t="s">
        <v>229</v>
      </c>
      <c r="J78" s="757">
        <v>22</v>
      </c>
      <c r="K78" s="758"/>
      <c r="L78" s="759" t="s">
        <v>277</v>
      </c>
      <c r="M78" s="760" t="s">
        <v>278</v>
      </c>
      <c r="N78" s="761">
        <f t="shared" si="201"/>
        <v>106005.26567735759</v>
      </c>
      <c r="O78" s="762">
        <f t="shared" si="202"/>
        <v>2332115.8449018667</v>
      </c>
      <c r="P78" s="762">
        <f t="shared" si="203"/>
        <v>22400</v>
      </c>
      <c r="Q78" s="762">
        <f t="shared" si="175"/>
        <v>50000</v>
      </c>
      <c r="R78" s="762"/>
      <c r="S78" s="762"/>
      <c r="T78" s="762"/>
      <c r="U78" s="762"/>
      <c r="V78" s="762"/>
      <c r="W78" s="762">
        <f>J78*$W$5</f>
        <v>22000</v>
      </c>
      <c r="X78" s="762"/>
      <c r="Y78" s="762">
        <f t="shared" si="176"/>
        <v>20000</v>
      </c>
      <c r="Z78" s="762">
        <f t="shared" si="177"/>
        <v>142461</v>
      </c>
      <c r="AA78" s="762">
        <v>45722.732758620688</v>
      </c>
      <c r="AB78" s="762"/>
      <c r="AC78" s="762"/>
      <c r="AD78" s="763">
        <f t="shared" si="204"/>
        <v>302583.7327586207</v>
      </c>
      <c r="AE78" s="763">
        <f t="shared" si="178"/>
        <v>2634699.5776604875</v>
      </c>
      <c r="AF78" s="762">
        <f t="shared" si="179"/>
        <v>65867.489441512196</v>
      </c>
      <c r="AG78" s="762">
        <f t="shared" si="205"/>
        <v>2700567.0671019997</v>
      </c>
      <c r="AH78" s="762">
        <f t="shared" si="180"/>
        <v>67514.17667755</v>
      </c>
      <c r="AI78" s="762">
        <f t="shared" si="206"/>
        <v>2768081.2437795498</v>
      </c>
      <c r="AJ78" s="762">
        <f t="shared" si="207"/>
        <v>138404.06218897749</v>
      </c>
      <c r="AK78" s="762">
        <f t="shared" si="208"/>
        <v>2906485.3059685272</v>
      </c>
      <c r="AL78" s="762">
        <f t="shared" si="209"/>
        <v>29064.853059685272</v>
      </c>
      <c r="AM78" s="762">
        <f t="shared" si="210"/>
        <v>27537.409960060559</v>
      </c>
      <c r="AN78" s="762"/>
      <c r="AO78" s="763">
        <f t="shared" si="211"/>
        <v>2963087.5689882729</v>
      </c>
      <c r="AP78" s="763">
        <f t="shared" si="212"/>
        <v>488909.44888306508</v>
      </c>
      <c r="AQ78" s="763">
        <f t="shared" si="213"/>
        <v>3451997.0178713379</v>
      </c>
      <c r="AR78" s="1178">
        <f t="shared" si="181"/>
        <v>3000000</v>
      </c>
      <c r="AS78" s="1178">
        <f t="shared" si="214"/>
        <v>20545.318994151723</v>
      </c>
      <c r="AT78" s="1178">
        <f t="shared" si="215"/>
        <v>451997.01787133794</v>
      </c>
      <c r="AU78" s="1178">
        <f t="shared" si="182"/>
        <v>54239.642144560552</v>
      </c>
      <c r="AV78" s="1178">
        <f t="shared" si="216"/>
        <v>506236.66001589852</v>
      </c>
      <c r="AW78" s="1178">
        <f t="shared" si="217"/>
        <v>3506236.6600158983</v>
      </c>
      <c r="AX78" s="762">
        <f t="shared" si="218"/>
        <v>43827.958250198732</v>
      </c>
      <c r="AY78" s="717" t="s">
        <v>231</v>
      </c>
      <c r="AZ78" s="717">
        <f t="shared" si="219"/>
        <v>3550064.6182660968</v>
      </c>
      <c r="BA78" s="717">
        <f t="shared" si="220"/>
        <v>133127.42318497863</v>
      </c>
      <c r="BB78" s="717"/>
      <c r="BC78" s="717">
        <f t="shared" si="183"/>
        <v>33600</v>
      </c>
      <c r="BD78" s="717">
        <f t="shared" si="221"/>
        <v>3716792.0414510756</v>
      </c>
      <c r="BE78" s="717"/>
      <c r="BF78" s="717">
        <f t="shared" si="222"/>
        <v>3716792.0414510756</v>
      </c>
      <c r="BG78" s="1209"/>
      <c r="BH78" s="717">
        <f t="shared" si="223"/>
        <v>3716792.0414510756</v>
      </c>
      <c r="BI78" s="717"/>
      <c r="BJ78" s="717">
        <f t="shared" si="224"/>
        <v>3716792.0414510756</v>
      </c>
      <c r="BK78" s="717"/>
      <c r="BL78" s="717">
        <f t="shared" si="225"/>
        <v>3716792.0414510756</v>
      </c>
      <c r="BM78" s="717"/>
      <c r="BN78" s="717">
        <f t="shared" si="226"/>
        <v>3716792.0414510756</v>
      </c>
      <c r="BO78" s="717"/>
      <c r="BP78" s="717">
        <f t="shared" si="184"/>
        <v>3716792.0414510756</v>
      </c>
      <c r="BQ78" s="717"/>
      <c r="BR78" s="717">
        <f t="shared" si="133"/>
        <v>3716792.0414510756</v>
      </c>
      <c r="BS78" s="717"/>
      <c r="BT78" s="717">
        <f t="shared" si="227"/>
        <v>3716792.0414510756</v>
      </c>
      <c r="BU78" s="717"/>
      <c r="BV78" s="1235">
        <f t="shared" si="134"/>
        <v>51400</v>
      </c>
      <c r="BW78" s="717">
        <f t="shared" si="228"/>
        <v>3768192.0414510756</v>
      </c>
      <c r="BX78" s="717"/>
      <c r="BY78" s="717">
        <f t="shared" si="229"/>
        <v>3768192.0414510756</v>
      </c>
      <c r="BZ78" s="1194">
        <f t="shared" si="230"/>
        <v>3768192.0414510756</v>
      </c>
      <c r="CA78" s="1194">
        <f t="shared" si="231"/>
        <v>3031192.0414510756</v>
      </c>
      <c r="CB78" s="1194">
        <v>33500</v>
      </c>
      <c r="CC78" s="1194">
        <f t="shared" si="232"/>
        <v>737000</v>
      </c>
      <c r="CD78" s="1194">
        <f t="shared" si="233"/>
        <v>88440</v>
      </c>
      <c r="CE78" s="1194">
        <f t="shared" si="234"/>
        <v>825440</v>
      </c>
      <c r="CF78" s="1200">
        <f t="shared" si="235"/>
        <v>3856632.0414510756</v>
      </c>
      <c r="CG78" s="757">
        <f t="shared" si="236"/>
        <v>3856632.0414510756</v>
      </c>
      <c r="CH78" s="758">
        <f t="shared" si="237"/>
        <v>0</v>
      </c>
      <c r="CI78" s="757">
        <f t="shared" si="185"/>
        <v>395304.78424873523</v>
      </c>
      <c r="CJ78" s="757">
        <f t="shared" si="186"/>
        <v>96415.801036276898</v>
      </c>
      <c r="CK78" s="759">
        <f t="shared" si="155"/>
        <v>4348352.6267360877</v>
      </c>
      <c r="CL78" s="764">
        <f t="shared" si="238"/>
        <v>0.125</v>
      </c>
      <c r="CM78" s="757">
        <f t="shared" si="239"/>
        <v>543544.07834201097</v>
      </c>
      <c r="CN78" s="757">
        <f t="shared" si="281"/>
        <v>30000</v>
      </c>
      <c r="CO78" s="757">
        <f t="shared" si="240"/>
        <v>513544.07834201097</v>
      </c>
      <c r="CP78" s="755">
        <f t="shared" si="241"/>
        <v>29</v>
      </c>
      <c r="CQ78" s="757">
        <f t="shared" si="283"/>
        <v>17708.416494552101</v>
      </c>
      <c r="CR78" s="764">
        <f t="shared" si="242"/>
        <v>0.875</v>
      </c>
      <c r="CS78" s="757">
        <f t="shared" si="243"/>
        <v>3804808.5483940765</v>
      </c>
      <c r="CT78" s="1101">
        <f t="shared" si="244"/>
        <v>29498.640178035228</v>
      </c>
      <c r="CU78" s="1101">
        <f t="shared" si="245"/>
        <v>34198.69488477581</v>
      </c>
      <c r="CV78" s="1101">
        <f t="shared" si="246"/>
        <v>44177.053427205676</v>
      </c>
      <c r="CW78" s="1141">
        <f t="shared" si="187"/>
        <v>75339.769474770234</v>
      </c>
      <c r="CX78" s="1152">
        <f t="shared" si="247"/>
        <v>309076.69202437636</v>
      </c>
      <c r="CY78" s="1152">
        <f t="shared" si="248"/>
        <v>122300.14143503785</v>
      </c>
      <c r="CZ78" s="1152">
        <f t="shared" si="249"/>
        <v>88335.659997824871</v>
      </c>
      <c r="DA78" s="1152">
        <f t="shared" si="250"/>
        <v>67227.504022091394</v>
      </c>
      <c r="DB78" s="1143">
        <f t="shared" si="188"/>
        <v>0.15066567262377931</v>
      </c>
      <c r="DC78" s="1143">
        <f t="shared" si="251"/>
        <v>0.2723153098557391</v>
      </c>
      <c r="DD78" s="1098" t="s">
        <v>232</v>
      </c>
      <c r="DE78" s="1144"/>
      <c r="DF78" s="705"/>
      <c r="DG78" s="765">
        <f t="shared" si="282"/>
        <v>46082</v>
      </c>
      <c r="DH78" s="1116">
        <f t="shared" si="189"/>
        <v>28</v>
      </c>
      <c r="DI78" s="497"/>
      <c r="DJ78" s="1117">
        <f t="shared" si="252"/>
        <v>46147</v>
      </c>
      <c r="DK78" s="1116">
        <f t="shared" si="253"/>
        <v>30</v>
      </c>
      <c r="DL78" s="766" t="s">
        <v>233</v>
      </c>
      <c r="DM78" s="766" t="s">
        <v>234</v>
      </c>
      <c r="DN78" s="767">
        <f t="shared" si="190"/>
        <v>23010.757273449934</v>
      </c>
      <c r="DO78" s="767">
        <f t="shared" si="191"/>
        <v>506236.66001589852</v>
      </c>
      <c r="DP78" s="768">
        <f t="shared" si="192"/>
        <v>0.16874555333863284</v>
      </c>
      <c r="DR78" s="767">
        <f t="shared" si="193"/>
        <v>3856632.0414510756</v>
      </c>
      <c r="DS78" s="767">
        <f>SUM('[6]INTERNAL PRICELIST'!M78)</f>
        <v>2329361</v>
      </c>
      <c r="DT78" s="767">
        <f t="shared" si="254"/>
        <v>1527271.0414510756</v>
      </c>
      <c r="DV78" s="951">
        <f t="shared" si="194"/>
        <v>175301.45642959434</v>
      </c>
      <c r="DX78" s="772">
        <v>1</v>
      </c>
      <c r="DY78" s="773" t="s">
        <v>235</v>
      </c>
      <c r="DZ78" s="774">
        <v>22</v>
      </c>
      <c r="EA78" s="775">
        <f t="shared" si="195"/>
        <v>0</v>
      </c>
      <c r="ED78" s="755" t="s">
        <v>411</v>
      </c>
      <c r="EE78" s="777" t="b">
        <f t="shared" si="196"/>
        <v>1</v>
      </c>
      <c r="EF78" s="1123" t="s">
        <v>412</v>
      </c>
      <c r="EG78" s="1123" t="s">
        <v>394</v>
      </c>
      <c r="EH78" s="1203"/>
      <c r="EP78" s="1230" t="s">
        <v>236</v>
      </c>
      <c r="EQ78" s="1145" t="s">
        <v>236</v>
      </c>
      <c r="ER78" s="753" t="b">
        <f t="shared" si="255"/>
        <v>1</v>
      </c>
      <c r="EU78" s="770">
        <v>2430561</v>
      </c>
      <c r="EV78" s="771" t="s">
        <v>236</v>
      </c>
      <c r="EZ78" s="520"/>
      <c r="FA78" s="778"/>
      <c r="FG78" s="1107"/>
      <c r="FJ78" s="994">
        <v>0.15</v>
      </c>
      <c r="FK78" s="993">
        <v>13053.376038622413</v>
      </c>
      <c r="FL78" s="993">
        <v>13406.169985612209</v>
      </c>
      <c r="FM78" s="497"/>
      <c r="FN78" s="993">
        <f t="shared" si="197"/>
        <v>4348352.6267360877</v>
      </c>
      <c r="FO78" s="994">
        <f t="shared" si="256"/>
        <v>0.15</v>
      </c>
      <c r="FP78" s="775">
        <f t="shared" si="198"/>
        <v>652252.89401041309</v>
      </c>
      <c r="FQ78" s="993">
        <f t="shared" si="199"/>
        <v>30000</v>
      </c>
      <c r="FR78" s="775">
        <f t="shared" si="257"/>
        <v>622252.89401041309</v>
      </c>
      <c r="FS78" s="497">
        <f t="shared" si="258"/>
        <v>40</v>
      </c>
      <c r="FT78" s="775">
        <f t="shared" si="259"/>
        <v>15556.322350260327</v>
      </c>
      <c r="FU78" s="497"/>
      <c r="FV78" s="993">
        <f t="shared" si="260"/>
        <v>4348352.6267360877</v>
      </c>
      <c r="FW78" s="705">
        <f t="shared" si="261"/>
        <v>434835.26267360878</v>
      </c>
      <c r="FX78" s="705">
        <f t="shared" si="262"/>
        <v>108708.8156684022</v>
      </c>
      <c r="FY78" s="705">
        <v>15000</v>
      </c>
      <c r="FZ78" s="705">
        <f t="shared" si="263"/>
        <v>419835.26267360878</v>
      </c>
      <c r="GA78" s="497">
        <f t="shared" si="264"/>
        <v>46</v>
      </c>
      <c r="GB78" s="775">
        <f t="shared" si="265"/>
        <v>9126.8535363827996</v>
      </c>
      <c r="GC78" s="497"/>
      <c r="GD78" s="497"/>
      <c r="GE78" s="1107"/>
      <c r="GH78" s="1095">
        <f t="shared" si="161"/>
        <v>4348352.6267360877</v>
      </c>
      <c r="GI78" s="1098">
        <f t="shared" si="162"/>
        <v>0.125</v>
      </c>
      <c r="GJ78" s="1095">
        <f t="shared" si="163"/>
        <v>543544.07834201097</v>
      </c>
      <c r="GK78" s="1095">
        <f t="shared" si="164"/>
        <v>30000</v>
      </c>
      <c r="GL78" s="1095">
        <f t="shared" si="165"/>
        <v>513544.07834201097</v>
      </c>
      <c r="GM78" s="1095">
        <f t="shared" si="166"/>
        <v>29</v>
      </c>
      <c r="GN78" s="1095">
        <f t="shared" si="167"/>
        <v>17708.416494552101</v>
      </c>
      <c r="GO78" s="1098">
        <f t="shared" si="168"/>
        <v>0.875</v>
      </c>
      <c r="GP78" s="1095">
        <f t="shared" si="169"/>
        <v>3804808.5483940765</v>
      </c>
      <c r="GQ78" s="1095">
        <f t="shared" si="170"/>
        <v>29498.640178035228</v>
      </c>
      <c r="GR78" s="1095">
        <f t="shared" si="171"/>
        <v>34198.69488477581</v>
      </c>
      <c r="GS78" s="1095">
        <f t="shared" si="172"/>
        <v>44177.053427205676</v>
      </c>
      <c r="GT78" s="1095">
        <f t="shared" si="173"/>
        <v>75339.769474770234</v>
      </c>
      <c r="GU78" s="497"/>
      <c r="GV78" s="1095">
        <f t="shared" si="266"/>
        <v>4348352.6267360877</v>
      </c>
      <c r="GW78" s="1098">
        <f t="shared" si="267"/>
        <v>0.125</v>
      </c>
      <c r="GX78" s="1095">
        <f t="shared" si="268"/>
        <v>543544.07834201097</v>
      </c>
      <c r="GY78" s="1095">
        <f t="shared" si="269"/>
        <v>30000</v>
      </c>
      <c r="GZ78" s="1095">
        <f t="shared" si="270"/>
        <v>513544.07834201097</v>
      </c>
      <c r="HA78" s="1106">
        <f t="shared" si="271"/>
        <v>48</v>
      </c>
      <c r="HB78" s="770">
        <f t="shared" si="272"/>
        <v>10698.834965458562</v>
      </c>
      <c r="HC78" s="1098">
        <f t="shared" si="273"/>
        <v>0.875</v>
      </c>
      <c r="HD78" s="1102">
        <f t="shared" si="274"/>
        <v>3804808.5483940765</v>
      </c>
      <c r="HE78" s="1101">
        <f t="shared" si="275"/>
        <v>29498.640178035228</v>
      </c>
      <c r="HF78" s="1101">
        <f t="shared" si="276"/>
        <v>34198.69488477581</v>
      </c>
      <c r="HG78" s="1101">
        <f t="shared" si="277"/>
        <v>44177.053427205676</v>
      </c>
      <c r="HH78" s="1101">
        <f t="shared" si="278"/>
        <v>75339.769474770234</v>
      </c>
      <c r="HI78" s="497"/>
      <c r="HJ78" s="1102">
        <f t="shared" si="279"/>
        <v>-7009.5815290935388</v>
      </c>
      <c r="HL78" s="775"/>
      <c r="HN78" s="775"/>
      <c r="HO78" s="775"/>
      <c r="HQ78" s="702"/>
      <c r="HR78" s="1171"/>
      <c r="HS78" s="702"/>
      <c r="HT78" s="1171"/>
    </row>
    <row r="79" spans="1:228" ht="14.25" hidden="1" customHeight="1">
      <c r="A79" s="753">
        <f t="shared" si="280"/>
        <v>73</v>
      </c>
      <c r="B79" s="753" t="s">
        <v>236</v>
      </c>
      <c r="C79" s="753">
        <f t="shared" si="174"/>
        <v>11</v>
      </c>
      <c r="D79" s="753" t="s">
        <v>260</v>
      </c>
      <c r="E79" s="717" t="str">
        <f t="shared" si="200"/>
        <v>5th Floor</v>
      </c>
      <c r="F79" s="754"/>
      <c r="G79" s="756" t="s">
        <v>413</v>
      </c>
      <c r="H79" s="756"/>
      <c r="I79" s="755" t="s">
        <v>229</v>
      </c>
      <c r="J79" s="757">
        <v>22</v>
      </c>
      <c r="K79" s="758"/>
      <c r="L79" s="759" t="s">
        <v>277</v>
      </c>
      <c r="M79" s="760" t="s">
        <v>68</v>
      </c>
      <c r="N79" s="761">
        <f t="shared" si="201"/>
        <v>106005.26567735759</v>
      </c>
      <c r="O79" s="762">
        <f t="shared" si="202"/>
        <v>2332115.8449018667</v>
      </c>
      <c r="P79" s="762">
        <f t="shared" si="203"/>
        <v>22400</v>
      </c>
      <c r="Q79" s="762">
        <f t="shared" si="175"/>
        <v>50000</v>
      </c>
      <c r="R79" s="762"/>
      <c r="S79" s="762"/>
      <c r="T79" s="762"/>
      <c r="U79" s="762"/>
      <c r="V79" s="762"/>
      <c r="W79" s="762"/>
      <c r="X79" s="762"/>
      <c r="Y79" s="762">
        <f t="shared" si="176"/>
        <v>20000</v>
      </c>
      <c r="Z79" s="762">
        <f t="shared" si="177"/>
        <v>142461</v>
      </c>
      <c r="AA79" s="762">
        <v>45722.732758620688</v>
      </c>
      <c r="AB79" s="762"/>
      <c r="AC79" s="762"/>
      <c r="AD79" s="763">
        <f t="shared" si="204"/>
        <v>280583.7327586207</v>
      </c>
      <c r="AE79" s="763">
        <f t="shared" si="178"/>
        <v>2612699.5776604875</v>
      </c>
      <c r="AF79" s="762">
        <f t="shared" si="179"/>
        <v>65317.489441512189</v>
      </c>
      <c r="AG79" s="762">
        <f t="shared" si="205"/>
        <v>2678017.0671019997</v>
      </c>
      <c r="AH79" s="762">
        <f t="shared" si="180"/>
        <v>66950.42667755</v>
      </c>
      <c r="AI79" s="762">
        <f t="shared" si="206"/>
        <v>2744967.4937795498</v>
      </c>
      <c r="AJ79" s="762">
        <f t="shared" si="207"/>
        <v>137248.37468897749</v>
      </c>
      <c r="AK79" s="762">
        <f t="shared" si="208"/>
        <v>2882215.8684685272</v>
      </c>
      <c r="AL79" s="762">
        <f t="shared" si="209"/>
        <v>28822.158684685273</v>
      </c>
      <c r="AM79" s="762">
        <f t="shared" si="210"/>
        <v>27537.409960060559</v>
      </c>
      <c r="AN79" s="762"/>
      <c r="AO79" s="763">
        <f t="shared" si="211"/>
        <v>2938575.437113273</v>
      </c>
      <c r="AP79" s="763">
        <f t="shared" si="212"/>
        <v>484864.94712369004</v>
      </c>
      <c r="AQ79" s="763">
        <f t="shared" si="213"/>
        <v>3423440.384236963</v>
      </c>
      <c r="AR79" s="1178">
        <f t="shared" si="181"/>
        <v>3000000</v>
      </c>
      <c r="AS79" s="1178">
        <f t="shared" si="214"/>
        <v>19247.290192589226</v>
      </c>
      <c r="AT79" s="1178">
        <f t="shared" si="215"/>
        <v>423440.384236963</v>
      </c>
      <c r="AU79" s="1178">
        <f t="shared" si="182"/>
        <v>50812.846108435559</v>
      </c>
      <c r="AV79" s="1178">
        <f t="shared" si="216"/>
        <v>474253.23034539854</v>
      </c>
      <c r="AW79" s="1178">
        <f t="shared" si="217"/>
        <v>3474253.2303453987</v>
      </c>
      <c r="AX79" s="762">
        <f t="shared" si="218"/>
        <v>43428.165379317485</v>
      </c>
      <c r="AY79" s="717" t="s">
        <v>231</v>
      </c>
      <c r="AZ79" s="717">
        <f t="shared" si="219"/>
        <v>3517681.3957247161</v>
      </c>
      <c r="BA79" s="717">
        <f t="shared" si="220"/>
        <v>131913.05233967685</v>
      </c>
      <c r="BB79" s="717"/>
      <c r="BC79" s="717">
        <f t="shared" si="183"/>
        <v>33600</v>
      </c>
      <c r="BD79" s="717">
        <f t="shared" si="221"/>
        <v>3683194.4480643929</v>
      </c>
      <c r="BE79" s="717"/>
      <c r="BF79" s="717">
        <f t="shared" si="222"/>
        <v>3683194.4480643929</v>
      </c>
      <c r="BG79" s="1209"/>
      <c r="BH79" s="717">
        <f t="shared" si="223"/>
        <v>3683194.4480643929</v>
      </c>
      <c r="BI79" s="717"/>
      <c r="BJ79" s="717">
        <f t="shared" si="224"/>
        <v>3683194.4480643929</v>
      </c>
      <c r="BK79" s="717"/>
      <c r="BL79" s="717">
        <f t="shared" si="225"/>
        <v>3683194.4480643929</v>
      </c>
      <c r="BM79" s="717"/>
      <c r="BN79" s="717">
        <f t="shared" si="226"/>
        <v>3683194.4480643929</v>
      </c>
      <c r="BO79" s="717"/>
      <c r="BP79" s="717">
        <f t="shared" si="184"/>
        <v>3683194.4480643929</v>
      </c>
      <c r="BQ79" s="717"/>
      <c r="BR79" s="717">
        <f t="shared" si="133"/>
        <v>3683194.4480643929</v>
      </c>
      <c r="BS79" s="717"/>
      <c r="BT79" s="717">
        <f t="shared" si="227"/>
        <v>3683194.4480643929</v>
      </c>
      <c r="BU79" s="717"/>
      <c r="BV79" s="1235">
        <f t="shared" si="134"/>
        <v>51400</v>
      </c>
      <c r="BW79" s="717">
        <f t="shared" si="228"/>
        <v>3734594.4480643929</v>
      </c>
      <c r="BX79" s="717"/>
      <c r="BY79" s="717">
        <f t="shared" si="229"/>
        <v>3734594.4480643929</v>
      </c>
      <c r="BZ79" s="1194">
        <f t="shared" si="230"/>
        <v>3734594.4480643929</v>
      </c>
      <c r="CA79" s="1194">
        <f t="shared" si="231"/>
        <v>3030594.4480643929</v>
      </c>
      <c r="CB79" s="1194">
        <v>32000</v>
      </c>
      <c r="CC79" s="1194">
        <f t="shared" si="232"/>
        <v>704000</v>
      </c>
      <c r="CD79" s="1194">
        <f t="shared" si="233"/>
        <v>84480</v>
      </c>
      <c r="CE79" s="1194">
        <f t="shared" si="234"/>
        <v>788480</v>
      </c>
      <c r="CF79" s="1200">
        <f t="shared" si="235"/>
        <v>3819074.4480643929</v>
      </c>
      <c r="CG79" s="757">
        <f t="shared" si="236"/>
        <v>3819074.4480643929</v>
      </c>
      <c r="CH79" s="758">
        <f t="shared" si="237"/>
        <v>0</v>
      </c>
      <c r="CI79" s="757">
        <f t="shared" si="185"/>
        <v>391455.13092660025</v>
      </c>
      <c r="CJ79" s="757">
        <f t="shared" si="186"/>
        <v>95476.861201609834</v>
      </c>
      <c r="CK79" s="759">
        <f t="shared" si="155"/>
        <v>4306006.4401926026</v>
      </c>
      <c r="CL79" s="764">
        <f t="shared" si="238"/>
        <v>0.125</v>
      </c>
      <c r="CM79" s="757">
        <f t="shared" si="239"/>
        <v>538250.80502407532</v>
      </c>
      <c r="CN79" s="757">
        <f t="shared" si="281"/>
        <v>30000</v>
      </c>
      <c r="CO79" s="757">
        <f t="shared" si="240"/>
        <v>508250.80502407532</v>
      </c>
      <c r="CP79" s="755">
        <f t="shared" si="241"/>
        <v>29</v>
      </c>
      <c r="CQ79" s="757">
        <f t="shared" si="283"/>
        <v>17525.889828416392</v>
      </c>
      <c r="CR79" s="764">
        <f t="shared" si="242"/>
        <v>0.875</v>
      </c>
      <c r="CS79" s="757">
        <f t="shared" si="243"/>
        <v>3767755.6351685273</v>
      </c>
      <c r="CT79" s="1101">
        <f t="shared" si="244"/>
        <v>29211.36933618176</v>
      </c>
      <c r="CU79" s="1101">
        <f t="shared" si="245"/>
        <v>33865.652825530153</v>
      </c>
      <c r="CV79" s="1101">
        <f t="shared" si="246"/>
        <v>43746.837686681865</v>
      </c>
      <c r="CW79" s="1141">
        <f t="shared" si="187"/>
        <v>74606.077383492782</v>
      </c>
      <c r="CX79" s="1152">
        <f t="shared" si="247"/>
        <v>306066.76610985096</v>
      </c>
      <c r="CY79" s="1152">
        <f t="shared" si="248"/>
        <v>121109.12841285109</v>
      </c>
      <c r="CZ79" s="1152">
        <f t="shared" si="249"/>
        <v>87475.408160448584</v>
      </c>
      <c r="DA79" s="1152">
        <f t="shared" si="250"/>
        <v>66572.812769898912</v>
      </c>
      <c r="DB79" s="1143">
        <f t="shared" si="188"/>
        <v>0.14114679474565434</v>
      </c>
      <c r="DC79" s="1143">
        <f t="shared" si="251"/>
        <v>0.26017337968252185</v>
      </c>
      <c r="DD79" s="1098" t="s">
        <v>232</v>
      </c>
      <c r="DE79" s="1144"/>
      <c r="DF79" s="705"/>
      <c r="DG79" s="765">
        <f t="shared" si="282"/>
        <v>46082</v>
      </c>
      <c r="DH79" s="1116">
        <f t="shared" si="189"/>
        <v>28</v>
      </c>
      <c r="DI79" s="497"/>
      <c r="DJ79" s="1117">
        <f t="shared" si="252"/>
        <v>46147</v>
      </c>
      <c r="DK79" s="1116">
        <f t="shared" si="253"/>
        <v>30</v>
      </c>
      <c r="DL79" s="766" t="s">
        <v>233</v>
      </c>
      <c r="DM79" s="766" t="s">
        <v>234</v>
      </c>
      <c r="DN79" s="767">
        <f t="shared" si="190"/>
        <v>21556.965015699934</v>
      </c>
      <c r="DO79" s="767">
        <f t="shared" si="191"/>
        <v>474253.23034539854</v>
      </c>
      <c r="DP79" s="768">
        <f t="shared" si="192"/>
        <v>0.15808441011513286</v>
      </c>
      <c r="DR79" s="767">
        <f t="shared" si="193"/>
        <v>3819074.4480643929</v>
      </c>
      <c r="DS79" s="767">
        <f>SUM('[6]INTERNAL PRICELIST'!M79)</f>
        <v>2329361</v>
      </c>
      <c r="DT79" s="767">
        <f t="shared" si="254"/>
        <v>1489713.4480643929</v>
      </c>
      <c r="DV79" s="951">
        <f t="shared" si="194"/>
        <v>173594.29309383605</v>
      </c>
      <c r="DX79" s="772">
        <v>2</v>
      </c>
      <c r="DY79" s="773" t="s">
        <v>238</v>
      </c>
      <c r="DZ79" s="774">
        <v>22</v>
      </c>
      <c r="EA79" s="775">
        <f t="shared" si="195"/>
        <v>0</v>
      </c>
      <c r="ED79" s="755" t="s">
        <v>413</v>
      </c>
      <c r="EE79" s="777" t="b">
        <f t="shared" si="196"/>
        <v>1</v>
      </c>
      <c r="EF79" s="1123" t="s">
        <v>414</v>
      </c>
      <c r="EG79" s="1123" t="s">
        <v>394</v>
      </c>
      <c r="EH79" s="1203"/>
      <c r="EP79" s="1230" t="s">
        <v>236</v>
      </c>
      <c r="EQ79" s="1145" t="s">
        <v>236</v>
      </c>
      <c r="ER79" s="753" t="b">
        <f t="shared" si="255"/>
        <v>1</v>
      </c>
      <c r="EU79" s="770">
        <v>2360460</v>
      </c>
      <c r="EV79" s="771" t="s">
        <v>236</v>
      </c>
      <c r="EZ79" s="520"/>
      <c r="FA79" s="778"/>
      <c r="FG79" s="1107"/>
      <c r="FJ79" s="994">
        <v>0.15</v>
      </c>
      <c r="FK79" s="993">
        <v>12931.189511786559</v>
      </c>
      <c r="FL79" s="993">
        <v>13280.681120213221</v>
      </c>
      <c r="FM79" s="497"/>
      <c r="FN79" s="993">
        <f t="shared" si="197"/>
        <v>4306006.4401926026</v>
      </c>
      <c r="FO79" s="994">
        <f>FJ79</f>
        <v>0.15</v>
      </c>
      <c r="FP79" s="775">
        <f t="shared" si="198"/>
        <v>645900.96602889034</v>
      </c>
      <c r="FQ79" s="993">
        <f t="shared" si="199"/>
        <v>30000</v>
      </c>
      <c r="FR79" s="775">
        <f t="shared" si="257"/>
        <v>615900.96602889034</v>
      </c>
      <c r="FS79" s="497">
        <f t="shared" si="258"/>
        <v>40</v>
      </c>
      <c r="FT79" s="775">
        <f t="shared" si="259"/>
        <v>15397.524150722258</v>
      </c>
      <c r="FU79" s="497"/>
      <c r="FV79" s="993">
        <f t="shared" si="260"/>
        <v>4306006.4401926026</v>
      </c>
      <c r="FW79" s="705">
        <f t="shared" si="261"/>
        <v>430600.6440192603</v>
      </c>
      <c r="FX79" s="705">
        <f t="shared" si="262"/>
        <v>107650.16100481508</v>
      </c>
      <c r="FY79" s="705">
        <v>15000</v>
      </c>
      <c r="FZ79" s="705">
        <f>FW79-FY79</f>
        <v>415600.6440192603</v>
      </c>
      <c r="GA79" s="497">
        <f t="shared" si="264"/>
        <v>46</v>
      </c>
      <c r="GB79" s="775">
        <f t="shared" si="265"/>
        <v>9034.7966091143553</v>
      </c>
      <c r="GC79" s="497"/>
      <c r="GD79" s="497"/>
      <c r="GE79" s="1107"/>
      <c r="GH79" s="1095">
        <f t="shared" si="161"/>
        <v>4306006.4401926026</v>
      </c>
      <c r="GI79" s="1098">
        <f t="shared" si="162"/>
        <v>0.125</v>
      </c>
      <c r="GJ79" s="1095">
        <f t="shared" si="163"/>
        <v>538250.80502407532</v>
      </c>
      <c r="GK79" s="1095">
        <f t="shared" si="164"/>
        <v>30000</v>
      </c>
      <c r="GL79" s="1095">
        <f t="shared" si="165"/>
        <v>508250.80502407532</v>
      </c>
      <c r="GM79" s="1095">
        <f t="shared" si="166"/>
        <v>29</v>
      </c>
      <c r="GN79" s="1095">
        <f t="shared" si="167"/>
        <v>17525.889828416392</v>
      </c>
      <c r="GO79" s="1098">
        <f t="shared" si="168"/>
        <v>0.875</v>
      </c>
      <c r="GP79" s="1095">
        <f t="shared" si="169"/>
        <v>3767755.6351685273</v>
      </c>
      <c r="GQ79" s="1095">
        <f t="shared" si="170"/>
        <v>29211.36933618176</v>
      </c>
      <c r="GR79" s="1095">
        <f t="shared" si="171"/>
        <v>33865.652825530153</v>
      </c>
      <c r="GS79" s="1095">
        <f t="shared" si="172"/>
        <v>43746.837686681865</v>
      </c>
      <c r="GT79" s="1095">
        <f t="shared" si="173"/>
        <v>74606.077383492782</v>
      </c>
      <c r="GU79" s="497"/>
      <c r="GV79" s="1095">
        <f t="shared" si="266"/>
        <v>4306006.4401926026</v>
      </c>
      <c r="GW79" s="1098">
        <f t="shared" si="267"/>
        <v>0.125</v>
      </c>
      <c r="GX79" s="1095">
        <f t="shared" si="268"/>
        <v>538250.80502407532</v>
      </c>
      <c r="GY79" s="1095">
        <f t="shared" si="269"/>
        <v>30000</v>
      </c>
      <c r="GZ79" s="1095">
        <f t="shared" si="270"/>
        <v>508250.80502407532</v>
      </c>
      <c r="HA79" s="1106">
        <f t="shared" si="271"/>
        <v>48</v>
      </c>
      <c r="HB79" s="770">
        <f t="shared" si="272"/>
        <v>10588.55843800157</v>
      </c>
      <c r="HC79" s="1098">
        <f t="shared" si="273"/>
        <v>0.875</v>
      </c>
      <c r="HD79" s="1102">
        <f t="shared" si="274"/>
        <v>3767755.6351685273</v>
      </c>
      <c r="HE79" s="1101">
        <f t="shared" si="275"/>
        <v>29211.36933618176</v>
      </c>
      <c r="HF79" s="1101">
        <f t="shared" si="276"/>
        <v>33865.652825530153</v>
      </c>
      <c r="HG79" s="1101">
        <f t="shared" si="277"/>
        <v>43746.837686681865</v>
      </c>
      <c r="HH79" s="1101">
        <f t="shared" si="278"/>
        <v>74606.077383492782</v>
      </c>
      <c r="HI79" s="497"/>
      <c r="HJ79" s="1102">
        <f t="shared" si="279"/>
        <v>-6937.3313904148217</v>
      </c>
      <c r="HL79" s="775"/>
      <c r="HN79" s="775"/>
      <c r="HO79" s="775"/>
      <c r="HQ79" s="702"/>
      <c r="HR79" s="1171"/>
      <c r="HS79" s="702"/>
      <c r="HT79" s="1171"/>
    </row>
    <row r="80" spans="1:228" ht="14.25" hidden="1" customHeight="1">
      <c r="A80" s="753">
        <f t="shared" si="280"/>
        <v>74</v>
      </c>
      <c r="B80" s="753" t="s">
        <v>236</v>
      </c>
      <c r="C80" s="753">
        <f t="shared" si="174"/>
        <v>12</v>
      </c>
      <c r="D80" s="753" t="s">
        <v>260</v>
      </c>
      <c r="E80" s="717" t="str">
        <f t="shared" si="200"/>
        <v>5th Floor</v>
      </c>
      <c r="F80" s="754"/>
      <c r="G80" s="756" t="s">
        <v>415</v>
      </c>
      <c r="H80" s="756"/>
      <c r="I80" s="755" t="s">
        <v>229</v>
      </c>
      <c r="J80" s="757">
        <v>22</v>
      </c>
      <c r="K80" s="758"/>
      <c r="L80" s="759" t="s">
        <v>277</v>
      </c>
      <c r="M80" s="760" t="s">
        <v>68</v>
      </c>
      <c r="N80" s="761">
        <f t="shared" si="201"/>
        <v>106005.26567735759</v>
      </c>
      <c r="O80" s="762">
        <f t="shared" si="202"/>
        <v>2332115.8449018667</v>
      </c>
      <c r="P80" s="762">
        <f t="shared" si="203"/>
        <v>22400</v>
      </c>
      <c r="Q80" s="762">
        <f t="shared" si="175"/>
        <v>50000</v>
      </c>
      <c r="R80" s="762"/>
      <c r="S80" s="762"/>
      <c r="T80" s="762"/>
      <c r="U80" s="762"/>
      <c r="V80" s="762"/>
      <c r="W80" s="762"/>
      <c r="X80" s="762"/>
      <c r="Y80" s="762">
        <f t="shared" si="176"/>
        <v>20000</v>
      </c>
      <c r="Z80" s="762">
        <f t="shared" si="177"/>
        <v>142461</v>
      </c>
      <c r="AA80" s="762">
        <v>45722.732758620688</v>
      </c>
      <c r="AB80" s="762"/>
      <c r="AC80" s="762"/>
      <c r="AD80" s="763">
        <f t="shared" si="204"/>
        <v>280583.7327586207</v>
      </c>
      <c r="AE80" s="763">
        <f t="shared" si="178"/>
        <v>2612699.5776604875</v>
      </c>
      <c r="AF80" s="762">
        <f t="shared" si="179"/>
        <v>65317.489441512189</v>
      </c>
      <c r="AG80" s="762">
        <f t="shared" si="205"/>
        <v>2678017.0671019997</v>
      </c>
      <c r="AH80" s="762">
        <f t="shared" si="180"/>
        <v>66950.42667755</v>
      </c>
      <c r="AI80" s="762">
        <f t="shared" si="206"/>
        <v>2744967.4937795498</v>
      </c>
      <c r="AJ80" s="762">
        <f t="shared" si="207"/>
        <v>137248.37468897749</v>
      </c>
      <c r="AK80" s="762">
        <f t="shared" si="208"/>
        <v>2882215.8684685272</v>
      </c>
      <c r="AL80" s="762">
        <f t="shared" si="209"/>
        <v>28822.158684685273</v>
      </c>
      <c r="AM80" s="762">
        <f t="shared" si="210"/>
        <v>27537.409960060559</v>
      </c>
      <c r="AN80" s="762"/>
      <c r="AO80" s="763">
        <f t="shared" si="211"/>
        <v>2938575.437113273</v>
      </c>
      <c r="AP80" s="763">
        <f t="shared" si="212"/>
        <v>484864.94712369004</v>
      </c>
      <c r="AQ80" s="763">
        <f t="shared" si="213"/>
        <v>3423440.384236963</v>
      </c>
      <c r="AR80" s="1178">
        <f t="shared" si="181"/>
        <v>3000000</v>
      </c>
      <c r="AS80" s="1178">
        <f t="shared" si="214"/>
        <v>19247.290192589226</v>
      </c>
      <c r="AT80" s="1178">
        <f t="shared" si="215"/>
        <v>423440.384236963</v>
      </c>
      <c r="AU80" s="1178">
        <f t="shared" si="182"/>
        <v>50812.846108435559</v>
      </c>
      <c r="AV80" s="1178">
        <f t="shared" si="216"/>
        <v>474253.23034539854</v>
      </c>
      <c r="AW80" s="1178">
        <f t="shared" si="217"/>
        <v>3474253.2303453987</v>
      </c>
      <c r="AX80" s="762">
        <f t="shared" si="218"/>
        <v>43428.165379317485</v>
      </c>
      <c r="AY80" s="717" t="s">
        <v>231</v>
      </c>
      <c r="AZ80" s="717">
        <f t="shared" si="219"/>
        <v>3517681.3957247161</v>
      </c>
      <c r="BA80" s="717">
        <f t="shared" si="220"/>
        <v>131913.05233967685</v>
      </c>
      <c r="BB80" s="717"/>
      <c r="BC80" s="717">
        <f t="shared" si="183"/>
        <v>33600</v>
      </c>
      <c r="BD80" s="717">
        <f t="shared" si="221"/>
        <v>3683194.4480643929</v>
      </c>
      <c r="BE80" s="717"/>
      <c r="BF80" s="717">
        <f t="shared" si="222"/>
        <v>3683194.4480643929</v>
      </c>
      <c r="BG80" s="1209"/>
      <c r="BH80" s="717">
        <f t="shared" si="223"/>
        <v>3683194.4480643929</v>
      </c>
      <c r="BI80" s="717"/>
      <c r="BJ80" s="717">
        <f t="shared" si="224"/>
        <v>3683194.4480643929</v>
      </c>
      <c r="BK80" s="717"/>
      <c r="BL80" s="717">
        <f t="shared" si="225"/>
        <v>3683194.4480643929</v>
      </c>
      <c r="BM80" s="717"/>
      <c r="BN80" s="717">
        <f t="shared" si="226"/>
        <v>3683194.4480643929</v>
      </c>
      <c r="BO80" s="717"/>
      <c r="BP80" s="717">
        <f t="shared" si="184"/>
        <v>3683194.4480643929</v>
      </c>
      <c r="BQ80" s="717"/>
      <c r="BR80" s="717">
        <f t="shared" si="133"/>
        <v>3683194.4480643929</v>
      </c>
      <c r="BS80" s="717"/>
      <c r="BT80" s="717">
        <f t="shared" si="227"/>
        <v>3683194.4480643929</v>
      </c>
      <c r="BU80" s="717"/>
      <c r="BV80" s="1235">
        <f t="shared" si="134"/>
        <v>51400</v>
      </c>
      <c r="BW80" s="717">
        <f t="shared" si="228"/>
        <v>3734594.4480643929</v>
      </c>
      <c r="BX80" s="717"/>
      <c r="BY80" s="717">
        <f t="shared" si="229"/>
        <v>3734594.4480643929</v>
      </c>
      <c r="BZ80" s="1194">
        <f t="shared" si="230"/>
        <v>3734594.4480643929</v>
      </c>
      <c r="CA80" s="1194">
        <f t="shared" si="231"/>
        <v>3030594.4480643929</v>
      </c>
      <c r="CB80" s="1194">
        <v>32000</v>
      </c>
      <c r="CC80" s="1194">
        <f t="shared" si="232"/>
        <v>704000</v>
      </c>
      <c r="CD80" s="1194">
        <f t="shared" si="233"/>
        <v>84480</v>
      </c>
      <c r="CE80" s="1194">
        <f t="shared" si="234"/>
        <v>788480</v>
      </c>
      <c r="CF80" s="1200">
        <f t="shared" si="235"/>
        <v>3819074.4480643929</v>
      </c>
      <c r="CG80" s="757">
        <f t="shared" si="236"/>
        <v>3819074.4480643929</v>
      </c>
      <c r="CH80" s="758">
        <f t="shared" si="237"/>
        <v>0</v>
      </c>
      <c r="CI80" s="757">
        <f t="shared" si="185"/>
        <v>391455.13092660025</v>
      </c>
      <c r="CJ80" s="757">
        <f t="shared" si="186"/>
        <v>95476.861201609834</v>
      </c>
      <c r="CK80" s="759">
        <f t="shared" si="155"/>
        <v>4306006.4401926026</v>
      </c>
      <c r="CL80" s="764">
        <f t="shared" si="238"/>
        <v>0.125</v>
      </c>
      <c r="CM80" s="757">
        <f t="shared" si="239"/>
        <v>538250.80502407532</v>
      </c>
      <c r="CN80" s="757">
        <f t="shared" si="281"/>
        <v>30000</v>
      </c>
      <c r="CO80" s="757">
        <f t="shared" si="240"/>
        <v>508250.80502407532</v>
      </c>
      <c r="CP80" s="755">
        <f t="shared" si="241"/>
        <v>29</v>
      </c>
      <c r="CQ80" s="757">
        <f t="shared" si="283"/>
        <v>17525.889828416392</v>
      </c>
      <c r="CR80" s="764">
        <f t="shared" si="242"/>
        <v>0.875</v>
      </c>
      <c r="CS80" s="757">
        <f t="shared" si="243"/>
        <v>3767755.6351685273</v>
      </c>
      <c r="CT80" s="1101">
        <f t="shared" si="244"/>
        <v>29211.36933618176</v>
      </c>
      <c r="CU80" s="1101">
        <f t="shared" si="245"/>
        <v>33865.652825530153</v>
      </c>
      <c r="CV80" s="1101">
        <f t="shared" si="246"/>
        <v>43746.837686681865</v>
      </c>
      <c r="CW80" s="1141">
        <f t="shared" si="187"/>
        <v>74606.077383492782</v>
      </c>
      <c r="CX80" s="1152">
        <f t="shared" si="247"/>
        <v>306066.76610985096</v>
      </c>
      <c r="CY80" s="1152">
        <f t="shared" si="248"/>
        <v>121109.12841285109</v>
      </c>
      <c r="CZ80" s="1152">
        <f t="shared" si="249"/>
        <v>87475.408160448584</v>
      </c>
      <c r="DA80" s="1152">
        <f t="shared" si="250"/>
        <v>66572.812769898912</v>
      </c>
      <c r="DB80" s="1143">
        <f t="shared" si="188"/>
        <v>0.14114679474565434</v>
      </c>
      <c r="DC80" s="1143">
        <f t="shared" si="251"/>
        <v>0.26017337968252185</v>
      </c>
      <c r="DD80" s="1098" t="s">
        <v>232</v>
      </c>
      <c r="DE80" s="1144"/>
      <c r="DF80" s="705"/>
      <c r="DG80" s="765">
        <f t="shared" si="282"/>
        <v>46082</v>
      </c>
      <c r="DH80" s="1116">
        <f t="shared" si="189"/>
        <v>28</v>
      </c>
      <c r="DI80" s="497"/>
      <c r="DJ80" s="1117">
        <f t="shared" si="252"/>
        <v>46147</v>
      </c>
      <c r="DK80" s="1116">
        <f t="shared" si="253"/>
        <v>30</v>
      </c>
      <c r="DL80" s="766" t="s">
        <v>233</v>
      </c>
      <c r="DM80" s="766" t="s">
        <v>234</v>
      </c>
      <c r="DN80" s="767">
        <f t="shared" si="190"/>
        <v>21556.965015699934</v>
      </c>
      <c r="DO80" s="767">
        <f t="shared" si="191"/>
        <v>474253.23034539854</v>
      </c>
      <c r="DP80" s="768">
        <f t="shared" si="192"/>
        <v>0.15808441011513286</v>
      </c>
      <c r="DR80" s="767">
        <f t="shared" si="193"/>
        <v>3819074.4480643929</v>
      </c>
      <c r="DS80" s="767">
        <f>SUM('[6]INTERNAL PRICELIST'!M80)</f>
        <v>2329361</v>
      </c>
      <c r="DT80" s="767">
        <f t="shared" si="254"/>
        <v>1489713.4480643929</v>
      </c>
      <c r="DV80" s="951">
        <f t="shared" si="194"/>
        <v>173594.29309383605</v>
      </c>
      <c r="DX80" s="772">
        <v>3</v>
      </c>
      <c r="DY80" s="773" t="s">
        <v>245</v>
      </c>
      <c r="DZ80" s="774">
        <v>22</v>
      </c>
      <c r="EA80" s="775">
        <f t="shared" si="195"/>
        <v>0</v>
      </c>
      <c r="ED80" s="755" t="s">
        <v>415</v>
      </c>
      <c r="EE80" s="777" t="b">
        <f t="shared" si="196"/>
        <v>1</v>
      </c>
      <c r="EF80" s="1123" t="s">
        <v>416</v>
      </c>
      <c r="EG80" s="1123" t="s">
        <v>394</v>
      </c>
      <c r="EH80" s="1203"/>
      <c r="EP80" s="1230" t="s">
        <v>236</v>
      </c>
      <c r="EQ80" s="1145" t="s">
        <v>236</v>
      </c>
      <c r="ER80" s="753" t="b">
        <f t="shared" si="255"/>
        <v>1</v>
      </c>
      <c r="EU80" s="770">
        <v>2360460</v>
      </c>
      <c r="EV80" s="771" t="s">
        <v>236</v>
      </c>
      <c r="EZ80" s="520"/>
      <c r="FA80" s="778"/>
      <c r="FG80" s="1107"/>
      <c r="FJ80" s="994">
        <v>0.15</v>
      </c>
      <c r="FK80" s="993">
        <v>12931.189511786559</v>
      </c>
      <c r="FL80" s="993">
        <v>13280.681120213221</v>
      </c>
      <c r="FM80" s="497"/>
      <c r="FN80" s="993">
        <f t="shared" si="197"/>
        <v>4306006.4401926026</v>
      </c>
      <c r="FO80" s="994">
        <f t="shared" si="256"/>
        <v>0.15</v>
      </c>
      <c r="FP80" s="775">
        <f t="shared" si="198"/>
        <v>645900.96602889034</v>
      </c>
      <c r="FQ80" s="993">
        <f t="shared" si="199"/>
        <v>30000</v>
      </c>
      <c r="FR80" s="775">
        <f t="shared" si="257"/>
        <v>615900.96602889034</v>
      </c>
      <c r="FS80" s="497">
        <f t="shared" si="258"/>
        <v>40</v>
      </c>
      <c r="FT80" s="775">
        <f t="shared" si="259"/>
        <v>15397.524150722258</v>
      </c>
      <c r="FU80" s="497"/>
      <c r="FV80" s="993">
        <f t="shared" si="260"/>
        <v>4306006.4401926026</v>
      </c>
      <c r="FW80" s="705">
        <f t="shared" si="261"/>
        <v>430600.6440192603</v>
      </c>
      <c r="FX80" s="705">
        <f t="shared" si="262"/>
        <v>107650.16100481508</v>
      </c>
      <c r="FY80" s="705">
        <v>15000</v>
      </c>
      <c r="FZ80" s="705">
        <f t="shared" si="263"/>
        <v>415600.6440192603</v>
      </c>
      <c r="GA80" s="497">
        <f t="shared" si="264"/>
        <v>46</v>
      </c>
      <c r="GB80" s="775">
        <f t="shared" si="265"/>
        <v>9034.7966091143553</v>
      </c>
      <c r="GC80" s="497"/>
      <c r="GD80" s="497"/>
      <c r="GE80" s="1107"/>
      <c r="GH80" s="1095">
        <f t="shared" si="161"/>
        <v>4306006.4401926026</v>
      </c>
      <c r="GI80" s="1098">
        <f t="shared" si="162"/>
        <v>0.125</v>
      </c>
      <c r="GJ80" s="1095">
        <f t="shared" si="163"/>
        <v>538250.80502407532</v>
      </c>
      <c r="GK80" s="1095">
        <f t="shared" si="164"/>
        <v>30000</v>
      </c>
      <c r="GL80" s="1095">
        <f t="shared" si="165"/>
        <v>508250.80502407532</v>
      </c>
      <c r="GM80" s="1095">
        <f t="shared" si="166"/>
        <v>29</v>
      </c>
      <c r="GN80" s="1095">
        <f t="shared" si="167"/>
        <v>17525.889828416392</v>
      </c>
      <c r="GO80" s="1098">
        <f t="shared" si="168"/>
        <v>0.875</v>
      </c>
      <c r="GP80" s="1095">
        <f t="shared" si="169"/>
        <v>3767755.6351685273</v>
      </c>
      <c r="GQ80" s="1095">
        <f t="shared" si="170"/>
        <v>29211.36933618176</v>
      </c>
      <c r="GR80" s="1095">
        <f t="shared" si="171"/>
        <v>33865.652825530153</v>
      </c>
      <c r="GS80" s="1095">
        <f t="shared" si="172"/>
        <v>43746.837686681865</v>
      </c>
      <c r="GT80" s="1095">
        <f t="shared" si="173"/>
        <v>74606.077383492782</v>
      </c>
      <c r="GU80" s="497"/>
      <c r="GV80" s="1095">
        <f t="shared" si="266"/>
        <v>4306006.4401926026</v>
      </c>
      <c r="GW80" s="1098">
        <f t="shared" si="267"/>
        <v>0.125</v>
      </c>
      <c r="GX80" s="1095">
        <f t="shared" si="268"/>
        <v>538250.80502407532</v>
      </c>
      <c r="GY80" s="1095">
        <f t="shared" si="269"/>
        <v>30000</v>
      </c>
      <c r="GZ80" s="1095">
        <f t="shared" si="270"/>
        <v>508250.80502407532</v>
      </c>
      <c r="HA80" s="1106">
        <f t="shared" si="271"/>
        <v>48</v>
      </c>
      <c r="HB80" s="770">
        <f t="shared" si="272"/>
        <v>10588.55843800157</v>
      </c>
      <c r="HC80" s="1098">
        <f t="shared" si="273"/>
        <v>0.875</v>
      </c>
      <c r="HD80" s="1102">
        <f t="shared" si="274"/>
        <v>3767755.6351685273</v>
      </c>
      <c r="HE80" s="1101">
        <f t="shared" si="275"/>
        <v>29211.36933618176</v>
      </c>
      <c r="HF80" s="1101">
        <f t="shared" si="276"/>
        <v>33865.652825530153</v>
      </c>
      <c r="HG80" s="1101">
        <f t="shared" si="277"/>
        <v>43746.837686681865</v>
      </c>
      <c r="HH80" s="1101">
        <f t="shared" si="278"/>
        <v>74606.077383492782</v>
      </c>
      <c r="HI80" s="497"/>
      <c r="HJ80" s="1102">
        <f t="shared" si="279"/>
        <v>-6937.3313904148217</v>
      </c>
      <c r="HL80" s="775"/>
      <c r="HN80" s="775"/>
      <c r="HO80" s="775"/>
      <c r="HQ80" s="702"/>
      <c r="HR80" s="1171"/>
      <c r="HS80" s="702"/>
      <c r="HT80" s="1171"/>
    </row>
    <row r="81" spans="1:228" ht="14.25" hidden="1" customHeight="1">
      <c r="A81" s="753">
        <f t="shared" si="280"/>
        <v>75</v>
      </c>
      <c r="B81" s="753" t="s">
        <v>236</v>
      </c>
      <c r="C81" s="753">
        <f t="shared" si="174"/>
        <v>13</v>
      </c>
      <c r="D81" s="753" t="s">
        <v>260</v>
      </c>
      <c r="E81" s="717" t="str">
        <f t="shared" si="200"/>
        <v>5th Floor</v>
      </c>
      <c r="F81" s="754"/>
      <c r="G81" s="756" t="s">
        <v>417</v>
      </c>
      <c r="H81" s="756"/>
      <c r="I81" s="755" t="s">
        <v>229</v>
      </c>
      <c r="J81" s="757">
        <v>22</v>
      </c>
      <c r="K81" s="758"/>
      <c r="L81" s="759" t="s">
        <v>277</v>
      </c>
      <c r="M81" s="760" t="s">
        <v>68</v>
      </c>
      <c r="N81" s="761">
        <f t="shared" si="201"/>
        <v>106005.26567735759</v>
      </c>
      <c r="O81" s="762">
        <f t="shared" si="202"/>
        <v>2332115.8449018667</v>
      </c>
      <c r="P81" s="762">
        <f t="shared" si="203"/>
        <v>22400</v>
      </c>
      <c r="Q81" s="762">
        <f t="shared" si="175"/>
        <v>50000</v>
      </c>
      <c r="R81" s="762"/>
      <c r="S81" s="762"/>
      <c r="T81" s="762"/>
      <c r="U81" s="762"/>
      <c r="V81" s="762"/>
      <c r="W81" s="762"/>
      <c r="X81" s="762"/>
      <c r="Y81" s="762">
        <f t="shared" si="176"/>
        <v>20000</v>
      </c>
      <c r="Z81" s="762">
        <f t="shared" si="177"/>
        <v>142461</v>
      </c>
      <c r="AA81" s="762">
        <v>45722.732758620688</v>
      </c>
      <c r="AB81" s="762"/>
      <c r="AC81" s="762"/>
      <c r="AD81" s="763">
        <f t="shared" si="204"/>
        <v>280583.7327586207</v>
      </c>
      <c r="AE81" s="763">
        <f t="shared" si="178"/>
        <v>2612699.5776604875</v>
      </c>
      <c r="AF81" s="762">
        <f t="shared" si="179"/>
        <v>65317.489441512189</v>
      </c>
      <c r="AG81" s="762">
        <f t="shared" si="205"/>
        <v>2678017.0671019997</v>
      </c>
      <c r="AH81" s="762">
        <f t="shared" si="180"/>
        <v>66950.42667755</v>
      </c>
      <c r="AI81" s="762">
        <f t="shared" si="206"/>
        <v>2744967.4937795498</v>
      </c>
      <c r="AJ81" s="762">
        <f t="shared" si="207"/>
        <v>137248.37468897749</v>
      </c>
      <c r="AK81" s="762">
        <f t="shared" si="208"/>
        <v>2882215.8684685272</v>
      </c>
      <c r="AL81" s="762">
        <f t="shared" si="209"/>
        <v>28822.158684685273</v>
      </c>
      <c r="AM81" s="762">
        <f t="shared" si="210"/>
        <v>27537.409960060559</v>
      </c>
      <c r="AN81" s="762"/>
      <c r="AO81" s="763">
        <f t="shared" si="211"/>
        <v>2938575.437113273</v>
      </c>
      <c r="AP81" s="763">
        <f t="shared" si="212"/>
        <v>484864.94712369004</v>
      </c>
      <c r="AQ81" s="763">
        <f t="shared" si="213"/>
        <v>3423440.384236963</v>
      </c>
      <c r="AR81" s="1178">
        <f t="shared" si="181"/>
        <v>3000000</v>
      </c>
      <c r="AS81" s="1178">
        <f t="shared" si="214"/>
        <v>19247.290192589226</v>
      </c>
      <c r="AT81" s="1178">
        <f t="shared" si="215"/>
        <v>423440.384236963</v>
      </c>
      <c r="AU81" s="1178">
        <f t="shared" si="182"/>
        <v>50812.846108435559</v>
      </c>
      <c r="AV81" s="1178">
        <f t="shared" si="216"/>
        <v>474253.23034539854</v>
      </c>
      <c r="AW81" s="1178">
        <f t="shared" si="217"/>
        <v>3474253.2303453987</v>
      </c>
      <c r="AX81" s="762">
        <f t="shared" si="218"/>
        <v>43428.165379317485</v>
      </c>
      <c r="AY81" s="717" t="s">
        <v>231</v>
      </c>
      <c r="AZ81" s="717">
        <f t="shared" si="219"/>
        <v>3517681.3957247161</v>
      </c>
      <c r="BA81" s="717">
        <f t="shared" si="220"/>
        <v>131913.05233967685</v>
      </c>
      <c r="BB81" s="717"/>
      <c r="BC81" s="717">
        <f t="shared" si="183"/>
        <v>33600</v>
      </c>
      <c r="BD81" s="717">
        <f t="shared" si="221"/>
        <v>3683194.4480643929</v>
      </c>
      <c r="BE81" s="717"/>
      <c r="BF81" s="717">
        <f t="shared" si="222"/>
        <v>3683194.4480643929</v>
      </c>
      <c r="BG81" s="1209"/>
      <c r="BH81" s="717">
        <f t="shared" si="223"/>
        <v>3683194.4480643929</v>
      </c>
      <c r="BI81" s="717"/>
      <c r="BJ81" s="717">
        <f t="shared" si="224"/>
        <v>3683194.4480643929</v>
      </c>
      <c r="BK81" s="717"/>
      <c r="BL81" s="717">
        <f t="shared" si="225"/>
        <v>3683194.4480643929</v>
      </c>
      <c r="BM81" s="717"/>
      <c r="BN81" s="717">
        <f t="shared" si="226"/>
        <v>3683194.4480643929</v>
      </c>
      <c r="BO81" s="717"/>
      <c r="BP81" s="717">
        <f t="shared" si="184"/>
        <v>3683194.4480643929</v>
      </c>
      <c r="BQ81" s="717"/>
      <c r="BR81" s="717">
        <f t="shared" si="133"/>
        <v>3683194.4480643929</v>
      </c>
      <c r="BS81" s="717"/>
      <c r="BT81" s="717">
        <f t="shared" si="227"/>
        <v>3683194.4480643929</v>
      </c>
      <c r="BU81" s="717"/>
      <c r="BV81" s="1235">
        <f t="shared" si="134"/>
        <v>51400</v>
      </c>
      <c r="BW81" s="717">
        <f t="shared" si="228"/>
        <v>3734594.4480643929</v>
      </c>
      <c r="BX81" s="717"/>
      <c r="BY81" s="717">
        <f t="shared" si="229"/>
        <v>3734594.4480643929</v>
      </c>
      <c r="BZ81" s="1194">
        <f t="shared" si="230"/>
        <v>3734594.4480643929</v>
      </c>
      <c r="CA81" s="1194">
        <f t="shared" si="231"/>
        <v>3030594.4480643929</v>
      </c>
      <c r="CB81" s="1194">
        <v>32000</v>
      </c>
      <c r="CC81" s="1194">
        <f t="shared" si="232"/>
        <v>704000</v>
      </c>
      <c r="CD81" s="1194">
        <f t="shared" si="233"/>
        <v>84480</v>
      </c>
      <c r="CE81" s="1194">
        <f t="shared" si="234"/>
        <v>788480</v>
      </c>
      <c r="CF81" s="1200">
        <f t="shared" si="235"/>
        <v>3819074.4480643929</v>
      </c>
      <c r="CG81" s="757">
        <f t="shared" si="236"/>
        <v>3819074.4480643929</v>
      </c>
      <c r="CH81" s="758">
        <f t="shared" si="237"/>
        <v>0</v>
      </c>
      <c r="CI81" s="757">
        <f t="shared" si="185"/>
        <v>391455.13092660025</v>
      </c>
      <c r="CJ81" s="757">
        <f t="shared" si="186"/>
        <v>95476.861201609834</v>
      </c>
      <c r="CK81" s="759">
        <f t="shared" si="155"/>
        <v>4306006.4401926026</v>
      </c>
      <c r="CL81" s="764">
        <f t="shared" si="238"/>
        <v>0.125</v>
      </c>
      <c r="CM81" s="757">
        <f t="shared" si="239"/>
        <v>538250.80502407532</v>
      </c>
      <c r="CN81" s="757">
        <f t="shared" si="281"/>
        <v>30000</v>
      </c>
      <c r="CO81" s="757">
        <f t="shared" si="240"/>
        <v>508250.80502407532</v>
      </c>
      <c r="CP81" s="755">
        <f t="shared" si="241"/>
        <v>29</v>
      </c>
      <c r="CQ81" s="757">
        <f t="shared" si="283"/>
        <v>17525.889828416392</v>
      </c>
      <c r="CR81" s="764">
        <f t="shared" si="242"/>
        <v>0.875</v>
      </c>
      <c r="CS81" s="757">
        <f t="shared" si="243"/>
        <v>3767755.6351685273</v>
      </c>
      <c r="CT81" s="1101">
        <f t="shared" si="244"/>
        <v>29211.36933618176</v>
      </c>
      <c r="CU81" s="1101">
        <f t="shared" si="245"/>
        <v>33865.652825530153</v>
      </c>
      <c r="CV81" s="1101">
        <f t="shared" si="246"/>
        <v>43746.837686681865</v>
      </c>
      <c r="CW81" s="1141">
        <f t="shared" si="187"/>
        <v>74606.077383492782</v>
      </c>
      <c r="CX81" s="1152">
        <f t="shared" si="247"/>
        <v>306066.76610985096</v>
      </c>
      <c r="CY81" s="1152">
        <f t="shared" si="248"/>
        <v>121109.12841285109</v>
      </c>
      <c r="CZ81" s="1152">
        <f t="shared" si="249"/>
        <v>87475.408160448584</v>
      </c>
      <c r="DA81" s="1152">
        <f t="shared" si="250"/>
        <v>66572.812769898912</v>
      </c>
      <c r="DB81" s="1143">
        <f t="shared" si="188"/>
        <v>0.14114679474565434</v>
      </c>
      <c r="DC81" s="1143">
        <f t="shared" si="251"/>
        <v>0.26017337968252185</v>
      </c>
      <c r="DD81" s="1098" t="s">
        <v>232</v>
      </c>
      <c r="DE81" s="1144"/>
      <c r="DF81" s="705"/>
      <c r="DG81" s="765">
        <f t="shared" si="282"/>
        <v>46082</v>
      </c>
      <c r="DH81" s="1116">
        <f t="shared" si="189"/>
        <v>28</v>
      </c>
      <c r="DI81" s="497"/>
      <c r="DJ81" s="1117">
        <f t="shared" si="252"/>
        <v>46147</v>
      </c>
      <c r="DK81" s="1116">
        <f t="shared" si="253"/>
        <v>30</v>
      </c>
      <c r="DL81" s="766" t="s">
        <v>233</v>
      </c>
      <c r="DM81" s="766" t="s">
        <v>234</v>
      </c>
      <c r="DN81" s="767">
        <f t="shared" si="190"/>
        <v>21556.965015699934</v>
      </c>
      <c r="DO81" s="767">
        <f t="shared" si="191"/>
        <v>474253.23034539854</v>
      </c>
      <c r="DP81" s="768">
        <f t="shared" si="192"/>
        <v>0.15808441011513286</v>
      </c>
      <c r="DR81" s="767">
        <f t="shared" si="193"/>
        <v>3819074.4480643929</v>
      </c>
      <c r="DS81" s="767">
        <f>SUM('[6]INTERNAL PRICELIST'!M81)</f>
        <v>2329361</v>
      </c>
      <c r="DT81" s="767">
        <f t="shared" si="254"/>
        <v>1489713.4480643929</v>
      </c>
      <c r="DV81" s="951">
        <f t="shared" si="194"/>
        <v>173594.29309383605</v>
      </c>
      <c r="DX81" s="772">
        <v>4</v>
      </c>
      <c r="DY81" s="773" t="s">
        <v>250</v>
      </c>
      <c r="DZ81" s="774">
        <v>22</v>
      </c>
      <c r="EA81" s="775">
        <f t="shared" si="195"/>
        <v>0</v>
      </c>
      <c r="ED81" s="755" t="s">
        <v>417</v>
      </c>
      <c r="EE81" s="777" t="b">
        <f t="shared" si="196"/>
        <v>1</v>
      </c>
      <c r="EF81" s="1123" t="s">
        <v>418</v>
      </c>
      <c r="EG81" s="1123" t="s">
        <v>394</v>
      </c>
      <c r="EH81" s="1203"/>
      <c r="EP81" s="1230" t="s">
        <v>236</v>
      </c>
      <c r="EQ81" s="1145" t="s">
        <v>236</v>
      </c>
      <c r="ER81" s="753" t="b">
        <f t="shared" si="255"/>
        <v>1</v>
      </c>
      <c r="EU81" s="770">
        <v>2430561</v>
      </c>
      <c r="EV81" s="771" t="s">
        <v>236</v>
      </c>
      <c r="EZ81" s="520"/>
      <c r="FA81" s="778"/>
      <c r="FG81" s="1107"/>
      <c r="FJ81" s="994">
        <v>0.15</v>
      </c>
      <c r="FK81" s="993">
        <v>12931.189511786559</v>
      </c>
      <c r="FL81" s="993">
        <v>13280.681120213221</v>
      </c>
      <c r="FM81" s="497"/>
      <c r="FN81" s="993">
        <f t="shared" si="197"/>
        <v>4306006.4401926026</v>
      </c>
      <c r="FO81" s="994">
        <f t="shared" si="256"/>
        <v>0.15</v>
      </c>
      <c r="FP81" s="775">
        <f t="shared" si="198"/>
        <v>645900.96602889034</v>
      </c>
      <c r="FQ81" s="993">
        <f t="shared" si="199"/>
        <v>30000</v>
      </c>
      <c r="FR81" s="775">
        <f t="shared" si="257"/>
        <v>615900.96602889034</v>
      </c>
      <c r="FS81" s="497">
        <f t="shared" si="258"/>
        <v>40</v>
      </c>
      <c r="FT81" s="775">
        <f t="shared" si="259"/>
        <v>15397.524150722258</v>
      </c>
      <c r="FU81" s="497"/>
      <c r="FV81" s="993">
        <f t="shared" si="260"/>
        <v>4306006.4401926026</v>
      </c>
      <c r="FW81" s="705">
        <f t="shared" si="261"/>
        <v>430600.6440192603</v>
      </c>
      <c r="FX81" s="705">
        <f t="shared" si="262"/>
        <v>107650.16100481508</v>
      </c>
      <c r="FY81" s="705">
        <v>15000</v>
      </c>
      <c r="FZ81" s="705">
        <f t="shared" si="263"/>
        <v>415600.6440192603</v>
      </c>
      <c r="GA81" s="497">
        <f t="shared" si="264"/>
        <v>46</v>
      </c>
      <c r="GB81" s="775">
        <f t="shared" si="265"/>
        <v>9034.7966091143553</v>
      </c>
      <c r="GC81" s="497"/>
      <c r="GD81" s="497"/>
      <c r="GE81" s="1107"/>
      <c r="GH81" s="1095">
        <f t="shared" si="161"/>
        <v>4306006.4401926026</v>
      </c>
      <c r="GI81" s="1098">
        <f t="shared" si="162"/>
        <v>0.125</v>
      </c>
      <c r="GJ81" s="1095">
        <f t="shared" si="163"/>
        <v>538250.80502407532</v>
      </c>
      <c r="GK81" s="1095">
        <f t="shared" si="164"/>
        <v>30000</v>
      </c>
      <c r="GL81" s="1095">
        <f t="shared" si="165"/>
        <v>508250.80502407532</v>
      </c>
      <c r="GM81" s="1095">
        <f t="shared" si="166"/>
        <v>29</v>
      </c>
      <c r="GN81" s="1095">
        <f t="shared" si="167"/>
        <v>17525.889828416392</v>
      </c>
      <c r="GO81" s="1098">
        <f t="shared" si="168"/>
        <v>0.875</v>
      </c>
      <c r="GP81" s="1095">
        <f t="shared" si="169"/>
        <v>3767755.6351685273</v>
      </c>
      <c r="GQ81" s="1095">
        <f t="shared" si="170"/>
        <v>29211.36933618176</v>
      </c>
      <c r="GR81" s="1095">
        <f t="shared" si="171"/>
        <v>33865.652825530153</v>
      </c>
      <c r="GS81" s="1095">
        <f t="shared" si="172"/>
        <v>43746.837686681865</v>
      </c>
      <c r="GT81" s="1095">
        <f t="shared" si="173"/>
        <v>74606.077383492782</v>
      </c>
      <c r="GU81" s="497"/>
      <c r="GV81" s="1095">
        <f t="shared" si="266"/>
        <v>4306006.4401926026</v>
      </c>
      <c r="GW81" s="1098">
        <f t="shared" si="267"/>
        <v>0.125</v>
      </c>
      <c r="GX81" s="1095">
        <f t="shared" si="268"/>
        <v>538250.80502407532</v>
      </c>
      <c r="GY81" s="1095">
        <f t="shared" si="269"/>
        <v>30000</v>
      </c>
      <c r="GZ81" s="1095">
        <f t="shared" si="270"/>
        <v>508250.80502407532</v>
      </c>
      <c r="HA81" s="1106">
        <f t="shared" si="271"/>
        <v>48</v>
      </c>
      <c r="HB81" s="770">
        <f t="shared" si="272"/>
        <v>10588.55843800157</v>
      </c>
      <c r="HC81" s="1098">
        <f t="shared" si="273"/>
        <v>0.875</v>
      </c>
      <c r="HD81" s="1102">
        <f t="shared" si="274"/>
        <v>3767755.6351685273</v>
      </c>
      <c r="HE81" s="1101">
        <f t="shared" si="275"/>
        <v>29211.36933618176</v>
      </c>
      <c r="HF81" s="1101">
        <f t="shared" si="276"/>
        <v>33865.652825530153</v>
      </c>
      <c r="HG81" s="1101">
        <f t="shared" si="277"/>
        <v>43746.837686681865</v>
      </c>
      <c r="HH81" s="1101">
        <f t="shared" si="278"/>
        <v>74606.077383492782</v>
      </c>
      <c r="HI81" s="497"/>
      <c r="HJ81" s="1102">
        <f t="shared" si="279"/>
        <v>-6937.3313904148217</v>
      </c>
      <c r="HL81" s="775"/>
      <c r="HN81" s="775"/>
      <c r="HO81" s="775"/>
      <c r="HQ81" s="702"/>
      <c r="HR81" s="1171"/>
      <c r="HS81" s="702"/>
      <c r="HT81" s="1171"/>
    </row>
    <row r="82" spans="1:228" ht="14.25" hidden="1" customHeight="1">
      <c r="A82" s="753">
        <f t="shared" si="280"/>
        <v>76</v>
      </c>
      <c r="B82" s="753" t="s">
        <v>236</v>
      </c>
      <c r="C82" s="753">
        <f t="shared" si="174"/>
        <v>14</v>
      </c>
      <c r="D82" s="753" t="s">
        <v>260</v>
      </c>
      <c r="E82" s="717" t="str">
        <f t="shared" si="200"/>
        <v>5th Floor</v>
      </c>
      <c r="F82" s="754"/>
      <c r="G82" s="756" t="s">
        <v>419</v>
      </c>
      <c r="H82" s="756"/>
      <c r="I82" s="755" t="s">
        <v>229</v>
      </c>
      <c r="J82" s="757">
        <v>22</v>
      </c>
      <c r="K82" s="758"/>
      <c r="L82" s="759" t="s">
        <v>277</v>
      </c>
      <c r="M82" s="760" t="s">
        <v>278</v>
      </c>
      <c r="N82" s="761">
        <f t="shared" si="201"/>
        <v>106005.26567735759</v>
      </c>
      <c r="O82" s="762">
        <f t="shared" si="202"/>
        <v>2332115.8449018667</v>
      </c>
      <c r="P82" s="762">
        <f t="shared" si="203"/>
        <v>22400</v>
      </c>
      <c r="Q82" s="762">
        <f t="shared" si="175"/>
        <v>50000</v>
      </c>
      <c r="R82" s="762"/>
      <c r="S82" s="762"/>
      <c r="T82" s="762"/>
      <c r="U82" s="762"/>
      <c r="V82" s="762"/>
      <c r="W82" s="762">
        <f t="shared" ref="W82:W83" si="284">J82*$W$5</f>
        <v>22000</v>
      </c>
      <c r="X82" s="762"/>
      <c r="Y82" s="762">
        <f t="shared" si="176"/>
        <v>20000</v>
      </c>
      <c r="Z82" s="762">
        <f t="shared" si="177"/>
        <v>142461</v>
      </c>
      <c r="AA82" s="762">
        <v>45722.732758620688</v>
      </c>
      <c r="AB82" s="762"/>
      <c r="AC82" s="762"/>
      <c r="AD82" s="763">
        <f t="shared" si="204"/>
        <v>302583.7327586207</v>
      </c>
      <c r="AE82" s="763">
        <f t="shared" si="178"/>
        <v>2634699.5776604875</v>
      </c>
      <c r="AF82" s="762">
        <f t="shared" si="179"/>
        <v>65867.489441512196</v>
      </c>
      <c r="AG82" s="762">
        <f t="shared" si="205"/>
        <v>2700567.0671019997</v>
      </c>
      <c r="AH82" s="762">
        <f t="shared" si="180"/>
        <v>67514.17667755</v>
      </c>
      <c r="AI82" s="762">
        <f t="shared" si="206"/>
        <v>2768081.2437795498</v>
      </c>
      <c r="AJ82" s="762">
        <f t="shared" si="207"/>
        <v>138404.06218897749</v>
      </c>
      <c r="AK82" s="762">
        <f t="shared" si="208"/>
        <v>2906485.3059685272</v>
      </c>
      <c r="AL82" s="762">
        <f t="shared" si="209"/>
        <v>29064.853059685272</v>
      </c>
      <c r="AM82" s="762">
        <f t="shared" si="210"/>
        <v>27537.409960060559</v>
      </c>
      <c r="AN82" s="762"/>
      <c r="AO82" s="763">
        <f t="shared" si="211"/>
        <v>2963087.5689882729</v>
      </c>
      <c r="AP82" s="763">
        <f t="shared" si="212"/>
        <v>488909.44888306508</v>
      </c>
      <c r="AQ82" s="763">
        <f t="shared" si="213"/>
        <v>3451997.0178713379</v>
      </c>
      <c r="AR82" s="1178">
        <f t="shared" si="181"/>
        <v>3000000</v>
      </c>
      <c r="AS82" s="1178">
        <f t="shared" si="214"/>
        <v>20545.318994151723</v>
      </c>
      <c r="AT82" s="1178">
        <f t="shared" si="215"/>
        <v>451997.01787133794</v>
      </c>
      <c r="AU82" s="1178">
        <f t="shared" si="182"/>
        <v>54239.642144560552</v>
      </c>
      <c r="AV82" s="1178">
        <f t="shared" si="216"/>
        <v>506236.66001589852</v>
      </c>
      <c r="AW82" s="1178">
        <f t="shared" si="217"/>
        <v>3506236.6600158983</v>
      </c>
      <c r="AX82" s="762">
        <f t="shared" si="218"/>
        <v>43827.958250198732</v>
      </c>
      <c r="AY82" s="717" t="s">
        <v>231</v>
      </c>
      <c r="AZ82" s="717">
        <f t="shared" si="219"/>
        <v>3550064.6182660968</v>
      </c>
      <c r="BA82" s="717">
        <f t="shared" si="220"/>
        <v>133127.42318497863</v>
      </c>
      <c r="BB82" s="717"/>
      <c r="BC82" s="717">
        <f t="shared" si="183"/>
        <v>33600</v>
      </c>
      <c r="BD82" s="717">
        <f t="shared" si="221"/>
        <v>3716792.0414510756</v>
      </c>
      <c r="BE82" s="717"/>
      <c r="BF82" s="717">
        <f t="shared" si="222"/>
        <v>3716792.0414510756</v>
      </c>
      <c r="BG82" s="1209"/>
      <c r="BH82" s="717">
        <f t="shared" si="223"/>
        <v>3716792.0414510756</v>
      </c>
      <c r="BI82" s="717"/>
      <c r="BJ82" s="717">
        <f t="shared" si="224"/>
        <v>3716792.0414510756</v>
      </c>
      <c r="BK82" s="717"/>
      <c r="BL82" s="717">
        <f t="shared" si="225"/>
        <v>3716792.0414510756</v>
      </c>
      <c r="BM82" s="717"/>
      <c r="BN82" s="717">
        <f t="shared" si="226"/>
        <v>3716792.0414510756</v>
      </c>
      <c r="BO82" s="717"/>
      <c r="BP82" s="717">
        <f t="shared" si="184"/>
        <v>3716792.0414510756</v>
      </c>
      <c r="BQ82" s="717"/>
      <c r="BR82" s="717">
        <f t="shared" ref="BR82:BR145" si="285">BP82+BQ82</f>
        <v>3716792.0414510756</v>
      </c>
      <c r="BS82" s="717"/>
      <c r="BT82" s="717">
        <f t="shared" si="227"/>
        <v>3716792.0414510756</v>
      </c>
      <c r="BU82" s="717"/>
      <c r="BV82" s="1235">
        <f t="shared" ref="BV82:BV145" si="286">$BV$2+$BV$3-BC82</f>
        <v>51400</v>
      </c>
      <c r="BW82" s="717">
        <f t="shared" si="228"/>
        <v>3768192.0414510756</v>
      </c>
      <c r="BX82" s="717"/>
      <c r="BY82" s="717">
        <f t="shared" si="229"/>
        <v>3768192.0414510756</v>
      </c>
      <c r="BZ82" s="1194">
        <f t="shared" si="230"/>
        <v>3768192.0414510756</v>
      </c>
      <c r="CA82" s="1194">
        <f t="shared" si="231"/>
        <v>3031192.0414510756</v>
      </c>
      <c r="CB82" s="1194">
        <v>33500</v>
      </c>
      <c r="CC82" s="1194">
        <f t="shared" si="232"/>
        <v>737000</v>
      </c>
      <c r="CD82" s="1194">
        <f t="shared" si="233"/>
        <v>88440</v>
      </c>
      <c r="CE82" s="1194">
        <f t="shared" si="234"/>
        <v>825440</v>
      </c>
      <c r="CF82" s="1200">
        <f t="shared" si="235"/>
        <v>3856632.0414510756</v>
      </c>
      <c r="CG82" s="757">
        <f t="shared" si="236"/>
        <v>3856632.0414510756</v>
      </c>
      <c r="CH82" s="758">
        <f t="shared" si="237"/>
        <v>0</v>
      </c>
      <c r="CI82" s="757">
        <f t="shared" si="185"/>
        <v>395304.78424873523</v>
      </c>
      <c r="CJ82" s="757">
        <f t="shared" si="186"/>
        <v>96415.801036276898</v>
      </c>
      <c r="CK82" s="759">
        <f t="shared" si="155"/>
        <v>4348352.6267360877</v>
      </c>
      <c r="CL82" s="764">
        <f t="shared" si="238"/>
        <v>0.125</v>
      </c>
      <c r="CM82" s="757">
        <f t="shared" si="239"/>
        <v>543544.07834201097</v>
      </c>
      <c r="CN82" s="757">
        <f t="shared" si="281"/>
        <v>30000</v>
      </c>
      <c r="CO82" s="757">
        <f t="shared" si="240"/>
        <v>513544.07834201097</v>
      </c>
      <c r="CP82" s="755">
        <f t="shared" si="241"/>
        <v>29</v>
      </c>
      <c r="CQ82" s="757">
        <f t="shared" si="283"/>
        <v>17708.416494552101</v>
      </c>
      <c r="CR82" s="764">
        <f t="shared" si="242"/>
        <v>0.875</v>
      </c>
      <c r="CS82" s="757">
        <f t="shared" si="243"/>
        <v>3804808.5483940765</v>
      </c>
      <c r="CT82" s="1101">
        <f t="shared" si="244"/>
        <v>29498.640178035228</v>
      </c>
      <c r="CU82" s="1101">
        <f t="shared" si="245"/>
        <v>34198.69488477581</v>
      </c>
      <c r="CV82" s="1101">
        <f t="shared" si="246"/>
        <v>44177.053427205676</v>
      </c>
      <c r="CW82" s="1141">
        <f t="shared" si="187"/>
        <v>75339.769474770234</v>
      </c>
      <c r="CX82" s="1152">
        <f t="shared" si="247"/>
        <v>309076.69202437636</v>
      </c>
      <c r="CY82" s="1152">
        <f t="shared" si="248"/>
        <v>122300.14143503785</v>
      </c>
      <c r="CZ82" s="1152">
        <f t="shared" si="249"/>
        <v>88335.659997824871</v>
      </c>
      <c r="DA82" s="1152">
        <f t="shared" si="250"/>
        <v>67227.504022091394</v>
      </c>
      <c r="DB82" s="1143">
        <f t="shared" si="188"/>
        <v>0.15066567262377931</v>
      </c>
      <c r="DC82" s="1143">
        <f t="shared" si="251"/>
        <v>0.2723153098557391</v>
      </c>
      <c r="DD82" s="1098" t="s">
        <v>232</v>
      </c>
      <c r="DE82" s="1144"/>
      <c r="DF82" s="705"/>
      <c r="DG82" s="765">
        <f t="shared" si="282"/>
        <v>46082</v>
      </c>
      <c r="DH82" s="1116">
        <f t="shared" si="189"/>
        <v>28</v>
      </c>
      <c r="DI82" s="497"/>
      <c r="DJ82" s="1117">
        <f t="shared" si="252"/>
        <v>46147</v>
      </c>
      <c r="DK82" s="1116">
        <f t="shared" si="253"/>
        <v>30</v>
      </c>
      <c r="DL82" s="766" t="s">
        <v>233</v>
      </c>
      <c r="DM82" s="766" t="s">
        <v>234</v>
      </c>
      <c r="DN82" s="767">
        <f t="shared" si="190"/>
        <v>23010.757273449934</v>
      </c>
      <c r="DO82" s="767">
        <f t="shared" si="191"/>
        <v>506236.66001589852</v>
      </c>
      <c r="DP82" s="768">
        <f t="shared" si="192"/>
        <v>0.16874555333863284</v>
      </c>
      <c r="DR82" s="767">
        <f t="shared" si="193"/>
        <v>3856632.0414510756</v>
      </c>
      <c r="DS82" s="767">
        <f>SUM('[6]INTERNAL PRICELIST'!M82)</f>
        <v>2329361</v>
      </c>
      <c r="DT82" s="767">
        <f t="shared" si="254"/>
        <v>1527271.0414510756</v>
      </c>
      <c r="DV82" s="951">
        <f t="shared" si="194"/>
        <v>175301.45642959434</v>
      </c>
      <c r="DX82" s="772">
        <v>5</v>
      </c>
      <c r="DY82" s="773" t="s">
        <v>255</v>
      </c>
      <c r="DZ82" s="774">
        <v>22</v>
      </c>
      <c r="EA82" s="775">
        <f t="shared" si="195"/>
        <v>0</v>
      </c>
      <c r="ED82" s="755" t="s">
        <v>419</v>
      </c>
      <c r="EE82" s="777" t="b">
        <f t="shared" si="196"/>
        <v>1</v>
      </c>
      <c r="EF82" s="1123" t="s">
        <v>420</v>
      </c>
      <c r="EG82" s="1123" t="s">
        <v>394</v>
      </c>
      <c r="EH82" s="1203"/>
      <c r="EP82" s="1230" t="s">
        <v>236</v>
      </c>
      <c r="EQ82" s="1145" t="s">
        <v>236</v>
      </c>
      <c r="ER82" s="753" t="b">
        <f t="shared" si="255"/>
        <v>1</v>
      </c>
      <c r="EU82" s="770">
        <v>2430561</v>
      </c>
      <c r="EV82" s="771" t="s">
        <v>236</v>
      </c>
      <c r="EZ82" s="520"/>
      <c r="FA82" s="778"/>
      <c r="FG82" s="1107"/>
      <c r="FJ82" s="994">
        <v>0.15</v>
      </c>
      <c r="FK82" s="993">
        <v>13053.376038622413</v>
      </c>
      <c r="FL82" s="993">
        <v>13406.169985612209</v>
      </c>
      <c r="FM82" s="497"/>
      <c r="FN82" s="993">
        <f t="shared" si="197"/>
        <v>4348352.6267360877</v>
      </c>
      <c r="FO82" s="994">
        <f t="shared" si="256"/>
        <v>0.15</v>
      </c>
      <c r="FP82" s="775">
        <f t="shared" si="198"/>
        <v>652252.89401041309</v>
      </c>
      <c r="FQ82" s="993">
        <f t="shared" si="199"/>
        <v>30000</v>
      </c>
      <c r="FR82" s="775">
        <f t="shared" si="257"/>
        <v>622252.89401041309</v>
      </c>
      <c r="FS82" s="497">
        <f t="shared" si="258"/>
        <v>40</v>
      </c>
      <c r="FT82" s="775">
        <f t="shared" si="259"/>
        <v>15556.322350260327</v>
      </c>
      <c r="FU82" s="497"/>
      <c r="FV82" s="993">
        <f t="shared" si="260"/>
        <v>4348352.6267360877</v>
      </c>
      <c r="FW82" s="705">
        <f t="shared" si="261"/>
        <v>434835.26267360878</v>
      </c>
      <c r="FX82" s="705">
        <f t="shared" si="262"/>
        <v>108708.8156684022</v>
      </c>
      <c r="FY82" s="705">
        <v>15000</v>
      </c>
      <c r="FZ82" s="705">
        <f t="shared" si="263"/>
        <v>419835.26267360878</v>
      </c>
      <c r="GA82" s="497">
        <f t="shared" si="264"/>
        <v>46</v>
      </c>
      <c r="GB82" s="775">
        <f t="shared" si="265"/>
        <v>9126.8535363827996</v>
      </c>
      <c r="GC82" s="497"/>
      <c r="GD82" s="497"/>
      <c r="GE82" s="1107"/>
      <c r="GH82" s="1095">
        <f t="shared" si="161"/>
        <v>4348352.6267360877</v>
      </c>
      <c r="GI82" s="1098">
        <f t="shared" si="162"/>
        <v>0.125</v>
      </c>
      <c r="GJ82" s="1095">
        <f t="shared" si="163"/>
        <v>543544.07834201097</v>
      </c>
      <c r="GK82" s="1095">
        <f t="shared" si="164"/>
        <v>30000</v>
      </c>
      <c r="GL82" s="1095">
        <f t="shared" si="165"/>
        <v>513544.07834201097</v>
      </c>
      <c r="GM82" s="1095">
        <f t="shared" si="166"/>
        <v>29</v>
      </c>
      <c r="GN82" s="1095">
        <f t="shared" si="167"/>
        <v>17708.416494552101</v>
      </c>
      <c r="GO82" s="1098">
        <f t="shared" si="168"/>
        <v>0.875</v>
      </c>
      <c r="GP82" s="1095">
        <f t="shared" si="169"/>
        <v>3804808.5483940765</v>
      </c>
      <c r="GQ82" s="1095">
        <f t="shared" si="170"/>
        <v>29498.640178035228</v>
      </c>
      <c r="GR82" s="1095">
        <f t="shared" si="171"/>
        <v>34198.69488477581</v>
      </c>
      <c r="GS82" s="1095">
        <f t="shared" si="172"/>
        <v>44177.053427205676</v>
      </c>
      <c r="GT82" s="1095">
        <f t="shared" si="173"/>
        <v>75339.769474770234</v>
      </c>
      <c r="GU82" s="497"/>
      <c r="GV82" s="1095">
        <f t="shared" si="266"/>
        <v>4348352.6267360877</v>
      </c>
      <c r="GW82" s="1098">
        <f t="shared" si="267"/>
        <v>0.125</v>
      </c>
      <c r="GX82" s="1095">
        <f t="shared" si="268"/>
        <v>543544.07834201097</v>
      </c>
      <c r="GY82" s="1095">
        <f t="shared" si="269"/>
        <v>30000</v>
      </c>
      <c r="GZ82" s="1095">
        <f t="shared" si="270"/>
        <v>513544.07834201097</v>
      </c>
      <c r="HA82" s="1106">
        <f t="shared" si="271"/>
        <v>48</v>
      </c>
      <c r="HB82" s="770">
        <f t="shared" si="272"/>
        <v>10698.834965458562</v>
      </c>
      <c r="HC82" s="1098">
        <f t="shared" si="273"/>
        <v>0.875</v>
      </c>
      <c r="HD82" s="1102">
        <f t="shared" si="274"/>
        <v>3804808.5483940765</v>
      </c>
      <c r="HE82" s="1101">
        <f t="shared" si="275"/>
        <v>29498.640178035228</v>
      </c>
      <c r="HF82" s="1101">
        <f t="shared" si="276"/>
        <v>34198.69488477581</v>
      </c>
      <c r="HG82" s="1101">
        <f t="shared" si="277"/>
        <v>44177.053427205676</v>
      </c>
      <c r="HH82" s="1101">
        <f t="shared" si="278"/>
        <v>75339.769474770234</v>
      </c>
      <c r="HI82" s="497"/>
      <c r="HJ82" s="1102">
        <f t="shared" si="279"/>
        <v>-7009.5815290935388</v>
      </c>
      <c r="HL82" s="775"/>
      <c r="HN82" s="775"/>
      <c r="HO82" s="775"/>
      <c r="HQ82" s="702"/>
      <c r="HR82" s="1171"/>
      <c r="HS82" s="702"/>
      <c r="HT82" s="1171"/>
    </row>
    <row r="83" spans="1:228" ht="14.25" hidden="1" customHeight="1">
      <c r="A83" s="753">
        <f t="shared" si="280"/>
        <v>77</v>
      </c>
      <c r="B83" s="753" t="s">
        <v>236</v>
      </c>
      <c r="C83" s="753">
        <f t="shared" si="174"/>
        <v>15</v>
      </c>
      <c r="D83" s="753" t="s">
        <v>260</v>
      </c>
      <c r="E83" s="717" t="str">
        <f t="shared" si="200"/>
        <v>5th Floor</v>
      </c>
      <c r="F83" s="754"/>
      <c r="G83" s="756" t="s">
        <v>421</v>
      </c>
      <c r="H83" s="756"/>
      <c r="I83" s="755" t="s">
        <v>229</v>
      </c>
      <c r="J83" s="757">
        <v>22</v>
      </c>
      <c r="K83" s="758"/>
      <c r="L83" s="759" t="s">
        <v>277</v>
      </c>
      <c r="M83" s="760" t="s">
        <v>278</v>
      </c>
      <c r="N83" s="761">
        <f t="shared" si="201"/>
        <v>106005.26567735759</v>
      </c>
      <c r="O83" s="762">
        <f t="shared" si="202"/>
        <v>2332115.8449018667</v>
      </c>
      <c r="P83" s="762">
        <f t="shared" si="203"/>
        <v>22400</v>
      </c>
      <c r="Q83" s="762">
        <f t="shared" si="175"/>
        <v>50000</v>
      </c>
      <c r="R83" s="762"/>
      <c r="S83" s="762"/>
      <c r="T83" s="762"/>
      <c r="U83" s="762"/>
      <c r="V83" s="762"/>
      <c r="W83" s="762">
        <f t="shared" si="284"/>
        <v>22000</v>
      </c>
      <c r="X83" s="762"/>
      <c r="Y83" s="762">
        <f t="shared" si="176"/>
        <v>20000</v>
      </c>
      <c r="Z83" s="762">
        <f t="shared" si="177"/>
        <v>142461</v>
      </c>
      <c r="AA83" s="762">
        <v>45722.732758620688</v>
      </c>
      <c r="AB83" s="762"/>
      <c r="AC83" s="762"/>
      <c r="AD83" s="763">
        <f t="shared" si="204"/>
        <v>302583.7327586207</v>
      </c>
      <c r="AE83" s="763">
        <f t="shared" si="178"/>
        <v>2634699.5776604875</v>
      </c>
      <c r="AF83" s="762">
        <f t="shared" si="179"/>
        <v>65867.489441512196</v>
      </c>
      <c r="AG83" s="762">
        <f t="shared" si="205"/>
        <v>2700567.0671019997</v>
      </c>
      <c r="AH83" s="762">
        <f t="shared" si="180"/>
        <v>67514.17667755</v>
      </c>
      <c r="AI83" s="762">
        <f t="shared" si="206"/>
        <v>2768081.2437795498</v>
      </c>
      <c r="AJ83" s="762">
        <f t="shared" si="207"/>
        <v>138404.06218897749</v>
      </c>
      <c r="AK83" s="762">
        <f t="shared" si="208"/>
        <v>2906485.3059685272</v>
      </c>
      <c r="AL83" s="762">
        <f t="shared" si="209"/>
        <v>29064.853059685272</v>
      </c>
      <c r="AM83" s="762">
        <f t="shared" si="210"/>
        <v>27537.409960060559</v>
      </c>
      <c r="AN83" s="762"/>
      <c r="AO83" s="763">
        <f t="shared" si="211"/>
        <v>2963087.5689882729</v>
      </c>
      <c r="AP83" s="763">
        <f t="shared" si="212"/>
        <v>488909.44888306508</v>
      </c>
      <c r="AQ83" s="763">
        <f t="shared" si="213"/>
        <v>3451997.0178713379</v>
      </c>
      <c r="AR83" s="1178">
        <f t="shared" si="181"/>
        <v>3000000</v>
      </c>
      <c r="AS83" s="1178">
        <f t="shared" si="214"/>
        <v>20545.318994151723</v>
      </c>
      <c r="AT83" s="1178">
        <f t="shared" si="215"/>
        <v>451997.01787133794</v>
      </c>
      <c r="AU83" s="1178">
        <f t="shared" si="182"/>
        <v>54239.642144560552</v>
      </c>
      <c r="AV83" s="1178">
        <f t="shared" si="216"/>
        <v>506236.66001589852</v>
      </c>
      <c r="AW83" s="1178">
        <f t="shared" si="217"/>
        <v>3506236.6600158983</v>
      </c>
      <c r="AX83" s="762">
        <f t="shared" si="218"/>
        <v>43827.958250198732</v>
      </c>
      <c r="AY83" s="717" t="s">
        <v>231</v>
      </c>
      <c r="AZ83" s="717">
        <f t="shared" si="219"/>
        <v>3550064.6182660968</v>
      </c>
      <c r="BA83" s="717">
        <f t="shared" si="220"/>
        <v>133127.42318497863</v>
      </c>
      <c r="BB83" s="717"/>
      <c r="BC83" s="717">
        <f t="shared" si="183"/>
        <v>33600</v>
      </c>
      <c r="BD83" s="717">
        <f t="shared" si="221"/>
        <v>3716792.0414510756</v>
      </c>
      <c r="BE83" s="717"/>
      <c r="BF83" s="717">
        <f t="shared" si="222"/>
        <v>3716792.0414510756</v>
      </c>
      <c r="BG83" s="1209"/>
      <c r="BH83" s="717">
        <f t="shared" si="223"/>
        <v>3716792.0414510756</v>
      </c>
      <c r="BI83" s="717"/>
      <c r="BJ83" s="717">
        <f t="shared" si="224"/>
        <v>3716792.0414510756</v>
      </c>
      <c r="BK83" s="717"/>
      <c r="BL83" s="717">
        <f t="shared" si="225"/>
        <v>3716792.0414510756</v>
      </c>
      <c r="BM83" s="717"/>
      <c r="BN83" s="717">
        <f t="shared" si="226"/>
        <v>3716792.0414510756</v>
      </c>
      <c r="BO83" s="717"/>
      <c r="BP83" s="717">
        <f t="shared" si="184"/>
        <v>3716792.0414510756</v>
      </c>
      <c r="BQ83" s="717"/>
      <c r="BR83" s="717">
        <f t="shared" si="285"/>
        <v>3716792.0414510756</v>
      </c>
      <c r="BS83" s="717"/>
      <c r="BT83" s="717">
        <f t="shared" si="227"/>
        <v>3716792.0414510756</v>
      </c>
      <c r="BU83" s="717"/>
      <c r="BV83" s="1235">
        <f t="shared" si="286"/>
        <v>51400</v>
      </c>
      <c r="BW83" s="717">
        <f t="shared" si="228"/>
        <v>3768192.0414510756</v>
      </c>
      <c r="BX83" s="717"/>
      <c r="BY83" s="717">
        <f t="shared" si="229"/>
        <v>3768192.0414510756</v>
      </c>
      <c r="BZ83" s="1194">
        <f t="shared" si="230"/>
        <v>3768192.0414510756</v>
      </c>
      <c r="CA83" s="1194">
        <f t="shared" si="231"/>
        <v>3031192.0414510756</v>
      </c>
      <c r="CB83" s="1194">
        <v>33500</v>
      </c>
      <c r="CC83" s="1194">
        <f t="shared" si="232"/>
        <v>737000</v>
      </c>
      <c r="CD83" s="1194">
        <f t="shared" si="233"/>
        <v>88440</v>
      </c>
      <c r="CE83" s="1194">
        <f t="shared" si="234"/>
        <v>825440</v>
      </c>
      <c r="CF83" s="1200">
        <f t="shared" si="235"/>
        <v>3856632.0414510756</v>
      </c>
      <c r="CG83" s="757">
        <f t="shared" si="236"/>
        <v>3856632.0414510756</v>
      </c>
      <c r="CH83" s="758">
        <f t="shared" si="237"/>
        <v>0</v>
      </c>
      <c r="CI83" s="757">
        <f t="shared" si="185"/>
        <v>395304.78424873523</v>
      </c>
      <c r="CJ83" s="757">
        <f t="shared" si="186"/>
        <v>96415.801036276898</v>
      </c>
      <c r="CK83" s="759">
        <f t="shared" si="155"/>
        <v>4348352.6267360877</v>
      </c>
      <c r="CL83" s="764">
        <f t="shared" si="238"/>
        <v>0.125</v>
      </c>
      <c r="CM83" s="757">
        <f t="shared" si="239"/>
        <v>543544.07834201097</v>
      </c>
      <c r="CN83" s="757">
        <f t="shared" si="281"/>
        <v>30000</v>
      </c>
      <c r="CO83" s="757">
        <f t="shared" si="240"/>
        <v>513544.07834201097</v>
      </c>
      <c r="CP83" s="755">
        <f t="shared" si="241"/>
        <v>29</v>
      </c>
      <c r="CQ83" s="757">
        <f t="shared" si="283"/>
        <v>17708.416494552101</v>
      </c>
      <c r="CR83" s="764">
        <f t="shared" si="242"/>
        <v>0.875</v>
      </c>
      <c r="CS83" s="757">
        <f t="shared" si="243"/>
        <v>3804808.5483940765</v>
      </c>
      <c r="CT83" s="1101">
        <f t="shared" si="244"/>
        <v>29498.640178035228</v>
      </c>
      <c r="CU83" s="1101">
        <f t="shared" si="245"/>
        <v>34198.69488477581</v>
      </c>
      <c r="CV83" s="1101">
        <f t="shared" si="246"/>
        <v>44177.053427205676</v>
      </c>
      <c r="CW83" s="1141">
        <f t="shared" si="187"/>
        <v>75339.769474770234</v>
      </c>
      <c r="CX83" s="1152">
        <f t="shared" si="247"/>
        <v>309076.69202437636</v>
      </c>
      <c r="CY83" s="1152">
        <f t="shared" si="248"/>
        <v>122300.14143503785</v>
      </c>
      <c r="CZ83" s="1152">
        <f t="shared" si="249"/>
        <v>88335.659997824871</v>
      </c>
      <c r="DA83" s="1152">
        <f t="shared" si="250"/>
        <v>67227.504022091394</v>
      </c>
      <c r="DB83" s="1143">
        <f t="shared" si="188"/>
        <v>0.15066567262377931</v>
      </c>
      <c r="DC83" s="1143">
        <f t="shared" si="251"/>
        <v>0.2723153098557391</v>
      </c>
      <c r="DD83" s="1098" t="s">
        <v>232</v>
      </c>
      <c r="DE83" s="1144"/>
      <c r="DF83" s="705"/>
      <c r="DG83" s="765">
        <f t="shared" si="282"/>
        <v>46082</v>
      </c>
      <c r="DH83" s="1116">
        <f t="shared" si="189"/>
        <v>28</v>
      </c>
      <c r="DI83" s="497"/>
      <c r="DJ83" s="1117">
        <f t="shared" si="252"/>
        <v>46147</v>
      </c>
      <c r="DK83" s="1116">
        <f t="shared" si="253"/>
        <v>30</v>
      </c>
      <c r="DL83" s="766" t="s">
        <v>233</v>
      </c>
      <c r="DM83" s="766" t="s">
        <v>234</v>
      </c>
      <c r="DN83" s="767">
        <f t="shared" si="190"/>
        <v>23010.757273449934</v>
      </c>
      <c r="DO83" s="767">
        <f t="shared" si="191"/>
        <v>506236.66001589852</v>
      </c>
      <c r="DP83" s="768">
        <f t="shared" si="192"/>
        <v>0.16874555333863284</v>
      </c>
      <c r="DR83" s="767">
        <f t="shared" si="193"/>
        <v>3856632.0414510756</v>
      </c>
      <c r="DS83" s="767">
        <f>SUM('[6]INTERNAL PRICELIST'!M83)</f>
        <v>2329361</v>
      </c>
      <c r="DT83" s="767">
        <f t="shared" si="254"/>
        <v>1527271.0414510756</v>
      </c>
      <c r="DV83" s="951">
        <f t="shared" si="194"/>
        <v>175301.45642959434</v>
      </c>
      <c r="DX83" s="773">
        <v>6</v>
      </c>
      <c r="DY83" s="773" t="s">
        <v>262</v>
      </c>
      <c r="DZ83" s="774">
        <v>22</v>
      </c>
      <c r="EA83" s="775">
        <f t="shared" si="195"/>
        <v>0</v>
      </c>
      <c r="ED83" s="755" t="s">
        <v>421</v>
      </c>
      <c r="EE83" s="777" t="b">
        <f t="shared" si="196"/>
        <v>1</v>
      </c>
      <c r="EF83" s="1123" t="s">
        <v>422</v>
      </c>
      <c r="EG83" s="1123" t="s">
        <v>394</v>
      </c>
      <c r="EH83" s="1203"/>
      <c r="EP83" s="1230" t="s">
        <v>236</v>
      </c>
      <c r="EQ83" s="1145" t="s">
        <v>236</v>
      </c>
      <c r="ER83" s="753" t="b">
        <f t="shared" si="255"/>
        <v>1</v>
      </c>
      <c r="EU83" s="770">
        <v>2806449.0533960266</v>
      </c>
      <c r="EV83" s="771" t="s">
        <v>236</v>
      </c>
      <c r="EZ83" s="520"/>
      <c r="FA83" s="778"/>
      <c r="FG83" s="1107"/>
      <c r="FJ83" s="994">
        <v>0.15</v>
      </c>
      <c r="FK83" s="993">
        <v>13053.376038622413</v>
      </c>
      <c r="FL83" s="993">
        <v>13406.169985612209</v>
      </c>
      <c r="FM83" s="497"/>
      <c r="FN83" s="993">
        <f t="shared" si="197"/>
        <v>4348352.6267360877</v>
      </c>
      <c r="FO83" s="994">
        <f t="shared" si="256"/>
        <v>0.15</v>
      </c>
      <c r="FP83" s="775">
        <f t="shared" si="198"/>
        <v>652252.89401041309</v>
      </c>
      <c r="FQ83" s="993">
        <f t="shared" si="199"/>
        <v>30000</v>
      </c>
      <c r="FR83" s="775">
        <f t="shared" si="257"/>
        <v>622252.89401041309</v>
      </c>
      <c r="FS83" s="497">
        <f t="shared" si="258"/>
        <v>40</v>
      </c>
      <c r="FT83" s="775">
        <f t="shared" si="259"/>
        <v>15556.322350260327</v>
      </c>
      <c r="FU83" s="497"/>
      <c r="FV83" s="993">
        <f t="shared" si="260"/>
        <v>4348352.6267360877</v>
      </c>
      <c r="FW83" s="705">
        <f t="shared" si="261"/>
        <v>434835.26267360878</v>
      </c>
      <c r="FX83" s="705">
        <f t="shared" si="262"/>
        <v>108708.8156684022</v>
      </c>
      <c r="FY83" s="705">
        <v>15000</v>
      </c>
      <c r="FZ83" s="705">
        <f t="shared" si="263"/>
        <v>419835.26267360878</v>
      </c>
      <c r="GA83" s="497">
        <f t="shared" si="264"/>
        <v>46</v>
      </c>
      <c r="GB83" s="775">
        <f t="shared" si="265"/>
        <v>9126.8535363827996</v>
      </c>
      <c r="GC83" s="497"/>
      <c r="GD83" s="497"/>
      <c r="GE83" s="1107"/>
      <c r="GH83" s="1095">
        <f t="shared" si="161"/>
        <v>4348352.6267360877</v>
      </c>
      <c r="GI83" s="1098">
        <f t="shared" si="162"/>
        <v>0.125</v>
      </c>
      <c r="GJ83" s="1095">
        <f t="shared" si="163"/>
        <v>543544.07834201097</v>
      </c>
      <c r="GK83" s="1095">
        <f t="shared" si="164"/>
        <v>30000</v>
      </c>
      <c r="GL83" s="1095">
        <f t="shared" si="165"/>
        <v>513544.07834201097</v>
      </c>
      <c r="GM83" s="1095">
        <f t="shared" si="166"/>
        <v>29</v>
      </c>
      <c r="GN83" s="1095">
        <f t="shared" si="167"/>
        <v>17708.416494552101</v>
      </c>
      <c r="GO83" s="1098">
        <f t="shared" si="168"/>
        <v>0.875</v>
      </c>
      <c r="GP83" s="1095">
        <f t="shared" si="169"/>
        <v>3804808.5483940765</v>
      </c>
      <c r="GQ83" s="1095">
        <f t="shared" si="170"/>
        <v>29498.640178035228</v>
      </c>
      <c r="GR83" s="1095">
        <f t="shared" si="171"/>
        <v>34198.69488477581</v>
      </c>
      <c r="GS83" s="1095">
        <f t="shared" si="172"/>
        <v>44177.053427205676</v>
      </c>
      <c r="GT83" s="1095">
        <f t="shared" si="173"/>
        <v>75339.769474770234</v>
      </c>
      <c r="GU83" s="497"/>
      <c r="GV83" s="1095">
        <f t="shared" si="266"/>
        <v>4348352.6267360877</v>
      </c>
      <c r="GW83" s="1098">
        <f t="shared" si="267"/>
        <v>0.125</v>
      </c>
      <c r="GX83" s="1095">
        <f t="shared" si="268"/>
        <v>543544.07834201097</v>
      </c>
      <c r="GY83" s="1095">
        <f t="shared" si="269"/>
        <v>30000</v>
      </c>
      <c r="GZ83" s="1095">
        <f t="shared" si="270"/>
        <v>513544.07834201097</v>
      </c>
      <c r="HA83" s="1106">
        <f t="shared" si="271"/>
        <v>48</v>
      </c>
      <c r="HB83" s="770">
        <f t="shared" si="272"/>
        <v>10698.834965458562</v>
      </c>
      <c r="HC83" s="1098">
        <f t="shared" si="273"/>
        <v>0.875</v>
      </c>
      <c r="HD83" s="1102">
        <f t="shared" si="274"/>
        <v>3804808.5483940765</v>
      </c>
      <c r="HE83" s="1101">
        <f t="shared" si="275"/>
        <v>29498.640178035228</v>
      </c>
      <c r="HF83" s="1101">
        <f t="shared" si="276"/>
        <v>34198.69488477581</v>
      </c>
      <c r="HG83" s="1101">
        <f t="shared" si="277"/>
        <v>44177.053427205676</v>
      </c>
      <c r="HH83" s="1101">
        <f t="shared" si="278"/>
        <v>75339.769474770234</v>
      </c>
      <c r="HI83" s="497"/>
      <c r="HJ83" s="1102">
        <f t="shared" si="279"/>
        <v>-7009.5815290935388</v>
      </c>
      <c r="HL83" s="775"/>
      <c r="HN83" s="775"/>
      <c r="HO83" s="775"/>
      <c r="HQ83" s="702"/>
      <c r="HR83" s="1171"/>
      <c r="HS83" s="702"/>
      <c r="HT83" s="1171"/>
    </row>
    <row r="84" spans="1:228" ht="14.25" customHeight="1">
      <c r="A84" s="753">
        <f t="shared" si="280"/>
        <v>78</v>
      </c>
      <c r="B84" s="753" t="s">
        <v>236</v>
      </c>
      <c r="C84" s="753">
        <f t="shared" si="174"/>
        <v>16</v>
      </c>
      <c r="D84" s="753" t="s">
        <v>260</v>
      </c>
      <c r="E84" s="717" t="str">
        <f t="shared" si="200"/>
        <v>5th Floor</v>
      </c>
      <c r="F84" s="754"/>
      <c r="G84" s="756" t="s">
        <v>423</v>
      </c>
      <c r="H84" s="756"/>
      <c r="I84" s="755" t="s">
        <v>229</v>
      </c>
      <c r="J84" s="757">
        <v>22</v>
      </c>
      <c r="K84" s="758"/>
      <c r="L84" s="759" t="s">
        <v>277</v>
      </c>
      <c r="M84" s="760" t="s">
        <v>230</v>
      </c>
      <c r="N84" s="761">
        <f t="shared" si="201"/>
        <v>106005.26567735759</v>
      </c>
      <c r="O84" s="762">
        <f t="shared" si="202"/>
        <v>2332115.8449018667</v>
      </c>
      <c r="P84" s="762">
        <f t="shared" si="203"/>
        <v>22400</v>
      </c>
      <c r="Q84" s="762">
        <f t="shared" si="175"/>
        <v>50000</v>
      </c>
      <c r="R84" s="762"/>
      <c r="S84" s="762"/>
      <c r="T84" s="762"/>
      <c r="U84" s="762"/>
      <c r="V84" s="762">
        <f>J84*$V$5</f>
        <v>55000</v>
      </c>
      <c r="W84" s="762"/>
      <c r="X84" s="762"/>
      <c r="Y84" s="762">
        <f t="shared" si="176"/>
        <v>20000</v>
      </c>
      <c r="Z84" s="762">
        <f t="shared" si="177"/>
        <v>142461</v>
      </c>
      <c r="AA84" s="762">
        <v>45722.732758620688</v>
      </c>
      <c r="AB84" s="762"/>
      <c r="AC84" s="762"/>
      <c r="AD84" s="763">
        <f t="shared" si="204"/>
        <v>335583.7327586207</v>
      </c>
      <c r="AE84" s="763">
        <f t="shared" si="178"/>
        <v>2667699.5776604875</v>
      </c>
      <c r="AF84" s="762">
        <f t="shared" si="179"/>
        <v>66692.489441512196</v>
      </c>
      <c r="AG84" s="762">
        <f t="shared" si="205"/>
        <v>2734392.0671019997</v>
      </c>
      <c r="AH84" s="762">
        <f t="shared" si="180"/>
        <v>68359.80167755</v>
      </c>
      <c r="AI84" s="762">
        <f t="shared" si="206"/>
        <v>2802751.8687795498</v>
      </c>
      <c r="AJ84" s="762">
        <f t="shared" si="207"/>
        <v>140137.59343897749</v>
      </c>
      <c r="AK84" s="762">
        <f t="shared" si="208"/>
        <v>2942889.4622185272</v>
      </c>
      <c r="AL84" s="762">
        <f t="shared" si="209"/>
        <v>29428.894622185271</v>
      </c>
      <c r="AM84" s="762">
        <f t="shared" si="210"/>
        <v>27537.409960060559</v>
      </c>
      <c r="AN84" s="762"/>
      <c r="AO84" s="763">
        <f t="shared" si="211"/>
        <v>2999855.7668007729</v>
      </c>
      <c r="AP84" s="763">
        <f t="shared" si="212"/>
        <v>494976.20152212755</v>
      </c>
      <c r="AQ84" s="763">
        <f t="shared" si="213"/>
        <v>3494831.9683229006</v>
      </c>
      <c r="AR84" s="1178">
        <f t="shared" si="181"/>
        <v>3000000</v>
      </c>
      <c r="AS84" s="1178">
        <f t="shared" si="214"/>
        <v>22492.36219649548</v>
      </c>
      <c r="AT84" s="1178">
        <f t="shared" si="215"/>
        <v>494831.96832290059</v>
      </c>
      <c r="AU84" s="1178">
        <f t="shared" si="182"/>
        <v>59379.836198748068</v>
      </c>
      <c r="AV84" s="1178">
        <f t="shared" si="216"/>
        <v>554211.80452164868</v>
      </c>
      <c r="AW84" s="1178">
        <f t="shared" si="217"/>
        <v>3554211.8045216487</v>
      </c>
      <c r="AX84" s="762">
        <f t="shared" si="218"/>
        <v>44427.647556520613</v>
      </c>
      <c r="AY84" s="717" t="s">
        <v>231</v>
      </c>
      <c r="AZ84" s="717">
        <f t="shared" si="219"/>
        <v>3598639.4520781692</v>
      </c>
      <c r="BA84" s="717">
        <f t="shared" si="220"/>
        <v>134948.97945293135</v>
      </c>
      <c r="BB84" s="717"/>
      <c r="BC84" s="717">
        <f t="shared" si="183"/>
        <v>33600</v>
      </c>
      <c r="BD84" s="717">
        <f t="shared" si="221"/>
        <v>3767188.4315311005</v>
      </c>
      <c r="BE84" s="717"/>
      <c r="BF84" s="717">
        <f t="shared" si="222"/>
        <v>3767188.4315311005</v>
      </c>
      <c r="BG84" s="1209"/>
      <c r="BH84" s="717">
        <f t="shared" si="223"/>
        <v>3767188.4315311005</v>
      </c>
      <c r="BI84" s="717">
        <v>718.43902439024396</v>
      </c>
      <c r="BJ84" s="717">
        <f t="shared" si="224"/>
        <v>3767906.8705554907</v>
      </c>
      <c r="BK84" s="717"/>
      <c r="BL84" s="717">
        <f t="shared" si="225"/>
        <v>3767906.8705554907</v>
      </c>
      <c r="BM84" s="717">
        <f>$BM$5/41</f>
        <v>1038.0487804878051</v>
      </c>
      <c r="BN84" s="717">
        <f t="shared" si="226"/>
        <v>3768944.9193359786</v>
      </c>
      <c r="BO84" s="717">
        <f>$BO$5/51</f>
        <v>7289.0781490196077</v>
      </c>
      <c r="BP84" s="717">
        <f t="shared" si="184"/>
        <v>3776233.9974849983</v>
      </c>
      <c r="BQ84" s="717">
        <f>$BQ$5/56</f>
        <v>4468.4242000000004</v>
      </c>
      <c r="BR84" s="717">
        <f t="shared" si="285"/>
        <v>3780702.4216849981</v>
      </c>
      <c r="BS84" s="1234">
        <f>$BS$5/64</f>
        <v>2651.4786794501206</v>
      </c>
      <c r="BT84" s="1235">
        <f t="shared" si="227"/>
        <v>3783353.9003644483</v>
      </c>
      <c r="BU84" s="1235">
        <f>$BU$5/65</f>
        <v>211.07692307692309</v>
      </c>
      <c r="BV84" s="1235">
        <f t="shared" si="286"/>
        <v>51400</v>
      </c>
      <c r="BW84" s="717">
        <f t="shared" si="228"/>
        <v>3834964.9772875253</v>
      </c>
      <c r="BX84" s="1234">
        <f t="shared" ref="BX82:BX145" si="287">$BX$5/68</f>
        <v>27651.078536278128</v>
      </c>
      <c r="BY84" s="717">
        <f t="shared" si="229"/>
        <v>3862616.0558238034</v>
      </c>
      <c r="BZ84" s="1194">
        <f t="shared" si="230"/>
        <v>3862616.0558238034</v>
      </c>
      <c r="CA84" s="1194">
        <f t="shared" si="231"/>
        <v>2982616.0558238034</v>
      </c>
      <c r="CB84" s="1194">
        <f>$CB$5</f>
        <v>40000</v>
      </c>
      <c r="CC84" s="1194">
        <f t="shared" si="232"/>
        <v>880000</v>
      </c>
      <c r="CD84" s="1194">
        <f t="shared" si="233"/>
        <v>105600</v>
      </c>
      <c r="CE84" s="1194">
        <f t="shared" si="234"/>
        <v>985600</v>
      </c>
      <c r="CF84" s="1200">
        <f t="shared" si="235"/>
        <v>3968216.0558238034</v>
      </c>
      <c r="CG84" s="757">
        <f t="shared" si="236"/>
        <v>3968216.0558238034</v>
      </c>
      <c r="CH84" s="758">
        <f t="shared" si="237"/>
        <v>0</v>
      </c>
      <c r="CI84" s="757">
        <f t="shared" si="185"/>
        <v>406742.1457219398</v>
      </c>
      <c r="CJ84" s="757">
        <f t="shared" si="186"/>
        <v>99205.401395595094</v>
      </c>
      <c r="CK84" s="759">
        <f t="shared" si="155"/>
        <v>4474163.602941338</v>
      </c>
      <c r="CL84" s="764">
        <f t="shared" si="238"/>
        <v>0.125</v>
      </c>
      <c r="CM84" s="757">
        <f t="shared" si="239"/>
        <v>559270.45036766725</v>
      </c>
      <c r="CN84" s="757">
        <f t="shared" si="281"/>
        <v>30000</v>
      </c>
      <c r="CO84" s="757">
        <f t="shared" si="240"/>
        <v>529270.45036766725</v>
      </c>
      <c r="CP84" s="755">
        <f t="shared" si="241"/>
        <v>29</v>
      </c>
      <c r="CQ84" s="757">
        <f t="shared" si="283"/>
        <v>18250.705185091974</v>
      </c>
      <c r="CR84" s="764">
        <f t="shared" si="242"/>
        <v>0.875</v>
      </c>
      <c r="CS84" s="757">
        <f t="shared" si="243"/>
        <v>3914893.1525736707</v>
      </c>
      <c r="CT84" s="1101">
        <f t="shared" si="244"/>
        <v>30352.124942519877</v>
      </c>
      <c r="CU84" s="1101">
        <f t="shared" si="245"/>
        <v>35188.166428997989</v>
      </c>
      <c r="CV84" s="1101">
        <f t="shared" si="246"/>
        <v>45455.22902487337</v>
      </c>
      <c r="CW84" s="1141">
        <f t="shared" si="187"/>
        <v>77519.576578366148</v>
      </c>
      <c r="CX84" s="1152">
        <f t="shared" si="247"/>
        <v>318019.2143273718</v>
      </c>
      <c r="CY84" s="1152">
        <f t="shared" si="248"/>
        <v>125838.65394880601</v>
      </c>
      <c r="CZ84" s="1152">
        <f t="shared" si="249"/>
        <v>90891.477469878286</v>
      </c>
      <c r="DA84" s="1152">
        <f t="shared" si="250"/>
        <v>69172.598782083383</v>
      </c>
      <c r="DB84" s="1143">
        <f t="shared" si="188"/>
        <v>0.16494398944096686</v>
      </c>
      <c r="DC84" s="1143">
        <f t="shared" si="251"/>
        <v>0.33044816414621481</v>
      </c>
      <c r="DD84" s="1098" t="s">
        <v>232</v>
      </c>
      <c r="DE84" s="1144"/>
      <c r="DF84" s="705"/>
      <c r="DG84" s="765">
        <f t="shared" si="282"/>
        <v>46082</v>
      </c>
      <c r="DH84" s="1116">
        <f t="shared" si="189"/>
        <v>28</v>
      </c>
      <c r="DI84" s="497"/>
      <c r="DJ84" s="1117">
        <f t="shared" si="252"/>
        <v>46147</v>
      </c>
      <c r="DK84" s="1116">
        <f t="shared" si="253"/>
        <v>30</v>
      </c>
      <c r="DL84" s="766" t="s">
        <v>233</v>
      </c>
      <c r="DM84" s="766" t="s">
        <v>234</v>
      </c>
      <c r="DN84" s="767">
        <f t="shared" si="190"/>
        <v>25191.44566007494</v>
      </c>
      <c r="DO84" s="767">
        <f t="shared" si="191"/>
        <v>554211.80452164868</v>
      </c>
      <c r="DP84" s="768">
        <f t="shared" si="192"/>
        <v>0.18473726817388289</v>
      </c>
      <c r="DR84" s="767">
        <f t="shared" si="193"/>
        <v>3968216.0558238034</v>
      </c>
      <c r="DS84" s="767">
        <f>SUM('[6]INTERNAL PRICELIST'!M84)</f>
        <v>2329361</v>
      </c>
      <c r="DT84" s="767">
        <f t="shared" si="254"/>
        <v>1638855.0558238034</v>
      </c>
      <c r="DV84" s="951">
        <f t="shared" si="194"/>
        <v>180373.45708290016</v>
      </c>
      <c r="DX84" s="772">
        <v>7</v>
      </c>
      <c r="DY84" s="773" t="s">
        <v>267</v>
      </c>
      <c r="DZ84" s="774">
        <v>22</v>
      </c>
      <c r="EA84" s="775">
        <f t="shared" si="195"/>
        <v>0</v>
      </c>
      <c r="ED84" s="1133" t="s">
        <v>423</v>
      </c>
      <c r="EE84" s="777" t="b">
        <f t="shared" si="196"/>
        <v>1</v>
      </c>
      <c r="EF84" s="1123" t="s">
        <v>424</v>
      </c>
      <c r="EG84" s="1123" t="s">
        <v>394</v>
      </c>
      <c r="EH84" s="1203"/>
      <c r="EP84" s="1230" t="s">
        <v>258</v>
      </c>
      <c r="EQ84" s="1145" t="s">
        <v>258</v>
      </c>
      <c r="ER84" s="753" t="b">
        <f t="shared" si="255"/>
        <v>1</v>
      </c>
      <c r="EU84" s="770">
        <v>2360460</v>
      </c>
      <c r="EV84" s="771" t="s">
        <v>236</v>
      </c>
      <c r="EZ84" s="520"/>
      <c r="FA84" s="778"/>
      <c r="FG84" s="1107"/>
      <c r="FJ84" s="994">
        <v>0.15</v>
      </c>
      <c r="FK84" s="993">
        <v>13489.760840409723</v>
      </c>
      <c r="FL84" s="993">
        <v>13854.348971231608</v>
      </c>
      <c r="FM84" s="497"/>
      <c r="FN84" s="993">
        <f t="shared" si="197"/>
        <v>4474163.602941338</v>
      </c>
      <c r="FO84" s="994">
        <f t="shared" si="256"/>
        <v>0.15</v>
      </c>
      <c r="FP84" s="775">
        <f t="shared" si="198"/>
        <v>671124.54044120072</v>
      </c>
      <c r="FQ84" s="993">
        <f t="shared" si="199"/>
        <v>30000</v>
      </c>
      <c r="FR84" s="775">
        <f t="shared" si="257"/>
        <v>641124.54044120072</v>
      </c>
      <c r="FS84" s="497">
        <f t="shared" si="258"/>
        <v>40</v>
      </c>
      <c r="FT84" s="775">
        <f t="shared" si="259"/>
        <v>16028.113511030018</v>
      </c>
      <c r="FU84" s="497"/>
      <c r="FV84" s="993">
        <f t="shared" si="260"/>
        <v>4474163.602941338</v>
      </c>
      <c r="FW84" s="705">
        <f t="shared" si="261"/>
        <v>447416.36029413383</v>
      </c>
      <c r="FX84" s="705">
        <f t="shared" si="262"/>
        <v>111854.09007353346</v>
      </c>
      <c r="FY84" s="705">
        <v>15000</v>
      </c>
      <c r="FZ84" s="705">
        <f t="shared" si="263"/>
        <v>432416.36029413383</v>
      </c>
      <c r="GA84" s="497">
        <f t="shared" si="264"/>
        <v>46</v>
      </c>
      <c r="GB84" s="775">
        <f t="shared" si="265"/>
        <v>9400.3556585681272</v>
      </c>
      <c r="GC84" s="497"/>
      <c r="GD84" s="497"/>
      <c r="GE84" s="1107"/>
      <c r="GH84" s="1095">
        <f t="shared" si="161"/>
        <v>4474163.602941338</v>
      </c>
      <c r="GI84" s="1098">
        <f t="shared" si="162"/>
        <v>0.125</v>
      </c>
      <c r="GJ84" s="1095">
        <f t="shared" si="163"/>
        <v>559270.45036766725</v>
      </c>
      <c r="GK84" s="1095">
        <f t="shared" si="164"/>
        <v>30000</v>
      </c>
      <c r="GL84" s="1095">
        <f t="shared" si="165"/>
        <v>529270.45036766725</v>
      </c>
      <c r="GM84" s="1095">
        <f t="shared" si="166"/>
        <v>29</v>
      </c>
      <c r="GN84" s="1095">
        <f t="shared" si="167"/>
        <v>18250.705185091974</v>
      </c>
      <c r="GO84" s="1098">
        <f t="shared" si="168"/>
        <v>0.875</v>
      </c>
      <c r="GP84" s="1095">
        <f t="shared" si="169"/>
        <v>3914893.1525736707</v>
      </c>
      <c r="GQ84" s="1095">
        <f t="shared" si="170"/>
        <v>30352.124942519877</v>
      </c>
      <c r="GR84" s="1095">
        <f t="shared" si="171"/>
        <v>35188.166428997989</v>
      </c>
      <c r="GS84" s="1095">
        <f t="shared" si="172"/>
        <v>45455.22902487337</v>
      </c>
      <c r="GT84" s="1095">
        <f t="shared" si="173"/>
        <v>77519.576578366148</v>
      </c>
      <c r="GU84" s="497"/>
      <c r="GV84" s="1095">
        <f t="shared" si="266"/>
        <v>4474163.602941338</v>
      </c>
      <c r="GW84" s="1098">
        <f t="shared" si="267"/>
        <v>0.125</v>
      </c>
      <c r="GX84" s="1095">
        <f t="shared" si="268"/>
        <v>559270.45036766725</v>
      </c>
      <c r="GY84" s="1095">
        <f t="shared" si="269"/>
        <v>30000</v>
      </c>
      <c r="GZ84" s="1095">
        <f t="shared" si="270"/>
        <v>529270.45036766725</v>
      </c>
      <c r="HA84" s="1106">
        <f t="shared" si="271"/>
        <v>48</v>
      </c>
      <c r="HB84" s="770">
        <f t="shared" si="272"/>
        <v>11026.467715993067</v>
      </c>
      <c r="HC84" s="1098">
        <f t="shared" si="273"/>
        <v>0.875</v>
      </c>
      <c r="HD84" s="1102">
        <f t="shared" si="274"/>
        <v>3914893.1525736707</v>
      </c>
      <c r="HE84" s="1101">
        <f t="shared" si="275"/>
        <v>30352.124942519877</v>
      </c>
      <c r="HF84" s="1101">
        <f t="shared" si="276"/>
        <v>35188.166428997989</v>
      </c>
      <c r="HG84" s="1101">
        <f t="shared" si="277"/>
        <v>45455.22902487337</v>
      </c>
      <c r="HH84" s="1101">
        <f t="shared" si="278"/>
        <v>77519.576578366148</v>
      </c>
      <c r="HI84" s="497"/>
      <c r="HJ84" s="1102">
        <f t="shared" si="279"/>
        <v>-7224.2374690989072</v>
      </c>
      <c r="HL84" s="775"/>
      <c r="HN84" s="775"/>
      <c r="HO84" s="775"/>
      <c r="HQ84" s="702"/>
      <c r="HR84" s="1171"/>
      <c r="HS84" s="702"/>
      <c r="HT84" s="1171"/>
    </row>
    <row r="85" spans="1:228" ht="14.25" hidden="1" customHeight="1">
      <c r="A85" s="753">
        <f t="shared" si="280"/>
        <v>79</v>
      </c>
      <c r="B85" s="753" t="s">
        <v>236</v>
      </c>
      <c r="C85" s="753">
        <f t="shared" si="174"/>
        <v>17</v>
      </c>
      <c r="D85" s="753" t="s">
        <v>260</v>
      </c>
      <c r="E85" s="717" t="str">
        <f t="shared" si="200"/>
        <v>5th Floor</v>
      </c>
      <c r="F85" s="754"/>
      <c r="G85" s="756" t="s">
        <v>425</v>
      </c>
      <c r="H85" s="756"/>
      <c r="I85" s="755" t="s">
        <v>229</v>
      </c>
      <c r="J85" s="757">
        <v>22</v>
      </c>
      <c r="K85" s="758"/>
      <c r="L85" s="759" t="s">
        <v>69</v>
      </c>
      <c r="M85" s="760" t="s">
        <v>68</v>
      </c>
      <c r="N85" s="761">
        <f t="shared" si="201"/>
        <v>106005.26567735759</v>
      </c>
      <c r="O85" s="762">
        <f t="shared" si="202"/>
        <v>2332115.8449018667</v>
      </c>
      <c r="P85" s="762">
        <f t="shared" si="203"/>
        <v>22400</v>
      </c>
      <c r="Q85" s="762">
        <f t="shared" si="175"/>
        <v>50000</v>
      </c>
      <c r="R85" s="762"/>
      <c r="S85" s="762"/>
      <c r="T85" s="762"/>
      <c r="U85" s="762"/>
      <c r="V85" s="762"/>
      <c r="W85" s="762"/>
      <c r="X85" s="762"/>
      <c r="Y85" s="762">
        <f t="shared" si="176"/>
        <v>20000</v>
      </c>
      <c r="Z85" s="762">
        <f t="shared" si="177"/>
        <v>142461</v>
      </c>
      <c r="AA85" s="762">
        <v>45722.732758620688</v>
      </c>
      <c r="AB85" s="762"/>
      <c r="AC85" s="762"/>
      <c r="AD85" s="763">
        <f t="shared" si="204"/>
        <v>280583.7327586207</v>
      </c>
      <c r="AE85" s="763">
        <f t="shared" si="178"/>
        <v>2612699.5776604875</v>
      </c>
      <c r="AF85" s="762">
        <f t="shared" si="179"/>
        <v>65317.489441512189</v>
      </c>
      <c r="AG85" s="762">
        <f t="shared" si="205"/>
        <v>2678017.0671019997</v>
      </c>
      <c r="AH85" s="762">
        <f t="shared" si="180"/>
        <v>66950.42667755</v>
      </c>
      <c r="AI85" s="762">
        <f t="shared" si="206"/>
        <v>2744967.4937795498</v>
      </c>
      <c r="AJ85" s="762">
        <f t="shared" si="207"/>
        <v>137248.37468897749</v>
      </c>
      <c r="AK85" s="762">
        <f t="shared" si="208"/>
        <v>2882215.8684685272</v>
      </c>
      <c r="AL85" s="762">
        <f t="shared" si="209"/>
        <v>28822.158684685273</v>
      </c>
      <c r="AM85" s="762">
        <f t="shared" si="210"/>
        <v>27537.409960060559</v>
      </c>
      <c r="AN85" s="762"/>
      <c r="AO85" s="763">
        <f t="shared" si="211"/>
        <v>2938575.437113273</v>
      </c>
      <c r="AP85" s="763">
        <f t="shared" si="212"/>
        <v>484864.94712369004</v>
      </c>
      <c r="AQ85" s="763">
        <f t="shared" si="213"/>
        <v>3423440.384236963</v>
      </c>
      <c r="AR85" s="1178">
        <f t="shared" si="181"/>
        <v>3000000</v>
      </c>
      <c r="AS85" s="1178">
        <f t="shared" si="214"/>
        <v>19247.290192589226</v>
      </c>
      <c r="AT85" s="1178">
        <f t="shared" si="215"/>
        <v>423440.384236963</v>
      </c>
      <c r="AU85" s="1178">
        <f t="shared" si="182"/>
        <v>50812.846108435559</v>
      </c>
      <c r="AV85" s="1178">
        <f t="shared" si="216"/>
        <v>474253.23034539854</v>
      </c>
      <c r="AW85" s="1178">
        <f t="shared" si="217"/>
        <v>3474253.2303453987</v>
      </c>
      <c r="AX85" s="762">
        <f t="shared" si="218"/>
        <v>43428.165379317485</v>
      </c>
      <c r="AY85" s="717" t="s">
        <v>231</v>
      </c>
      <c r="AZ85" s="717">
        <f t="shared" si="219"/>
        <v>3517681.3957247161</v>
      </c>
      <c r="BA85" s="717">
        <f t="shared" si="220"/>
        <v>131913.05233967685</v>
      </c>
      <c r="BB85" s="717"/>
      <c r="BC85" s="717">
        <f t="shared" si="183"/>
        <v>33600</v>
      </c>
      <c r="BD85" s="717">
        <f t="shared" si="221"/>
        <v>3683194.4480643929</v>
      </c>
      <c r="BE85" s="717"/>
      <c r="BF85" s="717">
        <f t="shared" si="222"/>
        <v>3683194.4480643929</v>
      </c>
      <c r="BG85" s="1209"/>
      <c r="BH85" s="717">
        <f t="shared" si="223"/>
        <v>3683194.4480643929</v>
      </c>
      <c r="BI85" s="717"/>
      <c r="BJ85" s="717">
        <f t="shared" si="224"/>
        <v>3683194.4480643929</v>
      </c>
      <c r="BK85" s="717"/>
      <c r="BL85" s="717">
        <f t="shared" si="225"/>
        <v>3683194.4480643929</v>
      </c>
      <c r="BM85" s="717"/>
      <c r="BN85" s="717">
        <f t="shared" si="226"/>
        <v>3683194.4480643929</v>
      </c>
      <c r="BO85" s="717"/>
      <c r="BP85" s="717">
        <f t="shared" si="184"/>
        <v>3683194.4480643929</v>
      </c>
      <c r="BQ85" s="717"/>
      <c r="BR85" s="717">
        <f t="shared" si="285"/>
        <v>3683194.4480643929</v>
      </c>
      <c r="BS85" s="717"/>
      <c r="BT85" s="717">
        <f t="shared" si="227"/>
        <v>3683194.4480643929</v>
      </c>
      <c r="BU85" s="717"/>
      <c r="BV85" s="1235">
        <f t="shared" si="286"/>
        <v>51400</v>
      </c>
      <c r="BW85" s="717">
        <f t="shared" si="228"/>
        <v>3734594.4480643929</v>
      </c>
      <c r="BX85" s="717"/>
      <c r="BY85" s="717">
        <f t="shared" si="229"/>
        <v>3734594.4480643929</v>
      </c>
      <c r="BZ85" s="1194">
        <f t="shared" si="230"/>
        <v>3734594.4480643929</v>
      </c>
      <c r="CA85" s="1194">
        <f t="shared" si="231"/>
        <v>3030594.4480643929</v>
      </c>
      <c r="CB85" s="1194">
        <v>32000</v>
      </c>
      <c r="CC85" s="1194">
        <f t="shared" si="232"/>
        <v>704000</v>
      </c>
      <c r="CD85" s="1194">
        <f t="shared" si="233"/>
        <v>84480</v>
      </c>
      <c r="CE85" s="1194">
        <f t="shared" si="234"/>
        <v>788480</v>
      </c>
      <c r="CF85" s="1200">
        <f t="shared" si="235"/>
        <v>3819074.4480643929</v>
      </c>
      <c r="CG85" s="757">
        <f t="shared" si="236"/>
        <v>3819074.4480643929</v>
      </c>
      <c r="CH85" s="758">
        <f t="shared" si="237"/>
        <v>0</v>
      </c>
      <c r="CI85" s="757">
        <f t="shared" si="185"/>
        <v>391455.13092660025</v>
      </c>
      <c r="CJ85" s="757">
        <f t="shared" si="186"/>
        <v>95476.861201609834</v>
      </c>
      <c r="CK85" s="759">
        <f t="shared" si="155"/>
        <v>4306006.4401926026</v>
      </c>
      <c r="CL85" s="764">
        <f t="shared" si="238"/>
        <v>0.125</v>
      </c>
      <c r="CM85" s="757">
        <f t="shared" si="239"/>
        <v>538250.80502407532</v>
      </c>
      <c r="CN85" s="757">
        <f t="shared" si="281"/>
        <v>30000</v>
      </c>
      <c r="CO85" s="757">
        <f t="shared" si="240"/>
        <v>508250.80502407532</v>
      </c>
      <c r="CP85" s="755">
        <f t="shared" si="241"/>
        <v>29</v>
      </c>
      <c r="CQ85" s="757">
        <f t="shared" si="283"/>
        <v>17525.889828416392</v>
      </c>
      <c r="CR85" s="764">
        <f t="shared" si="242"/>
        <v>0.875</v>
      </c>
      <c r="CS85" s="757">
        <f t="shared" si="243"/>
        <v>3767755.6351685273</v>
      </c>
      <c r="CT85" s="1101">
        <f t="shared" si="244"/>
        <v>29211.36933618176</v>
      </c>
      <c r="CU85" s="1101">
        <f t="shared" si="245"/>
        <v>33865.652825530153</v>
      </c>
      <c r="CV85" s="1101">
        <f t="shared" si="246"/>
        <v>43746.837686681865</v>
      </c>
      <c r="CW85" s="1141">
        <f t="shared" si="187"/>
        <v>74606.077383492782</v>
      </c>
      <c r="CX85" s="1152">
        <f t="shared" si="247"/>
        <v>306066.76610985096</v>
      </c>
      <c r="CY85" s="1152">
        <f t="shared" si="248"/>
        <v>121109.12841285109</v>
      </c>
      <c r="CZ85" s="1152">
        <f t="shared" si="249"/>
        <v>87475.408160448584</v>
      </c>
      <c r="DA85" s="1152">
        <f t="shared" si="250"/>
        <v>66572.812769898912</v>
      </c>
      <c r="DB85" s="1143">
        <f t="shared" si="188"/>
        <v>0.14114679474565434</v>
      </c>
      <c r="DC85" s="1143">
        <f t="shared" si="251"/>
        <v>0.26017337968252185</v>
      </c>
      <c r="DD85" s="1098" t="s">
        <v>232</v>
      </c>
      <c r="DE85" s="1144"/>
      <c r="DF85" s="705"/>
      <c r="DG85" s="765">
        <f t="shared" si="282"/>
        <v>46082</v>
      </c>
      <c r="DH85" s="1116">
        <f t="shared" si="189"/>
        <v>28</v>
      </c>
      <c r="DI85" s="497"/>
      <c r="DJ85" s="1117">
        <f t="shared" si="252"/>
        <v>46147</v>
      </c>
      <c r="DK85" s="1116">
        <f t="shared" si="253"/>
        <v>30</v>
      </c>
      <c r="DL85" s="766" t="s">
        <v>233</v>
      </c>
      <c r="DM85" s="766" t="s">
        <v>234</v>
      </c>
      <c r="DN85" s="767">
        <f t="shared" si="190"/>
        <v>21556.965015699934</v>
      </c>
      <c r="DO85" s="767">
        <f t="shared" si="191"/>
        <v>474253.23034539854</v>
      </c>
      <c r="DP85" s="768">
        <f t="shared" si="192"/>
        <v>0.15808441011513286</v>
      </c>
      <c r="DR85" s="767">
        <f t="shared" si="193"/>
        <v>3819074.4480643929</v>
      </c>
      <c r="DS85" s="767">
        <f>SUM('[6]INTERNAL PRICELIST'!M85)</f>
        <v>2331316</v>
      </c>
      <c r="DT85" s="767">
        <f t="shared" si="254"/>
        <v>1487758.4480643929</v>
      </c>
      <c r="DV85" s="951">
        <f t="shared" si="194"/>
        <v>173594.29309383605</v>
      </c>
      <c r="DX85" s="772">
        <v>8</v>
      </c>
      <c r="DY85" s="773" t="s">
        <v>271</v>
      </c>
      <c r="DZ85" s="772">
        <v>22.34</v>
      </c>
      <c r="EA85" s="775">
        <f t="shared" si="195"/>
        <v>0.33999999999999986</v>
      </c>
      <c r="ED85" s="755" t="s">
        <v>425</v>
      </c>
      <c r="EE85" s="777" t="b">
        <f t="shared" si="196"/>
        <v>1</v>
      </c>
      <c r="EF85" s="1123" t="s">
        <v>426</v>
      </c>
      <c r="EG85" s="1123" t="s">
        <v>394</v>
      </c>
      <c r="EH85" s="1203"/>
      <c r="EP85" s="1230" t="s">
        <v>236</v>
      </c>
      <c r="EQ85" s="1145" t="s">
        <v>236</v>
      </c>
      <c r="ER85" s="753" t="b">
        <f t="shared" si="255"/>
        <v>1</v>
      </c>
      <c r="EU85" s="770">
        <v>2430561</v>
      </c>
      <c r="EV85" s="771" t="s">
        <v>236</v>
      </c>
      <c r="EZ85" s="520"/>
      <c r="FA85" s="778"/>
      <c r="FG85" s="1107"/>
      <c r="FJ85" s="994">
        <v>0.15</v>
      </c>
      <c r="FK85" s="993">
        <v>12931.189511786559</v>
      </c>
      <c r="FL85" s="993">
        <v>13280.681120213221</v>
      </c>
      <c r="FM85" s="497"/>
      <c r="FN85" s="993">
        <f t="shared" si="197"/>
        <v>4306006.4401926026</v>
      </c>
      <c r="FO85" s="994">
        <f t="shared" si="256"/>
        <v>0.15</v>
      </c>
      <c r="FP85" s="775">
        <f t="shared" si="198"/>
        <v>645900.96602889034</v>
      </c>
      <c r="FQ85" s="993">
        <f t="shared" si="199"/>
        <v>30000</v>
      </c>
      <c r="FR85" s="775">
        <f t="shared" si="257"/>
        <v>615900.96602889034</v>
      </c>
      <c r="FS85" s="497">
        <f t="shared" si="258"/>
        <v>40</v>
      </c>
      <c r="FT85" s="775">
        <f t="shared" si="259"/>
        <v>15397.524150722258</v>
      </c>
      <c r="FU85" s="497"/>
      <c r="FV85" s="993">
        <f t="shared" si="260"/>
        <v>4306006.4401926026</v>
      </c>
      <c r="FW85" s="705">
        <f t="shared" si="261"/>
        <v>430600.6440192603</v>
      </c>
      <c r="FX85" s="705">
        <f t="shared" si="262"/>
        <v>107650.16100481508</v>
      </c>
      <c r="FY85" s="705">
        <v>15000</v>
      </c>
      <c r="FZ85" s="705">
        <f t="shared" si="263"/>
        <v>415600.6440192603</v>
      </c>
      <c r="GA85" s="497">
        <f t="shared" si="264"/>
        <v>46</v>
      </c>
      <c r="GB85" s="775">
        <f t="shared" si="265"/>
        <v>9034.7966091143553</v>
      </c>
      <c r="GC85" s="497"/>
      <c r="GD85" s="497"/>
      <c r="GE85" s="1107"/>
      <c r="GH85" s="1095">
        <f t="shared" si="161"/>
        <v>4306006.4401926026</v>
      </c>
      <c r="GI85" s="1098">
        <f t="shared" si="162"/>
        <v>0.125</v>
      </c>
      <c r="GJ85" s="1095">
        <f t="shared" si="163"/>
        <v>538250.80502407532</v>
      </c>
      <c r="GK85" s="1095">
        <f t="shared" si="164"/>
        <v>30000</v>
      </c>
      <c r="GL85" s="1095">
        <f t="shared" si="165"/>
        <v>508250.80502407532</v>
      </c>
      <c r="GM85" s="1095">
        <f t="shared" si="166"/>
        <v>29</v>
      </c>
      <c r="GN85" s="1095">
        <f t="shared" si="167"/>
        <v>17525.889828416392</v>
      </c>
      <c r="GO85" s="1098">
        <f t="shared" si="168"/>
        <v>0.875</v>
      </c>
      <c r="GP85" s="1095">
        <f t="shared" si="169"/>
        <v>3767755.6351685273</v>
      </c>
      <c r="GQ85" s="1095">
        <f t="shared" si="170"/>
        <v>29211.36933618176</v>
      </c>
      <c r="GR85" s="1095">
        <f t="shared" si="171"/>
        <v>33865.652825530153</v>
      </c>
      <c r="GS85" s="1095">
        <f t="shared" si="172"/>
        <v>43746.837686681865</v>
      </c>
      <c r="GT85" s="1095">
        <f t="shared" si="173"/>
        <v>74606.077383492782</v>
      </c>
      <c r="GU85" s="497"/>
      <c r="GV85" s="1095">
        <f t="shared" si="266"/>
        <v>4306006.4401926026</v>
      </c>
      <c r="GW85" s="1098">
        <f t="shared" si="267"/>
        <v>0.125</v>
      </c>
      <c r="GX85" s="1095">
        <f t="shared" si="268"/>
        <v>538250.80502407532</v>
      </c>
      <c r="GY85" s="1095">
        <f t="shared" si="269"/>
        <v>30000</v>
      </c>
      <c r="GZ85" s="1095">
        <f t="shared" si="270"/>
        <v>508250.80502407532</v>
      </c>
      <c r="HA85" s="1106">
        <f t="shared" si="271"/>
        <v>48</v>
      </c>
      <c r="HB85" s="770">
        <f t="shared" si="272"/>
        <v>10588.55843800157</v>
      </c>
      <c r="HC85" s="1098">
        <f t="shared" si="273"/>
        <v>0.875</v>
      </c>
      <c r="HD85" s="1102">
        <f t="shared" si="274"/>
        <v>3767755.6351685273</v>
      </c>
      <c r="HE85" s="1101">
        <f t="shared" si="275"/>
        <v>29211.36933618176</v>
      </c>
      <c r="HF85" s="1101">
        <f t="shared" si="276"/>
        <v>33865.652825530153</v>
      </c>
      <c r="HG85" s="1101">
        <f t="shared" si="277"/>
        <v>43746.837686681865</v>
      </c>
      <c r="HH85" s="1101">
        <f t="shared" si="278"/>
        <v>74606.077383492782</v>
      </c>
      <c r="HI85" s="497"/>
      <c r="HJ85" s="1102">
        <f t="shared" si="279"/>
        <v>-6937.3313904148217</v>
      </c>
      <c r="HL85" s="775"/>
      <c r="HN85" s="775"/>
      <c r="HO85" s="775"/>
      <c r="HQ85" s="702"/>
      <c r="HR85" s="1171"/>
      <c r="HS85" s="702"/>
      <c r="HT85" s="1171"/>
    </row>
    <row r="86" spans="1:228" ht="14.25" hidden="1" customHeight="1">
      <c r="A86" s="753">
        <f t="shared" si="280"/>
        <v>80</v>
      </c>
      <c r="B86" s="753" t="s">
        <v>236</v>
      </c>
      <c r="C86" s="753">
        <f t="shared" si="174"/>
        <v>18</v>
      </c>
      <c r="D86" s="753" t="s">
        <v>260</v>
      </c>
      <c r="E86" s="717" t="str">
        <f t="shared" si="200"/>
        <v>5th Floor</v>
      </c>
      <c r="F86" s="754"/>
      <c r="G86" s="756" t="s">
        <v>427</v>
      </c>
      <c r="H86" s="756"/>
      <c r="I86" s="755" t="s">
        <v>229</v>
      </c>
      <c r="J86" s="757">
        <v>22</v>
      </c>
      <c r="K86" s="758"/>
      <c r="L86" s="759" t="s">
        <v>69</v>
      </c>
      <c r="M86" s="760" t="s">
        <v>68</v>
      </c>
      <c r="N86" s="761">
        <f t="shared" si="201"/>
        <v>106005.26567735759</v>
      </c>
      <c r="O86" s="762">
        <f t="shared" si="202"/>
        <v>2332115.8449018667</v>
      </c>
      <c r="P86" s="762">
        <f t="shared" si="203"/>
        <v>22400</v>
      </c>
      <c r="Q86" s="762">
        <f t="shared" si="175"/>
        <v>50000</v>
      </c>
      <c r="R86" s="762"/>
      <c r="S86" s="762"/>
      <c r="T86" s="762"/>
      <c r="U86" s="762"/>
      <c r="V86" s="762"/>
      <c r="W86" s="762"/>
      <c r="X86" s="762"/>
      <c r="Y86" s="762">
        <f t="shared" si="176"/>
        <v>20000</v>
      </c>
      <c r="Z86" s="762">
        <f t="shared" si="177"/>
        <v>142461</v>
      </c>
      <c r="AA86" s="762">
        <v>45722.732758620688</v>
      </c>
      <c r="AB86" s="762"/>
      <c r="AC86" s="762"/>
      <c r="AD86" s="763">
        <f t="shared" si="204"/>
        <v>280583.7327586207</v>
      </c>
      <c r="AE86" s="763">
        <f t="shared" si="178"/>
        <v>2612699.5776604875</v>
      </c>
      <c r="AF86" s="762">
        <f t="shared" si="179"/>
        <v>65317.489441512189</v>
      </c>
      <c r="AG86" s="762">
        <f t="shared" si="205"/>
        <v>2678017.0671019997</v>
      </c>
      <c r="AH86" s="762">
        <f t="shared" si="180"/>
        <v>66950.42667755</v>
      </c>
      <c r="AI86" s="762">
        <f t="shared" si="206"/>
        <v>2744967.4937795498</v>
      </c>
      <c r="AJ86" s="762">
        <f t="shared" si="207"/>
        <v>137248.37468897749</v>
      </c>
      <c r="AK86" s="762">
        <f t="shared" si="208"/>
        <v>2882215.8684685272</v>
      </c>
      <c r="AL86" s="762">
        <f t="shared" si="209"/>
        <v>28822.158684685273</v>
      </c>
      <c r="AM86" s="762">
        <f t="shared" si="210"/>
        <v>27537.409960060559</v>
      </c>
      <c r="AN86" s="762"/>
      <c r="AO86" s="763">
        <f t="shared" si="211"/>
        <v>2938575.437113273</v>
      </c>
      <c r="AP86" s="763">
        <f t="shared" si="212"/>
        <v>484864.94712369004</v>
      </c>
      <c r="AQ86" s="763">
        <f t="shared" si="213"/>
        <v>3423440.384236963</v>
      </c>
      <c r="AR86" s="1178">
        <f t="shared" si="181"/>
        <v>3000000</v>
      </c>
      <c r="AS86" s="1178">
        <f t="shared" si="214"/>
        <v>19247.290192589226</v>
      </c>
      <c r="AT86" s="1178">
        <f t="shared" si="215"/>
        <v>423440.384236963</v>
      </c>
      <c r="AU86" s="1178">
        <f t="shared" si="182"/>
        <v>50812.846108435559</v>
      </c>
      <c r="AV86" s="1178">
        <f t="shared" si="216"/>
        <v>474253.23034539854</v>
      </c>
      <c r="AW86" s="1178">
        <f t="shared" si="217"/>
        <v>3474253.2303453987</v>
      </c>
      <c r="AX86" s="762">
        <f t="shared" si="218"/>
        <v>43428.165379317485</v>
      </c>
      <c r="AY86" s="717" t="s">
        <v>231</v>
      </c>
      <c r="AZ86" s="717">
        <f t="shared" si="219"/>
        <v>3517681.3957247161</v>
      </c>
      <c r="BA86" s="717">
        <f t="shared" si="220"/>
        <v>131913.05233967685</v>
      </c>
      <c r="BB86" s="717"/>
      <c r="BC86" s="717">
        <f t="shared" si="183"/>
        <v>33600</v>
      </c>
      <c r="BD86" s="717">
        <f t="shared" si="221"/>
        <v>3683194.4480643929</v>
      </c>
      <c r="BE86" s="717"/>
      <c r="BF86" s="717">
        <f t="shared" si="222"/>
        <v>3683194.4480643929</v>
      </c>
      <c r="BG86" s="1209"/>
      <c r="BH86" s="717">
        <f t="shared" si="223"/>
        <v>3683194.4480643929</v>
      </c>
      <c r="BI86" s="717"/>
      <c r="BJ86" s="717">
        <f t="shared" si="224"/>
        <v>3683194.4480643929</v>
      </c>
      <c r="BK86" s="717"/>
      <c r="BL86" s="717">
        <f t="shared" si="225"/>
        <v>3683194.4480643929</v>
      </c>
      <c r="BM86" s="717"/>
      <c r="BN86" s="717">
        <f t="shared" si="226"/>
        <v>3683194.4480643929</v>
      </c>
      <c r="BO86" s="717"/>
      <c r="BP86" s="717">
        <f t="shared" si="184"/>
        <v>3683194.4480643929</v>
      </c>
      <c r="BQ86" s="717"/>
      <c r="BR86" s="717">
        <f t="shared" si="285"/>
        <v>3683194.4480643929</v>
      </c>
      <c r="BS86" s="717"/>
      <c r="BT86" s="717">
        <f t="shared" si="227"/>
        <v>3683194.4480643929</v>
      </c>
      <c r="BU86" s="717"/>
      <c r="BV86" s="1235">
        <f t="shared" si="286"/>
        <v>51400</v>
      </c>
      <c r="BW86" s="717">
        <f t="shared" si="228"/>
        <v>3734594.4480643929</v>
      </c>
      <c r="BX86" s="717"/>
      <c r="BY86" s="717">
        <f t="shared" si="229"/>
        <v>3734594.4480643929</v>
      </c>
      <c r="BZ86" s="1194">
        <f t="shared" si="230"/>
        <v>3734594.4480643929</v>
      </c>
      <c r="CA86" s="1194">
        <f t="shared" si="231"/>
        <v>3030594.4480643929</v>
      </c>
      <c r="CB86" s="1194">
        <v>32000</v>
      </c>
      <c r="CC86" s="1194">
        <f t="shared" si="232"/>
        <v>704000</v>
      </c>
      <c r="CD86" s="1194">
        <f t="shared" si="233"/>
        <v>84480</v>
      </c>
      <c r="CE86" s="1194">
        <f t="shared" si="234"/>
        <v>788480</v>
      </c>
      <c r="CF86" s="1200">
        <f t="shared" si="235"/>
        <v>3819074.4480643929</v>
      </c>
      <c r="CG86" s="757">
        <f t="shared" si="236"/>
        <v>3819074.4480643929</v>
      </c>
      <c r="CH86" s="758">
        <f t="shared" si="237"/>
        <v>0</v>
      </c>
      <c r="CI86" s="757">
        <f t="shared" si="185"/>
        <v>391455.13092660025</v>
      </c>
      <c r="CJ86" s="757">
        <f t="shared" si="186"/>
        <v>95476.861201609834</v>
      </c>
      <c r="CK86" s="759">
        <f t="shared" si="155"/>
        <v>4306006.4401926026</v>
      </c>
      <c r="CL86" s="764">
        <f t="shared" si="238"/>
        <v>0.125</v>
      </c>
      <c r="CM86" s="757">
        <f t="shared" si="239"/>
        <v>538250.80502407532</v>
      </c>
      <c r="CN86" s="757">
        <f t="shared" si="281"/>
        <v>30000</v>
      </c>
      <c r="CO86" s="757">
        <f t="shared" si="240"/>
        <v>508250.80502407532</v>
      </c>
      <c r="CP86" s="755">
        <f t="shared" si="241"/>
        <v>29</v>
      </c>
      <c r="CQ86" s="757">
        <f t="shared" si="283"/>
        <v>17525.889828416392</v>
      </c>
      <c r="CR86" s="764">
        <f t="shared" si="242"/>
        <v>0.875</v>
      </c>
      <c r="CS86" s="757">
        <f t="shared" si="243"/>
        <v>3767755.6351685273</v>
      </c>
      <c r="CT86" s="1101">
        <f t="shared" si="244"/>
        <v>29211.36933618176</v>
      </c>
      <c r="CU86" s="1101">
        <f t="shared" si="245"/>
        <v>33865.652825530153</v>
      </c>
      <c r="CV86" s="1101">
        <f t="shared" si="246"/>
        <v>43746.837686681865</v>
      </c>
      <c r="CW86" s="1141">
        <f t="shared" si="187"/>
        <v>74606.077383492782</v>
      </c>
      <c r="CX86" s="1152">
        <f t="shared" si="247"/>
        <v>306066.76610985096</v>
      </c>
      <c r="CY86" s="1152">
        <f t="shared" si="248"/>
        <v>121109.12841285109</v>
      </c>
      <c r="CZ86" s="1152">
        <f t="shared" si="249"/>
        <v>87475.408160448584</v>
      </c>
      <c r="DA86" s="1152">
        <f t="shared" si="250"/>
        <v>66572.812769898912</v>
      </c>
      <c r="DB86" s="1143">
        <f t="shared" si="188"/>
        <v>0.14114679474565434</v>
      </c>
      <c r="DC86" s="1143">
        <f t="shared" si="251"/>
        <v>0.26017337968252185</v>
      </c>
      <c r="DD86" s="1098" t="s">
        <v>232</v>
      </c>
      <c r="DE86" s="1144"/>
      <c r="DF86" s="705"/>
      <c r="DG86" s="765">
        <f t="shared" si="282"/>
        <v>46082</v>
      </c>
      <c r="DH86" s="1116">
        <f t="shared" si="189"/>
        <v>28</v>
      </c>
      <c r="DI86" s="497"/>
      <c r="DJ86" s="1117">
        <f t="shared" si="252"/>
        <v>46147</v>
      </c>
      <c r="DK86" s="1116">
        <f t="shared" si="253"/>
        <v>30</v>
      </c>
      <c r="DL86" s="766" t="s">
        <v>233</v>
      </c>
      <c r="DM86" s="766" t="s">
        <v>234</v>
      </c>
      <c r="DN86" s="767">
        <f t="shared" si="190"/>
        <v>21556.965015699934</v>
      </c>
      <c r="DO86" s="767">
        <f t="shared" si="191"/>
        <v>474253.23034539854</v>
      </c>
      <c r="DP86" s="768">
        <f t="shared" si="192"/>
        <v>0.15808441011513286</v>
      </c>
      <c r="DR86" s="767">
        <f t="shared" si="193"/>
        <v>3819074.4480643929</v>
      </c>
      <c r="DS86" s="767">
        <f>SUM('[6]INTERNAL PRICELIST'!M86)</f>
        <v>2329361</v>
      </c>
      <c r="DT86" s="767">
        <f t="shared" si="254"/>
        <v>1489713.4480643929</v>
      </c>
      <c r="DV86" s="951">
        <f t="shared" si="194"/>
        <v>173594.29309383605</v>
      </c>
      <c r="DX86" s="772">
        <v>9</v>
      </c>
      <c r="DY86" s="773" t="s">
        <v>274</v>
      </c>
      <c r="DZ86" s="774">
        <v>22</v>
      </c>
      <c r="EA86" s="775">
        <f t="shared" si="195"/>
        <v>0</v>
      </c>
      <c r="ED86" s="755" t="s">
        <v>427</v>
      </c>
      <c r="EE86" s="777" t="b">
        <f t="shared" si="196"/>
        <v>1</v>
      </c>
      <c r="EF86" s="1123" t="s">
        <v>428</v>
      </c>
      <c r="EG86" s="1123" t="s">
        <v>394</v>
      </c>
      <c r="EH86" s="1203"/>
      <c r="EP86" s="1230" t="s">
        <v>236</v>
      </c>
      <c r="EQ86" s="1145" t="s">
        <v>236</v>
      </c>
      <c r="ER86" s="753" t="b">
        <f t="shared" si="255"/>
        <v>1</v>
      </c>
      <c r="EU86" s="770">
        <v>2221760</v>
      </c>
      <c r="EV86" s="771" t="s">
        <v>236</v>
      </c>
      <c r="EZ86" s="520"/>
      <c r="FA86" s="778"/>
      <c r="FG86" s="1107"/>
      <c r="FJ86" s="994">
        <v>0.15</v>
      </c>
      <c r="FK86" s="993">
        <v>12931.189511786559</v>
      </c>
      <c r="FL86" s="993">
        <v>13280.681120213221</v>
      </c>
      <c r="FM86" s="497"/>
      <c r="FN86" s="993">
        <f t="shared" si="197"/>
        <v>4306006.4401926026</v>
      </c>
      <c r="FO86" s="994">
        <f t="shared" si="256"/>
        <v>0.15</v>
      </c>
      <c r="FP86" s="775">
        <f t="shared" si="198"/>
        <v>645900.96602889034</v>
      </c>
      <c r="FQ86" s="993">
        <f t="shared" si="199"/>
        <v>30000</v>
      </c>
      <c r="FR86" s="775">
        <f t="shared" si="257"/>
        <v>615900.96602889034</v>
      </c>
      <c r="FS86" s="497">
        <f t="shared" si="258"/>
        <v>40</v>
      </c>
      <c r="FT86" s="775">
        <f t="shared" si="259"/>
        <v>15397.524150722258</v>
      </c>
      <c r="FU86" s="497"/>
      <c r="FV86" s="993">
        <f t="shared" si="260"/>
        <v>4306006.4401926026</v>
      </c>
      <c r="FW86" s="705">
        <f t="shared" si="261"/>
        <v>430600.6440192603</v>
      </c>
      <c r="FX86" s="705">
        <f t="shared" si="262"/>
        <v>107650.16100481508</v>
      </c>
      <c r="FY86" s="705">
        <v>15000</v>
      </c>
      <c r="FZ86" s="705">
        <f t="shared" si="263"/>
        <v>415600.6440192603</v>
      </c>
      <c r="GA86" s="497">
        <f t="shared" si="264"/>
        <v>46</v>
      </c>
      <c r="GB86" s="775">
        <f t="shared" si="265"/>
        <v>9034.7966091143553</v>
      </c>
      <c r="GC86" s="497"/>
      <c r="GD86" s="497"/>
      <c r="GE86" s="1107"/>
      <c r="GH86" s="1095">
        <f t="shared" si="161"/>
        <v>4306006.4401926026</v>
      </c>
      <c r="GI86" s="1098">
        <f t="shared" si="162"/>
        <v>0.125</v>
      </c>
      <c r="GJ86" s="1095">
        <f t="shared" si="163"/>
        <v>538250.80502407532</v>
      </c>
      <c r="GK86" s="1095">
        <f t="shared" si="164"/>
        <v>30000</v>
      </c>
      <c r="GL86" s="1095">
        <f t="shared" si="165"/>
        <v>508250.80502407532</v>
      </c>
      <c r="GM86" s="1095">
        <f t="shared" si="166"/>
        <v>29</v>
      </c>
      <c r="GN86" s="1095">
        <f t="shared" si="167"/>
        <v>17525.889828416392</v>
      </c>
      <c r="GO86" s="1098">
        <f t="shared" si="168"/>
        <v>0.875</v>
      </c>
      <c r="GP86" s="1095">
        <f t="shared" si="169"/>
        <v>3767755.6351685273</v>
      </c>
      <c r="GQ86" s="1095">
        <f t="shared" si="170"/>
        <v>29211.36933618176</v>
      </c>
      <c r="GR86" s="1095">
        <f t="shared" si="171"/>
        <v>33865.652825530153</v>
      </c>
      <c r="GS86" s="1095">
        <f t="shared" si="172"/>
        <v>43746.837686681865</v>
      </c>
      <c r="GT86" s="1095">
        <f t="shared" si="173"/>
        <v>74606.077383492782</v>
      </c>
      <c r="GU86" s="497"/>
      <c r="GV86" s="1095">
        <f t="shared" si="266"/>
        <v>4306006.4401926026</v>
      </c>
      <c r="GW86" s="1098">
        <f t="shared" si="267"/>
        <v>0.125</v>
      </c>
      <c r="GX86" s="1095">
        <f t="shared" si="268"/>
        <v>538250.80502407532</v>
      </c>
      <c r="GY86" s="1095">
        <f t="shared" si="269"/>
        <v>30000</v>
      </c>
      <c r="GZ86" s="1095">
        <f t="shared" si="270"/>
        <v>508250.80502407532</v>
      </c>
      <c r="HA86" s="1106">
        <f t="shared" si="271"/>
        <v>48</v>
      </c>
      <c r="HB86" s="770">
        <f t="shared" si="272"/>
        <v>10588.55843800157</v>
      </c>
      <c r="HC86" s="1098">
        <f t="shared" si="273"/>
        <v>0.875</v>
      </c>
      <c r="HD86" s="1102">
        <f t="shared" si="274"/>
        <v>3767755.6351685273</v>
      </c>
      <c r="HE86" s="1101">
        <f t="shared" si="275"/>
        <v>29211.36933618176</v>
      </c>
      <c r="HF86" s="1101">
        <f t="shared" si="276"/>
        <v>33865.652825530153</v>
      </c>
      <c r="HG86" s="1101">
        <f t="shared" si="277"/>
        <v>43746.837686681865</v>
      </c>
      <c r="HH86" s="1101">
        <f t="shared" si="278"/>
        <v>74606.077383492782</v>
      </c>
      <c r="HI86" s="497"/>
      <c r="HJ86" s="1102">
        <f t="shared" si="279"/>
        <v>-6937.3313904148217</v>
      </c>
      <c r="HL86" s="775"/>
      <c r="HN86" s="775"/>
      <c r="HO86" s="775"/>
      <c r="HQ86" s="702"/>
      <c r="HR86" s="1171"/>
      <c r="HS86" s="702"/>
      <c r="HT86" s="1171"/>
    </row>
    <row r="87" spans="1:228" ht="14.25" hidden="1" customHeight="1">
      <c r="A87" s="753">
        <f t="shared" si="280"/>
        <v>81</v>
      </c>
      <c r="B87" s="753" t="s">
        <v>236</v>
      </c>
      <c r="C87" s="753">
        <f t="shared" si="174"/>
        <v>19</v>
      </c>
      <c r="D87" s="753" t="s">
        <v>260</v>
      </c>
      <c r="E87" s="717" t="str">
        <f t="shared" si="200"/>
        <v>5th Floor</v>
      </c>
      <c r="F87" s="754"/>
      <c r="G87" s="756" t="s">
        <v>429</v>
      </c>
      <c r="H87" s="756"/>
      <c r="I87" s="755" t="s">
        <v>229</v>
      </c>
      <c r="J87" s="757">
        <v>22</v>
      </c>
      <c r="K87" s="758"/>
      <c r="L87" s="759" t="s">
        <v>69</v>
      </c>
      <c r="M87" s="760" t="s">
        <v>68</v>
      </c>
      <c r="N87" s="761">
        <f t="shared" si="201"/>
        <v>106005.26567735759</v>
      </c>
      <c r="O87" s="762">
        <f t="shared" si="202"/>
        <v>2332115.8449018667</v>
      </c>
      <c r="P87" s="762">
        <f t="shared" si="203"/>
        <v>22400</v>
      </c>
      <c r="Q87" s="762">
        <f t="shared" si="175"/>
        <v>50000</v>
      </c>
      <c r="R87" s="762"/>
      <c r="S87" s="762"/>
      <c r="T87" s="762"/>
      <c r="U87" s="762"/>
      <c r="V87" s="762"/>
      <c r="W87" s="762"/>
      <c r="X87" s="762"/>
      <c r="Y87" s="762">
        <f t="shared" si="176"/>
        <v>20000</v>
      </c>
      <c r="Z87" s="762">
        <f t="shared" si="177"/>
        <v>142461</v>
      </c>
      <c r="AA87" s="762">
        <v>94655.072758620692</v>
      </c>
      <c r="AB87" s="762"/>
      <c r="AC87" s="762"/>
      <c r="AD87" s="763">
        <f t="shared" si="204"/>
        <v>329516.07275862072</v>
      </c>
      <c r="AE87" s="763">
        <f t="shared" si="178"/>
        <v>2661631.9176604874</v>
      </c>
      <c r="AF87" s="762">
        <f t="shared" si="179"/>
        <v>66540.797941512181</v>
      </c>
      <c r="AG87" s="762">
        <f t="shared" si="205"/>
        <v>2728172.7156019993</v>
      </c>
      <c r="AH87" s="762">
        <f t="shared" si="180"/>
        <v>68204.317890049992</v>
      </c>
      <c r="AI87" s="762">
        <f t="shared" si="206"/>
        <v>2796377.0334920492</v>
      </c>
      <c r="AJ87" s="762">
        <f t="shared" si="207"/>
        <v>139818.85167460245</v>
      </c>
      <c r="AK87" s="762">
        <f t="shared" si="208"/>
        <v>2936195.8851666516</v>
      </c>
      <c r="AL87" s="762">
        <f t="shared" si="209"/>
        <v>29361.958851666517</v>
      </c>
      <c r="AM87" s="762">
        <f t="shared" si="210"/>
        <v>27537.409960060559</v>
      </c>
      <c r="AN87" s="762"/>
      <c r="AO87" s="763">
        <f t="shared" si="211"/>
        <v>2993095.2539783786</v>
      </c>
      <c r="AP87" s="763">
        <f t="shared" si="212"/>
        <v>493860.71690643247</v>
      </c>
      <c r="AQ87" s="763">
        <f t="shared" si="213"/>
        <v>3486955.9708848111</v>
      </c>
      <c r="AR87" s="1178">
        <f t="shared" si="181"/>
        <v>3000000</v>
      </c>
      <c r="AS87" s="1178">
        <f t="shared" si="214"/>
        <v>22134.362312945959</v>
      </c>
      <c r="AT87" s="1178">
        <f t="shared" si="215"/>
        <v>486955.97088481113</v>
      </c>
      <c r="AU87" s="1178">
        <f t="shared" si="182"/>
        <v>58434.716506177334</v>
      </c>
      <c r="AV87" s="1178">
        <f t="shared" si="216"/>
        <v>545390.68739098846</v>
      </c>
      <c r="AW87" s="1178">
        <f t="shared" si="217"/>
        <v>3545390.6873909887</v>
      </c>
      <c r="AX87" s="762">
        <f t="shared" si="218"/>
        <v>44317.383592387363</v>
      </c>
      <c r="AY87" s="717">
        <v>7575.3956645161297</v>
      </c>
      <c r="AZ87" s="717">
        <f t="shared" si="219"/>
        <v>3597283.4666478918</v>
      </c>
      <c r="BA87" s="717">
        <f t="shared" si="220"/>
        <v>134898.12999929592</v>
      </c>
      <c r="BB87" s="717"/>
      <c r="BC87" s="717">
        <f t="shared" si="183"/>
        <v>33600</v>
      </c>
      <c r="BD87" s="717">
        <f t="shared" si="221"/>
        <v>3765781.5966471876</v>
      </c>
      <c r="BE87" s="717">
        <v>18367.830916129038</v>
      </c>
      <c r="BF87" s="717">
        <f t="shared" si="222"/>
        <v>3784149.4275633167</v>
      </c>
      <c r="BG87" s="1209"/>
      <c r="BH87" s="717">
        <f t="shared" si="223"/>
        <v>3784149.4275633167</v>
      </c>
      <c r="BI87" s="717">
        <v>718.43902439024396</v>
      </c>
      <c r="BJ87" s="717">
        <f t="shared" si="224"/>
        <v>3784867.8665877068</v>
      </c>
      <c r="BK87" s="717"/>
      <c r="BL87" s="717">
        <f t="shared" si="225"/>
        <v>3784867.8665877068</v>
      </c>
      <c r="BM87" s="717">
        <f>$BM$5/41</f>
        <v>1038.0487804878051</v>
      </c>
      <c r="BN87" s="717">
        <f t="shared" si="226"/>
        <v>3785905.9153681947</v>
      </c>
      <c r="BO87" s="717"/>
      <c r="BP87" s="717">
        <f t="shared" si="184"/>
        <v>3785905.9153681947</v>
      </c>
      <c r="BQ87" s="717"/>
      <c r="BR87" s="717">
        <f t="shared" si="285"/>
        <v>3785905.9153681947</v>
      </c>
      <c r="BS87" s="717"/>
      <c r="BT87" s="717">
        <f t="shared" si="227"/>
        <v>3785905.9153681947</v>
      </c>
      <c r="BU87" s="717"/>
      <c r="BV87" s="1235">
        <f t="shared" si="286"/>
        <v>51400</v>
      </c>
      <c r="BW87" s="717">
        <f t="shared" si="228"/>
        <v>3837305.9153681947</v>
      </c>
      <c r="BX87" s="717"/>
      <c r="BY87" s="717">
        <f t="shared" si="229"/>
        <v>3837305.9153681947</v>
      </c>
      <c r="BZ87" s="1194">
        <f t="shared" si="230"/>
        <v>3837305.9153681947</v>
      </c>
      <c r="CA87" s="1194">
        <f t="shared" si="231"/>
        <v>3034305.9153681947</v>
      </c>
      <c r="CB87" s="1194">
        <v>36500</v>
      </c>
      <c r="CC87" s="1194">
        <f t="shared" si="232"/>
        <v>803000</v>
      </c>
      <c r="CD87" s="1194">
        <f t="shared" si="233"/>
        <v>96360</v>
      </c>
      <c r="CE87" s="1194">
        <f t="shared" si="234"/>
        <v>899360</v>
      </c>
      <c r="CF87" s="1200">
        <f t="shared" si="235"/>
        <v>3933665.9153681947</v>
      </c>
      <c r="CG87" s="757">
        <f t="shared" si="236"/>
        <v>3933665.9153681947</v>
      </c>
      <c r="CH87" s="758">
        <f t="shared" si="237"/>
        <v>0</v>
      </c>
      <c r="CI87" s="757">
        <f t="shared" si="185"/>
        <v>403200.75632523996</v>
      </c>
      <c r="CJ87" s="757">
        <f t="shared" si="186"/>
        <v>98341.647884204867</v>
      </c>
      <c r="CK87" s="759">
        <f t="shared" si="155"/>
        <v>4435208.3195776399</v>
      </c>
      <c r="CL87" s="764">
        <f t="shared" si="238"/>
        <v>0.125</v>
      </c>
      <c r="CM87" s="757">
        <f t="shared" si="239"/>
        <v>554401.03994720499</v>
      </c>
      <c r="CN87" s="757">
        <f t="shared" si="281"/>
        <v>30000</v>
      </c>
      <c r="CO87" s="757">
        <f t="shared" si="240"/>
        <v>524401.03994720499</v>
      </c>
      <c r="CP87" s="755">
        <f t="shared" si="241"/>
        <v>29</v>
      </c>
      <c r="CQ87" s="757">
        <f t="shared" si="283"/>
        <v>18082.794480938104</v>
      </c>
      <c r="CR87" s="764">
        <f t="shared" si="242"/>
        <v>0.875</v>
      </c>
      <c r="CS87" s="757">
        <f t="shared" si="243"/>
        <v>3880807.2796304347</v>
      </c>
      <c r="CT87" s="1101">
        <f t="shared" si="244"/>
        <v>30087.857532394562</v>
      </c>
      <c r="CU87" s="1101">
        <f t="shared" si="245"/>
        <v>34881.792966617344</v>
      </c>
      <c r="CV87" s="1101">
        <f t="shared" si="246"/>
        <v>45059.463137845531</v>
      </c>
      <c r="CW87" s="1141">
        <f t="shared" si="187"/>
        <v>76844.635440796017</v>
      </c>
      <c r="CX87" s="1152">
        <f t="shared" si="247"/>
        <v>315250.31052575866</v>
      </c>
      <c r="CY87" s="1152">
        <f t="shared" si="248"/>
        <v>124743.0122026125</v>
      </c>
      <c r="CZ87" s="1152">
        <f t="shared" si="249"/>
        <v>90100.11095438998</v>
      </c>
      <c r="DA87" s="1152">
        <f t="shared" si="250"/>
        <v>68570.332431164061</v>
      </c>
      <c r="DB87" s="1143">
        <f t="shared" si="188"/>
        <v>0.16231865696160372</v>
      </c>
      <c r="DC87" s="1143">
        <f t="shared" si="251"/>
        <v>0.29639727340770389</v>
      </c>
      <c r="DD87" s="1098" t="s">
        <v>232</v>
      </c>
      <c r="DE87" s="1144"/>
      <c r="DF87" s="705"/>
      <c r="DG87" s="765">
        <f t="shared" si="282"/>
        <v>46082</v>
      </c>
      <c r="DH87" s="1116">
        <f t="shared" si="189"/>
        <v>28</v>
      </c>
      <c r="DI87" s="497"/>
      <c r="DJ87" s="1117">
        <f t="shared" si="252"/>
        <v>46147</v>
      </c>
      <c r="DK87" s="1116">
        <f t="shared" si="253"/>
        <v>30</v>
      </c>
      <c r="DL87" s="766" t="s">
        <v>233</v>
      </c>
      <c r="DM87" s="766" t="s">
        <v>234</v>
      </c>
      <c r="DN87" s="767">
        <f t="shared" si="190"/>
        <v>24790.485790499475</v>
      </c>
      <c r="DO87" s="767">
        <f t="shared" si="191"/>
        <v>545390.68739098846</v>
      </c>
      <c r="DP87" s="768">
        <f t="shared" si="192"/>
        <v>0.18179689579699615</v>
      </c>
      <c r="DR87" s="767">
        <f t="shared" si="193"/>
        <v>3933665.9153681947</v>
      </c>
      <c r="DS87" s="767">
        <f>SUM('[6]INTERNAL PRICELIST'!M87)</f>
        <v>2329361</v>
      </c>
      <c r="DT87" s="767">
        <f t="shared" si="254"/>
        <v>1604304.9153681947</v>
      </c>
      <c r="DV87" s="951">
        <f t="shared" si="194"/>
        <v>178802.99615309975</v>
      </c>
      <c r="DX87" s="772">
        <v>10</v>
      </c>
      <c r="DY87" s="773" t="s">
        <v>279</v>
      </c>
      <c r="DZ87" s="774">
        <v>22</v>
      </c>
      <c r="EA87" s="775">
        <f t="shared" si="195"/>
        <v>0</v>
      </c>
      <c r="ED87" s="755" t="s">
        <v>429</v>
      </c>
      <c r="EE87" s="777" t="b">
        <f t="shared" si="196"/>
        <v>1</v>
      </c>
      <c r="EF87" s="1123" t="s">
        <v>430</v>
      </c>
      <c r="EG87" s="1123" t="s">
        <v>394</v>
      </c>
      <c r="EH87" s="1203"/>
      <c r="EP87" s="1230" t="s">
        <v>236</v>
      </c>
      <c r="EQ87" s="1145" t="s">
        <v>236</v>
      </c>
      <c r="ER87" s="753" t="b">
        <f t="shared" si="255"/>
        <v>1</v>
      </c>
      <c r="EU87" s="770">
        <v>2221760</v>
      </c>
      <c r="EV87" s="771" t="s">
        <v>236</v>
      </c>
      <c r="EZ87" s="520"/>
      <c r="FA87" s="778"/>
      <c r="FG87" s="1107"/>
      <c r="FJ87" s="994">
        <v>0.15</v>
      </c>
      <c r="FK87" s="993">
        <v>12931.189511786559</v>
      </c>
      <c r="FL87" s="993">
        <v>13280.681120213221</v>
      </c>
      <c r="FM87" s="497"/>
      <c r="FN87" s="993">
        <f t="shared" si="197"/>
        <v>4435208.3195776399</v>
      </c>
      <c r="FO87" s="994">
        <f t="shared" si="256"/>
        <v>0.15</v>
      </c>
      <c r="FP87" s="775">
        <f t="shared" si="198"/>
        <v>665281.24793664599</v>
      </c>
      <c r="FQ87" s="993">
        <f t="shared" si="199"/>
        <v>30000</v>
      </c>
      <c r="FR87" s="775">
        <f t="shared" si="257"/>
        <v>635281.24793664599</v>
      </c>
      <c r="FS87" s="497">
        <f t="shared" si="258"/>
        <v>40</v>
      </c>
      <c r="FT87" s="775">
        <f t="shared" si="259"/>
        <v>15882.031198416149</v>
      </c>
      <c r="FU87" s="497"/>
      <c r="FV87" s="993">
        <f t="shared" si="260"/>
        <v>4435208.3195776399</v>
      </c>
      <c r="FW87" s="705">
        <f t="shared" si="261"/>
        <v>443520.83195776399</v>
      </c>
      <c r="FX87" s="705">
        <f t="shared" si="262"/>
        <v>110880.207989441</v>
      </c>
      <c r="FY87" s="705">
        <v>15000</v>
      </c>
      <c r="FZ87" s="705">
        <f t="shared" si="263"/>
        <v>428520.83195776399</v>
      </c>
      <c r="GA87" s="497">
        <f t="shared" si="264"/>
        <v>46</v>
      </c>
      <c r="GB87" s="775">
        <f t="shared" si="265"/>
        <v>9315.6702599513919</v>
      </c>
      <c r="GC87" s="497"/>
      <c r="GD87" s="497"/>
      <c r="GE87" s="1107"/>
      <c r="GH87" s="1095">
        <f t="shared" si="161"/>
        <v>4435208.3195776399</v>
      </c>
      <c r="GI87" s="1098">
        <f t="shared" si="162"/>
        <v>0.125</v>
      </c>
      <c r="GJ87" s="1095">
        <f t="shared" si="163"/>
        <v>554401.03994720499</v>
      </c>
      <c r="GK87" s="1095">
        <f t="shared" si="164"/>
        <v>30000</v>
      </c>
      <c r="GL87" s="1095">
        <f t="shared" si="165"/>
        <v>524401.03994720499</v>
      </c>
      <c r="GM87" s="1095">
        <f t="shared" si="166"/>
        <v>29</v>
      </c>
      <c r="GN87" s="1095">
        <f t="shared" si="167"/>
        <v>18082.794480938104</v>
      </c>
      <c r="GO87" s="1098">
        <f t="shared" si="168"/>
        <v>0.875</v>
      </c>
      <c r="GP87" s="1095">
        <f t="shared" si="169"/>
        <v>3880807.2796304347</v>
      </c>
      <c r="GQ87" s="1095">
        <f t="shared" si="170"/>
        <v>30087.857532394562</v>
      </c>
      <c r="GR87" s="1095">
        <f t="shared" si="171"/>
        <v>34881.792966617344</v>
      </c>
      <c r="GS87" s="1095">
        <f t="shared" si="172"/>
        <v>45059.463137845531</v>
      </c>
      <c r="GT87" s="1095">
        <f t="shared" si="173"/>
        <v>76844.635440796017</v>
      </c>
      <c r="GU87" s="497"/>
      <c r="GV87" s="1095">
        <f t="shared" si="266"/>
        <v>4435208.3195776399</v>
      </c>
      <c r="GW87" s="1098">
        <f t="shared" si="267"/>
        <v>0.125</v>
      </c>
      <c r="GX87" s="1095">
        <f t="shared" si="268"/>
        <v>554401.03994720499</v>
      </c>
      <c r="GY87" s="1095">
        <f t="shared" si="269"/>
        <v>30000</v>
      </c>
      <c r="GZ87" s="1095">
        <f t="shared" si="270"/>
        <v>524401.03994720499</v>
      </c>
      <c r="HA87" s="1106">
        <f t="shared" si="271"/>
        <v>48</v>
      </c>
      <c r="HB87" s="770">
        <f t="shared" si="272"/>
        <v>10925.02166556677</v>
      </c>
      <c r="HC87" s="1098">
        <f t="shared" si="273"/>
        <v>0.875</v>
      </c>
      <c r="HD87" s="1102">
        <f t="shared" si="274"/>
        <v>3880807.2796304347</v>
      </c>
      <c r="HE87" s="1101">
        <f t="shared" si="275"/>
        <v>30087.857532394562</v>
      </c>
      <c r="HF87" s="1101">
        <f t="shared" si="276"/>
        <v>34881.792966617344</v>
      </c>
      <c r="HG87" s="1101">
        <f t="shared" si="277"/>
        <v>45059.463137845531</v>
      </c>
      <c r="HH87" s="1101">
        <f t="shared" si="278"/>
        <v>76844.635440796017</v>
      </c>
      <c r="HI87" s="497"/>
      <c r="HJ87" s="1102">
        <f t="shared" si="279"/>
        <v>-7157.7728153713342</v>
      </c>
      <c r="HL87" s="775"/>
      <c r="HN87" s="775"/>
      <c r="HO87" s="775"/>
      <c r="HQ87" s="702"/>
      <c r="HR87" s="1171"/>
      <c r="HS87" s="702"/>
      <c r="HT87" s="1171"/>
    </row>
    <row r="88" spans="1:228" ht="14.25" hidden="1" customHeight="1">
      <c r="A88" s="753">
        <f t="shared" si="280"/>
        <v>82</v>
      </c>
      <c r="B88" s="753" t="s">
        <v>236</v>
      </c>
      <c r="C88" s="753">
        <f t="shared" si="174"/>
        <v>20</v>
      </c>
      <c r="D88" s="753" t="s">
        <v>260</v>
      </c>
      <c r="E88" s="717" t="str">
        <f t="shared" si="200"/>
        <v>5th Floor</v>
      </c>
      <c r="F88" s="754"/>
      <c r="G88" s="756" t="s">
        <v>431</v>
      </c>
      <c r="H88" s="756"/>
      <c r="I88" s="755" t="s">
        <v>229</v>
      </c>
      <c r="J88" s="757">
        <v>22</v>
      </c>
      <c r="K88" s="758"/>
      <c r="L88" s="759" t="s">
        <v>69</v>
      </c>
      <c r="M88" s="760" t="s">
        <v>68</v>
      </c>
      <c r="N88" s="761">
        <f t="shared" si="201"/>
        <v>106005.26567735759</v>
      </c>
      <c r="O88" s="762">
        <f t="shared" si="202"/>
        <v>2332115.8449018667</v>
      </c>
      <c r="P88" s="762">
        <f t="shared" si="203"/>
        <v>22400</v>
      </c>
      <c r="Q88" s="762">
        <f t="shared" si="175"/>
        <v>50000</v>
      </c>
      <c r="R88" s="762"/>
      <c r="S88" s="762"/>
      <c r="T88" s="762"/>
      <c r="U88" s="762"/>
      <c r="V88" s="762"/>
      <c r="W88" s="762"/>
      <c r="X88" s="762"/>
      <c r="Y88" s="762">
        <f t="shared" si="176"/>
        <v>20000</v>
      </c>
      <c r="Z88" s="762">
        <f t="shared" si="177"/>
        <v>142461</v>
      </c>
      <c r="AA88" s="762">
        <v>45722.732758620688</v>
      </c>
      <c r="AB88" s="762"/>
      <c r="AC88" s="762"/>
      <c r="AD88" s="763">
        <f t="shared" si="204"/>
        <v>280583.7327586207</v>
      </c>
      <c r="AE88" s="763">
        <f t="shared" si="178"/>
        <v>2612699.5776604875</v>
      </c>
      <c r="AF88" s="762">
        <f t="shared" si="179"/>
        <v>65317.489441512189</v>
      </c>
      <c r="AG88" s="762">
        <f t="shared" si="205"/>
        <v>2678017.0671019997</v>
      </c>
      <c r="AH88" s="762">
        <f t="shared" si="180"/>
        <v>66950.42667755</v>
      </c>
      <c r="AI88" s="762">
        <f t="shared" si="206"/>
        <v>2744967.4937795498</v>
      </c>
      <c r="AJ88" s="762">
        <f t="shared" si="207"/>
        <v>137248.37468897749</v>
      </c>
      <c r="AK88" s="762">
        <f t="shared" si="208"/>
        <v>2882215.8684685272</v>
      </c>
      <c r="AL88" s="762">
        <f t="shared" si="209"/>
        <v>28822.158684685273</v>
      </c>
      <c r="AM88" s="762">
        <f t="shared" si="210"/>
        <v>27537.409960060559</v>
      </c>
      <c r="AN88" s="762"/>
      <c r="AO88" s="763">
        <f t="shared" si="211"/>
        <v>2938575.437113273</v>
      </c>
      <c r="AP88" s="763">
        <f t="shared" si="212"/>
        <v>484864.94712369004</v>
      </c>
      <c r="AQ88" s="763">
        <f t="shared" si="213"/>
        <v>3423440.384236963</v>
      </c>
      <c r="AR88" s="1178">
        <f t="shared" si="181"/>
        <v>3000000</v>
      </c>
      <c r="AS88" s="1178">
        <f t="shared" si="214"/>
        <v>19247.290192589226</v>
      </c>
      <c r="AT88" s="1178">
        <f t="shared" si="215"/>
        <v>423440.384236963</v>
      </c>
      <c r="AU88" s="1178">
        <f t="shared" si="182"/>
        <v>50812.846108435559</v>
      </c>
      <c r="AV88" s="1178">
        <f t="shared" si="216"/>
        <v>474253.23034539854</v>
      </c>
      <c r="AW88" s="1178">
        <f t="shared" si="217"/>
        <v>3474253.2303453987</v>
      </c>
      <c r="AX88" s="762">
        <f t="shared" si="218"/>
        <v>43428.165379317485</v>
      </c>
      <c r="AY88" s="717" t="s">
        <v>231</v>
      </c>
      <c r="AZ88" s="717">
        <f t="shared" si="219"/>
        <v>3517681.3957247161</v>
      </c>
      <c r="BA88" s="717">
        <f t="shared" si="220"/>
        <v>131913.05233967685</v>
      </c>
      <c r="BB88" s="717"/>
      <c r="BC88" s="717">
        <f t="shared" si="183"/>
        <v>33600</v>
      </c>
      <c r="BD88" s="717">
        <f t="shared" si="221"/>
        <v>3683194.4480643929</v>
      </c>
      <c r="BE88" s="717"/>
      <c r="BF88" s="717">
        <f t="shared" si="222"/>
        <v>3683194.4480643929</v>
      </c>
      <c r="BG88" s="1209"/>
      <c r="BH88" s="717">
        <f t="shared" si="223"/>
        <v>3683194.4480643929</v>
      </c>
      <c r="BI88" s="717"/>
      <c r="BJ88" s="717">
        <f t="shared" si="224"/>
        <v>3683194.4480643929</v>
      </c>
      <c r="BK88" s="717"/>
      <c r="BL88" s="717">
        <f t="shared" si="225"/>
        <v>3683194.4480643929</v>
      </c>
      <c r="BM88" s="717"/>
      <c r="BN88" s="717">
        <f t="shared" si="226"/>
        <v>3683194.4480643929</v>
      </c>
      <c r="BO88" s="717"/>
      <c r="BP88" s="717">
        <f t="shared" si="184"/>
        <v>3683194.4480643929</v>
      </c>
      <c r="BQ88" s="717"/>
      <c r="BR88" s="717">
        <f t="shared" si="285"/>
        <v>3683194.4480643929</v>
      </c>
      <c r="BS88" s="717"/>
      <c r="BT88" s="717">
        <f t="shared" si="227"/>
        <v>3683194.4480643929</v>
      </c>
      <c r="BU88" s="717"/>
      <c r="BV88" s="1235">
        <f t="shared" si="286"/>
        <v>51400</v>
      </c>
      <c r="BW88" s="717">
        <f t="shared" si="228"/>
        <v>3734594.4480643929</v>
      </c>
      <c r="BX88" s="717"/>
      <c r="BY88" s="717">
        <f t="shared" si="229"/>
        <v>3734594.4480643929</v>
      </c>
      <c r="BZ88" s="1194">
        <f t="shared" si="230"/>
        <v>3734594.4480643929</v>
      </c>
      <c r="CA88" s="1194">
        <f t="shared" si="231"/>
        <v>3030594.4480643929</v>
      </c>
      <c r="CB88" s="1194">
        <v>32000</v>
      </c>
      <c r="CC88" s="1194">
        <f t="shared" si="232"/>
        <v>704000</v>
      </c>
      <c r="CD88" s="1194">
        <f t="shared" si="233"/>
        <v>84480</v>
      </c>
      <c r="CE88" s="1194">
        <f t="shared" si="234"/>
        <v>788480</v>
      </c>
      <c r="CF88" s="1200">
        <f t="shared" si="235"/>
        <v>3819074.4480643929</v>
      </c>
      <c r="CG88" s="757">
        <f t="shared" si="236"/>
        <v>3819074.4480643929</v>
      </c>
      <c r="CH88" s="758">
        <f t="shared" si="237"/>
        <v>0</v>
      </c>
      <c r="CI88" s="757">
        <f t="shared" si="185"/>
        <v>391455.13092660025</v>
      </c>
      <c r="CJ88" s="757">
        <f t="shared" si="186"/>
        <v>95476.861201609834</v>
      </c>
      <c r="CK88" s="759">
        <f t="shared" si="155"/>
        <v>4306006.4401926026</v>
      </c>
      <c r="CL88" s="764">
        <f t="shared" si="238"/>
        <v>0.125</v>
      </c>
      <c r="CM88" s="757">
        <f t="shared" si="239"/>
        <v>538250.80502407532</v>
      </c>
      <c r="CN88" s="757">
        <f t="shared" si="281"/>
        <v>30000</v>
      </c>
      <c r="CO88" s="757">
        <f t="shared" si="240"/>
        <v>508250.80502407532</v>
      </c>
      <c r="CP88" s="755">
        <f t="shared" si="241"/>
        <v>29</v>
      </c>
      <c r="CQ88" s="757">
        <f t="shared" si="283"/>
        <v>17525.889828416392</v>
      </c>
      <c r="CR88" s="764">
        <f t="shared" si="242"/>
        <v>0.875</v>
      </c>
      <c r="CS88" s="757">
        <f t="shared" si="243"/>
        <v>3767755.6351685273</v>
      </c>
      <c r="CT88" s="1101">
        <f t="shared" si="244"/>
        <v>29211.36933618176</v>
      </c>
      <c r="CU88" s="1101">
        <f t="shared" si="245"/>
        <v>33865.652825530153</v>
      </c>
      <c r="CV88" s="1101">
        <f t="shared" si="246"/>
        <v>43746.837686681865</v>
      </c>
      <c r="CW88" s="1141">
        <f t="shared" si="187"/>
        <v>74606.077383492782</v>
      </c>
      <c r="CX88" s="1152">
        <f t="shared" si="247"/>
        <v>306066.76610985096</v>
      </c>
      <c r="CY88" s="1152">
        <f t="shared" si="248"/>
        <v>121109.12841285109</v>
      </c>
      <c r="CZ88" s="1152">
        <f t="shared" si="249"/>
        <v>87475.408160448584</v>
      </c>
      <c r="DA88" s="1152">
        <f t="shared" si="250"/>
        <v>66572.812769898912</v>
      </c>
      <c r="DB88" s="1143">
        <f t="shared" si="188"/>
        <v>0.14114679474565434</v>
      </c>
      <c r="DC88" s="1143">
        <f t="shared" si="251"/>
        <v>0.26017337968252185</v>
      </c>
      <c r="DD88" s="1098" t="s">
        <v>232</v>
      </c>
      <c r="DE88" s="1144"/>
      <c r="DF88" s="705"/>
      <c r="DG88" s="765">
        <f t="shared" si="282"/>
        <v>46082</v>
      </c>
      <c r="DH88" s="1116">
        <f t="shared" si="189"/>
        <v>28</v>
      </c>
      <c r="DI88" s="497"/>
      <c r="DJ88" s="1117">
        <f t="shared" si="252"/>
        <v>46147</v>
      </c>
      <c r="DK88" s="1116">
        <f t="shared" si="253"/>
        <v>30</v>
      </c>
      <c r="DL88" s="766" t="s">
        <v>233</v>
      </c>
      <c r="DM88" s="766" t="s">
        <v>234</v>
      </c>
      <c r="DN88" s="767">
        <f t="shared" si="190"/>
        <v>21556.965015699934</v>
      </c>
      <c r="DO88" s="767">
        <f t="shared" si="191"/>
        <v>474253.23034539854</v>
      </c>
      <c r="DP88" s="768">
        <f t="shared" si="192"/>
        <v>0.15808441011513286</v>
      </c>
      <c r="DR88" s="767">
        <f t="shared" si="193"/>
        <v>3819074.4480643929</v>
      </c>
      <c r="DS88" s="767">
        <f>SUM('[6]INTERNAL PRICELIST'!M88)</f>
        <v>2329361</v>
      </c>
      <c r="DT88" s="767">
        <f t="shared" si="254"/>
        <v>1489713.4480643929</v>
      </c>
      <c r="DV88" s="951">
        <f t="shared" si="194"/>
        <v>173594.29309383605</v>
      </c>
      <c r="DX88" s="772">
        <v>11</v>
      </c>
      <c r="DY88" s="773" t="s">
        <v>283</v>
      </c>
      <c r="DZ88" s="774">
        <v>22</v>
      </c>
      <c r="EA88" s="775">
        <f t="shared" si="195"/>
        <v>0</v>
      </c>
      <c r="ED88" s="755" t="s">
        <v>431</v>
      </c>
      <c r="EE88" s="777" t="b">
        <f t="shared" si="196"/>
        <v>1</v>
      </c>
      <c r="EF88" s="1123" t="s">
        <v>432</v>
      </c>
      <c r="EG88" s="1123" t="s">
        <v>394</v>
      </c>
      <c r="EH88" s="1203"/>
      <c r="EP88" s="1230" t="s">
        <v>236</v>
      </c>
      <c r="EQ88" s="1145" t="s">
        <v>236</v>
      </c>
      <c r="ER88" s="753" t="b">
        <f t="shared" si="255"/>
        <v>1</v>
      </c>
      <c r="EU88" s="770">
        <v>2221760</v>
      </c>
      <c r="EV88" s="771" t="s">
        <v>236</v>
      </c>
      <c r="EZ88" s="520"/>
      <c r="FA88" s="778"/>
      <c r="FG88" s="1107"/>
      <c r="FJ88" s="994">
        <v>0.15</v>
      </c>
      <c r="FK88" s="993">
        <v>12931.189511786559</v>
      </c>
      <c r="FL88" s="993">
        <v>13280.681120213221</v>
      </c>
      <c r="FM88" s="497"/>
      <c r="FN88" s="993">
        <f t="shared" si="197"/>
        <v>4306006.4401926026</v>
      </c>
      <c r="FO88" s="994">
        <f t="shared" si="256"/>
        <v>0.15</v>
      </c>
      <c r="FP88" s="775">
        <f t="shared" si="198"/>
        <v>645900.96602889034</v>
      </c>
      <c r="FQ88" s="993">
        <f t="shared" si="199"/>
        <v>30000</v>
      </c>
      <c r="FR88" s="775">
        <f t="shared" si="257"/>
        <v>615900.96602889034</v>
      </c>
      <c r="FS88" s="497">
        <f t="shared" si="258"/>
        <v>40</v>
      </c>
      <c r="FT88" s="775">
        <f t="shared" si="259"/>
        <v>15397.524150722258</v>
      </c>
      <c r="FU88" s="497"/>
      <c r="FV88" s="993">
        <f t="shared" si="260"/>
        <v>4306006.4401926026</v>
      </c>
      <c r="FW88" s="705">
        <f t="shared" si="261"/>
        <v>430600.6440192603</v>
      </c>
      <c r="FX88" s="705">
        <f t="shared" si="262"/>
        <v>107650.16100481508</v>
      </c>
      <c r="FY88" s="705">
        <v>15000</v>
      </c>
      <c r="FZ88" s="705">
        <f t="shared" si="263"/>
        <v>415600.6440192603</v>
      </c>
      <c r="GA88" s="497">
        <f t="shared" si="264"/>
        <v>46</v>
      </c>
      <c r="GB88" s="775">
        <f t="shared" si="265"/>
        <v>9034.7966091143553</v>
      </c>
      <c r="GC88" s="497"/>
      <c r="GD88" s="497"/>
      <c r="GE88" s="1107"/>
      <c r="GH88" s="1095">
        <f t="shared" si="161"/>
        <v>4306006.4401926026</v>
      </c>
      <c r="GI88" s="1098">
        <f t="shared" si="162"/>
        <v>0.125</v>
      </c>
      <c r="GJ88" s="1095">
        <f t="shared" si="163"/>
        <v>538250.80502407532</v>
      </c>
      <c r="GK88" s="1095">
        <f t="shared" si="164"/>
        <v>30000</v>
      </c>
      <c r="GL88" s="1095">
        <f t="shared" si="165"/>
        <v>508250.80502407532</v>
      </c>
      <c r="GM88" s="1095">
        <f t="shared" si="166"/>
        <v>29</v>
      </c>
      <c r="GN88" s="1095">
        <f t="shared" si="167"/>
        <v>17525.889828416392</v>
      </c>
      <c r="GO88" s="1098">
        <f t="shared" si="168"/>
        <v>0.875</v>
      </c>
      <c r="GP88" s="1095">
        <f t="shared" si="169"/>
        <v>3767755.6351685273</v>
      </c>
      <c r="GQ88" s="1095">
        <f t="shared" si="170"/>
        <v>29211.36933618176</v>
      </c>
      <c r="GR88" s="1095">
        <f t="shared" si="171"/>
        <v>33865.652825530153</v>
      </c>
      <c r="GS88" s="1095">
        <f t="shared" si="172"/>
        <v>43746.837686681865</v>
      </c>
      <c r="GT88" s="1095">
        <f t="shared" si="173"/>
        <v>74606.077383492782</v>
      </c>
      <c r="GU88" s="497"/>
      <c r="GV88" s="1095">
        <f t="shared" si="266"/>
        <v>4306006.4401926026</v>
      </c>
      <c r="GW88" s="1098">
        <f t="shared" si="267"/>
        <v>0.125</v>
      </c>
      <c r="GX88" s="1095">
        <f t="shared" si="268"/>
        <v>538250.80502407532</v>
      </c>
      <c r="GY88" s="1095">
        <f t="shared" si="269"/>
        <v>30000</v>
      </c>
      <c r="GZ88" s="1095">
        <f t="shared" si="270"/>
        <v>508250.80502407532</v>
      </c>
      <c r="HA88" s="1106">
        <f t="shared" si="271"/>
        <v>48</v>
      </c>
      <c r="HB88" s="770">
        <f t="shared" si="272"/>
        <v>10588.55843800157</v>
      </c>
      <c r="HC88" s="1098">
        <f t="shared" si="273"/>
        <v>0.875</v>
      </c>
      <c r="HD88" s="1102">
        <f t="shared" si="274"/>
        <v>3767755.6351685273</v>
      </c>
      <c r="HE88" s="1101">
        <f t="shared" si="275"/>
        <v>29211.36933618176</v>
      </c>
      <c r="HF88" s="1101">
        <f t="shared" si="276"/>
        <v>33865.652825530153</v>
      </c>
      <c r="HG88" s="1101">
        <f t="shared" si="277"/>
        <v>43746.837686681865</v>
      </c>
      <c r="HH88" s="1101">
        <f t="shared" si="278"/>
        <v>74606.077383492782</v>
      </c>
      <c r="HI88" s="497"/>
      <c r="HJ88" s="1102">
        <f t="shared" si="279"/>
        <v>-6937.3313904148217</v>
      </c>
      <c r="HL88" s="775"/>
      <c r="HN88" s="775"/>
      <c r="HO88" s="775"/>
      <c r="HQ88" s="702"/>
      <c r="HR88" s="1171"/>
      <c r="HS88" s="702"/>
      <c r="HT88" s="1171"/>
    </row>
    <row r="89" spans="1:228" ht="14.25" hidden="1" customHeight="1">
      <c r="A89" s="753">
        <f t="shared" si="280"/>
        <v>83</v>
      </c>
      <c r="B89" s="753" t="s">
        <v>236</v>
      </c>
      <c r="C89" s="753">
        <f t="shared" si="174"/>
        <v>21</v>
      </c>
      <c r="D89" s="753" t="s">
        <v>260</v>
      </c>
      <c r="E89" s="717" t="str">
        <f t="shared" si="200"/>
        <v>5th Floor</v>
      </c>
      <c r="F89" s="754"/>
      <c r="G89" s="756" t="s">
        <v>433</v>
      </c>
      <c r="H89" s="756"/>
      <c r="I89" s="755" t="s">
        <v>229</v>
      </c>
      <c r="J89" s="757">
        <v>22</v>
      </c>
      <c r="K89" s="758"/>
      <c r="L89" s="759" t="s">
        <v>69</v>
      </c>
      <c r="M89" s="760" t="s">
        <v>68</v>
      </c>
      <c r="N89" s="761">
        <f t="shared" si="201"/>
        <v>106005.26567735759</v>
      </c>
      <c r="O89" s="762">
        <f t="shared" si="202"/>
        <v>2332115.8449018667</v>
      </c>
      <c r="P89" s="762">
        <f t="shared" si="203"/>
        <v>22400</v>
      </c>
      <c r="Q89" s="762">
        <f t="shared" si="175"/>
        <v>50000</v>
      </c>
      <c r="R89" s="762"/>
      <c r="S89" s="762"/>
      <c r="T89" s="762"/>
      <c r="U89" s="762"/>
      <c r="V89" s="762"/>
      <c r="W89" s="762"/>
      <c r="X89" s="762"/>
      <c r="Y89" s="762">
        <f t="shared" si="176"/>
        <v>20000</v>
      </c>
      <c r="Z89" s="762">
        <f t="shared" si="177"/>
        <v>142461</v>
      </c>
      <c r="AA89" s="762">
        <v>45722.732758620688</v>
      </c>
      <c r="AB89" s="762"/>
      <c r="AC89" s="762"/>
      <c r="AD89" s="763">
        <f t="shared" si="204"/>
        <v>280583.7327586207</v>
      </c>
      <c r="AE89" s="763">
        <f t="shared" si="178"/>
        <v>2612699.5776604875</v>
      </c>
      <c r="AF89" s="762">
        <f t="shared" si="179"/>
        <v>65317.489441512189</v>
      </c>
      <c r="AG89" s="762">
        <f t="shared" si="205"/>
        <v>2678017.0671019997</v>
      </c>
      <c r="AH89" s="762">
        <f t="shared" si="180"/>
        <v>66950.42667755</v>
      </c>
      <c r="AI89" s="762">
        <f t="shared" si="206"/>
        <v>2744967.4937795498</v>
      </c>
      <c r="AJ89" s="762">
        <f t="shared" si="207"/>
        <v>137248.37468897749</v>
      </c>
      <c r="AK89" s="762">
        <f t="shared" si="208"/>
        <v>2882215.8684685272</v>
      </c>
      <c r="AL89" s="762">
        <f t="shared" si="209"/>
        <v>28822.158684685273</v>
      </c>
      <c r="AM89" s="762">
        <f t="shared" si="210"/>
        <v>27537.409960060559</v>
      </c>
      <c r="AN89" s="762"/>
      <c r="AO89" s="763">
        <f t="shared" si="211"/>
        <v>2938575.437113273</v>
      </c>
      <c r="AP89" s="763">
        <f t="shared" si="212"/>
        <v>484864.94712369004</v>
      </c>
      <c r="AQ89" s="763">
        <f t="shared" si="213"/>
        <v>3423440.384236963</v>
      </c>
      <c r="AR89" s="1178">
        <f t="shared" si="181"/>
        <v>3000000</v>
      </c>
      <c r="AS89" s="1178">
        <f t="shared" si="214"/>
        <v>19247.290192589226</v>
      </c>
      <c r="AT89" s="1178">
        <f t="shared" si="215"/>
        <v>423440.384236963</v>
      </c>
      <c r="AU89" s="1178">
        <f t="shared" si="182"/>
        <v>50812.846108435559</v>
      </c>
      <c r="AV89" s="1178">
        <f t="shared" si="216"/>
        <v>474253.23034539854</v>
      </c>
      <c r="AW89" s="1178">
        <f t="shared" si="217"/>
        <v>3474253.2303453987</v>
      </c>
      <c r="AX89" s="762">
        <f t="shared" si="218"/>
        <v>43428.165379317485</v>
      </c>
      <c r="AY89" s="717" t="s">
        <v>231</v>
      </c>
      <c r="AZ89" s="717">
        <f t="shared" si="219"/>
        <v>3517681.3957247161</v>
      </c>
      <c r="BA89" s="717">
        <f t="shared" si="220"/>
        <v>131913.05233967685</v>
      </c>
      <c r="BB89" s="717"/>
      <c r="BC89" s="717">
        <f t="shared" si="183"/>
        <v>33600</v>
      </c>
      <c r="BD89" s="717">
        <f t="shared" si="221"/>
        <v>3683194.4480643929</v>
      </c>
      <c r="BE89" s="717"/>
      <c r="BF89" s="717">
        <f t="shared" si="222"/>
        <v>3683194.4480643929</v>
      </c>
      <c r="BG89" s="1209"/>
      <c r="BH89" s="717">
        <f t="shared" si="223"/>
        <v>3683194.4480643929</v>
      </c>
      <c r="BI89" s="717"/>
      <c r="BJ89" s="717">
        <f t="shared" si="224"/>
        <v>3683194.4480643929</v>
      </c>
      <c r="BK89" s="717"/>
      <c r="BL89" s="717">
        <f t="shared" si="225"/>
        <v>3683194.4480643929</v>
      </c>
      <c r="BM89" s="717"/>
      <c r="BN89" s="717">
        <f t="shared" si="226"/>
        <v>3683194.4480643929</v>
      </c>
      <c r="BO89" s="717"/>
      <c r="BP89" s="717">
        <f t="shared" si="184"/>
        <v>3683194.4480643929</v>
      </c>
      <c r="BQ89" s="717"/>
      <c r="BR89" s="717">
        <f t="shared" si="285"/>
        <v>3683194.4480643929</v>
      </c>
      <c r="BS89" s="717"/>
      <c r="BT89" s="717">
        <f t="shared" si="227"/>
        <v>3683194.4480643929</v>
      </c>
      <c r="BU89" s="717"/>
      <c r="BV89" s="1235">
        <f t="shared" si="286"/>
        <v>51400</v>
      </c>
      <c r="BW89" s="717">
        <f t="shared" si="228"/>
        <v>3734594.4480643929</v>
      </c>
      <c r="BX89" s="717"/>
      <c r="BY89" s="717">
        <f t="shared" si="229"/>
        <v>3734594.4480643929</v>
      </c>
      <c r="BZ89" s="1194">
        <f t="shared" si="230"/>
        <v>3734594.4480643929</v>
      </c>
      <c r="CA89" s="1194">
        <f t="shared" si="231"/>
        <v>3030594.4480643929</v>
      </c>
      <c r="CB89" s="1194">
        <v>32000</v>
      </c>
      <c r="CC89" s="1194">
        <f t="shared" si="232"/>
        <v>704000</v>
      </c>
      <c r="CD89" s="1194">
        <f t="shared" si="233"/>
        <v>84480</v>
      </c>
      <c r="CE89" s="1194">
        <f t="shared" si="234"/>
        <v>788480</v>
      </c>
      <c r="CF89" s="1200">
        <f t="shared" si="235"/>
        <v>3819074.4480643929</v>
      </c>
      <c r="CG89" s="757">
        <f t="shared" si="236"/>
        <v>3819074.4480643929</v>
      </c>
      <c r="CH89" s="758">
        <f t="shared" si="237"/>
        <v>0</v>
      </c>
      <c r="CI89" s="757">
        <f t="shared" si="185"/>
        <v>391455.13092660025</v>
      </c>
      <c r="CJ89" s="757">
        <f t="shared" si="186"/>
        <v>95476.861201609834</v>
      </c>
      <c r="CK89" s="759">
        <f t="shared" si="155"/>
        <v>4306006.4401926026</v>
      </c>
      <c r="CL89" s="764">
        <f t="shared" si="238"/>
        <v>0.125</v>
      </c>
      <c r="CM89" s="757">
        <f t="shared" si="239"/>
        <v>538250.80502407532</v>
      </c>
      <c r="CN89" s="757">
        <f t="shared" si="281"/>
        <v>30000</v>
      </c>
      <c r="CO89" s="757">
        <f t="shared" si="240"/>
        <v>508250.80502407532</v>
      </c>
      <c r="CP89" s="755">
        <f t="shared" si="241"/>
        <v>29</v>
      </c>
      <c r="CQ89" s="757">
        <f t="shared" si="283"/>
        <v>17525.889828416392</v>
      </c>
      <c r="CR89" s="764">
        <f t="shared" si="242"/>
        <v>0.875</v>
      </c>
      <c r="CS89" s="757">
        <f t="shared" si="243"/>
        <v>3767755.6351685273</v>
      </c>
      <c r="CT89" s="1101">
        <f t="shared" si="244"/>
        <v>29211.36933618176</v>
      </c>
      <c r="CU89" s="1101">
        <f t="shared" si="245"/>
        <v>33865.652825530153</v>
      </c>
      <c r="CV89" s="1101">
        <f t="shared" si="246"/>
        <v>43746.837686681865</v>
      </c>
      <c r="CW89" s="1141">
        <f t="shared" si="187"/>
        <v>74606.077383492782</v>
      </c>
      <c r="CX89" s="1152">
        <f t="shared" si="247"/>
        <v>306066.76610985096</v>
      </c>
      <c r="CY89" s="1152">
        <f t="shared" si="248"/>
        <v>121109.12841285109</v>
      </c>
      <c r="CZ89" s="1152">
        <f t="shared" si="249"/>
        <v>87475.408160448584</v>
      </c>
      <c r="DA89" s="1152">
        <f t="shared" si="250"/>
        <v>66572.812769898912</v>
      </c>
      <c r="DB89" s="1143">
        <f t="shared" si="188"/>
        <v>0.14114679474565434</v>
      </c>
      <c r="DC89" s="1143">
        <f t="shared" si="251"/>
        <v>0.26017337968252185</v>
      </c>
      <c r="DD89" s="1098" t="s">
        <v>232</v>
      </c>
      <c r="DE89" s="1144"/>
      <c r="DF89" s="705"/>
      <c r="DG89" s="765">
        <f t="shared" si="282"/>
        <v>46082</v>
      </c>
      <c r="DH89" s="1116">
        <f t="shared" si="189"/>
        <v>28</v>
      </c>
      <c r="DI89" s="497"/>
      <c r="DJ89" s="1117">
        <f t="shared" si="252"/>
        <v>46147</v>
      </c>
      <c r="DK89" s="1116">
        <f t="shared" si="253"/>
        <v>30</v>
      </c>
      <c r="DL89" s="766" t="s">
        <v>233</v>
      </c>
      <c r="DM89" s="766" t="s">
        <v>234</v>
      </c>
      <c r="DN89" s="767">
        <f t="shared" si="190"/>
        <v>21556.965015699934</v>
      </c>
      <c r="DO89" s="767">
        <f t="shared" si="191"/>
        <v>474253.23034539854</v>
      </c>
      <c r="DP89" s="768">
        <f t="shared" si="192"/>
        <v>0.15808441011513286</v>
      </c>
      <c r="DR89" s="767">
        <f t="shared" si="193"/>
        <v>3819074.4480643929</v>
      </c>
      <c r="DS89" s="767">
        <f>SUM('[6]INTERNAL PRICELIST'!M89)</f>
        <v>2329361</v>
      </c>
      <c r="DT89" s="767">
        <f t="shared" si="254"/>
        <v>1489713.4480643929</v>
      </c>
      <c r="DV89" s="951">
        <f t="shared" si="194"/>
        <v>173594.29309383605</v>
      </c>
      <c r="DX89" s="772">
        <v>12</v>
      </c>
      <c r="DY89" s="773" t="s">
        <v>286</v>
      </c>
      <c r="DZ89" s="774">
        <v>22</v>
      </c>
      <c r="EA89" s="775">
        <f t="shared" si="195"/>
        <v>0</v>
      </c>
      <c r="ED89" s="755" t="s">
        <v>433</v>
      </c>
      <c r="EE89" s="777" t="b">
        <f t="shared" si="196"/>
        <v>1</v>
      </c>
      <c r="EF89" s="1123" t="s">
        <v>434</v>
      </c>
      <c r="EG89" s="1123" t="s">
        <v>394</v>
      </c>
      <c r="EH89" s="1203"/>
      <c r="EP89" s="1230" t="s">
        <v>236</v>
      </c>
      <c r="EQ89" s="1145" t="s">
        <v>236</v>
      </c>
      <c r="ER89" s="753" t="b">
        <f t="shared" si="255"/>
        <v>1</v>
      </c>
      <c r="EU89" s="770">
        <v>2360460</v>
      </c>
      <c r="EV89" s="771" t="s">
        <v>236</v>
      </c>
      <c r="EZ89" s="520"/>
      <c r="FA89" s="778"/>
      <c r="FG89" s="1107"/>
      <c r="FJ89" s="994">
        <v>0.15</v>
      </c>
      <c r="FK89" s="993">
        <v>12931.189511786559</v>
      </c>
      <c r="FL89" s="993">
        <v>13280.681120213221</v>
      </c>
      <c r="FM89" s="497"/>
      <c r="FN89" s="993">
        <f t="shared" si="197"/>
        <v>4306006.4401926026</v>
      </c>
      <c r="FO89" s="994">
        <f>FJ89</f>
        <v>0.15</v>
      </c>
      <c r="FP89" s="775">
        <f t="shared" si="198"/>
        <v>645900.96602889034</v>
      </c>
      <c r="FQ89" s="993">
        <f t="shared" si="199"/>
        <v>30000</v>
      </c>
      <c r="FR89" s="775">
        <f t="shared" si="257"/>
        <v>615900.96602889034</v>
      </c>
      <c r="FS89" s="497">
        <f t="shared" si="258"/>
        <v>40</v>
      </c>
      <c r="FT89" s="775">
        <f t="shared" si="259"/>
        <v>15397.524150722258</v>
      </c>
      <c r="FU89" s="497"/>
      <c r="FV89" s="993">
        <f t="shared" si="260"/>
        <v>4306006.4401926026</v>
      </c>
      <c r="FW89" s="705">
        <f t="shared" si="261"/>
        <v>430600.6440192603</v>
      </c>
      <c r="FX89" s="705">
        <f t="shared" si="262"/>
        <v>107650.16100481508</v>
      </c>
      <c r="FY89" s="705">
        <v>15000</v>
      </c>
      <c r="FZ89" s="705">
        <f t="shared" si="263"/>
        <v>415600.6440192603</v>
      </c>
      <c r="GA89" s="497">
        <f t="shared" si="264"/>
        <v>46</v>
      </c>
      <c r="GB89" s="775">
        <f t="shared" si="265"/>
        <v>9034.7966091143553</v>
      </c>
      <c r="GC89" s="497"/>
      <c r="GD89" s="497"/>
      <c r="GE89" s="1107"/>
      <c r="GH89" s="1095">
        <f t="shared" si="161"/>
        <v>4306006.4401926026</v>
      </c>
      <c r="GI89" s="1098">
        <f t="shared" si="162"/>
        <v>0.125</v>
      </c>
      <c r="GJ89" s="1095">
        <f t="shared" si="163"/>
        <v>538250.80502407532</v>
      </c>
      <c r="GK89" s="1095">
        <f t="shared" si="164"/>
        <v>30000</v>
      </c>
      <c r="GL89" s="1095">
        <f t="shared" si="165"/>
        <v>508250.80502407532</v>
      </c>
      <c r="GM89" s="1095">
        <f t="shared" si="166"/>
        <v>29</v>
      </c>
      <c r="GN89" s="1095">
        <f t="shared" si="167"/>
        <v>17525.889828416392</v>
      </c>
      <c r="GO89" s="1098">
        <f t="shared" si="168"/>
        <v>0.875</v>
      </c>
      <c r="GP89" s="1095">
        <f t="shared" si="169"/>
        <v>3767755.6351685273</v>
      </c>
      <c r="GQ89" s="1095">
        <f t="shared" si="170"/>
        <v>29211.36933618176</v>
      </c>
      <c r="GR89" s="1095">
        <f t="shared" si="171"/>
        <v>33865.652825530153</v>
      </c>
      <c r="GS89" s="1095">
        <f t="shared" si="172"/>
        <v>43746.837686681865</v>
      </c>
      <c r="GT89" s="1095">
        <f t="shared" si="173"/>
        <v>74606.077383492782</v>
      </c>
      <c r="GU89" s="497"/>
      <c r="GV89" s="1095">
        <f t="shared" si="266"/>
        <v>4306006.4401926026</v>
      </c>
      <c r="GW89" s="1098">
        <f t="shared" si="267"/>
        <v>0.125</v>
      </c>
      <c r="GX89" s="1095">
        <f t="shared" si="268"/>
        <v>538250.80502407532</v>
      </c>
      <c r="GY89" s="1095">
        <f t="shared" si="269"/>
        <v>30000</v>
      </c>
      <c r="GZ89" s="1095">
        <f t="shared" si="270"/>
        <v>508250.80502407532</v>
      </c>
      <c r="HA89" s="1106">
        <f t="shared" si="271"/>
        <v>48</v>
      </c>
      <c r="HB89" s="770">
        <f t="shared" si="272"/>
        <v>10588.55843800157</v>
      </c>
      <c r="HC89" s="1098">
        <f t="shared" si="273"/>
        <v>0.875</v>
      </c>
      <c r="HD89" s="1102">
        <f t="shared" si="274"/>
        <v>3767755.6351685273</v>
      </c>
      <c r="HE89" s="1101">
        <f t="shared" si="275"/>
        <v>29211.36933618176</v>
      </c>
      <c r="HF89" s="1101">
        <f t="shared" si="276"/>
        <v>33865.652825530153</v>
      </c>
      <c r="HG89" s="1101">
        <f t="shared" si="277"/>
        <v>43746.837686681865</v>
      </c>
      <c r="HH89" s="1101">
        <f t="shared" si="278"/>
        <v>74606.077383492782</v>
      </c>
      <c r="HI89" s="497"/>
      <c r="HJ89" s="1102">
        <f t="shared" si="279"/>
        <v>-6937.3313904148217</v>
      </c>
      <c r="HL89" s="775"/>
      <c r="HN89" s="775"/>
      <c r="HO89" s="775"/>
      <c r="HQ89" s="702"/>
      <c r="HR89" s="1171"/>
      <c r="HS89" s="702"/>
      <c r="HT89" s="1171"/>
    </row>
    <row r="90" spans="1:228" ht="14.25" hidden="1" customHeight="1">
      <c r="A90" s="753">
        <f t="shared" si="280"/>
        <v>84</v>
      </c>
      <c r="B90" s="753" t="s">
        <v>236</v>
      </c>
      <c r="C90" s="753">
        <f t="shared" si="174"/>
        <v>22</v>
      </c>
      <c r="D90" s="753" t="s">
        <v>260</v>
      </c>
      <c r="E90" s="717" t="str">
        <f t="shared" si="200"/>
        <v>5th Floor</v>
      </c>
      <c r="F90" s="754"/>
      <c r="G90" s="756" t="s">
        <v>435</v>
      </c>
      <c r="H90" s="756"/>
      <c r="I90" s="755" t="s">
        <v>229</v>
      </c>
      <c r="J90" s="757">
        <v>22</v>
      </c>
      <c r="K90" s="758"/>
      <c r="L90" s="759" t="s">
        <v>69</v>
      </c>
      <c r="M90" s="760" t="s">
        <v>68</v>
      </c>
      <c r="N90" s="761">
        <f t="shared" si="201"/>
        <v>106005.26567735759</v>
      </c>
      <c r="O90" s="762">
        <f t="shared" si="202"/>
        <v>2332115.8449018667</v>
      </c>
      <c r="P90" s="762">
        <f t="shared" si="203"/>
        <v>22400</v>
      </c>
      <c r="Q90" s="762">
        <f t="shared" si="175"/>
        <v>50000</v>
      </c>
      <c r="R90" s="762"/>
      <c r="S90" s="762"/>
      <c r="T90" s="762"/>
      <c r="U90" s="762"/>
      <c r="V90" s="762"/>
      <c r="W90" s="762"/>
      <c r="X90" s="762"/>
      <c r="Y90" s="762">
        <f t="shared" si="176"/>
        <v>20000</v>
      </c>
      <c r="Z90" s="762">
        <f t="shared" si="177"/>
        <v>142461</v>
      </c>
      <c r="AA90" s="762">
        <v>45722.732758620688</v>
      </c>
      <c r="AB90" s="762"/>
      <c r="AC90" s="762"/>
      <c r="AD90" s="763">
        <f t="shared" si="204"/>
        <v>280583.7327586207</v>
      </c>
      <c r="AE90" s="763">
        <f t="shared" si="178"/>
        <v>2612699.5776604875</v>
      </c>
      <c r="AF90" s="762">
        <f t="shared" si="179"/>
        <v>65317.489441512189</v>
      </c>
      <c r="AG90" s="762">
        <f t="shared" si="205"/>
        <v>2678017.0671019997</v>
      </c>
      <c r="AH90" s="762">
        <f t="shared" si="180"/>
        <v>66950.42667755</v>
      </c>
      <c r="AI90" s="762">
        <f t="shared" si="206"/>
        <v>2744967.4937795498</v>
      </c>
      <c r="AJ90" s="762">
        <f t="shared" si="207"/>
        <v>137248.37468897749</v>
      </c>
      <c r="AK90" s="762">
        <f t="shared" si="208"/>
        <v>2882215.8684685272</v>
      </c>
      <c r="AL90" s="762">
        <f t="shared" si="209"/>
        <v>28822.158684685273</v>
      </c>
      <c r="AM90" s="762">
        <f t="shared" si="210"/>
        <v>27537.409960060559</v>
      </c>
      <c r="AN90" s="762"/>
      <c r="AO90" s="763">
        <f t="shared" si="211"/>
        <v>2938575.437113273</v>
      </c>
      <c r="AP90" s="763">
        <f t="shared" si="212"/>
        <v>484864.94712369004</v>
      </c>
      <c r="AQ90" s="763">
        <f t="shared" si="213"/>
        <v>3423440.384236963</v>
      </c>
      <c r="AR90" s="1178">
        <f t="shared" si="181"/>
        <v>3000000</v>
      </c>
      <c r="AS90" s="1178">
        <f t="shared" si="214"/>
        <v>19247.290192589226</v>
      </c>
      <c r="AT90" s="1178">
        <f t="shared" si="215"/>
        <v>423440.384236963</v>
      </c>
      <c r="AU90" s="1178">
        <f t="shared" si="182"/>
        <v>50812.846108435559</v>
      </c>
      <c r="AV90" s="1178">
        <f t="shared" si="216"/>
        <v>474253.23034539854</v>
      </c>
      <c r="AW90" s="1178">
        <f t="shared" si="217"/>
        <v>3474253.2303453987</v>
      </c>
      <c r="AX90" s="762">
        <f t="shared" si="218"/>
        <v>43428.165379317485</v>
      </c>
      <c r="AY90" s="717" t="s">
        <v>231</v>
      </c>
      <c r="AZ90" s="717">
        <f t="shared" si="219"/>
        <v>3517681.3957247161</v>
      </c>
      <c r="BA90" s="717">
        <f t="shared" si="220"/>
        <v>131913.05233967685</v>
      </c>
      <c r="BB90" s="717"/>
      <c r="BC90" s="717">
        <f t="shared" si="183"/>
        <v>33600</v>
      </c>
      <c r="BD90" s="717">
        <f t="shared" si="221"/>
        <v>3683194.4480643929</v>
      </c>
      <c r="BE90" s="717"/>
      <c r="BF90" s="717">
        <f t="shared" si="222"/>
        <v>3683194.4480643929</v>
      </c>
      <c r="BG90" s="1209"/>
      <c r="BH90" s="717">
        <f t="shared" si="223"/>
        <v>3683194.4480643929</v>
      </c>
      <c r="BI90" s="717"/>
      <c r="BJ90" s="717">
        <f t="shared" si="224"/>
        <v>3683194.4480643929</v>
      </c>
      <c r="BK90" s="717"/>
      <c r="BL90" s="717">
        <f t="shared" si="225"/>
        <v>3683194.4480643929</v>
      </c>
      <c r="BM90" s="717"/>
      <c r="BN90" s="717">
        <f t="shared" si="226"/>
        <v>3683194.4480643929</v>
      </c>
      <c r="BO90" s="717"/>
      <c r="BP90" s="717">
        <f t="shared" si="184"/>
        <v>3683194.4480643929</v>
      </c>
      <c r="BQ90" s="717"/>
      <c r="BR90" s="717">
        <f t="shared" si="285"/>
        <v>3683194.4480643929</v>
      </c>
      <c r="BS90" s="717"/>
      <c r="BT90" s="717">
        <f t="shared" si="227"/>
        <v>3683194.4480643929</v>
      </c>
      <c r="BU90" s="717"/>
      <c r="BV90" s="1235">
        <f t="shared" si="286"/>
        <v>51400</v>
      </c>
      <c r="BW90" s="717">
        <f t="shared" si="228"/>
        <v>3734594.4480643929</v>
      </c>
      <c r="BX90" s="717"/>
      <c r="BY90" s="717">
        <f t="shared" si="229"/>
        <v>3734594.4480643929</v>
      </c>
      <c r="BZ90" s="1194">
        <f t="shared" si="230"/>
        <v>3734594.4480643929</v>
      </c>
      <c r="CA90" s="1194">
        <f t="shared" si="231"/>
        <v>3030594.4480643929</v>
      </c>
      <c r="CB90" s="1194">
        <v>32000</v>
      </c>
      <c r="CC90" s="1194">
        <f t="shared" si="232"/>
        <v>704000</v>
      </c>
      <c r="CD90" s="1194">
        <f t="shared" si="233"/>
        <v>84480</v>
      </c>
      <c r="CE90" s="1194">
        <f t="shared" si="234"/>
        <v>788480</v>
      </c>
      <c r="CF90" s="1200">
        <f t="shared" si="235"/>
        <v>3819074.4480643929</v>
      </c>
      <c r="CG90" s="757">
        <f t="shared" si="236"/>
        <v>3819074.4480643929</v>
      </c>
      <c r="CH90" s="758">
        <f t="shared" si="237"/>
        <v>0</v>
      </c>
      <c r="CI90" s="757">
        <f t="shared" si="185"/>
        <v>391455.13092660025</v>
      </c>
      <c r="CJ90" s="757">
        <f t="shared" si="186"/>
        <v>95476.861201609834</v>
      </c>
      <c r="CK90" s="759">
        <f t="shared" si="155"/>
        <v>4306006.4401926026</v>
      </c>
      <c r="CL90" s="764">
        <f t="shared" si="238"/>
        <v>0.125</v>
      </c>
      <c r="CM90" s="757">
        <f t="shared" si="239"/>
        <v>538250.80502407532</v>
      </c>
      <c r="CN90" s="757">
        <f t="shared" si="281"/>
        <v>30000</v>
      </c>
      <c r="CO90" s="757">
        <f t="shared" si="240"/>
        <v>508250.80502407532</v>
      </c>
      <c r="CP90" s="755">
        <f t="shared" si="241"/>
        <v>29</v>
      </c>
      <c r="CQ90" s="757">
        <f t="shared" si="283"/>
        <v>17525.889828416392</v>
      </c>
      <c r="CR90" s="764">
        <f t="shared" si="242"/>
        <v>0.875</v>
      </c>
      <c r="CS90" s="757">
        <f t="shared" si="243"/>
        <v>3767755.6351685273</v>
      </c>
      <c r="CT90" s="1101">
        <f t="shared" si="244"/>
        <v>29211.36933618176</v>
      </c>
      <c r="CU90" s="1101">
        <f t="shared" si="245"/>
        <v>33865.652825530153</v>
      </c>
      <c r="CV90" s="1101">
        <f t="shared" si="246"/>
        <v>43746.837686681865</v>
      </c>
      <c r="CW90" s="1141">
        <f t="shared" si="187"/>
        <v>74606.077383492782</v>
      </c>
      <c r="CX90" s="1152">
        <f t="shared" si="247"/>
        <v>306066.76610985096</v>
      </c>
      <c r="CY90" s="1152">
        <f t="shared" si="248"/>
        <v>121109.12841285109</v>
      </c>
      <c r="CZ90" s="1152">
        <f t="shared" si="249"/>
        <v>87475.408160448584</v>
      </c>
      <c r="DA90" s="1152">
        <f t="shared" si="250"/>
        <v>66572.812769898912</v>
      </c>
      <c r="DB90" s="1143">
        <f t="shared" si="188"/>
        <v>0.14114679474565434</v>
      </c>
      <c r="DC90" s="1143">
        <f t="shared" si="251"/>
        <v>0.26017337968252185</v>
      </c>
      <c r="DD90" s="1098" t="s">
        <v>232</v>
      </c>
      <c r="DE90" s="1144"/>
      <c r="DF90" s="705"/>
      <c r="DG90" s="765">
        <f t="shared" si="282"/>
        <v>46082</v>
      </c>
      <c r="DH90" s="1116">
        <f t="shared" si="189"/>
        <v>28</v>
      </c>
      <c r="DI90" s="497"/>
      <c r="DJ90" s="1117">
        <f t="shared" si="252"/>
        <v>46147</v>
      </c>
      <c r="DK90" s="1116">
        <f t="shared" si="253"/>
        <v>30</v>
      </c>
      <c r="DL90" s="766" t="s">
        <v>233</v>
      </c>
      <c r="DM90" s="766" t="s">
        <v>234</v>
      </c>
      <c r="DN90" s="767">
        <f t="shared" si="190"/>
        <v>21556.965015699934</v>
      </c>
      <c r="DO90" s="767">
        <f t="shared" si="191"/>
        <v>474253.23034539854</v>
      </c>
      <c r="DP90" s="768">
        <f t="shared" si="192"/>
        <v>0.15808441011513286</v>
      </c>
      <c r="DR90" s="767">
        <f t="shared" si="193"/>
        <v>3819074.4480643929</v>
      </c>
      <c r="DS90" s="767">
        <f>SUM('[6]INTERNAL PRICELIST'!M90)</f>
        <v>2329361</v>
      </c>
      <c r="DT90" s="767">
        <f t="shared" si="254"/>
        <v>1489713.4480643929</v>
      </c>
      <c r="DV90" s="951">
        <f t="shared" si="194"/>
        <v>173594.29309383605</v>
      </c>
      <c r="DX90" s="772">
        <v>13</v>
      </c>
      <c r="DY90" s="773" t="s">
        <v>289</v>
      </c>
      <c r="DZ90" s="774">
        <v>22</v>
      </c>
      <c r="EA90" s="775">
        <f t="shared" si="195"/>
        <v>0</v>
      </c>
      <c r="ED90" s="755" t="s">
        <v>435</v>
      </c>
      <c r="EE90" s="777" t="b">
        <f t="shared" si="196"/>
        <v>1</v>
      </c>
      <c r="EF90" s="1123" t="s">
        <v>436</v>
      </c>
      <c r="EG90" s="1123" t="s">
        <v>394</v>
      </c>
      <c r="EH90" s="1203"/>
      <c r="EP90" s="1230" t="s">
        <v>236</v>
      </c>
      <c r="EQ90" s="1145" t="s">
        <v>236</v>
      </c>
      <c r="ER90" s="753" t="b">
        <f t="shared" si="255"/>
        <v>1</v>
      </c>
      <c r="EU90" s="770">
        <v>2360460</v>
      </c>
      <c r="EV90" s="771" t="s">
        <v>236</v>
      </c>
      <c r="EZ90" s="520"/>
      <c r="FA90" s="778"/>
      <c r="FG90" s="1107"/>
      <c r="FJ90" s="994">
        <v>0.15</v>
      </c>
      <c r="FK90" s="993">
        <v>12931.189511786559</v>
      </c>
      <c r="FL90" s="993">
        <v>13280.681120213221</v>
      </c>
      <c r="FM90" s="497"/>
      <c r="FN90" s="993">
        <f t="shared" si="197"/>
        <v>4306006.4401926026</v>
      </c>
      <c r="FO90" s="994">
        <f t="shared" si="256"/>
        <v>0.15</v>
      </c>
      <c r="FP90" s="775">
        <f t="shared" si="198"/>
        <v>645900.96602889034</v>
      </c>
      <c r="FQ90" s="993">
        <f t="shared" si="199"/>
        <v>30000</v>
      </c>
      <c r="FR90" s="775">
        <f t="shared" si="257"/>
        <v>615900.96602889034</v>
      </c>
      <c r="FS90" s="497">
        <f t="shared" si="258"/>
        <v>40</v>
      </c>
      <c r="FT90" s="775">
        <f t="shared" si="259"/>
        <v>15397.524150722258</v>
      </c>
      <c r="FU90" s="497"/>
      <c r="FV90" s="993">
        <f t="shared" si="260"/>
        <v>4306006.4401926026</v>
      </c>
      <c r="FW90" s="705">
        <f t="shared" si="261"/>
        <v>430600.6440192603</v>
      </c>
      <c r="FX90" s="705">
        <f t="shared" si="262"/>
        <v>107650.16100481508</v>
      </c>
      <c r="FY90" s="705">
        <v>15000</v>
      </c>
      <c r="FZ90" s="705">
        <f t="shared" si="263"/>
        <v>415600.6440192603</v>
      </c>
      <c r="GA90" s="497">
        <f t="shared" si="264"/>
        <v>46</v>
      </c>
      <c r="GB90" s="775">
        <f t="shared" si="265"/>
        <v>9034.7966091143553</v>
      </c>
      <c r="GC90" s="497"/>
      <c r="GD90" s="497"/>
      <c r="GE90" s="1107"/>
      <c r="GH90" s="1095">
        <f t="shared" si="161"/>
        <v>4306006.4401926026</v>
      </c>
      <c r="GI90" s="1098">
        <f t="shared" si="162"/>
        <v>0.125</v>
      </c>
      <c r="GJ90" s="1095">
        <f t="shared" si="163"/>
        <v>538250.80502407532</v>
      </c>
      <c r="GK90" s="1095">
        <f t="shared" si="164"/>
        <v>30000</v>
      </c>
      <c r="GL90" s="1095">
        <f t="shared" si="165"/>
        <v>508250.80502407532</v>
      </c>
      <c r="GM90" s="1095">
        <f t="shared" si="166"/>
        <v>29</v>
      </c>
      <c r="GN90" s="1095">
        <f t="shared" si="167"/>
        <v>17525.889828416392</v>
      </c>
      <c r="GO90" s="1098">
        <f t="shared" si="168"/>
        <v>0.875</v>
      </c>
      <c r="GP90" s="1095">
        <f t="shared" si="169"/>
        <v>3767755.6351685273</v>
      </c>
      <c r="GQ90" s="1095">
        <f t="shared" si="170"/>
        <v>29211.36933618176</v>
      </c>
      <c r="GR90" s="1095">
        <f t="shared" si="171"/>
        <v>33865.652825530153</v>
      </c>
      <c r="GS90" s="1095">
        <f t="shared" si="172"/>
        <v>43746.837686681865</v>
      </c>
      <c r="GT90" s="1095">
        <f t="shared" si="173"/>
        <v>74606.077383492782</v>
      </c>
      <c r="GU90" s="497"/>
      <c r="GV90" s="1095">
        <f t="shared" si="266"/>
        <v>4306006.4401926026</v>
      </c>
      <c r="GW90" s="1098">
        <f t="shared" si="267"/>
        <v>0.125</v>
      </c>
      <c r="GX90" s="1095">
        <f t="shared" si="268"/>
        <v>538250.80502407532</v>
      </c>
      <c r="GY90" s="1095">
        <f t="shared" si="269"/>
        <v>30000</v>
      </c>
      <c r="GZ90" s="1095">
        <f t="shared" si="270"/>
        <v>508250.80502407532</v>
      </c>
      <c r="HA90" s="1106">
        <f t="shared" si="271"/>
        <v>48</v>
      </c>
      <c r="HB90" s="770">
        <f t="shared" si="272"/>
        <v>10588.55843800157</v>
      </c>
      <c r="HC90" s="1098">
        <f t="shared" si="273"/>
        <v>0.875</v>
      </c>
      <c r="HD90" s="1102">
        <f t="shared" si="274"/>
        <v>3767755.6351685273</v>
      </c>
      <c r="HE90" s="1101">
        <f t="shared" si="275"/>
        <v>29211.36933618176</v>
      </c>
      <c r="HF90" s="1101">
        <f t="shared" si="276"/>
        <v>33865.652825530153</v>
      </c>
      <c r="HG90" s="1101">
        <f t="shared" si="277"/>
        <v>43746.837686681865</v>
      </c>
      <c r="HH90" s="1101">
        <f t="shared" si="278"/>
        <v>74606.077383492782</v>
      </c>
      <c r="HI90" s="497"/>
      <c r="HJ90" s="1102">
        <f t="shared" si="279"/>
        <v>-6937.3313904148217</v>
      </c>
      <c r="HL90" s="775"/>
      <c r="HN90" s="775"/>
      <c r="HO90" s="775"/>
      <c r="HQ90" s="702"/>
      <c r="HR90" s="1171"/>
      <c r="HS90" s="702"/>
      <c r="HT90" s="1171"/>
    </row>
    <row r="91" spans="1:228" ht="14.25" hidden="1" customHeight="1">
      <c r="A91" s="753">
        <f t="shared" si="280"/>
        <v>85</v>
      </c>
      <c r="B91" s="753" t="s">
        <v>236</v>
      </c>
      <c r="C91" s="753">
        <f t="shared" si="174"/>
        <v>23</v>
      </c>
      <c r="D91" s="753" t="s">
        <v>260</v>
      </c>
      <c r="E91" s="717" t="str">
        <f t="shared" si="200"/>
        <v>5th Floor</v>
      </c>
      <c r="F91" s="754"/>
      <c r="G91" s="756" t="s">
        <v>437</v>
      </c>
      <c r="H91" s="756"/>
      <c r="I91" s="755" t="s">
        <v>229</v>
      </c>
      <c r="J91" s="757">
        <v>22</v>
      </c>
      <c r="K91" s="758"/>
      <c r="L91" s="759" t="s">
        <v>69</v>
      </c>
      <c r="M91" s="760" t="s">
        <v>68</v>
      </c>
      <c r="N91" s="761">
        <f t="shared" si="201"/>
        <v>106005.26567735759</v>
      </c>
      <c r="O91" s="762">
        <f t="shared" si="202"/>
        <v>2332115.8449018667</v>
      </c>
      <c r="P91" s="762">
        <f t="shared" si="203"/>
        <v>22400</v>
      </c>
      <c r="Q91" s="762">
        <f t="shared" si="175"/>
        <v>50000</v>
      </c>
      <c r="R91" s="762"/>
      <c r="S91" s="762"/>
      <c r="T91" s="762"/>
      <c r="U91" s="762"/>
      <c r="V91" s="762"/>
      <c r="W91" s="762"/>
      <c r="X91" s="762"/>
      <c r="Y91" s="762">
        <f t="shared" si="176"/>
        <v>20000</v>
      </c>
      <c r="Z91" s="762">
        <f t="shared" si="177"/>
        <v>142461</v>
      </c>
      <c r="AA91" s="762">
        <v>49222.732758620703</v>
      </c>
      <c r="AB91" s="762"/>
      <c r="AC91" s="762"/>
      <c r="AD91" s="763">
        <f t="shared" si="204"/>
        <v>284083.7327586207</v>
      </c>
      <c r="AE91" s="763">
        <f t="shared" si="178"/>
        <v>2616199.5776604875</v>
      </c>
      <c r="AF91" s="762">
        <f t="shared" si="179"/>
        <v>65404.989441512189</v>
      </c>
      <c r="AG91" s="762">
        <f t="shared" si="205"/>
        <v>2681604.5671019997</v>
      </c>
      <c r="AH91" s="762">
        <f t="shared" si="180"/>
        <v>67040.11417755</v>
      </c>
      <c r="AI91" s="762">
        <f t="shared" si="206"/>
        <v>2748644.6812795498</v>
      </c>
      <c r="AJ91" s="762">
        <f t="shared" si="207"/>
        <v>137432.23406397749</v>
      </c>
      <c r="AK91" s="762">
        <f t="shared" si="208"/>
        <v>2886076.9153435272</v>
      </c>
      <c r="AL91" s="762">
        <f>AK91*AL$5+29772.4420833333</f>
        <v>58633.211236768577</v>
      </c>
      <c r="AM91" s="762">
        <f t="shared" si="210"/>
        <v>27537.409960060559</v>
      </c>
      <c r="AN91" s="762"/>
      <c r="AO91" s="763">
        <f t="shared" si="211"/>
        <v>2972247.536540356</v>
      </c>
      <c r="AP91" s="763">
        <f t="shared" si="212"/>
        <v>490420.84352915874</v>
      </c>
      <c r="AQ91" s="763">
        <f t="shared" si="213"/>
        <v>3462668.3800695147</v>
      </c>
      <c r="AR91" s="1178">
        <f t="shared" si="181"/>
        <v>3000000</v>
      </c>
      <c r="AS91" s="1178">
        <f t="shared" si="214"/>
        <v>21030.380912250668</v>
      </c>
      <c r="AT91" s="1178">
        <f t="shared" si="215"/>
        <v>462668.38006951474</v>
      </c>
      <c r="AU91" s="1178">
        <f t="shared" si="182"/>
        <v>55520.205608341763</v>
      </c>
      <c r="AV91" s="1178">
        <f t="shared" si="216"/>
        <v>518188.58567785652</v>
      </c>
      <c r="AW91" s="1178">
        <f t="shared" si="217"/>
        <v>3518188.5856778566</v>
      </c>
      <c r="AX91" s="762">
        <f t="shared" si="218"/>
        <v>43977.357320973213</v>
      </c>
      <c r="AY91" s="717" t="s">
        <v>231</v>
      </c>
      <c r="AZ91" s="717">
        <f t="shared" si="219"/>
        <v>3562165.9429988298</v>
      </c>
      <c r="BA91" s="717">
        <f t="shared" si="220"/>
        <v>133581.22286245611</v>
      </c>
      <c r="BB91" s="717"/>
      <c r="BC91" s="717">
        <f t="shared" si="183"/>
        <v>33600</v>
      </c>
      <c r="BD91" s="717">
        <f t="shared" si="221"/>
        <v>3729347.1658612858</v>
      </c>
      <c r="BE91" s="717"/>
      <c r="BF91" s="717">
        <f t="shared" si="222"/>
        <v>3729347.1658612858</v>
      </c>
      <c r="BG91" s="1209"/>
      <c r="BH91" s="717">
        <f t="shared" si="223"/>
        <v>3729347.1658612858</v>
      </c>
      <c r="BI91" s="717"/>
      <c r="BJ91" s="717">
        <f t="shared" si="224"/>
        <v>3729347.1658612858</v>
      </c>
      <c r="BK91" s="717"/>
      <c r="BL91" s="717">
        <f t="shared" si="225"/>
        <v>3729347.1658612858</v>
      </c>
      <c r="BM91" s="717"/>
      <c r="BN91" s="717">
        <f t="shared" si="226"/>
        <v>3729347.1658612858</v>
      </c>
      <c r="BO91" s="717"/>
      <c r="BP91" s="717">
        <f t="shared" si="184"/>
        <v>3729347.1658612858</v>
      </c>
      <c r="BQ91" s="717"/>
      <c r="BR91" s="717">
        <f t="shared" si="285"/>
        <v>3729347.1658612858</v>
      </c>
      <c r="BS91" s="717"/>
      <c r="BT91" s="717">
        <f t="shared" si="227"/>
        <v>3729347.1658612858</v>
      </c>
      <c r="BU91" s="717"/>
      <c r="BV91" s="1235">
        <f t="shared" si="286"/>
        <v>51400</v>
      </c>
      <c r="BW91" s="717">
        <f t="shared" si="228"/>
        <v>3780747.1658612858</v>
      </c>
      <c r="BX91" s="717"/>
      <c r="BY91" s="717">
        <f t="shared" si="229"/>
        <v>3780747.1658612858</v>
      </c>
      <c r="BZ91" s="1194">
        <f t="shared" si="230"/>
        <v>3780747.1658612858</v>
      </c>
      <c r="CA91" s="1194">
        <f t="shared" si="231"/>
        <v>3043747.1658612858</v>
      </c>
      <c r="CB91" s="1194">
        <v>33500</v>
      </c>
      <c r="CC91" s="1194">
        <f t="shared" si="232"/>
        <v>737000</v>
      </c>
      <c r="CD91" s="1194">
        <f t="shared" si="233"/>
        <v>88440</v>
      </c>
      <c r="CE91" s="1194">
        <f t="shared" si="234"/>
        <v>825440</v>
      </c>
      <c r="CF91" s="1200">
        <f t="shared" si="235"/>
        <v>3869187.1658612858</v>
      </c>
      <c r="CG91" s="757">
        <f t="shared" si="236"/>
        <v>3869187.1658612858</v>
      </c>
      <c r="CH91" s="758">
        <f t="shared" si="237"/>
        <v>0</v>
      </c>
      <c r="CI91" s="757">
        <f t="shared" si="185"/>
        <v>396591.68450078176</v>
      </c>
      <c r="CJ91" s="757">
        <f t="shared" si="186"/>
        <v>96729.679146532144</v>
      </c>
      <c r="CK91" s="759">
        <f t="shared" si="155"/>
        <v>4362508.5295085991</v>
      </c>
      <c r="CL91" s="764">
        <f t="shared" si="238"/>
        <v>0.125</v>
      </c>
      <c r="CM91" s="757">
        <f t="shared" si="239"/>
        <v>545313.56618857489</v>
      </c>
      <c r="CN91" s="757">
        <f t="shared" si="281"/>
        <v>30000</v>
      </c>
      <c r="CO91" s="757">
        <f t="shared" si="240"/>
        <v>515313.56618857489</v>
      </c>
      <c r="CP91" s="755">
        <f t="shared" si="241"/>
        <v>29</v>
      </c>
      <c r="CQ91" s="757">
        <f t="shared" si="283"/>
        <v>17769.433316847411</v>
      </c>
      <c r="CR91" s="764">
        <f t="shared" si="242"/>
        <v>0.875</v>
      </c>
      <c r="CS91" s="757">
        <f t="shared" si="243"/>
        <v>3817194.9633200243</v>
      </c>
      <c r="CT91" s="1101">
        <f t="shared" si="244"/>
        <v>29594.671921117442</v>
      </c>
      <c r="CU91" s="1101">
        <f t="shared" si="245"/>
        <v>34310.02748387531</v>
      </c>
      <c r="CV91" s="1101">
        <f t="shared" si="246"/>
        <v>44320.870207207947</v>
      </c>
      <c r="CW91" s="1141">
        <f t="shared" si="187"/>
        <v>75585.035335922061</v>
      </c>
      <c r="CX91" s="1152">
        <f t="shared" si="247"/>
        <v>310082.87987920782</v>
      </c>
      <c r="CY91" s="1152">
        <f t="shared" si="248"/>
        <v>122698.28506777223</v>
      </c>
      <c r="CZ91" s="1152">
        <f t="shared" si="249"/>
        <v>88623.233504763164</v>
      </c>
      <c r="DA91" s="1152">
        <f t="shared" si="250"/>
        <v>67446.36070007192</v>
      </c>
      <c r="DB91" s="1143">
        <f t="shared" si="188"/>
        <v>0.15422279335650491</v>
      </c>
      <c r="DC91" s="1143">
        <f t="shared" si="251"/>
        <v>0.27119203896373112</v>
      </c>
      <c r="DD91" s="1098" t="s">
        <v>232</v>
      </c>
      <c r="DE91" s="1144"/>
      <c r="DF91" s="705"/>
      <c r="DG91" s="765">
        <f t="shared" si="282"/>
        <v>46082</v>
      </c>
      <c r="DH91" s="1116">
        <f t="shared" si="189"/>
        <v>28</v>
      </c>
      <c r="DI91" s="497"/>
      <c r="DJ91" s="1117">
        <f t="shared" si="252"/>
        <v>46147</v>
      </c>
      <c r="DK91" s="1116">
        <f t="shared" si="253"/>
        <v>30</v>
      </c>
      <c r="DL91" s="766" t="s">
        <v>233</v>
      </c>
      <c r="DM91" s="766" t="s">
        <v>234</v>
      </c>
      <c r="DN91" s="767">
        <f t="shared" si="190"/>
        <v>23554.02662172075</v>
      </c>
      <c r="DO91" s="767">
        <f t="shared" si="191"/>
        <v>518188.58567785652</v>
      </c>
      <c r="DP91" s="768">
        <f t="shared" si="192"/>
        <v>0.1727295285592855</v>
      </c>
      <c r="DR91" s="767">
        <f t="shared" si="193"/>
        <v>3869187.1658612858</v>
      </c>
      <c r="DS91" s="767">
        <f>SUM('[6]INTERNAL PRICELIST'!M91)</f>
        <v>2329361</v>
      </c>
      <c r="DT91" s="767">
        <f t="shared" si="254"/>
        <v>1539826.1658612858</v>
      </c>
      <c r="DV91" s="951">
        <f t="shared" si="194"/>
        <v>175872.14390278573</v>
      </c>
      <c r="DX91" s="772">
        <v>14</v>
      </c>
      <c r="DY91" s="773" t="s">
        <v>294</v>
      </c>
      <c r="DZ91" s="774">
        <v>22</v>
      </c>
      <c r="EA91" s="775">
        <f t="shared" si="195"/>
        <v>0</v>
      </c>
      <c r="ED91" s="755" t="s">
        <v>437</v>
      </c>
      <c r="EE91" s="777" t="b">
        <f t="shared" si="196"/>
        <v>1</v>
      </c>
      <c r="EF91" s="1123" t="s">
        <v>438</v>
      </c>
      <c r="EG91" s="1123" t="s">
        <v>394</v>
      </c>
      <c r="EH91" s="1203"/>
      <c r="EP91" s="1230" t="s">
        <v>236</v>
      </c>
      <c r="EQ91" s="1145" t="s">
        <v>236</v>
      </c>
      <c r="ER91" s="753" t="b">
        <f t="shared" si="255"/>
        <v>1</v>
      </c>
      <c r="EU91" s="770">
        <v>2481161</v>
      </c>
      <c r="EV91" s="771" t="s">
        <v>236</v>
      </c>
      <c r="EZ91" s="520"/>
      <c r="FA91" s="778"/>
      <c r="FG91" s="1107"/>
      <c r="FJ91" s="994">
        <v>0.15</v>
      </c>
      <c r="FK91" s="993">
        <v>12931.189511786559</v>
      </c>
      <c r="FL91" s="993">
        <v>13280.681120213221</v>
      </c>
      <c r="FM91" s="497"/>
      <c r="FN91" s="993">
        <f t="shared" si="197"/>
        <v>4362508.5295085991</v>
      </c>
      <c r="FO91" s="994">
        <f t="shared" si="256"/>
        <v>0.15</v>
      </c>
      <c r="FP91" s="775">
        <f t="shared" si="198"/>
        <v>654376.27942628984</v>
      </c>
      <c r="FQ91" s="993">
        <f t="shared" si="199"/>
        <v>30000</v>
      </c>
      <c r="FR91" s="775">
        <f t="shared" si="257"/>
        <v>624376.27942628984</v>
      </c>
      <c r="FS91" s="497">
        <f t="shared" si="258"/>
        <v>40</v>
      </c>
      <c r="FT91" s="775">
        <f t="shared" si="259"/>
        <v>15609.406985657246</v>
      </c>
      <c r="FU91" s="497"/>
      <c r="FV91" s="993">
        <f t="shared" si="260"/>
        <v>4362508.5295085991</v>
      </c>
      <c r="FW91" s="705">
        <f t="shared" si="261"/>
        <v>436250.85295085993</v>
      </c>
      <c r="FX91" s="705">
        <f t="shared" si="262"/>
        <v>109062.71323771498</v>
      </c>
      <c r="FY91" s="705">
        <v>15000</v>
      </c>
      <c r="FZ91" s="705">
        <f t="shared" si="263"/>
        <v>421250.85295085993</v>
      </c>
      <c r="GA91" s="497">
        <f t="shared" si="264"/>
        <v>46</v>
      </c>
      <c r="GB91" s="775">
        <f t="shared" si="265"/>
        <v>9157.6272380621722</v>
      </c>
      <c r="GC91" s="497"/>
      <c r="GD91" s="497"/>
      <c r="GE91" s="1107"/>
      <c r="GH91" s="1095">
        <f t="shared" si="161"/>
        <v>4362508.5295085991</v>
      </c>
      <c r="GI91" s="1098">
        <f t="shared" si="162"/>
        <v>0.125</v>
      </c>
      <c r="GJ91" s="1095">
        <f t="shared" si="163"/>
        <v>545313.56618857489</v>
      </c>
      <c r="GK91" s="1095">
        <f t="shared" si="164"/>
        <v>30000</v>
      </c>
      <c r="GL91" s="1095">
        <f t="shared" si="165"/>
        <v>515313.56618857489</v>
      </c>
      <c r="GM91" s="1095">
        <f t="shared" si="166"/>
        <v>29</v>
      </c>
      <c r="GN91" s="1095">
        <f t="shared" si="167"/>
        <v>17769.433316847411</v>
      </c>
      <c r="GO91" s="1098">
        <f t="shared" si="168"/>
        <v>0.875</v>
      </c>
      <c r="GP91" s="1095">
        <f t="shared" si="169"/>
        <v>3817194.9633200243</v>
      </c>
      <c r="GQ91" s="1095">
        <f t="shared" si="170"/>
        <v>29594.671921117442</v>
      </c>
      <c r="GR91" s="1095">
        <f t="shared" si="171"/>
        <v>34310.02748387531</v>
      </c>
      <c r="GS91" s="1095">
        <f t="shared" si="172"/>
        <v>44320.870207207947</v>
      </c>
      <c r="GT91" s="1095">
        <f t="shared" si="173"/>
        <v>75585.035335922061</v>
      </c>
      <c r="GU91" s="497"/>
      <c r="GV91" s="1095">
        <f t="shared" si="266"/>
        <v>4362508.5295085991</v>
      </c>
      <c r="GW91" s="1098">
        <f t="shared" si="267"/>
        <v>0.125</v>
      </c>
      <c r="GX91" s="1095">
        <f t="shared" si="268"/>
        <v>545313.56618857489</v>
      </c>
      <c r="GY91" s="1095">
        <f t="shared" si="269"/>
        <v>30000</v>
      </c>
      <c r="GZ91" s="1095">
        <f t="shared" si="270"/>
        <v>515313.56618857489</v>
      </c>
      <c r="HA91" s="1106">
        <f t="shared" si="271"/>
        <v>48</v>
      </c>
      <c r="HB91" s="770">
        <f t="shared" si="272"/>
        <v>10735.69929559531</v>
      </c>
      <c r="HC91" s="1098">
        <f t="shared" si="273"/>
        <v>0.875</v>
      </c>
      <c r="HD91" s="1102">
        <f t="shared" si="274"/>
        <v>3817194.9633200243</v>
      </c>
      <c r="HE91" s="1101">
        <f t="shared" si="275"/>
        <v>29594.671921117442</v>
      </c>
      <c r="HF91" s="1101">
        <f t="shared" si="276"/>
        <v>34310.02748387531</v>
      </c>
      <c r="HG91" s="1101">
        <f t="shared" si="277"/>
        <v>44320.870207207947</v>
      </c>
      <c r="HH91" s="1101">
        <f t="shared" si="278"/>
        <v>75585.035335922061</v>
      </c>
      <c r="HI91" s="497"/>
      <c r="HJ91" s="1102">
        <f t="shared" si="279"/>
        <v>-7033.7340212521012</v>
      </c>
      <c r="HL91" s="775"/>
      <c r="HN91" s="775"/>
      <c r="HO91" s="775"/>
      <c r="HQ91" s="702"/>
      <c r="HR91" s="1171"/>
      <c r="HS91" s="702"/>
      <c r="HT91" s="1171"/>
    </row>
    <row r="92" spans="1:228" ht="14.25" hidden="1" customHeight="1">
      <c r="A92" s="753">
        <f t="shared" si="280"/>
        <v>86</v>
      </c>
      <c r="B92" s="753" t="s">
        <v>236</v>
      </c>
      <c r="C92" s="753">
        <f t="shared" si="174"/>
        <v>24</v>
      </c>
      <c r="D92" s="753" t="s">
        <v>260</v>
      </c>
      <c r="E92" s="717" t="str">
        <f t="shared" si="200"/>
        <v>5th Floor</v>
      </c>
      <c r="F92" s="754"/>
      <c r="G92" s="756" t="s">
        <v>439</v>
      </c>
      <c r="H92" s="756"/>
      <c r="I92" s="755" t="s">
        <v>229</v>
      </c>
      <c r="J92" s="757">
        <v>22</v>
      </c>
      <c r="K92" s="758"/>
      <c r="L92" s="759" t="s">
        <v>69</v>
      </c>
      <c r="M92" s="760" t="s">
        <v>68</v>
      </c>
      <c r="N92" s="761">
        <f t="shared" si="201"/>
        <v>106005.26567735759</v>
      </c>
      <c r="O92" s="762">
        <f t="shared" si="202"/>
        <v>2332115.8449018667</v>
      </c>
      <c r="P92" s="762">
        <f t="shared" si="203"/>
        <v>22400</v>
      </c>
      <c r="Q92" s="762">
        <f t="shared" si="175"/>
        <v>50000</v>
      </c>
      <c r="R92" s="762"/>
      <c r="S92" s="762"/>
      <c r="T92" s="762"/>
      <c r="U92" s="762"/>
      <c r="V92" s="762"/>
      <c r="W92" s="762"/>
      <c r="X92" s="762"/>
      <c r="Y92" s="762">
        <f t="shared" si="176"/>
        <v>20000</v>
      </c>
      <c r="Z92" s="762">
        <f t="shared" si="177"/>
        <v>142461</v>
      </c>
      <c r="AA92" s="762">
        <v>45722.732758620688</v>
      </c>
      <c r="AB92" s="762"/>
      <c r="AC92" s="762"/>
      <c r="AD92" s="763">
        <f t="shared" si="204"/>
        <v>280583.7327586207</v>
      </c>
      <c r="AE92" s="763">
        <f t="shared" si="178"/>
        <v>2612699.5776604875</v>
      </c>
      <c r="AF92" s="762">
        <f t="shared" si="179"/>
        <v>65317.489441512189</v>
      </c>
      <c r="AG92" s="762">
        <f t="shared" si="205"/>
        <v>2678017.0671019997</v>
      </c>
      <c r="AH92" s="762">
        <f t="shared" si="180"/>
        <v>66950.42667755</v>
      </c>
      <c r="AI92" s="762">
        <f t="shared" si="206"/>
        <v>2744967.4937795498</v>
      </c>
      <c r="AJ92" s="762">
        <f t="shared" si="207"/>
        <v>137248.37468897749</v>
      </c>
      <c r="AK92" s="762">
        <f t="shared" si="208"/>
        <v>2882215.8684685272</v>
      </c>
      <c r="AL92" s="762">
        <f t="shared" si="209"/>
        <v>28822.158684685273</v>
      </c>
      <c r="AM92" s="762">
        <f t="shared" si="210"/>
        <v>27537.409960060559</v>
      </c>
      <c r="AN92" s="762"/>
      <c r="AO92" s="763">
        <f t="shared" si="211"/>
        <v>2938575.437113273</v>
      </c>
      <c r="AP92" s="763">
        <f t="shared" si="212"/>
        <v>484864.94712369004</v>
      </c>
      <c r="AQ92" s="763">
        <f t="shared" si="213"/>
        <v>3423440.384236963</v>
      </c>
      <c r="AR92" s="1178">
        <f t="shared" si="181"/>
        <v>3000000</v>
      </c>
      <c r="AS92" s="1178">
        <f t="shared" si="214"/>
        <v>19247.290192589226</v>
      </c>
      <c r="AT92" s="1178">
        <f t="shared" si="215"/>
        <v>423440.384236963</v>
      </c>
      <c r="AU92" s="1178">
        <f t="shared" si="182"/>
        <v>50812.846108435559</v>
      </c>
      <c r="AV92" s="1178">
        <f t="shared" si="216"/>
        <v>474253.23034539854</v>
      </c>
      <c r="AW92" s="1178">
        <f t="shared" si="217"/>
        <v>3474253.2303453987</v>
      </c>
      <c r="AX92" s="762">
        <f t="shared" si="218"/>
        <v>43428.165379317485</v>
      </c>
      <c r="AY92" s="717" t="s">
        <v>231</v>
      </c>
      <c r="AZ92" s="717">
        <f t="shared" si="219"/>
        <v>3517681.3957247161</v>
      </c>
      <c r="BA92" s="717">
        <f t="shared" si="220"/>
        <v>131913.05233967685</v>
      </c>
      <c r="BB92" s="717"/>
      <c r="BC92" s="717">
        <f t="shared" si="183"/>
        <v>33600</v>
      </c>
      <c r="BD92" s="717">
        <f t="shared" si="221"/>
        <v>3683194.4480643929</v>
      </c>
      <c r="BE92" s="717"/>
      <c r="BF92" s="717">
        <f t="shared" si="222"/>
        <v>3683194.4480643929</v>
      </c>
      <c r="BG92" s="1209"/>
      <c r="BH92" s="717">
        <f t="shared" si="223"/>
        <v>3683194.4480643929</v>
      </c>
      <c r="BI92" s="717"/>
      <c r="BJ92" s="717">
        <f t="shared" si="224"/>
        <v>3683194.4480643929</v>
      </c>
      <c r="BK92" s="717"/>
      <c r="BL92" s="717">
        <f t="shared" si="225"/>
        <v>3683194.4480643929</v>
      </c>
      <c r="BM92" s="717"/>
      <c r="BN92" s="717">
        <f t="shared" si="226"/>
        <v>3683194.4480643929</v>
      </c>
      <c r="BO92" s="717"/>
      <c r="BP92" s="717">
        <f t="shared" si="184"/>
        <v>3683194.4480643929</v>
      </c>
      <c r="BQ92" s="717"/>
      <c r="BR92" s="717">
        <f t="shared" si="285"/>
        <v>3683194.4480643929</v>
      </c>
      <c r="BS92" s="717"/>
      <c r="BT92" s="717">
        <f t="shared" si="227"/>
        <v>3683194.4480643929</v>
      </c>
      <c r="BU92" s="717"/>
      <c r="BV92" s="1235">
        <f t="shared" si="286"/>
        <v>51400</v>
      </c>
      <c r="BW92" s="717">
        <f t="shared" si="228"/>
        <v>3734594.4480643929</v>
      </c>
      <c r="BX92" s="717"/>
      <c r="BY92" s="717">
        <f t="shared" si="229"/>
        <v>3734594.4480643929</v>
      </c>
      <c r="BZ92" s="1194">
        <f t="shared" si="230"/>
        <v>3734594.4480643929</v>
      </c>
      <c r="CA92" s="1194">
        <f t="shared" si="231"/>
        <v>3030594.4480643929</v>
      </c>
      <c r="CB92" s="1194">
        <v>32000</v>
      </c>
      <c r="CC92" s="1194">
        <f t="shared" si="232"/>
        <v>704000</v>
      </c>
      <c r="CD92" s="1194">
        <f t="shared" si="233"/>
        <v>84480</v>
      </c>
      <c r="CE92" s="1194">
        <f t="shared" si="234"/>
        <v>788480</v>
      </c>
      <c r="CF92" s="1200">
        <f t="shared" si="235"/>
        <v>3819074.4480643929</v>
      </c>
      <c r="CG92" s="757">
        <f t="shared" si="236"/>
        <v>3819074.4480643929</v>
      </c>
      <c r="CH92" s="758">
        <f t="shared" si="237"/>
        <v>0</v>
      </c>
      <c r="CI92" s="757">
        <f t="shared" si="185"/>
        <v>391455.13092660025</v>
      </c>
      <c r="CJ92" s="757">
        <f t="shared" si="186"/>
        <v>95476.861201609834</v>
      </c>
      <c r="CK92" s="759">
        <f t="shared" si="155"/>
        <v>4306006.4401926026</v>
      </c>
      <c r="CL92" s="764">
        <f t="shared" si="238"/>
        <v>0.125</v>
      </c>
      <c r="CM92" s="757">
        <f t="shared" si="239"/>
        <v>538250.80502407532</v>
      </c>
      <c r="CN92" s="757">
        <f t="shared" si="281"/>
        <v>30000</v>
      </c>
      <c r="CO92" s="757">
        <f t="shared" si="240"/>
        <v>508250.80502407532</v>
      </c>
      <c r="CP92" s="755">
        <f t="shared" si="241"/>
        <v>29</v>
      </c>
      <c r="CQ92" s="757">
        <f t="shared" si="283"/>
        <v>17525.889828416392</v>
      </c>
      <c r="CR92" s="764">
        <f t="shared" si="242"/>
        <v>0.875</v>
      </c>
      <c r="CS92" s="757">
        <f t="shared" si="243"/>
        <v>3767755.6351685273</v>
      </c>
      <c r="CT92" s="1101">
        <f t="shared" si="244"/>
        <v>29211.36933618176</v>
      </c>
      <c r="CU92" s="1101">
        <f t="shared" si="245"/>
        <v>33865.652825530153</v>
      </c>
      <c r="CV92" s="1101">
        <f t="shared" si="246"/>
        <v>43746.837686681865</v>
      </c>
      <c r="CW92" s="1141">
        <f t="shared" si="187"/>
        <v>74606.077383492782</v>
      </c>
      <c r="CX92" s="1152">
        <f t="shared" si="247"/>
        <v>306066.76610985096</v>
      </c>
      <c r="CY92" s="1152">
        <f t="shared" si="248"/>
        <v>121109.12841285109</v>
      </c>
      <c r="CZ92" s="1152">
        <f t="shared" si="249"/>
        <v>87475.408160448584</v>
      </c>
      <c r="DA92" s="1152">
        <f t="shared" si="250"/>
        <v>66572.812769898912</v>
      </c>
      <c r="DB92" s="1143">
        <f t="shared" si="188"/>
        <v>0.14114679474565434</v>
      </c>
      <c r="DC92" s="1143">
        <f t="shared" si="251"/>
        <v>0.26017337968252185</v>
      </c>
      <c r="DD92" s="1098" t="s">
        <v>232</v>
      </c>
      <c r="DE92" s="1144"/>
      <c r="DF92" s="705"/>
      <c r="DG92" s="765">
        <f t="shared" si="282"/>
        <v>46082</v>
      </c>
      <c r="DH92" s="1116">
        <f t="shared" si="189"/>
        <v>28</v>
      </c>
      <c r="DI92" s="497"/>
      <c r="DJ92" s="1117">
        <f t="shared" si="252"/>
        <v>46147</v>
      </c>
      <c r="DK92" s="1116">
        <f t="shared" si="253"/>
        <v>30</v>
      </c>
      <c r="DL92" s="766" t="s">
        <v>233</v>
      </c>
      <c r="DM92" s="766" t="s">
        <v>234</v>
      </c>
      <c r="DN92" s="767">
        <f t="shared" si="190"/>
        <v>21556.965015699934</v>
      </c>
      <c r="DO92" s="767">
        <f t="shared" si="191"/>
        <v>474253.23034539854</v>
      </c>
      <c r="DP92" s="768">
        <f t="shared" si="192"/>
        <v>0.15808441011513286</v>
      </c>
      <c r="DR92" s="767">
        <f t="shared" si="193"/>
        <v>3819074.4480643929</v>
      </c>
      <c r="DS92" s="767">
        <f>SUM('[6]INTERNAL PRICELIST'!M92)</f>
        <v>2329361</v>
      </c>
      <c r="DT92" s="767">
        <f t="shared" si="254"/>
        <v>1489713.4480643929</v>
      </c>
      <c r="DV92" s="951">
        <f t="shared" si="194"/>
        <v>173594.29309383605</v>
      </c>
      <c r="DX92" s="772">
        <v>15</v>
      </c>
      <c r="DY92" s="773" t="s">
        <v>299</v>
      </c>
      <c r="DZ92" s="774">
        <v>22</v>
      </c>
      <c r="EA92" s="775">
        <f t="shared" si="195"/>
        <v>0</v>
      </c>
      <c r="ED92" s="755" t="s">
        <v>440</v>
      </c>
      <c r="EE92" s="777" t="b">
        <f t="shared" si="196"/>
        <v>0</v>
      </c>
      <c r="EF92" s="1123" t="s">
        <v>441</v>
      </c>
      <c r="EG92" s="1123" t="s">
        <v>394</v>
      </c>
      <c r="EH92" s="1203"/>
      <c r="EP92" s="1230" t="s">
        <v>236</v>
      </c>
      <c r="EQ92" s="1145" t="s">
        <v>236</v>
      </c>
      <c r="ER92" s="753" t="b">
        <f t="shared" si="255"/>
        <v>1</v>
      </c>
      <c r="EU92" s="770">
        <v>2221760</v>
      </c>
      <c r="EV92" s="771" t="s">
        <v>236</v>
      </c>
      <c r="EZ92" s="520"/>
      <c r="FA92" s="778"/>
      <c r="FG92" s="1107"/>
      <c r="FJ92" s="994">
        <v>0.15</v>
      </c>
      <c r="FK92" s="993">
        <v>12931.189511786559</v>
      </c>
      <c r="FL92" s="993">
        <v>13280.681120213221</v>
      </c>
      <c r="FM92" s="497"/>
      <c r="FN92" s="993">
        <f t="shared" si="197"/>
        <v>4306006.4401926026</v>
      </c>
      <c r="FO92" s="994">
        <f t="shared" si="256"/>
        <v>0.15</v>
      </c>
      <c r="FP92" s="775">
        <f t="shared" si="198"/>
        <v>645900.96602889034</v>
      </c>
      <c r="FQ92" s="993">
        <f t="shared" si="199"/>
        <v>30000</v>
      </c>
      <c r="FR92" s="775">
        <f t="shared" si="257"/>
        <v>615900.96602889034</v>
      </c>
      <c r="FS92" s="497">
        <f t="shared" si="258"/>
        <v>40</v>
      </c>
      <c r="FT92" s="775">
        <f t="shared" si="259"/>
        <v>15397.524150722258</v>
      </c>
      <c r="FU92" s="497"/>
      <c r="FV92" s="993">
        <f t="shared" si="260"/>
        <v>4306006.4401926026</v>
      </c>
      <c r="FW92" s="705">
        <f t="shared" si="261"/>
        <v>430600.6440192603</v>
      </c>
      <c r="FX92" s="705">
        <f t="shared" si="262"/>
        <v>107650.16100481508</v>
      </c>
      <c r="FY92" s="705">
        <v>15000</v>
      </c>
      <c r="FZ92" s="705">
        <f t="shared" si="263"/>
        <v>415600.6440192603</v>
      </c>
      <c r="GA92" s="497">
        <f t="shared" si="264"/>
        <v>46</v>
      </c>
      <c r="GB92" s="775">
        <f t="shared" si="265"/>
        <v>9034.7966091143553</v>
      </c>
      <c r="GC92" s="497"/>
      <c r="GD92" s="497"/>
      <c r="GE92" s="1107"/>
      <c r="GH92" s="1095">
        <f t="shared" si="161"/>
        <v>4306006.4401926026</v>
      </c>
      <c r="GI92" s="1098">
        <f t="shared" si="162"/>
        <v>0.125</v>
      </c>
      <c r="GJ92" s="1095">
        <f t="shared" si="163"/>
        <v>538250.80502407532</v>
      </c>
      <c r="GK92" s="1095">
        <f t="shared" si="164"/>
        <v>30000</v>
      </c>
      <c r="GL92" s="1095">
        <f t="shared" si="165"/>
        <v>508250.80502407532</v>
      </c>
      <c r="GM92" s="1095">
        <f t="shared" si="166"/>
        <v>29</v>
      </c>
      <c r="GN92" s="1095">
        <f t="shared" si="167"/>
        <v>17525.889828416392</v>
      </c>
      <c r="GO92" s="1098">
        <f t="shared" si="168"/>
        <v>0.875</v>
      </c>
      <c r="GP92" s="1095">
        <f t="shared" si="169"/>
        <v>3767755.6351685273</v>
      </c>
      <c r="GQ92" s="1095">
        <f t="shared" si="170"/>
        <v>29211.36933618176</v>
      </c>
      <c r="GR92" s="1095">
        <f t="shared" si="171"/>
        <v>33865.652825530153</v>
      </c>
      <c r="GS92" s="1095">
        <f t="shared" si="172"/>
        <v>43746.837686681865</v>
      </c>
      <c r="GT92" s="1095">
        <f t="shared" si="173"/>
        <v>74606.077383492782</v>
      </c>
      <c r="GU92" s="497"/>
      <c r="GV92" s="1095">
        <f t="shared" si="266"/>
        <v>4306006.4401926026</v>
      </c>
      <c r="GW92" s="1098">
        <f t="shared" si="267"/>
        <v>0.125</v>
      </c>
      <c r="GX92" s="1095">
        <f t="shared" si="268"/>
        <v>538250.80502407532</v>
      </c>
      <c r="GY92" s="1095">
        <f t="shared" si="269"/>
        <v>30000</v>
      </c>
      <c r="GZ92" s="1095">
        <f t="shared" si="270"/>
        <v>508250.80502407532</v>
      </c>
      <c r="HA92" s="1106">
        <f t="shared" si="271"/>
        <v>48</v>
      </c>
      <c r="HB92" s="770">
        <f t="shared" si="272"/>
        <v>10588.55843800157</v>
      </c>
      <c r="HC92" s="1098">
        <f t="shared" si="273"/>
        <v>0.875</v>
      </c>
      <c r="HD92" s="1102">
        <f t="shared" si="274"/>
        <v>3767755.6351685273</v>
      </c>
      <c r="HE92" s="1101">
        <f t="shared" si="275"/>
        <v>29211.36933618176</v>
      </c>
      <c r="HF92" s="1101">
        <f t="shared" si="276"/>
        <v>33865.652825530153</v>
      </c>
      <c r="HG92" s="1101">
        <f t="shared" si="277"/>
        <v>43746.837686681865</v>
      </c>
      <c r="HH92" s="1101">
        <f t="shared" si="278"/>
        <v>74606.077383492782</v>
      </c>
      <c r="HI92" s="497"/>
      <c r="HJ92" s="1102">
        <f t="shared" si="279"/>
        <v>-6937.3313904148217</v>
      </c>
      <c r="HL92" s="775"/>
      <c r="HN92" s="775"/>
      <c r="HO92" s="775"/>
      <c r="HQ92" s="702"/>
      <c r="HR92" s="1171"/>
      <c r="HS92" s="702"/>
      <c r="HT92" s="1171"/>
    </row>
    <row r="93" spans="1:228" ht="14.25" hidden="1" customHeight="1">
      <c r="A93" s="753">
        <f t="shared" si="280"/>
        <v>87</v>
      </c>
      <c r="B93" s="753" t="s">
        <v>236</v>
      </c>
      <c r="C93" s="753">
        <f t="shared" si="174"/>
        <v>25</v>
      </c>
      <c r="D93" s="753" t="s">
        <v>260</v>
      </c>
      <c r="E93" s="717" t="str">
        <f t="shared" si="200"/>
        <v>5th Floor</v>
      </c>
      <c r="F93" s="754"/>
      <c r="G93" s="756" t="s">
        <v>442</v>
      </c>
      <c r="H93" s="756"/>
      <c r="I93" s="755" t="s">
        <v>229</v>
      </c>
      <c r="J93" s="757">
        <v>22</v>
      </c>
      <c r="K93" s="758"/>
      <c r="L93" s="759" t="s">
        <v>69</v>
      </c>
      <c r="M93" s="760" t="s">
        <v>230</v>
      </c>
      <c r="N93" s="761">
        <f t="shared" si="201"/>
        <v>106005.26567735759</v>
      </c>
      <c r="O93" s="762">
        <f t="shared" si="202"/>
        <v>2332115.8449018667</v>
      </c>
      <c r="P93" s="762">
        <f t="shared" si="203"/>
        <v>22400</v>
      </c>
      <c r="Q93" s="762">
        <f t="shared" si="175"/>
        <v>50000</v>
      </c>
      <c r="R93" s="762"/>
      <c r="S93" s="762"/>
      <c r="T93" s="762"/>
      <c r="U93" s="762"/>
      <c r="V93" s="762">
        <f t="shared" ref="V93:V94" si="288">J93*$V$5</f>
        <v>55000</v>
      </c>
      <c r="W93" s="762"/>
      <c r="X93" s="762"/>
      <c r="Y93" s="762">
        <f t="shared" si="176"/>
        <v>20000</v>
      </c>
      <c r="Z93" s="762">
        <f t="shared" si="177"/>
        <v>142461</v>
      </c>
      <c r="AA93" s="762">
        <v>45722.732758620688</v>
      </c>
      <c r="AB93" s="762"/>
      <c r="AC93" s="762"/>
      <c r="AD93" s="763">
        <f t="shared" si="204"/>
        <v>335583.7327586207</v>
      </c>
      <c r="AE93" s="763">
        <f t="shared" si="178"/>
        <v>2667699.5776604875</v>
      </c>
      <c r="AF93" s="762">
        <f t="shared" si="179"/>
        <v>66692.489441512196</v>
      </c>
      <c r="AG93" s="762">
        <f t="shared" si="205"/>
        <v>2734392.0671019997</v>
      </c>
      <c r="AH93" s="762">
        <f t="shared" si="180"/>
        <v>68359.80167755</v>
      </c>
      <c r="AI93" s="762">
        <f t="shared" si="206"/>
        <v>2802751.8687795498</v>
      </c>
      <c r="AJ93" s="762">
        <f t="shared" si="207"/>
        <v>140137.59343897749</v>
      </c>
      <c r="AK93" s="762">
        <f t="shared" si="208"/>
        <v>2942889.4622185272</v>
      </c>
      <c r="AL93" s="762">
        <f t="shared" si="209"/>
        <v>29428.894622185271</v>
      </c>
      <c r="AM93" s="762">
        <f t="shared" si="210"/>
        <v>27537.409960060559</v>
      </c>
      <c r="AN93" s="762"/>
      <c r="AO93" s="763">
        <f t="shared" si="211"/>
        <v>2999855.7668007729</v>
      </c>
      <c r="AP93" s="763">
        <f t="shared" si="212"/>
        <v>494976.20152212755</v>
      </c>
      <c r="AQ93" s="763">
        <f t="shared" si="213"/>
        <v>3494831.9683229006</v>
      </c>
      <c r="AR93" s="1178">
        <f t="shared" si="181"/>
        <v>3000000</v>
      </c>
      <c r="AS93" s="1178">
        <f t="shared" si="214"/>
        <v>22492.36219649548</v>
      </c>
      <c r="AT93" s="1178">
        <f t="shared" si="215"/>
        <v>494831.96832290059</v>
      </c>
      <c r="AU93" s="1178">
        <f t="shared" si="182"/>
        <v>59379.836198748068</v>
      </c>
      <c r="AV93" s="1178">
        <f t="shared" si="216"/>
        <v>554211.80452164868</v>
      </c>
      <c r="AW93" s="1178">
        <f t="shared" si="217"/>
        <v>3554211.8045216487</v>
      </c>
      <c r="AX93" s="762">
        <f t="shared" si="218"/>
        <v>44427.647556520613</v>
      </c>
      <c r="AY93" s="717" t="s">
        <v>231</v>
      </c>
      <c r="AZ93" s="717">
        <f t="shared" si="219"/>
        <v>3598639.4520781692</v>
      </c>
      <c r="BA93" s="717">
        <f t="shared" si="220"/>
        <v>134948.97945293135</v>
      </c>
      <c r="BB93" s="717"/>
      <c r="BC93" s="717">
        <f t="shared" si="183"/>
        <v>33600</v>
      </c>
      <c r="BD93" s="717">
        <f t="shared" si="221"/>
        <v>3767188.4315311005</v>
      </c>
      <c r="BE93" s="717"/>
      <c r="BF93" s="717">
        <f t="shared" si="222"/>
        <v>3767188.4315311005</v>
      </c>
      <c r="BG93" s="1209"/>
      <c r="BH93" s="717">
        <f t="shared" si="223"/>
        <v>3767188.4315311005</v>
      </c>
      <c r="BI93" s="717"/>
      <c r="BJ93" s="717">
        <f t="shared" si="224"/>
        <v>3767188.4315311005</v>
      </c>
      <c r="BK93" s="717"/>
      <c r="BL93" s="717">
        <f t="shared" si="225"/>
        <v>3767188.4315311005</v>
      </c>
      <c r="BM93" s="717"/>
      <c r="BN93" s="717">
        <f t="shared" si="226"/>
        <v>3767188.4315311005</v>
      </c>
      <c r="BO93" s="717"/>
      <c r="BP93" s="717">
        <f t="shared" si="184"/>
        <v>3767188.4315311005</v>
      </c>
      <c r="BQ93" s="717"/>
      <c r="BR93" s="717">
        <f t="shared" si="285"/>
        <v>3767188.4315311005</v>
      </c>
      <c r="BS93" s="717"/>
      <c r="BT93" s="717">
        <f t="shared" si="227"/>
        <v>3767188.4315311005</v>
      </c>
      <c r="BU93" s="717"/>
      <c r="BV93" s="1235">
        <f t="shared" si="286"/>
        <v>51400</v>
      </c>
      <c r="BW93" s="717">
        <f t="shared" si="228"/>
        <v>3818588.4315311005</v>
      </c>
      <c r="BX93" s="717"/>
      <c r="BY93" s="717">
        <f t="shared" si="229"/>
        <v>3818588.4315311005</v>
      </c>
      <c r="BZ93" s="1194">
        <f t="shared" si="230"/>
        <v>3818588.4315311005</v>
      </c>
      <c r="CA93" s="1194">
        <f t="shared" si="231"/>
        <v>3037588.4315311005</v>
      </c>
      <c r="CB93" s="1194">
        <v>35500</v>
      </c>
      <c r="CC93" s="1194">
        <f t="shared" si="232"/>
        <v>781000</v>
      </c>
      <c r="CD93" s="1194">
        <f t="shared" si="233"/>
        <v>93720</v>
      </c>
      <c r="CE93" s="1194">
        <f t="shared" si="234"/>
        <v>874720</v>
      </c>
      <c r="CF93" s="1200">
        <f t="shared" si="235"/>
        <v>3912308.4315311005</v>
      </c>
      <c r="CG93" s="757">
        <f t="shared" si="236"/>
        <v>3912308.4315311005</v>
      </c>
      <c r="CH93" s="758">
        <f t="shared" si="237"/>
        <v>0</v>
      </c>
      <c r="CI93" s="757">
        <f t="shared" si="185"/>
        <v>401011.6142319378</v>
      </c>
      <c r="CJ93" s="757">
        <f t="shared" si="186"/>
        <v>97807.710788277516</v>
      </c>
      <c r="CK93" s="759">
        <f t="shared" si="155"/>
        <v>4411127.756551316</v>
      </c>
      <c r="CL93" s="764">
        <f t="shared" si="238"/>
        <v>0.125</v>
      </c>
      <c r="CM93" s="757">
        <f t="shared" si="239"/>
        <v>551390.9695689145</v>
      </c>
      <c r="CN93" s="757">
        <f t="shared" si="281"/>
        <v>30000</v>
      </c>
      <c r="CO93" s="757">
        <f t="shared" si="240"/>
        <v>521390.9695689145</v>
      </c>
      <c r="CP93" s="755">
        <f t="shared" si="241"/>
        <v>29</v>
      </c>
      <c r="CQ93" s="757">
        <f t="shared" si="283"/>
        <v>17978.998950652225</v>
      </c>
      <c r="CR93" s="764">
        <f t="shared" si="242"/>
        <v>0.875</v>
      </c>
      <c r="CS93" s="757">
        <f t="shared" si="243"/>
        <v>3859736.7869824013</v>
      </c>
      <c r="CT93" s="1101">
        <f t="shared" si="244"/>
        <v>29924.49822716471</v>
      </c>
      <c r="CU93" s="1101">
        <f t="shared" si="245"/>
        <v>34692.405421888943</v>
      </c>
      <c r="CV93" s="1101">
        <f t="shared" si="246"/>
        <v>44814.816852070493</v>
      </c>
      <c r="CW93" s="1141">
        <f t="shared" si="187"/>
        <v>76427.414432529331</v>
      </c>
      <c r="CX93" s="1152">
        <f t="shared" si="247"/>
        <v>313538.687435097</v>
      </c>
      <c r="CY93" s="1152">
        <f t="shared" si="248"/>
        <v>124065.73128343245</v>
      </c>
      <c r="CZ93" s="1152">
        <f t="shared" si="249"/>
        <v>89610.92053892769</v>
      </c>
      <c r="DA93" s="1152">
        <f t="shared" si="250"/>
        <v>68198.036003833709</v>
      </c>
      <c r="DB93" s="1143">
        <f t="shared" si="188"/>
        <v>0.16494398944096686</v>
      </c>
      <c r="DC93" s="1143">
        <f t="shared" si="251"/>
        <v>0.28796527894303847</v>
      </c>
      <c r="DD93" s="1098" t="s">
        <v>232</v>
      </c>
      <c r="DE93" s="1144"/>
      <c r="DF93" s="705"/>
      <c r="DG93" s="765">
        <f t="shared" si="282"/>
        <v>46082</v>
      </c>
      <c r="DH93" s="1116">
        <f t="shared" si="189"/>
        <v>28</v>
      </c>
      <c r="DI93" s="497"/>
      <c r="DJ93" s="1117">
        <f t="shared" si="252"/>
        <v>46147</v>
      </c>
      <c r="DK93" s="1116">
        <f t="shared" si="253"/>
        <v>30</v>
      </c>
      <c r="DL93" s="766" t="s">
        <v>233</v>
      </c>
      <c r="DM93" s="766" t="s">
        <v>234</v>
      </c>
      <c r="DN93" s="767">
        <f t="shared" si="190"/>
        <v>25191.44566007494</v>
      </c>
      <c r="DO93" s="767">
        <f t="shared" si="191"/>
        <v>554211.80452164868</v>
      </c>
      <c r="DP93" s="768">
        <f t="shared" si="192"/>
        <v>0.18473726817388289</v>
      </c>
      <c r="DR93" s="767">
        <f t="shared" si="193"/>
        <v>3912308.4315311005</v>
      </c>
      <c r="DS93" s="767">
        <f>SUM('[6]INTERNAL PRICELIST'!M93)</f>
        <v>2329361</v>
      </c>
      <c r="DT93" s="767">
        <f t="shared" si="254"/>
        <v>1582947.4315311005</v>
      </c>
      <c r="DV93" s="951">
        <f t="shared" si="194"/>
        <v>177832.20143323185</v>
      </c>
      <c r="DX93" s="772">
        <v>16</v>
      </c>
      <c r="DY93" s="773" t="s">
        <v>303</v>
      </c>
      <c r="DZ93" s="774">
        <v>22</v>
      </c>
      <c r="EA93" s="775">
        <f t="shared" si="195"/>
        <v>0</v>
      </c>
      <c r="ED93" s="1133" t="s">
        <v>442</v>
      </c>
      <c r="EE93" s="777" t="b">
        <f t="shared" si="196"/>
        <v>1</v>
      </c>
      <c r="EF93" s="1123" t="s">
        <v>443</v>
      </c>
      <c r="EG93" s="1123" t="s">
        <v>394</v>
      </c>
      <c r="EH93" s="1203"/>
      <c r="EP93" s="1230" t="s">
        <v>236</v>
      </c>
      <c r="EQ93" s="1145" t="s">
        <v>236</v>
      </c>
      <c r="ER93" s="753" t="b">
        <f t="shared" si="255"/>
        <v>1</v>
      </c>
      <c r="EU93" s="770">
        <v>2221760</v>
      </c>
      <c r="EV93" s="771" t="s">
        <v>236</v>
      </c>
      <c r="EZ93" s="520"/>
      <c r="FA93" s="778"/>
      <c r="FG93" s="1107"/>
      <c r="FJ93" s="994">
        <v>0.15</v>
      </c>
      <c r="FK93" s="993">
        <v>13489.760840409723</v>
      </c>
      <c r="FL93" s="993">
        <v>13854.348971231608</v>
      </c>
      <c r="FM93" s="497"/>
      <c r="FN93" s="993">
        <f t="shared" si="197"/>
        <v>4411127.756551316</v>
      </c>
      <c r="FO93" s="994">
        <f t="shared" si="256"/>
        <v>0.15</v>
      </c>
      <c r="FP93" s="775">
        <f t="shared" si="198"/>
        <v>661669.16348269733</v>
      </c>
      <c r="FQ93" s="993">
        <f t="shared" si="199"/>
        <v>30000</v>
      </c>
      <c r="FR93" s="775">
        <f t="shared" si="257"/>
        <v>631669.16348269733</v>
      </c>
      <c r="FS93" s="497">
        <f t="shared" si="258"/>
        <v>40</v>
      </c>
      <c r="FT93" s="775">
        <f t="shared" si="259"/>
        <v>15791.729087067433</v>
      </c>
      <c r="FU93" s="497"/>
      <c r="FV93" s="993">
        <f t="shared" si="260"/>
        <v>4411127.756551316</v>
      </c>
      <c r="FW93" s="705">
        <f t="shared" si="261"/>
        <v>441112.77565513161</v>
      </c>
      <c r="FX93" s="705">
        <f t="shared" si="262"/>
        <v>110278.1939137829</v>
      </c>
      <c r="FY93" s="705">
        <v>15000</v>
      </c>
      <c r="FZ93" s="705">
        <f t="shared" si="263"/>
        <v>426112.77565513161</v>
      </c>
      <c r="GA93" s="497">
        <f t="shared" si="264"/>
        <v>46</v>
      </c>
      <c r="GB93" s="775">
        <f t="shared" si="265"/>
        <v>9263.3212098941658</v>
      </c>
      <c r="GC93" s="497"/>
      <c r="GD93" s="497"/>
      <c r="GE93" s="1107"/>
      <c r="GH93" s="1095">
        <f t="shared" si="161"/>
        <v>4411127.756551316</v>
      </c>
      <c r="GI93" s="1098">
        <f t="shared" si="162"/>
        <v>0.125</v>
      </c>
      <c r="GJ93" s="1095">
        <f t="shared" si="163"/>
        <v>551390.9695689145</v>
      </c>
      <c r="GK93" s="1095">
        <f t="shared" si="164"/>
        <v>30000</v>
      </c>
      <c r="GL93" s="1095">
        <f t="shared" si="165"/>
        <v>521390.9695689145</v>
      </c>
      <c r="GM93" s="1095">
        <f t="shared" si="166"/>
        <v>29</v>
      </c>
      <c r="GN93" s="1095">
        <f t="shared" si="167"/>
        <v>17978.998950652225</v>
      </c>
      <c r="GO93" s="1098">
        <f t="shared" si="168"/>
        <v>0.875</v>
      </c>
      <c r="GP93" s="1095">
        <f t="shared" si="169"/>
        <v>3859736.7869824013</v>
      </c>
      <c r="GQ93" s="1095">
        <f t="shared" si="170"/>
        <v>29924.49822716471</v>
      </c>
      <c r="GR93" s="1095">
        <f t="shared" si="171"/>
        <v>34692.405421888943</v>
      </c>
      <c r="GS93" s="1095">
        <f t="shared" si="172"/>
        <v>44814.816852070493</v>
      </c>
      <c r="GT93" s="1095">
        <f t="shared" si="173"/>
        <v>76427.414432529331</v>
      </c>
      <c r="GU93" s="497"/>
      <c r="GV93" s="1095">
        <f t="shared" si="266"/>
        <v>4411127.756551316</v>
      </c>
      <c r="GW93" s="1098">
        <f t="shared" si="267"/>
        <v>0.125</v>
      </c>
      <c r="GX93" s="1095">
        <f t="shared" si="268"/>
        <v>551390.9695689145</v>
      </c>
      <c r="GY93" s="1095">
        <f t="shared" si="269"/>
        <v>30000</v>
      </c>
      <c r="GZ93" s="1095">
        <f t="shared" si="270"/>
        <v>521390.9695689145</v>
      </c>
      <c r="HA93" s="1106">
        <f t="shared" si="271"/>
        <v>48</v>
      </c>
      <c r="HB93" s="770">
        <f t="shared" si="272"/>
        <v>10862.311866019052</v>
      </c>
      <c r="HC93" s="1098">
        <f t="shared" si="273"/>
        <v>0.875</v>
      </c>
      <c r="HD93" s="1102">
        <f t="shared" si="274"/>
        <v>3859736.7869824013</v>
      </c>
      <c r="HE93" s="1101">
        <f t="shared" si="275"/>
        <v>29924.49822716471</v>
      </c>
      <c r="HF93" s="1101">
        <f t="shared" si="276"/>
        <v>34692.405421888943</v>
      </c>
      <c r="HG93" s="1101">
        <f t="shared" si="277"/>
        <v>44814.816852070493</v>
      </c>
      <c r="HH93" s="1101">
        <f t="shared" si="278"/>
        <v>76427.414432529331</v>
      </c>
      <c r="HI93" s="497"/>
      <c r="HJ93" s="1102">
        <f t="shared" si="279"/>
        <v>-7116.6870846331731</v>
      </c>
      <c r="HL93" s="775"/>
      <c r="HN93" s="775"/>
      <c r="HO93" s="775"/>
      <c r="HQ93" s="702"/>
      <c r="HR93" s="1171"/>
      <c r="HS93" s="702"/>
      <c r="HT93" s="1171"/>
    </row>
    <row r="94" spans="1:228" ht="14.25" hidden="1" customHeight="1">
      <c r="A94" s="753">
        <f t="shared" si="280"/>
        <v>88</v>
      </c>
      <c r="B94" s="753" t="s">
        <v>236</v>
      </c>
      <c r="C94" s="753">
        <f t="shared" si="174"/>
        <v>26</v>
      </c>
      <c r="D94" s="753" t="s">
        <v>260</v>
      </c>
      <c r="E94" s="717" t="str">
        <f t="shared" si="200"/>
        <v>5th Floor</v>
      </c>
      <c r="F94" s="754"/>
      <c r="G94" s="756" t="s">
        <v>444</v>
      </c>
      <c r="H94" s="756"/>
      <c r="I94" s="755" t="s">
        <v>229</v>
      </c>
      <c r="J94" s="757">
        <v>22</v>
      </c>
      <c r="K94" s="758"/>
      <c r="L94" s="759" t="s">
        <v>277</v>
      </c>
      <c r="M94" s="760" t="s">
        <v>230</v>
      </c>
      <c r="N94" s="761">
        <f t="shared" si="201"/>
        <v>106005.26567735759</v>
      </c>
      <c r="O94" s="762">
        <f t="shared" si="202"/>
        <v>2332115.8449018667</v>
      </c>
      <c r="P94" s="762">
        <f t="shared" si="203"/>
        <v>22400</v>
      </c>
      <c r="Q94" s="762">
        <f t="shared" si="175"/>
        <v>50000</v>
      </c>
      <c r="R94" s="762"/>
      <c r="S94" s="762"/>
      <c r="T94" s="762"/>
      <c r="U94" s="762"/>
      <c r="V94" s="762">
        <f t="shared" si="288"/>
        <v>55000</v>
      </c>
      <c r="W94" s="762"/>
      <c r="X94" s="762"/>
      <c r="Y94" s="762">
        <f t="shared" si="176"/>
        <v>20000</v>
      </c>
      <c r="Z94" s="762">
        <f t="shared" si="177"/>
        <v>142461</v>
      </c>
      <c r="AA94" s="762">
        <v>45722.732758620688</v>
      </c>
      <c r="AB94" s="762"/>
      <c r="AC94" s="762"/>
      <c r="AD94" s="763">
        <f t="shared" si="204"/>
        <v>335583.7327586207</v>
      </c>
      <c r="AE94" s="763">
        <f t="shared" si="178"/>
        <v>2667699.5776604875</v>
      </c>
      <c r="AF94" s="762">
        <f t="shared" si="179"/>
        <v>66692.489441512196</v>
      </c>
      <c r="AG94" s="762">
        <f t="shared" si="205"/>
        <v>2734392.0671019997</v>
      </c>
      <c r="AH94" s="762">
        <f t="shared" si="180"/>
        <v>68359.80167755</v>
      </c>
      <c r="AI94" s="762">
        <f t="shared" si="206"/>
        <v>2802751.8687795498</v>
      </c>
      <c r="AJ94" s="762">
        <f t="shared" si="207"/>
        <v>140137.59343897749</v>
      </c>
      <c r="AK94" s="762">
        <f t="shared" si="208"/>
        <v>2942889.4622185272</v>
      </c>
      <c r="AL94" s="762">
        <f t="shared" si="209"/>
        <v>29428.894622185271</v>
      </c>
      <c r="AM94" s="762">
        <f t="shared" si="210"/>
        <v>27537.409960060559</v>
      </c>
      <c r="AN94" s="762"/>
      <c r="AO94" s="763">
        <f t="shared" si="211"/>
        <v>2999855.7668007729</v>
      </c>
      <c r="AP94" s="763">
        <f t="shared" si="212"/>
        <v>494976.20152212755</v>
      </c>
      <c r="AQ94" s="763">
        <f t="shared" si="213"/>
        <v>3494831.9683229006</v>
      </c>
      <c r="AR94" s="1178">
        <f t="shared" si="181"/>
        <v>3000000</v>
      </c>
      <c r="AS94" s="1178">
        <f t="shared" si="214"/>
        <v>22492.36219649548</v>
      </c>
      <c r="AT94" s="1178">
        <f t="shared" si="215"/>
        <v>494831.96832290059</v>
      </c>
      <c r="AU94" s="1178">
        <f t="shared" si="182"/>
        <v>59379.836198748068</v>
      </c>
      <c r="AV94" s="1178">
        <f t="shared" si="216"/>
        <v>554211.80452164868</v>
      </c>
      <c r="AW94" s="1178">
        <f t="shared" si="217"/>
        <v>3554211.8045216487</v>
      </c>
      <c r="AX94" s="762">
        <f t="shared" si="218"/>
        <v>44427.647556520613</v>
      </c>
      <c r="AY94" s="717" t="s">
        <v>231</v>
      </c>
      <c r="AZ94" s="717">
        <f t="shared" si="219"/>
        <v>3598639.4520781692</v>
      </c>
      <c r="BA94" s="717">
        <f t="shared" si="220"/>
        <v>134948.97945293135</v>
      </c>
      <c r="BB94" s="717"/>
      <c r="BC94" s="717">
        <f t="shared" si="183"/>
        <v>33600</v>
      </c>
      <c r="BD94" s="717">
        <f t="shared" si="221"/>
        <v>3767188.4315311005</v>
      </c>
      <c r="BE94" s="717"/>
      <c r="BF94" s="717">
        <f t="shared" si="222"/>
        <v>3767188.4315311005</v>
      </c>
      <c r="BG94" s="1209"/>
      <c r="BH94" s="717">
        <f t="shared" si="223"/>
        <v>3767188.4315311005</v>
      </c>
      <c r="BI94" s="717"/>
      <c r="BJ94" s="717">
        <f t="shared" si="224"/>
        <v>3767188.4315311005</v>
      </c>
      <c r="BK94" s="717"/>
      <c r="BL94" s="717">
        <f t="shared" si="225"/>
        <v>3767188.4315311005</v>
      </c>
      <c r="BM94" s="717"/>
      <c r="BN94" s="717">
        <f t="shared" si="226"/>
        <v>3767188.4315311005</v>
      </c>
      <c r="BO94" s="717"/>
      <c r="BP94" s="717">
        <f t="shared" si="184"/>
        <v>3767188.4315311005</v>
      </c>
      <c r="BQ94" s="717"/>
      <c r="BR94" s="717">
        <f t="shared" si="285"/>
        <v>3767188.4315311005</v>
      </c>
      <c r="BS94" s="717"/>
      <c r="BT94" s="717">
        <f t="shared" si="227"/>
        <v>3767188.4315311005</v>
      </c>
      <c r="BU94" s="717"/>
      <c r="BV94" s="1235">
        <f t="shared" si="286"/>
        <v>51400</v>
      </c>
      <c r="BW94" s="717">
        <f t="shared" si="228"/>
        <v>3818588.4315311005</v>
      </c>
      <c r="BX94" s="717"/>
      <c r="BY94" s="717">
        <f t="shared" si="229"/>
        <v>3818588.4315311005</v>
      </c>
      <c r="BZ94" s="1194">
        <f t="shared" si="230"/>
        <v>3818588.4315311005</v>
      </c>
      <c r="CA94" s="1194">
        <f t="shared" si="231"/>
        <v>3037588.4315311005</v>
      </c>
      <c r="CB94" s="1194">
        <v>35500</v>
      </c>
      <c r="CC94" s="1194">
        <f t="shared" si="232"/>
        <v>781000</v>
      </c>
      <c r="CD94" s="1194">
        <f t="shared" si="233"/>
        <v>93720</v>
      </c>
      <c r="CE94" s="1194">
        <f t="shared" si="234"/>
        <v>874720</v>
      </c>
      <c r="CF94" s="1200">
        <f t="shared" si="235"/>
        <v>3912308.4315311005</v>
      </c>
      <c r="CG94" s="757">
        <f t="shared" si="236"/>
        <v>3912308.4315311005</v>
      </c>
      <c r="CH94" s="758">
        <f t="shared" si="237"/>
        <v>0</v>
      </c>
      <c r="CI94" s="757">
        <f t="shared" si="185"/>
        <v>401011.6142319378</v>
      </c>
      <c r="CJ94" s="757">
        <f t="shared" si="186"/>
        <v>97807.710788277516</v>
      </c>
      <c r="CK94" s="759">
        <f t="shared" si="155"/>
        <v>4411127.756551316</v>
      </c>
      <c r="CL94" s="764">
        <f t="shared" si="238"/>
        <v>0.125</v>
      </c>
      <c r="CM94" s="757">
        <f t="shared" si="239"/>
        <v>551390.9695689145</v>
      </c>
      <c r="CN94" s="757">
        <f t="shared" si="281"/>
        <v>30000</v>
      </c>
      <c r="CO94" s="757">
        <f t="shared" si="240"/>
        <v>521390.9695689145</v>
      </c>
      <c r="CP94" s="755">
        <f t="shared" si="241"/>
        <v>29</v>
      </c>
      <c r="CQ94" s="757">
        <f t="shared" si="283"/>
        <v>17978.998950652225</v>
      </c>
      <c r="CR94" s="764">
        <f t="shared" si="242"/>
        <v>0.875</v>
      </c>
      <c r="CS94" s="757">
        <f t="shared" si="243"/>
        <v>3859736.7869824013</v>
      </c>
      <c r="CT94" s="1101">
        <f t="shared" si="244"/>
        <v>29924.49822716471</v>
      </c>
      <c r="CU94" s="1101">
        <f t="shared" si="245"/>
        <v>34692.405421888943</v>
      </c>
      <c r="CV94" s="1101">
        <f t="shared" si="246"/>
        <v>44814.816852070493</v>
      </c>
      <c r="CW94" s="1141">
        <f t="shared" si="187"/>
        <v>76427.414432529331</v>
      </c>
      <c r="CX94" s="1152">
        <f t="shared" si="247"/>
        <v>313538.687435097</v>
      </c>
      <c r="CY94" s="1152">
        <f t="shared" si="248"/>
        <v>124065.73128343245</v>
      </c>
      <c r="CZ94" s="1152">
        <f t="shared" si="249"/>
        <v>89610.92053892769</v>
      </c>
      <c r="DA94" s="1152">
        <f t="shared" si="250"/>
        <v>68198.036003833709</v>
      </c>
      <c r="DB94" s="1143">
        <f t="shared" si="188"/>
        <v>0.16494398944096686</v>
      </c>
      <c r="DC94" s="1143">
        <f t="shared" si="251"/>
        <v>0.28796527894303847</v>
      </c>
      <c r="DD94" s="1098" t="s">
        <v>232</v>
      </c>
      <c r="DE94" s="1144"/>
      <c r="DF94" s="705"/>
      <c r="DG94" s="765">
        <f t="shared" si="282"/>
        <v>46082</v>
      </c>
      <c r="DH94" s="1116">
        <f t="shared" si="189"/>
        <v>28</v>
      </c>
      <c r="DI94" s="497"/>
      <c r="DJ94" s="1117">
        <f t="shared" si="252"/>
        <v>46147</v>
      </c>
      <c r="DK94" s="1116">
        <f t="shared" si="253"/>
        <v>30</v>
      </c>
      <c r="DL94" s="766" t="s">
        <v>233</v>
      </c>
      <c r="DM94" s="766" t="s">
        <v>234</v>
      </c>
      <c r="DN94" s="767">
        <f t="shared" si="190"/>
        <v>25191.44566007494</v>
      </c>
      <c r="DO94" s="767">
        <f t="shared" si="191"/>
        <v>554211.80452164868</v>
      </c>
      <c r="DP94" s="768">
        <f t="shared" si="192"/>
        <v>0.18473726817388289</v>
      </c>
      <c r="DR94" s="767">
        <f t="shared" si="193"/>
        <v>3912308.4315311005</v>
      </c>
      <c r="DS94" s="767">
        <f>SUM('[6]INTERNAL PRICELIST'!M94)</f>
        <v>2329361</v>
      </c>
      <c r="DT94" s="767">
        <f t="shared" si="254"/>
        <v>1582947.4315311005</v>
      </c>
      <c r="DV94" s="951">
        <f t="shared" si="194"/>
        <v>177832.20143323185</v>
      </c>
      <c r="DX94" s="772">
        <v>17</v>
      </c>
      <c r="DY94" s="773" t="s">
        <v>305</v>
      </c>
      <c r="DZ94" s="774">
        <v>22</v>
      </c>
      <c r="EA94" s="775">
        <f t="shared" si="195"/>
        <v>0</v>
      </c>
      <c r="ED94" s="1133" t="s">
        <v>444</v>
      </c>
      <c r="EE94" s="777" t="b">
        <f t="shared" si="196"/>
        <v>1</v>
      </c>
      <c r="EF94" s="1123" t="s">
        <v>445</v>
      </c>
      <c r="EG94" s="1123" t="s">
        <v>394</v>
      </c>
      <c r="EH94" s="1203"/>
      <c r="EP94" s="1230" t="s">
        <v>236</v>
      </c>
      <c r="EQ94" s="1145" t="s">
        <v>236</v>
      </c>
      <c r="ER94" s="753" t="b">
        <f t="shared" si="255"/>
        <v>1</v>
      </c>
      <c r="EU94" s="770">
        <v>2172480</v>
      </c>
      <c r="EV94" s="771" t="s">
        <v>236</v>
      </c>
      <c r="EZ94" s="520"/>
      <c r="FA94" s="778"/>
      <c r="FG94" s="1107"/>
      <c r="FJ94" s="994">
        <v>0.15</v>
      </c>
      <c r="FK94" s="993">
        <v>13489.760840409723</v>
      </c>
      <c r="FL94" s="993">
        <v>13854.348971231608</v>
      </c>
      <c r="FM94" s="497"/>
      <c r="FN94" s="993">
        <f t="shared" si="197"/>
        <v>4411127.756551316</v>
      </c>
      <c r="FO94" s="994">
        <f t="shared" si="256"/>
        <v>0.15</v>
      </c>
      <c r="FP94" s="775">
        <f t="shared" si="198"/>
        <v>661669.16348269733</v>
      </c>
      <c r="FQ94" s="993">
        <f t="shared" si="199"/>
        <v>30000</v>
      </c>
      <c r="FR94" s="775">
        <f t="shared" si="257"/>
        <v>631669.16348269733</v>
      </c>
      <c r="FS94" s="497">
        <f t="shared" si="258"/>
        <v>40</v>
      </c>
      <c r="FT94" s="775">
        <f t="shared" si="259"/>
        <v>15791.729087067433</v>
      </c>
      <c r="FU94" s="497"/>
      <c r="FV94" s="993">
        <f t="shared" si="260"/>
        <v>4411127.756551316</v>
      </c>
      <c r="FW94" s="705">
        <f t="shared" si="261"/>
        <v>441112.77565513161</v>
      </c>
      <c r="FX94" s="705">
        <f t="shared" si="262"/>
        <v>110278.1939137829</v>
      </c>
      <c r="FY94" s="705">
        <v>15000</v>
      </c>
      <c r="FZ94" s="705">
        <f t="shared" si="263"/>
        <v>426112.77565513161</v>
      </c>
      <c r="GA94" s="497">
        <f t="shared" si="264"/>
        <v>46</v>
      </c>
      <c r="GB94" s="775">
        <f t="shared" si="265"/>
        <v>9263.3212098941658</v>
      </c>
      <c r="GC94" s="497"/>
      <c r="GD94" s="497"/>
      <c r="GE94" s="1107"/>
      <c r="GH94" s="1095">
        <f t="shared" si="161"/>
        <v>4411127.756551316</v>
      </c>
      <c r="GI94" s="1098">
        <f t="shared" si="162"/>
        <v>0.125</v>
      </c>
      <c r="GJ94" s="1095">
        <f t="shared" si="163"/>
        <v>551390.9695689145</v>
      </c>
      <c r="GK94" s="1095">
        <f t="shared" si="164"/>
        <v>30000</v>
      </c>
      <c r="GL94" s="1095">
        <f t="shared" si="165"/>
        <v>521390.9695689145</v>
      </c>
      <c r="GM94" s="1095">
        <f t="shared" si="166"/>
        <v>29</v>
      </c>
      <c r="GN94" s="1095">
        <f t="shared" si="167"/>
        <v>17978.998950652225</v>
      </c>
      <c r="GO94" s="1098">
        <f t="shared" si="168"/>
        <v>0.875</v>
      </c>
      <c r="GP94" s="1095">
        <f t="shared" si="169"/>
        <v>3859736.7869824013</v>
      </c>
      <c r="GQ94" s="1095">
        <f t="shared" si="170"/>
        <v>29924.49822716471</v>
      </c>
      <c r="GR94" s="1095">
        <f t="shared" si="171"/>
        <v>34692.405421888943</v>
      </c>
      <c r="GS94" s="1095">
        <f t="shared" si="172"/>
        <v>44814.816852070493</v>
      </c>
      <c r="GT94" s="1095">
        <f t="shared" si="173"/>
        <v>76427.414432529331</v>
      </c>
      <c r="GU94" s="497"/>
      <c r="GV94" s="1095">
        <f t="shared" si="266"/>
        <v>4411127.756551316</v>
      </c>
      <c r="GW94" s="1098">
        <f t="shared" si="267"/>
        <v>0.125</v>
      </c>
      <c r="GX94" s="1095">
        <f t="shared" si="268"/>
        <v>551390.9695689145</v>
      </c>
      <c r="GY94" s="1095">
        <f t="shared" si="269"/>
        <v>30000</v>
      </c>
      <c r="GZ94" s="1095">
        <f t="shared" si="270"/>
        <v>521390.9695689145</v>
      </c>
      <c r="HA94" s="1106">
        <f t="shared" si="271"/>
        <v>48</v>
      </c>
      <c r="HB94" s="770">
        <f t="shared" si="272"/>
        <v>10862.311866019052</v>
      </c>
      <c r="HC94" s="1098">
        <f t="shared" si="273"/>
        <v>0.875</v>
      </c>
      <c r="HD94" s="1102">
        <f t="shared" si="274"/>
        <v>3859736.7869824013</v>
      </c>
      <c r="HE94" s="1101">
        <f t="shared" si="275"/>
        <v>29924.49822716471</v>
      </c>
      <c r="HF94" s="1101">
        <f t="shared" si="276"/>
        <v>34692.405421888943</v>
      </c>
      <c r="HG94" s="1101">
        <f t="shared" si="277"/>
        <v>44814.816852070493</v>
      </c>
      <c r="HH94" s="1101">
        <f t="shared" si="278"/>
        <v>76427.414432529331</v>
      </c>
      <c r="HI94" s="497"/>
      <c r="HJ94" s="1102">
        <f t="shared" si="279"/>
        <v>-7116.6870846331731</v>
      </c>
      <c r="HL94" s="775"/>
      <c r="HN94" s="775"/>
      <c r="HO94" s="775"/>
      <c r="HQ94" s="702"/>
      <c r="HR94" s="1171"/>
      <c r="HS94" s="702"/>
      <c r="HT94" s="1171"/>
    </row>
    <row r="95" spans="1:228" ht="14.25" hidden="1" customHeight="1">
      <c r="A95" s="753">
        <f t="shared" si="280"/>
        <v>89</v>
      </c>
      <c r="B95" s="753" t="s">
        <v>236</v>
      </c>
      <c r="C95" s="753">
        <f t="shared" si="174"/>
        <v>27</v>
      </c>
      <c r="D95" s="753" t="s">
        <v>260</v>
      </c>
      <c r="E95" s="717" t="str">
        <f t="shared" si="200"/>
        <v>5th Floor</v>
      </c>
      <c r="F95" s="754"/>
      <c r="G95" s="756" t="s">
        <v>446</v>
      </c>
      <c r="H95" s="756"/>
      <c r="I95" s="755" t="s">
        <v>229</v>
      </c>
      <c r="J95" s="757">
        <v>22</v>
      </c>
      <c r="K95" s="758"/>
      <c r="L95" s="759" t="s">
        <v>277</v>
      </c>
      <c r="M95" s="760" t="s">
        <v>278</v>
      </c>
      <c r="N95" s="761">
        <f t="shared" si="201"/>
        <v>106005.26567735759</v>
      </c>
      <c r="O95" s="762">
        <f t="shared" si="202"/>
        <v>2332115.8449018667</v>
      </c>
      <c r="P95" s="762">
        <f t="shared" si="203"/>
        <v>22400</v>
      </c>
      <c r="Q95" s="762">
        <f t="shared" si="175"/>
        <v>50000</v>
      </c>
      <c r="R95" s="762"/>
      <c r="S95" s="762"/>
      <c r="T95" s="762"/>
      <c r="U95" s="762"/>
      <c r="V95" s="762"/>
      <c r="W95" s="762">
        <f t="shared" ref="W95:W96" si="289">J95*$W$5</f>
        <v>22000</v>
      </c>
      <c r="X95" s="762"/>
      <c r="Y95" s="762">
        <f t="shared" si="176"/>
        <v>20000</v>
      </c>
      <c r="Z95" s="762">
        <f t="shared" si="177"/>
        <v>142461</v>
      </c>
      <c r="AA95" s="762">
        <v>45722.732758620688</v>
      </c>
      <c r="AB95" s="762"/>
      <c r="AC95" s="762"/>
      <c r="AD95" s="763">
        <f t="shared" si="204"/>
        <v>302583.7327586207</v>
      </c>
      <c r="AE95" s="763">
        <f t="shared" si="178"/>
        <v>2634699.5776604875</v>
      </c>
      <c r="AF95" s="762">
        <f t="shared" si="179"/>
        <v>65867.489441512196</v>
      </c>
      <c r="AG95" s="762">
        <f t="shared" si="205"/>
        <v>2700567.0671019997</v>
      </c>
      <c r="AH95" s="762">
        <f t="shared" si="180"/>
        <v>67514.17667755</v>
      </c>
      <c r="AI95" s="762">
        <f t="shared" si="206"/>
        <v>2768081.2437795498</v>
      </c>
      <c r="AJ95" s="762">
        <f t="shared" si="207"/>
        <v>138404.06218897749</v>
      </c>
      <c r="AK95" s="762">
        <f t="shared" si="208"/>
        <v>2906485.3059685272</v>
      </c>
      <c r="AL95" s="762">
        <f t="shared" si="209"/>
        <v>29064.853059685272</v>
      </c>
      <c r="AM95" s="762">
        <f t="shared" si="210"/>
        <v>27537.409960060559</v>
      </c>
      <c r="AN95" s="762"/>
      <c r="AO95" s="763">
        <f t="shared" si="211"/>
        <v>2963087.5689882729</v>
      </c>
      <c r="AP95" s="763">
        <f t="shared" si="212"/>
        <v>488909.44888306508</v>
      </c>
      <c r="AQ95" s="763">
        <f t="shared" si="213"/>
        <v>3451997.0178713379</v>
      </c>
      <c r="AR95" s="1178">
        <f t="shared" si="181"/>
        <v>3000000</v>
      </c>
      <c r="AS95" s="1178">
        <f t="shared" si="214"/>
        <v>20545.318994151723</v>
      </c>
      <c r="AT95" s="1178">
        <f t="shared" si="215"/>
        <v>451997.01787133794</v>
      </c>
      <c r="AU95" s="1178">
        <f t="shared" si="182"/>
        <v>54239.642144560552</v>
      </c>
      <c r="AV95" s="1178">
        <f t="shared" si="216"/>
        <v>506236.66001589852</v>
      </c>
      <c r="AW95" s="1178">
        <f t="shared" si="217"/>
        <v>3506236.6600158983</v>
      </c>
      <c r="AX95" s="762">
        <f t="shared" si="218"/>
        <v>43827.958250198732</v>
      </c>
      <c r="AY95" s="717" t="s">
        <v>231</v>
      </c>
      <c r="AZ95" s="717">
        <f t="shared" si="219"/>
        <v>3550064.6182660968</v>
      </c>
      <c r="BA95" s="717">
        <f t="shared" si="220"/>
        <v>133127.42318497863</v>
      </c>
      <c r="BB95" s="717"/>
      <c r="BC95" s="717">
        <f t="shared" si="183"/>
        <v>33600</v>
      </c>
      <c r="BD95" s="717">
        <f t="shared" si="221"/>
        <v>3716792.0414510756</v>
      </c>
      <c r="BE95" s="717"/>
      <c r="BF95" s="717">
        <f t="shared" si="222"/>
        <v>3716792.0414510756</v>
      </c>
      <c r="BG95" s="1209"/>
      <c r="BH95" s="717">
        <f t="shared" si="223"/>
        <v>3716792.0414510756</v>
      </c>
      <c r="BI95" s="717"/>
      <c r="BJ95" s="717">
        <f t="shared" si="224"/>
        <v>3716792.0414510756</v>
      </c>
      <c r="BK95" s="717"/>
      <c r="BL95" s="717">
        <f t="shared" si="225"/>
        <v>3716792.0414510756</v>
      </c>
      <c r="BM95" s="717"/>
      <c r="BN95" s="717">
        <f t="shared" si="226"/>
        <v>3716792.0414510756</v>
      </c>
      <c r="BO95" s="717"/>
      <c r="BP95" s="717">
        <f t="shared" si="184"/>
        <v>3716792.0414510756</v>
      </c>
      <c r="BQ95" s="717"/>
      <c r="BR95" s="717">
        <f t="shared" si="285"/>
        <v>3716792.0414510756</v>
      </c>
      <c r="BS95" s="717"/>
      <c r="BT95" s="717">
        <f t="shared" si="227"/>
        <v>3716792.0414510756</v>
      </c>
      <c r="BU95" s="717"/>
      <c r="BV95" s="1235">
        <f t="shared" si="286"/>
        <v>51400</v>
      </c>
      <c r="BW95" s="717">
        <f t="shared" si="228"/>
        <v>3768192.0414510756</v>
      </c>
      <c r="BX95" s="717"/>
      <c r="BY95" s="717">
        <f t="shared" si="229"/>
        <v>3768192.0414510756</v>
      </c>
      <c r="BZ95" s="1194">
        <f t="shared" si="230"/>
        <v>3768192.0414510756</v>
      </c>
      <c r="CA95" s="1194">
        <f t="shared" si="231"/>
        <v>3031192.0414510756</v>
      </c>
      <c r="CB95" s="1194">
        <v>33500</v>
      </c>
      <c r="CC95" s="1194">
        <f t="shared" si="232"/>
        <v>737000</v>
      </c>
      <c r="CD95" s="1194">
        <f t="shared" si="233"/>
        <v>88440</v>
      </c>
      <c r="CE95" s="1194">
        <f t="shared" si="234"/>
        <v>825440</v>
      </c>
      <c r="CF95" s="1200">
        <f t="shared" si="235"/>
        <v>3856632.0414510756</v>
      </c>
      <c r="CG95" s="757">
        <f t="shared" si="236"/>
        <v>3856632.0414510756</v>
      </c>
      <c r="CH95" s="758">
        <f t="shared" si="237"/>
        <v>0</v>
      </c>
      <c r="CI95" s="757">
        <f t="shared" si="185"/>
        <v>395304.78424873523</v>
      </c>
      <c r="CJ95" s="757">
        <f t="shared" si="186"/>
        <v>96415.801036276898</v>
      </c>
      <c r="CK95" s="759">
        <f t="shared" si="155"/>
        <v>4348352.6267360877</v>
      </c>
      <c r="CL95" s="764">
        <f t="shared" si="238"/>
        <v>0.125</v>
      </c>
      <c r="CM95" s="757">
        <f t="shared" si="239"/>
        <v>543544.07834201097</v>
      </c>
      <c r="CN95" s="757">
        <f t="shared" si="281"/>
        <v>30000</v>
      </c>
      <c r="CO95" s="757">
        <f t="shared" si="240"/>
        <v>513544.07834201097</v>
      </c>
      <c r="CP95" s="755">
        <f t="shared" si="241"/>
        <v>29</v>
      </c>
      <c r="CQ95" s="757">
        <f t="shared" si="283"/>
        <v>17708.416494552101</v>
      </c>
      <c r="CR95" s="764">
        <f t="shared" si="242"/>
        <v>0.875</v>
      </c>
      <c r="CS95" s="757">
        <f t="shared" si="243"/>
        <v>3804808.5483940765</v>
      </c>
      <c r="CT95" s="1101">
        <f t="shared" si="244"/>
        <v>29498.640178035228</v>
      </c>
      <c r="CU95" s="1101">
        <f t="shared" si="245"/>
        <v>34198.69488477581</v>
      </c>
      <c r="CV95" s="1101">
        <f t="shared" si="246"/>
        <v>44177.053427205676</v>
      </c>
      <c r="CW95" s="1141">
        <f t="shared" si="187"/>
        <v>75339.769474770234</v>
      </c>
      <c r="CX95" s="1152">
        <f t="shared" si="247"/>
        <v>309076.69202437636</v>
      </c>
      <c r="CY95" s="1152">
        <f t="shared" si="248"/>
        <v>122300.14143503785</v>
      </c>
      <c r="CZ95" s="1152">
        <f t="shared" si="249"/>
        <v>88335.659997824871</v>
      </c>
      <c r="DA95" s="1152">
        <f t="shared" si="250"/>
        <v>67227.504022091394</v>
      </c>
      <c r="DB95" s="1143">
        <f t="shared" si="188"/>
        <v>0.15066567262377931</v>
      </c>
      <c r="DC95" s="1143">
        <f t="shared" si="251"/>
        <v>0.2723153098557391</v>
      </c>
      <c r="DD95" s="1098" t="s">
        <v>232</v>
      </c>
      <c r="DE95" s="1144"/>
      <c r="DF95" s="705"/>
      <c r="DG95" s="765">
        <f t="shared" si="282"/>
        <v>46082</v>
      </c>
      <c r="DH95" s="1116">
        <f t="shared" si="189"/>
        <v>28</v>
      </c>
      <c r="DI95" s="497"/>
      <c r="DJ95" s="1117">
        <f t="shared" si="252"/>
        <v>46147</v>
      </c>
      <c r="DK95" s="1116">
        <f t="shared" si="253"/>
        <v>30</v>
      </c>
      <c r="DL95" s="766" t="s">
        <v>233</v>
      </c>
      <c r="DM95" s="766" t="s">
        <v>234</v>
      </c>
      <c r="DN95" s="767">
        <f t="shared" si="190"/>
        <v>23010.757273449934</v>
      </c>
      <c r="DO95" s="767">
        <f t="shared" si="191"/>
        <v>506236.66001589852</v>
      </c>
      <c r="DP95" s="768">
        <f t="shared" si="192"/>
        <v>0.16874555333863284</v>
      </c>
      <c r="DR95" s="767">
        <f t="shared" si="193"/>
        <v>3856632.0414510756</v>
      </c>
      <c r="DS95" s="767">
        <f>SUM('[6]INTERNAL PRICELIST'!M95)</f>
        <v>2331316</v>
      </c>
      <c r="DT95" s="767">
        <f t="shared" si="254"/>
        <v>1525316.0414510756</v>
      </c>
      <c r="DV95" s="951">
        <f t="shared" si="194"/>
        <v>175301.45642959434</v>
      </c>
      <c r="DX95" s="772">
        <v>18</v>
      </c>
      <c r="DY95" s="773" t="s">
        <v>342</v>
      </c>
      <c r="DZ95" s="772">
        <v>22.34</v>
      </c>
      <c r="EA95" s="775">
        <f t="shared" si="195"/>
        <v>0.33999999999999986</v>
      </c>
      <c r="ED95" s="755" t="s">
        <v>446</v>
      </c>
      <c r="EE95" s="777" t="b">
        <f t="shared" si="196"/>
        <v>1</v>
      </c>
      <c r="EF95" s="1123" t="s">
        <v>447</v>
      </c>
      <c r="EG95" s="1123" t="s">
        <v>394</v>
      </c>
      <c r="EH95" s="1203"/>
      <c r="EP95" s="1230" t="s">
        <v>236</v>
      </c>
      <c r="EQ95" s="1145" t="s">
        <v>236</v>
      </c>
      <c r="ER95" s="753" t="b">
        <f t="shared" si="255"/>
        <v>1</v>
      </c>
      <c r="EU95" s="770">
        <v>2360460</v>
      </c>
      <c r="EV95" s="771" t="s">
        <v>236</v>
      </c>
      <c r="EZ95" s="520"/>
      <c r="FA95" s="778"/>
      <c r="FG95" s="1107"/>
      <c r="FJ95" s="994">
        <v>0.15</v>
      </c>
      <c r="FK95" s="993">
        <v>13053.376038622413</v>
      </c>
      <c r="FL95" s="993">
        <v>13406.169985612209</v>
      </c>
      <c r="FM95" s="497"/>
      <c r="FN95" s="993">
        <f t="shared" si="197"/>
        <v>4348352.6267360877</v>
      </c>
      <c r="FO95" s="994">
        <f t="shared" si="256"/>
        <v>0.15</v>
      </c>
      <c r="FP95" s="775">
        <f t="shared" si="198"/>
        <v>652252.89401041309</v>
      </c>
      <c r="FQ95" s="993">
        <f t="shared" si="199"/>
        <v>30000</v>
      </c>
      <c r="FR95" s="775">
        <f t="shared" si="257"/>
        <v>622252.89401041309</v>
      </c>
      <c r="FS95" s="497">
        <f t="shared" si="258"/>
        <v>40</v>
      </c>
      <c r="FT95" s="775">
        <f t="shared" si="259"/>
        <v>15556.322350260327</v>
      </c>
      <c r="FU95" s="497"/>
      <c r="FV95" s="993">
        <f t="shared" si="260"/>
        <v>4348352.6267360877</v>
      </c>
      <c r="FW95" s="705">
        <f t="shared" si="261"/>
        <v>434835.26267360878</v>
      </c>
      <c r="FX95" s="705">
        <f t="shared" si="262"/>
        <v>108708.8156684022</v>
      </c>
      <c r="FY95" s="705">
        <v>15000</v>
      </c>
      <c r="FZ95" s="705">
        <f t="shared" si="263"/>
        <v>419835.26267360878</v>
      </c>
      <c r="GA95" s="497">
        <f t="shared" si="264"/>
        <v>46</v>
      </c>
      <c r="GB95" s="775">
        <f t="shared" si="265"/>
        <v>9126.8535363827996</v>
      </c>
      <c r="GC95" s="497"/>
      <c r="GD95" s="497"/>
      <c r="GE95" s="1107"/>
      <c r="GH95" s="1095">
        <f t="shared" si="161"/>
        <v>4348352.6267360877</v>
      </c>
      <c r="GI95" s="1098">
        <f t="shared" si="162"/>
        <v>0.125</v>
      </c>
      <c r="GJ95" s="1095">
        <f t="shared" si="163"/>
        <v>543544.07834201097</v>
      </c>
      <c r="GK95" s="1095">
        <f t="shared" si="164"/>
        <v>30000</v>
      </c>
      <c r="GL95" s="1095">
        <f t="shared" si="165"/>
        <v>513544.07834201097</v>
      </c>
      <c r="GM95" s="1095">
        <f t="shared" si="166"/>
        <v>29</v>
      </c>
      <c r="GN95" s="1095">
        <f t="shared" si="167"/>
        <v>17708.416494552101</v>
      </c>
      <c r="GO95" s="1098">
        <f t="shared" si="168"/>
        <v>0.875</v>
      </c>
      <c r="GP95" s="1095">
        <f t="shared" si="169"/>
        <v>3804808.5483940765</v>
      </c>
      <c r="GQ95" s="1095">
        <f t="shared" si="170"/>
        <v>29498.640178035228</v>
      </c>
      <c r="GR95" s="1095">
        <f t="shared" si="171"/>
        <v>34198.69488477581</v>
      </c>
      <c r="GS95" s="1095">
        <f t="shared" si="172"/>
        <v>44177.053427205676</v>
      </c>
      <c r="GT95" s="1095">
        <f t="shared" si="173"/>
        <v>75339.769474770234</v>
      </c>
      <c r="GU95" s="497"/>
      <c r="GV95" s="1095">
        <f t="shared" si="266"/>
        <v>4348352.6267360877</v>
      </c>
      <c r="GW95" s="1098">
        <f t="shared" si="267"/>
        <v>0.125</v>
      </c>
      <c r="GX95" s="1095">
        <f t="shared" si="268"/>
        <v>543544.07834201097</v>
      </c>
      <c r="GY95" s="1095">
        <f t="shared" si="269"/>
        <v>30000</v>
      </c>
      <c r="GZ95" s="1095">
        <f t="shared" si="270"/>
        <v>513544.07834201097</v>
      </c>
      <c r="HA95" s="1106">
        <f t="shared" si="271"/>
        <v>48</v>
      </c>
      <c r="HB95" s="770">
        <f t="shared" si="272"/>
        <v>10698.834965458562</v>
      </c>
      <c r="HC95" s="1098">
        <f t="shared" si="273"/>
        <v>0.875</v>
      </c>
      <c r="HD95" s="1102">
        <f t="shared" si="274"/>
        <v>3804808.5483940765</v>
      </c>
      <c r="HE95" s="1101">
        <f t="shared" si="275"/>
        <v>29498.640178035228</v>
      </c>
      <c r="HF95" s="1101">
        <f t="shared" si="276"/>
        <v>34198.69488477581</v>
      </c>
      <c r="HG95" s="1101">
        <f t="shared" si="277"/>
        <v>44177.053427205676</v>
      </c>
      <c r="HH95" s="1101">
        <f t="shared" si="278"/>
        <v>75339.769474770234</v>
      </c>
      <c r="HI95" s="497"/>
      <c r="HJ95" s="1102">
        <f t="shared" si="279"/>
        <v>-7009.5815290935388</v>
      </c>
      <c r="HL95" s="775"/>
      <c r="HN95" s="775"/>
      <c r="HO95" s="775"/>
      <c r="HQ95" s="702"/>
      <c r="HR95" s="1171"/>
      <c r="HS95" s="702"/>
      <c r="HT95" s="1171"/>
    </row>
    <row r="96" spans="1:228" ht="14.25" hidden="1" customHeight="1">
      <c r="A96" s="753">
        <f t="shared" si="280"/>
        <v>90</v>
      </c>
      <c r="B96" s="753" t="s">
        <v>236</v>
      </c>
      <c r="C96" s="753">
        <f t="shared" si="174"/>
        <v>28</v>
      </c>
      <c r="D96" s="753" t="s">
        <v>260</v>
      </c>
      <c r="E96" s="717" t="str">
        <f t="shared" si="200"/>
        <v>5th Floor</v>
      </c>
      <c r="F96" s="754"/>
      <c r="G96" s="756" t="s">
        <v>448</v>
      </c>
      <c r="H96" s="756"/>
      <c r="I96" s="755" t="s">
        <v>229</v>
      </c>
      <c r="J96" s="757">
        <v>22</v>
      </c>
      <c r="K96" s="758"/>
      <c r="L96" s="759" t="s">
        <v>277</v>
      </c>
      <c r="M96" s="760" t="s">
        <v>278</v>
      </c>
      <c r="N96" s="761">
        <f t="shared" si="201"/>
        <v>106005.26567735759</v>
      </c>
      <c r="O96" s="762">
        <f t="shared" si="202"/>
        <v>2332115.8449018667</v>
      </c>
      <c r="P96" s="762">
        <f t="shared" si="203"/>
        <v>22400</v>
      </c>
      <c r="Q96" s="762">
        <f t="shared" si="175"/>
        <v>50000</v>
      </c>
      <c r="R96" s="762"/>
      <c r="S96" s="762"/>
      <c r="T96" s="762"/>
      <c r="U96" s="762"/>
      <c r="V96" s="762"/>
      <c r="W96" s="762">
        <f t="shared" si="289"/>
        <v>22000</v>
      </c>
      <c r="X96" s="762"/>
      <c r="Y96" s="762">
        <f t="shared" si="176"/>
        <v>20000</v>
      </c>
      <c r="Z96" s="762">
        <f t="shared" si="177"/>
        <v>142461</v>
      </c>
      <c r="AA96" s="762">
        <v>45722.732758620688</v>
      </c>
      <c r="AB96" s="762"/>
      <c r="AC96" s="762"/>
      <c r="AD96" s="763">
        <f t="shared" si="204"/>
        <v>302583.7327586207</v>
      </c>
      <c r="AE96" s="763">
        <f t="shared" si="178"/>
        <v>2634699.5776604875</v>
      </c>
      <c r="AF96" s="762">
        <f t="shared" si="179"/>
        <v>65867.489441512196</v>
      </c>
      <c r="AG96" s="762">
        <f t="shared" si="205"/>
        <v>2700567.0671019997</v>
      </c>
      <c r="AH96" s="762">
        <f t="shared" si="180"/>
        <v>67514.17667755</v>
      </c>
      <c r="AI96" s="762">
        <f t="shared" si="206"/>
        <v>2768081.2437795498</v>
      </c>
      <c r="AJ96" s="762">
        <f t="shared" si="207"/>
        <v>138404.06218897749</v>
      </c>
      <c r="AK96" s="762">
        <f t="shared" si="208"/>
        <v>2906485.3059685272</v>
      </c>
      <c r="AL96" s="762">
        <f t="shared" si="209"/>
        <v>29064.853059685272</v>
      </c>
      <c r="AM96" s="762">
        <f t="shared" si="210"/>
        <v>27537.409960060559</v>
      </c>
      <c r="AN96" s="762"/>
      <c r="AO96" s="763">
        <f t="shared" si="211"/>
        <v>2963087.5689882729</v>
      </c>
      <c r="AP96" s="763">
        <f t="shared" si="212"/>
        <v>488909.44888306508</v>
      </c>
      <c r="AQ96" s="763">
        <f t="shared" si="213"/>
        <v>3451997.0178713379</v>
      </c>
      <c r="AR96" s="1178">
        <f t="shared" si="181"/>
        <v>3000000</v>
      </c>
      <c r="AS96" s="1178">
        <f t="shared" si="214"/>
        <v>20545.318994151723</v>
      </c>
      <c r="AT96" s="1178">
        <f t="shared" si="215"/>
        <v>451997.01787133794</v>
      </c>
      <c r="AU96" s="1178">
        <f t="shared" si="182"/>
        <v>54239.642144560552</v>
      </c>
      <c r="AV96" s="1178">
        <f t="shared" si="216"/>
        <v>506236.66001589852</v>
      </c>
      <c r="AW96" s="1178">
        <f t="shared" si="217"/>
        <v>3506236.6600158983</v>
      </c>
      <c r="AX96" s="762">
        <f t="shared" si="218"/>
        <v>43827.958250198732</v>
      </c>
      <c r="AY96" s="717" t="s">
        <v>231</v>
      </c>
      <c r="AZ96" s="717">
        <f t="shared" si="219"/>
        <v>3550064.6182660968</v>
      </c>
      <c r="BA96" s="717">
        <f t="shared" si="220"/>
        <v>133127.42318497863</v>
      </c>
      <c r="BB96" s="717"/>
      <c r="BC96" s="717">
        <f t="shared" si="183"/>
        <v>33600</v>
      </c>
      <c r="BD96" s="717">
        <f t="shared" si="221"/>
        <v>3716792.0414510756</v>
      </c>
      <c r="BE96" s="717"/>
      <c r="BF96" s="717">
        <f t="shared" si="222"/>
        <v>3716792.0414510756</v>
      </c>
      <c r="BG96" s="1209"/>
      <c r="BH96" s="717">
        <f t="shared" si="223"/>
        <v>3716792.0414510756</v>
      </c>
      <c r="BI96" s="717"/>
      <c r="BJ96" s="717">
        <f t="shared" si="224"/>
        <v>3716792.0414510756</v>
      </c>
      <c r="BK96" s="717"/>
      <c r="BL96" s="717">
        <f t="shared" si="225"/>
        <v>3716792.0414510756</v>
      </c>
      <c r="BM96" s="717"/>
      <c r="BN96" s="717">
        <f t="shared" si="226"/>
        <v>3716792.0414510756</v>
      </c>
      <c r="BO96" s="717"/>
      <c r="BP96" s="717">
        <f t="shared" si="184"/>
        <v>3716792.0414510756</v>
      </c>
      <c r="BQ96" s="717"/>
      <c r="BR96" s="717">
        <f t="shared" si="285"/>
        <v>3716792.0414510756</v>
      </c>
      <c r="BS96" s="717"/>
      <c r="BT96" s="717">
        <f t="shared" si="227"/>
        <v>3716792.0414510756</v>
      </c>
      <c r="BU96" s="717"/>
      <c r="BV96" s="1235">
        <f t="shared" si="286"/>
        <v>51400</v>
      </c>
      <c r="BW96" s="717">
        <f t="shared" si="228"/>
        <v>3768192.0414510756</v>
      </c>
      <c r="BX96" s="717"/>
      <c r="BY96" s="717">
        <f t="shared" si="229"/>
        <v>3768192.0414510756</v>
      </c>
      <c r="BZ96" s="1194">
        <f t="shared" si="230"/>
        <v>3768192.0414510756</v>
      </c>
      <c r="CA96" s="1194">
        <f t="shared" si="231"/>
        <v>3031192.0414510756</v>
      </c>
      <c r="CB96" s="1194">
        <v>33500</v>
      </c>
      <c r="CC96" s="1194">
        <f t="shared" si="232"/>
        <v>737000</v>
      </c>
      <c r="CD96" s="1194">
        <f t="shared" si="233"/>
        <v>88440</v>
      </c>
      <c r="CE96" s="1194">
        <f t="shared" si="234"/>
        <v>825440</v>
      </c>
      <c r="CF96" s="1200">
        <f t="shared" si="235"/>
        <v>3856632.0414510756</v>
      </c>
      <c r="CG96" s="757">
        <f t="shared" si="236"/>
        <v>3856632.0414510756</v>
      </c>
      <c r="CH96" s="758">
        <f t="shared" si="237"/>
        <v>0</v>
      </c>
      <c r="CI96" s="757">
        <f t="shared" si="185"/>
        <v>395304.78424873523</v>
      </c>
      <c r="CJ96" s="757">
        <f t="shared" si="186"/>
        <v>96415.801036276898</v>
      </c>
      <c r="CK96" s="759">
        <f t="shared" si="155"/>
        <v>4348352.6267360877</v>
      </c>
      <c r="CL96" s="764">
        <f t="shared" si="238"/>
        <v>0.125</v>
      </c>
      <c r="CM96" s="757">
        <f t="shared" si="239"/>
        <v>543544.07834201097</v>
      </c>
      <c r="CN96" s="757">
        <f t="shared" si="281"/>
        <v>30000</v>
      </c>
      <c r="CO96" s="757">
        <f t="shared" si="240"/>
        <v>513544.07834201097</v>
      </c>
      <c r="CP96" s="755">
        <f t="shared" si="241"/>
        <v>29</v>
      </c>
      <c r="CQ96" s="757">
        <f t="shared" si="283"/>
        <v>17708.416494552101</v>
      </c>
      <c r="CR96" s="764">
        <f t="shared" si="242"/>
        <v>0.875</v>
      </c>
      <c r="CS96" s="757">
        <f t="shared" si="243"/>
        <v>3804808.5483940765</v>
      </c>
      <c r="CT96" s="1101">
        <f t="shared" si="244"/>
        <v>29498.640178035228</v>
      </c>
      <c r="CU96" s="1101">
        <f t="shared" si="245"/>
        <v>34198.69488477581</v>
      </c>
      <c r="CV96" s="1101">
        <f t="shared" si="246"/>
        <v>44177.053427205676</v>
      </c>
      <c r="CW96" s="1141">
        <f t="shared" si="187"/>
        <v>75339.769474770234</v>
      </c>
      <c r="CX96" s="1152">
        <f t="shared" si="247"/>
        <v>309076.69202437636</v>
      </c>
      <c r="CY96" s="1152">
        <f t="shared" si="248"/>
        <v>122300.14143503785</v>
      </c>
      <c r="CZ96" s="1152">
        <f t="shared" si="249"/>
        <v>88335.659997824871</v>
      </c>
      <c r="DA96" s="1152">
        <f t="shared" si="250"/>
        <v>67227.504022091394</v>
      </c>
      <c r="DB96" s="1143">
        <f t="shared" si="188"/>
        <v>0.15066567262377931</v>
      </c>
      <c r="DC96" s="1143">
        <f t="shared" si="251"/>
        <v>0.2723153098557391</v>
      </c>
      <c r="DD96" s="1098" t="s">
        <v>232</v>
      </c>
      <c r="DE96" s="1144"/>
      <c r="DF96" s="705"/>
      <c r="DG96" s="765">
        <f t="shared" si="282"/>
        <v>46082</v>
      </c>
      <c r="DH96" s="1116">
        <f t="shared" si="189"/>
        <v>28</v>
      </c>
      <c r="DI96" s="497"/>
      <c r="DJ96" s="1117">
        <f t="shared" si="252"/>
        <v>46147</v>
      </c>
      <c r="DK96" s="1116">
        <f t="shared" si="253"/>
        <v>30</v>
      </c>
      <c r="DL96" s="766" t="s">
        <v>233</v>
      </c>
      <c r="DM96" s="766" t="s">
        <v>234</v>
      </c>
      <c r="DN96" s="767">
        <f t="shared" si="190"/>
        <v>23010.757273449934</v>
      </c>
      <c r="DO96" s="767">
        <f t="shared" si="191"/>
        <v>506236.66001589852</v>
      </c>
      <c r="DP96" s="768">
        <f t="shared" si="192"/>
        <v>0.16874555333863284</v>
      </c>
      <c r="DR96" s="767">
        <f t="shared" si="193"/>
        <v>3856632.0414510756</v>
      </c>
      <c r="DS96" s="767">
        <f>SUM('[6]INTERNAL PRICELIST'!M96)</f>
        <v>2329361</v>
      </c>
      <c r="DT96" s="767">
        <f t="shared" si="254"/>
        <v>1527271.0414510756</v>
      </c>
      <c r="DV96" s="951">
        <f t="shared" si="194"/>
        <v>175301.45642959434</v>
      </c>
      <c r="DX96" s="772">
        <v>1</v>
      </c>
      <c r="DY96" s="773" t="s">
        <v>235</v>
      </c>
      <c r="DZ96" s="774">
        <v>22</v>
      </c>
      <c r="EA96" s="775">
        <f t="shared" si="195"/>
        <v>0</v>
      </c>
      <c r="ED96" s="755" t="s">
        <v>448</v>
      </c>
      <c r="EE96" s="777" t="b">
        <f t="shared" si="196"/>
        <v>1</v>
      </c>
      <c r="EF96" s="1123" t="s">
        <v>449</v>
      </c>
      <c r="EG96" s="1123" t="s">
        <v>394</v>
      </c>
      <c r="EH96" s="1203"/>
      <c r="EP96" s="1230" t="s">
        <v>236</v>
      </c>
      <c r="EQ96" s="1145" t="s">
        <v>236</v>
      </c>
      <c r="ER96" s="753" t="b">
        <f t="shared" si="255"/>
        <v>1</v>
      </c>
      <c r="EU96" s="770">
        <v>2172480</v>
      </c>
      <c r="EV96" s="771" t="s">
        <v>236</v>
      </c>
      <c r="EZ96" s="520"/>
      <c r="FA96" s="778"/>
      <c r="FG96" s="1107"/>
      <c r="FJ96" s="994">
        <v>0.15</v>
      </c>
      <c r="FK96" s="993">
        <v>13053.376038622413</v>
      </c>
      <c r="FL96" s="993">
        <v>13406.169985612209</v>
      </c>
      <c r="FM96" s="497"/>
      <c r="FN96" s="993">
        <f t="shared" si="197"/>
        <v>4348352.6267360877</v>
      </c>
      <c r="FO96" s="994">
        <f t="shared" ref="FO96:FO97" si="290">FJ96</f>
        <v>0.15</v>
      </c>
      <c r="FP96" s="775">
        <f t="shared" si="198"/>
        <v>652252.89401041309</v>
      </c>
      <c r="FQ96" s="993">
        <f t="shared" si="199"/>
        <v>30000</v>
      </c>
      <c r="FR96" s="775">
        <f t="shared" si="257"/>
        <v>622252.89401041309</v>
      </c>
      <c r="FS96" s="497">
        <f t="shared" si="258"/>
        <v>40</v>
      </c>
      <c r="FT96" s="775">
        <f t="shared" si="259"/>
        <v>15556.322350260327</v>
      </c>
      <c r="FU96" s="497"/>
      <c r="FV96" s="993">
        <f t="shared" si="260"/>
        <v>4348352.6267360877</v>
      </c>
      <c r="FW96" s="705">
        <f t="shared" si="261"/>
        <v>434835.26267360878</v>
      </c>
      <c r="FX96" s="705">
        <f t="shared" si="262"/>
        <v>108708.8156684022</v>
      </c>
      <c r="FY96" s="705">
        <v>15000</v>
      </c>
      <c r="FZ96" s="705">
        <f t="shared" si="263"/>
        <v>419835.26267360878</v>
      </c>
      <c r="GA96" s="497">
        <f t="shared" si="264"/>
        <v>46</v>
      </c>
      <c r="GB96" s="775">
        <f t="shared" si="265"/>
        <v>9126.8535363827996</v>
      </c>
      <c r="GC96" s="497"/>
      <c r="GD96" s="497"/>
      <c r="GE96" s="1107"/>
      <c r="GH96" s="1095">
        <f t="shared" si="161"/>
        <v>4348352.6267360877</v>
      </c>
      <c r="GI96" s="1098">
        <f t="shared" si="162"/>
        <v>0.125</v>
      </c>
      <c r="GJ96" s="1095">
        <f t="shared" si="163"/>
        <v>543544.07834201097</v>
      </c>
      <c r="GK96" s="1095">
        <f t="shared" si="164"/>
        <v>30000</v>
      </c>
      <c r="GL96" s="1095">
        <f t="shared" si="165"/>
        <v>513544.07834201097</v>
      </c>
      <c r="GM96" s="1095">
        <f t="shared" si="166"/>
        <v>29</v>
      </c>
      <c r="GN96" s="1095">
        <f t="shared" si="167"/>
        <v>17708.416494552101</v>
      </c>
      <c r="GO96" s="1098">
        <f t="shared" si="168"/>
        <v>0.875</v>
      </c>
      <c r="GP96" s="1095">
        <f t="shared" si="169"/>
        <v>3804808.5483940765</v>
      </c>
      <c r="GQ96" s="1095">
        <f t="shared" si="170"/>
        <v>29498.640178035228</v>
      </c>
      <c r="GR96" s="1095">
        <f t="shared" si="171"/>
        <v>34198.69488477581</v>
      </c>
      <c r="GS96" s="1095">
        <f t="shared" si="172"/>
        <v>44177.053427205676</v>
      </c>
      <c r="GT96" s="1095">
        <f t="shared" si="173"/>
        <v>75339.769474770234</v>
      </c>
      <c r="GU96" s="497"/>
      <c r="GV96" s="1095">
        <f t="shared" si="266"/>
        <v>4348352.6267360877</v>
      </c>
      <c r="GW96" s="1098">
        <f t="shared" si="267"/>
        <v>0.125</v>
      </c>
      <c r="GX96" s="1095">
        <f t="shared" si="268"/>
        <v>543544.07834201097</v>
      </c>
      <c r="GY96" s="1095">
        <f t="shared" si="269"/>
        <v>30000</v>
      </c>
      <c r="GZ96" s="1095">
        <f t="shared" si="270"/>
        <v>513544.07834201097</v>
      </c>
      <c r="HA96" s="1106">
        <f t="shared" si="271"/>
        <v>48</v>
      </c>
      <c r="HB96" s="770">
        <f t="shared" si="272"/>
        <v>10698.834965458562</v>
      </c>
      <c r="HC96" s="1098">
        <f t="shared" si="273"/>
        <v>0.875</v>
      </c>
      <c r="HD96" s="1102">
        <f t="shared" si="274"/>
        <v>3804808.5483940765</v>
      </c>
      <c r="HE96" s="1101">
        <f t="shared" si="275"/>
        <v>29498.640178035228</v>
      </c>
      <c r="HF96" s="1101">
        <f t="shared" si="276"/>
        <v>34198.69488477581</v>
      </c>
      <c r="HG96" s="1101">
        <f t="shared" si="277"/>
        <v>44177.053427205676</v>
      </c>
      <c r="HH96" s="1101">
        <f t="shared" si="278"/>
        <v>75339.769474770234</v>
      </c>
      <c r="HI96" s="497"/>
      <c r="HJ96" s="1102">
        <f t="shared" si="279"/>
        <v>-7009.5815290935388</v>
      </c>
      <c r="HL96" s="775"/>
      <c r="HN96" s="775"/>
      <c r="HO96" s="775"/>
      <c r="HQ96" s="702"/>
      <c r="HR96" s="1171"/>
      <c r="HS96" s="702"/>
      <c r="HT96" s="1171"/>
    </row>
    <row r="97" spans="1:228" ht="14.25" customHeight="1">
      <c r="A97" s="753">
        <f t="shared" si="280"/>
        <v>91</v>
      </c>
      <c r="B97" s="753" t="s">
        <v>236</v>
      </c>
      <c r="C97" s="753">
        <f t="shared" si="174"/>
        <v>29</v>
      </c>
      <c r="D97" s="753" t="s">
        <v>260</v>
      </c>
      <c r="E97" s="717" t="str">
        <f t="shared" si="200"/>
        <v>5th Floor</v>
      </c>
      <c r="F97" s="754"/>
      <c r="G97" s="756" t="s">
        <v>450</v>
      </c>
      <c r="H97" s="756"/>
      <c r="I97" s="755" t="s">
        <v>229</v>
      </c>
      <c r="J97" s="757">
        <v>22</v>
      </c>
      <c r="K97" s="758"/>
      <c r="L97" s="759" t="s">
        <v>277</v>
      </c>
      <c r="M97" s="760" t="s">
        <v>68</v>
      </c>
      <c r="N97" s="761">
        <f t="shared" si="201"/>
        <v>106005.26567735759</v>
      </c>
      <c r="O97" s="762">
        <f t="shared" si="202"/>
        <v>2332115.8449018667</v>
      </c>
      <c r="P97" s="762">
        <f t="shared" si="203"/>
        <v>22400</v>
      </c>
      <c r="Q97" s="762">
        <f t="shared" si="175"/>
        <v>50000</v>
      </c>
      <c r="R97" s="762"/>
      <c r="S97" s="762"/>
      <c r="T97" s="762"/>
      <c r="U97" s="762"/>
      <c r="V97" s="762"/>
      <c r="W97" s="762"/>
      <c r="X97" s="762"/>
      <c r="Y97" s="762">
        <f t="shared" si="176"/>
        <v>20000</v>
      </c>
      <c r="Z97" s="762">
        <f t="shared" si="177"/>
        <v>142461</v>
      </c>
      <c r="AA97" s="762">
        <v>59222.732758620703</v>
      </c>
      <c r="AB97" s="762"/>
      <c r="AC97" s="762"/>
      <c r="AD97" s="763">
        <f t="shared" si="204"/>
        <v>294083.7327586207</v>
      </c>
      <c r="AE97" s="763">
        <f t="shared" si="178"/>
        <v>2626199.5776604875</v>
      </c>
      <c r="AF97" s="762">
        <f t="shared" si="179"/>
        <v>65654.989441512196</v>
      </c>
      <c r="AG97" s="762">
        <f t="shared" si="205"/>
        <v>2691854.5671019997</v>
      </c>
      <c r="AH97" s="762">
        <f t="shared" si="180"/>
        <v>67296.36417755</v>
      </c>
      <c r="AI97" s="762">
        <f t="shared" si="206"/>
        <v>2759150.9312795498</v>
      </c>
      <c r="AJ97" s="762">
        <f t="shared" si="207"/>
        <v>137957.54656397749</v>
      </c>
      <c r="AK97" s="762">
        <f t="shared" si="208"/>
        <v>2897108.4778435272</v>
      </c>
      <c r="AL97" s="762">
        <f t="shared" si="209"/>
        <v>28971.084778435274</v>
      </c>
      <c r="AM97" s="762">
        <f t="shared" si="210"/>
        <v>27537.409960060559</v>
      </c>
      <c r="AN97" s="762"/>
      <c r="AO97" s="763">
        <f t="shared" si="211"/>
        <v>2953616.9725820227</v>
      </c>
      <c r="AP97" s="763">
        <f t="shared" si="212"/>
        <v>487346.80047603376</v>
      </c>
      <c r="AQ97" s="763">
        <f t="shared" si="213"/>
        <v>3440963.7730580564</v>
      </c>
      <c r="AR97" s="1178">
        <f t="shared" si="181"/>
        <v>3000000</v>
      </c>
      <c r="AS97" s="1178">
        <f t="shared" si="214"/>
        <v>20043.807866275289</v>
      </c>
      <c r="AT97" s="1178">
        <f t="shared" si="215"/>
        <v>440963.77305805637</v>
      </c>
      <c r="AU97" s="1178">
        <f t="shared" si="182"/>
        <v>52915.652766966763</v>
      </c>
      <c r="AV97" s="1178">
        <f t="shared" si="216"/>
        <v>493879.42582502315</v>
      </c>
      <c r="AW97" s="1178">
        <f t="shared" si="217"/>
        <v>3493879.4258250231</v>
      </c>
      <c r="AX97" s="762">
        <f t="shared" si="218"/>
        <v>43673.49282281279</v>
      </c>
      <c r="AY97" s="717">
        <v>7575.3956645161297</v>
      </c>
      <c r="AZ97" s="717">
        <f t="shared" si="219"/>
        <v>3545128.3143123519</v>
      </c>
      <c r="BA97" s="717">
        <f t="shared" si="220"/>
        <v>132942.3117867132</v>
      </c>
      <c r="BB97" s="717"/>
      <c r="BC97" s="717">
        <f t="shared" si="183"/>
        <v>33600</v>
      </c>
      <c r="BD97" s="717">
        <f t="shared" si="221"/>
        <v>3711670.6260990649</v>
      </c>
      <c r="BE97" s="717">
        <v>18367.830916129038</v>
      </c>
      <c r="BF97" s="717">
        <f t="shared" si="222"/>
        <v>3730038.457015194</v>
      </c>
      <c r="BG97" s="1209"/>
      <c r="BH97" s="717">
        <f t="shared" si="223"/>
        <v>3730038.457015194</v>
      </c>
      <c r="BI97" s="717">
        <v>718.43902439024396</v>
      </c>
      <c r="BJ97" s="717">
        <f t="shared" si="224"/>
        <v>3730756.8960395842</v>
      </c>
      <c r="BK97" s="717"/>
      <c r="BL97" s="717">
        <f t="shared" si="225"/>
        <v>3730756.8960395842</v>
      </c>
      <c r="BM97" s="717">
        <f>$BM$5/41</f>
        <v>1038.0487804878051</v>
      </c>
      <c r="BN97" s="717">
        <f t="shared" si="226"/>
        <v>3731794.944820072</v>
      </c>
      <c r="BO97" s="717">
        <f>$BO$5/51</f>
        <v>7289.0781490196077</v>
      </c>
      <c r="BP97" s="717">
        <f t="shared" si="184"/>
        <v>3739084.0229690918</v>
      </c>
      <c r="BQ97" s="717">
        <f>$BQ$5/56</f>
        <v>4468.4242000000004</v>
      </c>
      <c r="BR97" s="717">
        <f t="shared" si="285"/>
        <v>3743552.4471690916</v>
      </c>
      <c r="BS97" s="1234">
        <f>$BS$5/64</f>
        <v>2651.4786794501206</v>
      </c>
      <c r="BT97" s="1235">
        <f t="shared" si="227"/>
        <v>3746203.9258485418</v>
      </c>
      <c r="BU97" s="1235">
        <f>$BU$5/65</f>
        <v>211.07692307692309</v>
      </c>
      <c r="BV97" s="1235">
        <f t="shared" si="286"/>
        <v>51400</v>
      </c>
      <c r="BW97" s="717">
        <f t="shared" si="228"/>
        <v>3797815.0027716188</v>
      </c>
      <c r="BX97" s="1234">
        <f t="shared" si="287"/>
        <v>27651.078536278128</v>
      </c>
      <c r="BY97" s="717">
        <f t="shared" si="229"/>
        <v>3825466.0813078969</v>
      </c>
      <c r="BZ97" s="1194">
        <f t="shared" si="230"/>
        <v>3825466.0813078969</v>
      </c>
      <c r="CA97" s="1194">
        <f t="shared" si="231"/>
        <v>2945466.0813078969</v>
      </c>
      <c r="CB97" s="1194">
        <f>$CB$5</f>
        <v>40000</v>
      </c>
      <c r="CC97" s="1194">
        <f t="shared" si="232"/>
        <v>880000</v>
      </c>
      <c r="CD97" s="1194">
        <f t="shared" si="233"/>
        <v>105600</v>
      </c>
      <c r="CE97" s="1194">
        <f t="shared" si="234"/>
        <v>985600</v>
      </c>
      <c r="CF97" s="1200">
        <f t="shared" si="235"/>
        <v>3931066.0813078969</v>
      </c>
      <c r="CG97" s="757">
        <f t="shared" si="236"/>
        <v>3931066.0813078969</v>
      </c>
      <c r="CH97" s="758">
        <f t="shared" si="237"/>
        <v>0</v>
      </c>
      <c r="CI97" s="757">
        <f t="shared" si="185"/>
        <v>402934.2733340594</v>
      </c>
      <c r="CJ97" s="757">
        <f t="shared" si="186"/>
        <v>98276.652032697428</v>
      </c>
      <c r="CK97" s="759">
        <f t="shared" si="155"/>
        <v>4432277.0066746539</v>
      </c>
      <c r="CL97" s="764">
        <f t="shared" si="238"/>
        <v>0.125</v>
      </c>
      <c r="CM97" s="757">
        <f t="shared" si="239"/>
        <v>554034.62583433173</v>
      </c>
      <c r="CN97" s="757">
        <f t="shared" si="281"/>
        <v>30000</v>
      </c>
      <c r="CO97" s="757">
        <f t="shared" si="240"/>
        <v>524034.62583433173</v>
      </c>
      <c r="CP97" s="755">
        <f t="shared" si="241"/>
        <v>29</v>
      </c>
      <c r="CQ97" s="757">
        <f t="shared" si="283"/>
        <v>18070.15951152868</v>
      </c>
      <c r="CR97" s="764">
        <f t="shared" si="242"/>
        <v>0.875</v>
      </c>
      <c r="CS97" s="757">
        <f t="shared" si="243"/>
        <v>3878242.380840322</v>
      </c>
      <c r="CT97" s="1101">
        <f t="shared" si="244"/>
        <v>30067.971899375116</v>
      </c>
      <c r="CU97" s="1101">
        <f t="shared" si="245"/>
        <v>34858.738931173066</v>
      </c>
      <c r="CV97" s="1101">
        <f t="shared" si="246"/>
        <v>45029.682488058563</v>
      </c>
      <c r="CW97" s="1141">
        <f t="shared" si="187"/>
        <v>76793.847370617092</v>
      </c>
      <c r="CX97" s="1152">
        <f t="shared" si="247"/>
        <v>315041.95564447035</v>
      </c>
      <c r="CY97" s="1152">
        <f t="shared" si="248"/>
        <v>124660.56719104161</v>
      </c>
      <c r="CZ97" s="1152">
        <f t="shared" si="249"/>
        <v>90040.562090217063</v>
      </c>
      <c r="DA97" s="1152">
        <f t="shared" si="250"/>
        <v>68525.013004040375</v>
      </c>
      <c r="DB97" s="1143">
        <f t="shared" si="188"/>
        <v>0.14698792435268546</v>
      </c>
      <c r="DC97" s="1143">
        <f t="shared" si="251"/>
        <v>0.3346159734293585</v>
      </c>
      <c r="DD97" s="1098" t="s">
        <v>232</v>
      </c>
      <c r="DE97" s="1144"/>
      <c r="DF97" s="705"/>
      <c r="DG97" s="765">
        <f t="shared" si="282"/>
        <v>46082</v>
      </c>
      <c r="DH97" s="1116">
        <f t="shared" si="189"/>
        <v>28</v>
      </c>
      <c r="DI97" s="497"/>
      <c r="DJ97" s="1117">
        <f t="shared" si="252"/>
        <v>46147</v>
      </c>
      <c r="DK97" s="1116">
        <f t="shared" si="253"/>
        <v>30</v>
      </c>
      <c r="DL97" s="766" t="s">
        <v>233</v>
      </c>
      <c r="DM97" s="766" t="s">
        <v>234</v>
      </c>
      <c r="DN97" s="767">
        <f t="shared" si="190"/>
        <v>22449.064810228327</v>
      </c>
      <c r="DO97" s="767">
        <f t="shared" si="191"/>
        <v>493879.42582502315</v>
      </c>
      <c r="DP97" s="768">
        <f t="shared" si="192"/>
        <v>0.16462647527500771</v>
      </c>
      <c r="DR97" s="767">
        <f t="shared" si="193"/>
        <v>3931066.0813078969</v>
      </c>
      <c r="DS97" s="767">
        <f>SUM('[6]INTERNAL PRICELIST'!M97)</f>
        <v>2329361</v>
      </c>
      <c r="DT97" s="767">
        <f t="shared" si="254"/>
        <v>1601705.0813078969</v>
      </c>
      <c r="DV97" s="951">
        <f t="shared" si="194"/>
        <v>178684.82187763168</v>
      </c>
      <c r="DX97" s="772">
        <v>2</v>
      </c>
      <c r="DY97" s="773" t="s">
        <v>238</v>
      </c>
      <c r="DZ97" s="774">
        <v>22</v>
      </c>
      <c r="EA97" s="775">
        <f t="shared" si="195"/>
        <v>0</v>
      </c>
      <c r="ED97" s="755" t="s">
        <v>450</v>
      </c>
      <c r="EE97" s="777" t="b">
        <f t="shared" si="196"/>
        <v>1</v>
      </c>
      <c r="EF97" s="1123" t="s">
        <v>449</v>
      </c>
      <c r="EG97" s="1123" t="s">
        <v>394</v>
      </c>
      <c r="EH97" s="1203"/>
      <c r="EP97" s="1233" t="s">
        <v>258</v>
      </c>
      <c r="EQ97" s="1145" t="s">
        <v>258</v>
      </c>
      <c r="ER97" s="753" t="b">
        <f t="shared" si="255"/>
        <v>1</v>
      </c>
      <c r="EU97" s="770">
        <v>2172480</v>
      </c>
      <c r="EV97" s="771" t="s">
        <v>236</v>
      </c>
      <c r="EZ97" s="520"/>
      <c r="FA97" s="778"/>
      <c r="FG97" s="1107"/>
      <c r="FJ97" s="994">
        <v>0.15</v>
      </c>
      <c r="FK97" s="993">
        <v>12931.189511786559</v>
      </c>
      <c r="FL97" s="993">
        <v>13280.681120213221</v>
      </c>
      <c r="FM97" s="497"/>
      <c r="FN97" s="993">
        <f t="shared" si="197"/>
        <v>4432277.0066746539</v>
      </c>
      <c r="FO97" s="994">
        <f t="shared" si="290"/>
        <v>0.15</v>
      </c>
      <c r="FP97" s="775">
        <f t="shared" si="198"/>
        <v>664841.55100119801</v>
      </c>
      <c r="FQ97" s="993">
        <f t="shared" si="199"/>
        <v>30000</v>
      </c>
      <c r="FR97" s="775">
        <f t="shared" si="257"/>
        <v>634841.55100119801</v>
      </c>
      <c r="FS97" s="497">
        <f t="shared" si="258"/>
        <v>40</v>
      </c>
      <c r="FT97" s="775">
        <f t="shared" si="259"/>
        <v>15871.038775029951</v>
      </c>
      <c r="FU97" s="497"/>
      <c r="FV97" s="993">
        <f t="shared" si="260"/>
        <v>4432277.0066746539</v>
      </c>
      <c r="FW97" s="705">
        <f t="shared" si="261"/>
        <v>443227.7006674654</v>
      </c>
      <c r="FX97" s="705">
        <f t="shared" si="262"/>
        <v>110806.92516686635</v>
      </c>
      <c r="FY97" s="705">
        <v>15000</v>
      </c>
      <c r="FZ97" s="705">
        <f t="shared" si="263"/>
        <v>428227.7006674654</v>
      </c>
      <c r="GA97" s="497">
        <f t="shared" si="264"/>
        <v>46</v>
      </c>
      <c r="GB97" s="775">
        <f t="shared" si="265"/>
        <v>9309.2978405970734</v>
      </c>
      <c r="GC97" s="497"/>
      <c r="GD97" s="497"/>
      <c r="GE97" s="1107"/>
      <c r="GH97" s="1095">
        <f t="shared" si="161"/>
        <v>4432277.0066746539</v>
      </c>
      <c r="GI97" s="1098">
        <f t="shared" si="162"/>
        <v>0.125</v>
      </c>
      <c r="GJ97" s="1095">
        <f t="shared" si="163"/>
        <v>554034.62583433173</v>
      </c>
      <c r="GK97" s="1095">
        <f t="shared" si="164"/>
        <v>30000</v>
      </c>
      <c r="GL97" s="1095">
        <f t="shared" si="165"/>
        <v>524034.62583433173</v>
      </c>
      <c r="GM97" s="1095">
        <f t="shared" si="166"/>
        <v>29</v>
      </c>
      <c r="GN97" s="1095">
        <f t="shared" si="167"/>
        <v>18070.15951152868</v>
      </c>
      <c r="GO97" s="1098">
        <f t="shared" si="168"/>
        <v>0.875</v>
      </c>
      <c r="GP97" s="1095">
        <f t="shared" si="169"/>
        <v>3878242.380840322</v>
      </c>
      <c r="GQ97" s="1095">
        <f t="shared" si="170"/>
        <v>30067.971899375116</v>
      </c>
      <c r="GR97" s="1095">
        <f t="shared" si="171"/>
        <v>34858.738931173066</v>
      </c>
      <c r="GS97" s="1095">
        <f t="shared" si="172"/>
        <v>45029.682488058563</v>
      </c>
      <c r="GT97" s="1095">
        <f t="shared" si="173"/>
        <v>76793.847370617092</v>
      </c>
      <c r="GU97" s="497"/>
      <c r="GV97" s="1095">
        <f t="shared" si="266"/>
        <v>4432277.0066746539</v>
      </c>
      <c r="GW97" s="1098">
        <f t="shared" si="267"/>
        <v>0.125</v>
      </c>
      <c r="GX97" s="1095">
        <f t="shared" si="268"/>
        <v>554034.62583433173</v>
      </c>
      <c r="GY97" s="1095">
        <f t="shared" si="269"/>
        <v>30000</v>
      </c>
      <c r="GZ97" s="1095">
        <f t="shared" si="270"/>
        <v>524034.62583433173</v>
      </c>
      <c r="HA97" s="1106">
        <f t="shared" si="271"/>
        <v>48</v>
      </c>
      <c r="HB97" s="770">
        <f t="shared" si="272"/>
        <v>10917.388038215244</v>
      </c>
      <c r="HC97" s="1098">
        <f t="shared" si="273"/>
        <v>0.875</v>
      </c>
      <c r="HD97" s="1102">
        <f t="shared" si="274"/>
        <v>3878242.380840322</v>
      </c>
      <c r="HE97" s="1101">
        <f t="shared" si="275"/>
        <v>30067.971899375116</v>
      </c>
      <c r="HF97" s="1101">
        <f t="shared" si="276"/>
        <v>34858.738931173066</v>
      </c>
      <c r="HG97" s="1101">
        <f t="shared" si="277"/>
        <v>45029.682488058563</v>
      </c>
      <c r="HH97" s="1101">
        <f t="shared" si="278"/>
        <v>76793.847370617092</v>
      </c>
      <c r="HI97" s="497"/>
      <c r="HJ97" s="1102">
        <f t="shared" si="279"/>
        <v>-7152.7714733134362</v>
      </c>
      <c r="HL97" s="775"/>
      <c r="HN97" s="775"/>
      <c r="HO97" s="775"/>
      <c r="HQ97" s="702"/>
      <c r="HR97" s="1171"/>
      <c r="HS97" s="702"/>
      <c r="HT97" s="1171"/>
    </row>
    <row r="98" spans="1:228" ht="14.25" hidden="1" customHeight="1">
      <c r="A98" s="753">
        <f t="shared" si="280"/>
        <v>92</v>
      </c>
      <c r="B98" s="753" t="s">
        <v>236</v>
      </c>
      <c r="C98" s="753">
        <f t="shared" si="174"/>
        <v>30</v>
      </c>
      <c r="D98" s="753" t="s">
        <v>260</v>
      </c>
      <c r="E98" s="717" t="str">
        <f t="shared" si="200"/>
        <v>5th Floor</v>
      </c>
      <c r="F98" s="754"/>
      <c r="G98" s="756" t="s">
        <v>451</v>
      </c>
      <c r="H98" s="756"/>
      <c r="I98" s="755" t="s">
        <v>229</v>
      </c>
      <c r="J98" s="757">
        <v>22</v>
      </c>
      <c r="K98" s="758"/>
      <c r="L98" s="759" t="s">
        <v>277</v>
      </c>
      <c r="M98" s="760" t="s">
        <v>68</v>
      </c>
      <c r="N98" s="761">
        <f t="shared" si="201"/>
        <v>106005.26567735759</v>
      </c>
      <c r="O98" s="762">
        <f t="shared" si="202"/>
        <v>2332115.8449018667</v>
      </c>
      <c r="P98" s="762">
        <f t="shared" si="203"/>
        <v>22400</v>
      </c>
      <c r="Q98" s="762">
        <f t="shared" si="175"/>
        <v>50000</v>
      </c>
      <c r="R98" s="762"/>
      <c r="S98" s="762"/>
      <c r="T98" s="762"/>
      <c r="U98" s="762"/>
      <c r="V98" s="762"/>
      <c r="W98" s="762"/>
      <c r="X98" s="762"/>
      <c r="Y98" s="762">
        <f t="shared" si="176"/>
        <v>20000</v>
      </c>
      <c r="Z98" s="762">
        <f t="shared" si="177"/>
        <v>142461</v>
      </c>
      <c r="AA98" s="762">
        <v>45722.732758620688</v>
      </c>
      <c r="AB98" s="762"/>
      <c r="AC98" s="762"/>
      <c r="AD98" s="763">
        <f t="shared" si="204"/>
        <v>280583.7327586207</v>
      </c>
      <c r="AE98" s="763">
        <f t="shared" si="178"/>
        <v>2612699.5776604875</v>
      </c>
      <c r="AF98" s="762">
        <f t="shared" si="179"/>
        <v>65317.489441512189</v>
      </c>
      <c r="AG98" s="762">
        <f t="shared" si="205"/>
        <v>2678017.0671019997</v>
      </c>
      <c r="AH98" s="762">
        <f t="shared" si="180"/>
        <v>66950.42667755</v>
      </c>
      <c r="AI98" s="762">
        <f t="shared" si="206"/>
        <v>2744967.4937795498</v>
      </c>
      <c r="AJ98" s="762">
        <f t="shared" si="207"/>
        <v>137248.37468897749</v>
      </c>
      <c r="AK98" s="762">
        <f t="shared" si="208"/>
        <v>2882215.8684685272</v>
      </c>
      <c r="AL98" s="762">
        <f t="shared" si="209"/>
        <v>28822.158684685273</v>
      </c>
      <c r="AM98" s="762">
        <f t="shared" si="210"/>
        <v>27537.409960060559</v>
      </c>
      <c r="AN98" s="762"/>
      <c r="AO98" s="763">
        <f t="shared" si="211"/>
        <v>2938575.437113273</v>
      </c>
      <c r="AP98" s="763">
        <f t="shared" si="212"/>
        <v>484864.94712369004</v>
      </c>
      <c r="AQ98" s="763">
        <f t="shared" si="213"/>
        <v>3423440.384236963</v>
      </c>
      <c r="AR98" s="1178">
        <f t="shared" si="181"/>
        <v>3000000</v>
      </c>
      <c r="AS98" s="1178">
        <f t="shared" si="214"/>
        <v>19247.290192589226</v>
      </c>
      <c r="AT98" s="1178">
        <f t="shared" si="215"/>
        <v>423440.384236963</v>
      </c>
      <c r="AU98" s="1178">
        <f t="shared" si="182"/>
        <v>50812.846108435559</v>
      </c>
      <c r="AV98" s="1178">
        <f t="shared" si="216"/>
        <v>474253.23034539854</v>
      </c>
      <c r="AW98" s="1178">
        <f t="shared" si="217"/>
        <v>3474253.2303453987</v>
      </c>
      <c r="AX98" s="762">
        <f t="shared" si="218"/>
        <v>43428.165379317485</v>
      </c>
      <c r="AY98" s="717" t="s">
        <v>231</v>
      </c>
      <c r="AZ98" s="717">
        <f t="shared" si="219"/>
        <v>3517681.3957247161</v>
      </c>
      <c r="BA98" s="717">
        <f t="shared" si="220"/>
        <v>131913.05233967685</v>
      </c>
      <c r="BB98" s="717"/>
      <c r="BC98" s="717">
        <f t="shared" si="183"/>
        <v>33600</v>
      </c>
      <c r="BD98" s="717">
        <f t="shared" si="221"/>
        <v>3683194.4480643929</v>
      </c>
      <c r="BE98" s="717"/>
      <c r="BF98" s="717">
        <f t="shared" si="222"/>
        <v>3683194.4480643929</v>
      </c>
      <c r="BG98" s="1209"/>
      <c r="BH98" s="717">
        <f t="shared" si="223"/>
        <v>3683194.4480643929</v>
      </c>
      <c r="BI98" s="717"/>
      <c r="BJ98" s="717">
        <f t="shared" si="224"/>
        <v>3683194.4480643929</v>
      </c>
      <c r="BK98" s="717"/>
      <c r="BL98" s="717">
        <f t="shared" si="225"/>
        <v>3683194.4480643929</v>
      </c>
      <c r="BM98" s="717"/>
      <c r="BN98" s="717">
        <f t="shared" si="226"/>
        <v>3683194.4480643929</v>
      </c>
      <c r="BO98" s="717"/>
      <c r="BP98" s="717">
        <f t="shared" si="184"/>
        <v>3683194.4480643929</v>
      </c>
      <c r="BQ98" s="717"/>
      <c r="BR98" s="717">
        <f t="shared" si="285"/>
        <v>3683194.4480643929</v>
      </c>
      <c r="BS98" s="717"/>
      <c r="BT98" s="717">
        <f t="shared" si="227"/>
        <v>3683194.4480643929</v>
      </c>
      <c r="BU98" s="717"/>
      <c r="BV98" s="1235">
        <f t="shared" si="286"/>
        <v>51400</v>
      </c>
      <c r="BW98" s="717">
        <f t="shared" si="228"/>
        <v>3734594.4480643929</v>
      </c>
      <c r="BX98" s="717"/>
      <c r="BY98" s="717">
        <f t="shared" si="229"/>
        <v>3734594.4480643929</v>
      </c>
      <c r="BZ98" s="1194">
        <f t="shared" si="230"/>
        <v>3734594.4480643929</v>
      </c>
      <c r="CA98" s="1194">
        <f t="shared" si="231"/>
        <v>3030594.4480643929</v>
      </c>
      <c r="CB98" s="1194">
        <v>32000</v>
      </c>
      <c r="CC98" s="1194">
        <f t="shared" si="232"/>
        <v>704000</v>
      </c>
      <c r="CD98" s="1194">
        <f t="shared" si="233"/>
        <v>84480</v>
      </c>
      <c r="CE98" s="1194">
        <f t="shared" si="234"/>
        <v>788480</v>
      </c>
      <c r="CF98" s="1200">
        <f t="shared" si="235"/>
        <v>3819074.4480643929</v>
      </c>
      <c r="CG98" s="757">
        <f t="shared" si="236"/>
        <v>3819074.4480643929</v>
      </c>
      <c r="CH98" s="758">
        <f t="shared" si="237"/>
        <v>0</v>
      </c>
      <c r="CI98" s="757">
        <f t="shared" si="185"/>
        <v>391455.13092660025</v>
      </c>
      <c r="CJ98" s="757">
        <f t="shared" si="186"/>
        <v>95476.861201609834</v>
      </c>
      <c r="CK98" s="759">
        <f t="shared" si="155"/>
        <v>4306006.4401926026</v>
      </c>
      <c r="CL98" s="764">
        <f t="shared" si="238"/>
        <v>0.125</v>
      </c>
      <c r="CM98" s="757">
        <f t="shared" si="239"/>
        <v>538250.80502407532</v>
      </c>
      <c r="CN98" s="757">
        <f t="shared" si="281"/>
        <v>30000</v>
      </c>
      <c r="CO98" s="757">
        <f t="shared" si="240"/>
        <v>508250.80502407532</v>
      </c>
      <c r="CP98" s="755">
        <f t="shared" si="241"/>
        <v>29</v>
      </c>
      <c r="CQ98" s="757">
        <f t="shared" si="283"/>
        <v>17525.889828416392</v>
      </c>
      <c r="CR98" s="764">
        <f t="shared" si="242"/>
        <v>0.875</v>
      </c>
      <c r="CS98" s="757">
        <f t="shared" si="243"/>
        <v>3767755.6351685273</v>
      </c>
      <c r="CT98" s="1101">
        <f t="shared" si="244"/>
        <v>29211.36933618176</v>
      </c>
      <c r="CU98" s="1101">
        <f t="shared" si="245"/>
        <v>33865.652825530153</v>
      </c>
      <c r="CV98" s="1101">
        <f t="shared" si="246"/>
        <v>43746.837686681865</v>
      </c>
      <c r="CW98" s="1141">
        <f t="shared" si="187"/>
        <v>74606.077383492782</v>
      </c>
      <c r="CX98" s="1152">
        <f t="shared" si="247"/>
        <v>306066.76610985096</v>
      </c>
      <c r="CY98" s="1152">
        <f t="shared" si="248"/>
        <v>121109.12841285109</v>
      </c>
      <c r="CZ98" s="1152">
        <f t="shared" si="249"/>
        <v>87475.408160448584</v>
      </c>
      <c r="DA98" s="1152">
        <f t="shared" si="250"/>
        <v>66572.812769898912</v>
      </c>
      <c r="DB98" s="1143">
        <f t="shared" si="188"/>
        <v>0.14114679474565434</v>
      </c>
      <c r="DC98" s="1143">
        <f t="shared" si="251"/>
        <v>0.26017337968252185</v>
      </c>
      <c r="DD98" s="1098" t="s">
        <v>232</v>
      </c>
      <c r="DE98" s="1144"/>
      <c r="DF98" s="705"/>
      <c r="DG98" s="765">
        <f t="shared" si="282"/>
        <v>46082</v>
      </c>
      <c r="DH98" s="1116">
        <f t="shared" si="189"/>
        <v>28</v>
      </c>
      <c r="DI98" s="497"/>
      <c r="DJ98" s="1117">
        <f t="shared" si="252"/>
        <v>46147</v>
      </c>
      <c r="DK98" s="1116">
        <f t="shared" si="253"/>
        <v>30</v>
      </c>
      <c r="DL98" s="766" t="s">
        <v>233</v>
      </c>
      <c r="DM98" s="766" t="s">
        <v>234</v>
      </c>
      <c r="DN98" s="767">
        <f t="shared" si="190"/>
        <v>21556.965015699934</v>
      </c>
      <c r="DO98" s="767">
        <f t="shared" si="191"/>
        <v>474253.23034539854</v>
      </c>
      <c r="DP98" s="768">
        <f t="shared" si="192"/>
        <v>0.15808441011513286</v>
      </c>
      <c r="DR98" s="767">
        <f t="shared" si="193"/>
        <v>3819074.4480643929</v>
      </c>
      <c r="DS98" s="767">
        <f>SUM('[6]INTERNAL PRICELIST'!M98)</f>
        <v>2329361</v>
      </c>
      <c r="DT98" s="767">
        <f t="shared" si="254"/>
        <v>1489713.4480643929</v>
      </c>
      <c r="DV98" s="951">
        <f t="shared" si="194"/>
        <v>173594.29309383605</v>
      </c>
      <c r="DX98" s="772">
        <v>3</v>
      </c>
      <c r="DY98" s="773" t="s">
        <v>245</v>
      </c>
      <c r="DZ98" s="774">
        <v>22</v>
      </c>
      <c r="EA98" s="775">
        <f t="shared" si="195"/>
        <v>0</v>
      </c>
      <c r="ED98" s="755" t="s">
        <v>451</v>
      </c>
      <c r="EE98" s="777" t="b">
        <f t="shared" si="196"/>
        <v>1</v>
      </c>
      <c r="EF98" s="1123" t="s">
        <v>452</v>
      </c>
      <c r="EG98" s="1123" t="s">
        <v>394</v>
      </c>
      <c r="EH98" s="1203"/>
      <c r="EP98" s="1230" t="s">
        <v>236</v>
      </c>
      <c r="EQ98" s="1145" t="s">
        <v>236</v>
      </c>
      <c r="ER98" s="753" t="b">
        <f t="shared" si="255"/>
        <v>1</v>
      </c>
      <c r="EU98" s="770">
        <v>2172480</v>
      </c>
      <c r="EV98" s="771" t="s">
        <v>236</v>
      </c>
      <c r="EZ98" s="520"/>
      <c r="FA98" s="778"/>
      <c r="FG98" s="1107"/>
      <c r="FJ98" s="994">
        <v>0.15</v>
      </c>
      <c r="FK98" s="993">
        <v>12931.189511786559</v>
      </c>
      <c r="FL98" s="993">
        <v>13280.681120213221</v>
      </c>
      <c r="FM98" s="497"/>
      <c r="FN98" s="993">
        <f t="shared" si="197"/>
        <v>4306006.4401926026</v>
      </c>
      <c r="FO98" s="994">
        <f t="shared" si="256"/>
        <v>0.15</v>
      </c>
      <c r="FP98" s="775">
        <f t="shared" si="198"/>
        <v>645900.96602889034</v>
      </c>
      <c r="FQ98" s="993">
        <f t="shared" si="199"/>
        <v>30000</v>
      </c>
      <c r="FR98" s="775">
        <f t="shared" si="257"/>
        <v>615900.96602889034</v>
      </c>
      <c r="FS98" s="497">
        <f t="shared" si="258"/>
        <v>40</v>
      </c>
      <c r="FT98" s="775">
        <f t="shared" si="259"/>
        <v>15397.524150722258</v>
      </c>
      <c r="FU98" s="497"/>
      <c r="FV98" s="993">
        <f t="shared" si="260"/>
        <v>4306006.4401926026</v>
      </c>
      <c r="FW98" s="705">
        <f t="shared" si="261"/>
        <v>430600.6440192603</v>
      </c>
      <c r="FX98" s="705">
        <f t="shared" si="262"/>
        <v>107650.16100481508</v>
      </c>
      <c r="FY98" s="705">
        <v>15000</v>
      </c>
      <c r="FZ98" s="705">
        <f t="shared" si="263"/>
        <v>415600.6440192603</v>
      </c>
      <c r="GA98" s="497">
        <f t="shared" si="264"/>
        <v>46</v>
      </c>
      <c r="GB98" s="775">
        <f t="shared" si="265"/>
        <v>9034.7966091143553</v>
      </c>
      <c r="GC98" s="497"/>
      <c r="GD98" s="497"/>
      <c r="GE98" s="1107"/>
      <c r="GH98" s="1095">
        <f t="shared" si="161"/>
        <v>4306006.4401926026</v>
      </c>
      <c r="GI98" s="1098">
        <f t="shared" si="162"/>
        <v>0.125</v>
      </c>
      <c r="GJ98" s="1095">
        <f t="shared" si="163"/>
        <v>538250.80502407532</v>
      </c>
      <c r="GK98" s="1095">
        <f t="shared" si="164"/>
        <v>30000</v>
      </c>
      <c r="GL98" s="1095">
        <f t="shared" si="165"/>
        <v>508250.80502407532</v>
      </c>
      <c r="GM98" s="1095">
        <f t="shared" si="166"/>
        <v>29</v>
      </c>
      <c r="GN98" s="1095">
        <f t="shared" si="167"/>
        <v>17525.889828416392</v>
      </c>
      <c r="GO98" s="1098">
        <f t="shared" si="168"/>
        <v>0.875</v>
      </c>
      <c r="GP98" s="1095">
        <f t="shared" si="169"/>
        <v>3767755.6351685273</v>
      </c>
      <c r="GQ98" s="1095">
        <f t="shared" si="170"/>
        <v>29211.36933618176</v>
      </c>
      <c r="GR98" s="1095">
        <f t="shared" si="171"/>
        <v>33865.652825530153</v>
      </c>
      <c r="GS98" s="1095">
        <f t="shared" si="172"/>
        <v>43746.837686681865</v>
      </c>
      <c r="GT98" s="1095">
        <f t="shared" si="173"/>
        <v>74606.077383492782</v>
      </c>
      <c r="GU98" s="497"/>
      <c r="GV98" s="1095">
        <f t="shared" si="266"/>
        <v>4306006.4401926026</v>
      </c>
      <c r="GW98" s="1098">
        <f t="shared" si="267"/>
        <v>0.125</v>
      </c>
      <c r="GX98" s="1095">
        <f t="shared" si="268"/>
        <v>538250.80502407532</v>
      </c>
      <c r="GY98" s="1095">
        <f t="shared" si="269"/>
        <v>30000</v>
      </c>
      <c r="GZ98" s="1095">
        <f t="shared" si="270"/>
        <v>508250.80502407532</v>
      </c>
      <c r="HA98" s="1106">
        <f t="shared" si="271"/>
        <v>48</v>
      </c>
      <c r="HB98" s="770">
        <f t="shared" si="272"/>
        <v>10588.55843800157</v>
      </c>
      <c r="HC98" s="1098">
        <f t="shared" si="273"/>
        <v>0.875</v>
      </c>
      <c r="HD98" s="1102">
        <f t="shared" si="274"/>
        <v>3767755.6351685273</v>
      </c>
      <c r="HE98" s="1101">
        <f t="shared" si="275"/>
        <v>29211.36933618176</v>
      </c>
      <c r="HF98" s="1101">
        <f t="shared" si="276"/>
        <v>33865.652825530153</v>
      </c>
      <c r="HG98" s="1101">
        <f t="shared" si="277"/>
        <v>43746.837686681865</v>
      </c>
      <c r="HH98" s="1101">
        <f t="shared" si="278"/>
        <v>74606.077383492782</v>
      </c>
      <c r="HI98" s="497"/>
      <c r="HJ98" s="1102">
        <f t="shared" si="279"/>
        <v>-6937.3313904148217</v>
      </c>
      <c r="HL98" s="775"/>
      <c r="HN98" s="775"/>
      <c r="HO98" s="775"/>
      <c r="HQ98" s="702"/>
      <c r="HR98" s="1171"/>
      <c r="HS98" s="702"/>
      <c r="HT98" s="1171"/>
    </row>
    <row r="99" spans="1:228" ht="14.25" hidden="1" customHeight="1">
      <c r="A99" s="753">
        <f t="shared" si="280"/>
        <v>93</v>
      </c>
      <c r="B99" s="753" t="s">
        <v>236</v>
      </c>
      <c r="C99" s="753">
        <f t="shared" si="174"/>
        <v>31</v>
      </c>
      <c r="D99" s="753" t="s">
        <v>260</v>
      </c>
      <c r="E99" s="717" t="str">
        <f t="shared" si="200"/>
        <v>5th Floor</v>
      </c>
      <c r="F99" s="754"/>
      <c r="G99" s="756" t="s">
        <v>453</v>
      </c>
      <c r="H99" s="756"/>
      <c r="I99" s="755" t="s">
        <v>229</v>
      </c>
      <c r="J99" s="757">
        <v>22</v>
      </c>
      <c r="K99" s="758"/>
      <c r="L99" s="759" t="s">
        <v>277</v>
      </c>
      <c r="M99" s="760" t="s">
        <v>278</v>
      </c>
      <c r="N99" s="761">
        <f t="shared" si="201"/>
        <v>106005.26567735759</v>
      </c>
      <c r="O99" s="762">
        <f t="shared" si="202"/>
        <v>2332115.8449018667</v>
      </c>
      <c r="P99" s="762">
        <f t="shared" si="203"/>
        <v>22400</v>
      </c>
      <c r="Q99" s="762">
        <f t="shared" si="175"/>
        <v>50000</v>
      </c>
      <c r="R99" s="762"/>
      <c r="S99" s="762"/>
      <c r="T99" s="762"/>
      <c r="U99" s="762"/>
      <c r="V99" s="762"/>
      <c r="W99" s="762">
        <f>J99*$W$5</f>
        <v>22000</v>
      </c>
      <c r="X99" s="762"/>
      <c r="Y99" s="762">
        <f t="shared" si="176"/>
        <v>20000</v>
      </c>
      <c r="Z99" s="762">
        <f t="shared" si="177"/>
        <v>142461</v>
      </c>
      <c r="AA99" s="762">
        <v>45722.732758620688</v>
      </c>
      <c r="AB99" s="762"/>
      <c r="AC99" s="762"/>
      <c r="AD99" s="763">
        <f t="shared" si="204"/>
        <v>302583.7327586207</v>
      </c>
      <c r="AE99" s="763">
        <f t="shared" si="178"/>
        <v>2634699.5776604875</v>
      </c>
      <c r="AF99" s="762">
        <f t="shared" si="179"/>
        <v>65867.489441512196</v>
      </c>
      <c r="AG99" s="762">
        <f t="shared" si="205"/>
        <v>2700567.0671019997</v>
      </c>
      <c r="AH99" s="762">
        <f t="shared" si="180"/>
        <v>67514.17667755</v>
      </c>
      <c r="AI99" s="762">
        <f t="shared" si="206"/>
        <v>2768081.2437795498</v>
      </c>
      <c r="AJ99" s="762">
        <f t="shared" si="207"/>
        <v>138404.06218897749</v>
      </c>
      <c r="AK99" s="762">
        <f t="shared" si="208"/>
        <v>2906485.3059685272</v>
      </c>
      <c r="AL99" s="762">
        <f t="shared" si="209"/>
        <v>29064.853059685272</v>
      </c>
      <c r="AM99" s="762">
        <f t="shared" si="210"/>
        <v>27537.409960060559</v>
      </c>
      <c r="AN99" s="762"/>
      <c r="AO99" s="763">
        <f t="shared" si="211"/>
        <v>2963087.5689882729</v>
      </c>
      <c r="AP99" s="763">
        <f t="shared" si="212"/>
        <v>488909.44888306508</v>
      </c>
      <c r="AQ99" s="763">
        <f t="shared" si="213"/>
        <v>3451997.0178713379</v>
      </c>
      <c r="AR99" s="1178">
        <f t="shared" si="181"/>
        <v>3000000</v>
      </c>
      <c r="AS99" s="1178">
        <f t="shared" si="214"/>
        <v>20545.318994151723</v>
      </c>
      <c r="AT99" s="1178">
        <f t="shared" si="215"/>
        <v>451997.01787133794</v>
      </c>
      <c r="AU99" s="1178">
        <f t="shared" si="182"/>
        <v>54239.642144560552</v>
      </c>
      <c r="AV99" s="1178">
        <f t="shared" si="216"/>
        <v>506236.66001589852</v>
      </c>
      <c r="AW99" s="1178">
        <f t="shared" si="217"/>
        <v>3506236.6600158983</v>
      </c>
      <c r="AX99" s="762">
        <f t="shared" si="218"/>
        <v>43827.958250198732</v>
      </c>
      <c r="AY99" s="717" t="s">
        <v>231</v>
      </c>
      <c r="AZ99" s="717">
        <f t="shared" si="219"/>
        <v>3550064.6182660968</v>
      </c>
      <c r="BA99" s="717">
        <f t="shared" si="220"/>
        <v>133127.42318497863</v>
      </c>
      <c r="BB99" s="717"/>
      <c r="BC99" s="717">
        <f t="shared" si="183"/>
        <v>33600</v>
      </c>
      <c r="BD99" s="717">
        <f t="shared" si="221"/>
        <v>3716792.0414510756</v>
      </c>
      <c r="BE99" s="717"/>
      <c r="BF99" s="717">
        <f t="shared" si="222"/>
        <v>3716792.0414510756</v>
      </c>
      <c r="BG99" s="1209"/>
      <c r="BH99" s="717">
        <f t="shared" si="223"/>
        <v>3716792.0414510756</v>
      </c>
      <c r="BI99" s="717"/>
      <c r="BJ99" s="717">
        <f t="shared" si="224"/>
        <v>3716792.0414510756</v>
      </c>
      <c r="BK99" s="717"/>
      <c r="BL99" s="717">
        <f t="shared" si="225"/>
        <v>3716792.0414510756</v>
      </c>
      <c r="BM99" s="717"/>
      <c r="BN99" s="717">
        <f t="shared" si="226"/>
        <v>3716792.0414510756</v>
      </c>
      <c r="BO99" s="717"/>
      <c r="BP99" s="717">
        <f t="shared" si="184"/>
        <v>3716792.0414510756</v>
      </c>
      <c r="BQ99" s="717"/>
      <c r="BR99" s="717">
        <f t="shared" si="285"/>
        <v>3716792.0414510756</v>
      </c>
      <c r="BS99" s="717"/>
      <c r="BT99" s="717">
        <f t="shared" si="227"/>
        <v>3716792.0414510756</v>
      </c>
      <c r="BU99" s="717"/>
      <c r="BV99" s="1235">
        <f t="shared" si="286"/>
        <v>51400</v>
      </c>
      <c r="BW99" s="717">
        <f t="shared" si="228"/>
        <v>3768192.0414510756</v>
      </c>
      <c r="BX99" s="717"/>
      <c r="BY99" s="717">
        <f t="shared" si="229"/>
        <v>3768192.0414510756</v>
      </c>
      <c r="BZ99" s="1194">
        <f t="shared" si="230"/>
        <v>3768192.0414510756</v>
      </c>
      <c r="CA99" s="1194">
        <f t="shared" si="231"/>
        <v>3031192.0414510756</v>
      </c>
      <c r="CB99" s="1194">
        <v>33500</v>
      </c>
      <c r="CC99" s="1194">
        <f t="shared" si="232"/>
        <v>737000</v>
      </c>
      <c r="CD99" s="1194">
        <f t="shared" si="233"/>
        <v>88440</v>
      </c>
      <c r="CE99" s="1194">
        <f t="shared" si="234"/>
        <v>825440</v>
      </c>
      <c r="CF99" s="1200">
        <f t="shared" si="235"/>
        <v>3856632.0414510756</v>
      </c>
      <c r="CG99" s="757">
        <f t="shared" si="236"/>
        <v>3856632.0414510756</v>
      </c>
      <c r="CH99" s="758">
        <f t="shared" si="237"/>
        <v>0</v>
      </c>
      <c r="CI99" s="757">
        <f t="shared" si="185"/>
        <v>395304.78424873523</v>
      </c>
      <c r="CJ99" s="757">
        <f t="shared" si="186"/>
        <v>96415.801036276898</v>
      </c>
      <c r="CK99" s="759">
        <f t="shared" ref="CK99:CK162" si="291">SUM(CG99:CJ99)</f>
        <v>4348352.6267360877</v>
      </c>
      <c r="CL99" s="764">
        <f t="shared" si="238"/>
        <v>0.125</v>
      </c>
      <c r="CM99" s="757">
        <f t="shared" si="239"/>
        <v>543544.07834201097</v>
      </c>
      <c r="CN99" s="757">
        <f t="shared" si="281"/>
        <v>30000</v>
      </c>
      <c r="CO99" s="757">
        <f t="shared" si="240"/>
        <v>513544.07834201097</v>
      </c>
      <c r="CP99" s="755">
        <f t="shared" si="241"/>
        <v>29</v>
      </c>
      <c r="CQ99" s="757">
        <f t="shared" si="283"/>
        <v>17708.416494552101</v>
      </c>
      <c r="CR99" s="764">
        <f t="shared" si="242"/>
        <v>0.875</v>
      </c>
      <c r="CS99" s="757">
        <f t="shared" si="243"/>
        <v>3804808.5483940765</v>
      </c>
      <c r="CT99" s="1101">
        <f t="shared" si="244"/>
        <v>29498.640178035228</v>
      </c>
      <c r="CU99" s="1101">
        <f t="shared" si="245"/>
        <v>34198.69488477581</v>
      </c>
      <c r="CV99" s="1101">
        <f t="shared" si="246"/>
        <v>44177.053427205676</v>
      </c>
      <c r="CW99" s="1141">
        <f t="shared" si="187"/>
        <v>75339.769474770234</v>
      </c>
      <c r="CX99" s="1152">
        <f t="shared" si="247"/>
        <v>309076.69202437636</v>
      </c>
      <c r="CY99" s="1152">
        <f t="shared" si="248"/>
        <v>122300.14143503785</v>
      </c>
      <c r="CZ99" s="1152">
        <f t="shared" si="249"/>
        <v>88335.659997824871</v>
      </c>
      <c r="DA99" s="1152">
        <f t="shared" si="250"/>
        <v>67227.504022091394</v>
      </c>
      <c r="DB99" s="1143">
        <f t="shared" si="188"/>
        <v>0.15066567262377931</v>
      </c>
      <c r="DC99" s="1143">
        <f t="shared" si="251"/>
        <v>0.2723153098557391</v>
      </c>
      <c r="DD99" s="1098" t="s">
        <v>232</v>
      </c>
      <c r="DE99" s="1144"/>
      <c r="DF99" s="705"/>
      <c r="DG99" s="765">
        <f t="shared" si="282"/>
        <v>46082</v>
      </c>
      <c r="DH99" s="1116">
        <f t="shared" si="189"/>
        <v>28</v>
      </c>
      <c r="DI99" s="497"/>
      <c r="DJ99" s="1117">
        <f t="shared" si="252"/>
        <v>46147</v>
      </c>
      <c r="DK99" s="1116">
        <f t="shared" si="253"/>
        <v>30</v>
      </c>
      <c r="DL99" s="766" t="s">
        <v>233</v>
      </c>
      <c r="DM99" s="766" t="s">
        <v>234</v>
      </c>
      <c r="DN99" s="767">
        <f t="shared" si="190"/>
        <v>23010.757273449934</v>
      </c>
      <c r="DO99" s="767">
        <f t="shared" si="191"/>
        <v>506236.66001589852</v>
      </c>
      <c r="DP99" s="768">
        <f t="shared" si="192"/>
        <v>0.16874555333863284</v>
      </c>
      <c r="DR99" s="767">
        <f t="shared" si="193"/>
        <v>3856632.0414510756</v>
      </c>
      <c r="DS99" s="767">
        <f>SUM('[6]INTERNAL PRICELIST'!M99)</f>
        <v>2329361</v>
      </c>
      <c r="DT99" s="767">
        <f t="shared" si="254"/>
        <v>1527271.0414510756</v>
      </c>
      <c r="DV99" s="951">
        <f t="shared" si="194"/>
        <v>175301.45642959434</v>
      </c>
      <c r="DX99" s="772">
        <v>4</v>
      </c>
      <c r="DY99" s="773" t="s">
        <v>250</v>
      </c>
      <c r="DZ99" s="774">
        <v>22</v>
      </c>
      <c r="EA99" s="775">
        <f t="shared" si="195"/>
        <v>0</v>
      </c>
      <c r="ED99" s="755" t="s">
        <v>453</v>
      </c>
      <c r="EE99" s="777" t="b">
        <f t="shared" si="196"/>
        <v>1</v>
      </c>
      <c r="EF99" s="1123" t="s">
        <v>454</v>
      </c>
      <c r="EG99" s="1123" t="s">
        <v>394</v>
      </c>
      <c r="EH99" s="1203"/>
      <c r="EO99" s="497" t="s">
        <v>455</v>
      </c>
      <c r="EP99" s="1230" t="s">
        <v>236</v>
      </c>
      <c r="EQ99" s="1145" t="s">
        <v>236</v>
      </c>
      <c r="ER99" s="753" t="b">
        <f t="shared" si="255"/>
        <v>1</v>
      </c>
      <c r="EU99" s="770">
        <v>2618505.0266980133</v>
      </c>
      <c r="EV99" s="771" t="s">
        <v>258</v>
      </c>
      <c r="EW99" s="775" t="s">
        <v>456</v>
      </c>
      <c r="EZ99" s="520"/>
      <c r="FA99" s="778"/>
      <c r="FG99" s="1107"/>
      <c r="FJ99" s="994">
        <v>0.15</v>
      </c>
      <c r="FK99" s="993">
        <v>13053.376038622413</v>
      </c>
      <c r="FL99" s="993">
        <v>13406.169985612209</v>
      </c>
      <c r="FM99" s="497"/>
      <c r="FN99" s="993">
        <f t="shared" si="197"/>
        <v>4348352.6267360877</v>
      </c>
      <c r="FO99" s="994">
        <f t="shared" si="256"/>
        <v>0.15</v>
      </c>
      <c r="FP99" s="775">
        <f t="shared" si="198"/>
        <v>652252.89401041309</v>
      </c>
      <c r="FQ99" s="993">
        <f t="shared" si="199"/>
        <v>30000</v>
      </c>
      <c r="FR99" s="775">
        <f t="shared" si="257"/>
        <v>622252.89401041309</v>
      </c>
      <c r="FS99" s="497">
        <f t="shared" si="258"/>
        <v>40</v>
      </c>
      <c r="FT99" s="775">
        <f t="shared" si="259"/>
        <v>15556.322350260327</v>
      </c>
      <c r="FU99" s="497"/>
      <c r="FV99" s="993">
        <f t="shared" si="260"/>
        <v>4348352.6267360877</v>
      </c>
      <c r="FW99" s="705">
        <f t="shared" si="261"/>
        <v>434835.26267360878</v>
      </c>
      <c r="FX99" s="705">
        <f t="shared" si="262"/>
        <v>108708.8156684022</v>
      </c>
      <c r="FY99" s="705">
        <v>15000</v>
      </c>
      <c r="FZ99" s="705">
        <f t="shared" si="263"/>
        <v>419835.26267360878</v>
      </c>
      <c r="GA99" s="497">
        <f t="shared" si="264"/>
        <v>46</v>
      </c>
      <c r="GB99" s="775">
        <f t="shared" si="265"/>
        <v>9126.8535363827996</v>
      </c>
      <c r="GC99" s="497"/>
      <c r="GD99" s="497"/>
      <c r="GE99" s="1107"/>
      <c r="GH99" s="1095">
        <f t="shared" si="161"/>
        <v>4348352.6267360877</v>
      </c>
      <c r="GI99" s="1098">
        <f t="shared" si="162"/>
        <v>0.125</v>
      </c>
      <c r="GJ99" s="1095">
        <f t="shared" si="163"/>
        <v>543544.07834201097</v>
      </c>
      <c r="GK99" s="1095">
        <f t="shared" si="164"/>
        <v>30000</v>
      </c>
      <c r="GL99" s="1095">
        <f t="shared" si="165"/>
        <v>513544.07834201097</v>
      </c>
      <c r="GM99" s="1095">
        <f t="shared" si="166"/>
        <v>29</v>
      </c>
      <c r="GN99" s="1095">
        <f t="shared" si="167"/>
        <v>17708.416494552101</v>
      </c>
      <c r="GO99" s="1098">
        <f t="shared" si="168"/>
        <v>0.875</v>
      </c>
      <c r="GP99" s="1095">
        <f t="shared" si="169"/>
        <v>3804808.5483940765</v>
      </c>
      <c r="GQ99" s="1095">
        <f t="shared" si="170"/>
        <v>29498.640178035228</v>
      </c>
      <c r="GR99" s="1095">
        <f t="shared" si="171"/>
        <v>34198.69488477581</v>
      </c>
      <c r="GS99" s="1095">
        <f t="shared" si="172"/>
        <v>44177.053427205676</v>
      </c>
      <c r="GT99" s="1095">
        <f t="shared" si="173"/>
        <v>75339.769474770234</v>
      </c>
      <c r="GU99" s="497"/>
      <c r="GV99" s="1095">
        <f t="shared" si="266"/>
        <v>4348352.6267360877</v>
      </c>
      <c r="GW99" s="1098">
        <f t="shared" si="267"/>
        <v>0.125</v>
      </c>
      <c r="GX99" s="1095">
        <f t="shared" si="268"/>
        <v>543544.07834201097</v>
      </c>
      <c r="GY99" s="1095">
        <f t="shared" si="269"/>
        <v>30000</v>
      </c>
      <c r="GZ99" s="1095">
        <f t="shared" si="270"/>
        <v>513544.07834201097</v>
      </c>
      <c r="HA99" s="1106">
        <f t="shared" si="271"/>
        <v>48</v>
      </c>
      <c r="HB99" s="770">
        <f t="shared" si="272"/>
        <v>10698.834965458562</v>
      </c>
      <c r="HC99" s="1098">
        <f t="shared" si="273"/>
        <v>0.875</v>
      </c>
      <c r="HD99" s="1102">
        <f t="shared" si="274"/>
        <v>3804808.5483940765</v>
      </c>
      <c r="HE99" s="1101">
        <f t="shared" si="275"/>
        <v>29498.640178035228</v>
      </c>
      <c r="HF99" s="1101">
        <f t="shared" si="276"/>
        <v>34198.69488477581</v>
      </c>
      <c r="HG99" s="1101">
        <f t="shared" si="277"/>
        <v>44177.053427205676</v>
      </c>
      <c r="HH99" s="1101">
        <f t="shared" si="278"/>
        <v>75339.769474770234</v>
      </c>
      <c r="HI99" s="497"/>
      <c r="HJ99" s="1102">
        <f t="shared" si="279"/>
        <v>-7009.5815290935388</v>
      </c>
      <c r="HL99" s="775"/>
      <c r="HN99" s="775"/>
      <c r="HO99" s="775"/>
      <c r="HQ99" s="702"/>
      <c r="HR99" s="1171"/>
      <c r="HS99" s="702"/>
      <c r="HT99" s="1171"/>
    </row>
    <row r="100" spans="1:228" ht="14.25" hidden="1" customHeight="1">
      <c r="A100" s="753">
        <f t="shared" si="280"/>
        <v>94</v>
      </c>
      <c r="B100" s="753" t="s">
        <v>236</v>
      </c>
      <c r="C100" s="753">
        <v>1</v>
      </c>
      <c r="D100" s="753" t="s">
        <v>265</v>
      </c>
      <c r="E100" s="717" t="str">
        <f t="shared" si="200"/>
        <v>6th Floor</v>
      </c>
      <c r="F100" s="754"/>
      <c r="G100" s="756" t="s">
        <v>457</v>
      </c>
      <c r="H100" s="756"/>
      <c r="I100" s="755" t="s">
        <v>229</v>
      </c>
      <c r="J100" s="757">
        <v>22</v>
      </c>
      <c r="K100" s="758"/>
      <c r="L100" s="759" t="s">
        <v>69</v>
      </c>
      <c r="M100" s="760" t="s">
        <v>230</v>
      </c>
      <c r="N100" s="761">
        <f t="shared" si="201"/>
        <v>106005.26567735759</v>
      </c>
      <c r="O100" s="762">
        <f t="shared" si="202"/>
        <v>2332115.8449018667</v>
      </c>
      <c r="P100" s="762">
        <f t="shared" si="203"/>
        <v>22400</v>
      </c>
      <c r="Q100" s="762">
        <f t="shared" si="175"/>
        <v>50000</v>
      </c>
      <c r="R100" s="762"/>
      <c r="S100" s="762"/>
      <c r="T100" s="762"/>
      <c r="U100" s="762"/>
      <c r="V100" s="762">
        <f>J100*$V$5</f>
        <v>55000</v>
      </c>
      <c r="W100" s="762"/>
      <c r="X100" s="762"/>
      <c r="Y100" s="762">
        <f>Y99+Y5</f>
        <v>40000</v>
      </c>
      <c r="Z100" s="762">
        <f t="shared" si="177"/>
        <v>142461</v>
      </c>
      <c r="AA100" s="762">
        <v>49222.732758620703</v>
      </c>
      <c r="AB100" s="762"/>
      <c r="AC100" s="762"/>
      <c r="AD100" s="763">
        <f t="shared" si="204"/>
        <v>359083.7327586207</v>
      </c>
      <c r="AE100" s="763">
        <f t="shared" si="178"/>
        <v>2691199.5776604875</v>
      </c>
      <c r="AF100" s="762">
        <f t="shared" si="179"/>
        <v>67279.989441512196</v>
      </c>
      <c r="AG100" s="762">
        <f t="shared" si="205"/>
        <v>2758479.5671019997</v>
      </c>
      <c r="AH100" s="762">
        <f t="shared" si="180"/>
        <v>68961.98917755</v>
      </c>
      <c r="AI100" s="762">
        <f t="shared" si="206"/>
        <v>2827441.5562795498</v>
      </c>
      <c r="AJ100" s="762">
        <f t="shared" si="207"/>
        <v>141372.07781397749</v>
      </c>
      <c r="AK100" s="762">
        <f t="shared" si="208"/>
        <v>2968813.6340935272</v>
      </c>
      <c r="AL100" s="762">
        <f t="shared" si="209"/>
        <v>29688.136340935274</v>
      </c>
      <c r="AM100" s="762">
        <f t="shared" si="210"/>
        <v>27537.409960060559</v>
      </c>
      <c r="AN100" s="762"/>
      <c r="AO100" s="763">
        <f t="shared" si="211"/>
        <v>3026039.1803945228</v>
      </c>
      <c r="AP100" s="763">
        <f t="shared" si="212"/>
        <v>499296.46476509632</v>
      </c>
      <c r="AQ100" s="763">
        <f t="shared" si="213"/>
        <v>3525335.6451596189</v>
      </c>
      <c r="AR100" s="1178">
        <f t="shared" si="181"/>
        <v>3000000</v>
      </c>
      <c r="AS100" s="1178">
        <f t="shared" si="214"/>
        <v>23878.892961800859</v>
      </c>
      <c r="AT100" s="1178">
        <f t="shared" si="215"/>
        <v>525335.64515961893</v>
      </c>
      <c r="AU100" s="1178">
        <f t="shared" si="182"/>
        <v>63040.27741915427</v>
      </c>
      <c r="AV100" s="1178">
        <f t="shared" si="216"/>
        <v>588375.92257877323</v>
      </c>
      <c r="AW100" s="1178">
        <f t="shared" si="217"/>
        <v>3588375.922578773</v>
      </c>
      <c r="AX100" s="762">
        <f t="shared" si="218"/>
        <v>44854.699032234668</v>
      </c>
      <c r="AY100" s="717" t="s">
        <v>231</v>
      </c>
      <c r="AZ100" s="717">
        <f t="shared" si="219"/>
        <v>3633230.6216110075</v>
      </c>
      <c r="BA100" s="717">
        <f t="shared" si="220"/>
        <v>136246.14831041277</v>
      </c>
      <c r="BB100" s="717"/>
      <c r="BC100" s="717">
        <f t="shared" si="183"/>
        <v>33600</v>
      </c>
      <c r="BD100" s="717">
        <f t="shared" si="221"/>
        <v>3803076.7699214201</v>
      </c>
      <c r="BE100" s="717"/>
      <c r="BF100" s="717">
        <f t="shared" si="222"/>
        <v>3803076.7699214201</v>
      </c>
      <c r="BG100" s="1209"/>
      <c r="BH100" s="717">
        <f t="shared" si="223"/>
        <v>3803076.7699214201</v>
      </c>
      <c r="BI100" s="717"/>
      <c r="BJ100" s="717">
        <f t="shared" si="224"/>
        <v>3803076.7699214201</v>
      </c>
      <c r="BK100" s="717"/>
      <c r="BL100" s="717">
        <f t="shared" si="225"/>
        <v>3803076.7699214201</v>
      </c>
      <c r="BM100" s="717"/>
      <c r="BN100" s="717">
        <f t="shared" si="226"/>
        <v>3803076.7699214201</v>
      </c>
      <c r="BO100" s="717"/>
      <c r="BP100" s="717">
        <f t="shared" si="184"/>
        <v>3803076.7699214201</v>
      </c>
      <c r="BQ100" s="717"/>
      <c r="BR100" s="717">
        <f t="shared" si="285"/>
        <v>3803076.7699214201</v>
      </c>
      <c r="BS100" s="717"/>
      <c r="BT100" s="717">
        <f t="shared" si="227"/>
        <v>3803076.7699214201</v>
      </c>
      <c r="BU100" s="717"/>
      <c r="BV100" s="1235">
        <f t="shared" si="286"/>
        <v>51400</v>
      </c>
      <c r="BW100" s="717">
        <f t="shared" si="228"/>
        <v>3854476.7699214201</v>
      </c>
      <c r="BX100" s="717"/>
      <c r="BY100" s="717">
        <f t="shared" si="229"/>
        <v>3854476.7699214201</v>
      </c>
      <c r="BZ100" s="1194">
        <f t="shared" si="230"/>
        <v>3854476.7699214201</v>
      </c>
      <c r="CA100" s="1194">
        <f t="shared" si="231"/>
        <v>3040476.7699214201</v>
      </c>
      <c r="CB100" s="1194">
        <v>37000</v>
      </c>
      <c r="CC100" s="1194">
        <f t="shared" si="232"/>
        <v>814000</v>
      </c>
      <c r="CD100" s="1194">
        <f t="shared" si="233"/>
        <v>97680</v>
      </c>
      <c r="CE100" s="1194">
        <f t="shared" si="234"/>
        <v>911680</v>
      </c>
      <c r="CF100" s="1200">
        <f t="shared" si="235"/>
        <v>3952156.7699214201</v>
      </c>
      <c r="CG100" s="757">
        <f t="shared" si="236"/>
        <v>3952156.7699214201</v>
      </c>
      <c r="CH100" s="758">
        <f t="shared" si="237"/>
        <v>0</v>
      </c>
      <c r="CI100" s="757">
        <f t="shared" si="185"/>
        <v>405096.06891694554</v>
      </c>
      <c r="CJ100" s="757">
        <f t="shared" si="186"/>
        <v>98803.919248035512</v>
      </c>
      <c r="CK100" s="759">
        <f t="shared" si="291"/>
        <v>4456056.758086401</v>
      </c>
      <c r="CL100" s="764">
        <f t="shared" si="238"/>
        <v>0.125</v>
      </c>
      <c r="CM100" s="757">
        <f t="shared" si="239"/>
        <v>557007.09476080013</v>
      </c>
      <c r="CN100" s="757">
        <f t="shared" si="281"/>
        <v>30000</v>
      </c>
      <c r="CO100" s="757">
        <f t="shared" si="240"/>
        <v>527007.09476080013</v>
      </c>
      <c r="CP100" s="755">
        <f t="shared" si="241"/>
        <v>29</v>
      </c>
      <c r="CQ100" s="757">
        <f t="shared" si="283"/>
        <v>18172.65844002759</v>
      </c>
      <c r="CR100" s="764">
        <f t="shared" si="242"/>
        <v>0.875</v>
      </c>
      <c r="CS100" s="757">
        <f t="shared" si="243"/>
        <v>3899049.6633256008</v>
      </c>
      <c r="CT100" s="1101">
        <f t="shared" si="244"/>
        <v>30229.290539014699</v>
      </c>
      <c r="CU100" s="1101">
        <f t="shared" si="245"/>
        <v>35045.760668546878</v>
      </c>
      <c r="CV100" s="1101">
        <f t="shared" si="246"/>
        <v>45271.272680662369</v>
      </c>
      <c r="CW100" s="1141">
        <f t="shared" si="187"/>
        <v>77205.85650219323</v>
      </c>
      <c r="CX100" s="1152">
        <f t="shared" si="247"/>
        <v>316732.19733699417</v>
      </c>
      <c r="CY100" s="1152">
        <f t="shared" si="248"/>
        <v>125329.38759513329</v>
      </c>
      <c r="CZ100" s="1152">
        <f t="shared" si="249"/>
        <v>90523.641595458947</v>
      </c>
      <c r="DA100" s="1152">
        <f t="shared" si="250"/>
        <v>68892.658747361231</v>
      </c>
      <c r="DB100" s="1143">
        <f t="shared" si="188"/>
        <v>0.17511188171987296</v>
      </c>
      <c r="DC100" s="1143">
        <f t="shared" si="251"/>
        <v>0.29984771106261798</v>
      </c>
      <c r="DD100" s="1098" t="s">
        <v>232</v>
      </c>
      <c r="DE100" s="1144"/>
      <c r="DF100" s="705"/>
      <c r="DG100" s="765">
        <f t="shared" si="282"/>
        <v>46082</v>
      </c>
      <c r="DH100" s="1116">
        <f t="shared" si="189"/>
        <v>28</v>
      </c>
      <c r="DI100" s="497"/>
      <c r="DJ100" s="1117">
        <f t="shared" si="252"/>
        <v>46147</v>
      </c>
      <c r="DK100" s="1116">
        <f t="shared" si="253"/>
        <v>30</v>
      </c>
      <c r="DL100" s="766" t="s">
        <v>233</v>
      </c>
      <c r="DM100" s="766" t="s">
        <v>234</v>
      </c>
      <c r="DN100" s="767">
        <f t="shared" si="190"/>
        <v>26744.360117216966</v>
      </c>
      <c r="DO100" s="767">
        <f t="shared" si="191"/>
        <v>588375.92257877323</v>
      </c>
      <c r="DP100" s="768">
        <f t="shared" si="192"/>
        <v>0.19612530752625773</v>
      </c>
      <c r="DR100" s="767">
        <f t="shared" si="193"/>
        <v>3952156.7699214201</v>
      </c>
      <c r="DS100" s="767">
        <f>SUM('[6]INTERNAL PRICELIST'!M100)</f>
        <v>2329361</v>
      </c>
      <c r="DT100" s="767">
        <f t="shared" si="254"/>
        <v>1622795.7699214201</v>
      </c>
      <c r="DV100" s="951">
        <f t="shared" si="194"/>
        <v>179643.48954188274</v>
      </c>
      <c r="DX100" s="772">
        <v>5</v>
      </c>
      <c r="DY100" s="773" t="s">
        <v>255</v>
      </c>
      <c r="DZ100" s="774">
        <v>22</v>
      </c>
      <c r="EA100" s="775">
        <f t="shared" si="195"/>
        <v>0</v>
      </c>
      <c r="ED100" s="1133" t="s">
        <v>457</v>
      </c>
      <c r="EE100" s="777" t="b">
        <f t="shared" si="196"/>
        <v>1</v>
      </c>
      <c r="EF100" s="1123" t="s">
        <v>458</v>
      </c>
      <c r="EG100" s="1123" t="s">
        <v>459</v>
      </c>
      <c r="EH100" s="1203"/>
      <c r="EP100" s="1230" t="s">
        <v>236</v>
      </c>
      <c r="EQ100" s="1145" t="s">
        <v>236</v>
      </c>
      <c r="ER100" s="753" t="b">
        <f t="shared" si="255"/>
        <v>1</v>
      </c>
      <c r="EU100" s="770">
        <v>3159621.8978750589</v>
      </c>
      <c r="EV100" s="771" t="s">
        <v>258</v>
      </c>
      <c r="EW100" s="775">
        <f>EU100-CG100</f>
        <v>-792534.87204636121</v>
      </c>
      <c r="EZ100" s="520"/>
      <c r="FA100" s="778"/>
      <c r="FG100" s="1107"/>
      <c r="FJ100" s="994">
        <v>0.15</v>
      </c>
      <c r="FK100" s="993">
        <v>13600.83950116959</v>
      </c>
      <c r="FL100" s="993">
        <v>13968.429757957958</v>
      </c>
      <c r="FM100" s="497"/>
      <c r="FN100" s="993">
        <f t="shared" si="197"/>
        <v>4456056.758086401</v>
      </c>
      <c r="FO100" s="994">
        <f t="shared" si="256"/>
        <v>0.15</v>
      </c>
      <c r="FP100" s="775">
        <f t="shared" si="198"/>
        <v>668408.51371296018</v>
      </c>
      <c r="FQ100" s="993">
        <f t="shared" si="199"/>
        <v>30000</v>
      </c>
      <c r="FR100" s="775">
        <f t="shared" si="257"/>
        <v>638408.51371296018</v>
      </c>
      <c r="FS100" s="497">
        <f t="shared" si="258"/>
        <v>40</v>
      </c>
      <c r="FT100" s="775">
        <f t="shared" si="259"/>
        <v>15960.212842824005</v>
      </c>
      <c r="FU100" s="497"/>
      <c r="FV100" s="993">
        <f t="shared" si="260"/>
        <v>4456056.758086401</v>
      </c>
      <c r="FW100" s="705">
        <f t="shared" si="261"/>
        <v>445605.67580864014</v>
      </c>
      <c r="FX100" s="705">
        <f t="shared" si="262"/>
        <v>111401.41895216003</v>
      </c>
      <c r="FY100" s="705">
        <v>15000</v>
      </c>
      <c r="FZ100" s="705">
        <f t="shared" si="263"/>
        <v>430605.67580864014</v>
      </c>
      <c r="GA100" s="497">
        <f t="shared" si="264"/>
        <v>46</v>
      </c>
      <c r="GB100" s="775">
        <f t="shared" si="265"/>
        <v>9360.9929523617429</v>
      </c>
      <c r="GC100" s="497"/>
      <c r="GD100" s="497"/>
      <c r="GE100" s="1107"/>
      <c r="GH100" s="1095">
        <f t="shared" si="161"/>
        <v>4456056.758086401</v>
      </c>
      <c r="GI100" s="1098">
        <f t="shared" si="162"/>
        <v>0.125</v>
      </c>
      <c r="GJ100" s="1095">
        <f t="shared" si="163"/>
        <v>557007.09476080013</v>
      </c>
      <c r="GK100" s="1095">
        <f t="shared" si="164"/>
        <v>30000</v>
      </c>
      <c r="GL100" s="1095">
        <f t="shared" si="165"/>
        <v>527007.09476080013</v>
      </c>
      <c r="GM100" s="1095">
        <f t="shared" si="166"/>
        <v>29</v>
      </c>
      <c r="GN100" s="1095">
        <f t="shared" si="167"/>
        <v>18172.65844002759</v>
      </c>
      <c r="GO100" s="1098">
        <f t="shared" si="168"/>
        <v>0.875</v>
      </c>
      <c r="GP100" s="1095">
        <f t="shared" si="169"/>
        <v>3899049.6633256008</v>
      </c>
      <c r="GQ100" s="1095">
        <f t="shared" si="170"/>
        <v>30229.290539014699</v>
      </c>
      <c r="GR100" s="1095">
        <f t="shared" si="171"/>
        <v>35045.760668546878</v>
      </c>
      <c r="GS100" s="1095">
        <f t="shared" si="172"/>
        <v>45271.272680662369</v>
      </c>
      <c r="GT100" s="1095">
        <f t="shared" si="173"/>
        <v>77205.85650219323</v>
      </c>
      <c r="GU100" s="497"/>
      <c r="GV100" s="1095">
        <f t="shared" si="266"/>
        <v>4456056.758086401</v>
      </c>
      <c r="GW100" s="1098">
        <f t="shared" si="267"/>
        <v>0.125</v>
      </c>
      <c r="GX100" s="1095">
        <f t="shared" si="268"/>
        <v>557007.09476080013</v>
      </c>
      <c r="GY100" s="1095">
        <f t="shared" si="269"/>
        <v>30000</v>
      </c>
      <c r="GZ100" s="1095">
        <f t="shared" si="270"/>
        <v>527007.09476080013</v>
      </c>
      <c r="HA100" s="1106">
        <f t="shared" si="271"/>
        <v>48</v>
      </c>
      <c r="HB100" s="770">
        <f t="shared" si="272"/>
        <v>10979.314474183337</v>
      </c>
      <c r="HC100" s="1098">
        <f t="shared" si="273"/>
        <v>0.875</v>
      </c>
      <c r="HD100" s="1102">
        <f t="shared" si="274"/>
        <v>3899049.6633256008</v>
      </c>
      <c r="HE100" s="1101">
        <f t="shared" si="275"/>
        <v>30229.290539014699</v>
      </c>
      <c r="HF100" s="1101">
        <f t="shared" si="276"/>
        <v>35045.760668546878</v>
      </c>
      <c r="HG100" s="1101">
        <f t="shared" si="277"/>
        <v>45271.272680662369</v>
      </c>
      <c r="HH100" s="1101">
        <f t="shared" si="278"/>
        <v>77205.85650219323</v>
      </c>
      <c r="HI100" s="497"/>
      <c r="HJ100" s="1102">
        <f t="shared" si="279"/>
        <v>-7193.343965844253</v>
      </c>
      <c r="HL100" s="775"/>
      <c r="HN100" s="775"/>
      <c r="HO100" s="775"/>
      <c r="HQ100" s="702"/>
      <c r="HR100" s="1171"/>
      <c r="HS100" s="702"/>
      <c r="HT100" s="1171"/>
    </row>
    <row r="101" spans="1:228" ht="14.25" hidden="1" customHeight="1">
      <c r="A101" s="753">
        <f t="shared" si="280"/>
        <v>95</v>
      </c>
      <c r="B101" s="753" t="s">
        <v>236</v>
      </c>
      <c r="C101" s="753">
        <f>C100+1</f>
        <v>2</v>
      </c>
      <c r="D101" s="753" t="s">
        <v>265</v>
      </c>
      <c r="E101" s="717" t="str">
        <f t="shared" si="200"/>
        <v>6th Floor</v>
      </c>
      <c r="F101" s="754"/>
      <c r="G101" s="756" t="s">
        <v>460</v>
      </c>
      <c r="H101" s="756"/>
      <c r="I101" s="755" t="s">
        <v>229</v>
      </c>
      <c r="J101" s="757">
        <v>22</v>
      </c>
      <c r="K101" s="758"/>
      <c r="L101" s="759" t="s">
        <v>69</v>
      </c>
      <c r="M101" s="760" t="s">
        <v>68</v>
      </c>
      <c r="N101" s="761">
        <f t="shared" si="201"/>
        <v>106005.26567735759</v>
      </c>
      <c r="O101" s="762">
        <f t="shared" si="202"/>
        <v>2332115.8449018667</v>
      </c>
      <c r="P101" s="762">
        <f t="shared" si="203"/>
        <v>22400</v>
      </c>
      <c r="Q101" s="762">
        <f t="shared" si="175"/>
        <v>50000</v>
      </c>
      <c r="R101" s="762"/>
      <c r="S101" s="762"/>
      <c r="T101" s="762"/>
      <c r="U101" s="762"/>
      <c r="V101" s="762"/>
      <c r="W101" s="762"/>
      <c r="X101" s="762"/>
      <c r="Y101" s="762">
        <f>$Y$100</f>
        <v>40000</v>
      </c>
      <c r="Z101" s="762">
        <f t="shared" si="177"/>
        <v>142461</v>
      </c>
      <c r="AA101" s="762">
        <v>49222.732758620703</v>
      </c>
      <c r="AB101" s="762"/>
      <c r="AC101" s="762"/>
      <c r="AD101" s="763">
        <f t="shared" si="204"/>
        <v>304083.7327586207</v>
      </c>
      <c r="AE101" s="763">
        <f t="shared" si="178"/>
        <v>2636199.5776604875</v>
      </c>
      <c r="AF101" s="762">
        <f t="shared" si="179"/>
        <v>65904.989441512196</v>
      </c>
      <c r="AG101" s="762">
        <f t="shared" si="205"/>
        <v>2702104.5671019997</v>
      </c>
      <c r="AH101" s="762">
        <f t="shared" si="180"/>
        <v>67552.61417755</v>
      </c>
      <c r="AI101" s="762">
        <f t="shared" si="206"/>
        <v>2769657.1812795498</v>
      </c>
      <c r="AJ101" s="762">
        <f t="shared" si="207"/>
        <v>138482.85906397749</v>
      </c>
      <c r="AK101" s="762">
        <f t="shared" si="208"/>
        <v>2908140.0403435272</v>
      </c>
      <c r="AL101" s="762">
        <f t="shared" si="209"/>
        <v>29081.400403435273</v>
      </c>
      <c r="AM101" s="762">
        <f t="shared" si="210"/>
        <v>27537.409960060559</v>
      </c>
      <c r="AN101" s="762"/>
      <c r="AO101" s="763">
        <f t="shared" si="211"/>
        <v>2964758.8507070229</v>
      </c>
      <c r="AP101" s="763">
        <f t="shared" si="212"/>
        <v>489185.21036665881</v>
      </c>
      <c r="AQ101" s="763">
        <f t="shared" si="213"/>
        <v>3453944.0610736818</v>
      </c>
      <c r="AR101" s="1178">
        <f t="shared" si="181"/>
        <v>3000000</v>
      </c>
      <c r="AS101" s="1178">
        <f t="shared" si="214"/>
        <v>20633.820957894626</v>
      </c>
      <c r="AT101" s="1178">
        <f t="shared" si="215"/>
        <v>453944.06107368181</v>
      </c>
      <c r="AU101" s="1178">
        <f t="shared" si="182"/>
        <v>54473.287328841812</v>
      </c>
      <c r="AV101" s="1178">
        <f t="shared" si="216"/>
        <v>508417.34840252361</v>
      </c>
      <c r="AW101" s="1178">
        <f t="shared" si="217"/>
        <v>3508417.3484025234</v>
      </c>
      <c r="AX101" s="762">
        <f t="shared" si="218"/>
        <v>43855.216855031547</v>
      </c>
      <c r="AY101" s="717" t="s">
        <v>231</v>
      </c>
      <c r="AZ101" s="717">
        <f t="shared" si="219"/>
        <v>3552272.5652575549</v>
      </c>
      <c r="BA101" s="717">
        <f t="shared" si="220"/>
        <v>133210.2211971583</v>
      </c>
      <c r="BB101" s="717"/>
      <c r="BC101" s="717">
        <f t="shared" si="183"/>
        <v>33600</v>
      </c>
      <c r="BD101" s="717">
        <f t="shared" si="221"/>
        <v>3719082.786454713</v>
      </c>
      <c r="BE101" s="717"/>
      <c r="BF101" s="717">
        <f t="shared" si="222"/>
        <v>3719082.786454713</v>
      </c>
      <c r="BG101" s="1209"/>
      <c r="BH101" s="717">
        <f t="shared" si="223"/>
        <v>3719082.786454713</v>
      </c>
      <c r="BI101" s="717"/>
      <c r="BJ101" s="717">
        <f t="shared" si="224"/>
        <v>3719082.786454713</v>
      </c>
      <c r="BK101" s="717"/>
      <c r="BL101" s="717">
        <f t="shared" si="225"/>
        <v>3719082.786454713</v>
      </c>
      <c r="BM101" s="717"/>
      <c r="BN101" s="717">
        <f t="shared" si="226"/>
        <v>3719082.786454713</v>
      </c>
      <c r="BO101" s="717"/>
      <c r="BP101" s="717">
        <f t="shared" si="184"/>
        <v>3719082.786454713</v>
      </c>
      <c r="BQ101" s="717"/>
      <c r="BR101" s="717">
        <f t="shared" si="285"/>
        <v>3719082.786454713</v>
      </c>
      <c r="BS101" s="717"/>
      <c r="BT101" s="717">
        <f t="shared" si="227"/>
        <v>3719082.786454713</v>
      </c>
      <c r="BU101" s="717"/>
      <c r="BV101" s="1235">
        <f t="shared" si="286"/>
        <v>51400</v>
      </c>
      <c r="BW101" s="717">
        <f t="shared" si="228"/>
        <v>3770482.786454713</v>
      </c>
      <c r="BX101" s="717"/>
      <c r="BY101" s="717">
        <f t="shared" si="229"/>
        <v>3770482.786454713</v>
      </c>
      <c r="BZ101" s="1194">
        <f t="shared" si="230"/>
        <v>3770482.786454713</v>
      </c>
      <c r="CA101" s="1194">
        <f t="shared" si="231"/>
        <v>3033482.786454713</v>
      </c>
      <c r="CB101" s="1194">
        <v>33500</v>
      </c>
      <c r="CC101" s="1194">
        <f t="shared" si="232"/>
        <v>737000</v>
      </c>
      <c r="CD101" s="1194">
        <f t="shared" si="233"/>
        <v>88440</v>
      </c>
      <c r="CE101" s="1194">
        <f t="shared" si="234"/>
        <v>825440</v>
      </c>
      <c r="CF101" s="1200">
        <f t="shared" si="235"/>
        <v>3858922.786454713</v>
      </c>
      <c r="CG101" s="757">
        <f t="shared" si="236"/>
        <v>3858922.786454713</v>
      </c>
      <c r="CH101" s="758">
        <f t="shared" si="237"/>
        <v>0</v>
      </c>
      <c r="CI101" s="757">
        <f t="shared" si="185"/>
        <v>395539.58561160805</v>
      </c>
      <c r="CJ101" s="757">
        <f t="shared" si="186"/>
        <v>96473.06966136783</v>
      </c>
      <c r="CK101" s="759">
        <f t="shared" si="291"/>
        <v>4350935.4417276885</v>
      </c>
      <c r="CL101" s="764">
        <f t="shared" si="238"/>
        <v>0.125</v>
      </c>
      <c r="CM101" s="757">
        <f t="shared" si="239"/>
        <v>543866.93021596107</v>
      </c>
      <c r="CN101" s="757">
        <f t="shared" si="281"/>
        <v>30000</v>
      </c>
      <c r="CO101" s="757">
        <f t="shared" si="240"/>
        <v>513866.93021596107</v>
      </c>
      <c r="CP101" s="755">
        <f t="shared" si="241"/>
        <v>29</v>
      </c>
      <c r="CQ101" s="757">
        <f t="shared" si="283"/>
        <v>17719.54931779176</v>
      </c>
      <c r="CR101" s="764">
        <f t="shared" si="242"/>
        <v>0.875</v>
      </c>
      <c r="CS101" s="757">
        <f t="shared" si="243"/>
        <v>3807068.5115117272</v>
      </c>
      <c r="CT101" s="1101">
        <f t="shared" si="244"/>
        <v>29516.161648031753</v>
      </c>
      <c r="CU101" s="1101">
        <f t="shared" si="245"/>
        <v>34219.008072188088</v>
      </c>
      <c r="CV101" s="1101">
        <f t="shared" si="246"/>
        <v>44203.293515273741</v>
      </c>
      <c r="CW101" s="1141">
        <f t="shared" si="187"/>
        <v>75384.519453156696</v>
      </c>
      <c r="CX101" s="1152">
        <f t="shared" si="247"/>
        <v>309260.27601174818</v>
      </c>
      <c r="CY101" s="1152">
        <f t="shared" si="248"/>
        <v>122372.78472455194</v>
      </c>
      <c r="CZ101" s="1152">
        <f t="shared" si="249"/>
        <v>88388.129216979854</v>
      </c>
      <c r="DA101" s="1152">
        <f t="shared" si="250"/>
        <v>67267.435513426433</v>
      </c>
      <c r="DB101" s="1143">
        <f t="shared" si="188"/>
        <v>0.15131468702456061</v>
      </c>
      <c r="DC101" s="1143">
        <f t="shared" si="251"/>
        <v>0.27210967000894271</v>
      </c>
      <c r="DD101" s="1098" t="s">
        <v>232</v>
      </c>
      <c r="DE101" s="1144"/>
      <c r="DF101" s="705"/>
      <c r="DG101" s="765">
        <f t="shared" si="282"/>
        <v>46082</v>
      </c>
      <c r="DH101" s="1116">
        <f t="shared" si="189"/>
        <v>28</v>
      </c>
      <c r="DI101" s="497"/>
      <c r="DJ101" s="1117">
        <f t="shared" si="252"/>
        <v>46147</v>
      </c>
      <c r="DK101" s="1116">
        <f t="shared" si="253"/>
        <v>30</v>
      </c>
      <c r="DL101" s="766" t="s">
        <v>233</v>
      </c>
      <c r="DM101" s="766" t="s">
        <v>234</v>
      </c>
      <c r="DN101" s="767">
        <f t="shared" si="190"/>
        <v>23109.879472841982</v>
      </c>
      <c r="DO101" s="767">
        <f t="shared" si="191"/>
        <v>508417.34840252361</v>
      </c>
      <c r="DP101" s="768">
        <f t="shared" si="192"/>
        <v>0.16947244946750786</v>
      </c>
      <c r="DR101" s="767">
        <f t="shared" si="193"/>
        <v>3858922.786454713</v>
      </c>
      <c r="DS101" s="767">
        <f>SUM('[6]INTERNAL PRICELIST'!M101)</f>
        <v>2329361</v>
      </c>
      <c r="DT101" s="767">
        <f t="shared" si="254"/>
        <v>1529561.786454713</v>
      </c>
      <c r="DV101" s="951">
        <f t="shared" si="194"/>
        <v>175405.58120248697</v>
      </c>
      <c r="DX101" s="773">
        <v>6</v>
      </c>
      <c r="DY101" s="773" t="s">
        <v>262</v>
      </c>
      <c r="DZ101" s="774">
        <v>22</v>
      </c>
      <c r="EA101" s="775">
        <f t="shared" si="195"/>
        <v>0</v>
      </c>
      <c r="ED101" s="1133" t="s">
        <v>460</v>
      </c>
      <c r="EE101" s="777" t="b">
        <f t="shared" si="196"/>
        <v>1</v>
      </c>
      <c r="EF101" s="1123" t="s">
        <v>461</v>
      </c>
      <c r="EG101" s="1123" t="s">
        <v>459</v>
      </c>
      <c r="EH101" s="1203"/>
      <c r="EP101" s="1230" t="s">
        <v>236</v>
      </c>
      <c r="EQ101" s="1145" t="s">
        <v>236</v>
      </c>
      <c r="ER101" s="753" t="b">
        <f t="shared" si="255"/>
        <v>1</v>
      </c>
      <c r="EU101" s="770">
        <v>3032402.8274007286</v>
      </c>
      <c r="EV101" s="771" t="s">
        <v>258</v>
      </c>
      <c r="EW101" s="775">
        <f>EU101-CG101</f>
        <v>-826519.95905398438</v>
      </c>
      <c r="EZ101" s="520"/>
      <c r="FA101" s="778"/>
      <c r="FG101" s="1107"/>
      <c r="FJ101" s="994">
        <v>0.15</v>
      </c>
      <c r="FK101" s="993">
        <v>13042.268172546426</v>
      </c>
      <c r="FL101" s="993">
        <v>13394.761906939573</v>
      </c>
      <c r="FM101" s="497"/>
      <c r="FN101" s="993">
        <f t="shared" si="197"/>
        <v>4350935.4417276885</v>
      </c>
      <c r="FO101" s="994">
        <f t="shared" si="256"/>
        <v>0.15</v>
      </c>
      <c r="FP101" s="775">
        <f t="shared" si="198"/>
        <v>652640.3162591533</v>
      </c>
      <c r="FQ101" s="993">
        <f t="shared" si="199"/>
        <v>30000</v>
      </c>
      <c r="FR101" s="775">
        <f t="shared" si="257"/>
        <v>622640.3162591533</v>
      </c>
      <c r="FS101" s="497">
        <f t="shared" si="258"/>
        <v>40</v>
      </c>
      <c r="FT101" s="775">
        <f t="shared" si="259"/>
        <v>15566.007906478833</v>
      </c>
      <c r="FU101" s="497"/>
      <c r="FV101" s="993">
        <f t="shared" si="260"/>
        <v>4350935.4417276885</v>
      </c>
      <c r="FW101" s="705">
        <f t="shared" si="261"/>
        <v>435093.54417276889</v>
      </c>
      <c r="FX101" s="705">
        <f t="shared" si="262"/>
        <v>108773.38604319222</v>
      </c>
      <c r="FY101" s="705">
        <v>15000</v>
      </c>
      <c r="FZ101" s="705">
        <f t="shared" si="263"/>
        <v>420093.54417276889</v>
      </c>
      <c r="GA101" s="497">
        <f t="shared" si="264"/>
        <v>46</v>
      </c>
      <c r="GB101" s="775">
        <f t="shared" si="265"/>
        <v>9132.4683515819324</v>
      </c>
      <c r="GC101" s="497"/>
      <c r="GD101" s="497"/>
      <c r="GE101" s="1107"/>
      <c r="GH101" s="1095">
        <f t="shared" si="161"/>
        <v>4350935.4417276885</v>
      </c>
      <c r="GI101" s="1098">
        <f t="shared" si="162"/>
        <v>0.125</v>
      </c>
      <c r="GJ101" s="1095">
        <f t="shared" si="163"/>
        <v>543866.93021596107</v>
      </c>
      <c r="GK101" s="1095">
        <f t="shared" si="164"/>
        <v>30000</v>
      </c>
      <c r="GL101" s="1095">
        <f t="shared" si="165"/>
        <v>513866.93021596107</v>
      </c>
      <c r="GM101" s="1095">
        <f t="shared" si="166"/>
        <v>29</v>
      </c>
      <c r="GN101" s="1095">
        <f t="shared" si="167"/>
        <v>17719.54931779176</v>
      </c>
      <c r="GO101" s="1098">
        <f t="shared" si="168"/>
        <v>0.875</v>
      </c>
      <c r="GP101" s="1095">
        <f t="shared" si="169"/>
        <v>3807068.5115117272</v>
      </c>
      <c r="GQ101" s="1095">
        <f t="shared" si="170"/>
        <v>29516.161648031753</v>
      </c>
      <c r="GR101" s="1095">
        <f t="shared" si="171"/>
        <v>34219.008072188088</v>
      </c>
      <c r="GS101" s="1095">
        <f t="shared" si="172"/>
        <v>44203.293515273741</v>
      </c>
      <c r="GT101" s="1095">
        <f t="shared" si="173"/>
        <v>75384.519453156696</v>
      </c>
      <c r="GU101" s="497"/>
      <c r="GV101" s="1095">
        <f t="shared" si="266"/>
        <v>4350935.4417276885</v>
      </c>
      <c r="GW101" s="1098">
        <f t="shared" si="267"/>
        <v>0.125</v>
      </c>
      <c r="GX101" s="1095">
        <f t="shared" si="268"/>
        <v>543866.93021596107</v>
      </c>
      <c r="GY101" s="1095">
        <f t="shared" si="269"/>
        <v>30000</v>
      </c>
      <c r="GZ101" s="1095">
        <f t="shared" si="270"/>
        <v>513866.93021596107</v>
      </c>
      <c r="HA101" s="1106">
        <f t="shared" si="271"/>
        <v>48</v>
      </c>
      <c r="HB101" s="770">
        <f t="shared" si="272"/>
        <v>10705.561046165856</v>
      </c>
      <c r="HC101" s="1098">
        <f t="shared" si="273"/>
        <v>0.875</v>
      </c>
      <c r="HD101" s="1102">
        <f t="shared" si="274"/>
        <v>3807068.5115117272</v>
      </c>
      <c r="HE101" s="1101">
        <f t="shared" si="275"/>
        <v>29516.161648031753</v>
      </c>
      <c r="HF101" s="1101">
        <f t="shared" si="276"/>
        <v>34219.008072188088</v>
      </c>
      <c r="HG101" s="1101">
        <f t="shared" si="277"/>
        <v>44203.293515273741</v>
      </c>
      <c r="HH101" s="1101">
        <f t="shared" si="278"/>
        <v>75384.519453156696</v>
      </c>
      <c r="HI101" s="497"/>
      <c r="HJ101" s="1102">
        <f t="shared" si="279"/>
        <v>-7013.9882716259035</v>
      </c>
      <c r="HL101" s="775"/>
      <c r="HN101" s="775"/>
      <c r="HO101" s="775"/>
      <c r="HQ101" s="702"/>
      <c r="HR101" s="1171"/>
      <c r="HS101" s="702"/>
      <c r="HT101" s="1171"/>
    </row>
    <row r="102" spans="1:228" ht="14.25" hidden="1" customHeight="1">
      <c r="A102" s="753">
        <f t="shared" si="280"/>
        <v>96</v>
      </c>
      <c r="B102" s="753" t="s">
        <v>236</v>
      </c>
      <c r="C102" s="753">
        <f t="shared" ref="C102:C130" si="292">C101+1</f>
        <v>3</v>
      </c>
      <c r="D102" s="753" t="s">
        <v>265</v>
      </c>
      <c r="E102" s="717" t="str">
        <f t="shared" si="200"/>
        <v>6th Floor</v>
      </c>
      <c r="F102" s="754"/>
      <c r="G102" s="756" t="s">
        <v>462</v>
      </c>
      <c r="H102" s="756"/>
      <c r="I102" s="755" t="s">
        <v>229</v>
      </c>
      <c r="J102" s="757">
        <v>22</v>
      </c>
      <c r="K102" s="758"/>
      <c r="L102" s="759" t="s">
        <v>69</v>
      </c>
      <c r="M102" s="760" t="s">
        <v>68</v>
      </c>
      <c r="N102" s="761">
        <f t="shared" si="201"/>
        <v>106005.26567735759</v>
      </c>
      <c r="O102" s="762">
        <f t="shared" si="202"/>
        <v>2332115.8449018667</v>
      </c>
      <c r="P102" s="762">
        <f t="shared" si="203"/>
        <v>22400</v>
      </c>
      <c r="Q102" s="762">
        <f t="shared" si="175"/>
        <v>50000</v>
      </c>
      <c r="R102" s="762"/>
      <c r="S102" s="762"/>
      <c r="T102" s="762"/>
      <c r="U102" s="762"/>
      <c r="V102" s="762"/>
      <c r="W102" s="762"/>
      <c r="X102" s="762"/>
      <c r="Y102" s="762">
        <f t="shared" ref="Y102:Y130" si="293">$Y$100</f>
        <v>40000</v>
      </c>
      <c r="Z102" s="762">
        <f t="shared" si="177"/>
        <v>142461</v>
      </c>
      <c r="AA102" s="762">
        <v>49222.732758620703</v>
      </c>
      <c r="AB102" s="762"/>
      <c r="AC102" s="762"/>
      <c r="AD102" s="763">
        <f t="shared" si="204"/>
        <v>304083.7327586207</v>
      </c>
      <c r="AE102" s="763">
        <f t="shared" si="178"/>
        <v>2636199.5776604875</v>
      </c>
      <c r="AF102" s="762">
        <f t="shared" si="179"/>
        <v>65904.989441512196</v>
      </c>
      <c r="AG102" s="762">
        <f t="shared" si="205"/>
        <v>2702104.5671019997</v>
      </c>
      <c r="AH102" s="762">
        <f t="shared" si="180"/>
        <v>67552.61417755</v>
      </c>
      <c r="AI102" s="762">
        <f t="shared" si="206"/>
        <v>2769657.1812795498</v>
      </c>
      <c r="AJ102" s="762">
        <f t="shared" si="207"/>
        <v>138482.85906397749</v>
      </c>
      <c r="AK102" s="762">
        <f t="shared" si="208"/>
        <v>2908140.0403435272</v>
      </c>
      <c r="AL102" s="762">
        <f t="shared" si="209"/>
        <v>29081.400403435273</v>
      </c>
      <c r="AM102" s="762">
        <f t="shared" si="210"/>
        <v>27537.409960060559</v>
      </c>
      <c r="AN102" s="762"/>
      <c r="AO102" s="763">
        <f t="shared" si="211"/>
        <v>2964758.8507070229</v>
      </c>
      <c r="AP102" s="763">
        <f t="shared" si="212"/>
        <v>489185.21036665881</v>
      </c>
      <c r="AQ102" s="763">
        <f t="shared" si="213"/>
        <v>3453944.0610736818</v>
      </c>
      <c r="AR102" s="1178">
        <f t="shared" si="181"/>
        <v>3000000</v>
      </c>
      <c r="AS102" s="1178">
        <f t="shared" si="214"/>
        <v>20633.820957894626</v>
      </c>
      <c r="AT102" s="1178">
        <f t="shared" si="215"/>
        <v>453944.06107368181</v>
      </c>
      <c r="AU102" s="1178">
        <f t="shared" si="182"/>
        <v>54473.287328841812</v>
      </c>
      <c r="AV102" s="1178">
        <f t="shared" si="216"/>
        <v>508417.34840252361</v>
      </c>
      <c r="AW102" s="1178">
        <f t="shared" si="217"/>
        <v>3508417.3484025234</v>
      </c>
      <c r="AX102" s="762">
        <f t="shared" si="218"/>
        <v>43855.216855031547</v>
      </c>
      <c r="AY102" s="717" t="s">
        <v>231</v>
      </c>
      <c r="AZ102" s="717">
        <f t="shared" si="219"/>
        <v>3552272.5652575549</v>
      </c>
      <c r="BA102" s="717">
        <f t="shared" si="220"/>
        <v>133210.2211971583</v>
      </c>
      <c r="BB102" s="717"/>
      <c r="BC102" s="717">
        <f t="shared" si="183"/>
        <v>33600</v>
      </c>
      <c r="BD102" s="717">
        <f t="shared" si="221"/>
        <v>3719082.786454713</v>
      </c>
      <c r="BE102" s="717"/>
      <c r="BF102" s="717">
        <f t="shared" si="222"/>
        <v>3719082.786454713</v>
      </c>
      <c r="BG102" s="1209"/>
      <c r="BH102" s="717">
        <f t="shared" si="223"/>
        <v>3719082.786454713</v>
      </c>
      <c r="BI102" s="717"/>
      <c r="BJ102" s="717">
        <f t="shared" si="224"/>
        <v>3719082.786454713</v>
      </c>
      <c r="BK102" s="717"/>
      <c r="BL102" s="717">
        <f t="shared" si="225"/>
        <v>3719082.786454713</v>
      </c>
      <c r="BM102" s="717"/>
      <c r="BN102" s="717">
        <f t="shared" si="226"/>
        <v>3719082.786454713</v>
      </c>
      <c r="BO102" s="717"/>
      <c r="BP102" s="717">
        <f t="shared" si="184"/>
        <v>3719082.786454713</v>
      </c>
      <c r="BQ102" s="717"/>
      <c r="BR102" s="717">
        <f t="shared" si="285"/>
        <v>3719082.786454713</v>
      </c>
      <c r="BS102" s="717"/>
      <c r="BT102" s="717">
        <f t="shared" si="227"/>
        <v>3719082.786454713</v>
      </c>
      <c r="BU102" s="717"/>
      <c r="BV102" s="1235">
        <f t="shared" si="286"/>
        <v>51400</v>
      </c>
      <c r="BW102" s="717">
        <f t="shared" si="228"/>
        <v>3770482.786454713</v>
      </c>
      <c r="BX102" s="717"/>
      <c r="BY102" s="717">
        <f t="shared" si="229"/>
        <v>3770482.786454713</v>
      </c>
      <c r="BZ102" s="1194">
        <f t="shared" si="230"/>
        <v>3770482.786454713</v>
      </c>
      <c r="CA102" s="1194">
        <f t="shared" si="231"/>
        <v>3033482.786454713</v>
      </c>
      <c r="CB102" s="1194">
        <v>33500</v>
      </c>
      <c r="CC102" s="1194">
        <f t="shared" si="232"/>
        <v>737000</v>
      </c>
      <c r="CD102" s="1194">
        <f t="shared" si="233"/>
        <v>88440</v>
      </c>
      <c r="CE102" s="1194">
        <f t="shared" si="234"/>
        <v>825440</v>
      </c>
      <c r="CF102" s="1200">
        <f t="shared" si="235"/>
        <v>3858922.786454713</v>
      </c>
      <c r="CG102" s="757">
        <f t="shared" si="236"/>
        <v>3858922.786454713</v>
      </c>
      <c r="CH102" s="758">
        <f t="shared" si="237"/>
        <v>0</v>
      </c>
      <c r="CI102" s="757">
        <f t="shared" si="185"/>
        <v>395539.58561160805</v>
      </c>
      <c r="CJ102" s="757">
        <f t="shared" si="186"/>
        <v>96473.06966136783</v>
      </c>
      <c r="CK102" s="759">
        <f t="shared" si="291"/>
        <v>4350935.4417276885</v>
      </c>
      <c r="CL102" s="764">
        <f t="shared" si="238"/>
        <v>0.125</v>
      </c>
      <c r="CM102" s="757">
        <f t="shared" si="239"/>
        <v>543866.93021596107</v>
      </c>
      <c r="CN102" s="757">
        <f t="shared" si="281"/>
        <v>30000</v>
      </c>
      <c r="CO102" s="757">
        <f t="shared" si="240"/>
        <v>513866.93021596107</v>
      </c>
      <c r="CP102" s="755">
        <f t="shared" si="241"/>
        <v>29</v>
      </c>
      <c r="CQ102" s="757">
        <f t="shared" si="283"/>
        <v>17719.54931779176</v>
      </c>
      <c r="CR102" s="764">
        <f t="shared" si="242"/>
        <v>0.875</v>
      </c>
      <c r="CS102" s="757">
        <f t="shared" si="243"/>
        <v>3807068.5115117272</v>
      </c>
      <c r="CT102" s="1101">
        <f t="shared" si="244"/>
        <v>29516.161648031753</v>
      </c>
      <c r="CU102" s="1101">
        <f t="shared" si="245"/>
        <v>34219.008072188088</v>
      </c>
      <c r="CV102" s="1101">
        <f t="shared" si="246"/>
        <v>44203.293515273741</v>
      </c>
      <c r="CW102" s="1141">
        <f t="shared" si="187"/>
        <v>75384.519453156696</v>
      </c>
      <c r="CX102" s="1152">
        <f t="shared" si="247"/>
        <v>309260.27601174818</v>
      </c>
      <c r="CY102" s="1152">
        <f t="shared" si="248"/>
        <v>122372.78472455194</v>
      </c>
      <c r="CZ102" s="1152">
        <f t="shared" si="249"/>
        <v>88388.129216979854</v>
      </c>
      <c r="DA102" s="1152">
        <f t="shared" si="250"/>
        <v>67267.435513426433</v>
      </c>
      <c r="DB102" s="1143">
        <f t="shared" si="188"/>
        <v>0.15131468702456061</v>
      </c>
      <c r="DC102" s="1143">
        <f t="shared" si="251"/>
        <v>0.27210967000894271</v>
      </c>
      <c r="DD102" s="1098" t="s">
        <v>232</v>
      </c>
      <c r="DE102" s="1144"/>
      <c r="DF102" s="705"/>
      <c r="DG102" s="765">
        <f t="shared" si="282"/>
        <v>46082</v>
      </c>
      <c r="DH102" s="1116">
        <f t="shared" si="189"/>
        <v>28</v>
      </c>
      <c r="DI102" s="497"/>
      <c r="DJ102" s="1117">
        <f t="shared" si="252"/>
        <v>46147</v>
      </c>
      <c r="DK102" s="1116">
        <f t="shared" si="253"/>
        <v>30</v>
      </c>
      <c r="DL102" s="766" t="s">
        <v>233</v>
      </c>
      <c r="DM102" s="766" t="s">
        <v>234</v>
      </c>
      <c r="DN102" s="767">
        <f t="shared" si="190"/>
        <v>23109.879472841982</v>
      </c>
      <c r="DO102" s="767">
        <f t="shared" si="191"/>
        <v>508417.34840252361</v>
      </c>
      <c r="DP102" s="768">
        <f t="shared" si="192"/>
        <v>0.16947244946750786</v>
      </c>
      <c r="DR102" s="767">
        <f t="shared" si="193"/>
        <v>3858922.786454713</v>
      </c>
      <c r="DS102" s="767">
        <f>SUM('[6]INTERNAL PRICELIST'!M102)</f>
        <v>2329361</v>
      </c>
      <c r="DT102" s="767">
        <f t="shared" si="254"/>
        <v>1529561.786454713</v>
      </c>
      <c r="DV102" s="951">
        <f t="shared" si="194"/>
        <v>175405.58120248697</v>
      </c>
      <c r="DX102" s="772">
        <v>7</v>
      </c>
      <c r="DY102" s="773" t="s">
        <v>267</v>
      </c>
      <c r="DZ102" s="774">
        <v>22</v>
      </c>
      <c r="EA102" s="775">
        <f t="shared" si="195"/>
        <v>0</v>
      </c>
      <c r="ED102" s="1133" t="s">
        <v>462</v>
      </c>
      <c r="EE102" s="777" t="b">
        <f t="shared" si="196"/>
        <v>1</v>
      </c>
      <c r="EF102" s="1123" t="s">
        <v>463</v>
      </c>
      <c r="EG102" s="1123" t="s">
        <v>459</v>
      </c>
      <c r="EH102" s="1203"/>
      <c r="EP102" s="1230" t="s">
        <v>236</v>
      </c>
      <c r="EQ102" s="1145" t="s">
        <v>236</v>
      </c>
      <c r="ER102" s="753" t="b">
        <f t="shared" si="255"/>
        <v>1</v>
      </c>
      <c r="EU102" s="770">
        <v>2481161</v>
      </c>
      <c r="EV102" s="771" t="s">
        <v>236</v>
      </c>
      <c r="EZ102" s="520"/>
      <c r="FA102" s="778"/>
      <c r="FG102" s="1107"/>
      <c r="FJ102" s="994">
        <v>0.15</v>
      </c>
      <c r="FK102" s="993">
        <v>13042.268172546426</v>
      </c>
      <c r="FL102" s="993">
        <v>13394.761906939573</v>
      </c>
      <c r="FM102" s="497"/>
      <c r="FN102" s="993">
        <f t="shared" si="197"/>
        <v>4350935.4417276885</v>
      </c>
      <c r="FO102" s="994">
        <f t="shared" si="256"/>
        <v>0.15</v>
      </c>
      <c r="FP102" s="775">
        <f t="shared" si="198"/>
        <v>652640.3162591533</v>
      </c>
      <c r="FQ102" s="993">
        <f t="shared" si="199"/>
        <v>30000</v>
      </c>
      <c r="FR102" s="775">
        <f t="shared" si="257"/>
        <v>622640.3162591533</v>
      </c>
      <c r="FS102" s="497">
        <f t="shared" si="258"/>
        <v>40</v>
      </c>
      <c r="FT102" s="775">
        <f t="shared" si="259"/>
        <v>15566.007906478833</v>
      </c>
      <c r="FU102" s="497"/>
      <c r="FV102" s="993">
        <f t="shared" si="260"/>
        <v>4350935.4417276885</v>
      </c>
      <c r="FW102" s="705">
        <f t="shared" si="261"/>
        <v>435093.54417276889</v>
      </c>
      <c r="FX102" s="705">
        <f t="shared" si="262"/>
        <v>108773.38604319222</v>
      </c>
      <c r="FY102" s="705">
        <v>15000</v>
      </c>
      <c r="FZ102" s="705">
        <f t="shared" si="263"/>
        <v>420093.54417276889</v>
      </c>
      <c r="GA102" s="497">
        <f t="shared" si="264"/>
        <v>46</v>
      </c>
      <c r="GB102" s="775">
        <f t="shared" si="265"/>
        <v>9132.4683515819324</v>
      </c>
      <c r="GC102" s="497"/>
      <c r="GD102" s="497"/>
      <c r="GE102" s="1107"/>
      <c r="GH102" s="1095">
        <f t="shared" si="161"/>
        <v>4350935.4417276885</v>
      </c>
      <c r="GI102" s="1098">
        <f t="shared" si="162"/>
        <v>0.125</v>
      </c>
      <c r="GJ102" s="1095">
        <f t="shared" si="163"/>
        <v>543866.93021596107</v>
      </c>
      <c r="GK102" s="1095">
        <f t="shared" si="164"/>
        <v>30000</v>
      </c>
      <c r="GL102" s="1095">
        <f t="shared" si="165"/>
        <v>513866.93021596107</v>
      </c>
      <c r="GM102" s="1095">
        <f t="shared" si="166"/>
        <v>29</v>
      </c>
      <c r="GN102" s="1095">
        <f t="shared" si="167"/>
        <v>17719.54931779176</v>
      </c>
      <c r="GO102" s="1098">
        <f t="shared" si="168"/>
        <v>0.875</v>
      </c>
      <c r="GP102" s="1095">
        <f t="shared" si="169"/>
        <v>3807068.5115117272</v>
      </c>
      <c r="GQ102" s="1095">
        <f t="shared" si="170"/>
        <v>29516.161648031753</v>
      </c>
      <c r="GR102" s="1095">
        <f t="shared" si="171"/>
        <v>34219.008072188088</v>
      </c>
      <c r="GS102" s="1095">
        <f t="shared" si="172"/>
        <v>44203.293515273741</v>
      </c>
      <c r="GT102" s="1095">
        <f t="shared" si="173"/>
        <v>75384.519453156696</v>
      </c>
      <c r="GU102" s="497"/>
      <c r="GV102" s="1095">
        <f t="shared" si="266"/>
        <v>4350935.4417276885</v>
      </c>
      <c r="GW102" s="1098">
        <f t="shared" si="267"/>
        <v>0.125</v>
      </c>
      <c r="GX102" s="1095">
        <f t="shared" si="268"/>
        <v>543866.93021596107</v>
      </c>
      <c r="GY102" s="1095">
        <f t="shared" si="269"/>
        <v>30000</v>
      </c>
      <c r="GZ102" s="1095">
        <f t="shared" si="270"/>
        <v>513866.93021596107</v>
      </c>
      <c r="HA102" s="1106">
        <f t="shared" si="271"/>
        <v>48</v>
      </c>
      <c r="HB102" s="770">
        <f t="shared" si="272"/>
        <v>10705.561046165856</v>
      </c>
      <c r="HC102" s="1098">
        <f t="shared" si="273"/>
        <v>0.875</v>
      </c>
      <c r="HD102" s="1102">
        <f t="shared" si="274"/>
        <v>3807068.5115117272</v>
      </c>
      <c r="HE102" s="1101">
        <f t="shared" si="275"/>
        <v>29516.161648031753</v>
      </c>
      <c r="HF102" s="1101">
        <f t="shared" si="276"/>
        <v>34219.008072188088</v>
      </c>
      <c r="HG102" s="1101">
        <f t="shared" si="277"/>
        <v>44203.293515273741</v>
      </c>
      <c r="HH102" s="1101">
        <f t="shared" si="278"/>
        <v>75384.519453156696</v>
      </c>
      <c r="HI102" s="497"/>
      <c r="HJ102" s="1102">
        <f t="shared" si="279"/>
        <v>-7013.9882716259035</v>
      </c>
      <c r="HL102" s="775"/>
      <c r="HN102" s="775"/>
      <c r="HO102" s="775"/>
      <c r="HQ102" s="702"/>
      <c r="HR102" s="1171"/>
      <c r="HS102" s="702"/>
      <c r="HT102" s="1171"/>
    </row>
    <row r="103" spans="1:228" ht="14.25" hidden="1" customHeight="1">
      <c r="A103" s="753">
        <f t="shared" si="280"/>
        <v>97</v>
      </c>
      <c r="B103" s="753" t="s">
        <v>236</v>
      </c>
      <c r="C103" s="753">
        <f t="shared" si="292"/>
        <v>4</v>
      </c>
      <c r="D103" s="753" t="s">
        <v>265</v>
      </c>
      <c r="E103" s="717" t="str">
        <f t="shared" si="200"/>
        <v>6th Floor</v>
      </c>
      <c r="F103" s="754"/>
      <c r="G103" s="756" t="s">
        <v>464</v>
      </c>
      <c r="H103" s="756"/>
      <c r="I103" s="755" t="s">
        <v>229</v>
      </c>
      <c r="J103" s="757">
        <v>22</v>
      </c>
      <c r="K103" s="758"/>
      <c r="L103" s="759" t="s">
        <v>69</v>
      </c>
      <c r="M103" s="760" t="s">
        <v>68</v>
      </c>
      <c r="N103" s="761">
        <f t="shared" si="201"/>
        <v>106005.26567735759</v>
      </c>
      <c r="O103" s="762">
        <f t="shared" si="202"/>
        <v>2332115.8449018667</v>
      </c>
      <c r="P103" s="762">
        <f t="shared" si="203"/>
        <v>22400</v>
      </c>
      <c r="Q103" s="762">
        <f t="shared" si="175"/>
        <v>50000</v>
      </c>
      <c r="R103" s="762"/>
      <c r="S103" s="762"/>
      <c r="T103" s="762"/>
      <c r="U103" s="762"/>
      <c r="V103" s="762"/>
      <c r="W103" s="762"/>
      <c r="X103" s="762"/>
      <c r="Y103" s="762">
        <f t="shared" si="293"/>
        <v>40000</v>
      </c>
      <c r="Z103" s="762">
        <f t="shared" si="177"/>
        <v>142461</v>
      </c>
      <c r="AA103" s="762">
        <v>45722.732758620688</v>
      </c>
      <c r="AB103" s="762"/>
      <c r="AC103" s="762"/>
      <c r="AD103" s="763">
        <f t="shared" si="204"/>
        <v>300583.7327586207</v>
      </c>
      <c r="AE103" s="763">
        <f t="shared" si="178"/>
        <v>2632699.5776604875</v>
      </c>
      <c r="AF103" s="762">
        <f t="shared" si="179"/>
        <v>65817.489441512196</v>
      </c>
      <c r="AG103" s="762">
        <f t="shared" si="205"/>
        <v>2698517.0671019997</v>
      </c>
      <c r="AH103" s="762">
        <f t="shared" si="180"/>
        <v>67462.92667755</v>
      </c>
      <c r="AI103" s="762">
        <f t="shared" si="206"/>
        <v>2765979.9937795498</v>
      </c>
      <c r="AJ103" s="762">
        <f t="shared" si="207"/>
        <v>138298.99968897749</v>
      </c>
      <c r="AK103" s="762">
        <f t="shared" si="208"/>
        <v>2904278.9934685272</v>
      </c>
      <c r="AL103" s="762">
        <f t="shared" si="209"/>
        <v>29042.789934685272</v>
      </c>
      <c r="AM103" s="762">
        <f t="shared" si="210"/>
        <v>27537.409960060559</v>
      </c>
      <c r="AN103" s="762"/>
      <c r="AO103" s="763">
        <f t="shared" si="211"/>
        <v>2960859.1933632731</v>
      </c>
      <c r="AP103" s="763">
        <f t="shared" si="212"/>
        <v>488541.76690494007</v>
      </c>
      <c r="AQ103" s="763">
        <f t="shared" si="213"/>
        <v>3449400.9602682129</v>
      </c>
      <c r="AR103" s="1178">
        <f t="shared" si="181"/>
        <v>3000000</v>
      </c>
      <c r="AS103" s="1178">
        <f t="shared" si="214"/>
        <v>20427.316375827861</v>
      </c>
      <c r="AT103" s="1178">
        <f t="shared" si="215"/>
        <v>449400.96026821295</v>
      </c>
      <c r="AU103" s="1178">
        <f t="shared" si="182"/>
        <v>53928.115232185555</v>
      </c>
      <c r="AV103" s="1178">
        <f t="shared" si="216"/>
        <v>503329.07550039853</v>
      </c>
      <c r="AW103" s="1178">
        <f t="shared" si="217"/>
        <v>3503329.0755003984</v>
      </c>
      <c r="AX103" s="762">
        <f t="shared" si="218"/>
        <v>43791.613443754984</v>
      </c>
      <c r="AY103" s="717" t="s">
        <v>231</v>
      </c>
      <c r="AZ103" s="717">
        <f t="shared" si="219"/>
        <v>3547120.6889441535</v>
      </c>
      <c r="BA103" s="717">
        <f t="shared" si="220"/>
        <v>133017.02583540574</v>
      </c>
      <c r="BB103" s="717"/>
      <c r="BC103" s="717">
        <f t="shared" si="183"/>
        <v>33600</v>
      </c>
      <c r="BD103" s="717">
        <f t="shared" si="221"/>
        <v>3713737.7147795591</v>
      </c>
      <c r="BE103" s="717"/>
      <c r="BF103" s="717">
        <f t="shared" si="222"/>
        <v>3713737.7147795591</v>
      </c>
      <c r="BG103" s="1209"/>
      <c r="BH103" s="717">
        <f t="shared" si="223"/>
        <v>3713737.7147795591</v>
      </c>
      <c r="BI103" s="717"/>
      <c r="BJ103" s="717">
        <f t="shared" si="224"/>
        <v>3713737.7147795591</v>
      </c>
      <c r="BK103" s="717"/>
      <c r="BL103" s="717">
        <f t="shared" si="225"/>
        <v>3713737.7147795591</v>
      </c>
      <c r="BM103" s="717"/>
      <c r="BN103" s="717">
        <f t="shared" si="226"/>
        <v>3713737.7147795591</v>
      </c>
      <c r="BO103" s="717"/>
      <c r="BP103" s="717">
        <f t="shared" si="184"/>
        <v>3713737.7147795591</v>
      </c>
      <c r="BQ103" s="717"/>
      <c r="BR103" s="717">
        <f t="shared" si="285"/>
        <v>3713737.7147795591</v>
      </c>
      <c r="BS103" s="717"/>
      <c r="BT103" s="717">
        <f t="shared" si="227"/>
        <v>3713737.7147795591</v>
      </c>
      <c r="BU103" s="717"/>
      <c r="BV103" s="1235">
        <f t="shared" si="286"/>
        <v>51400</v>
      </c>
      <c r="BW103" s="717">
        <f t="shared" si="228"/>
        <v>3765137.7147795591</v>
      </c>
      <c r="BX103" s="717"/>
      <c r="BY103" s="717">
        <f t="shared" si="229"/>
        <v>3765137.7147795591</v>
      </c>
      <c r="BZ103" s="1194">
        <f t="shared" si="230"/>
        <v>3765137.7147795591</v>
      </c>
      <c r="CA103" s="1194">
        <f t="shared" si="231"/>
        <v>3028137.7147795591</v>
      </c>
      <c r="CB103" s="1194">
        <v>33500</v>
      </c>
      <c r="CC103" s="1194">
        <f t="shared" si="232"/>
        <v>737000</v>
      </c>
      <c r="CD103" s="1194">
        <f t="shared" si="233"/>
        <v>88440</v>
      </c>
      <c r="CE103" s="1194">
        <f t="shared" si="234"/>
        <v>825440</v>
      </c>
      <c r="CF103" s="1200">
        <f t="shared" si="235"/>
        <v>3853577.7147795591</v>
      </c>
      <c r="CG103" s="757">
        <f t="shared" si="236"/>
        <v>3853577.7147795591</v>
      </c>
      <c r="CH103" s="758">
        <f t="shared" si="237"/>
        <v>0</v>
      </c>
      <c r="CI103" s="757">
        <f t="shared" si="185"/>
        <v>394991.7157649048</v>
      </c>
      <c r="CJ103" s="757">
        <f t="shared" si="186"/>
        <v>96339.442869488979</v>
      </c>
      <c r="CK103" s="759">
        <f t="shared" si="291"/>
        <v>4344908.873413953</v>
      </c>
      <c r="CL103" s="764">
        <f t="shared" si="238"/>
        <v>0.125</v>
      </c>
      <c r="CM103" s="757">
        <f t="shared" si="239"/>
        <v>543113.60917674412</v>
      </c>
      <c r="CN103" s="757">
        <f t="shared" si="281"/>
        <v>30000</v>
      </c>
      <c r="CO103" s="757">
        <f t="shared" si="240"/>
        <v>513113.60917674412</v>
      </c>
      <c r="CP103" s="755">
        <f t="shared" si="241"/>
        <v>29</v>
      </c>
      <c r="CQ103" s="757">
        <f t="shared" si="283"/>
        <v>17693.572730232558</v>
      </c>
      <c r="CR103" s="764">
        <f t="shared" si="242"/>
        <v>0.875</v>
      </c>
      <c r="CS103" s="757">
        <f t="shared" si="243"/>
        <v>3801795.2642372088</v>
      </c>
      <c r="CT103" s="1101">
        <f t="shared" si="244"/>
        <v>29475.278218039861</v>
      </c>
      <c r="CU103" s="1101">
        <f t="shared" si="245"/>
        <v>34171.610634892764</v>
      </c>
      <c r="CV103" s="1101">
        <f t="shared" si="246"/>
        <v>44142.066643114937</v>
      </c>
      <c r="CW103" s="1141">
        <f t="shared" si="187"/>
        <v>75280.102836921593</v>
      </c>
      <c r="CX103" s="1152">
        <f t="shared" si="247"/>
        <v>308831.91337454721</v>
      </c>
      <c r="CY103" s="1152">
        <f t="shared" si="248"/>
        <v>122203.28371568573</v>
      </c>
      <c r="CZ103" s="1152">
        <f t="shared" si="249"/>
        <v>88265.701038951564</v>
      </c>
      <c r="DA103" s="1152">
        <f t="shared" si="250"/>
        <v>67174.262033644685</v>
      </c>
      <c r="DB103" s="1143">
        <f t="shared" si="188"/>
        <v>0.1498003200894043</v>
      </c>
      <c r="DC103" s="1143">
        <f t="shared" si="251"/>
        <v>0.27258998029423837</v>
      </c>
      <c r="DD103" s="1098" t="s">
        <v>232</v>
      </c>
      <c r="DE103" s="1144"/>
      <c r="DF103" s="705"/>
      <c r="DG103" s="765">
        <f t="shared" si="282"/>
        <v>46082</v>
      </c>
      <c r="DH103" s="1116">
        <f t="shared" si="189"/>
        <v>28</v>
      </c>
      <c r="DI103" s="497"/>
      <c r="DJ103" s="1117">
        <f t="shared" si="252"/>
        <v>46147</v>
      </c>
      <c r="DK103" s="1116">
        <f t="shared" si="253"/>
        <v>30</v>
      </c>
      <c r="DL103" s="766" t="s">
        <v>233</v>
      </c>
      <c r="DM103" s="766" t="s">
        <v>234</v>
      </c>
      <c r="DN103" s="767">
        <f t="shared" si="190"/>
        <v>22878.594340927204</v>
      </c>
      <c r="DO103" s="767">
        <f t="shared" si="191"/>
        <v>503329.07550039853</v>
      </c>
      <c r="DP103" s="768">
        <f t="shared" si="192"/>
        <v>0.16777635850013284</v>
      </c>
      <c r="DR103" s="767">
        <f t="shared" si="193"/>
        <v>3853577.7147795591</v>
      </c>
      <c r="DS103" s="767">
        <f>SUM('[6]INTERNAL PRICELIST'!M103)</f>
        <v>2331316</v>
      </c>
      <c r="DT103" s="767">
        <f t="shared" si="254"/>
        <v>1522261.7147795591</v>
      </c>
      <c r="DV103" s="951">
        <f t="shared" si="194"/>
        <v>175162.62339907087</v>
      </c>
      <c r="DX103" s="772">
        <v>8</v>
      </c>
      <c r="DY103" s="773" t="s">
        <v>271</v>
      </c>
      <c r="DZ103" s="772">
        <v>22.34</v>
      </c>
      <c r="EA103" s="775">
        <f t="shared" ref="EA103:EA134" si="294">DZ103-J103</f>
        <v>0.33999999999999986</v>
      </c>
      <c r="ED103" s="1133" t="s">
        <v>464</v>
      </c>
      <c r="EE103" s="777" t="b">
        <f t="shared" si="196"/>
        <v>1</v>
      </c>
      <c r="EF103" s="1123" t="s">
        <v>465</v>
      </c>
      <c r="EG103" s="1123" t="s">
        <v>459</v>
      </c>
      <c r="EH103" s="1203"/>
      <c r="EP103" s="1230" t="s">
        <v>236</v>
      </c>
      <c r="EQ103" s="1145" t="s">
        <v>236</v>
      </c>
      <c r="ER103" s="753" t="b">
        <f t="shared" si="255"/>
        <v>1</v>
      </c>
      <c r="EU103" s="770">
        <v>2481161</v>
      </c>
      <c r="EV103" s="771" t="s">
        <v>236</v>
      </c>
      <c r="EZ103" s="520"/>
      <c r="FA103" s="778"/>
      <c r="FG103" s="1107"/>
      <c r="FJ103" s="994">
        <v>0.15</v>
      </c>
      <c r="FK103" s="993">
        <v>13042.268172546426</v>
      </c>
      <c r="FL103" s="993">
        <v>13394.761906939573</v>
      </c>
      <c r="FM103" s="497"/>
      <c r="FN103" s="993">
        <f t="shared" si="197"/>
        <v>4344908.873413953</v>
      </c>
      <c r="FO103" s="994">
        <f t="shared" si="256"/>
        <v>0.15</v>
      </c>
      <c r="FP103" s="775">
        <f t="shared" si="198"/>
        <v>651736.33101209288</v>
      </c>
      <c r="FQ103" s="993">
        <f t="shared" si="199"/>
        <v>30000</v>
      </c>
      <c r="FR103" s="775">
        <f t="shared" si="257"/>
        <v>621736.33101209288</v>
      </c>
      <c r="FS103" s="497">
        <f t="shared" si="258"/>
        <v>40</v>
      </c>
      <c r="FT103" s="775">
        <f t="shared" si="259"/>
        <v>15543.408275302321</v>
      </c>
      <c r="FU103" s="497"/>
      <c r="FV103" s="993">
        <f t="shared" si="260"/>
        <v>4344908.873413953</v>
      </c>
      <c r="FW103" s="705">
        <f t="shared" si="261"/>
        <v>434490.88734139531</v>
      </c>
      <c r="FX103" s="705">
        <f t="shared" si="262"/>
        <v>108622.72183534883</v>
      </c>
      <c r="FY103" s="705">
        <v>15000</v>
      </c>
      <c r="FZ103" s="705">
        <f t="shared" si="263"/>
        <v>419490.88734139531</v>
      </c>
      <c r="GA103" s="497">
        <f t="shared" si="264"/>
        <v>46</v>
      </c>
      <c r="GB103" s="775">
        <f t="shared" si="265"/>
        <v>9119.3671161172897</v>
      </c>
      <c r="GC103" s="497"/>
      <c r="GD103" s="497"/>
      <c r="GE103" s="1107"/>
      <c r="GH103" s="1095">
        <f t="shared" si="161"/>
        <v>4344908.873413953</v>
      </c>
      <c r="GI103" s="1098">
        <f t="shared" si="162"/>
        <v>0.125</v>
      </c>
      <c r="GJ103" s="1095">
        <f t="shared" si="163"/>
        <v>543113.60917674412</v>
      </c>
      <c r="GK103" s="1095">
        <f t="shared" si="164"/>
        <v>30000</v>
      </c>
      <c r="GL103" s="1095">
        <f t="shared" si="165"/>
        <v>513113.60917674412</v>
      </c>
      <c r="GM103" s="1095">
        <f t="shared" si="166"/>
        <v>29</v>
      </c>
      <c r="GN103" s="1095">
        <f t="shared" si="167"/>
        <v>17693.572730232558</v>
      </c>
      <c r="GO103" s="1098">
        <f t="shared" si="168"/>
        <v>0.875</v>
      </c>
      <c r="GP103" s="1095">
        <f t="shared" si="169"/>
        <v>3801795.2642372088</v>
      </c>
      <c r="GQ103" s="1095">
        <f t="shared" si="170"/>
        <v>29475.278218039861</v>
      </c>
      <c r="GR103" s="1095">
        <f t="shared" si="171"/>
        <v>34171.610634892764</v>
      </c>
      <c r="GS103" s="1095">
        <f t="shared" si="172"/>
        <v>44142.066643114937</v>
      </c>
      <c r="GT103" s="1095">
        <f t="shared" si="173"/>
        <v>75280.102836921593</v>
      </c>
      <c r="GU103" s="497"/>
      <c r="GV103" s="1095">
        <f t="shared" si="266"/>
        <v>4344908.873413953</v>
      </c>
      <c r="GW103" s="1098">
        <f t="shared" si="267"/>
        <v>0.125</v>
      </c>
      <c r="GX103" s="1095">
        <f t="shared" si="268"/>
        <v>543113.60917674412</v>
      </c>
      <c r="GY103" s="1095">
        <f t="shared" si="269"/>
        <v>30000</v>
      </c>
      <c r="GZ103" s="1095">
        <f t="shared" si="270"/>
        <v>513113.60917674412</v>
      </c>
      <c r="HA103" s="1106">
        <f t="shared" si="271"/>
        <v>48</v>
      </c>
      <c r="HB103" s="770">
        <f t="shared" si="272"/>
        <v>10689.866857848836</v>
      </c>
      <c r="HC103" s="1098">
        <f t="shared" si="273"/>
        <v>0.875</v>
      </c>
      <c r="HD103" s="1102">
        <f t="shared" si="274"/>
        <v>3801795.2642372088</v>
      </c>
      <c r="HE103" s="1101">
        <f t="shared" si="275"/>
        <v>29475.278218039861</v>
      </c>
      <c r="HF103" s="1101">
        <f t="shared" si="276"/>
        <v>34171.610634892764</v>
      </c>
      <c r="HG103" s="1101">
        <f t="shared" si="277"/>
        <v>44142.066643114937</v>
      </c>
      <c r="HH103" s="1101">
        <f t="shared" si="278"/>
        <v>75280.102836921593</v>
      </c>
      <c r="HI103" s="497"/>
      <c r="HJ103" s="1102">
        <f t="shared" si="279"/>
        <v>-7003.7058723837217</v>
      </c>
      <c r="HL103" s="775"/>
      <c r="HN103" s="775"/>
      <c r="HO103" s="775"/>
      <c r="HQ103" s="702"/>
      <c r="HR103" s="1171"/>
      <c r="HS103" s="702"/>
      <c r="HT103" s="1171"/>
    </row>
    <row r="104" spans="1:228" ht="14.25" hidden="1" customHeight="1">
      <c r="A104" s="753">
        <f t="shared" si="280"/>
        <v>98</v>
      </c>
      <c r="B104" s="753" t="s">
        <v>236</v>
      </c>
      <c r="C104" s="753">
        <f t="shared" si="292"/>
        <v>5</v>
      </c>
      <c r="D104" s="753" t="s">
        <v>265</v>
      </c>
      <c r="E104" s="717" t="str">
        <f t="shared" si="200"/>
        <v>6th Floor</v>
      </c>
      <c r="F104" s="754"/>
      <c r="G104" s="756" t="s">
        <v>466</v>
      </c>
      <c r="H104" s="756"/>
      <c r="I104" s="755" t="s">
        <v>229</v>
      </c>
      <c r="J104" s="757">
        <v>22</v>
      </c>
      <c r="K104" s="758"/>
      <c r="L104" s="759" t="s">
        <v>69</v>
      </c>
      <c r="M104" s="760" t="s">
        <v>68</v>
      </c>
      <c r="N104" s="761">
        <f t="shared" si="201"/>
        <v>106005.26567735759</v>
      </c>
      <c r="O104" s="762">
        <f t="shared" si="202"/>
        <v>2332115.8449018667</v>
      </c>
      <c r="P104" s="762">
        <f t="shared" si="203"/>
        <v>22400</v>
      </c>
      <c r="Q104" s="762">
        <f t="shared" si="175"/>
        <v>50000</v>
      </c>
      <c r="R104" s="762"/>
      <c r="S104" s="762"/>
      <c r="T104" s="762"/>
      <c r="U104" s="762"/>
      <c r="V104" s="762"/>
      <c r="W104" s="762"/>
      <c r="X104" s="762"/>
      <c r="Y104" s="762">
        <f t="shared" si="293"/>
        <v>40000</v>
      </c>
      <c r="Z104" s="762">
        <f t="shared" si="177"/>
        <v>142461</v>
      </c>
      <c r="AA104" s="762">
        <v>51222.732758620703</v>
      </c>
      <c r="AB104" s="762"/>
      <c r="AC104" s="762"/>
      <c r="AD104" s="763">
        <f t="shared" si="204"/>
        <v>306083.7327586207</v>
      </c>
      <c r="AE104" s="763">
        <f t="shared" si="178"/>
        <v>2638199.5776604875</v>
      </c>
      <c r="AF104" s="762">
        <f t="shared" si="179"/>
        <v>65954.989441512196</v>
      </c>
      <c r="AG104" s="762">
        <f t="shared" si="205"/>
        <v>2704154.5671019997</v>
      </c>
      <c r="AH104" s="762">
        <f t="shared" si="180"/>
        <v>67603.86417755</v>
      </c>
      <c r="AI104" s="762">
        <f t="shared" si="206"/>
        <v>2771758.4312795498</v>
      </c>
      <c r="AJ104" s="762">
        <f t="shared" si="207"/>
        <v>138587.92156397749</v>
      </c>
      <c r="AK104" s="762">
        <f t="shared" si="208"/>
        <v>2910346.3528435272</v>
      </c>
      <c r="AL104" s="762">
        <f t="shared" si="209"/>
        <v>29103.463528435273</v>
      </c>
      <c r="AM104" s="762">
        <f t="shared" si="210"/>
        <v>27537.409960060559</v>
      </c>
      <c r="AN104" s="762"/>
      <c r="AO104" s="763">
        <f t="shared" si="211"/>
        <v>2966987.2263320228</v>
      </c>
      <c r="AP104" s="763">
        <f t="shared" si="212"/>
        <v>489552.89234478376</v>
      </c>
      <c r="AQ104" s="763">
        <f t="shared" si="213"/>
        <v>3456540.1186768068</v>
      </c>
      <c r="AR104" s="1178">
        <f t="shared" si="181"/>
        <v>3000000</v>
      </c>
      <c r="AS104" s="1178">
        <f t="shared" si="214"/>
        <v>20751.823576218492</v>
      </c>
      <c r="AT104" s="1178">
        <f t="shared" si="215"/>
        <v>456540.1186768068</v>
      </c>
      <c r="AU104" s="1178">
        <f t="shared" si="182"/>
        <v>54784.814241216816</v>
      </c>
      <c r="AV104" s="1178">
        <f t="shared" si="216"/>
        <v>511324.93291802361</v>
      </c>
      <c r="AW104" s="1178">
        <f t="shared" si="217"/>
        <v>3511324.9329180238</v>
      </c>
      <c r="AX104" s="762">
        <f t="shared" si="218"/>
        <v>43891.561661475302</v>
      </c>
      <c r="AY104" s="717">
        <v>7575.3956645161297</v>
      </c>
      <c r="AZ104" s="717">
        <f t="shared" si="219"/>
        <v>3562791.890244015</v>
      </c>
      <c r="BA104" s="717">
        <f t="shared" si="220"/>
        <v>133604.69588415057</v>
      </c>
      <c r="BB104" s="717"/>
      <c r="BC104" s="717">
        <f t="shared" si="183"/>
        <v>33600</v>
      </c>
      <c r="BD104" s="717">
        <f t="shared" si="221"/>
        <v>3729996.5861281655</v>
      </c>
      <c r="BE104" s="717">
        <v>18367.830916129038</v>
      </c>
      <c r="BF104" s="717">
        <f t="shared" si="222"/>
        <v>3748364.4170442945</v>
      </c>
      <c r="BG104" s="1209"/>
      <c r="BH104" s="717">
        <f t="shared" si="223"/>
        <v>3748364.4170442945</v>
      </c>
      <c r="BI104" s="717">
        <v>718.43902439024396</v>
      </c>
      <c r="BJ104" s="717">
        <f t="shared" si="224"/>
        <v>3749082.8560686847</v>
      </c>
      <c r="BK104" s="717"/>
      <c r="BL104" s="717">
        <f t="shared" si="225"/>
        <v>3749082.8560686847</v>
      </c>
      <c r="BM104" s="717"/>
      <c r="BN104" s="717">
        <f t="shared" si="226"/>
        <v>3749082.8560686847</v>
      </c>
      <c r="BO104" s="717"/>
      <c r="BP104" s="717">
        <f t="shared" si="184"/>
        <v>3749082.8560686847</v>
      </c>
      <c r="BQ104" s="717"/>
      <c r="BR104" s="717">
        <f t="shared" si="285"/>
        <v>3749082.8560686847</v>
      </c>
      <c r="BS104" s="717"/>
      <c r="BT104" s="717">
        <f t="shared" si="227"/>
        <v>3749082.8560686847</v>
      </c>
      <c r="BU104" s="717"/>
      <c r="BV104" s="1235">
        <f t="shared" si="286"/>
        <v>51400</v>
      </c>
      <c r="BW104" s="717">
        <f t="shared" si="228"/>
        <v>3800482.8560686847</v>
      </c>
      <c r="BX104" s="717"/>
      <c r="BY104" s="717">
        <f t="shared" si="229"/>
        <v>3800482.8560686847</v>
      </c>
      <c r="BZ104" s="1194">
        <f t="shared" si="230"/>
        <v>3800482.8560686847</v>
      </c>
      <c r="CA104" s="1194">
        <f t="shared" si="231"/>
        <v>3030482.8560686847</v>
      </c>
      <c r="CB104" s="1194">
        <v>35000</v>
      </c>
      <c r="CC104" s="1194">
        <f t="shared" si="232"/>
        <v>770000</v>
      </c>
      <c r="CD104" s="1194">
        <f t="shared" si="233"/>
        <v>92400</v>
      </c>
      <c r="CE104" s="1194">
        <f t="shared" si="234"/>
        <v>862400</v>
      </c>
      <c r="CF104" s="1200">
        <f t="shared" si="235"/>
        <v>3892882.8560686847</v>
      </c>
      <c r="CG104" s="757">
        <f t="shared" si="236"/>
        <v>3892882.8560686847</v>
      </c>
      <c r="CH104" s="758">
        <f t="shared" si="237"/>
        <v>0</v>
      </c>
      <c r="CI104" s="757">
        <f t="shared" si="185"/>
        <v>399020.49274704017</v>
      </c>
      <c r="CJ104" s="757">
        <f t="shared" si="186"/>
        <v>97322.071401717127</v>
      </c>
      <c r="CK104" s="759">
        <f t="shared" si="291"/>
        <v>4389225.4202174423</v>
      </c>
      <c r="CL104" s="764">
        <f t="shared" si="238"/>
        <v>0.125</v>
      </c>
      <c r="CM104" s="757">
        <f t="shared" si="239"/>
        <v>548653.17752718029</v>
      </c>
      <c r="CN104" s="757">
        <f t="shared" si="281"/>
        <v>30000</v>
      </c>
      <c r="CO104" s="757">
        <f t="shared" si="240"/>
        <v>518653.17752718029</v>
      </c>
      <c r="CP104" s="755">
        <f t="shared" si="241"/>
        <v>29</v>
      </c>
      <c r="CQ104" s="757">
        <f t="shared" si="283"/>
        <v>17884.592328523457</v>
      </c>
      <c r="CR104" s="764">
        <f t="shared" si="242"/>
        <v>0.875</v>
      </c>
      <c r="CS104" s="757">
        <f t="shared" si="243"/>
        <v>3840572.2426902619</v>
      </c>
      <c r="CT104" s="1101">
        <f t="shared" si="244"/>
        <v>29775.915719251541</v>
      </c>
      <c r="CU104" s="1101">
        <f t="shared" si="245"/>
        <v>34520.149079811163</v>
      </c>
      <c r="CV104" s="1101">
        <f t="shared" si="246"/>
        <v>44592.300242802667</v>
      </c>
      <c r="CW104" s="1141">
        <f t="shared" si="187"/>
        <v>76047.933486065362</v>
      </c>
      <c r="CX104" s="1152">
        <f t="shared" si="247"/>
        <v>311981.89058746869</v>
      </c>
      <c r="CY104" s="1152">
        <f t="shared" si="248"/>
        <v>123449.71435441879</v>
      </c>
      <c r="CZ104" s="1152">
        <f t="shared" si="249"/>
        <v>89165.980235868759</v>
      </c>
      <c r="DA104" s="1152">
        <f t="shared" si="250"/>
        <v>67859.415949212271</v>
      </c>
      <c r="DB104" s="1143">
        <f t="shared" si="188"/>
        <v>0.15218003955893561</v>
      </c>
      <c r="DC104" s="1143">
        <f t="shared" si="251"/>
        <v>0.28457511260062185</v>
      </c>
      <c r="DD104" s="1098" t="s">
        <v>232</v>
      </c>
      <c r="DE104" s="1144"/>
      <c r="DF104" s="705"/>
      <c r="DG104" s="765">
        <f t="shared" si="282"/>
        <v>46082</v>
      </c>
      <c r="DH104" s="1116">
        <f t="shared" si="189"/>
        <v>28</v>
      </c>
      <c r="DI104" s="497"/>
      <c r="DJ104" s="1117">
        <f t="shared" si="252"/>
        <v>46147</v>
      </c>
      <c r="DK104" s="1116">
        <f t="shared" si="253"/>
        <v>30</v>
      </c>
      <c r="DL104" s="766" t="s">
        <v>233</v>
      </c>
      <c r="DM104" s="766" t="s">
        <v>234</v>
      </c>
      <c r="DN104" s="767">
        <f t="shared" si="190"/>
        <v>23242.042405364711</v>
      </c>
      <c r="DO104" s="767">
        <f t="shared" si="191"/>
        <v>511324.93291802361</v>
      </c>
      <c r="DP104" s="768">
        <f t="shared" si="192"/>
        <v>0.17044164430600786</v>
      </c>
      <c r="DR104" s="767">
        <f t="shared" si="193"/>
        <v>3892882.8560686847</v>
      </c>
      <c r="DS104" s="767">
        <f>SUM('[6]INTERNAL PRICELIST'!M104)</f>
        <v>2329361</v>
      </c>
      <c r="DT104" s="767">
        <f t="shared" si="254"/>
        <v>1563521.8560686847</v>
      </c>
      <c r="DV104" s="951">
        <f t="shared" si="194"/>
        <v>176949.22073039477</v>
      </c>
      <c r="DX104" s="772">
        <v>9</v>
      </c>
      <c r="DY104" s="773" t="s">
        <v>274</v>
      </c>
      <c r="DZ104" s="774">
        <v>22</v>
      </c>
      <c r="EA104" s="775">
        <f t="shared" si="294"/>
        <v>0</v>
      </c>
      <c r="ED104" s="1133" t="s">
        <v>466</v>
      </c>
      <c r="EE104" s="777" t="b">
        <f t="shared" si="196"/>
        <v>1</v>
      </c>
      <c r="EF104" s="1123" t="s">
        <v>467</v>
      </c>
      <c r="EG104" s="1123" t="s">
        <v>459</v>
      </c>
      <c r="EH104" s="1203"/>
      <c r="EP104" s="1233" t="s">
        <v>236</v>
      </c>
      <c r="EQ104" s="1145" t="s">
        <v>236</v>
      </c>
      <c r="ER104" s="753" t="b">
        <f t="shared" si="255"/>
        <v>1</v>
      </c>
      <c r="EU104" s="770">
        <v>2123200</v>
      </c>
      <c r="EV104" s="771" t="s">
        <v>236</v>
      </c>
      <c r="EZ104" s="520"/>
      <c r="FA104" s="778"/>
      <c r="FG104" s="1107"/>
      <c r="FJ104" s="994">
        <v>0.15</v>
      </c>
      <c r="FK104" s="993">
        <v>13042.268172546426</v>
      </c>
      <c r="FL104" s="993">
        <v>13394.761906939573</v>
      </c>
      <c r="FM104" s="497"/>
      <c r="FN104" s="993">
        <f t="shared" si="197"/>
        <v>4389225.4202174423</v>
      </c>
      <c r="FO104" s="994">
        <f t="shared" si="256"/>
        <v>0.15</v>
      </c>
      <c r="FP104" s="775">
        <f t="shared" si="198"/>
        <v>658383.81303261628</v>
      </c>
      <c r="FQ104" s="993">
        <f t="shared" si="199"/>
        <v>30000</v>
      </c>
      <c r="FR104" s="775">
        <f t="shared" si="257"/>
        <v>628383.81303261628</v>
      </c>
      <c r="FS104" s="497">
        <f t="shared" si="258"/>
        <v>40</v>
      </c>
      <c r="FT104" s="775">
        <f t="shared" si="259"/>
        <v>15709.595325815408</v>
      </c>
      <c r="FU104" s="497"/>
      <c r="FV104" s="993">
        <f t="shared" si="260"/>
        <v>4389225.4202174423</v>
      </c>
      <c r="FW104" s="705">
        <f t="shared" si="261"/>
        <v>438922.54202174424</v>
      </c>
      <c r="FX104" s="705">
        <f t="shared" si="262"/>
        <v>109730.63550543606</v>
      </c>
      <c r="FY104" s="705">
        <v>15000</v>
      </c>
      <c r="FZ104" s="705">
        <f t="shared" si="263"/>
        <v>423922.54202174424</v>
      </c>
      <c r="GA104" s="497">
        <f t="shared" si="264"/>
        <v>46</v>
      </c>
      <c r="GB104" s="775">
        <f t="shared" si="265"/>
        <v>9215.70743525531</v>
      </c>
      <c r="GC104" s="497"/>
      <c r="GD104" s="497"/>
      <c r="GE104" s="1107"/>
      <c r="GH104" s="1095">
        <f t="shared" si="161"/>
        <v>4389225.4202174423</v>
      </c>
      <c r="GI104" s="1098">
        <f t="shared" si="162"/>
        <v>0.125</v>
      </c>
      <c r="GJ104" s="1095">
        <f t="shared" si="163"/>
        <v>548653.17752718029</v>
      </c>
      <c r="GK104" s="1095">
        <f t="shared" si="164"/>
        <v>30000</v>
      </c>
      <c r="GL104" s="1095">
        <f t="shared" si="165"/>
        <v>518653.17752718029</v>
      </c>
      <c r="GM104" s="1095">
        <f t="shared" si="166"/>
        <v>29</v>
      </c>
      <c r="GN104" s="1095">
        <f t="shared" si="167"/>
        <v>17884.592328523457</v>
      </c>
      <c r="GO104" s="1098">
        <f t="shared" si="168"/>
        <v>0.875</v>
      </c>
      <c r="GP104" s="1095">
        <f t="shared" si="169"/>
        <v>3840572.2426902619</v>
      </c>
      <c r="GQ104" s="1095">
        <f t="shared" si="170"/>
        <v>29775.915719251541</v>
      </c>
      <c r="GR104" s="1095">
        <f t="shared" si="171"/>
        <v>34520.149079811163</v>
      </c>
      <c r="GS104" s="1095">
        <f t="shared" si="172"/>
        <v>44592.300242802667</v>
      </c>
      <c r="GT104" s="1095">
        <f t="shared" si="173"/>
        <v>76047.933486065362</v>
      </c>
      <c r="GU104" s="497"/>
      <c r="GV104" s="1095">
        <f t="shared" si="266"/>
        <v>4389225.4202174423</v>
      </c>
      <c r="GW104" s="1098">
        <f t="shared" si="267"/>
        <v>0.125</v>
      </c>
      <c r="GX104" s="1095">
        <f t="shared" si="268"/>
        <v>548653.17752718029</v>
      </c>
      <c r="GY104" s="1095">
        <f t="shared" si="269"/>
        <v>30000</v>
      </c>
      <c r="GZ104" s="1095">
        <f t="shared" si="270"/>
        <v>518653.17752718029</v>
      </c>
      <c r="HA104" s="1106">
        <f t="shared" si="271"/>
        <v>48</v>
      </c>
      <c r="HB104" s="770">
        <f t="shared" si="272"/>
        <v>10805.274531816256</v>
      </c>
      <c r="HC104" s="1098">
        <f t="shared" si="273"/>
        <v>0.875</v>
      </c>
      <c r="HD104" s="1102">
        <f t="shared" si="274"/>
        <v>3840572.2426902619</v>
      </c>
      <c r="HE104" s="1101">
        <f t="shared" si="275"/>
        <v>29775.915719251541</v>
      </c>
      <c r="HF104" s="1101">
        <f t="shared" si="276"/>
        <v>34520.149079811163</v>
      </c>
      <c r="HG104" s="1101">
        <f t="shared" si="277"/>
        <v>44592.300242802667</v>
      </c>
      <c r="HH104" s="1101">
        <f t="shared" si="278"/>
        <v>76047.933486065362</v>
      </c>
      <c r="HI104" s="497"/>
      <c r="HJ104" s="1102">
        <f t="shared" si="279"/>
        <v>-7079.3177967072006</v>
      </c>
      <c r="HL104" s="775"/>
      <c r="HN104" s="775"/>
      <c r="HO104" s="775"/>
      <c r="HQ104" s="702"/>
      <c r="HR104" s="1171"/>
      <c r="HS104" s="702"/>
      <c r="HT104" s="1171"/>
    </row>
    <row r="105" spans="1:228" ht="14.25" hidden="1" customHeight="1">
      <c r="A105" s="753">
        <f t="shared" si="280"/>
        <v>99</v>
      </c>
      <c r="B105" s="753" t="s">
        <v>236</v>
      </c>
      <c r="C105" s="753">
        <f t="shared" si="292"/>
        <v>6</v>
      </c>
      <c r="D105" s="753" t="s">
        <v>265</v>
      </c>
      <c r="E105" s="717" t="str">
        <f t="shared" si="200"/>
        <v>6th Floor</v>
      </c>
      <c r="F105" s="754"/>
      <c r="G105" s="756" t="s">
        <v>468</v>
      </c>
      <c r="H105" s="756"/>
      <c r="I105" s="755" t="s">
        <v>229</v>
      </c>
      <c r="J105" s="757">
        <v>22</v>
      </c>
      <c r="K105" s="758"/>
      <c r="L105" s="759" t="s">
        <v>69</v>
      </c>
      <c r="M105" s="760" t="s">
        <v>68</v>
      </c>
      <c r="N105" s="761">
        <f t="shared" si="201"/>
        <v>106005.26567735759</v>
      </c>
      <c r="O105" s="762">
        <f t="shared" si="202"/>
        <v>2332115.8449018667</v>
      </c>
      <c r="P105" s="762">
        <f t="shared" si="203"/>
        <v>22400</v>
      </c>
      <c r="Q105" s="762">
        <f t="shared" si="175"/>
        <v>50000</v>
      </c>
      <c r="R105" s="762"/>
      <c r="S105" s="762"/>
      <c r="T105" s="762"/>
      <c r="U105" s="762"/>
      <c r="V105" s="762"/>
      <c r="W105" s="762"/>
      <c r="X105" s="762"/>
      <c r="Y105" s="762">
        <f t="shared" si="293"/>
        <v>40000</v>
      </c>
      <c r="Z105" s="762">
        <f t="shared" si="177"/>
        <v>142461</v>
      </c>
      <c r="AA105" s="762">
        <v>45722.732758620688</v>
      </c>
      <c r="AB105" s="762"/>
      <c r="AC105" s="762"/>
      <c r="AD105" s="763">
        <f t="shared" si="204"/>
        <v>300583.7327586207</v>
      </c>
      <c r="AE105" s="763">
        <f t="shared" si="178"/>
        <v>2632699.5776604875</v>
      </c>
      <c r="AF105" s="762">
        <f t="shared" si="179"/>
        <v>65817.489441512196</v>
      </c>
      <c r="AG105" s="762">
        <f t="shared" si="205"/>
        <v>2698517.0671019997</v>
      </c>
      <c r="AH105" s="762">
        <f t="shared" si="180"/>
        <v>67462.92667755</v>
      </c>
      <c r="AI105" s="762">
        <f t="shared" si="206"/>
        <v>2765979.9937795498</v>
      </c>
      <c r="AJ105" s="762">
        <f t="shared" si="207"/>
        <v>138298.99968897749</v>
      </c>
      <c r="AK105" s="762">
        <f t="shared" si="208"/>
        <v>2904278.9934685272</v>
      </c>
      <c r="AL105" s="762">
        <f t="shared" si="209"/>
        <v>29042.789934685272</v>
      </c>
      <c r="AM105" s="762">
        <f t="shared" si="210"/>
        <v>27537.409960060559</v>
      </c>
      <c r="AN105" s="762"/>
      <c r="AO105" s="763">
        <f t="shared" si="211"/>
        <v>2960859.1933632731</v>
      </c>
      <c r="AP105" s="763">
        <f t="shared" si="212"/>
        <v>488541.76690494007</v>
      </c>
      <c r="AQ105" s="763">
        <f t="shared" si="213"/>
        <v>3449400.9602682129</v>
      </c>
      <c r="AR105" s="1178">
        <f t="shared" si="181"/>
        <v>3000000</v>
      </c>
      <c r="AS105" s="1178">
        <f t="shared" si="214"/>
        <v>20427.316375827861</v>
      </c>
      <c r="AT105" s="1178">
        <f t="shared" si="215"/>
        <v>449400.96026821295</v>
      </c>
      <c r="AU105" s="1178">
        <f t="shared" si="182"/>
        <v>53928.115232185555</v>
      </c>
      <c r="AV105" s="1178">
        <f t="shared" si="216"/>
        <v>503329.07550039853</v>
      </c>
      <c r="AW105" s="1178">
        <f t="shared" si="217"/>
        <v>3503329.0755003984</v>
      </c>
      <c r="AX105" s="762">
        <f t="shared" si="218"/>
        <v>43791.613443754984</v>
      </c>
      <c r="AY105" s="717" t="s">
        <v>231</v>
      </c>
      <c r="AZ105" s="717">
        <f t="shared" si="219"/>
        <v>3547120.6889441535</v>
      </c>
      <c r="BA105" s="717">
        <f t="shared" si="220"/>
        <v>133017.02583540574</v>
      </c>
      <c r="BB105" s="717"/>
      <c r="BC105" s="717">
        <f t="shared" si="183"/>
        <v>33600</v>
      </c>
      <c r="BD105" s="717">
        <f t="shared" si="221"/>
        <v>3713737.7147795591</v>
      </c>
      <c r="BE105" s="717"/>
      <c r="BF105" s="717">
        <f t="shared" si="222"/>
        <v>3713737.7147795591</v>
      </c>
      <c r="BG105" s="1209"/>
      <c r="BH105" s="717">
        <f t="shared" si="223"/>
        <v>3713737.7147795591</v>
      </c>
      <c r="BI105" s="717"/>
      <c r="BJ105" s="717">
        <f t="shared" si="224"/>
        <v>3713737.7147795591</v>
      </c>
      <c r="BK105" s="717"/>
      <c r="BL105" s="717">
        <f t="shared" si="225"/>
        <v>3713737.7147795591</v>
      </c>
      <c r="BM105" s="717"/>
      <c r="BN105" s="717">
        <f t="shared" si="226"/>
        <v>3713737.7147795591</v>
      </c>
      <c r="BO105" s="717"/>
      <c r="BP105" s="717">
        <f t="shared" si="184"/>
        <v>3713737.7147795591</v>
      </c>
      <c r="BQ105" s="717"/>
      <c r="BR105" s="717">
        <f t="shared" si="285"/>
        <v>3713737.7147795591</v>
      </c>
      <c r="BS105" s="717"/>
      <c r="BT105" s="717">
        <f t="shared" si="227"/>
        <v>3713737.7147795591</v>
      </c>
      <c r="BU105" s="717"/>
      <c r="BV105" s="1235">
        <f t="shared" si="286"/>
        <v>51400</v>
      </c>
      <c r="BW105" s="717">
        <f t="shared" si="228"/>
        <v>3765137.7147795591</v>
      </c>
      <c r="BX105" s="717"/>
      <c r="BY105" s="717">
        <f t="shared" si="229"/>
        <v>3765137.7147795591</v>
      </c>
      <c r="BZ105" s="1194">
        <f t="shared" si="230"/>
        <v>3765137.7147795591</v>
      </c>
      <c r="CA105" s="1194">
        <f t="shared" si="231"/>
        <v>3028137.7147795591</v>
      </c>
      <c r="CB105" s="1194">
        <v>33500</v>
      </c>
      <c r="CC105" s="1194">
        <f t="shared" si="232"/>
        <v>737000</v>
      </c>
      <c r="CD105" s="1194">
        <f t="shared" si="233"/>
        <v>88440</v>
      </c>
      <c r="CE105" s="1194">
        <f t="shared" si="234"/>
        <v>825440</v>
      </c>
      <c r="CF105" s="1200">
        <f t="shared" si="235"/>
        <v>3853577.7147795591</v>
      </c>
      <c r="CG105" s="757">
        <f t="shared" si="236"/>
        <v>3853577.7147795591</v>
      </c>
      <c r="CH105" s="758">
        <f t="shared" si="237"/>
        <v>0</v>
      </c>
      <c r="CI105" s="757">
        <f t="shared" si="185"/>
        <v>394991.7157649048</v>
      </c>
      <c r="CJ105" s="757">
        <f t="shared" si="186"/>
        <v>96339.442869488979</v>
      </c>
      <c r="CK105" s="759">
        <f t="shared" si="291"/>
        <v>4344908.873413953</v>
      </c>
      <c r="CL105" s="764">
        <f t="shared" si="238"/>
        <v>0.125</v>
      </c>
      <c r="CM105" s="757">
        <f t="shared" si="239"/>
        <v>543113.60917674412</v>
      </c>
      <c r="CN105" s="757">
        <f t="shared" si="281"/>
        <v>30000</v>
      </c>
      <c r="CO105" s="757">
        <f t="shared" si="240"/>
        <v>513113.60917674412</v>
      </c>
      <c r="CP105" s="755">
        <f t="shared" si="241"/>
        <v>29</v>
      </c>
      <c r="CQ105" s="757">
        <f t="shared" si="283"/>
        <v>17693.572730232558</v>
      </c>
      <c r="CR105" s="764">
        <f t="shared" si="242"/>
        <v>0.875</v>
      </c>
      <c r="CS105" s="757">
        <f t="shared" si="243"/>
        <v>3801795.2642372088</v>
      </c>
      <c r="CT105" s="1101">
        <f t="shared" si="244"/>
        <v>29475.278218039861</v>
      </c>
      <c r="CU105" s="1101">
        <f t="shared" si="245"/>
        <v>34171.610634892764</v>
      </c>
      <c r="CV105" s="1101">
        <f t="shared" si="246"/>
        <v>44142.066643114937</v>
      </c>
      <c r="CW105" s="1141">
        <f t="shared" si="187"/>
        <v>75280.102836921593</v>
      </c>
      <c r="CX105" s="1152">
        <f t="shared" si="247"/>
        <v>308831.91337454721</v>
      </c>
      <c r="CY105" s="1152">
        <f t="shared" si="248"/>
        <v>122203.28371568573</v>
      </c>
      <c r="CZ105" s="1152">
        <f t="shared" si="249"/>
        <v>88265.701038951564</v>
      </c>
      <c r="DA105" s="1152">
        <f t="shared" si="250"/>
        <v>67174.262033644685</v>
      </c>
      <c r="DB105" s="1143">
        <f t="shared" si="188"/>
        <v>0.1498003200894043</v>
      </c>
      <c r="DC105" s="1143">
        <f t="shared" si="251"/>
        <v>0.27258998029423837</v>
      </c>
      <c r="DD105" s="1098" t="s">
        <v>232</v>
      </c>
      <c r="DE105" s="1144"/>
      <c r="DF105" s="705"/>
      <c r="DG105" s="765">
        <f t="shared" si="282"/>
        <v>46082</v>
      </c>
      <c r="DH105" s="1116">
        <f t="shared" si="189"/>
        <v>28</v>
      </c>
      <c r="DI105" s="497"/>
      <c r="DJ105" s="1117">
        <f t="shared" si="252"/>
        <v>46147</v>
      </c>
      <c r="DK105" s="1116">
        <f t="shared" si="253"/>
        <v>30</v>
      </c>
      <c r="DL105" s="766" t="s">
        <v>233</v>
      </c>
      <c r="DM105" s="766" t="s">
        <v>234</v>
      </c>
      <c r="DN105" s="767">
        <f t="shared" si="190"/>
        <v>22878.594340927204</v>
      </c>
      <c r="DO105" s="767">
        <f t="shared" si="191"/>
        <v>503329.07550039853</v>
      </c>
      <c r="DP105" s="768">
        <f t="shared" si="192"/>
        <v>0.16777635850013284</v>
      </c>
      <c r="DR105" s="767">
        <f t="shared" si="193"/>
        <v>3853577.7147795591</v>
      </c>
      <c r="DS105" s="767">
        <f>SUM('[6]INTERNAL PRICELIST'!M105)</f>
        <v>2329361</v>
      </c>
      <c r="DT105" s="767">
        <f t="shared" si="254"/>
        <v>1524216.7147795591</v>
      </c>
      <c r="DV105" s="951">
        <f t="shared" si="194"/>
        <v>175162.62339907087</v>
      </c>
      <c r="DX105" s="772">
        <v>10</v>
      </c>
      <c r="DY105" s="773" t="s">
        <v>279</v>
      </c>
      <c r="DZ105" s="774">
        <v>22</v>
      </c>
      <c r="EA105" s="775">
        <f t="shared" si="294"/>
        <v>0</v>
      </c>
      <c r="ED105" s="1133" t="s">
        <v>468</v>
      </c>
      <c r="EE105" s="777" t="b">
        <f t="shared" si="196"/>
        <v>1</v>
      </c>
      <c r="EF105" s="1123" t="s">
        <v>469</v>
      </c>
      <c r="EG105" s="1123" t="s">
        <v>459</v>
      </c>
      <c r="EH105" s="1203"/>
      <c r="EP105" s="1230" t="s">
        <v>236</v>
      </c>
      <c r="EQ105" s="1145" t="s">
        <v>236</v>
      </c>
      <c r="ER105" s="753" t="b">
        <f t="shared" si="255"/>
        <v>1</v>
      </c>
      <c r="EU105" s="770">
        <v>2409740</v>
      </c>
      <c r="EV105" s="771" t="s">
        <v>236</v>
      </c>
      <c r="EZ105" s="520"/>
      <c r="FA105" s="778"/>
      <c r="FG105" s="1107"/>
      <c r="FJ105" s="994">
        <v>0.15</v>
      </c>
      <c r="FK105" s="993">
        <v>13042.268172546426</v>
      </c>
      <c r="FL105" s="993">
        <v>13394.761906939573</v>
      </c>
      <c r="FM105" s="497"/>
      <c r="FN105" s="993">
        <f t="shared" si="197"/>
        <v>4344908.873413953</v>
      </c>
      <c r="FO105" s="994">
        <f t="shared" si="256"/>
        <v>0.15</v>
      </c>
      <c r="FP105" s="775">
        <f t="shared" si="198"/>
        <v>651736.33101209288</v>
      </c>
      <c r="FQ105" s="993">
        <f t="shared" si="199"/>
        <v>30000</v>
      </c>
      <c r="FR105" s="775">
        <f t="shared" si="257"/>
        <v>621736.33101209288</v>
      </c>
      <c r="FS105" s="497">
        <f t="shared" si="258"/>
        <v>40</v>
      </c>
      <c r="FT105" s="775">
        <f t="shared" si="259"/>
        <v>15543.408275302321</v>
      </c>
      <c r="FU105" s="497"/>
      <c r="FV105" s="993">
        <f t="shared" si="260"/>
        <v>4344908.873413953</v>
      </c>
      <c r="FW105" s="705">
        <f t="shared" si="261"/>
        <v>434490.88734139531</v>
      </c>
      <c r="FX105" s="705">
        <f t="shared" si="262"/>
        <v>108622.72183534883</v>
      </c>
      <c r="FY105" s="705">
        <v>15000</v>
      </c>
      <c r="FZ105" s="705">
        <f t="shared" si="263"/>
        <v>419490.88734139531</v>
      </c>
      <c r="GA105" s="497">
        <f t="shared" si="264"/>
        <v>46</v>
      </c>
      <c r="GB105" s="775">
        <f t="shared" si="265"/>
        <v>9119.3671161172897</v>
      </c>
      <c r="GC105" s="497"/>
      <c r="GD105" s="497"/>
      <c r="GE105" s="1107"/>
      <c r="GH105" s="1095">
        <f t="shared" si="161"/>
        <v>4344908.873413953</v>
      </c>
      <c r="GI105" s="1098">
        <f t="shared" si="162"/>
        <v>0.125</v>
      </c>
      <c r="GJ105" s="1095">
        <f t="shared" si="163"/>
        <v>543113.60917674412</v>
      </c>
      <c r="GK105" s="1095">
        <f t="shared" si="164"/>
        <v>30000</v>
      </c>
      <c r="GL105" s="1095">
        <f t="shared" si="165"/>
        <v>513113.60917674412</v>
      </c>
      <c r="GM105" s="1095">
        <f t="shared" si="166"/>
        <v>29</v>
      </c>
      <c r="GN105" s="1095">
        <f t="shared" si="167"/>
        <v>17693.572730232558</v>
      </c>
      <c r="GO105" s="1098">
        <f t="shared" si="168"/>
        <v>0.875</v>
      </c>
      <c r="GP105" s="1095">
        <f t="shared" si="169"/>
        <v>3801795.2642372088</v>
      </c>
      <c r="GQ105" s="1095">
        <f t="shared" si="170"/>
        <v>29475.278218039861</v>
      </c>
      <c r="GR105" s="1095">
        <f t="shared" si="171"/>
        <v>34171.610634892764</v>
      </c>
      <c r="GS105" s="1095">
        <f t="shared" si="172"/>
        <v>44142.066643114937</v>
      </c>
      <c r="GT105" s="1095">
        <f t="shared" si="173"/>
        <v>75280.102836921593</v>
      </c>
      <c r="GU105" s="497"/>
      <c r="GV105" s="1095">
        <f t="shared" si="266"/>
        <v>4344908.873413953</v>
      </c>
      <c r="GW105" s="1098">
        <f t="shared" si="267"/>
        <v>0.125</v>
      </c>
      <c r="GX105" s="1095">
        <f t="shared" si="268"/>
        <v>543113.60917674412</v>
      </c>
      <c r="GY105" s="1095">
        <f t="shared" si="269"/>
        <v>30000</v>
      </c>
      <c r="GZ105" s="1095">
        <f t="shared" si="270"/>
        <v>513113.60917674412</v>
      </c>
      <c r="HA105" s="1106">
        <f t="shared" si="271"/>
        <v>48</v>
      </c>
      <c r="HB105" s="770">
        <f t="shared" si="272"/>
        <v>10689.866857848836</v>
      </c>
      <c r="HC105" s="1098">
        <f t="shared" si="273"/>
        <v>0.875</v>
      </c>
      <c r="HD105" s="1102">
        <f t="shared" si="274"/>
        <v>3801795.2642372088</v>
      </c>
      <c r="HE105" s="1101">
        <f t="shared" si="275"/>
        <v>29475.278218039861</v>
      </c>
      <c r="HF105" s="1101">
        <f t="shared" si="276"/>
        <v>34171.610634892764</v>
      </c>
      <c r="HG105" s="1101">
        <f t="shared" si="277"/>
        <v>44142.066643114937</v>
      </c>
      <c r="HH105" s="1101">
        <f t="shared" si="278"/>
        <v>75280.102836921593</v>
      </c>
      <c r="HI105" s="497"/>
      <c r="HJ105" s="1102">
        <f t="shared" si="279"/>
        <v>-7003.7058723837217</v>
      </c>
      <c r="HL105" s="775"/>
      <c r="HN105" s="775"/>
      <c r="HO105" s="775"/>
      <c r="HQ105" s="702"/>
      <c r="HR105" s="1171"/>
      <c r="HS105" s="702"/>
      <c r="HT105" s="1171"/>
    </row>
    <row r="106" spans="1:228" ht="14.25" hidden="1" customHeight="1">
      <c r="A106" s="753">
        <f t="shared" si="280"/>
        <v>100</v>
      </c>
      <c r="B106" s="753" t="s">
        <v>236</v>
      </c>
      <c r="C106" s="753">
        <f t="shared" si="292"/>
        <v>7</v>
      </c>
      <c r="D106" s="753" t="s">
        <v>265</v>
      </c>
      <c r="E106" s="717" t="str">
        <f t="shared" si="200"/>
        <v>6th Floor</v>
      </c>
      <c r="F106" s="754"/>
      <c r="G106" s="756" t="s">
        <v>470</v>
      </c>
      <c r="H106" s="756"/>
      <c r="I106" s="755" t="s">
        <v>229</v>
      </c>
      <c r="J106" s="757">
        <v>22</v>
      </c>
      <c r="K106" s="758"/>
      <c r="L106" s="759" t="s">
        <v>69</v>
      </c>
      <c r="M106" s="760" t="s">
        <v>68</v>
      </c>
      <c r="N106" s="761">
        <f t="shared" si="201"/>
        <v>106005.26567735759</v>
      </c>
      <c r="O106" s="762">
        <f t="shared" si="202"/>
        <v>2332115.8449018667</v>
      </c>
      <c r="P106" s="762">
        <f t="shared" si="203"/>
        <v>22400</v>
      </c>
      <c r="Q106" s="762">
        <f t="shared" si="175"/>
        <v>50000</v>
      </c>
      <c r="R106" s="762"/>
      <c r="S106" s="762"/>
      <c r="T106" s="762"/>
      <c r="U106" s="762"/>
      <c r="V106" s="762"/>
      <c r="W106" s="762"/>
      <c r="X106" s="762"/>
      <c r="Y106" s="762">
        <f t="shared" si="293"/>
        <v>40000</v>
      </c>
      <c r="Z106" s="762">
        <f t="shared" si="177"/>
        <v>142461</v>
      </c>
      <c r="AA106" s="762">
        <v>45722.732758620688</v>
      </c>
      <c r="AB106" s="762"/>
      <c r="AC106" s="762"/>
      <c r="AD106" s="763">
        <f t="shared" si="204"/>
        <v>300583.7327586207</v>
      </c>
      <c r="AE106" s="763">
        <f t="shared" si="178"/>
        <v>2632699.5776604875</v>
      </c>
      <c r="AF106" s="762">
        <f t="shared" si="179"/>
        <v>65817.489441512196</v>
      </c>
      <c r="AG106" s="762">
        <f t="shared" si="205"/>
        <v>2698517.0671019997</v>
      </c>
      <c r="AH106" s="762">
        <f t="shared" si="180"/>
        <v>67462.92667755</v>
      </c>
      <c r="AI106" s="762">
        <f t="shared" si="206"/>
        <v>2765979.9937795498</v>
      </c>
      <c r="AJ106" s="762">
        <f t="shared" si="207"/>
        <v>138298.99968897749</v>
      </c>
      <c r="AK106" s="762">
        <f t="shared" si="208"/>
        <v>2904278.9934685272</v>
      </c>
      <c r="AL106" s="762">
        <f t="shared" si="209"/>
        <v>29042.789934685272</v>
      </c>
      <c r="AM106" s="762">
        <f t="shared" si="210"/>
        <v>27537.409960060559</v>
      </c>
      <c r="AN106" s="762"/>
      <c r="AO106" s="763">
        <f t="shared" si="211"/>
        <v>2960859.1933632731</v>
      </c>
      <c r="AP106" s="763">
        <f t="shared" si="212"/>
        <v>488541.76690494007</v>
      </c>
      <c r="AQ106" s="763">
        <f t="shared" si="213"/>
        <v>3449400.9602682129</v>
      </c>
      <c r="AR106" s="1178">
        <f t="shared" si="181"/>
        <v>3000000</v>
      </c>
      <c r="AS106" s="1178">
        <f t="shared" si="214"/>
        <v>20427.316375827861</v>
      </c>
      <c r="AT106" s="1178">
        <f t="shared" si="215"/>
        <v>449400.96026821295</v>
      </c>
      <c r="AU106" s="1178">
        <f t="shared" si="182"/>
        <v>53928.115232185555</v>
      </c>
      <c r="AV106" s="1178">
        <f t="shared" si="216"/>
        <v>503329.07550039853</v>
      </c>
      <c r="AW106" s="1178">
        <f t="shared" si="217"/>
        <v>3503329.0755003984</v>
      </c>
      <c r="AX106" s="762">
        <f t="shared" si="218"/>
        <v>43791.613443754984</v>
      </c>
      <c r="AY106" s="717" t="s">
        <v>231</v>
      </c>
      <c r="AZ106" s="717">
        <f t="shared" si="219"/>
        <v>3547120.6889441535</v>
      </c>
      <c r="BA106" s="717">
        <f t="shared" si="220"/>
        <v>133017.02583540574</v>
      </c>
      <c r="BB106" s="717"/>
      <c r="BC106" s="717">
        <f t="shared" si="183"/>
        <v>33600</v>
      </c>
      <c r="BD106" s="717">
        <f t="shared" si="221"/>
        <v>3713737.7147795591</v>
      </c>
      <c r="BE106" s="717"/>
      <c r="BF106" s="717">
        <f t="shared" si="222"/>
        <v>3713737.7147795591</v>
      </c>
      <c r="BG106" s="1209"/>
      <c r="BH106" s="717">
        <f t="shared" si="223"/>
        <v>3713737.7147795591</v>
      </c>
      <c r="BI106" s="717"/>
      <c r="BJ106" s="717">
        <f t="shared" si="224"/>
        <v>3713737.7147795591</v>
      </c>
      <c r="BK106" s="717"/>
      <c r="BL106" s="717">
        <f t="shared" si="225"/>
        <v>3713737.7147795591</v>
      </c>
      <c r="BM106" s="717"/>
      <c r="BN106" s="717">
        <f t="shared" si="226"/>
        <v>3713737.7147795591</v>
      </c>
      <c r="BO106" s="717"/>
      <c r="BP106" s="717">
        <f t="shared" si="184"/>
        <v>3713737.7147795591</v>
      </c>
      <c r="BQ106" s="717"/>
      <c r="BR106" s="717">
        <f t="shared" si="285"/>
        <v>3713737.7147795591</v>
      </c>
      <c r="BS106" s="717"/>
      <c r="BT106" s="717">
        <f t="shared" si="227"/>
        <v>3713737.7147795591</v>
      </c>
      <c r="BU106" s="717"/>
      <c r="BV106" s="1235">
        <f t="shared" si="286"/>
        <v>51400</v>
      </c>
      <c r="BW106" s="717">
        <f t="shared" si="228"/>
        <v>3765137.7147795591</v>
      </c>
      <c r="BX106" s="717"/>
      <c r="BY106" s="717">
        <f t="shared" si="229"/>
        <v>3765137.7147795591</v>
      </c>
      <c r="BZ106" s="1194">
        <f t="shared" si="230"/>
        <v>3765137.7147795591</v>
      </c>
      <c r="CA106" s="1194">
        <f t="shared" si="231"/>
        <v>3028137.7147795591</v>
      </c>
      <c r="CB106" s="1194">
        <v>33500</v>
      </c>
      <c r="CC106" s="1194">
        <f t="shared" si="232"/>
        <v>737000</v>
      </c>
      <c r="CD106" s="1194">
        <f t="shared" si="233"/>
        <v>88440</v>
      </c>
      <c r="CE106" s="1194">
        <f t="shared" si="234"/>
        <v>825440</v>
      </c>
      <c r="CF106" s="1200">
        <f t="shared" si="235"/>
        <v>3853577.7147795591</v>
      </c>
      <c r="CG106" s="757">
        <f t="shared" si="236"/>
        <v>3853577.7147795591</v>
      </c>
      <c r="CH106" s="758">
        <f t="shared" si="237"/>
        <v>0</v>
      </c>
      <c r="CI106" s="757">
        <f t="shared" si="185"/>
        <v>394991.7157649048</v>
      </c>
      <c r="CJ106" s="757">
        <f t="shared" si="186"/>
        <v>96339.442869488979</v>
      </c>
      <c r="CK106" s="759">
        <f t="shared" si="291"/>
        <v>4344908.873413953</v>
      </c>
      <c r="CL106" s="764">
        <f t="shared" si="238"/>
        <v>0.125</v>
      </c>
      <c r="CM106" s="757">
        <f t="shared" si="239"/>
        <v>543113.60917674412</v>
      </c>
      <c r="CN106" s="757">
        <f t="shared" si="281"/>
        <v>30000</v>
      </c>
      <c r="CO106" s="757">
        <f t="shared" si="240"/>
        <v>513113.60917674412</v>
      </c>
      <c r="CP106" s="755">
        <f t="shared" si="241"/>
        <v>29</v>
      </c>
      <c r="CQ106" s="757">
        <f t="shared" si="283"/>
        <v>17693.572730232558</v>
      </c>
      <c r="CR106" s="764">
        <f t="shared" si="242"/>
        <v>0.875</v>
      </c>
      <c r="CS106" s="757">
        <f t="shared" si="243"/>
        <v>3801795.2642372088</v>
      </c>
      <c r="CT106" s="1101">
        <f t="shared" si="244"/>
        <v>29475.278218039861</v>
      </c>
      <c r="CU106" s="1101">
        <f t="shared" si="245"/>
        <v>34171.610634892764</v>
      </c>
      <c r="CV106" s="1101">
        <f t="shared" si="246"/>
        <v>44142.066643114937</v>
      </c>
      <c r="CW106" s="1141">
        <f t="shared" si="187"/>
        <v>75280.102836921593</v>
      </c>
      <c r="CX106" s="1152">
        <f t="shared" si="247"/>
        <v>308831.91337454721</v>
      </c>
      <c r="CY106" s="1152">
        <f t="shared" si="248"/>
        <v>122203.28371568573</v>
      </c>
      <c r="CZ106" s="1152">
        <f t="shared" si="249"/>
        <v>88265.701038951564</v>
      </c>
      <c r="DA106" s="1152">
        <f t="shared" si="250"/>
        <v>67174.262033644685</v>
      </c>
      <c r="DB106" s="1143">
        <f t="shared" si="188"/>
        <v>0.1498003200894043</v>
      </c>
      <c r="DC106" s="1143">
        <f t="shared" si="251"/>
        <v>0.27258998029423837</v>
      </c>
      <c r="DD106" s="1098" t="s">
        <v>232</v>
      </c>
      <c r="DE106" s="1144"/>
      <c r="DF106" s="705"/>
      <c r="DG106" s="765">
        <f t="shared" si="282"/>
        <v>46082</v>
      </c>
      <c r="DH106" s="1116">
        <f t="shared" si="189"/>
        <v>28</v>
      </c>
      <c r="DI106" s="497"/>
      <c r="DJ106" s="1117">
        <f t="shared" si="252"/>
        <v>46147</v>
      </c>
      <c r="DK106" s="1116">
        <f t="shared" si="253"/>
        <v>30</v>
      </c>
      <c r="DL106" s="766" t="s">
        <v>233</v>
      </c>
      <c r="DM106" s="766" t="s">
        <v>234</v>
      </c>
      <c r="DN106" s="767">
        <f t="shared" si="190"/>
        <v>22878.594340927204</v>
      </c>
      <c r="DO106" s="767">
        <f t="shared" si="191"/>
        <v>503329.07550039853</v>
      </c>
      <c r="DP106" s="768">
        <f t="shared" si="192"/>
        <v>0.16777635850013284</v>
      </c>
      <c r="DR106" s="767">
        <f t="shared" si="193"/>
        <v>3853577.7147795591</v>
      </c>
      <c r="DS106" s="767">
        <f>SUM('[6]INTERNAL PRICELIST'!M106)</f>
        <v>2329361</v>
      </c>
      <c r="DT106" s="767">
        <f t="shared" si="254"/>
        <v>1524216.7147795591</v>
      </c>
      <c r="DV106" s="951">
        <f t="shared" si="194"/>
        <v>175162.62339907087</v>
      </c>
      <c r="DX106" s="772">
        <v>11</v>
      </c>
      <c r="DY106" s="773" t="s">
        <v>283</v>
      </c>
      <c r="DZ106" s="774">
        <v>22</v>
      </c>
      <c r="EA106" s="775">
        <f t="shared" si="294"/>
        <v>0</v>
      </c>
      <c r="ED106" s="1133" t="s">
        <v>470</v>
      </c>
      <c r="EE106" s="777" t="b">
        <f t="shared" si="196"/>
        <v>1</v>
      </c>
      <c r="EF106" s="1123" t="s">
        <v>471</v>
      </c>
      <c r="EG106" s="1123" t="s">
        <v>459</v>
      </c>
      <c r="EH106" s="1203"/>
      <c r="EP106" s="1230" t="s">
        <v>236</v>
      </c>
      <c r="EQ106" s="1145" t="s">
        <v>236</v>
      </c>
      <c r="ER106" s="753" t="b">
        <f t="shared" si="255"/>
        <v>1</v>
      </c>
      <c r="EU106" s="770">
        <v>2409740</v>
      </c>
      <c r="EV106" s="771" t="s">
        <v>236</v>
      </c>
      <c r="EZ106" s="520"/>
      <c r="FA106" s="778"/>
      <c r="FG106" s="1107"/>
      <c r="FJ106" s="994">
        <v>0.15</v>
      </c>
      <c r="FK106" s="993">
        <v>13042.268172546426</v>
      </c>
      <c r="FL106" s="993">
        <v>13394.761906939573</v>
      </c>
      <c r="FM106" s="497"/>
      <c r="FN106" s="993">
        <f t="shared" si="197"/>
        <v>4344908.873413953</v>
      </c>
      <c r="FO106" s="994">
        <f t="shared" si="256"/>
        <v>0.15</v>
      </c>
      <c r="FP106" s="775">
        <f t="shared" si="198"/>
        <v>651736.33101209288</v>
      </c>
      <c r="FQ106" s="993">
        <f t="shared" si="199"/>
        <v>30000</v>
      </c>
      <c r="FR106" s="775">
        <f t="shared" si="257"/>
        <v>621736.33101209288</v>
      </c>
      <c r="FS106" s="497">
        <f t="shared" si="258"/>
        <v>40</v>
      </c>
      <c r="FT106" s="775">
        <f t="shared" si="259"/>
        <v>15543.408275302321</v>
      </c>
      <c r="FU106" s="497"/>
      <c r="FV106" s="993">
        <f t="shared" si="260"/>
        <v>4344908.873413953</v>
      </c>
      <c r="FW106" s="705">
        <f t="shared" si="261"/>
        <v>434490.88734139531</v>
      </c>
      <c r="FX106" s="705">
        <f t="shared" si="262"/>
        <v>108622.72183534883</v>
      </c>
      <c r="FY106" s="705">
        <v>15000</v>
      </c>
      <c r="FZ106" s="705">
        <f t="shared" si="263"/>
        <v>419490.88734139531</v>
      </c>
      <c r="GA106" s="497">
        <f t="shared" si="264"/>
        <v>46</v>
      </c>
      <c r="GB106" s="775">
        <f t="shared" si="265"/>
        <v>9119.3671161172897</v>
      </c>
      <c r="GC106" s="497"/>
      <c r="GD106" s="497"/>
      <c r="GE106" s="1107"/>
      <c r="GH106" s="1095">
        <f t="shared" si="161"/>
        <v>4344908.873413953</v>
      </c>
      <c r="GI106" s="1098">
        <f t="shared" si="162"/>
        <v>0.125</v>
      </c>
      <c r="GJ106" s="1095">
        <f t="shared" si="163"/>
        <v>543113.60917674412</v>
      </c>
      <c r="GK106" s="1095">
        <f t="shared" si="164"/>
        <v>30000</v>
      </c>
      <c r="GL106" s="1095">
        <f t="shared" si="165"/>
        <v>513113.60917674412</v>
      </c>
      <c r="GM106" s="1095">
        <f t="shared" si="166"/>
        <v>29</v>
      </c>
      <c r="GN106" s="1095">
        <f t="shared" si="167"/>
        <v>17693.572730232558</v>
      </c>
      <c r="GO106" s="1098">
        <f t="shared" si="168"/>
        <v>0.875</v>
      </c>
      <c r="GP106" s="1095">
        <f t="shared" si="169"/>
        <v>3801795.2642372088</v>
      </c>
      <c r="GQ106" s="1095">
        <f t="shared" si="170"/>
        <v>29475.278218039861</v>
      </c>
      <c r="GR106" s="1095">
        <f t="shared" si="171"/>
        <v>34171.610634892764</v>
      </c>
      <c r="GS106" s="1095">
        <f t="shared" si="172"/>
        <v>44142.066643114937</v>
      </c>
      <c r="GT106" s="1095">
        <f t="shared" si="173"/>
        <v>75280.102836921593</v>
      </c>
      <c r="GU106" s="497"/>
      <c r="GV106" s="1095">
        <f t="shared" si="266"/>
        <v>4344908.873413953</v>
      </c>
      <c r="GW106" s="1098">
        <f t="shared" si="267"/>
        <v>0.125</v>
      </c>
      <c r="GX106" s="1095">
        <f t="shared" si="268"/>
        <v>543113.60917674412</v>
      </c>
      <c r="GY106" s="1095">
        <f t="shared" si="269"/>
        <v>30000</v>
      </c>
      <c r="GZ106" s="1095">
        <f t="shared" si="270"/>
        <v>513113.60917674412</v>
      </c>
      <c r="HA106" s="1106">
        <f t="shared" si="271"/>
        <v>48</v>
      </c>
      <c r="HB106" s="770">
        <f t="shared" si="272"/>
        <v>10689.866857848836</v>
      </c>
      <c r="HC106" s="1098">
        <f t="shared" si="273"/>
        <v>0.875</v>
      </c>
      <c r="HD106" s="1102">
        <f t="shared" si="274"/>
        <v>3801795.2642372088</v>
      </c>
      <c r="HE106" s="1101">
        <f t="shared" si="275"/>
        <v>29475.278218039861</v>
      </c>
      <c r="HF106" s="1101">
        <f t="shared" si="276"/>
        <v>34171.610634892764</v>
      </c>
      <c r="HG106" s="1101">
        <f t="shared" si="277"/>
        <v>44142.066643114937</v>
      </c>
      <c r="HH106" s="1101">
        <f t="shared" si="278"/>
        <v>75280.102836921593</v>
      </c>
      <c r="HI106" s="497"/>
      <c r="HJ106" s="1102">
        <f t="shared" si="279"/>
        <v>-7003.7058723837217</v>
      </c>
      <c r="HL106" s="775"/>
      <c r="HN106" s="775"/>
      <c r="HO106" s="775"/>
      <c r="HQ106" s="702"/>
      <c r="HR106" s="1171"/>
      <c r="HS106" s="702"/>
      <c r="HT106" s="1171"/>
    </row>
    <row r="107" spans="1:228" ht="14.25" hidden="1" customHeight="1">
      <c r="A107" s="753">
        <f t="shared" si="280"/>
        <v>101</v>
      </c>
      <c r="B107" s="753" t="s">
        <v>236</v>
      </c>
      <c r="C107" s="753">
        <f t="shared" si="292"/>
        <v>8</v>
      </c>
      <c r="D107" s="753" t="s">
        <v>265</v>
      </c>
      <c r="E107" s="717" t="str">
        <f t="shared" si="200"/>
        <v>6th Floor</v>
      </c>
      <c r="F107" s="754"/>
      <c r="G107" s="756" t="s">
        <v>472</v>
      </c>
      <c r="H107" s="756"/>
      <c r="I107" s="755" t="s">
        <v>229</v>
      </c>
      <c r="J107" s="757">
        <v>22</v>
      </c>
      <c r="K107" s="758"/>
      <c r="L107" s="759" t="s">
        <v>69</v>
      </c>
      <c r="M107" s="760" t="s">
        <v>68</v>
      </c>
      <c r="N107" s="761">
        <f t="shared" si="201"/>
        <v>106005.26567735759</v>
      </c>
      <c r="O107" s="762">
        <f t="shared" si="202"/>
        <v>2332115.8449018667</v>
      </c>
      <c r="P107" s="762">
        <f t="shared" si="203"/>
        <v>22400</v>
      </c>
      <c r="Q107" s="762">
        <f t="shared" si="175"/>
        <v>50000</v>
      </c>
      <c r="R107" s="762"/>
      <c r="S107" s="762"/>
      <c r="T107" s="762"/>
      <c r="U107" s="762"/>
      <c r="V107" s="762"/>
      <c r="W107" s="762"/>
      <c r="X107" s="762"/>
      <c r="Y107" s="762">
        <f t="shared" si="293"/>
        <v>40000</v>
      </c>
      <c r="Z107" s="762">
        <f t="shared" si="177"/>
        <v>142461</v>
      </c>
      <c r="AA107" s="762">
        <v>45722.732758620688</v>
      </c>
      <c r="AB107" s="762"/>
      <c r="AC107" s="762"/>
      <c r="AD107" s="763">
        <f t="shared" si="204"/>
        <v>300583.7327586207</v>
      </c>
      <c r="AE107" s="763">
        <f t="shared" si="178"/>
        <v>2632699.5776604875</v>
      </c>
      <c r="AF107" s="762">
        <f t="shared" si="179"/>
        <v>65817.489441512196</v>
      </c>
      <c r="AG107" s="762">
        <f t="shared" si="205"/>
        <v>2698517.0671019997</v>
      </c>
      <c r="AH107" s="762">
        <f t="shared" si="180"/>
        <v>67462.92667755</v>
      </c>
      <c r="AI107" s="762">
        <f t="shared" si="206"/>
        <v>2765979.9937795498</v>
      </c>
      <c r="AJ107" s="762">
        <f t="shared" si="207"/>
        <v>138298.99968897749</v>
      </c>
      <c r="AK107" s="762">
        <f t="shared" si="208"/>
        <v>2904278.9934685272</v>
      </c>
      <c r="AL107" s="762">
        <f t="shared" si="209"/>
        <v>29042.789934685272</v>
      </c>
      <c r="AM107" s="762">
        <f t="shared" si="210"/>
        <v>27537.409960060559</v>
      </c>
      <c r="AN107" s="762"/>
      <c r="AO107" s="763">
        <f t="shared" si="211"/>
        <v>2960859.1933632731</v>
      </c>
      <c r="AP107" s="763">
        <f t="shared" si="212"/>
        <v>488541.76690494007</v>
      </c>
      <c r="AQ107" s="763">
        <f t="shared" si="213"/>
        <v>3449400.9602682129</v>
      </c>
      <c r="AR107" s="1178">
        <f t="shared" si="181"/>
        <v>3000000</v>
      </c>
      <c r="AS107" s="1178">
        <f t="shared" si="214"/>
        <v>20427.316375827861</v>
      </c>
      <c r="AT107" s="1178">
        <f t="shared" si="215"/>
        <v>449400.96026821295</v>
      </c>
      <c r="AU107" s="1178">
        <f t="shared" si="182"/>
        <v>53928.115232185555</v>
      </c>
      <c r="AV107" s="1178">
        <f t="shared" si="216"/>
        <v>503329.07550039853</v>
      </c>
      <c r="AW107" s="1178">
        <f t="shared" si="217"/>
        <v>3503329.0755003984</v>
      </c>
      <c r="AX107" s="762">
        <f t="shared" si="218"/>
        <v>43791.613443754984</v>
      </c>
      <c r="AY107" s="717" t="s">
        <v>231</v>
      </c>
      <c r="AZ107" s="717">
        <f t="shared" si="219"/>
        <v>3547120.6889441535</v>
      </c>
      <c r="BA107" s="717">
        <f t="shared" si="220"/>
        <v>133017.02583540574</v>
      </c>
      <c r="BB107" s="717"/>
      <c r="BC107" s="717">
        <f t="shared" si="183"/>
        <v>33600</v>
      </c>
      <c r="BD107" s="717">
        <f t="shared" si="221"/>
        <v>3713737.7147795591</v>
      </c>
      <c r="BE107" s="717"/>
      <c r="BF107" s="717">
        <f t="shared" si="222"/>
        <v>3713737.7147795591</v>
      </c>
      <c r="BG107" s="1209"/>
      <c r="BH107" s="717">
        <f t="shared" si="223"/>
        <v>3713737.7147795591</v>
      </c>
      <c r="BI107" s="717"/>
      <c r="BJ107" s="717">
        <f t="shared" si="224"/>
        <v>3713737.7147795591</v>
      </c>
      <c r="BK107" s="717"/>
      <c r="BL107" s="717">
        <f t="shared" si="225"/>
        <v>3713737.7147795591</v>
      </c>
      <c r="BM107" s="717"/>
      <c r="BN107" s="717">
        <f t="shared" si="226"/>
        <v>3713737.7147795591</v>
      </c>
      <c r="BO107" s="717"/>
      <c r="BP107" s="717">
        <f t="shared" si="184"/>
        <v>3713737.7147795591</v>
      </c>
      <c r="BQ107" s="717"/>
      <c r="BR107" s="717">
        <f t="shared" si="285"/>
        <v>3713737.7147795591</v>
      </c>
      <c r="BS107" s="717"/>
      <c r="BT107" s="717">
        <f t="shared" si="227"/>
        <v>3713737.7147795591</v>
      </c>
      <c r="BU107" s="717"/>
      <c r="BV107" s="1235">
        <f t="shared" si="286"/>
        <v>51400</v>
      </c>
      <c r="BW107" s="717">
        <f t="shared" si="228"/>
        <v>3765137.7147795591</v>
      </c>
      <c r="BX107" s="717"/>
      <c r="BY107" s="717">
        <f t="shared" si="229"/>
        <v>3765137.7147795591</v>
      </c>
      <c r="BZ107" s="1194">
        <f t="shared" si="230"/>
        <v>3765137.7147795591</v>
      </c>
      <c r="CA107" s="1194">
        <f t="shared" si="231"/>
        <v>3028137.7147795591</v>
      </c>
      <c r="CB107" s="1194">
        <v>33500</v>
      </c>
      <c r="CC107" s="1194">
        <f t="shared" si="232"/>
        <v>737000</v>
      </c>
      <c r="CD107" s="1194">
        <f t="shared" si="233"/>
        <v>88440</v>
      </c>
      <c r="CE107" s="1194">
        <f t="shared" si="234"/>
        <v>825440</v>
      </c>
      <c r="CF107" s="1200">
        <f t="shared" si="235"/>
        <v>3853577.7147795591</v>
      </c>
      <c r="CG107" s="757">
        <f t="shared" si="236"/>
        <v>3853577.7147795591</v>
      </c>
      <c r="CH107" s="758">
        <f t="shared" si="237"/>
        <v>0</v>
      </c>
      <c r="CI107" s="757">
        <f t="shared" si="185"/>
        <v>394991.7157649048</v>
      </c>
      <c r="CJ107" s="757">
        <f t="shared" si="186"/>
        <v>96339.442869488979</v>
      </c>
      <c r="CK107" s="759">
        <f t="shared" si="291"/>
        <v>4344908.873413953</v>
      </c>
      <c r="CL107" s="764">
        <f t="shared" si="238"/>
        <v>0.125</v>
      </c>
      <c r="CM107" s="757">
        <f t="shared" si="239"/>
        <v>543113.60917674412</v>
      </c>
      <c r="CN107" s="757">
        <f t="shared" si="281"/>
        <v>30000</v>
      </c>
      <c r="CO107" s="757">
        <f t="shared" si="240"/>
        <v>513113.60917674412</v>
      </c>
      <c r="CP107" s="755">
        <f t="shared" si="241"/>
        <v>29</v>
      </c>
      <c r="CQ107" s="757">
        <f t="shared" si="283"/>
        <v>17693.572730232558</v>
      </c>
      <c r="CR107" s="764">
        <f t="shared" si="242"/>
        <v>0.875</v>
      </c>
      <c r="CS107" s="757">
        <f t="shared" si="243"/>
        <v>3801795.2642372088</v>
      </c>
      <c r="CT107" s="1101">
        <f t="shared" si="244"/>
        <v>29475.278218039861</v>
      </c>
      <c r="CU107" s="1101">
        <f t="shared" si="245"/>
        <v>34171.610634892764</v>
      </c>
      <c r="CV107" s="1101">
        <f t="shared" si="246"/>
        <v>44142.066643114937</v>
      </c>
      <c r="CW107" s="1141">
        <f t="shared" si="187"/>
        <v>75280.102836921593</v>
      </c>
      <c r="CX107" s="1152">
        <f t="shared" si="247"/>
        <v>308831.91337454721</v>
      </c>
      <c r="CY107" s="1152">
        <f t="shared" si="248"/>
        <v>122203.28371568573</v>
      </c>
      <c r="CZ107" s="1152">
        <f t="shared" si="249"/>
        <v>88265.701038951564</v>
      </c>
      <c r="DA107" s="1152">
        <f t="shared" si="250"/>
        <v>67174.262033644685</v>
      </c>
      <c r="DB107" s="1143">
        <f t="shared" si="188"/>
        <v>0.1498003200894043</v>
      </c>
      <c r="DC107" s="1143">
        <f t="shared" si="251"/>
        <v>0.27258998029423837</v>
      </c>
      <c r="DD107" s="1098" t="s">
        <v>232</v>
      </c>
      <c r="DE107" s="1144"/>
      <c r="DF107" s="705"/>
      <c r="DG107" s="765">
        <f t="shared" si="282"/>
        <v>46082</v>
      </c>
      <c r="DH107" s="1116">
        <f t="shared" si="189"/>
        <v>28</v>
      </c>
      <c r="DI107" s="497"/>
      <c r="DJ107" s="1117">
        <f t="shared" si="252"/>
        <v>46147</v>
      </c>
      <c r="DK107" s="1116">
        <f t="shared" si="253"/>
        <v>30</v>
      </c>
      <c r="DL107" s="766" t="s">
        <v>233</v>
      </c>
      <c r="DM107" s="766" t="s">
        <v>234</v>
      </c>
      <c r="DN107" s="767">
        <f t="shared" si="190"/>
        <v>22878.594340927204</v>
      </c>
      <c r="DO107" s="767">
        <f t="shared" si="191"/>
        <v>503329.07550039853</v>
      </c>
      <c r="DP107" s="768">
        <f t="shared" si="192"/>
        <v>0.16777635850013284</v>
      </c>
      <c r="DR107" s="767">
        <f t="shared" si="193"/>
        <v>3853577.7147795591</v>
      </c>
      <c r="DS107" s="767">
        <f>SUM('[6]INTERNAL PRICELIST'!M107)</f>
        <v>2329361</v>
      </c>
      <c r="DT107" s="767">
        <f t="shared" si="254"/>
        <v>1524216.7147795591</v>
      </c>
      <c r="DV107" s="951">
        <f t="shared" si="194"/>
        <v>175162.62339907087</v>
      </c>
      <c r="DX107" s="772">
        <v>12</v>
      </c>
      <c r="DY107" s="773" t="s">
        <v>286</v>
      </c>
      <c r="DZ107" s="774">
        <v>22</v>
      </c>
      <c r="EA107" s="775">
        <f t="shared" si="294"/>
        <v>0</v>
      </c>
      <c r="ED107" s="1133" t="s">
        <v>472</v>
      </c>
      <c r="EE107" s="777" t="b">
        <f t="shared" si="196"/>
        <v>1</v>
      </c>
      <c r="EF107" s="1123" t="s">
        <v>473</v>
      </c>
      <c r="EG107" s="1123" t="s">
        <v>459</v>
      </c>
      <c r="EH107" s="1203"/>
      <c r="EP107" s="1230" t="s">
        <v>236</v>
      </c>
      <c r="EQ107" s="1145" t="s">
        <v>236</v>
      </c>
      <c r="ER107" s="753" t="b">
        <f t="shared" si="255"/>
        <v>1</v>
      </c>
      <c r="EU107" s="770">
        <v>2409740</v>
      </c>
      <c r="EV107" s="771" t="s">
        <v>236</v>
      </c>
      <c r="EZ107" s="520"/>
      <c r="FA107" s="778"/>
      <c r="FG107" s="1107"/>
      <c r="FJ107" s="994">
        <v>0.15</v>
      </c>
      <c r="FK107" s="993">
        <v>13042.268172546426</v>
      </c>
      <c r="FL107" s="993">
        <v>13394.761906939573</v>
      </c>
      <c r="FM107" s="497"/>
      <c r="FN107" s="993">
        <f t="shared" si="197"/>
        <v>4344908.873413953</v>
      </c>
      <c r="FO107" s="994">
        <f t="shared" si="256"/>
        <v>0.15</v>
      </c>
      <c r="FP107" s="775">
        <f t="shared" si="198"/>
        <v>651736.33101209288</v>
      </c>
      <c r="FQ107" s="993">
        <f t="shared" si="199"/>
        <v>30000</v>
      </c>
      <c r="FR107" s="775">
        <f t="shared" si="257"/>
        <v>621736.33101209288</v>
      </c>
      <c r="FS107" s="497">
        <f t="shared" si="258"/>
        <v>40</v>
      </c>
      <c r="FT107" s="775">
        <f t="shared" si="259"/>
        <v>15543.408275302321</v>
      </c>
      <c r="FU107" s="497"/>
      <c r="FV107" s="993">
        <f t="shared" si="260"/>
        <v>4344908.873413953</v>
      </c>
      <c r="FW107" s="705">
        <f t="shared" si="261"/>
        <v>434490.88734139531</v>
      </c>
      <c r="FX107" s="705">
        <f t="shared" si="262"/>
        <v>108622.72183534883</v>
      </c>
      <c r="FY107" s="705">
        <v>15000</v>
      </c>
      <c r="FZ107" s="705">
        <f t="shared" si="263"/>
        <v>419490.88734139531</v>
      </c>
      <c r="GA107" s="497">
        <f t="shared" si="264"/>
        <v>46</v>
      </c>
      <c r="GB107" s="775">
        <f t="shared" si="265"/>
        <v>9119.3671161172897</v>
      </c>
      <c r="GC107" s="497"/>
      <c r="GD107" s="497"/>
      <c r="GE107" s="1107"/>
      <c r="GH107" s="1095">
        <f t="shared" si="161"/>
        <v>4344908.873413953</v>
      </c>
      <c r="GI107" s="1098">
        <f t="shared" si="162"/>
        <v>0.125</v>
      </c>
      <c r="GJ107" s="1095">
        <f t="shared" si="163"/>
        <v>543113.60917674412</v>
      </c>
      <c r="GK107" s="1095">
        <f t="shared" si="164"/>
        <v>30000</v>
      </c>
      <c r="GL107" s="1095">
        <f t="shared" si="165"/>
        <v>513113.60917674412</v>
      </c>
      <c r="GM107" s="1095">
        <f t="shared" si="166"/>
        <v>29</v>
      </c>
      <c r="GN107" s="1095">
        <f t="shared" si="167"/>
        <v>17693.572730232558</v>
      </c>
      <c r="GO107" s="1098">
        <f t="shared" si="168"/>
        <v>0.875</v>
      </c>
      <c r="GP107" s="1095">
        <f t="shared" si="169"/>
        <v>3801795.2642372088</v>
      </c>
      <c r="GQ107" s="1095">
        <f t="shared" si="170"/>
        <v>29475.278218039861</v>
      </c>
      <c r="GR107" s="1095">
        <f t="shared" si="171"/>
        <v>34171.610634892764</v>
      </c>
      <c r="GS107" s="1095">
        <f t="shared" si="172"/>
        <v>44142.066643114937</v>
      </c>
      <c r="GT107" s="1095">
        <f t="shared" si="173"/>
        <v>75280.102836921593</v>
      </c>
      <c r="GU107" s="497"/>
      <c r="GV107" s="1095">
        <f t="shared" si="266"/>
        <v>4344908.873413953</v>
      </c>
      <c r="GW107" s="1098">
        <f t="shared" si="267"/>
        <v>0.125</v>
      </c>
      <c r="GX107" s="1095">
        <f t="shared" si="268"/>
        <v>543113.60917674412</v>
      </c>
      <c r="GY107" s="1095">
        <f t="shared" si="269"/>
        <v>30000</v>
      </c>
      <c r="GZ107" s="1095">
        <f t="shared" si="270"/>
        <v>513113.60917674412</v>
      </c>
      <c r="HA107" s="1106">
        <f t="shared" si="271"/>
        <v>48</v>
      </c>
      <c r="HB107" s="770">
        <f t="shared" si="272"/>
        <v>10689.866857848836</v>
      </c>
      <c r="HC107" s="1098">
        <f t="shared" si="273"/>
        <v>0.875</v>
      </c>
      <c r="HD107" s="1102">
        <f t="shared" si="274"/>
        <v>3801795.2642372088</v>
      </c>
      <c r="HE107" s="1101">
        <f t="shared" si="275"/>
        <v>29475.278218039861</v>
      </c>
      <c r="HF107" s="1101">
        <f t="shared" si="276"/>
        <v>34171.610634892764</v>
      </c>
      <c r="HG107" s="1101">
        <f t="shared" si="277"/>
        <v>44142.066643114937</v>
      </c>
      <c r="HH107" s="1101">
        <f t="shared" si="278"/>
        <v>75280.102836921593</v>
      </c>
      <c r="HI107" s="497"/>
      <c r="HJ107" s="1102">
        <f t="shared" si="279"/>
        <v>-7003.7058723837217</v>
      </c>
      <c r="HL107" s="775"/>
      <c r="HN107" s="775"/>
      <c r="HO107" s="775"/>
      <c r="HQ107" s="702"/>
      <c r="HR107" s="1171"/>
      <c r="HS107" s="702"/>
      <c r="HT107" s="1171"/>
    </row>
    <row r="108" spans="1:228" ht="14.25" hidden="1" customHeight="1">
      <c r="A108" s="753">
        <f t="shared" si="280"/>
        <v>102</v>
      </c>
      <c r="B108" s="753" t="s">
        <v>236</v>
      </c>
      <c r="C108" s="753">
        <f t="shared" si="292"/>
        <v>9</v>
      </c>
      <c r="D108" s="753" t="s">
        <v>265</v>
      </c>
      <c r="E108" s="717" t="str">
        <f t="shared" si="200"/>
        <v>6th Floor</v>
      </c>
      <c r="F108" s="754"/>
      <c r="G108" s="756" t="s">
        <v>474</v>
      </c>
      <c r="H108" s="756"/>
      <c r="I108" s="755" t="s">
        <v>229</v>
      </c>
      <c r="J108" s="757">
        <v>22</v>
      </c>
      <c r="K108" s="758"/>
      <c r="L108" s="759" t="s">
        <v>69</v>
      </c>
      <c r="M108" s="760" t="s">
        <v>68</v>
      </c>
      <c r="N108" s="761">
        <f t="shared" si="201"/>
        <v>106005.26567735759</v>
      </c>
      <c r="O108" s="762">
        <f t="shared" si="202"/>
        <v>2332115.8449018667</v>
      </c>
      <c r="P108" s="762">
        <f t="shared" si="203"/>
        <v>22400</v>
      </c>
      <c r="Q108" s="762">
        <f t="shared" si="175"/>
        <v>50000</v>
      </c>
      <c r="R108" s="762"/>
      <c r="S108" s="762"/>
      <c r="T108" s="762"/>
      <c r="U108" s="762"/>
      <c r="V108" s="762"/>
      <c r="W108" s="762"/>
      <c r="X108" s="762"/>
      <c r="Y108" s="762">
        <f t="shared" si="293"/>
        <v>40000</v>
      </c>
      <c r="Z108" s="762">
        <f t="shared" si="177"/>
        <v>142461</v>
      </c>
      <c r="AA108" s="762">
        <v>45722.732758620688</v>
      </c>
      <c r="AB108" s="762"/>
      <c r="AC108" s="762"/>
      <c r="AD108" s="763">
        <f t="shared" si="204"/>
        <v>300583.7327586207</v>
      </c>
      <c r="AE108" s="763">
        <f t="shared" si="178"/>
        <v>2632699.5776604875</v>
      </c>
      <c r="AF108" s="762">
        <f t="shared" si="179"/>
        <v>65817.489441512196</v>
      </c>
      <c r="AG108" s="762">
        <f t="shared" si="205"/>
        <v>2698517.0671019997</v>
      </c>
      <c r="AH108" s="762">
        <f t="shared" si="180"/>
        <v>67462.92667755</v>
      </c>
      <c r="AI108" s="762">
        <f t="shared" si="206"/>
        <v>2765979.9937795498</v>
      </c>
      <c r="AJ108" s="762">
        <f t="shared" si="207"/>
        <v>138298.99968897749</v>
      </c>
      <c r="AK108" s="762">
        <f t="shared" si="208"/>
        <v>2904278.9934685272</v>
      </c>
      <c r="AL108" s="762">
        <f t="shared" si="209"/>
        <v>29042.789934685272</v>
      </c>
      <c r="AM108" s="762">
        <f t="shared" si="210"/>
        <v>27537.409960060559</v>
      </c>
      <c r="AN108" s="762"/>
      <c r="AO108" s="763">
        <f t="shared" si="211"/>
        <v>2960859.1933632731</v>
      </c>
      <c r="AP108" s="763">
        <f t="shared" si="212"/>
        <v>488541.76690494007</v>
      </c>
      <c r="AQ108" s="763">
        <f t="shared" si="213"/>
        <v>3449400.9602682129</v>
      </c>
      <c r="AR108" s="1178">
        <f t="shared" si="181"/>
        <v>3000000</v>
      </c>
      <c r="AS108" s="1178">
        <f t="shared" si="214"/>
        <v>20427.316375827861</v>
      </c>
      <c r="AT108" s="1178">
        <f t="shared" si="215"/>
        <v>449400.96026821295</v>
      </c>
      <c r="AU108" s="1178">
        <f t="shared" si="182"/>
        <v>53928.115232185555</v>
      </c>
      <c r="AV108" s="1178">
        <f t="shared" si="216"/>
        <v>503329.07550039853</v>
      </c>
      <c r="AW108" s="1178">
        <f t="shared" si="217"/>
        <v>3503329.0755003984</v>
      </c>
      <c r="AX108" s="762">
        <f t="shared" si="218"/>
        <v>43791.613443754984</v>
      </c>
      <c r="AY108" s="717" t="s">
        <v>231</v>
      </c>
      <c r="AZ108" s="717">
        <f t="shared" si="219"/>
        <v>3547120.6889441535</v>
      </c>
      <c r="BA108" s="717">
        <f t="shared" si="220"/>
        <v>133017.02583540574</v>
      </c>
      <c r="BB108" s="717"/>
      <c r="BC108" s="717">
        <f t="shared" si="183"/>
        <v>33600</v>
      </c>
      <c r="BD108" s="717">
        <f t="shared" si="221"/>
        <v>3713737.7147795591</v>
      </c>
      <c r="BE108" s="717"/>
      <c r="BF108" s="717">
        <f t="shared" si="222"/>
        <v>3713737.7147795591</v>
      </c>
      <c r="BG108" s="1209"/>
      <c r="BH108" s="717">
        <f t="shared" si="223"/>
        <v>3713737.7147795591</v>
      </c>
      <c r="BI108" s="717"/>
      <c r="BJ108" s="717">
        <f t="shared" si="224"/>
        <v>3713737.7147795591</v>
      </c>
      <c r="BK108" s="717"/>
      <c r="BL108" s="717">
        <f t="shared" si="225"/>
        <v>3713737.7147795591</v>
      </c>
      <c r="BM108" s="717"/>
      <c r="BN108" s="717">
        <f t="shared" si="226"/>
        <v>3713737.7147795591</v>
      </c>
      <c r="BO108" s="717"/>
      <c r="BP108" s="717">
        <f t="shared" si="184"/>
        <v>3713737.7147795591</v>
      </c>
      <c r="BQ108" s="717"/>
      <c r="BR108" s="717">
        <f t="shared" si="285"/>
        <v>3713737.7147795591</v>
      </c>
      <c r="BS108" s="717"/>
      <c r="BT108" s="717">
        <f t="shared" si="227"/>
        <v>3713737.7147795591</v>
      </c>
      <c r="BU108" s="717"/>
      <c r="BV108" s="1235">
        <f t="shared" si="286"/>
        <v>51400</v>
      </c>
      <c r="BW108" s="717">
        <f t="shared" si="228"/>
        <v>3765137.7147795591</v>
      </c>
      <c r="BX108" s="717"/>
      <c r="BY108" s="717">
        <f t="shared" si="229"/>
        <v>3765137.7147795591</v>
      </c>
      <c r="BZ108" s="1194">
        <f t="shared" si="230"/>
        <v>3765137.7147795591</v>
      </c>
      <c r="CA108" s="1194">
        <f t="shared" si="231"/>
        <v>3028137.7147795591</v>
      </c>
      <c r="CB108" s="1194">
        <v>33500</v>
      </c>
      <c r="CC108" s="1194">
        <f t="shared" si="232"/>
        <v>737000</v>
      </c>
      <c r="CD108" s="1194">
        <f t="shared" si="233"/>
        <v>88440</v>
      </c>
      <c r="CE108" s="1194">
        <f t="shared" si="234"/>
        <v>825440</v>
      </c>
      <c r="CF108" s="1200">
        <f t="shared" si="235"/>
        <v>3853577.7147795591</v>
      </c>
      <c r="CG108" s="757">
        <f t="shared" si="236"/>
        <v>3853577.7147795591</v>
      </c>
      <c r="CH108" s="758">
        <f t="shared" si="237"/>
        <v>0</v>
      </c>
      <c r="CI108" s="757">
        <f t="shared" si="185"/>
        <v>394991.7157649048</v>
      </c>
      <c r="CJ108" s="757">
        <f t="shared" si="186"/>
        <v>96339.442869488979</v>
      </c>
      <c r="CK108" s="759">
        <f t="shared" si="291"/>
        <v>4344908.873413953</v>
      </c>
      <c r="CL108" s="764">
        <f t="shared" si="238"/>
        <v>0.125</v>
      </c>
      <c r="CM108" s="757">
        <f t="shared" si="239"/>
        <v>543113.60917674412</v>
      </c>
      <c r="CN108" s="757">
        <f t="shared" si="281"/>
        <v>30000</v>
      </c>
      <c r="CO108" s="757">
        <f t="shared" si="240"/>
        <v>513113.60917674412</v>
      </c>
      <c r="CP108" s="755">
        <f t="shared" si="241"/>
        <v>29</v>
      </c>
      <c r="CQ108" s="757">
        <f t="shared" si="283"/>
        <v>17693.572730232558</v>
      </c>
      <c r="CR108" s="764">
        <f t="shared" si="242"/>
        <v>0.875</v>
      </c>
      <c r="CS108" s="757">
        <f t="shared" si="243"/>
        <v>3801795.2642372088</v>
      </c>
      <c r="CT108" s="1101">
        <f t="shared" si="244"/>
        <v>29475.278218039861</v>
      </c>
      <c r="CU108" s="1101">
        <f t="shared" si="245"/>
        <v>34171.610634892764</v>
      </c>
      <c r="CV108" s="1101">
        <f t="shared" si="246"/>
        <v>44142.066643114937</v>
      </c>
      <c r="CW108" s="1141">
        <f t="shared" si="187"/>
        <v>75280.102836921593</v>
      </c>
      <c r="CX108" s="1152">
        <f t="shared" si="247"/>
        <v>308831.91337454721</v>
      </c>
      <c r="CY108" s="1152">
        <f t="shared" si="248"/>
        <v>122203.28371568573</v>
      </c>
      <c r="CZ108" s="1152">
        <f t="shared" si="249"/>
        <v>88265.701038951564</v>
      </c>
      <c r="DA108" s="1152">
        <f t="shared" si="250"/>
        <v>67174.262033644685</v>
      </c>
      <c r="DB108" s="1143">
        <f t="shared" si="188"/>
        <v>0.1498003200894043</v>
      </c>
      <c r="DC108" s="1143">
        <f t="shared" si="251"/>
        <v>0.27258998029423837</v>
      </c>
      <c r="DD108" s="1098" t="s">
        <v>232</v>
      </c>
      <c r="DE108" s="1144"/>
      <c r="DF108" s="705"/>
      <c r="DG108" s="765">
        <f t="shared" si="282"/>
        <v>46082</v>
      </c>
      <c r="DH108" s="1116">
        <f t="shared" si="189"/>
        <v>28</v>
      </c>
      <c r="DI108" s="497"/>
      <c r="DJ108" s="1117">
        <f t="shared" si="252"/>
        <v>46147</v>
      </c>
      <c r="DK108" s="1116">
        <f t="shared" si="253"/>
        <v>30</v>
      </c>
      <c r="DL108" s="766" t="s">
        <v>233</v>
      </c>
      <c r="DM108" s="766" t="s">
        <v>234</v>
      </c>
      <c r="DN108" s="767">
        <f t="shared" si="190"/>
        <v>22878.594340927204</v>
      </c>
      <c r="DO108" s="767">
        <f t="shared" si="191"/>
        <v>503329.07550039853</v>
      </c>
      <c r="DP108" s="768">
        <f t="shared" si="192"/>
        <v>0.16777635850013284</v>
      </c>
      <c r="DR108" s="767">
        <f t="shared" si="193"/>
        <v>3853577.7147795591</v>
      </c>
      <c r="DS108" s="767">
        <f>SUM('[6]INTERNAL PRICELIST'!M108)</f>
        <v>2329361</v>
      </c>
      <c r="DT108" s="767">
        <f t="shared" si="254"/>
        <v>1524216.7147795591</v>
      </c>
      <c r="DV108" s="951">
        <f t="shared" si="194"/>
        <v>175162.62339907087</v>
      </c>
      <c r="DX108" s="772">
        <v>13</v>
      </c>
      <c r="DY108" s="773" t="s">
        <v>289</v>
      </c>
      <c r="DZ108" s="774">
        <v>22</v>
      </c>
      <c r="EA108" s="775">
        <f t="shared" si="294"/>
        <v>0</v>
      </c>
      <c r="ED108" s="1133" t="s">
        <v>474</v>
      </c>
      <c r="EE108" s="777" t="b">
        <f t="shared" si="196"/>
        <v>1</v>
      </c>
      <c r="EF108" s="1123" t="s">
        <v>475</v>
      </c>
      <c r="EG108" s="1123" t="s">
        <v>459</v>
      </c>
      <c r="EH108" s="1203"/>
      <c r="EP108" s="1230" t="s">
        <v>236</v>
      </c>
      <c r="EQ108" s="1145" t="s">
        <v>236</v>
      </c>
      <c r="ER108" s="753" t="b">
        <f t="shared" si="255"/>
        <v>1</v>
      </c>
      <c r="EU108" s="770">
        <v>3032402.8274007286</v>
      </c>
      <c r="EV108" s="771" t="s">
        <v>258</v>
      </c>
      <c r="EW108" s="775">
        <f>EU108-CG108</f>
        <v>-821174.88737883046</v>
      </c>
      <c r="EZ108" s="520"/>
      <c r="FA108" s="778"/>
      <c r="FG108" s="1107"/>
      <c r="FJ108" s="994">
        <v>0.15</v>
      </c>
      <c r="FK108" s="993">
        <v>13042.268172546426</v>
      </c>
      <c r="FL108" s="993">
        <v>13394.761906939573</v>
      </c>
      <c r="FM108" s="497"/>
      <c r="FN108" s="993">
        <f t="shared" si="197"/>
        <v>4344908.873413953</v>
      </c>
      <c r="FO108" s="994">
        <f t="shared" si="256"/>
        <v>0.15</v>
      </c>
      <c r="FP108" s="775">
        <f t="shared" si="198"/>
        <v>651736.33101209288</v>
      </c>
      <c r="FQ108" s="993">
        <f t="shared" si="199"/>
        <v>30000</v>
      </c>
      <c r="FR108" s="775">
        <f t="shared" si="257"/>
        <v>621736.33101209288</v>
      </c>
      <c r="FS108" s="497">
        <f t="shared" si="258"/>
        <v>40</v>
      </c>
      <c r="FT108" s="775">
        <f t="shared" si="259"/>
        <v>15543.408275302321</v>
      </c>
      <c r="FU108" s="497"/>
      <c r="FV108" s="993">
        <f t="shared" si="260"/>
        <v>4344908.873413953</v>
      </c>
      <c r="FW108" s="705">
        <f t="shared" si="261"/>
        <v>434490.88734139531</v>
      </c>
      <c r="FX108" s="705">
        <f t="shared" si="262"/>
        <v>108622.72183534883</v>
      </c>
      <c r="FY108" s="705">
        <v>15000</v>
      </c>
      <c r="FZ108" s="705">
        <f t="shared" si="263"/>
        <v>419490.88734139531</v>
      </c>
      <c r="GA108" s="497">
        <f t="shared" si="264"/>
        <v>46</v>
      </c>
      <c r="GB108" s="775">
        <f t="shared" si="265"/>
        <v>9119.3671161172897</v>
      </c>
      <c r="GC108" s="497"/>
      <c r="GD108" s="497"/>
      <c r="GE108" s="1107"/>
      <c r="GH108" s="1095">
        <f t="shared" si="161"/>
        <v>4344908.873413953</v>
      </c>
      <c r="GI108" s="1098">
        <f t="shared" si="162"/>
        <v>0.125</v>
      </c>
      <c r="GJ108" s="1095">
        <f t="shared" si="163"/>
        <v>543113.60917674412</v>
      </c>
      <c r="GK108" s="1095">
        <f t="shared" si="164"/>
        <v>30000</v>
      </c>
      <c r="GL108" s="1095">
        <f t="shared" si="165"/>
        <v>513113.60917674412</v>
      </c>
      <c r="GM108" s="1095">
        <f t="shared" si="166"/>
        <v>29</v>
      </c>
      <c r="GN108" s="1095">
        <f t="shared" si="167"/>
        <v>17693.572730232558</v>
      </c>
      <c r="GO108" s="1098">
        <f t="shared" si="168"/>
        <v>0.875</v>
      </c>
      <c r="GP108" s="1095">
        <f t="shared" si="169"/>
        <v>3801795.2642372088</v>
      </c>
      <c r="GQ108" s="1095">
        <f t="shared" si="170"/>
        <v>29475.278218039861</v>
      </c>
      <c r="GR108" s="1095">
        <f t="shared" si="171"/>
        <v>34171.610634892764</v>
      </c>
      <c r="GS108" s="1095">
        <f t="shared" si="172"/>
        <v>44142.066643114937</v>
      </c>
      <c r="GT108" s="1095">
        <f t="shared" si="173"/>
        <v>75280.102836921593</v>
      </c>
      <c r="GU108" s="497"/>
      <c r="GV108" s="1095">
        <f t="shared" si="266"/>
        <v>4344908.873413953</v>
      </c>
      <c r="GW108" s="1098">
        <f t="shared" si="267"/>
        <v>0.125</v>
      </c>
      <c r="GX108" s="1095">
        <f t="shared" si="268"/>
        <v>543113.60917674412</v>
      </c>
      <c r="GY108" s="1095">
        <f t="shared" si="269"/>
        <v>30000</v>
      </c>
      <c r="GZ108" s="1095">
        <f t="shared" si="270"/>
        <v>513113.60917674412</v>
      </c>
      <c r="HA108" s="1106">
        <f t="shared" si="271"/>
        <v>48</v>
      </c>
      <c r="HB108" s="770">
        <f t="shared" si="272"/>
        <v>10689.866857848836</v>
      </c>
      <c r="HC108" s="1098">
        <f t="shared" si="273"/>
        <v>0.875</v>
      </c>
      <c r="HD108" s="1102">
        <f t="shared" si="274"/>
        <v>3801795.2642372088</v>
      </c>
      <c r="HE108" s="1101">
        <f t="shared" si="275"/>
        <v>29475.278218039861</v>
      </c>
      <c r="HF108" s="1101">
        <f t="shared" si="276"/>
        <v>34171.610634892764</v>
      </c>
      <c r="HG108" s="1101">
        <f t="shared" si="277"/>
        <v>44142.066643114937</v>
      </c>
      <c r="HH108" s="1101">
        <f t="shared" si="278"/>
        <v>75280.102836921593</v>
      </c>
      <c r="HI108" s="497"/>
      <c r="HJ108" s="1102">
        <f t="shared" si="279"/>
        <v>-7003.7058723837217</v>
      </c>
      <c r="HL108" s="775"/>
      <c r="HN108" s="775"/>
      <c r="HO108" s="775"/>
      <c r="HQ108" s="702"/>
      <c r="HR108" s="1171"/>
      <c r="HS108" s="702"/>
      <c r="HT108" s="1171"/>
    </row>
    <row r="109" spans="1:228" ht="14.25" customHeight="1">
      <c r="A109" s="753">
        <f t="shared" si="280"/>
        <v>103</v>
      </c>
      <c r="B109" s="753" t="s">
        <v>236</v>
      </c>
      <c r="C109" s="753">
        <f t="shared" si="292"/>
        <v>10</v>
      </c>
      <c r="D109" s="753" t="s">
        <v>265</v>
      </c>
      <c r="E109" s="717" t="str">
        <f t="shared" si="200"/>
        <v>6th Floor</v>
      </c>
      <c r="F109" s="754"/>
      <c r="G109" s="756" t="s">
        <v>476</v>
      </c>
      <c r="H109" s="756"/>
      <c r="I109" s="755" t="s">
        <v>229</v>
      </c>
      <c r="J109" s="757">
        <v>22</v>
      </c>
      <c r="K109" s="758"/>
      <c r="L109" s="759" t="s">
        <v>277</v>
      </c>
      <c r="M109" s="760" t="s">
        <v>278</v>
      </c>
      <c r="N109" s="761">
        <f t="shared" si="201"/>
        <v>106005.26567735759</v>
      </c>
      <c r="O109" s="762">
        <f t="shared" si="202"/>
        <v>2332115.8449018667</v>
      </c>
      <c r="P109" s="762">
        <f t="shared" si="203"/>
        <v>22400</v>
      </c>
      <c r="Q109" s="762">
        <f t="shared" si="175"/>
        <v>50000</v>
      </c>
      <c r="R109" s="762"/>
      <c r="S109" s="762"/>
      <c r="T109" s="762"/>
      <c r="U109" s="762"/>
      <c r="V109" s="762"/>
      <c r="W109" s="762">
        <f>J109*$W$5</f>
        <v>22000</v>
      </c>
      <c r="X109" s="762"/>
      <c r="Y109" s="762">
        <f t="shared" si="293"/>
        <v>40000</v>
      </c>
      <c r="Z109" s="762">
        <f t="shared" si="177"/>
        <v>142461</v>
      </c>
      <c r="AA109" s="762">
        <v>49222.732758620703</v>
      </c>
      <c r="AB109" s="762"/>
      <c r="AC109" s="762"/>
      <c r="AD109" s="763">
        <f t="shared" si="204"/>
        <v>326083.7327586207</v>
      </c>
      <c r="AE109" s="763">
        <f t="shared" si="178"/>
        <v>2658199.5776604875</v>
      </c>
      <c r="AF109" s="762">
        <f t="shared" si="179"/>
        <v>66454.989441512196</v>
      </c>
      <c r="AG109" s="762">
        <f t="shared" si="205"/>
        <v>2724654.5671019997</v>
      </c>
      <c r="AH109" s="762">
        <f t="shared" si="180"/>
        <v>68116.36417755</v>
      </c>
      <c r="AI109" s="762">
        <f t="shared" si="206"/>
        <v>2792770.9312795498</v>
      </c>
      <c r="AJ109" s="762">
        <f t="shared" si="207"/>
        <v>139638.54656397749</v>
      </c>
      <c r="AK109" s="762">
        <f t="shared" si="208"/>
        <v>2932409.4778435272</v>
      </c>
      <c r="AL109" s="762">
        <f>AK109*AL$5+29772.4420833333</f>
        <v>59096.536861768574</v>
      </c>
      <c r="AM109" s="762">
        <f t="shared" si="210"/>
        <v>27537.409960060559</v>
      </c>
      <c r="AN109" s="762"/>
      <c r="AO109" s="763">
        <f t="shared" si="211"/>
        <v>3019043.4246653561</v>
      </c>
      <c r="AP109" s="763">
        <f t="shared" si="212"/>
        <v>498142.16506978375</v>
      </c>
      <c r="AQ109" s="763">
        <f t="shared" si="213"/>
        <v>3517185.5897351396</v>
      </c>
      <c r="AR109" s="1178">
        <f t="shared" si="181"/>
        <v>3000000</v>
      </c>
      <c r="AS109" s="1178">
        <f t="shared" si="214"/>
        <v>23508.435897051801</v>
      </c>
      <c r="AT109" s="1178">
        <f t="shared" si="215"/>
        <v>517185.58973513963</v>
      </c>
      <c r="AU109" s="1178">
        <f t="shared" si="182"/>
        <v>62062.270768216753</v>
      </c>
      <c r="AV109" s="1178">
        <f t="shared" si="216"/>
        <v>579247.86050335644</v>
      </c>
      <c r="AW109" s="1178">
        <f t="shared" si="217"/>
        <v>3579247.8605033564</v>
      </c>
      <c r="AX109" s="762">
        <f t="shared" si="218"/>
        <v>44740.59825629196</v>
      </c>
      <c r="AY109" s="717">
        <v>7575.3956645161297</v>
      </c>
      <c r="AZ109" s="717">
        <f t="shared" si="219"/>
        <v>3631563.8544241642</v>
      </c>
      <c r="BA109" s="717">
        <f t="shared" si="220"/>
        <v>136183.64454090616</v>
      </c>
      <c r="BB109" s="717"/>
      <c r="BC109" s="717">
        <f t="shared" si="183"/>
        <v>33600</v>
      </c>
      <c r="BD109" s="717">
        <f t="shared" si="221"/>
        <v>3801347.4989650701</v>
      </c>
      <c r="BE109" s="717">
        <v>18367.830916129038</v>
      </c>
      <c r="BF109" s="717">
        <f t="shared" si="222"/>
        <v>3819715.3298811992</v>
      </c>
      <c r="BG109" s="1209"/>
      <c r="BH109" s="717">
        <f t="shared" si="223"/>
        <v>3819715.3298811992</v>
      </c>
      <c r="BI109" s="717">
        <v>718.43902439024396</v>
      </c>
      <c r="BJ109" s="717">
        <f t="shared" si="224"/>
        <v>3820433.7689055894</v>
      </c>
      <c r="BK109" s="717"/>
      <c r="BL109" s="717">
        <f t="shared" si="225"/>
        <v>3820433.7689055894</v>
      </c>
      <c r="BM109" s="717">
        <f t="shared" ref="BM109:BM110" si="295">$BM$5/41</f>
        <v>1038.0487804878051</v>
      </c>
      <c r="BN109" s="717">
        <f t="shared" si="226"/>
        <v>3821471.8176860772</v>
      </c>
      <c r="BO109" s="717">
        <f t="shared" ref="BO109:BO110" si="296">$BO$5/51</f>
        <v>7289.0781490196077</v>
      </c>
      <c r="BP109" s="717">
        <f t="shared" si="184"/>
        <v>3828760.8958350969</v>
      </c>
      <c r="BQ109" s="717">
        <f t="shared" ref="BQ109:BQ110" si="297">$BQ$5/56</f>
        <v>4468.4242000000004</v>
      </c>
      <c r="BR109" s="717">
        <f t="shared" si="285"/>
        <v>3833229.3200350967</v>
      </c>
      <c r="BS109" s="1234">
        <f t="shared" ref="BS109:BS110" si="298">$BS$5/64</f>
        <v>2651.4786794501206</v>
      </c>
      <c r="BT109" s="1235">
        <f t="shared" si="227"/>
        <v>3835880.798714547</v>
      </c>
      <c r="BU109" s="1235">
        <f t="shared" ref="BU109:BU110" si="299">$BU$5/65</f>
        <v>211.07692307692309</v>
      </c>
      <c r="BV109" s="1235">
        <f t="shared" si="286"/>
        <v>51400</v>
      </c>
      <c r="BW109" s="717">
        <f t="shared" si="228"/>
        <v>3887491.8756376239</v>
      </c>
      <c r="BX109" s="1234">
        <f t="shared" si="287"/>
        <v>27651.078536278128</v>
      </c>
      <c r="BY109" s="717">
        <f t="shared" si="229"/>
        <v>3915142.954173902</v>
      </c>
      <c r="BZ109" s="1194">
        <f t="shared" si="230"/>
        <v>3915142.954173902</v>
      </c>
      <c r="CA109" s="1194">
        <f t="shared" si="231"/>
        <v>3035142.954173902</v>
      </c>
      <c r="CB109" s="1194">
        <f t="shared" ref="CB109:CB110" si="300">$CB$5</f>
        <v>40000</v>
      </c>
      <c r="CC109" s="1194">
        <f t="shared" si="232"/>
        <v>880000</v>
      </c>
      <c r="CD109" s="1194">
        <f t="shared" si="233"/>
        <v>105600</v>
      </c>
      <c r="CE109" s="1194">
        <f t="shared" si="234"/>
        <v>985600</v>
      </c>
      <c r="CF109" s="1200">
        <f t="shared" si="235"/>
        <v>4020742.954173902</v>
      </c>
      <c r="CG109" s="757">
        <f t="shared" si="236"/>
        <v>4020742.954173902</v>
      </c>
      <c r="CH109" s="758">
        <f t="shared" si="237"/>
        <v>0</v>
      </c>
      <c r="CI109" s="757">
        <f t="shared" si="185"/>
        <v>412126.15280282492</v>
      </c>
      <c r="CJ109" s="757">
        <f t="shared" si="186"/>
        <v>100518.57385434756</v>
      </c>
      <c r="CK109" s="759">
        <f t="shared" si="291"/>
        <v>4533387.6808310747</v>
      </c>
      <c r="CL109" s="764">
        <f t="shared" si="238"/>
        <v>0.125</v>
      </c>
      <c r="CM109" s="757">
        <f t="shared" si="239"/>
        <v>566673.46010388434</v>
      </c>
      <c r="CN109" s="757">
        <f t="shared" si="281"/>
        <v>30000</v>
      </c>
      <c r="CO109" s="757">
        <f t="shared" si="240"/>
        <v>536673.46010388434</v>
      </c>
      <c r="CP109" s="755">
        <f t="shared" si="241"/>
        <v>29</v>
      </c>
      <c r="CQ109" s="757">
        <f t="shared" si="283"/>
        <v>18505.981382892562</v>
      </c>
      <c r="CR109" s="764">
        <f t="shared" si="242"/>
        <v>0.875</v>
      </c>
      <c r="CS109" s="757">
        <f t="shared" si="243"/>
        <v>3966714.2207271904</v>
      </c>
      <c r="CT109" s="1101">
        <f t="shared" si="244"/>
        <v>30753.893132340443</v>
      </c>
      <c r="CU109" s="1101">
        <f t="shared" si="245"/>
        <v>35653.948839819532</v>
      </c>
      <c r="CV109" s="1101">
        <f t="shared" si="246"/>
        <v>46056.915566352349</v>
      </c>
      <c r="CW109" s="1141">
        <f t="shared" si="187"/>
        <v>78545.695837446998</v>
      </c>
      <c r="CX109" s="1152">
        <f t="shared" si="247"/>
        <v>322228.80440748762</v>
      </c>
      <c r="CY109" s="1152">
        <f t="shared" si="248"/>
        <v>127504.36823741725</v>
      </c>
      <c r="CZ109" s="1152">
        <f t="shared" si="249"/>
        <v>92094.599308706558</v>
      </c>
      <c r="DA109" s="1152">
        <f t="shared" si="250"/>
        <v>70088.229890300441</v>
      </c>
      <c r="DB109" s="1143">
        <f t="shared" si="188"/>
        <v>0.17239519657837987</v>
      </c>
      <c r="DC109" s="1143">
        <f t="shared" si="251"/>
        <v>0.32472935043952755</v>
      </c>
      <c r="DD109" s="1098" t="s">
        <v>232</v>
      </c>
      <c r="DE109" s="1144"/>
      <c r="DF109" s="705"/>
      <c r="DG109" s="765">
        <f t="shared" si="282"/>
        <v>46082</v>
      </c>
      <c r="DH109" s="1116">
        <f t="shared" si="189"/>
        <v>28</v>
      </c>
      <c r="DI109" s="497"/>
      <c r="DJ109" s="1117">
        <f t="shared" si="252"/>
        <v>46147</v>
      </c>
      <c r="DK109" s="1116">
        <f t="shared" si="253"/>
        <v>30</v>
      </c>
      <c r="DL109" s="766" t="s">
        <v>233</v>
      </c>
      <c r="DM109" s="766" t="s">
        <v>234</v>
      </c>
      <c r="DN109" s="767">
        <f t="shared" si="190"/>
        <v>26329.448204698019</v>
      </c>
      <c r="DO109" s="767">
        <f t="shared" si="191"/>
        <v>579247.86050335644</v>
      </c>
      <c r="DP109" s="768">
        <f t="shared" si="192"/>
        <v>0.19308262016778549</v>
      </c>
      <c r="DR109" s="767">
        <f t="shared" si="193"/>
        <v>4020742.954173902</v>
      </c>
      <c r="DS109" s="767">
        <f>SUM('[6]INTERNAL PRICELIST'!M109)</f>
        <v>2329361</v>
      </c>
      <c r="DT109" s="767">
        <f t="shared" si="254"/>
        <v>1691381.954173902</v>
      </c>
      <c r="DV109" s="951">
        <f t="shared" si="194"/>
        <v>182761.04337154099</v>
      </c>
      <c r="DX109" s="772">
        <v>14</v>
      </c>
      <c r="DY109" s="773" t="s">
        <v>294</v>
      </c>
      <c r="DZ109" s="774">
        <v>22</v>
      </c>
      <c r="EA109" s="775">
        <f t="shared" si="294"/>
        <v>0</v>
      </c>
      <c r="ED109" s="1133" t="s">
        <v>476</v>
      </c>
      <c r="EE109" s="777" t="b">
        <f t="shared" si="196"/>
        <v>1</v>
      </c>
      <c r="EF109" s="1123" t="s">
        <v>477</v>
      </c>
      <c r="EG109" s="1123" t="s">
        <v>459</v>
      </c>
      <c r="EH109" s="1203"/>
      <c r="EP109" s="1230" t="s">
        <v>258</v>
      </c>
      <c r="EQ109" s="1145" t="s">
        <v>258</v>
      </c>
      <c r="ER109" s="753" t="b">
        <f t="shared" si="255"/>
        <v>1</v>
      </c>
      <c r="EU109" s="770">
        <v>2360460</v>
      </c>
      <c r="EV109" s="771" t="s">
        <v>236</v>
      </c>
      <c r="EZ109" s="520"/>
      <c r="FA109" s="778"/>
      <c r="FG109" s="1107"/>
      <c r="FJ109" s="994">
        <v>0.15</v>
      </c>
      <c r="FK109" s="993">
        <v>13164.454699382281</v>
      </c>
      <c r="FL109" s="993">
        <v>13520.250772338559</v>
      </c>
      <c r="FM109" s="497"/>
      <c r="FN109" s="993">
        <f t="shared" si="197"/>
        <v>4533387.6808310747</v>
      </c>
      <c r="FO109" s="994">
        <f t="shared" si="256"/>
        <v>0.15</v>
      </c>
      <c r="FP109" s="775">
        <f t="shared" si="198"/>
        <v>680008.15212466114</v>
      </c>
      <c r="FQ109" s="993">
        <f t="shared" si="199"/>
        <v>30000</v>
      </c>
      <c r="FR109" s="775">
        <f t="shared" si="257"/>
        <v>650008.15212466114</v>
      </c>
      <c r="FS109" s="497">
        <f t="shared" si="258"/>
        <v>40</v>
      </c>
      <c r="FT109" s="775">
        <f t="shared" si="259"/>
        <v>16250.203803116528</v>
      </c>
      <c r="FU109" s="497"/>
      <c r="FV109" s="993">
        <f t="shared" si="260"/>
        <v>4533387.6808310747</v>
      </c>
      <c r="FW109" s="705">
        <f t="shared" si="261"/>
        <v>453338.76808310748</v>
      </c>
      <c r="FX109" s="705">
        <f t="shared" si="262"/>
        <v>113334.69202077687</v>
      </c>
      <c r="FY109" s="705">
        <v>15000</v>
      </c>
      <c r="FZ109" s="705">
        <f t="shared" si="263"/>
        <v>438338.76808310748</v>
      </c>
      <c r="GA109" s="497">
        <f t="shared" si="264"/>
        <v>46</v>
      </c>
      <c r="GB109" s="775">
        <f t="shared" si="265"/>
        <v>9529.1036539805973</v>
      </c>
      <c r="GC109" s="497"/>
      <c r="GD109" s="497"/>
      <c r="GE109" s="1107"/>
      <c r="GH109" s="1095">
        <f t="shared" si="161"/>
        <v>4533387.6808310747</v>
      </c>
      <c r="GI109" s="1098">
        <f t="shared" si="162"/>
        <v>0.125</v>
      </c>
      <c r="GJ109" s="1095">
        <f t="shared" si="163"/>
        <v>566673.46010388434</v>
      </c>
      <c r="GK109" s="1095">
        <f t="shared" si="164"/>
        <v>30000</v>
      </c>
      <c r="GL109" s="1095">
        <f t="shared" si="165"/>
        <v>536673.46010388434</v>
      </c>
      <c r="GM109" s="1095">
        <f t="shared" si="166"/>
        <v>29</v>
      </c>
      <c r="GN109" s="1095">
        <f t="shared" si="167"/>
        <v>18505.981382892562</v>
      </c>
      <c r="GO109" s="1098">
        <f t="shared" si="168"/>
        <v>0.875</v>
      </c>
      <c r="GP109" s="1095">
        <f t="shared" si="169"/>
        <v>3966714.2207271904</v>
      </c>
      <c r="GQ109" s="1095">
        <f t="shared" si="170"/>
        <v>30753.893132340443</v>
      </c>
      <c r="GR109" s="1095">
        <f t="shared" si="171"/>
        <v>35653.948839819532</v>
      </c>
      <c r="GS109" s="1095">
        <f t="shared" si="172"/>
        <v>46056.915566352349</v>
      </c>
      <c r="GT109" s="1095">
        <f t="shared" si="173"/>
        <v>78545.695837446998</v>
      </c>
      <c r="GU109" s="497"/>
      <c r="GV109" s="1095">
        <f t="shared" si="266"/>
        <v>4533387.6808310747</v>
      </c>
      <c r="GW109" s="1098">
        <f t="shared" si="267"/>
        <v>0.125</v>
      </c>
      <c r="GX109" s="1095">
        <f t="shared" si="268"/>
        <v>566673.46010388434</v>
      </c>
      <c r="GY109" s="1095">
        <f t="shared" si="269"/>
        <v>30000</v>
      </c>
      <c r="GZ109" s="1095">
        <f t="shared" si="270"/>
        <v>536673.46010388434</v>
      </c>
      <c r="HA109" s="1106">
        <f t="shared" si="271"/>
        <v>48</v>
      </c>
      <c r="HB109" s="770">
        <f t="shared" si="272"/>
        <v>11180.69708549759</v>
      </c>
      <c r="HC109" s="1098">
        <f t="shared" si="273"/>
        <v>0.875</v>
      </c>
      <c r="HD109" s="1102">
        <f t="shared" si="274"/>
        <v>3966714.2207271904</v>
      </c>
      <c r="HE109" s="1101">
        <f t="shared" si="275"/>
        <v>30753.893132340443</v>
      </c>
      <c r="HF109" s="1101">
        <f t="shared" si="276"/>
        <v>35653.948839819532</v>
      </c>
      <c r="HG109" s="1101">
        <f t="shared" si="277"/>
        <v>46056.915566352349</v>
      </c>
      <c r="HH109" s="1101">
        <f t="shared" si="278"/>
        <v>78545.695837446998</v>
      </c>
      <c r="HI109" s="497"/>
      <c r="HJ109" s="1102">
        <f t="shared" si="279"/>
        <v>-7325.2842973949719</v>
      </c>
      <c r="HL109" s="775"/>
      <c r="HN109" s="775"/>
      <c r="HO109" s="775"/>
      <c r="HQ109" s="702"/>
      <c r="HR109" s="1171"/>
      <c r="HS109" s="702"/>
      <c r="HT109" s="1171"/>
    </row>
    <row r="110" spans="1:228" ht="14.25" customHeight="1">
      <c r="A110" s="753">
        <f t="shared" si="280"/>
        <v>104</v>
      </c>
      <c r="B110" s="753"/>
      <c r="C110" s="753">
        <f t="shared" si="292"/>
        <v>11</v>
      </c>
      <c r="D110" s="753" t="s">
        <v>265</v>
      </c>
      <c r="E110" s="717" t="str">
        <f t="shared" si="200"/>
        <v>6th Floor</v>
      </c>
      <c r="F110" s="754"/>
      <c r="G110" s="756" t="s">
        <v>478</v>
      </c>
      <c r="H110" s="756"/>
      <c r="I110" s="755" t="s">
        <v>229</v>
      </c>
      <c r="J110" s="757">
        <v>22</v>
      </c>
      <c r="K110" s="758"/>
      <c r="L110" s="759" t="s">
        <v>277</v>
      </c>
      <c r="M110" s="760" t="s">
        <v>68</v>
      </c>
      <c r="N110" s="761">
        <f t="shared" si="201"/>
        <v>106005.26567735759</v>
      </c>
      <c r="O110" s="762">
        <f t="shared" si="202"/>
        <v>2332115.8449018667</v>
      </c>
      <c r="P110" s="762">
        <f t="shared" si="203"/>
        <v>22400</v>
      </c>
      <c r="Q110" s="762">
        <f t="shared" si="175"/>
        <v>50000</v>
      </c>
      <c r="R110" s="762"/>
      <c r="S110" s="762"/>
      <c r="T110" s="762"/>
      <c r="U110" s="762"/>
      <c r="V110" s="762"/>
      <c r="W110" s="762"/>
      <c r="X110" s="762"/>
      <c r="Y110" s="762">
        <f t="shared" si="293"/>
        <v>40000</v>
      </c>
      <c r="Z110" s="762">
        <f t="shared" si="177"/>
        <v>142461</v>
      </c>
      <c r="AA110" s="762">
        <v>49222.732758620703</v>
      </c>
      <c r="AB110" s="762"/>
      <c r="AC110" s="762"/>
      <c r="AD110" s="763">
        <f t="shared" si="204"/>
        <v>304083.7327586207</v>
      </c>
      <c r="AE110" s="763">
        <f t="shared" si="178"/>
        <v>2636199.5776604875</v>
      </c>
      <c r="AF110" s="762">
        <f t="shared" si="179"/>
        <v>65904.989441512196</v>
      </c>
      <c r="AG110" s="762">
        <f t="shared" si="205"/>
        <v>2702104.5671019997</v>
      </c>
      <c r="AH110" s="762">
        <f t="shared" si="180"/>
        <v>67552.61417755</v>
      </c>
      <c r="AI110" s="762">
        <f t="shared" si="206"/>
        <v>2769657.1812795498</v>
      </c>
      <c r="AJ110" s="762">
        <f t="shared" si="207"/>
        <v>138482.85906397749</v>
      </c>
      <c r="AK110" s="762">
        <f t="shared" si="208"/>
        <v>2908140.0403435272</v>
      </c>
      <c r="AL110" s="762">
        <f>AK110*AL$5+29772.4420833333</f>
        <v>58853.842486768568</v>
      </c>
      <c r="AM110" s="762">
        <f t="shared" si="210"/>
        <v>27537.409960060559</v>
      </c>
      <c r="AN110" s="762"/>
      <c r="AO110" s="763">
        <f t="shared" si="211"/>
        <v>2994531.2927903561</v>
      </c>
      <c r="AP110" s="763">
        <f t="shared" si="212"/>
        <v>494097.66331040877</v>
      </c>
      <c r="AQ110" s="763">
        <f t="shared" si="213"/>
        <v>3488628.9561007647</v>
      </c>
      <c r="AR110" s="1178">
        <f t="shared" si="181"/>
        <v>3000000</v>
      </c>
      <c r="AS110" s="1178">
        <f t="shared" si="214"/>
        <v>22210.407095489303</v>
      </c>
      <c r="AT110" s="1178">
        <f t="shared" si="215"/>
        <v>488628.95610076468</v>
      </c>
      <c r="AU110" s="1178">
        <f t="shared" si="182"/>
        <v>58635.47473209176</v>
      </c>
      <c r="AV110" s="1178">
        <f t="shared" si="216"/>
        <v>547264.43083285645</v>
      </c>
      <c r="AW110" s="1178">
        <f t="shared" si="217"/>
        <v>3547264.4308328563</v>
      </c>
      <c r="AX110" s="762">
        <f t="shared" si="218"/>
        <v>44340.805385410706</v>
      </c>
      <c r="AY110" s="717">
        <v>7575.3956645161297</v>
      </c>
      <c r="AZ110" s="717">
        <f t="shared" si="219"/>
        <v>3599180.631882783</v>
      </c>
      <c r="BA110" s="717">
        <f t="shared" si="220"/>
        <v>134969.27369560435</v>
      </c>
      <c r="BB110" s="717"/>
      <c r="BC110" s="717">
        <f t="shared" si="183"/>
        <v>33600</v>
      </c>
      <c r="BD110" s="717">
        <f t="shared" si="221"/>
        <v>3767749.9055783874</v>
      </c>
      <c r="BE110" s="717">
        <v>18367.830916129038</v>
      </c>
      <c r="BF110" s="717">
        <f t="shared" si="222"/>
        <v>3786117.7364945165</v>
      </c>
      <c r="BG110" s="1209"/>
      <c r="BH110" s="717">
        <f t="shared" si="223"/>
        <v>3786117.7364945165</v>
      </c>
      <c r="BI110" s="717">
        <v>718.43902439024396</v>
      </c>
      <c r="BJ110" s="717">
        <f t="shared" si="224"/>
        <v>3786836.1755189067</v>
      </c>
      <c r="BK110" s="717"/>
      <c r="BL110" s="717">
        <f t="shared" si="225"/>
        <v>3786836.1755189067</v>
      </c>
      <c r="BM110" s="717">
        <f t="shared" si="295"/>
        <v>1038.0487804878051</v>
      </c>
      <c r="BN110" s="717">
        <f t="shared" si="226"/>
        <v>3787874.2242993945</v>
      </c>
      <c r="BO110" s="717">
        <f t="shared" si="296"/>
        <v>7289.0781490196077</v>
      </c>
      <c r="BP110" s="717">
        <f t="shared" si="184"/>
        <v>3795163.3024484143</v>
      </c>
      <c r="BQ110" s="717">
        <f t="shared" si="297"/>
        <v>4468.4242000000004</v>
      </c>
      <c r="BR110" s="717">
        <f t="shared" si="285"/>
        <v>3799631.726648414</v>
      </c>
      <c r="BS110" s="1234">
        <f t="shared" si="298"/>
        <v>2651.4786794501206</v>
      </c>
      <c r="BT110" s="1235">
        <f t="shared" si="227"/>
        <v>3802283.2053278643</v>
      </c>
      <c r="BU110" s="1235">
        <f t="shared" si="299"/>
        <v>211.07692307692309</v>
      </c>
      <c r="BV110" s="1235">
        <f t="shared" si="286"/>
        <v>51400</v>
      </c>
      <c r="BW110" s="717">
        <f t="shared" si="228"/>
        <v>3853894.2822509413</v>
      </c>
      <c r="BX110" s="1234">
        <f t="shared" si="287"/>
        <v>27651.078536278128</v>
      </c>
      <c r="BY110" s="717">
        <f t="shared" si="229"/>
        <v>3881545.3607872194</v>
      </c>
      <c r="BZ110" s="1194">
        <f t="shared" si="230"/>
        <v>3881545.3607872194</v>
      </c>
      <c r="CA110" s="1194">
        <f t="shared" si="231"/>
        <v>3001545.3607872194</v>
      </c>
      <c r="CB110" s="1194">
        <f t="shared" si="300"/>
        <v>40000</v>
      </c>
      <c r="CC110" s="1194">
        <f t="shared" si="232"/>
        <v>880000</v>
      </c>
      <c r="CD110" s="1194">
        <f t="shared" si="233"/>
        <v>105600</v>
      </c>
      <c r="CE110" s="1194">
        <f t="shared" si="234"/>
        <v>985600</v>
      </c>
      <c r="CF110" s="1200">
        <f t="shared" si="235"/>
        <v>3987145.3607872194</v>
      </c>
      <c r="CG110" s="757">
        <f t="shared" si="236"/>
        <v>3987145.3607872194</v>
      </c>
      <c r="CH110" s="758">
        <f t="shared" si="237"/>
        <v>0</v>
      </c>
      <c r="CI110" s="757">
        <f t="shared" si="185"/>
        <v>408682.39948068996</v>
      </c>
      <c r="CJ110" s="757">
        <f t="shared" si="186"/>
        <v>99678.634019680496</v>
      </c>
      <c r="CK110" s="759">
        <f t="shared" si="291"/>
        <v>4495506.3942875899</v>
      </c>
      <c r="CL110" s="764">
        <f t="shared" si="238"/>
        <v>0.125</v>
      </c>
      <c r="CM110" s="757">
        <f t="shared" si="239"/>
        <v>561938.29928594874</v>
      </c>
      <c r="CN110" s="757">
        <f t="shared" si="281"/>
        <v>30000</v>
      </c>
      <c r="CO110" s="757">
        <f t="shared" si="240"/>
        <v>531938.29928594874</v>
      </c>
      <c r="CP110" s="755">
        <f t="shared" si="241"/>
        <v>29</v>
      </c>
      <c r="CQ110" s="757">
        <f t="shared" si="283"/>
        <v>18342.699975377542</v>
      </c>
      <c r="CR110" s="764">
        <f t="shared" si="242"/>
        <v>0.875</v>
      </c>
      <c r="CS110" s="757">
        <f t="shared" si="243"/>
        <v>3933568.0950016412</v>
      </c>
      <c r="CT110" s="1101">
        <f t="shared" si="244"/>
        <v>30496.911572391367</v>
      </c>
      <c r="CU110" s="1101">
        <f t="shared" si="245"/>
        <v>35356.022091106002</v>
      </c>
      <c r="CV110" s="1101">
        <f t="shared" si="246"/>
        <v>45672.060941354066</v>
      </c>
      <c r="CW110" s="1141">
        <f t="shared" si="187"/>
        <v>77889.362821111994</v>
      </c>
      <c r="CX110" s="1152">
        <f t="shared" si="247"/>
        <v>319536.23925936711</v>
      </c>
      <c r="CY110" s="1152">
        <f t="shared" si="248"/>
        <v>126438.93332454383</v>
      </c>
      <c r="CZ110" s="1152">
        <f t="shared" si="249"/>
        <v>91325.050761100109</v>
      </c>
      <c r="DA110" s="1152">
        <f t="shared" si="250"/>
        <v>69502.568017386584</v>
      </c>
      <c r="DB110" s="1143">
        <f t="shared" si="188"/>
        <v>0.1628763187002549</v>
      </c>
      <c r="DC110" s="1143">
        <f t="shared" si="251"/>
        <v>0.328364186287528</v>
      </c>
      <c r="DD110" s="1098" t="s">
        <v>232</v>
      </c>
      <c r="DE110" s="1144"/>
      <c r="DF110" s="705"/>
      <c r="DG110" s="765">
        <f t="shared" si="282"/>
        <v>46082</v>
      </c>
      <c r="DH110" s="1116">
        <f t="shared" si="189"/>
        <v>28</v>
      </c>
      <c r="DI110" s="497"/>
      <c r="DJ110" s="1117">
        <f t="shared" si="252"/>
        <v>46147</v>
      </c>
      <c r="DK110" s="1116">
        <f t="shared" si="253"/>
        <v>30</v>
      </c>
      <c r="DL110" s="766" t="s">
        <v>233</v>
      </c>
      <c r="DM110" s="766" t="s">
        <v>234</v>
      </c>
      <c r="DN110" s="767">
        <f t="shared" si="190"/>
        <v>24875.65594694802</v>
      </c>
      <c r="DO110" s="767">
        <f t="shared" si="191"/>
        <v>547264.43083285645</v>
      </c>
      <c r="DP110" s="768">
        <f t="shared" si="192"/>
        <v>0.18242147694428548</v>
      </c>
      <c r="DR110" s="767">
        <f t="shared" si="193"/>
        <v>3987145.3607872194</v>
      </c>
      <c r="DS110" s="767">
        <f>SUM('[6]INTERNAL PRICELIST'!M110)</f>
        <v>2329361</v>
      </c>
      <c r="DT110" s="767">
        <f t="shared" si="254"/>
        <v>1657784.3607872194</v>
      </c>
      <c r="DV110" s="951">
        <f t="shared" si="194"/>
        <v>181233.8800357827</v>
      </c>
      <c r="DX110" s="772">
        <v>15</v>
      </c>
      <c r="DY110" s="773" t="s">
        <v>299</v>
      </c>
      <c r="DZ110" s="774">
        <v>22</v>
      </c>
      <c r="EA110" s="775">
        <f t="shared" si="294"/>
        <v>0</v>
      </c>
      <c r="ED110" s="1133" t="s">
        <v>478</v>
      </c>
      <c r="EE110" s="777" t="b">
        <f t="shared" si="196"/>
        <v>1</v>
      </c>
      <c r="EF110" s="777"/>
      <c r="EG110" s="777"/>
      <c r="EH110" s="1203"/>
      <c r="EP110" s="1230" t="s">
        <v>258</v>
      </c>
      <c r="EQ110" s="1145" t="s">
        <v>258</v>
      </c>
      <c r="ER110" s="753" t="b">
        <f t="shared" si="255"/>
        <v>1</v>
      </c>
      <c r="EU110" s="770">
        <v>3032402.8274007286</v>
      </c>
      <c r="EV110" s="771" t="s">
        <v>258</v>
      </c>
      <c r="EW110" s="775">
        <f>EU110-CG110</f>
        <v>-954742.53338649077</v>
      </c>
      <c r="EZ110" s="520"/>
      <c r="FA110" s="778"/>
      <c r="FG110" s="1107"/>
      <c r="FJ110" s="994">
        <v>0.15</v>
      </c>
      <c r="FK110" s="993">
        <v>13042.268172546426</v>
      </c>
      <c r="FL110" s="993">
        <v>13394.761906939573</v>
      </c>
      <c r="FM110" s="497"/>
      <c r="FN110" s="993">
        <f t="shared" si="197"/>
        <v>4495506.3942875899</v>
      </c>
      <c r="FO110" s="994">
        <f t="shared" si="256"/>
        <v>0.15</v>
      </c>
      <c r="FP110" s="775">
        <f t="shared" si="198"/>
        <v>674325.95914313849</v>
      </c>
      <c r="FQ110" s="993">
        <f t="shared" si="199"/>
        <v>30000</v>
      </c>
      <c r="FR110" s="775">
        <f t="shared" si="257"/>
        <v>644325.95914313849</v>
      </c>
      <c r="FS110" s="497">
        <f t="shared" si="258"/>
        <v>40</v>
      </c>
      <c r="FT110" s="775">
        <f t="shared" si="259"/>
        <v>16108.148978578462</v>
      </c>
      <c r="FU110" s="497"/>
      <c r="FV110" s="993">
        <f t="shared" si="260"/>
        <v>4495506.3942875899</v>
      </c>
      <c r="FW110" s="705">
        <f t="shared" si="261"/>
        <v>449550.63942875899</v>
      </c>
      <c r="FX110" s="705">
        <f t="shared" si="262"/>
        <v>112387.65985718975</v>
      </c>
      <c r="FY110" s="705">
        <v>15000</v>
      </c>
      <c r="FZ110" s="705">
        <f t="shared" si="263"/>
        <v>434550.63942875899</v>
      </c>
      <c r="GA110" s="497">
        <f t="shared" si="264"/>
        <v>46</v>
      </c>
      <c r="GB110" s="775">
        <f t="shared" si="265"/>
        <v>9446.7530310599777</v>
      </c>
      <c r="GC110" s="497"/>
      <c r="GD110" s="497"/>
      <c r="GE110" s="1107"/>
      <c r="GH110" s="1095">
        <f t="shared" si="161"/>
        <v>4495506.3942875899</v>
      </c>
      <c r="GI110" s="1098">
        <f t="shared" si="162"/>
        <v>0.125</v>
      </c>
      <c r="GJ110" s="1095">
        <f t="shared" si="163"/>
        <v>561938.29928594874</v>
      </c>
      <c r="GK110" s="1095">
        <f t="shared" si="164"/>
        <v>30000</v>
      </c>
      <c r="GL110" s="1095">
        <f t="shared" si="165"/>
        <v>531938.29928594874</v>
      </c>
      <c r="GM110" s="1095">
        <f t="shared" si="166"/>
        <v>29</v>
      </c>
      <c r="GN110" s="1095">
        <f t="shared" si="167"/>
        <v>18342.699975377542</v>
      </c>
      <c r="GO110" s="1098">
        <f t="shared" si="168"/>
        <v>0.875</v>
      </c>
      <c r="GP110" s="1095">
        <f t="shared" si="169"/>
        <v>3933568.0950016412</v>
      </c>
      <c r="GQ110" s="1095">
        <f t="shared" si="170"/>
        <v>30496.911572391367</v>
      </c>
      <c r="GR110" s="1095">
        <f t="shared" si="171"/>
        <v>35356.022091106002</v>
      </c>
      <c r="GS110" s="1095">
        <f t="shared" si="172"/>
        <v>45672.060941354066</v>
      </c>
      <c r="GT110" s="1095">
        <f t="shared" si="173"/>
        <v>77889.362821111994</v>
      </c>
      <c r="GU110" s="497"/>
      <c r="GV110" s="1095">
        <f t="shared" si="266"/>
        <v>4495506.3942875899</v>
      </c>
      <c r="GW110" s="1098">
        <f t="shared" si="267"/>
        <v>0.125</v>
      </c>
      <c r="GX110" s="1095">
        <f t="shared" si="268"/>
        <v>561938.29928594874</v>
      </c>
      <c r="GY110" s="1095">
        <f t="shared" si="269"/>
        <v>30000</v>
      </c>
      <c r="GZ110" s="1095">
        <f t="shared" si="270"/>
        <v>531938.29928594874</v>
      </c>
      <c r="HA110" s="1106">
        <f t="shared" si="271"/>
        <v>48</v>
      </c>
      <c r="HB110" s="770">
        <f t="shared" si="272"/>
        <v>11082.047901790598</v>
      </c>
      <c r="HC110" s="1098">
        <f t="shared" si="273"/>
        <v>0.875</v>
      </c>
      <c r="HD110" s="1102">
        <f t="shared" si="274"/>
        <v>3933568.0950016412</v>
      </c>
      <c r="HE110" s="1101">
        <f t="shared" si="275"/>
        <v>30496.911572391367</v>
      </c>
      <c r="HF110" s="1101">
        <f t="shared" si="276"/>
        <v>35356.022091106002</v>
      </c>
      <c r="HG110" s="1101">
        <f t="shared" si="277"/>
        <v>45672.060941354066</v>
      </c>
      <c r="HH110" s="1101">
        <f t="shared" si="278"/>
        <v>77889.362821111994</v>
      </c>
      <c r="HI110" s="497"/>
      <c r="HJ110" s="1102">
        <f t="shared" si="279"/>
        <v>-7260.6520735869435</v>
      </c>
      <c r="HL110" s="775"/>
      <c r="HN110" s="775"/>
      <c r="HO110" s="775"/>
      <c r="HQ110" s="702"/>
      <c r="HR110" s="1171"/>
      <c r="HS110" s="702"/>
      <c r="HT110" s="1171"/>
    </row>
    <row r="111" spans="1:228" ht="14.25" hidden="1" customHeight="1">
      <c r="A111" s="753">
        <f t="shared" si="280"/>
        <v>105</v>
      </c>
      <c r="B111" s="753"/>
      <c r="C111" s="753">
        <f t="shared" si="292"/>
        <v>12</v>
      </c>
      <c r="D111" s="753" t="s">
        <v>265</v>
      </c>
      <c r="E111" s="717" t="str">
        <f t="shared" si="200"/>
        <v>6th Floor</v>
      </c>
      <c r="F111" s="754"/>
      <c r="G111" s="756" t="s">
        <v>479</v>
      </c>
      <c r="H111" s="756"/>
      <c r="I111" s="755" t="s">
        <v>229</v>
      </c>
      <c r="J111" s="757">
        <v>22</v>
      </c>
      <c r="K111" s="758"/>
      <c r="L111" s="759" t="s">
        <v>277</v>
      </c>
      <c r="M111" s="760" t="s">
        <v>68</v>
      </c>
      <c r="N111" s="761">
        <f t="shared" si="201"/>
        <v>106005.26567735759</v>
      </c>
      <c r="O111" s="762">
        <f t="shared" si="202"/>
        <v>2332115.8449018667</v>
      </c>
      <c r="P111" s="762">
        <f t="shared" si="203"/>
        <v>22400</v>
      </c>
      <c r="Q111" s="762">
        <f t="shared" si="175"/>
        <v>50000</v>
      </c>
      <c r="R111" s="762"/>
      <c r="S111" s="762"/>
      <c r="T111" s="762"/>
      <c r="U111" s="762"/>
      <c r="V111" s="762"/>
      <c r="W111" s="762"/>
      <c r="X111" s="762"/>
      <c r="Y111" s="762">
        <f t="shared" si="293"/>
        <v>40000</v>
      </c>
      <c r="Z111" s="762">
        <f t="shared" si="177"/>
        <v>142461</v>
      </c>
      <c r="AA111" s="762">
        <v>45722.732758620688</v>
      </c>
      <c r="AB111" s="762"/>
      <c r="AC111" s="762"/>
      <c r="AD111" s="763">
        <f t="shared" si="204"/>
        <v>300583.7327586207</v>
      </c>
      <c r="AE111" s="763">
        <f t="shared" si="178"/>
        <v>2632699.5776604875</v>
      </c>
      <c r="AF111" s="762">
        <f t="shared" si="179"/>
        <v>65817.489441512196</v>
      </c>
      <c r="AG111" s="762">
        <f t="shared" si="205"/>
        <v>2698517.0671019997</v>
      </c>
      <c r="AH111" s="762">
        <f t="shared" si="180"/>
        <v>67462.92667755</v>
      </c>
      <c r="AI111" s="762">
        <f t="shared" si="206"/>
        <v>2765979.9937795498</v>
      </c>
      <c r="AJ111" s="762">
        <f t="shared" si="207"/>
        <v>138298.99968897749</v>
      </c>
      <c r="AK111" s="762">
        <f t="shared" si="208"/>
        <v>2904278.9934685272</v>
      </c>
      <c r="AL111" s="762">
        <f t="shared" si="209"/>
        <v>29042.789934685272</v>
      </c>
      <c r="AM111" s="762">
        <f t="shared" si="210"/>
        <v>27537.409960060559</v>
      </c>
      <c r="AN111" s="762"/>
      <c r="AO111" s="763">
        <f t="shared" si="211"/>
        <v>2960859.1933632731</v>
      </c>
      <c r="AP111" s="763">
        <f t="shared" si="212"/>
        <v>488541.76690494007</v>
      </c>
      <c r="AQ111" s="763">
        <f t="shared" si="213"/>
        <v>3449400.9602682129</v>
      </c>
      <c r="AR111" s="1178">
        <f t="shared" si="181"/>
        <v>3000000</v>
      </c>
      <c r="AS111" s="1178">
        <f t="shared" si="214"/>
        <v>20427.316375827861</v>
      </c>
      <c r="AT111" s="1178">
        <f t="shared" si="215"/>
        <v>449400.96026821295</v>
      </c>
      <c r="AU111" s="1178">
        <f t="shared" si="182"/>
        <v>53928.115232185555</v>
      </c>
      <c r="AV111" s="1178">
        <f t="shared" si="216"/>
        <v>503329.07550039853</v>
      </c>
      <c r="AW111" s="1178">
        <f t="shared" si="217"/>
        <v>3503329.0755003984</v>
      </c>
      <c r="AX111" s="762">
        <f t="shared" si="218"/>
        <v>43791.613443754984</v>
      </c>
      <c r="AY111" s="717" t="s">
        <v>231</v>
      </c>
      <c r="AZ111" s="717">
        <f t="shared" si="219"/>
        <v>3547120.6889441535</v>
      </c>
      <c r="BA111" s="717">
        <f t="shared" si="220"/>
        <v>133017.02583540574</v>
      </c>
      <c r="BB111" s="717"/>
      <c r="BC111" s="717">
        <f t="shared" si="183"/>
        <v>33600</v>
      </c>
      <c r="BD111" s="717">
        <f t="shared" si="221"/>
        <v>3713737.7147795591</v>
      </c>
      <c r="BE111" s="717"/>
      <c r="BF111" s="717">
        <f t="shared" si="222"/>
        <v>3713737.7147795591</v>
      </c>
      <c r="BG111" s="1209"/>
      <c r="BH111" s="717">
        <f t="shared" si="223"/>
        <v>3713737.7147795591</v>
      </c>
      <c r="BI111" s="717"/>
      <c r="BJ111" s="717">
        <f t="shared" si="224"/>
        <v>3713737.7147795591</v>
      </c>
      <c r="BK111" s="717"/>
      <c r="BL111" s="717">
        <f t="shared" si="225"/>
        <v>3713737.7147795591</v>
      </c>
      <c r="BM111" s="717"/>
      <c r="BN111" s="717">
        <f t="shared" si="226"/>
        <v>3713737.7147795591</v>
      </c>
      <c r="BO111" s="717"/>
      <c r="BP111" s="717">
        <f t="shared" si="184"/>
        <v>3713737.7147795591</v>
      </c>
      <c r="BQ111" s="717"/>
      <c r="BR111" s="717">
        <f t="shared" si="285"/>
        <v>3713737.7147795591</v>
      </c>
      <c r="BS111" s="717"/>
      <c r="BT111" s="717">
        <f t="shared" si="227"/>
        <v>3713737.7147795591</v>
      </c>
      <c r="BU111" s="717"/>
      <c r="BV111" s="1235">
        <f t="shared" si="286"/>
        <v>51400</v>
      </c>
      <c r="BW111" s="717">
        <f t="shared" si="228"/>
        <v>3765137.7147795591</v>
      </c>
      <c r="BX111" s="717"/>
      <c r="BY111" s="717">
        <f t="shared" si="229"/>
        <v>3765137.7147795591</v>
      </c>
      <c r="BZ111" s="1194">
        <f t="shared" si="230"/>
        <v>3765137.7147795591</v>
      </c>
      <c r="CA111" s="1194">
        <f t="shared" si="231"/>
        <v>3028137.7147795591</v>
      </c>
      <c r="CB111" s="1194">
        <v>33500</v>
      </c>
      <c r="CC111" s="1194">
        <f t="shared" si="232"/>
        <v>737000</v>
      </c>
      <c r="CD111" s="1194">
        <f t="shared" si="233"/>
        <v>88440</v>
      </c>
      <c r="CE111" s="1194">
        <f t="shared" si="234"/>
        <v>825440</v>
      </c>
      <c r="CF111" s="1200">
        <f t="shared" si="235"/>
        <v>3853577.7147795591</v>
      </c>
      <c r="CG111" s="757">
        <f t="shared" si="236"/>
        <v>3853577.7147795591</v>
      </c>
      <c r="CH111" s="758">
        <f t="shared" si="237"/>
        <v>0</v>
      </c>
      <c r="CI111" s="757">
        <f t="shared" si="185"/>
        <v>394991.7157649048</v>
      </c>
      <c r="CJ111" s="757">
        <f t="shared" si="186"/>
        <v>96339.442869488979</v>
      </c>
      <c r="CK111" s="759">
        <f t="shared" si="291"/>
        <v>4344908.873413953</v>
      </c>
      <c r="CL111" s="764">
        <f t="shared" si="238"/>
        <v>0.125</v>
      </c>
      <c r="CM111" s="757">
        <f t="shared" si="239"/>
        <v>543113.60917674412</v>
      </c>
      <c r="CN111" s="757">
        <f t="shared" si="281"/>
        <v>30000</v>
      </c>
      <c r="CO111" s="757">
        <f t="shared" si="240"/>
        <v>513113.60917674412</v>
      </c>
      <c r="CP111" s="755">
        <f t="shared" si="241"/>
        <v>29</v>
      </c>
      <c r="CQ111" s="757">
        <f t="shared" si="283"/>
        <v>17693.572730232558</v>
      </c>
      <c r="CR111" s="764">
        <f t="shared" si="242"/>
        <v>0.875</v>
      </c>
      <c r="CS111" s="757">
        <f t="shared" si="243"/>
        <v>3801795.2642372088</v>
      </c>
      <c r="CT111" s="1101">
        <f t="shared" si="244"/>
        <v>29475.278218039861</v>
      </c>
      <c r="CU111" s="1101">
        <f t="shared" si="245"/>
        <v>34171.610634892764</v>
      </c>
      <c r="CV111" s="1101">
        <f t="shared" si="246"/>
        <v>44142.066643114937</v>
      </c>
      <c r="CW111" s="1141">
        <f t="shared" si="187"/>
        <v>75280.102836921593</v>
      </c>
      <c r="CX111" s="1152">
        <f t="shared" si="247"/>
        <v>308831.91337454721</v>
      </c>
      <c r="CY111" s="1152">
        <f t="shared" si="248"/>
        <v>122203.28371568573</v>
      </c>
      <c r="CZ111" s="1152">
        <f t="shared" si="249"/>
        <v>88265.701038951564</v>
      </c>
      <c r="DA111" s="1152">
        <f t="shared" si="250"/>
        <v>67174.262033644685</v>
      </c>
      <c r="DB111" s="1143">
        <f t="shared" si="188"/>
        <v>0.1498003200894043</v>
      </c>
      <c r="DC111" s="1143">
        <f t="shared" si="251"/>
        <v>0.27258998029423837</v>
      </c>
      <c r="DD111" s="1098" t="s">
        <v>232</v>
      </c>
      <c r="DE111" s="1144"/>
      <c r="DF111" s="705"/>
      <c r="DG111" s="765">
        <f t="shared" si="282"/>
        <v>46082</v>
      </c>
      <c r="DH111" s="1116">
        <f t="shared" si="189"/>
        <v>28</v>
      </c>
      <c r="DI111" s="497"/>
      <c r="DJ111" s="1117">
        <f t="shared" si="252"/>
        <v>46147</v>
      </c>
      <c r="DK111" s="1116">
        <f t="shared" si="253"/>
        <v>30</v>
      </c>
      <c r="DL111" s="766" t="s">
        <v>233</v>
      </c>
      <c r="DM111" s="766" t="s">
        <v>234</v>
      </c>
      <c r="DN111" s="767">
        <f t="shared" si="190"/>
        <v>22878.594340927204</v>
      </c>
      <c r="DO111" s="767">
        <f t="shared" si="191"/>
        <v>503329.07550039853</v>
      </c>
      <c r="DP111" s="768">
        <f t="shared" si="192"/>
        <v>0.16777635850013284</v>
      </c>
      <c r="DR111" s="767">
        <f t="shared" si="193"/>
        <v>3853577.7147795591</v>
      </c>
      <c r="DS111" s="767">
        <f>SUM('[6]INTERNAL PRICELIST'!M111)</f>
        <v>2329361</v>
      </c>
      <c r="DT111" s="767">
        <f t="shared" si="254"/>
        <v>1524216.7147795591</v>
      </c>
      <c r="DV111" s="951">
        <f t="shared" si="194"/>
        <v>175162.62339907087</v>
      </c>
      <c r="DX111" s="772">
        <v>16</v>
      </c>
      <c r="DY111" s="773" t="s">
        <v>303</v>
      </c>
      <c r="DZ111" s="774">
        <v>22</v>
      </c>
      <c r="EA111" s="775">
        <f t="shared" si="294"/>
        <v>0</v>
      </c>
      <c r="ED111" s="1133" t="s">
        <v>479</v>
      </c>
      <c r="EE111" s="777" t="b">
        <f t="shared" si="196"/>
        <v>1</v>
      </c>
      <c r="EF111" s="777"/>
      <c r="EG111" s="777"/>
      <c r="EH111" s="1203"/>
      <c r="EP111" s="1230" t="s">
        <v>236</v>
      </c>
      <c r="EQ111" s="1145" t="s">
        <v>236</v>
      </c>
      <c r="ER111" s="753" t="b">
        <f t="shared" si="255"/>
        <v>1</v>
      </c>
      <c r="EU111" s="770">
        <v>2409740</v>
      </c>
      <c r="EV111" s="771" t="s">
        <v>236</v>
      </c>
      <c r="EZ111" s="520"/>
      <c r="FA111" s="778"/>
      <c r="FG111" s="1107"/>
      <c r="FJ111" s="994">
        <v>0.15</v>
      </c>
      <c r="FK111" s="993">
        <v>13042.268172546426</v>
      </c>
      <c r="FL111" s="993">
        <v>13394.761906939573</v>
      </c>
      <c r="FM111" s="497"/>
      <c r="FN111" s="993">
        <f t="shared" si="197"/>
        <v>4344908.873413953</v>
      </c>
      <c r="FO111" s="994">
        <f t="shared" si="256"/>
        <v>0.15</v>
      </c>
      <c r="FP111" s="775">
        <f t="shared" si="198"/>
        <v>651736.33101209288</v>
      </c>
      <c r="FQ111" s="993">
        <f t="shared" si="199"/>
        <v>30000</v>
      </c>
      <c r="FR111" s="775">
        <f t="shared" si="257"/>
        <v>621736.33101209288</v>
      </c>
      <c r="FS111" s="497">
        <f t="shared" si="258"/>
        <v>40</v>
      </c>
      <c r="FT111" s="775">
        <f t="shared" si="259"/>
        <v>15543.408275302321</v>
      </c>
      <c r="FU111" s="497"/>
      <c r="FV111" s="993">
        <f t="shared" si="260"/>
        <v>4344908.873413953</v>
      </c>
      <c r="FW111" s="705">
        <f t="shared" si="261"/>
        <v>434490.88734139531</v>
      </c>
      <c r="FX111" s="705">
        <f t="shared" si="262"/>
        <v>108622.72183534883</v>
      </c>
      <c r="FY111" s="705">
        <v>15000</v>
      </c>
      <c r="FZ111" s="705">
        <f t="shared" si="263"/>
        <v>419490.88734139531</v>
      </c>
      <c r="GA111" s="497">
        <f t="shared" si="264"/>
        <v>46</v>
      </c>
      <c r="GB111" s="775">
        <f t="shared" si="265"/>
        <v>9119.3671161172897</v>
      </c>
      <c r="GC111" s="497"/>
      <c r="GD111" s="497"/>
      <c r="GE111" s="1107"/>
      <c r="GH111" s="1095">
        <f t="shared" si="161"/>
        <v>4344908.873413953</v>
      </c>
      <c r="GI111" s="1098">
        <f t="shared" si="162"/>
        <v>0.125</v>
      </c>
      <c r="GJ111" s="1095">
        <f t="shared" si="163"/>
        <v>543113.60917674412</v>
      </c>
      <c r="GK111" s="1095">
        <f t="shared" si="164"/>
        <v>30000</v>
      </c>
      <c r="GL111" s="1095">
        <f t="shared" si="165"/>
        <v>513113.60917674412</v>
      </c>
      <c r="GM111" s="1095">
        <f t="shared" si="166"/>
        <v>29</v>
      </c>
      <c r="GN111" s="1095">
        <f t="shared" si="167"/>
        <v>17693.572730232558</v>
      </c>
      <c r="GO111" s="1098">
        <f t="shared" si="168"/>
        <v>0.875</v>
      </c>
      <c r="GP111" s="1095">
        <f t="shared" si="169"/>
        <v>3801795.2642372088</v>
      </c>
      <c r="GQ111" s="1095">
        <f t="shared" si="170"/>
        <v>29475.278218039861</v>
      </c>
      <c r="GR111" s="1095">
        <f t="shared" si="171"/>
        <v>34171.610634892764</v>
      </c>
      <c r="GS111" s="1095">
        <f t="shared" si="172"/>
        <v>44142.066643114937</v>
      </c>
      <c r="GT111" s="1095">
        <f t="shared" si="173"/>
        <v>75280.102836921593</v>
      </c>
      <c r="GU111" s="497"/>
      <c r="GV111" s="1095">
        <f t="shared" si="266"/>
        <v>4344908.873413953</v>
      </c>
      <c r="GW111" s="1098">
        <f t="shared" si="267"/>
        <v>0.125</v>
      </c>
      <c r="GX111" s="1095">
        <f t="shared" si="268"/>
        <v>543113.60917674412</v>
      </c>
      <c r="GY111" s="1095">
        <f t="shared" si="269"/>
        <v>30000</v>
      </c>
      <c r="GZ111" s="1095">
        <f t="shared" si="270"/>
        <v>513113.60917674412</v>
      </c>
      <c r="HA111" s="1106">
        <f t="shared" si="271"/>
        <v>48</v>
      </c>
      <c r="HB111" s="770">
        <f t="shared" si="272"/>
        <v>10689.866857848836</v>
      </c>
      <c r="HC111" s="1098">
        <f t="shared" si="273"/>
        <v>0.875</v>
      </c>
      <c r="HD111" s="1102">
        <f t="shared" si="274"/>
        <v>3801795.2642372088</v>
      </c>
      <c r="HE111" s="1101">
        <f t="shared" si="275"/>
        <v>29475.278218039861</v>
      </c>
      <c r="HF111" s="1101">
        <f t="shared" si="276"/>
        <v>34171.610634892764</v>
      </c>
      <c r="HG111" s="1101">
        <f t="shared" si="277"/>
        <v>44142.066643114937</v>
      </c>
      <c r="HH111" s="1101">
        <f t="shared" si="278"/>
        <v>75280.102836921593</v>
      </c>
      <c r="HI111" s="497"/>
      <c r="HJ111" s="1102">
        <f t="shared" si="279"/>
        <v>-7003.7058723837217</v>
      </c>
      <c r="HL111" s="775"/>
      <c r="HN111" s="775"/>
      <c r="HO111" s="775"/>
      <c r="HQ111" s="702"/>
      <c r="HR111" s="1171"/>
      <c r="HS111" s="702"/>
      <c r="HT111" s="1171"/>
    </row>
    <row r="112" spans="1:228" ht="14.25" hidden="1" customHeight="1">
      <c r="A112" s="753">
        <f t="shared" si="280"/>
        <v>106</v>
      </c>
      <c r="B112" s="753"/>
      <c r="C112" s="753">
        <f t="shared" si="292"/>
        <v>13</v>
      </c>
      <c r="D112" s="753" t="s">
        <v>265</v>
      </c>
      <c r="E112" s="717" t="str">
        <f t="shared" si="200"/>
        <v>6th Floor</v>
      </c>
      <c r="F112" s="754"/>
      <c r="G112" s="756" t="s">
        <v>480</v>
      </c>
      <c r="H112" s="756"/>
      <c r="I112" s="755" t="s">
        <v>229</v>
      </c>
      <c r="J112" s="757">
        <v>22</v>
      </c>
      <c r="K112" s="758"/>
      <c r="L112" s="759" t="s">
        <v>277</v>
      </c>
      <c r="M112" s="760" t="s">
        <v>68</v>
      </c>
      <c r="N112" s="761">
        <f t="shared" si="201"/>
        <v>106005.26567735759</v>
      </c>
      <c r="O112" s="762">
        <f t="shared" si="202"/>
        <v>2332115.8449018667</v>
      </c>
      <c r="P112" s="762">
        <f t="shared" si="203"/>
        <v>22400</v>
      </c>
      <c r="Q112" s="762">
        <f t="shared" si="175"/>
        <v>50000</v>
      </c>
      <c r="R112" s="762"/>
      <c r="S112" s="762"/>
      <c r="T112" s="762"/>
      <c r="U112" s="762"/>
      <c r="V112" s="762"/>
      <c r="W112" s="762"/>
      <c r="X112" s="762"/>
      <c r="Y112" s="762">
        <f t="shared" si="293"/>
        <v>40000</v>
      </c>
      <c r="Z112" s="762">
        <f t="shared" si="177"/>
        <v>142461</v>
      </c>
      <c r="AA112" s="762">
        <v>45722.732758620688</v>
      </c>
      <c r="AB112" s="762"/>
      <c r="AC112" s="762"/>
      <c r="AD112" s="763">
        <f t="shared" si="204"/>
        <v>300583.7327586207</v>
      </c>
      <c r="AE112" s="763">
        <f t="shared" si="178"/>
        <v>2632699.5776604875</v>
      </c>
      <c r="AF112" s="762">
        <f t="shared" si="179"/>
        <v>65817.489441512196</v>
      </c>
      <c r="AG112" s="762">
        <f t="shared" si="205"/>
        <v>2698517.0671019997</v>
      </c>
      <c r="AH112" s="762">
        <f t="shared" si="180"/>
        <v>67462.92667755</v>
      </c>
      <c r="AI112" s="762">
        <f t="shared" si="206"/>
        <v>2765979.9937795498</v>
      </c>
      <c r="AJ112" s="762">
        <f t="shared" si="207"/>
        <v>138298.99968897749</v>
      </c>
      <c r="AK112" s="762">
        <f t="shared" si="208"/>
        <v>2904278.9934685272</v>
      </c>
      <c r="AL112" s="762">
        <f t="shared" si="209"/>
        <v>29042.789934685272</v>
      </c>
      <c r="AM112" s="762">
        <f t="shared" si="210"/>
        <v>27537.409960060559</v>
      </c>
      <c r="AN112" s="762"/>
      <c r="AO112" s="763">
        <f t="shared" si="211"/>
        <v>2960859.1933632731</v>
      </c>
      <c r="AP112" s="763">
        <f t="shared" si="212"/>
        <v>488541.76690494007</v>
      </c>
      <c r="AQ112" s="763">
        <f t="shared" si="213"/>
        <v>3449400.9602682129</v>
      </c>
      <c r="AR112" s="1178">
        <f t="shared" si="181"/>
        <v>3000000</v>
      </c>
      <c r="AS112" s="1178">
        <f t="shared" si="214"/>
        <v>20427.316375827861</v>
      </c>
      <c r="AT112" s="1178">
        <f t="shared" si="215"/>
        <v>449400.96026821295</v>
      </c>
      <c r="AU112" s="1178">
        <f t="shared" si="182"/>
        <v>53928.115232185555</v>
      </c>
      <c r="AV112" s="1178">
        <f t="shared" si="216"/>
        <v>503329.07550039853</v>
      </c>
      <c r="AW112" s="1178">
        <f t="shared" si="217"/>
        <v>3503329.0755003984</v>
      </c>
      <c r="AX112" s="762">
        <f t="shared" si="218"/>
        <v>43791.613443754984</v>
      </c>
      <c r="AY112" s="717" t="s">
        <v>231</v>
      </c>
      <c r="AZ112" s="717">
        <f t="shared" si="219"/>
        <v>3547120.6889441535</v>
      </c>
      <c r="BA112" s="717">
        <f t="shared" si="220"/>
        <v>133017.02583540574</v>
      </c>
      <c r="BB112" s="717"/>
      <c r="BC112" s="717">
        <f t="shared" si="183"/>
        <v>33600</v>
      </c>
      <c r="BD112" s="717">
        <f t="shared" si="221"/>
        <v>3713737.7147795591</v>
      </c>
      <c r="BE112" s="717"/>
      <c r="BF112" s="717">
        <f t="shared" si="222"/>
        <v>3713737.7147795591</v>
      </c>
      <c r="BG112" s="1209"/>
      <c r="BH112" s="717">
        <f t="shared" si="223"/>
        <v>3713737.7147795591</v>
      </c>
      <c r="BI112" s="717"/>
      <c r="BJ112" s="717">
        <f t="shared" si="224"/>
        <v>3713737.7147795591</v>
      </c>
      <c r="BK112" s="717"/>
      <c r="BL112" s="717">
        <f t="shared" si="225"/>
        <v>3713737.7147795591</v>
      </c>
      <c r="BM112" s="717"/>
      <c r="BN112" s="717">
        <f t="shared" si="226"/>
        <v>3713737.7147795591</v>
      </c>
      <c r="BO112" s="717"/>
      <c r="BP112" s="717">
        <f t="shared" si="184"/>
        <v>3713737.7147795591</v>
      </c>
      <c r="BQ112" s="717"/>
      <c r="BR112" s="717">
        <f t="shared" si="285"/>
        <v>3713737.7147795591</v>
      </c>
      <c r="BS112" s="717"/>
      <c r="BT112" s="717">
        <f t="shared" si="227"/>
        <v>3713737.7147795591</v>
      </c>
      <c r="BU112" s="717"/>
      <c r="BV112" s="1235">
        <f t="shared" si="286"/>
        <v>51400</v>
      </c>
      <c r="BW112" s="717">
        <f t="shared" si="228"/>
        <v>3765137.7147795591</v>
      </c>
      <c r="BX112" s="717"/>
      <c r="BY112" s="717">
        <f t="shared" si="229"/>
        <v>3765137.7147795591</v>
      </c>
      <c r="BZ112" s="1194">
        <f t="shared" si="230"/>
        <v>3765137.7147795591</v>
      </c>
      <c r="CA112" s="1194">
        <f t="shared" si="231"/>
        <v>3028137.7147795591</v>
      </c>
      <c r="CB112" s="1194">
        <v>33500</v>
      </c>
      <c r="CC112" s="1194">
        <f t="shared" si="232"/>
        <v>737000</v>
      </c>
      <c r="CD112" s="1194">
        <f t="shared" si="233"/>
        <v>88440</v>
      </c>
      <c r="CE112" s="1194">
        <f t="shared" si="234"/>
        <v>825440</v>
      </c>
      <c r="CF112" s="1200">
        <f t="shared" si="235"/>
        <v>3853577.7147795591</v>
      </c>
      <c r="CG112" s="757">
        <f t="shared" si="236"/>
        <v>3853577.7147795591</v>
      </c>
      <c r="CH112" s="758">
        <f t="shared" si="237"/>
        <v>0</v>
      </c>
      <c r="CI112" s="757">
        <f t="shared" si="185"/>
        <v>394991.7157649048</v>
      </c>
      <c r="CJ112" s="757">
        <f t="shared" si="186"/>
        <v>96339.442869488979</v>
      </c>
      <c r="CK112" s="759">
        <f t="shared" si="291"/>
        <v>4344908.873413953</v>
      </c>
      <c r="CL112" s="764">
        <f t="shared" si="238"/>
        <v>0.125</v>
      </c>
      <c r="CM112" s="757">
        <f t="shared" si="239"/>
        <v>543113.60917674412</v>
      </c>
      <c r="CN112" s="757">
        <f t="shared" si="281"/>
        <v>30000</v>
      </c>
      <c r="CO112" s="757">
        <f t="shared" si="240"/>
        <v>513113.60917674412</v>
      </c>
      <c r="CP112" s="755">
        <f t="shared" si="241"/>
        <v>29</v>
      </c>
      <c r="CQ112" s="757">
        <f t="shared" si="283"/>
        <v>17693.572730232558</v>
      </c>
      <c r="CR112" s="764">
        <f t="shared" si="242"/>
        <v>0.875</v>
      </c>
      <c r="CS112" s="757">
        <f t="shared" si="243"/>
        <v>3801795.2642372088</v>
      </c>
      <c r="CT112" s="1101">
        <f t="shared" si="244"/>
        <v>29475.278218039861</v>
      </c>
      <c r="CU112" s="1101">
        <f t="shared" si="245"/>
        <v>34171.610634892764</v>
      </c>
      <c r="CV112" s="1101">
        <f t="shared" si="246"/>
        <v>44142.066643114937</v>
      </c>
      <c r="CW112" s="1141">
        <f t="shared" si="187"/>
        <v>75280.102836921593</v>
      </c>
      <c r="CX112" s="1152">
        <f t="shared" si="247"/>
        <v>308831.91337454721</v>
      </c>
      <c r="CY112" s="1152">
        <f t="shared" si="248"/>
        <v>122203.28371568573</v>
      </c>
      <c r="CZ112" s="1152">
        <f t="shared" si="249"/>
        <v>88265.701038951564</v>
      </c>
      <c r="DA112" s="1152">
        <f t="shared" si="250"/>
        <v>67174.262033644685</v>
      </c>
      <c r="DB112" s="1143">
        <f t="shared" si="188"/>
        <v>0.1498003200894043</v>
      </c>
      <c r="DC112" s="1143">
        <f t="shared" si="251"/>
        <v>0.27258998029423837</v>
      </c>
      <c r="DD112" s="1098" t="s">
        <v>232</v>
      </c>
      <c r="DE112" s="1144"/>
      <c r="DF112" s="705"/>
      <c r="DG112" s="765">
        <f t="shared" si="282"/>
        <v>46082</v>
      </c>
      <c r="DH112" s="1116">
        <f t="shared" si="189"/>
        <v>28</v>
      </c>
      <c r="DI112" s="497"/>
      <c r="DJ112" s="1117">
        <f t="shared" si="252"/>
        <v>46147</v>
      </c>
      <c r="DK112" s="1116">
        <f t="shared" si="253"/>
        <v>30</v>
      </c>
      <c r="DL112" s="766" t="s">
        <v>233</v>
      </c>
      <c r="DM112" s="766" t="s">
        <v>234</v>
      </c>
      <c r="DN112" s="767">
        <f t="shared" si="190"/>
        <v>22878.594340927204</v>
      </c>
      <c r="DO112" s="767">
        <f t="shared" si="191"/>
        <v>503329.07550039853</v>
      </c>
      <c r="DP112" s="768">
        <f t="shared" si="192"/>
        <v>0.16777635850013284</v>
      </c>
      <c r="DR112" s="767">
        <f t="shared" si="193"/>
        <v>3853577.7147795591</v>
      </c>
      <c r="DS112" s="767">
        <f>SUM('[6]INTERNAL PRICELIST'!M112)</f>
        <v>2329361</v>
      </c>
      <c r="DT112" s="767">
        <f t="shared" si="254"/>
        <v>1524216.7147795591</v>
      </c>
      <c r="DV112" s="951">
        <f t="shared" si="194"/>
        <v>175162.62339907087</v>
      </c>
      <c r="DX112" s="772">
        <v>17</v>
      </c>
      <c r="DY112" s="773" t="s">
        <v>305</v>
      </c>
      <c r="DZ112" s="774">
        <v>22</v>
      </c>
      <c r="EA112" s="775">
        <f t="shared" si="294"/>
        <v>0</v>
      </c>
      <c r="ED112" s="1133" t="s">
        <v>480</v>
      </c>
      <c r="EE112" s="777" t="b">
        <f t="shared" si="196"/>
        <v>1</v>
      </c>
      <c r="EF112" s="777"/>
      <c r="EG112" s="777"/>
      <c r="EH112" s="1203"/>
      <c r="EP112" s="1230" t="s">
        <v>236</v>
      </c>
      <c r="EQ112" s="1145" t="s">
        <v>236</v>
      </c>
      <c r="ER112" s="753" t="b">
        <f t="shared" si="255"/>
        <v>1</v>
      </c>
      <c r="EU112" s="770">
        <v>3032402.8274007286</v>
      </c>
      <c r="EV112" s="771" t="s">
        <v>258</v>
      </c>
      <c r="EW112" s="775">
        <f>EU112-CG112</f>
        <v>-821174.88737883046</v>
      </c>
      <c r="EY112" s="775">
        <v>2999905.867497799</v>
      </c>
      <c r="EZ112" s="520"/>
      <c r="FA112" s="778"/>
      <c r="FG112" s="1107"/>
      <c r="FJ112" s="994">
        <v>0.125</v>
      </c>
      <c r="FK112" s="993">
        <v>10802.767336771145</v>
      </c>
      <c r="FL112" s="993">
        <v>11094.734021548744</v>
      </c>
      <c r="FM112" s="497"/>
      <c r="FN112" s="993">
        <f t="shared" si="197"/>
        <v>4344908.873413953</v>
      </c>
      <c r="FO112" s="994">
        <f t="shared" si="256"/>
        <v>0.15</v>
      </c>
      <c r="FP112" s="775">
        <f t="shared" si="198"/>
        <v>651736.33101209288</v>
      </c>
      <c r="FQ112" s="993">
        <f t="shared" si="199"/>
        <v>30000</v>
      </c>
      <c r="FR112" s="775">
        <f t="shared" si="257"/>
        <v>621736.33101209288</v>
      </c>
      <c r="FS112" s="497">
        <f t="shared" si="258"/>
        <v>40</v>
      </c>
      <c r="FT112" s="775">
        <f t="shared" si="259"/>
        <v>15543.408275302321</v>
      </c>
      <c r="FU112" s="497"/>
      <c r="FV112" s="993">
        <f t="shared" si="260"/>
        <v>4344908.873413953</v>
      </c>
      <c r="FW112" s="705">
        <f t="shared" si="261"/>
        <v>434490.88734139531</v>
      </c>
      <c r="FX112" s="705">
        <f t="shared" si="262"/>
        <v>108622.72183534883</v>
      </c>
      <c r="FY112" s="705">
        <v>15000</v>
      </c>
      <c r="FZ112" s="705">
        <f t="shared" si="263"/>
        <v>419490.88734139531</v>
      </c>
      <c r="GA112" s="497">
        <f t="shared" si="264"/>
        <v>46</v>
      </c>
      <c r="GB112" s="775">
        <f t="shared" si="265"/>
        <v>9119.3671161172897</v>
      </c>
      <c r="GC112" s="497"/>
      <c r="GD112" s="497"/>
      <c r="GE112" s="1107"/>
      <c r="GH112" s="1095">
        <f t="shared" si="161"/>
        <v>4344908.873413953</v>
      </c>
      <c r="GI112" s="1098">
        <f t="shared" si="162"/>
        <v>0.125</v>
      </c>
      <c r="GJ112" s="1095">
        <f t="shared" si="163"/>
        <v>543113.60917674412</v>
      </c>
      <c r="GK112" s="1095">
        <f t="shared" si="164"/>
        <v>30000</v>
      </c>
      <c r="GL112" s="1095">
        <f t="shared" si="165"/>
        <v>513113.60917674412</v>
      </c>
      <c r="GM112" s="1095">
        <f t="shared" si="166"/>
        <v>29</v>
      </c>
      <c r="GN112" s="1095">
        <f t="shared" si="167"/>
        <v>17693.572730232558</v>
      </c>
      <c r="GO112" s="1098">
        <f t="shared" si="168"/>
        <v>0.875</v>
      </c>
      <c r="GP112" s="1095">
        <f t="shared" si="169"/>
        <v>3801795.2642372088</v>
      </c>
      <c r="GQ112" s="1095">
        <f t="shared" si="170"/>
        <v>29475.278218039861</v>
      </c>
      <c r="GR112" s="1095">
        <f t="shared" si="171"/>
        <v>34171.610634892764</v>
      </c>
      <c r="GS112" s="1095">
        <f t="shared" si="172"/>
        <v>44142.066643114937</v>
      </c>
      <c r="GT112" s="1095">
        <f t="shared" si="173"/>
        <v>75280.102836921593</v>
      </c>
      <c r="GU112" s="497"/>
      <c r="GV112" s="1095">
        <f t="shared" si="266"/>
        <v>4344908.873413953</v>
      </c>
      <c r="GW112" s="1098">
        <f t="shared" si="267"/>
        <v>0.125</v>
      </c>
      <c r="GX112" s="1095">
        <f t="shared" si="268"/>
        <v>543113.60917674412</v>
      </c>
      <c r="GY112" s="1095">
        <f t="shared" si="269"/>
        <v>30000</v>
      </c>
      <c r="GZ112" s="1095">
        <f t="shared" si="270"/>
        <v>513113.60917674412</v>
      </c>
      <c r="HA112" s="1106">
        <f t="shared" si="271"/>
        <v>48</v>
      </c>
      <c r="HB112" s="770">
        <f t="shared" si="272"/>
        <v>10689.866857848836</v>
      </c>
      <c r="HC112" s="1098">
        <f t="shared" si="273"/>
        <v>0.875</v>
      </c>
      <c r="HD112" s="1102">
        <f t="shared" si="274"/>
        <v>3801795.2642372088</v>
      </c>
      <c r="HE112" s="1101">
        <f t="shared" si="275"/>
        <v>29475.278218039861</v>
      </c>
      <c r="HF112" s="1101">
        <f t="shared" si="276"/>
        <v>34171.610634892764</v>
      </c>
      <c r="HG112" s="1101">
        <f t="shared" si="277"/>
        <v>44142.066643114937</v>
      </c>
      <c r="HH112" s="1101">
        <f t="shared" si="278"/>
        <v>75280.102836921593</v>
      </c>
      <c r="HI112" s="497"/>
      <c r="HJ112" s="1102">
        <f t="shared" si="279"/>
        <v>-7003.7058723837217</v>
      </c>
      <c r="HL112" s="775"/>
      <c r="HN112" s="775"/>
      <c r="HO112" s="775"/>
      <c r="HQ112" s="702"/>
      <c r="HR112" s="1171"/>
      <c r="HS112" s="702"/>
      <c r="HT112" s="1171"/>
    </row>
    <row r="113" spans="1:228" ht="14.25" hidden="1" customHeight="1">
      <c r="A113" s="753">
        <f t="shared" si="280"/>
        <v>107</v>
      </c>
      <c r="B113" s="753"/>
      <c r="C113" s="753">
        <f t="shared" si="292"/>
        <v>14</v>
      </c>
      <c r="D113" s="753" t="s">
        <v>265</v>
      </c>
      <c r="E113" s="717" t="str">
        <f t="shared" si="200"/>
        <v>6th Floor</v>
      </c>
      <c r="F113" s="754"/>
      <c r="G113" s="756" t="s">
        <v>481</v>
      </c>
      <c r="H113" s="756"/>
      <c r="I113" s="755" t="s">
        <v>229</v>
      </c>
      <c r="J113" s="757">
        <v>22</v>
      </c>
      <c r="K113" s="758"/>
      <c r="L113" s="759" t="s">
        <v>277</v>
      </c>
      <c r="M113" s="760" t="s">
        <v>278</v>
      </c>
      <c r="N113" s="761">
        <f t="shared" si="201"/>
        <v>106005.26567735759</v>
      </c>
      <c r="O113" s="762">
        <f t="shared" si="202"/>
        <v>2332115.8449018667</v>
      </c>
      <c r="P113" s="762">
        <f t="shared" si="203"/>
        <v>22400</v>
      </c>
      <c r="Q113" s="762">
        <f t="shared" si="175"/>
        <v>50000</v>
      </c>
      <c r="R113" s="762"/>
      <c r="S113" s="762"/>
      <c r="T113" s="762"/>
      <c r="U113" s="762"/>
      <c r="V113" s="762"/>
      <c r="W113" s="762">
        <f t="shared" ref="W113:W114" si="301">J113*$W$5</f>
        <v>22000</v>
      </c>
      <c r="X113" s="762"/>
      <c r="Y113" s="762">
        <f t="shared" si="293"/>
        <v>40000</v>
      </c>
      <c r="Z113" s="762">
        <f t="shared" si="177"/>
        <v>142461</v>
      </c>
      <c r="AA113" s="762">
        <v>45722.732758620688</v>
      </c>
      <c r="AB113" s="762"/>
      <c r="AC113" s="762"/>
      <c r="AD113" s="763">
        <f t="shared" si="204"/>
        <v>322583.7327586207</v>
      </c>
      <c r="AE113" s="763">
        <f t="shared" si="178"/>
        <v>2654699.5776604875</v>
      </c>
      <c r="AF113" s="762">
        <f t="shared" si="179"/>
        <v>66367.489441512196</v>
      </c>
      <c r="AG113" s="762">
        <f t="shared" si="205"/>
        <v>2721067.0671019997</v>
      </c>
      <c r="AH113" s="762">
        <f t="shared" si="180"/>
        <v>68026.67667755</v>
      </c>
      <c r="AI113" s="762">
        <f t="shared" si="206"/>
        <v>2789093.7437795498</v>
      </c>
      <c r="AJ113" s="762">
        <f t="shared" si="207"/>
        <v>139454.68718897749</v>
      </c>
      <c r="AK113" s="762">
        <f t="shared" si="208"/>
        <v>2928548.4309685272</v>
      </c>
      <c r="AL113" s="762">
        <f t="shared" si="209"/>
        <v>29285.484309685271</v>
      </c>
      <c r="AM113" s="762">
        <f t="shared" si="210"/>
        <v>27537.409960060559</v>
      </c>
      <c r="AN113" s="762"/>
      <c r="AO113" s="763">
        <f t="shared" si="211"/>
        <v>2985371.325238273</v>
      </c>
      <c r="AP113" s="763">
        <f t="shared" si="212"/>
        <v>492586.26866431505</v>
      </c>
      <c r="AQ113" s="763">
        <f t="shared" si="213"/>
        <v>3477957.5939025879</v>
      </c>
      <c r="AR113" s="1178">
        <f t="shared" si="181"/>
        <v>3000000</v>
      </c>
      <c r="AS113" s="1178">
        <f t="shared" si="214"/>
        <v>21725.345177390358</v>
      </c>
      <c r="AT113" s="1178">
        <f t="shared" si="215"/>
        <v>477957.59390258789</v>
      </c>
      <c r="AU113" s="1178">
        <f t="shared" si="182"/>
        <v>57354.911268310541</v>
      </c>
      <c r="AV113" s="1178">
        <f t="shared" si="216"/>
        <v>535312.5051708984</v>
      </c>
      <c r="AW113" s="1178">
        <f t="shared" si="217"/>
        <v>3535312.5051708985</v>
      </c>
      <c r="AX113" s="762">
        <f t="shared" si="218"/>
        <v>44191.406314636231</v>
      </c>
      <c r="AY113" s="717" t="s">
        <v>231</v>
      </c>
      <c r="AZ113" s="717">
        <f t="shared" si="219"/>
        <v>3579503.9114855346</v>
      </c>
      <c r="BA113" s="717">
        <f t="shared" si="220"/>
        <v>134231.39668070755</v>
      </c>
      <c r="BB113" s="717"/>
      <c r="BC113" s="717">
        <f t="shared" si="183"/>
        <v>33600</v>
      </c>
      <c r="BD113" s="717">
        <f t="shared" si="221"/>
        <v>3747335.3081662422</v>
      </c>
      <c r="BE113" s="717"/>
      <c r="BF113" s="717">
        <f t="shared" si="222"/>
        <v>3747335.3081662422</v>
      </c>
      <c r="BG113" s="1209"/>
      <c r="BH113" s="717">
        <f t="shared" si="223"/>
        <v>3747335.3081662422</v>
      </c>
      <c r="BI113" s="717"/>
      <c r="BJ113" s="717">
        <f t="shared" si="224"/>
        <v>3747335.3081662422</v>
      </c>
      <c r="BK113" s="717"/>
      <c r="BL113" s="717">
        <f t="shared" si="225"/>
        <v>3747335.3081662422</v>
      </c>
      <c r="BM113" s="717"/>
      <c r="BN113" s="717">
        <f t="shared" si="226"/>
        <v>3747335.3081662422</v>
      </c>
      <c r="BO113" s="717"/>
      <c r="BP113" s="717">
        <f t="shared" si="184"/>
        <v>3747335.3081662422</v>
      </c>
      <c r="BQ113" s="717"/>
      <c r="BR113" s="717">
        <f t="shared" si="285"/>
        <v>3747335.3081662422</v>
      </c>
      <c r="BS113" s="717"/>
      <c r="BT113" s="717">
        <f t="shared" si="227"/>
        <v>3747335.3081662422</v>
      </c>
      <c r="BU113" s="717"/>
      <c r="BV113" s="1235">
        <f t="shared" si="286"/>
        <v>51400</v>
      </c>
      <c r="BW113" s="717">
        <f t="shared" si="228"/>
        <v>3798735.3081662422</v>
      </c>
      <c r="BX113" s="717"/>
      <c r="BY113" s="717">
        <f t="shared" si="229"/>
        <v>3798735.3081662422</v>
      </c>
      <c r="BZ113" s="1194">
        <f t="shared" si="230"/>
        <v>3798735.3081662422</v>
      </c>
      <c r="CA113" s="1194">
        <f t="shared" si="231"/>
        <v>3028735.3081662422</v>
      </c>
      <c r="CB113" s="1194">
        <v>35000</v>
      </c>
      <c r="CC113" s="1194">
        <f t="shared" si="232"/>
        <v>770000</v>
      </c>
      <c r="CD113" s="1194">
        <f t="shared" si="233"/>
        <v>92400</v>
      </c>
      <c r="CE113" s="1194">
        <f t="shared" si="234"/>
        <v>862400</v>
      </c>
      <c r="CF113" s="1200">
        <f t="shared" si="235"/>
        <v>3891135.3081662422</v>
      </c>
      <c r="CG113" s="757">
        <f t="shared" si="236"/>
        <v>3891135.3081662422</v>
      </c>
      <c r="CH113" s="758">
        <f t="shared" si="237"/>
        <v>0</v>
      </c>
      <c r="CI113" s="757">
        <f t="shared" si="185"/>
        <v>398841.36908703978</v>
      </c>
      <c r="CJ113" s="757">
        <f t="shared" si="186"/>
        <v>97278.382704156058</v>
      </c>
      <c r="CK113" s="759">
        <f t="shared" si="291"/>
        <v>4387255.0599574381</v>
      </c>
      <c r="CL113" s="764">
        <f t="shared" si="238"/>
        <v>0.125</v>
      </c>
      <c r="CM113" s="757">
        <f t="shared" si="239"/>
        <v>548406.88249467977</v>
      </c>
      <c r="CN113" s="757">
        <f t="shared" si="281"/>
        <v>30000</v>
      </c>
      <c r="CO113" s="757">
        <f t="shared" si="240"/>
        <v>518406.88249467977</v>
      </c>
      <c r="CP113" s="755">
        <f t="shared" si="241"/>
        <v>29</v>
      </c>
      <c r="CQ113" s="757">
        <f t="shared" si="283"/>
        <v>17876.099396368267</v>
      </c>
      <c r="CR113" s="764">
        <f t="shared" si="242"/>
        <v>0.875</v>
      </c>
      <c r="CS113" s="757">
        <f t="shared" si="243"/>
        <v>3838848.1774627585</v>
      </c>
      <c r="CT113" s="1101">
        <f t="shared" si="244"/>
        <v>29762.549059893336</v>
      </c>
      <c r="CU113" s="1101">
        <f t="shared" si="245"/>
        <v>34504.652694138422</v>
      </c>
      <c r="CV113" s="1101">
        <f t="shared" si="246"/>
        <v>44572.282383638754</v>
      </c>
      <c r="CW113" s="1141">
        <f t="shared" si="187"/>
        <v>76013.794928199044</v>
      </c>
      <c r="CX113" s="1152">
        <f t="shared" si="247"/>
        <v>311841.83928907261</v>
      </c>
      <c r="CY113" s="1152">
        <f t="shared" si="248"/>
        <v>123394.2967378725</v>
      </c>
      <c r="CZ113" s="1152">
        <f t="shared" si="249"/>
        <v>89125.952876327865</v>
      </c>
      <c r="DA113" s="1152">
        <f t="shared" si="250"/>
        <v>67828.953285837197</v>
      </c>
      <c r="DB113" s="1143">
        <f t="shared" si="188"/>
        <v>0.1593191979675293</v>
      </c>
      <c r="DC113" s="1143">
        <f t="shared" si="251"/>
        <v>0.2847393093991244</v>
      </c>
      <c r="DD113" s="1098" t="s">
        <v>232</v>
      </c>
      <c r="DE113" s="1144"/>
      <c r="DF113" s="705"/>
      <c r="DG113" s="765">
        <f t="shared" si="282"/>
        <v>46082</v>
      </c>
      <c r="DH113" s="1116">
        <f t="shared" si="189"/>
        <v>28</v>
      </c>
      <c r="DI113" s="497"/>
      <c r="DJ113" s="1117">
        <f t="shared" si="252"/>
        <v>46147</v>
      </c>
      <c r="DK113" s="1116">
        <f t="shared" si="253"/>
        <v>30</v>
      </c>
      <c r="DL113" s="766" t="s">
        <v>233</v>
      </c>
      <c r="DM113" s="766" t="s">
        <v>234</v>
      </c>
      <c r="DN113" s="767">
        <f t="shared" si="190"/>
        <v>24332.3865986772</v>
      </c>
      <c r="DO113" s="767">
        <f t="shared" si="191"/>
        <v>535312.5051708984</v>
      </c>
      <c r="DP113" s="768">
        <f t="shared" si="192"/>
        <v>0.17843750172363279</v>
      </c>
      <c r="DR113" s="767">
        <f t="shared" si="193"/>
        <v>3891135.3081662422</v>
      </c>
      <c r="DS113" s="767">
        <f>SUM('[6]INTERNAL PRICELIST'!M113)</f>
        <v>2331316</v>
      </c>
      <c r="DT113" s="767">
        <f t="shared" si="254"/>
        <v>1559819.3081662422</v>
      </c>
      <c r="DV113" s="951">
        <f t="shared" si="194"/>
        <v>176869.78673482919</v>
      </c>
      <c r="DX113" s="772">
        <v>18</v>
      </c>
      <c r="DY113" s="773" t="s">
        <v>342</v>
      </c>
      <c r="DZ113" s="772">
        <v>22.34</v>
      </c>
      <c r="EA113" s="775">
        <f t="shared" si="294"/>
        <v>0.33999999999999986</v>
      </c>
      <c r="ED113" s="1133" t="s">
        <v>481</v>
      </c>
      <c r="EE113" s="777" t="b">
        <f t="shared" si="196"/>
        <v>1</v>
      </c>
      <c r="EF113" s="777"/>
      <c r="EG113" s="777"/>
      <c r="EH113" s="1203"/>
      <c r="EP113" s="1230" t="s">
        <v>236</v>
      </c>
      <c r="EQ113" s="1145" t="s">
        <v>236</v>
      </c>
      <c r="ER113" s="753" t="b">
        <f t="shared" si="255"/>
        <v>1</v>
      </c>
      <c r="EU113" s="770">
        <v>3060231.7824007287</v>
      </c>
      <c r="EV113" s="771" t="s">
        <v>258</v>
      </c>
      <c r="EW113" s="775">
        <f>EU113-CG113</f>
        <v>-830903.52576551354</v>
      </c>
      <c r="EY113" s="775">
        <v>3027488.5686052986</v>
      </c>
      <c r="EZ113" s="520"/>
      <c r="FA113" s="778"/>
      <c r="FG113" s="1107"/>
      <c r="FJ113" s="994">
        <v>0.125</v>
      </c>
      <c r="FK113" s="993">
        <v>10904.58944246769</v>
      </c>
      <c r="FL113" s="993">
        <v>11199.308076047899</v>
      </c>
      <c r="FM113" s="497"/>
      <c r="FN113" s="993">
        <f t="shared" si="197"/>
        <v>4387255.0599574381</v>
      </c>
      <c r="FO113" s="994">
        <f t="shared" si="256"/>
        <v>0.15</v>
      </c>
      <c r="FP113" s="775">
        <f t="shared" si="198"/>
        <v>658088.25899361575</v>
      </c>
      <c r="FQ113" s="993">
        <f t="shared" si="199"/>
        <v>30000</v>
      </c>
      <c r="FR113" s="775">
        <f t="shared" si="257"/>
        <v>628088.25899361575</v>
      </c>
      <c r="FS113" s="497">
        <f t="shared" si="258"/>
        <v>40</v>
      </c>
      <c r="FT113" s="775">
        <f t="shared" si="259"/>
        <v>15702.206474840394</v>
      </c>
      <c r="FU113" s="497"/>
      <c r="FV113" s="993">
        <f t="shared" si="260"/>
        <v>4387255.0599574381</v>
      </c>
      <c r="FW113" s="705">
        <f t="shared" si="261"/>
        <v>438725.50599574385</v>
      </c>
      <c r="FX113" s="705">
        <f t="shared" si="262"/>
        <v>109681.37649893596</v>
      </c>
      <c r="FY113" s="705">
        <v>15000</v>
      </c>
      <c r="FZ113" s="705">
        <f t="shared" si="263"/>
        <v>423725.50599574385</v>
      </c>
      <c r="GA113" s="497">
        <f t="shared" si="264"/>
        <v>46</v>
      </c>
      <c r="GB113" s="775">
        <f t="shared" si="265"/>
        <v>9211.4240433857358</v>
      </c>
      <c r="GC113" s="497"/>
      <c r="GD113" s="497"/>
      <c r="GE113" s="1107"/>
      <c r="GH113" s="1095">
        <f t="shared" si="161"/>
        <v>4387255.0599574381</v>
      </c>
      <c r="GI113" s="1098">
        <f t="shared" si="162"/>
        <v>0.125</v>
      </c>
      <c r="GJ113" s="1095">
        <f t="shared" si="163"/>
        <v>548406.88249467977</v>
      </c>
      <c r="GK113" s="1095">
        <f t="shared" si="164"/>
        <v>30000</v>
      </c>
      <c r="GL113" s="1095">
        <f t="shared" si="165"/>
        <v>518406.88249467977</v>
      </c>
      <c r="GM113" s="1095">
        <f t="shared" si="166"/>
        <v>29</v>
      </c>
      <c r="GN113" s="1095">
        <f t="shared" si="167"/>
        <v>17876.099396368267</v>
      </c>
      <c r="GO113" s="1098">
        <f t="shared" si="168"/>
        <v>0.875</v>
      </c>
      <c r="GP113" s="1095">
        <f t="shared" si="169"/>
        <v>3838848.1774627585</v>
      </c>
      <c r="GQ113" s="1095">
        <f t="shared" si="170"/>
        <v>29762.549059893336</v>
      </c>
      <c r="GR113" s="1095">
        <f t="shared" si="171"/>
        <v>34504.652694138422</v>
      </c>
      <c r="GS113" s="1095">
        <f t="shared" si="172"/>
        <v>44572.282383638754</v>
      </c>
      <c r="GT113" s="1095">
        <f t="shared" si="173"/>
        <v>76013.794928199044</v>
      </c>
      <c r="GU113" s="497"/>
      <c r="GV113" s="1095">
        <f t="shared" si="266"/>
        <v>4387255.0599574381</v>
      </c>
      <c r="GW113" s="1098">
        <f t="shared" si="267"/>
        <v>0.125</v>
      </c>
      <c r="GX113" s="1095">
        <f t="shared" si="268"/>
        <v>548406.88249467977</v>
      </c>
      <c r="GY113" s="1095">
        <f t="shared" si="269"/>
        <v>30000</v>
      </c>
      <c r="GZ113" s="1095">
        <f t="shared" si="270"/>
        <v>518406.88249467977</v>
      </c>
      <c r="HA113" s="1106">
        <f t="shared" si="271"/>
        <v>48</v>
      </c>
      <c r="HB113" s="770">
        <f t="shared" si="272"/>
        <v>10800.143385305828</v>
      </c>
      <c r="HC113" s="1098">
        <f t="shared" si="273"/>
        <v>0.875</v>
      </c>
      <c r="HD113" s="1102">
        <f t="shared" si="274"/>
        <v>3838848.1774627585</v>
      </c>
      <c r="HE113" s="1101">
        <f t="shared" si="275"/>
        <v>29762.549059893336</v>
      </c>
      <c r="HF113" s="1101">
        <f t="shared" si="276"/>
        <v>34504.652694138422</v>
      </c>
      <c r="HG113" s="1101">
        <f t="shared" si="277"/>
        <v>44572.282383638754</v>
      </c>
      <c r="HH113" s="1101">
        <f t="shared" si="278"/>
        <v>76013.794928199044</v>
      </c>
      <c r="HI113" s="497"/>
      <c r="HJ113" s="1102">
        <f t="shared" si="279"/>
        <v>-7075.9560110624388</v>
      </c>
      <c r="HL113" s="775"/>
      <c r="HN113" s="775"/>
      <c r="HO113" s="775"/>
      <c r="HQ113" s="702"/>
      <c r="HR113" s="1171"/>
      <c r="HS113" s="702"/>
      <c r="HT113" s="1171"/>
    </row>
    <row r="114" spans="1:228" ht="14.25" hidden="1" customHeight="1">
      <c r="A114" s="753">
        <f t="shared" si="280"/>
        <v>108</v>
      </c>
      <c r="B114" s="753"/>
      <c r="C114" s="753">
        <f t="shared" si="292"/>
        <v>15</v>
      </c>
      <c r="D114" s="753" t="s">
        <v>265</v>
      </c>
      <c r="E114" s="717" t="str">
        <f t="shared" si="200"/>
        <v>6th Floor</v>
      </c>
      <c r="F114" s="754"/>
      <c r="G114" s="756" t="s">
        <v>482</v>
      </c>
      <c r="H114" s="756"/>
      <c r="I114" s="755" t="s">
        <v>229</v>
      </c>
      <c r="J114" s="757">
        <v>22</v>
      </c>
      <c r="K114" s="758"/>
      <c r="L114" s="759" t="s">
        <v>277</v>
      </c>
      <c r="M114" s="760" t="s">
        <v>278</v>
      </c>
      <c r="N114" s="761">
        <f t="shared" si="201"/>
        <v>106005.26567735759</v>
      </c>
      <c r="O114" s="762">
        <f t="shared" si="202"/>
        <v>2332115.8449018667</v>
      </c>
      <c r="P114" s="762">
        <f t="shared" si="203"/>
        <v>22400</v>
      </c>
      <c r="Q114" s="762">
        <f t="shared" si="175"/>
        <v>50000</v>
      </c>
      <c r="R114" s="762"/>
      <c r="S114" s="762"/>
      <c r="T114" s="762"/>
      <c r="U114" s="762"/>
      <c r="V114" s="762"/>
      <c r="W114" s="762">
        <f t="shared" si="301"/>
        <v>22000</v>
      </c>
      <c r="X114" s="762"/>
      <c r="Y114" s="762">
        <f t="shared" si="293"/>
        <v>40000</v>
      </c>
      <c r="Z114" s="762">
        <f t="shared" si="177"/>
        <v>142461</v>
      </c>
      <c r="AA114" s="762">
        <v>45722.732758620688</v>
      </c>
      <c r="AB114" s="762"/>
      <c r="AC114" s="762"/>
      <c r="AD114" s="763">
        <f t="shared" si="204"/>
        <v>322583.7327586207</v>
      </c>
      <c r="AE114" s="763">
        <f t="shared" si="178"/>
        <v>2654699.5776604875</v>
      </c>
      <c r="AF114" s="762">
        <f t="shared" si="179"/>
        <v>66367.489441512196</v>
      </c>
      <c r="AG114" s="762">
        <f t="shared" si="205"/>
        <v>2721067.0671019997</v>
      </c>
      <c r="AH114" s="762">
        <f t="shared" si="180"/>
        <v>68026.67667755</v>
      </c>
      <c r="AI114" s="762">
        <f t="shared" si="206"/>
        <v>2789093.7437795498</v>
      </c>
      <c r="AJ114" s="762">
        <f t="shared" si="207"/>
        <v>139454.68718897749</v>
      </c>
      <c r="AK114" s="762">
        <f t="shared" si="208"/>
        <v>2928548.4309685272</v>
      </c>
      <c r="AL114" s="762">
        <f t="shared" si="209"/>
        <v>29285.484309685271</v>
      </c>
      <c r="AM114" s="762">
        <f t="shared" si="210"/>
        <v>27537.409960060559</v>
      </c>
      <c r="AN114" s="762"/>
      <c r="AO114" s="763">
        <f t="shared" si="211"/>
        <v>2985371.325238273</v>
      </c>
      <c r="AP114" s="763">
        <f t="shared" si="212"/>
        <v>492586.26866431505</v>
      </c>
      <c r="AQ114" s="763">
        <f t="shared" si="213"/>
        <v>3477957.5939025879</v>
      </c>
      <c r="AR114" s="1178">
        <f t="shared" si="181"/>
        <v>3000000</v>
      </c>
      <c r="AS114" s="1178">
        <f t="shared" si="214"/>
        <v>21725.345177390358</v>
      </c>
      <c r="AT114" s="1178">
        <f t="shared" si="215"/>
        <v>477957.59390258789</v>
      </c>
      <c r="AU114" s="1178">
        <f t="shared" si="182"/>
        <v>57354.911268310541</v>
      </c>
      <c r="AV114" s="1178">
        <f t="shared" si="216"/>
        <v>535312.5051708984</v>
      </c>
      <c r="AW114" s="1178">
        <f t="shared" si="217"/>
        <v>3535312.5051708985</v>
      </c>
      <c r="AX114" s="762">
        <f t="shared" si="218"/>
        <v>44191.406314636231</v>
      </c>
      <c r="AY114" s="717" t="s">
        <v>231</v>
      </c>
      <c r="AZ114" s="717">
        <f t="shared" si="219"/>
        <v>3579503.9114855346</v>
      </c>
      <c r="BA114" s="717">
        <f t="shared" si="220"/>
        <v>134231.39668070755</v>
      </c>
      <c r="BB114" s="717"/>
      <c r="BC114" s="717">
        <f t="shared" si="183"/>
        <v>33600</v>
      </c>
      <c r="BD114" s="717">
        <f t="shared" si="221"/>
        <v>3747335.3081662422</v>
      </c>
      <c r="BE114" s="717"/>
      <c r="BF114" s="717">
        <f t="shared" si="222"/>
        <v>3747335.3081662422</v>
      </c>
      <c r="BG114" s="1209"/>
      <c r="BH114" s="717">
        <f t="shared" si="223"/>
        <v>3747335.3081662422</v>
      </c>
      <c r="BI114" s="717"/>
      <c r="BJ114" s="717">
        <f t="shared" si="224"/>
        <v>3747335.3081662422</v>
      </c>
      <c r="BK114" s="717"/>
      <c r="BL114" s="717">
        <f t="shared" si="225"/>
        <v>3747335.3081662422</v>
      </c>
      <c r="BM114" s="717"/>
      <c r="BN114" s="717">
        <f t="shared" si="226"/>
        <v>3747335.3081662422</v>
      </c>
      <c r="BO114" s="717"/>
      <c r="BP114" s="717">
        <f t="shared" si="184"/>
        <v>3747335.3081662422</v>
      </c>
      <c r="BQ114" s="717"/>
      <c r="BR114" s="717">
        <f t="shared" si="285"/>
        <v>3747335.3081662422</v>
      </c>
      <c r="BS114" s="717"/>
      <c r="BT114" s="717">
        <f t="shared" si="227"/>
        <v>3747335.3081662422</v>
      </c>
      <c r="BU114" s="717"/>
      <c r="BV114" s="1235">
        <f t="shared" si="286"/>
        <v>51400</v>
      </c>
      <c r="BW114" s="717">
        <f t="shared" si="228"/>
        <v>3798735.3081662422</v>
      </c>
      <c r="BX114" s="717"/>
      <c r="BY114" s="717">
        <f t="shared" si="229"/>
        <v>3798735.3081662422</v>
      </c>
      <c r="BZ114" s="1194">
        <f t="shared" si="230"/>
        <v>3798735.3081662422</v>
      </c>
      <c r="CA114" s="1194">
        <f t="shared" si="231"/>
        <v>3028735.3081662422</v>
      </c>
      <c r="CB114" s="1194">
        <v>35000</v>
      </c>
      <c r="CC114" s="1194">
        <f t="shared" si="232"/>
        <v>770000</v>
      </c>
      <c r="CD114" s="1194">
        <f t="shared" si="233"/>
        <v>92400</v>
      </c>
      <c r="CE114" s="1194">
        <f t="shared" si="234"/>
        <v>862400</v>
      </c>
      <c r="CF114" s="1200">
        <f t="shared" si="235"/>
        <v>3891135.3081662422</v>
      </c>
      <c r="CG114" s="757">
        <f t="shared" si="236"/>
        <v>3891135.3081662422</v>
      </c>
      <c r="CH114" s="758">
        <f t="shared" si="237"/>
        <v>0</v>
      </c>
      <c r="CI114" s="757">
        <f t="shared" si="185"/>
        <v>398841.36908703978</v>
      </c>
      <c r="CJ114" s="757">
        <f t="shared" si="186"/>
        <v>97278.382704156058</v>
      </c>
      <c r="CK114" s="759">
        <f t="shared" si="291"/>
        <v>4387255.0599574381</v>
      </c>
      <c r="CL114" s="764">
        <f t="shared" si="238"/>
        <v>0.125</v>
      </c>
      <c r="CM114" s="757">
        <f t="shared" si="239"/>
        <v>548406.88249467977</v>
      </c>
      <c r="CN114" s="757">
        <f t="shared" si="281"/>
        <v>30000</v>
      </c>
      <c r="CO114" s="757">
        <f t="shared" si="240"/>
        <v>518406.88249467977</v>
      </c>
      <c r="CP114" s="755">
        <f t="shared" si="241"/>
        <v>29</v>
      </c>
      <c r="CQ114" s="757">
        <f t="shared" si="283"/>
        <v>17876.099396368267</v>
      </c>
      <c r="CR114" s="764">
        <f t="shared" si="242"/>
        <v>0.875</v>
      </c>
      <c r="CS114" s="757">
        <f t="shared" si="243"/>
        <v>3838848.1774627585</v>
      </c>
      <c r="CT114" s="1101">
        <f t="shared" si="244"/>
        <v>29762.549059893336</v>
      </c>
      <c r="CU114" s="1101">
        <f t="shared" si="245"/>
        <v>34504.652694138422</v>
      </c>
      <c r="CV114" s="1101">
        <f t="shared" si="246"/>
        <v>44572.282383638754</v>
      </c>
      <c r="CW114" s="1141">
        <f t="shared" si="187"/>
        <v>76013.794928199044</v>
      </c>
      <c r="CX114" s="1152">
        <f t="shared" si="247"/>
        <v>311841.83928907261</v>
      </c>
      <c r="CY114" s="1152">
        <f t="shared" si="248"/>
        <v>123394.2967378725</v>
      </c>
      <c r="CZ114" s="1152">
        <f t="shared" si="249"/>
        <v>89125.952876327865</v>
      </c>
      <c r="DA114" s="1152">
        <f t="shared" si="250"/>
        <v>67828.953285837197</v>
      </c>
      <c r="DB114" s="1143">
        <f t="shared" si="188"/>
        <v>0.1593191979675293</v>
      </c>
      <c r="DC114" s="1143">
        <f t="shared" si="251"/>
        <v>0.2847393093991244</v>
      </c>
      <c r="DD114" s="1098" t="s">
        <v>232</v>
      </c>
      <c r="DE114" s="1144"/>
      <c r="DF114" s="705"/>
      <c r="DG114" s="765">
        <f t="shared" si="282"/>
        <v>46082</v>
      </c>
      <c r="DH114" s="1116">
        <f t="shared" si="189"/>
        <v>28</v>
      </c>
      <c r="DI114" s="497"/>
      <c r="DJ114" s="1117">
        <f t="shared" si="252"/>
        <v>46147</v>
      </c>
      <c r="DK114" s="1116">
        <f t="shared" si="253"/>
        <v>30</v>
      </c>
      <c r="DL114" s="766" t="s">
        <v>233</v>
      </c>
      <c r="DM114" s="766" t="s">
        <v>234</v>
      </c>
      <c r="DN114" s="767">
        <f t="shared" si="190"/>
        <v>24332.3865986772</v>
      </c>
      <c r="DO114" s="767">
        <f t="shared" si="191"/>
        <v>535312.5051708984</v>
      </c>
      <c r="DP114" s="768">
        <f t="shared" si="192"/>
        <v>0.17843750172363279</v>
      </c>
      <c r="DR114" s="767">
        <f t="shared" si="193"/>
        <v>3891135.3081662422</v>
      </c>
      <c r="DS114" s="767">
        <f>SUM('[6]INTERNAL PRICELIST'!M114)</f>
        <v>2329361</v>
      </c>
      <c r="DT114" s="767">
        <f t="shared" si="254"/>
        <v>1561774.3081662422</v>
      </c>
      <c r="DV114" s="951">
        <f t="shared" si="194"/>
        <v>176869.78673482919</v>
      </c>
      <c r="DX114" s="772">
        <v>1</v>
      </c>
      <c r="DY114" s="773" t="s">
        <v>235</v>
      </c>
      <c r="DZ114" s="774">
        <v>22</v>
      </c>
      <c r="EA114" s="775">
        <f t="shared" si="294"/>
        <v>0</v>
      </c>
      <c r="ED114" s="1133" t="s">
        <v>482</v>
      </c>
      <c r="EE114" s="777" t="b">
        <f t="shared" si="196"/>
        <v>1</v>
      </c>
      <c r="EF114" s="777"/>
      <c r="EG114" s="777"/>
      <c r="EH114" s="1203"/>
      <c r="EP114" s="1230" t="s">
        <v>236</v>
      </c>
      <c r="EQ114" s="1145" t="s">
        <v>236</v>
      </c>
      <c r="ER114" s="753" t="b">
        <f t="shared" si="255"/>
        <v>1</v>
      </c>
      <c r="EU114" s="770">
        <v>3060231.7824007287</v>
      </c>
      <c r="EV114" s="771" t="s">
        <v>258</v>
      </c>
      <c r="EW114" s="775">
        <f>EU114-CG114</f>
        <v>-830903.52576551354</v>
      </c>
      <c r="EY114" s="775">
        <v>3027488.5686052986</v>
      </c>
      <c r="EZ114" s="520"/>
      <c r="FA114" s="778"/>
      <c r="FG114" s="1107"/>
      <c r="FJ114" s="994">
        <v>0.125</v>
      </c>
      <c r="FK114" s="993">
        <v>10904.58944246769</v>
      </c>
      <c r="FL114" s="993">
        <v>11199.308076047899</v>
      </c>
      <c r="FM114" s="497"/>
      <c r="FN114" s="993">
        <f t="shared" si="197"/>
        <v>4387255.0599574381</v>
      </c>
      <c r="FO114" s="994">
        <f>FJ114</f>
        <v>0.125</v>
      </c>
      <c r="FP114" s="775">
        <f t="shared" si="198"/>
        <v>548406.88249467977</v>
      </c>
      <c r="FQ114" s="993">
        <f t="shared" si="199"/>
        <v>30000</v>
      </c>
      <c r="FR114" s="775">
        <f t="shared" si="257"/>
        <v>518406.88249467977</v>
      </c>
      <c r="FS114" s="497">
        <f t="shared" si="258"/>
        <v>40</v>
      </c>
      <c r="FT114" s="775">
        <f t="shared" si="259"/>
        <v>12960.172062366993</v>
      </c>
      <c r="FU114" s="497"/>
      <c r="FV114" s="993">
        <f t="shared" si="260"/>
        <v>4387255.0599574381</v>
      </c>
      <c r="FW114" s="705">
        <f t="shared" si="261"/>
        <v>438725.50599574385</v>
      </c>
      <c r="FX114" s="705">
        <f t="shared" si="262"/>
        <v>109681.37649893596</v>
      </c>
      <c r="FY114" s="705">
        <v>15000</v>
      </c>
      <c r="FZ114" s="705">
        <f t="shared" si="263"/>
        <v>423725.50599574385</v>
      </c>
      <c r="GA114" s="497">
        <f t="shared" si="264"/>
        <v>46</v>
      </c>
      <c r="GB114" s="775">
        <f t="shared" si="265"/>
        <v>9211.4240433857358</v>
      </c>
      <c r="GC114" s="497"/>
      <c r="GD114" s="497"/>
      <c r="GE114" s="1107"/>
      <c r="GH114" s="1095">
        <f t="shared" si="161"/>
        <v>4387255.0599574381</v>
      </c>
      <c r="GI114" s="1098">
        <f t="shared" si="162"/>
        <v>0.125</v>
      </c>
      <c r="GJ114" s="1095">
        <f t="shared" si="163"/>
        <v>548406.88249467977</v>
      </c>
      <c r="GK114" s="1095">
        <f t="shared" si="164"/>
        <v>30000</v>
      </c>
      <c r="GL114" s="1095">
        <f t="shared" si="165"/>
        <v>518406.88249467977</v>
      </c>
      <c r="GM114" s="1095">
        <f t="shared" si="166"/>
        <v>29</v>
      </c>
      <c r="GN114" s="1095">
        <f t="shared" si="167"/>
        <v>17876.099396368267</v>
      </c>
      <c r="GO114" s="1098">
        <f t="shared" si="168"/>
        <v>0.875</v>
      </c>
      <c r="GP114" s="1095">
        <f t="shared" si="169"/>
        <v>3838848.1774627585</v>
      </c>
      <c r="GQ114" s="1095">
        <f t="shared" si="170"/>
        <v>29762.549059893336</v>
      </c>
      <c r="GR114" s="1095">
        <f t="shared" si="171"/>
        <v>34504.652694138422</v>
      </c>
      <c r="GS114" s="1095">
        <f t="shared" si="172"/>
        <v>44572.282383638754</v>
      </c>
      <c r="GT114" s="1095">
        <f t="shared" si="173"/>
        <v>76013.794928199044</v>
      </c>
      <c r="GU114" s="497"/>
      <c r="GV114" s="1095">
        <f t="shared" si="266"/>
        <v>4387255.0599574381</v>
      </c>
      <c r="GW114" s="1098">
        <f t="shared" si="267"/>
        <v>0.125</v>
      </c>
      <c r="GX114" s="1095">
        <f t="shared" si="268"/>
        <v>548406.88249467977</v>
      </c>
      <c r="GY114" s="1095">
        <f t="shared" si="269"/>
        <v>30000</v>
      </c>
      <c r="GZ114" s="1095">
        <f t="shared" si="270"/>
        <v>518406.88249467977</v>
      </c>
      <c r="HA114" s="1106">
        <f t="shared" si="271"/>
        <v>48</v>
      </c>
      <c r="HB114" s="770">
        <f t="shared" si="272"/>
        <v>10800.143385305828</v>
      </c>
      <c r="HC114" s="1098">
        <f t="shared" si="273"/>
        <v>0.875</v>
      </c>
      <c r="HD114" s="1102">
        <f t="shared" si="274"/>
        <v>3838848.1774627585</v>
      </c>
      <c r="HE114" s="1101">
        <f t="shared" si="275"/>
        <v>29762.549059893336</v>
      </c>
      <c r="HF114" s="1101">
        <f t="shared" si="276"/>
        <v>34504.652694138422</v>
      </c>
      <c r="HG114" s="1101">
        <f t="shared" si="277"/>
        <v>44572.282383638754</v>
      </c>
      <c r="HH114" s="1101">
        <f t="shared" si="278"/>
        <v>76013.794928199044</v>
      </c>
      <c r="HI114" s="497"/>
      <c r="HJ114" s="1102">
        <f t="shared" si="279"/>
        <v>-7075.9560110624388</v>
      </c>
      <c r="HL114" s="775"/>
      <c r="HN114" s="775"/>
      <c r="HO114" s="775"/>
      <c r="HQ114" s="702"/>
      <c r="HR114" s="1171"/>
      <c r="HS114" s="702"/>
      <c r="HT114" s="1171"/>
    </row>
    <row r="115" spans="1:228" ht="14.25" hidden="1" customHeight="1">
      <c r="A115" s="753">
        <f t="shared" si="280"/>
        <v>109</v>
      </c>
      <c r="B115" s="753" t="s">
        <v>236</v>
      </c>
      <c r="C115" s="753">
        <f t="shared" si="292"/>
        <v>16</v>
      </c>
      <c r="D115" s="753" t="s">
        <v>265</v>
      </c>
      <c r="E115" s="717" t="str">
        <f t="shared" si="200"/>
        <v>6th Floor</v>
      </c>
      <c r="F115" s="754"/>
      <c r="G115" s="756" t="s">
        <v>483</v>
      </c>
      <c r="H115" s="756"/>
      <c r="I115" s="755" t="s">
        <v>229</v>
      </c>
      <c r="J115" s="757">
        <v>22</v>
      </c>
      <c r="K115" s="758"/>
      <c r="L115" s="759" t="s">
        <v>277</v>
      </c>
      <c r="M115" s="760" t="s">
        <v>230</v>
      </c>
      <c r="N115" s="761">
        <f t="shared" si="201"/>
        <v>106005.26567735759</v>
      </c>
      <c r="O115" s="762">
        <f t="shared" si="202"/>
        <v>2332115.8449018667</v>
      </c>
      <c r="P115" s="762">
        <f t="shared" si="203"/>
        <v>22400</v>
      </c>
      <c r="Q115" s="762">
        <f t="shared" si="175"/>
        <v>50000</v>
      </c>
      <c r="R115" s="762"/>
      <c r="S115" s="762"/>
      <c r="T115" s="762"/>
      <c r="U115" s="762"/>
      <c r="V115" s="762">
        <f>J115*$V$5</f>
        <v>55000</v>
      </c>
      <c r="W115" s="762"/>
      <c r="X115" s="762"/>
      <c r="Y115" s="762">
        <f t="shared" si="293"/>
        <v>40000</v>
      </c>
      <c r="Z115" s="762">
        <f t="shared" si="177"/>
        <v>142461</v>
      </c>
      <c r="AA115" s="762">
        <v>45722.732758620688</v>
      </c>
      <c r="AB115" s="762"/>
      <c r="AC115" s="762"/>
      <c r="AD115" s="763">
        <f t="shared" si="204"/>
        <v>355583.7327586207</v>
      </c>
      <c r="AE115" s="763">
        <f t="shared" si="178"/>
        <v>2687699.5776604875</v>
      </c>
      <c r="AF115" s="762">
        <f t="shared" si="179"/>
        <v>67192.489441512196</v>
      </c>
      <c r="AG115" s="762">
        <f t="shared" si="205"/>
        <v>2754892.0671019997</v>
      </c>
      <c r="AH115" s="762">
        <f t="shared" si="180"/>
        <v>68872.30167755</v>
      </c>
      <c r="AI115" s="762">
        <f t="shared" si="206"/>
        <v>2823764.3687795498</v>
      </c>
      <c r="AJ115" s="762">
        <f t="shared" si="207"/>
        <v>141188.21843897749</v>
      </c>
      <c r="AK115" s="762">
        <f t="shared" si="208"/>
        <v>2964952.5872185272</v>
      </c>
      <c r="AL115" s="762">
        <f t="shared" si="209"/>
        <v>29649.525872185273</v>
      </c>
      <c r="AM115" s="762">
        <f t="shared" si="210"/>
        <v>27537.409960060559</v>
      </c>
      <c r="AN115" s="762"/>
      <c r="AO115" s="763">
        <f t="shared" si="211"/>
        <v>3022139.523050773</v>
      </c>
      <c r="AP115" s="763">
        <f t="shared" si="212"/>
        <v>498653.02130337758</v>
      </c>
      <c r="AQ115" s="763">
        <f t="shared" si="213"/>
        <v>3520792.5443541505</v>
      </c>
      <c r="AR115" s="1178">
        <f t="shared" si="181"/>
        <v>3000000</v>
      </c>
      <c r="AS115" s="1178">
        <f t="shared" si="214"/>
        <v>23672.388379734115</v>
      </c>
      <c r="AT115" s="1178">
        <f t="shared" si="215"/>
        <v>520792.54435415054</v>
      </c>
      <c r="AU115" s="1178">
        <f t="shared" si="182"/>
        <v>62495.105322498064</v>
      </c>
      <c r="AV115" s="1178">
        <f t="shared" si="216"/>
        <v>583287.64967664855</v>
      </c>
      <c r="AW115" s="1178">
        <f t="shared" si="217"/>
        <v>3583287.6496766484</v>
      </c>
      <c r="AX115" s="762">
        <f t="shared" si="218"/>
        <v>44791.095620958105</v>
      </c>
      <c r="AY115" s="717" t="s">
        <v>231</v>
      </c>
      <c r="AZ115" s="717">
        <f t="shared" si="219"/>
        <v>3628078.7452976066</v>
      </c>
      <c r="BA115" s="717">
        <f t="shared" si="220"/>
        <v>136052.95294866024</v>
      </c>
      <c r="BB115" s="717"/>
      <c r="BC115" s="717">
        <f t="shared" si="183"/>
        <v>33600</v>
      </c>
      <c r="BD115" s="717">
        <f t="shared" si="221"/>
        <v>3797731.6982462667</v>
      </c>
      <c r="BE115" s="717"/>
      <c r="BF115" s="717">
        <f t="shared" si="222"/>
        <v>3797731.6982462667</v>
      </c>
      <c r="BG115" s="1209"/>
      <c r="BH115" s="717">
        <f t="shared" si="223"/>
        <v>3797731.6982462667</v>
      </c>
      <c r="BI115" s="717"/>
      <c r="BJ115" s="717">
        <f t="shared" si="224"/>
        <v>3797731.6982462667</v>
      </c>
      <c r="BK115" s="717"/>
      <c r="BL115" s="717">
        <f t="shared" si="225"/>
        <v>3797731.6982462667</v>
      </c>
      <c r="BM115" s="717"/>
      <c r="BN115" s="717">
        <f t="shared" si="226"/>
        <v>3797731.6982462667</v>
      </c>
      <c r="BO115" s="717"/>
      <c r="BP115" s="717">
        <f t="shared" si="184"/>
        <v>3797731.6982462667</v>
      </c>
      <c r="BQ115" s="717"/>
      <c r="BR115" s="717">
        <f t="shared" si="285"/>
        <v>3797731.6982462667</v>
      </c>
      <c r="BS115" s="717"/>
      <c r="BT115" s="717">
        <f t="shared" si="227"/>
        <v>3797731.6982462667</v>
      </c>
      <c r="BU115" s="717"/>
      <c r="BV115" s="1235">
        <f t="shared" si="286"/>
        <v>51400</v>
      </c>
      <c r="BW115" s="717">
        <f t="shared" si="228"/>
        <v>3849131.6982462667</v>
      </c>
      <c r="BX115" s="717"/>
      <c r="BY115" s="717">
        <f t="shared" si="229"/>
        <v>3849131.6982462667</v>
      </c>
      <c r="BZ115" s="1194">
        <f t="shared" si="230"/>
        <v>3849131.6982462667</v>
      </c>
      <c r="CA115" s="1194">
        <f t="shared" si="231"/>
        <v>3046131.6982462667</v>
      </c>
      <c r="CB115" s="1194">
        <v>36500</v>
      </c>
      <c r="CC115" s="1194">
        <f t="shared" si="232"/>
        <v>803000</v>
      </c>
      <c r="CD115" s="1194">
        <f t="shared" si="233"/>
        <v>96360</v>
      </c>
      <c r="CE115" s="1194">
        <f t="shared" si="234"/>
        <v>899360</v>
      </c>
      <c r="CF115" s="1200">
        <f t="shared" si="235"/>
        <v>3945491.6982462667</v>
      </c>
      <c r="CG115" s="757">
        <f t="shared" si="236"/>
        <v>3945491.6982462667</v>
      </c>
      <c r="CH115" s="758">
        <f t="shared" si="237"/>
        <v>0</v>
      </c>
      <c r="CI115" s="757">
        <f t="shared" si="185"/>
        <v>404412.8990702423</v>
      </c>
      <c r="CJ115" s="757">
        <f t="shared" si="186"/>
        <v>98637.292456156676</v>
      </c>
      <c r="CK115" s="759">
        <f t="shared" si="291"/>
        <v>4448541.8897726657</v>
      </c>
      <c r="CL115" s="764">
        <f t="shared" si="238"/>
        <v>0.125</v>
      </c>
      <c r="CM115" s="757">
        <f t="shared" si="239"/>
        <v>556067.73622158321</v>
      </c>
      <c r="CN115" s="757">
        <f t="shared" si="281"/>
        <v>30000</v>
      </c>
      <c r="CO115" s="757">
        <f t="shared" si="240"/>
        <v>526067.73622158321</v>
      </c>
      <c r="CP115" s="755">
        <f t="shared" si="241"/>
        <v>29</v>
      </c>
      <c r="CQ115" s="757">
        <f t="shared" si="283"/>
        <v>18140.266766261491</v>
      </c>
      <c r="CR115" s="764">
        <f t="shared" si="242"/>
        <v>0.875</v>
      </c>
      <c r="CS115" s="757">
        <f t="shared" si="243"/>
        <v>3892474.1535510826</v>
      </c>
      <c r="CT115" s="1101">
        <f t="shared" si="244"/>
        <v>30178.310681721341</v>
      </c>
      <c r="CU115" s="1101">
        <f t="shared" si="245"/>
        <v>34986.65812774084</v>
      </c>
      <c r="CV115" s="1101">
        <f t="shared" si="246"/>
        <v>45194.925436661717</v>
      </c>
      <c r="CW115" s="1141">
        <f t="shared" si="187"/>
        <v>77075.653527643983</v>
      </c>
      <c r="CX115" s="1152">
        <f t="shared" si="247"/>
        <v>316198.04777765827</v>
      </c>
      <c r="CY115" s="1152">
        <f t="shared" si="248"/>
        <v>125118.02721649598</v>
      </c>
      <c r="CZ115" s="1152">
        <f t="shared" si="249"/>
        <v>90370.978987507391</v>
      </c>
      <c r="DA115" s="1152">
        <f t="shared" si="250"/>
        <v>68776.475474486608</v>
      </c>
      <c r="DB115" s="1143">
        <f t="shared" si="188"/>
        <v>0.17359751478471686</v>
      </c>
      <c r="DC115" s="1143">
        <f t="shared" si="251"/>
        <v>0.29524659111678714</v>
      </c>
      <c r="DD115" s="1098" t="s">
        <v>232</v>
      </c>
      <c r="DE115" s="1144"/>
      <c r="DF115" s="705"/>
      <c r="DG115" s="765">
        <f t="shared" si="282"/>
        <v>46082</v>
      </c>
      <c r="DH115" s="1116">
        <f t="shared" si="189"/>
        <v>28</v>
      </c>
      <c r="DI115" s="497"/>
      <c r="DJ115" s="1117">
        <f t="shared" si="252"/>
        <v>46147</v>
      </c>
      <c r="DK115" s="1116">
        <f t="shared" si="253"/>
        <v>30</v>
      </c>
      <c r="DL115" s="766" t="s">
        <v>233</v>
      </c>
      <c r="DM115" s="766" t="s">
        <v>234</v>
      </c>
      <c r="DN115" s="767">
        <f t="shared" si="190"/>
        <v>26513.074985302206</v>
      </c>
      <c r="DO115" s="767">
        <f t="shared" si="191"/>
        <v>583287.64967664855</v>
      </c>
      <c r="DP115" s="768">
        <f t="shared" si="192"/>
        <v>0.19442921655888284</v>
      </c>
      <c r="DR115" s="767">
        <f t="shared" si="193"/>
        <v>3945491.6982462667</v>
      </c>
      <c r="DS115" s="767">
        <f>SUM('[6]INTERNAL PRICELIST'!M115)</f>
        <v>2329361</v>
      </c>
      <c r="DT115" s="767">
        <f t="shared" si="254"/>
        <v>1616130.6982462667</v>
      </c>
      <c r="DV115" s="951">
        <f t="shared" si="194"/>
        <v>179340.53173846667</v>
      </c>
      <c r="DX115" s="772">
        <v>2</v>
      </c>
      <c r="DY115" s="773" t="s">
        <v>238</v>
      </c>
      <c r="DZ115" s="774">
        <v>22</v>
      </c>
      <c r="EA115" s="775">
        <f t="shared" si="294"/>
        <v>0</v>
      </c>
      <c r="ED115" s="1133" t="s">
        <v>483</v>
      </c>
      <c r="EE115" s="777" t="b">
        <f t="shared" si="196"/>
        <v>1</v>
      </c>
      <c r="EF115" s="1123" t="s">
        <v>484</v>
      </c>
      <c r="EG115" s="1123" t="s">
        <v>459</v>
      </c>
      <c r="EH115" s="1203"/>
      <c r="EP115" s="1230" t="s">
        <v>236</v>
      </c>
      <c r="EQ115" s="1145" t="s">
        <v>236</v>
      </c>
      <c r="ER115" s="753" t="b">
        <f t="shared" si="255"/>
        <v>1</v>
      </c>
      <c r="EU115" s="770">
        <v>2360460</v>
      </c>
      <c r="EV115" s="771" t="s">
        <v>236</v>
      </c>
      <c r="EZ115" s="520"/>
      <c r="FA115" s="778"/>
      <c r="FG115" s="1107"/>
      <c r="FJ115" s="994">
        <v>0.15</v>
      </c>
      <c r="FK115" s="993">
        <v>13600.83950116959</v>
      </c>
      <c r="FL115" s="993">
        <v>13968.429757957958</v>
      </c>
      <c r="FM115" s="497"/>
      <c r="FN115" s="993">
        <f t="shared" si="197"/>
        <v>4448541.8897726657</v>
      </c>
      <c r="FO115" s="994">
        <f t="shared" si="256"/>
        <v>0.15</v>
      </c>
      <c r="FP115" s="775">
        <f t="shared" si="198"/>
        <v>667281.28346589988</v>
      </c>
      <c r="FQ115" s="993">
        <f t="shared" si="199"/>
        <v>30000</v>
      </c>
      <c r="FR115" s="775">
        <f t="shared" si="257"/>
        <v>637281.28346589988</v>
      </c>
      <c r="FS115" s="497">
        <f t="shared" si="258"/>
        <v>40</v>
      </c>
      <c r="FT115" s="775">
        <f t="shared" si="259"/>
        <v>15932.032086647498</v>
      </c>
      <c r="FU115" s="497"/>
      <c r="FV115" s="993">
        <f t="shared" si="260"/>
        <v>4448541.8897726657</v>
      </c>
      <c r="FW115" s="705">
        <f t="shared" si="261"/>
        <v>444854.1889772666</v>
      </c>
      <c r="FX115" s="705">
        <f t="shared" si="262"/>
        <v>111213.54724431665</v>
      </c>
      <c r="FY115" s="705">
        <v>15000</v>
      </c>
      <c r="FZ115" s="705">
        <f t="shared" si="263"/>
        <v>429854.1889772666</v>
      </c>
      <c r="GA115" s="497">
        <f t="shared" si="264"/>
        <v>46</v>
      </c>
      <c r="GB115" s="775">
        <f t="shared" si="265"/>
        <v>9344.6562821144908</v>
      </c>
      <c r="GC115" s="497"/>
      <c r="GD115" s="497"/>
      <c r="GE115" s="1107"/>
      <c r="GH115" s="1095">
        <f t="shared" si="161"/>
        <v>4448541.8897726657</v>
      </c>
      <c r="GI115" s="1098">
        <f t="shared" si="162"/>
        <v>0.125</v>
      </c>
      <c r="GJ115" s="1095">
        <f t="shared" si="163"/>
        <v>556067.73622158321</v>
      </c>
      <c r="GK115" s="1095">
        <f t="shared" si="164"/>
        <v>30000</v>
      </c>
      <c r="GL115" s="1095">
        <f t="shared" si="165"/>
        <v>526067.73622158321</v>
      </c>
      <c r="GM115" s="1095">
        <f t="shared" si="166"/>
        <v>29</v>
      </c>
      <c r="GN115" s="1095">
        <f t="shared" si="167"/>
        <v>18140.266766261491</v>
      </c>
      <c r="GO115" s="1098">
        <f t="shared" si="168"/>
        <v>0.875</v>
      </c>
      <c r="GP115" s="1095">
        <f t="shared" si="169"/>
        <v>3892474.1535510826</v>
      </c>
      <c r="GQ115" s="1095">
        <f t="shared" si="170"/>
        <v>30178.310681721341</v>
      </c>
      <c r="GR115" s="1095">
        <f t="shared" si="171"/>
        <v>34986.65812774084</v>
      </c>
      <c r="GS115" s="1095">
        <f t="shared" si="172"/>
        <v>45194.925436661717</v>
      </c>
      <c r="GT115" s="1095">
        <f t="shared" si="173"/>
        <v>77075.653527643983</v>
      </c>
      <c r="GU115" s="497"/>
      <c r="GV115" s="1095">
        <f t="shared" si="266"/>
        <v>4448541.8897726657</v>
      </c>
      <c r="GW115" s="1098">
        <f t="shared" si="267"/>
        <v>0.125</v>
      </c>
      <c r="GX115" s="1095">
        <f t="shared" si="268"/>
        <v>556067.73622158321</v>
      </c>
      <c r="GY115" s="1095">
        <f t="shared" si="269"/>
        <v>30000</v>
      </c>
      <c r="GZ115" s="1095">
        <f t="shared" si="270"/>
        <v>526067.73622158321</v>
      </c>
      <c r="HA115" s="1106">
        <f t="shared" si="271"/>
        <v>48</v>
      </c>
      <c r="HB115" s="770">
        <f t="shared" si="272"/>
        <v>10959.744504616317</v>
      </c>
      <c r="HC115" s="1098">
        <f t="shared" si="273"/>
        <v>0.875</v>
      </c>
      <c r="HD115" s="1102">
        <f t="shared" si="274"/>
        <v>3892474.1535510826</v>
      </c>
      <c r="HE115" s="1101">
        <f t="shared" si="275"/>
        <v>30178.310681721341</v>
      </c>
      <c r="HF115" s="1101">
        <f t="shared" si="276"/>
        <v>34986.65812774084</v>
      </c>
      <c r="HG115" s="1101">
        <f t="shared" si="277"/>
        <v>45194.925436661717</v>
      </c>
      <c r="HH115" s="1101">
        <f t="shared" si="278"/>
        <v>77075.653527643983</v>
      </c>
      <c r="HI115" s="497"/>
      <c r="HJ115" s="1102">
        <f t="shared" si="279"/>
        <v>-7180.5222616451738</v>
      </c>
      <c r="HL115" s="775"/>
      <c r="HN115" s="775"/>
      <c r="HO115" s="775"/>
      <c r="HQ115" s="702"/>
      <c r="HR115" s="1171"/>
      <c r="HS115" s="702"/>
      <c r="HT115" s="1171"/>
    </row>
    <row r="116" spans="1:228" ht="14.25" hidden="1" customHeight="1">
      <c r="A116" s="753">
        <f t="shared" si="280"/>
        <v>110</v>
      </c>
      <c r="B116" s="753" t="s">
        <v>236</v>
      </c>
      <c r="C116" s="753">
        <f t="shared" si="292"/>
        <v>17</v>
      </c>
      <c r="D116" s="753" t="s">
        <v>265</v>
      </c>
      <c r="E116" s="717" t="str">
        <f t="shared" si="200"/>
        <v>6th Floor</v>
      </c>
      <c r="F116" s="754"/>
      <c r="G116" s="756" t="s">
        <v>485</v>
      </c>
      <c r="H116" s="756"/>
      <c r="I116" s="755" t="s">
        <v>229</v>
      </c>
      <c r="J116" s="757">
        <v>22</v>
      </c>
      <c r="K116" s="758"/>
      <c r="L116" s="759" t="s">
        <v>69</v>
      </c>
      <c r="M116" s="760" t="s">
        <v>68</v>
      </c>
      <c r="N116" s="761">
        <f t="shared" si="201"/>
        <v>106005.26567735759</v>
      </c>
      <c r="O116" s="762">
        <f t="shared" si="202"/>
        <v>2332115.8449018667</v>
      </c>
      <c r="P116" s="762">
        <f t="shared" si="203"/>
        <v>22400</v>
      </c>
      <c r="Q116" s="762">
        <f t="shared" si="175"/>
        <v>50000</v>
      </c>
      <c r="R116" s="762"/>
      <c r="S116" s="762"/>
      <c r="T116" s="762"/>
      <c r="U116" s="762"/>
      <c r="V116" s="762"/>
      <c r="W116" s="762"/>
      <c r="X116" s="762"/>
      <c r="Y116" s="762">
        <f t="shared" si="293"/>
        <v>40000</v>
      </c>
      <c r="Z116" s="762">
        <f t="shared" si="177"/>
        <v>142461</v>
      </c>
      <c r="AA116" s="762">
        <v>45722.732758620688</v>
      </c>
      <c r="AB116" s="762"/>
      <c r="AC116" s="762"/>
      <c r="AD116" s="763">
        <f t="shared" si="204"/>
        <v>300583.7327586207</v>
      </c>
      <c r="AE116" s="763">
        <f t="shared" si="178"/>
        <v>2632699.5776604875</v>
      </c>
      <c r="AF116" s="762">
        <f t="shared" si="179"/>
        <v>65817.489441512196</v>
      </c>
      <c r="AG116" s="762">
        <f t="shared" si="205"/>
        <v>2698517.0671019997</v>
      </c>
      <c r="AH116" s="762">
        <f t="shared" si="180"/>
        <v>67462.92667755</v>
      </c>
      <c r="AI116" s="762">
        <f t="shared" si="206"/>
        <v>2765979.9937795498</v>
      </c>
      <c r="AJ116" s="762">
        <f t="shared" si="207"/>
        <v>138298.99968897749</v>
      </c>
      <c r="AK116" s="762">
        <f t="shared" si="208"/>
        <v>2904278.9934685272</v>
      </c>
      <c r="AL116" s="762">
        <f t="shared" si="209"/>
        <v>29042.789934685272</v>
      </c>
      <c r="AM116" s="762">
        <f t="shared" si="210"/>
        <v>27537.409960060559</v>
      </c>
      <c r="AN116" s="762"/>
      <c r="AO116" s="763">
        <f t="shared" si="211"/>
        <v>2960859.1933632731</v>
      </c>
      <c r="AP116" s="763">
        <f t="shared" si="212"/>
        <v>488541.76690494007</v>
      </c>
      <c r="AQ116" s="763">
        <f t="shared" si="213"/>
        <v>3449400.9602682129</v>
      </c>
      <c r="AR116" s="1178">
        <f t="shared" si="181"/>
        <v>3000000</v>
      </c>
      <c r="AS116" s="1178">
        <f t="shared" si="214"/>
        <v>20427.316375827861</v>
      </c>
      <c r="AT116" s="1178">
        <f t="shared" si="215"/>
        <v>449400.96026821295</v>
      </c>
      <c r="AU116" s="1178">
        <f t="shared" si="182"/>
        <v>53928.115232185555</v>
      </c>
      <c r="AV116" s="1178">
        <f t="shared" si="216"/>
        <v>503329.07550039853</v>
      </c>
      <c r="AW116" s="1178">
        <f t="shared" si="217"/>
        <v>3503329.0755003984</v>
      </c>
      <c r="AX116" s="762">
        <f t="shared" si="218"/>
        <v>43791.613443754984</v>
      </c>
      <c r="AY116" s="717" t="s">
        <v>231</v>
      </c>
      <c r="AZ116" s="717">
        <f t="shared" si="219"/>
        <v>3547120.6889441535</v>
      </c>
      <c r="BA116" s="717">
        <f t="shared" si="220"/>
        <v>133017.02583540574</v>
      </c>
      <c r="BB116" s="717"/>
      <c r="BC116" s="717">
        <f t="shared" si="183"/>
        <v>33600</v>
      </c>
      <c r="BD116" s="717">
        <f t="shared" si="221"/>
        <v>3713737.7147795591</v>
      </c>
      <c r="BE116" s="717"/>
      <c r="BF116" s="717">
        <f t="shared" si="222"/>
        <v>3713737.7147795591</v>
      </c>
      <c r="BG116" s="1209"/>
      <c r="BH116" s="717">
        <f t="shared" si="223"/>
        <v>3713737.7147795591</v>
      </c>
      <c r="BI116" s="717"/>
      <c r="BJ116" s="717">
        <f t="shared" si="224"/>
        <v>3713737.7147795591</v>
      </c>
      <c r="BK116" s="717"/>
      <c r="BL116" s="717">
        <f t="shared" si="225"/>
        <v>3713737.7147795591</v>
      </c>
      <c r="BM116" s="717"/>
      <c r="BN116" s="717">
        <f t="shared" si="226"/>
        <v>3713737.7147795591</v>
      </c>
      <c r="BO116" s="717"/>
      <c r="BP116" s="717">
        <f t="shared" si="184"/>
        <v>3713737.7147795591</v>
      </c>
      <c r="BQ116" s="717"/>
      <c r="BR116" s="717">
        <f t="shared" si="285"/>
        <v>3713737.7147795591</v>
      </c>
      <c r="BS116" s="717"/>
      <c r="BT116" s="717">
        <f t="shared" si="227"/>
        <v>3713737.7147795591</v>
      </c>
      <c r="BU116" s="717"/>
      <c r="BV116" s="1235">
        <f t="shared" si="286"/>
        <v>51400</v>
      </c>
      <c r="BW116" s="717">
        <f t="shared" si="228"/>
        <v>3765137.7147795591</v>
      </c>
      <c r="BX116" s="717"/>
      <c r="BY116" s="717">
        <f t="shared" si="229"/>
        <v>3765137.7147795591</v>
      </c>
      <c r="BZ116" s="1194">
        <f t="shared" si="230"/>
        <v>3765137.7147795591</v>
      </c>
      <c r="CA116" s="1194">
        <f t="shared" si="231"/>
        <v>3028137.7147795591</v>
      </c>
      <c r="CB116" s="1194">
        <v>33500</v>
      </c>
      <c r="CC116" s="1194">
        <f t="shared" si="232"/>
        <v>737000</v>
      </c>
      <c r="CD116" s="1194">
        <f t="shared" si="233"/>
        <v>88440</v>
      </c>
      <c r="CE116" s="1194">
        <f t="shared" si="234"/>
        <v>825440</v>
      </c>
      <c r="CF116" s="1200">
        <f t="shared" si="235"/>
        <v>3853577.7147795591</v>
      </c>
      <c r="CG116" s="757">
        <f t="shared" si="236"/>
        <v>3853577.7147795591</v>
      </c>
      <c r="CH116" s="758">
        <f t="shared" si="237"/>
        <v>0</v>
      </c>
      <c r="CI116" s="757">
        <f t="shared" si="185"/>
        <v>394991.7157649048</v>
      </c>
      <c r="CJ116" s="757">
        <f t="shared" si="186"/>
        <v>96339.442869488979</v>
      </c>
      <c r="CK116" s="759">
        <f t="shared" si="291"/>
        <v>4344908.873413953</v>
      </c>
      <c r="CL116" s="764">
        <f t="shared" si="238"/>
        <v>0.125</v>
      </c>
      <c r="CM116" s="757">
        <f t="shared" si="239"/>
        <v>543113.60917674412</v>
      </c>
      <c r="CN116" s="757">
        <f t="shared" si="281"/>
        <v>30000</v>
      </c>
      <c r="CO116" s="757">
        <f t="shared" si="240"/>
        <v>513113.60917674412</v>
      </c>
      <c r="CP116" s="755">
        <f t="shared" si="241"/>
        <v>29</v>
      </c>
      <c r="CQ116" s="757">
        <f t="shared" si="283"/>
        <v>17693.572730232558</v>
      </c>
      <c r="CR116" s="764">
        <f t="shared" si="242"/>
        <v>0.875</v>
      </c>
      <c r="CS116" s="757">
        <f t="shared" si="243"/>
        <v>3801795.2642372088</v>
      </c>
      <c r="CT116" s="1101">
        <f t="shared" si="244"/>
        <v>29475.278218039861</v>
      </c>
      <c r="CU116" s="1101">
        <f t="shared" si="245"/>
        <v>34171.610634892764</v>
      </c>
      <c r="CV116" s="1101">
        <f t="shared" si="246"/>
        <v>44142.066643114937</v>
      </c>
      <c r="CW116" s="1141">
        <f t="shared" si="187"/>
        <v>75280.102836921593</v>
      </c>
      <c r="CX116" s="1152">
        <f t="shared" si="247"/>
        <v>308831.91337454721</v>
      </c>
      <c r="CY116" s="1152">
        <f t="shared" si="248"/>
        <v>122203.28371568573</v>
      </c>
      <c r="CZ116" s="1152">
        <f t="shared" si="249"/>
        <v>88265.701038951564</v>
      </c>
      <c r="DA116" s="1152">
        <f t="shared" si="250"/>
        <v>67174.262033644685</v>
      </c>
      <c r="DB116" s="1143">
        <f t="shared" si="188"/>
        <v>0.1498003200894043</v>
      </c>
      <c r="DC116" s="1143">
        <f t="shared" si="251"/>
        <v>0.27258998029423837</v>
      </c>
      <c r="DD116" s="1098" t="s">
        <v>232</v>
      </c>
      <c r="DE116" s="1144"/>
      <c r="DF116" s="705"/>
      <c r="DG116" s="765">
        <f t="shared" si="282"/>
        <v>46082</v>
      </c>
      <c r="DH116" s="1116">
        <f t="shared" si="189"/>
        <v>28</v>
      </c>
      <c r="DI116" s="497"/>
      <c r="DJ116" s="1117">
        <f t="shared" si="252"/>
        <v>46147</v>
      </c>
      <c r="DK116" s="1116">
        <f t="shared" si="253"/>
        <v>30</v>
      </c>
      <c r="DL116" s="766" t="s">
        <v>233</v>
      </c>
      <c r="DM116" s="766" t="s">
        <v>234</v>
      </c>
      <c r="DN116" s="767">
        <f t="shared" si="190"/>
        <v>22878.594340927204</v>
      </c>
      <c r="DO116" s="767">
        <f t="shared" si="191"/>
        <v>503329.07550039853</v>
      </c>
      <c r="DP116" s="768">
        <f t="shared" si="192"/>
        <v>0.16777635850013284</v>
      </c>
      <c r="DR116" s="767">
        <f t="shared" si="193"/>
        <v>3853577.7147795591</v>
      </c>
      <c r="DS116" s="767">
        <f>SUM('[6]INTERNAL PRICELIST'!M116)</f>
        <v>2329361</v>
      </c>
      <c r="DT116" s="767">
        <f t="shared" si="254"/>
        <v>1524216.7147795591</v>
      </c>
      <c r="DV116" s="951">
        <f t="shared" si="194"/>
        <v>175162.62339907087</v>
      </c>
      <c r="DX116" s="772">
        <v>3</v>
      </c>
      <c r="DY116" s="773" t="s">
        <v>245</v>
      </c>
      <c r="DZ116" s="774">
        <v>22</v>
      </c>
      <c r="EA116" s="775">
        <f t="shared" si="294"/>
        <v>0</v>
      </c>
      <c r="ED116" s="1133" t="s">
        <v>485</v>
      </c>
      <c r="EE116" s="777" t="b">
        <f t="shared" si="196"/>
        <v>1</v>
      </c>
      <c r="EF116" s="1123" t="s">
        <v>486</v>
      </c>
      <c r="EG116" s="1123" t="s">
        <v>459</v>
      </c>
      <c r="EH116" s="1203"/>
      <c r="EP116" s="1230" t="s">
        <v>236</v>
      </c>
      <c r="EQ116" s="1145" t="s">
        <v>236</v>
      </c>
      <c r="ER116" s="753" t="b">
        <f t="shared" si="255"/>
        <v>1</v>
      </c>
      <c r="EU116" s="770">
        <v>2409740</v>
      </c>
      <c r="EV116" s="771" t="s">
        <v>236</v>
      </c>
      <c r="EZ116" s="520"/>
      <c r="FA116" s="778"/>
      <c r="FG116" s="1107"/>
      <c r="FJ116" s="994">
        <v>0.15</v>
      </c>
      <c r="FK116" s="993">
        <v>13042.268172546426</v>
      </c>
      <c r="FL116" s="993">
        <v>13394.761906939573</v>
      </c>
      <c r="FM116" s="497"/>
      <c r="FN116" s="993">
        <f t="shared" si="197"/>
        <v>4344908.873413953</v>
      </c>
      <c r="FO116" s="994">
        <f t="shared" si="256"/>
        <v>0.15</v>
      </c>
      <c r="FP116" s="775">
        <f t="shared" si="198"/>
        <v>651736.33101209288</v>
      </c>
      <c r="FQ116" s="993">
        <f t="shared" si="199"/>
        <v>30000</v>
      </c>
      <c r="FR116" s="775">
        <f t="shared" si="257"/>
        <v>621736.33101209288</v>
      </c>
      <c r="FS116" s="497">
        <f t="shared" si="258"/>
        <v>40</v>
      </c>
      <c r="FT116" s="775">
        <f t="shared" si="259"/>
        <v>15543.408275302321</v>
      </c>
      <c r="FU116" s="497"/>
      <c r="FV116" s="993">
        <f t="shared" si="260"/>
        <v>4344908.873413953</v>
      </c>
      <c r="FW116" s="705">
        <f t="shared" si="261"/>
        <v>434490.88734139531</v>
      </c>
      <c r="FX116" s="705">
        <f t="shared" si="262"/>
        <v>108622.72183534883</v>
      </c>
      <c r="FY116" s="705">
        <v>15000</v>
      </c>
      <c r="FZ116" s="705">
        <f t="shared" si="263"/>
        <v>419490.88734139531</v>
      </c>
      <c r="GA116" s="497">
        <f t="shared" si="264"/>
        <v>46</v>
      </c>
      <c r="GB116" s="775">
        <f t="shared" si="265"/>
        <v>9119.3671161172897</v>
      </c>
      <c r="GC116" s="497"/>
      <c r="GD116" s="497"/>
      <c r="GE116" s="1107"/>
      <c r="GH116" s="1095">
        <f t="shared" si="161"/>
        <v>4344908.873413953</v>
      </c>
      <c r="GI116" s="1098">
        <f t="shared" si="162"/>
        <v>0.125</v>
      </c>
      <c r="GJ116" s="1095">
        <f t="shared" si="163"/>
        <v>543113.60917674412</v>
      </c>
      <c r="GK116" s="1095">
        <f t="shared" si="164"/>
        <v>30000</v>
      </c>
      <c r="GL116" s="1095">
        <f t="shared" si="165"/>
        <v>513113.60917674412</v>
      </c>
      <c r="GM116" s="1095">
        <f t="shared" si="166"/>
        <v>29</v>
      </c>
      <c r="GN116" s="1095">
        <f t="shared" si="167"/>
        <v>17693.572730232558</v>
      </c>
      <c r="GO116" s="1098">
        <f t="shared" si="168"/>
        <v>0.875</v>
      </c>
      <c r="GP116" s="1095">
        <f t="shared" si="169"/>
        <v>3801795.2642372088</v>
      </c>
      <c r="GQ116" s="1095">
        <f t="shared" si="170"/>
        <v>29475.278218039861</v>
      </c>
      <c r="GR116" s="1095">
        <f t="shared" si="171"/>
        <v>34171.610634892764</v>
      </c>
      <c r="GS116" s="1095">
        <f t="shared" si="172"/>
        <v>44142.066643114937</v>
      </c>
      <c r="GT116" s="1095">
        <f t="shared" si="173"/>
        <v>75280.102836921593</v>
      </c>
      <c r="GU116" s="497"/>
      <c r="GV116" s="1095">
        <f t="shared" si="266"/>
        <v>4344908.873413953</v>
      </c>
      <c r="GW116" s="1098">
        <f t="shared" si="267"/>
        <v>0.125</v>
      </c>
      <c r="GX116" s="1095">
        <f t="shared" si="268"/>
        <v>543113.60917674412</v>
      </c>
      <c r="GY116" s="1095">
        <f t="shared" si="269"/>
        <v>30000</v>
      </c>
      <c r="GZ116" s="1095">
        <f t="shared" si="270"/>
        <v>513113.60917674412</v>
      </c>
      <c r="HA116" s="1106">
        <f t="shared" si="271"/>
        <v>48</v>
      </c>
      <c r="HB116" s="770">
        <f t="shared" si="272"/>
        <v>10689.866857848836</v>
      </c>
      <c r="HC116" s="1098">
        <f t="shared" si="273"/>
        <v>0.875</v>
      </c>
      <c r="HD116" s="1102">
        <f t="shared" si="274"/>
        <v>3801795.2642372088</v>
      </c>
      <c r="HE116" s="1101">
        <f t="shared" si="275"/>
        <v>29475.278218039861</v>
      </c>
      <c r="HF116" s="1101">
        <f t="shared" si="276"/>
        <v>34171.610634892764</v>
      </c>
      <c r="HG116" s="1101">
        <f t="shared" si="277"/>
        <v>44142.066643114937</v>
      </c>
      <c r="HH116" s="1101">
        <f t="shared" si="278"/>
        <v>75280.102836921593</v>
      </c>
      <c r="HI116" s="497"/>
      <c r="HJ116" s="1102">
        <f t="shared" si="279"/>
        <v>-7003.7058723837217</v>
      </c>
      <c r="HL116" s="775"/>
      <c r="HN116" s="775"/>
      <c r="HO116" s="775"/>
      <c r="HQ116" s="702"/>
      <c r="HR116" s="1171"/>
      <c r="HS116" s="702"/>
      <c r="HT116" s="1171"/>
    </row>
    <row r="117" spans="1:228" ht="14.25" hidden="1" customHeight="1">
      <c r="A117" s="753">
        <f t="shared" si="280"/>
        <v>111</v>
      </c>
      <c r="B117" s="753" t="s">
        <v>236</v>
      </c>
      <c r="C117" s="753">
        <f t="shared" si="292"/>
        <v>18</v>
      </c>
      <c r="D117" s="753" t="s">
        <v>265</v>
      </c>
      <c r="E117" s="717" t="str">
        <f t="shared" si="200"/>
        <v>6th Floor</v>
      </c>
      <c r="F117" s="754"/>
      <c r="G117" s="756" t="s">
        <v>487</v>
      </c>
      <c r="H117" s="756"/>
      <c r="I117" s="755" t="s">
        <v>229</v>
      </c>
      <c r="J117" s="757">
        <v>22</v>
      </c>
      <c r="K117" s="758"/>
      <c r="L117" s="759" t="s">
        <v>69</v>
      </c>
      <c r="M117" s="760" t="s">
        <v>68</v>
      </c>
      <c r="N117" s="761">
        <f t="shared" si="201"/>
        <v>106005.26567735759</v>
      </c>
      <c r="O117" s="762">
        <f t="shared" si="202"/>
        <v>2332115.8449018667</v>
      </c>
      <c r="P117" s="762">
        <f t="shared" si="203"/>
        <v>22400</v>
      </c>
      <c r="Q117" s="762">
        <f t="shared" si="175"/>
        <v>50000</v>
      </c>
      <c r="R117" s="762"/>
      <c r="S117" s="762"/>
      <c r="T117" s="762"/>
      <c r="U117" s="762"/>
      <c r="V117" s="762"/>
      <c r="W117" s="762"/>
      <c r="X117" s="762"/>
      <c r="Y117" s="762">
        <f t="shared" si="293"/>
        <v>40000</v>
      </c>
      <c r="Z117" s="762">
        <f t="shared" si="177"/>
        <v>142461</v>
      </c>
      <c r="AA117" s="762">
        <v>49222.732758620703</v>
      </c>
      <c r="AB117" s="762"/>
      <c r="AC117" s="762"/>
      <c r="AD117" s="763">
        <f t="shared" si="204"/>
        <v>304083.7327586207</v>
      </c>
      <c r="AE117" s="763">
        <f t="shared" si="178"/>
        <v>2636199.5776604875</v>
      </c>
      <c r="AF117" s="762">
        <f t="shared" si="179"/>
        <v>65904.989441512196</v>
      </c>
      <c r="AG117" s="762">
        <f t="shared" si="205"/>
        <v>2702104.5671019997</v>
      </c>
      <c r="AH117" s="762">
        <f t="shared" si="180"/>
        <v>67552.61417755</v>
      </c>
      <c r="AI117" s="762">
        <f t="shared" si="206"/>
        <v>2769657.1812795498</v>
      </c>
      <c r="AJ117" s="762">
        <f t="shared" si="207"/>
        <v>138482.85906397749</v>
      </c>
      <c r="AK117" s="762">
        <f t="shared" si="208"/>
        <v>2908140.0403435272</v>
      </c>
      <c r="AL117" s="762">
        <f t="shared" si="209"/>
        <v>29081.400403435273</v>
      </c>
      <c r="AM117" s="762">
        <f t="shared" si="210"/>
        <v>27537.409960060559</v>
      </c>
      <c r="AN117" s="762"/>
      <c r="AO117" s="763">
        <f t="shared" si="211"/>
        <v>2964758.8507070229</v>
      </c>
      <c r="AP117" s="763">
        <f t="shared" si="212"/>
        <v>489185.21036665881</v>
      </c>
      <c r="AQ117" s="763">
        <f t="shared" si="213"/>
        <v>3453944.0610736818</v>
      </c>
      <c r="AR117" s="1178">
        <f t="shared" si="181"/>
        <v>3000000</v>
      </c>
      <c r="AS117" s="1178">
        <f t="shared" si="214"/>
        <v>20633.820957894626</v>
      </c>
      <c r="AT117" s="1178">
        <f t="shared" si="215"/>
        <v>453944.06107368181</v>
      </c>
      <c r="AU117" s="1178">
        <f t="shared" si="182"/>
        <v>54473.287328841812</v>
      </c>
      <c r="AV117" s="1178">
        <f t="shared" si="216"/>
        <v>508417.34840252361</v>
      </c>
      <c r="AW117" s="1178">
        <f t="shared" si="217"/>
        <v>3508417.3484025234</v>
      </c>
      <c r="AX117" s="762">
        <f t="shared" si="218"/>
        <v>43855.216855031547</v>
      </c>
      <c r="AY117" s="717">
        <v>7575.3956645161297</v>
      </c>
      <c r="AZ117" s="717">
        <f t="shared" si="219"/>
        <v>3559847.9609220708</v>
      </c>
      <c r="BA117" s="717">
        <f t="shared" si="220"/>
        <v>133494.29853457765</v>
      </c>
      <c r="BB117" s="717"/>
      <c r="BC117" s="717">
        <f t="shared" si="183"/>
        <v>33600</v>
      </c>
      <c r="BD117" s="717">
        <f t="shared" si="221"/>
        <v>3726942.2594566485</v>
      </c>
      <c r="BE117" s="717">
        <v>18367.830916129038</v>
      </c>
      <c r="BF117" s="717">
        <f t="shared" si="222"/>
        <v>3745310.0903727775</v>
      </c>
      <c r="BG117" s="1209"/>
      <c r="BH117" s="717">
        <f t="shared" si="223"/>
        <v>3745310.0903727775</v>
      </c>
      <c r="BI117" s="717">
        <v>718.43902439024396</v>
      </c>
      <c r="BJ117" s="717">
        <f t="shared" si="224"/>
        <v>3746028.5293971677</v>
      </c>
      <c r="BK117" s="717"/>
      <c r="BL117" s="717">
        <f t="shared" si="225"/>
        <v>3746028.5293971677</v>
      </c>
      <c r="BM117" s="717">
        <f>$BM$5/41</f>
        <v>1038.0487804878051</v>
      </c>
      <c r="BN117" s="717">
        <f t="shared" si="226"/>
        <v>3747066.5781776556</v>
      </c>
      <c r="BO117" s="717"/>
      <c r="BP117" s="717">
        <f t="shared" si="184"/>
        <v>3747066.5781776556</v>
      </c>
      <c r="BQ117" s="717"/>
      <c r="BR117" s="717">
        <f t="shared" si="285"/>
        <v>3747066.5781776556</v>
      </c>
      <c r="BS117" s="717"/>
      <c r="BT117" s="717">
        <f t="shared" si="227"/>
        <v>3747066.5781776556</v>
      </c>
      <c r="BU117" s="717"/>
      <c r="BV117" s="1235">
        <f t="shared" si="286"/>
        <v>51400</v>
      </c>
      <c r="BW117" s="717">
        <f t="shared" si="228"/>
        <v>3798466.5781776556</v>
      </c>
      <c r="BX117" s="717"/>
      <c r="BY117" s="717">
        <f t="shared" si="229"/>
        <v>3798466.5781776556</v>
      </c>
      <c r="BZ117" s="1194">
        <f t="shared" si="230"/>
        <v>3798466.5781776556</v>
      </c>
      <c r="CA117" s="1194">
        <f t="shared" si="231"/>
        <v>3028466.5781776556</v>
      </c>
      <c r="CB117" s="1194">
        <v>35000</v>
      </c>
      <c r="CC117" s="1194">
        <f t="shared" si="232"/>
        <v>770000</v>
      </c>
      <c r="CD117" s="1194">
        <f t="shared" si="233"/>
        <v>92400</v>
      </c>
      <c r="CE117" s="1194">
        <f t="shared" si="234"/>
        <v>862400</v>
      </c>
      <c r="CF117" s="1200">
        <f t="shared" si="235"/>
        <v>3890866.5781776556</v>
      </c>
      <c r="CG117" s="757">
        <f t="shared" si="236"/>
        <v>3890866.5781776556</v>
      </c>
      <c r="CH117" s="758">
        <f t="shared" si="237"/>
        <v>0</v>
      </c>
      <c r="CI117" s="757">
        <f t="shared" si="185"/>
        <v>398813.82426320965</v>
      </c>
      <c r="CJ117" s="757">
        <f t="shared" si="186"/>
        <v>97271.664454441401</v>
      </c>
      <c r="CK117" s="759">
        <f t="shared" si="291"/>
        <v>4386952.066895307</v>
      </c>
      <c r="CL117" s="764">
        <f t="shared" si="238"/>
        <v>0.125</v>
      </c>
      <c r="CM117" s="757">
        <f t="shared" si="239"/>
        <v>548369.00836191338</v>
      </c>
      <c r="CN117" s="757">
        <f t="shared" si="281"/>
        <v>30000</v>
      </c>
      <c r="CO117" s="757">
        <f t="shared" si="240"/>
        <v>518369.00836191338</v>
      </c>
      <c r="CP117" s="755">
        <f t="shared" si="241"/>
        <v>29</v>
      </c>
      <c r="CQ117" s="757">
        <f t="shared" si="283"/>
        <v>17874.793391790117</v>
      </c>
      <c r="CR117" s="764">
        <f t="shared" si="242"/>
        <v>0.875</v>
      </c>
      <c r="CS117" s="757">
        <f t="shared" si="243"/>
        <v>3838583.0585333938</v>
      </c>
      <c r="CT117" s="1101">
        <f t="shared" si="244"/>
        <v>29760.493595655844</v>
      </c>
      <c r="CU117" s="1101">
        <f t="shared" si="245"/>
        <v>34502.269730249907</v>
      </c>
      <c r="CV117" s="1101">
        <f t="shared" si="246"/>
        <v>44569.204128068697</v>
      </c>
      <c r="CW117" s="1141">
        <f t="shared" si="187"/>
        <v>76008.54525564189</v>
      </c>
      <c r="CX117" s="1152">
        <f t="shared" si="247"/>
        <v>311820.30283575604</v>
      </c>
      <c r="CY117" s="1152">
        <f t="shared" si="248"/>
        <v>123385.77486820522</v>
      </c>
      <c r="CZ117" s="1152">
        <f t="shared" si="249"/>
        <v>89119.797650564084</v>
      </c>
      <c r="DA117" s="1152">
        <f t="shared" si="250"/>
        <v>67824.268875658992</v>
      </c>
      <c r="DB117" s="1143">
        <f t="shared" si="188"/>
        <v>0.15131468702456061</v>
      </c>
      <c r="DC117" s="1143">
        <f t="shared" si="251"/>
        <v>0.28476457564835966</v>
      </c>
      <c r="DD117" s="1098" t="s">
        <v>232</v>
      </c>
      <c r="DE117" s="1144"/>
      <c r="DF117" s="705"/>
      <c r="DG117" s="765">
        <f t="shared" si="282"/>
        <v>46082</v>
      </c>
      <c r="DH117" s="1116">
        <f t="shared" si="189"/>
        <v>28</v>
      </c>
      <c r="DI117" s="497"/>
      <c r="DJ117" s="1117">
        <f t="shared" si="252"/>
        <v>46147</v>
      </c>
      <c r="DK117" s="1116">
        <f t="shared" si="253"/>
        <v>30</v>
      </c>
      <c r="DL117" s="766" t="s">
        <v>233</v>
      </c>
      <c r="DM117" s="766" t="s">
        <v>234</v>
      </c>
      <c r="DN117" s="767">
        <f t="shared" si="190"/>
        <v>23109.879472841982</v>
      </c>
      <c r="DO117" s="767">
        <f t="shared" si="191"/>
        <v>508417.34840252361</v>
      </c>
      <c r="DP117" s="768">
        <f t="shared" si="192"/>
        <v>0.16947244946750786</v>
      </c>
      <c r="DR117" s="767">
        <f t="shared" si="193"/>
        <v>3890866.5781776556</v>
      </c>
      <c r="DS117" s="767">
        <f>SUM('[6]INTERNAL PRICELIST'!M117)</f>
        <v>2329361</v>
      </c>
      <c r="DT117" s="767">
        <f t="shared" si="254"/>
        <v>1561505.5781776556</v>
      </c>
      <c r="DV117" s="951">
        <f t="shared" si="194"/>
        <v>176857.57173534797</v>
      </c>
      <c r="DX117" s="772">
        <v>4</v>
      </c>
      <c r="DY117" s="773" t="s">
        <v>250</v>
      </c>
      <c r="DZ117" s="774">
        <v>22</v>
      </c>
      <c r="EA117" s="775">
        <f t="shared" si="294"/>
        <v>0</v>
      </c>
      <c r="ED117" s="1133" t="s">
        <v>487</v>
      </c>
      <c r="EE117" s="777" t="b">
        <f t="shared" si="196"/>
        <v>1</v>
      </c>
      <c r="EF117" s="1123" t="s">
        <v>488</v>
      </c>
      <c r="EG117" s="1123" t="s">
        <v>459</v>
      </c>
      <c r="EH117" s="1203"/>
      <c r="EP117" s="1230" t="s">
        <v>236</v>
      </c>
      <c r="EQ117" s="1145" t="s">
        <v>236</v>
      </c>
      <c r="ER117" s="753" t="b">
        <f t="shared" si="255"/>
        <v>1</v>
      </c>
      <c r="EU117" s="770">
        <v>2409740</v>
      </c>
      <c r="EV117" s="771" t="s">
        <v>236</v>
      </c>
      <c r="EZ117" s="520"/>
      <c r="FA117" s="778"/>
      <c r="FG117" s="1107"/>
      <c r="FJ117" s="994">
        <v>0.15</v>
      </c>
      <c r="FK117" s="993">
        <v>13042.268172546426</v>
      </c>
      <c r="FL117" s="993">
        <v>13394.761906939573</v>
      </c>
      <c r="FM117" s="497"/>
      <c r="FN117" s="993">
        <f t="shared" si="197"/>
        <v>4386952.066895307</v>
      </c>
      <c r="FO117" s="994">
        <f t="shared" si="256"/>
        <v>0.15</v>
      </c>
      <c r="FP117" s="775">
        <f t="shared" si="198"/>
        <v>658042.81003429601</v>
      </c>
      <c r="FQ117" s="993">
        <f t="shared" si="199"/>
        <v>30000</v>
      </c>
      <c r="FR117" s="775">
        <f t="shared" si="257"/>
        <v>628042.81003429601</v>
      </c>
      <c r="FS117" s="497">
        <f t="shared" si="258"/>
        <v>40</v>
      </c>
      <c r="FT117" s="775">
        <f t="shared" si="259"/>
        <v>15701.0702508574</v>
      </c>
      <c r="FU117" s="497"/>
      <c r="FV117" s="993">
        <f t="shared" si="260"/>
        <v>4386952.066895307</v>
      </c>
      <c r="FW117" s="705">
        <f t="shared" si="261"/>
        <v>438695.20668953075</v>
      </c>
      <c r="FX117" s="705">
        <f t="shared" si="262"/>
        <v>109673.80167238269</v>
      </c>
      <c r="FY117" s="705">
        <v>15000</v>
      </c>
      <c r="FZ117" s="705">
        <f t="shared" si="263"/>
        <v>423695.20668953075</v>
      </c>
      <c r="GA117" s="497">
        <f t="shared" si="264"/>
        <v>46</v>
      </c>
      <c r="GB117" s="775">
        <f t="shared" si="265"/>
        <v>9210.765362815886</v>
      </c>
      <c r="GC117" s="497"/>
      <c r="GD117" s="497"/>
      <c r="GE117" s="1107"/>
      <c r="GH117" s="1095">
        <f t="shared" si="161"/>
        <v>4386952.066895307</v>
      </c>
      <c r="GI117" s="1098">
        <f t="shared" si="162"/>
        <v>0.125</v>
      </c>
      <c r="GJ117" s="1095">
        <f t="shared" si="163"/>
        <v>548369.00836191338</v>
      </c>
      <c r="GK117" s="1095">
        <f t="shared" si="164"/>
        <v>30000</v>
      </c>
      <c r="GL117" s="1095">
        <f t="shared" si="165"/>
        <v>518369.00836191338</v>
      </c>
      <c r="GM117" s="1095">
        <f t="shared" si="166"/>
        <v>29</v>
      </c>
      <c r="GN117" s="1095">
        <f t="shared" si="167"/>
        <v>17874.793391790117</v>
      </c>
      <c r="GO117" s="1098">
        <f t="shared" si="168"/>
        <v>0.875</v>
      </c>
      <c r="GP117" s="1095">
        <f t="shared" si="169"/>
        <v>3838583.0585333938</v>
      </c>
      <c r="GQ117" s="1095">
        <f t="shared" si="170"/>
        <v>29760.493595655844</v>
      </c>
      <c r="GR117" s="1095">
        <f t="shared" si="171"/>
        <v>34502.269730249907</v>
      </c>
      <c r="GS117" s="1095">
        <f t="shared" si="172"/>
        <v>44569.204128068697</v>
      </c>
      <c r="GT117" s="1095">
        <f t="shared" si="173"/>
        <v>76008.54525564189</v>
      </c>
      <c r="GU117" s="497"/>
      <c r="GV117" s="1095">
        <f t="shared" si="266"/>
        <v>4386952.066895307</v>
      </c>
      <c r="GW117" s="1098">
        <f t="shared" si="267"/>
        <v>0.125</v>
      </c>
      <c r="GX117" s="1095">
        <f t="shared" si="268"/>
        <v>548369.00836191338</v>
      </c>
      <c r="GY117" s="1095">
        <f t="shared" si="269"/>
        <v>30000</v>
      </c>
      <c r="GZ117" s="1095">
        <f t="shared" si="270"/>
        <v>518369.00836191338</v>
      </c>
      <c r="HA117" s="1106">
        <f t="shared" si="271"/>
        <v>48</v>
      </c>
      <c r="HB117" s="770">
        <f t="shared" si="272"/>
        <v>10799.354340873195</v>
      </c>
      <c r="HC117" s="1098">
        <f t="shared" si="273"/>
        <v>0.875</v>
      </c>
      <c r="HD117" s="1102">
        <f t="shared" si="274"/>
        <v>3838583.0585333938</v>
      </c>
      <c r="HE117" s="1101">
        <f t="shared" si="275"/>
        <v>29760.493595655844</v>
      </c>
      <c r="HF117" s="1101">
        <f t="shared" si="276"/>
        <v>34502.269730249907</v>
      </c>
      <c r="HG117" s="1101">
        <f t="shared" si="277"/>
        <v>44569.204128068697</v>
      </c>
      <c r="HH117" s="1101">
        <f t="shared" si="278"/>
        <v>76008.54525564189</v>
      </c>
      <c r="HI117" s="497"/>
      <c r="HJ117" s="1102">
        <f t="shared" si="279"/>
        <v>-7075.4390509169225</v>
      </c>
      <c r="HL117" s="775"/>
      <c r="HN117" s="775"/>
      <c r="HO117" s="775"/>
      <c r="HQ117" s="702"/>
      <c r="HR117" s="1171"/>
      <c r="HS117" s="702"/>
      <c r="HT117" s="1171"/>
    </row>
    <row r="118" spans="1:228" ht="14.25" hidden="1" customHeight="1">
      <c r="A118" s="753">
        <f t="shared" si="280"/>
        <v>112</v>
      </c>
      <c r="B118" s="753"/>
      <c r="C118" s="753">
        <f t="shared" si="292"/>
        <v>19</v>
      </c>
      <c r="D118" s="753" t="s">
        <v>265</v>
      </c>
      <c r="E118" s="717" t="str">
        <f t="shared" si="200"/>
        <v>6th Floor</v>
      </c>
      <c r="F118" s="754"/>
      <c r="G118" s="756" t="s">
        <v>489</v>
      </c>
      <c r="H118" s="756"/>
      <c r="I118" s="755" t="s">
        <v>229</v>
      </c>
      <c r="J118" s="757">
        <v>22</v>
      </c>
      <c r="K118" s="758"/>
      <c r="L118" s="759" t="s">
        <v>69</v>
      </c>
      <c r="M118" s="760" t="s">
        <v>68</v>
      </c>
      <c r="N118" s="761">
        <f t="shared" si="201"/>
        <v>106005.26567735759</v>
      </c>
      <c r="O118" s="762">
        <f t="shared" si="202"/>
        <v>2332115.8449018667</v>
      </c>
      <c r="P118" s="762">
        <f t="shared" si="203"/>
        <v>22400</v>
      </c>
      <c r="Q118" s="762">
        <f t="shared" si="175"/>
        <v>50000</v>
      </c>
      <c r="R118" s="762"/>
      <c r="S118" s="762"/>
      <c r="T118" s="762"/>
      <c r="U118" s="762"/>
      <c r="V118" s="762"/>
      <c r="W118" s="762"/>
      <c r="X118" s="762"/>
      <c r="Y118" s="762">
        <f t="shared" si="293"/>
        <v>40000</v>
      </c>
      <c r="Z118" s="762">
        <f t="shared" si="177"/>
        <v>142461</v>
      </c>
      <c r="AA118" s="762">
        <v>45722.732758620688</v>
      </c>
      <c r="AB118" s="762"/>
      <c r="AC118" s="762"/>
      <c r="AD118" s="763">
        <f t="shared" si="204"/>
        <v>300583.7327586207</v>
      </c>
      <c r="AE118" s="763">
        <f t="shared" si="178"/>
        <v>2632699.5776604875</v>
      </c>
      <c r="AF118" s="762">
        <f t="shared" si="179"/>
        <v>65817.489441512196</v>
      </c>
      <c r="AG118" s="762">
        <f t="shared" si="205"/>
        <v>2698517.0671019997</v>
      </c>
      <c r="AH118" s="762">
        <f t="shared" si="180"/>
        <v>67462.92667755</v>
      </c>
      <c r="AI118" s="762">
        <f t="shared" si="206"/>
        <v>2765979.9937795498</v>
      </c>
      <c r="AJ118" s="762">
        <f t="shared" si="207"/>
        <v>138298.99968897749</v>
      </c>
      <c r="AK118" s="762">
        <f t="shared" si="208"/>
        <v>2904278.9934685272</v>
      </c>
      <c r="AL118" s="762">
        <f t="shared" si="209"/>
        <v>29042.789934685272</v>
      </c>
      <c r="AM118" s="762">
        <f t="shared" si="210"/>
        <v>27537.409960060559</v>
      </c>
      <c r="AN118" s="762"/>
      <c r="AO118" s="763">
        <f t="shared" si="211"/>
        <v>2960859.1933632731</v>
      </c>
      <c r="AP118" s="763">
        <f t="shared" si="212"/>
        <v>488541.76690494007</v>
      </c>
      <c r="AQ118" s="763">
        <f t="shared" si="213"/>
        <v>3449400.9602682129</v>
      </c>
      <c r="AR118" s="1178">
        <f t="shared" si="181"/>
        <v>3000000</v>
      </c>
      <c r="AS118" s="1178">
        <f t="shared" si="214"/>
        <v>20427.316375827861</v>
      </c>
      <c r="AT118" s="1178">
        <f t="shared" si="215"/>
        <v>449400.96026821295</v>
      </c>
      <c r="AU118" s="1178">
        <f t="shared" si="182"/>
        <v>53928.115232185555</v>
      </c>
      <c r="AV118" s="1178">
        <f t="shared" si="216"/>
        <v>503329.07550039853</v>
      </c>
      <c r="AW118" s="1178">
        <f t="shared" si="217"/>
        <v>3503329.0755003984</v>
      </c>
      <c r="AX118" s="762">
        <f t="shared" si="218"/>
        <v>43791.613443754984</v>
      </c>
      <c r="AY118" s="717" t="s">
        <v>231</v>
      </c>
      <c r="AZ118" s="717">
        <f t="shared" si="219"/>
        <v>3547120.6889441535</v>
      </c>
      <c r="BA118" s="717">
        <f t="shared" si="220"/>
        <v>133017.02583540574</v>
      </c>
      <c r="BB118" s="717"/>
      <c r="BC118" s="717">
        <f t="shared" si="183"/>
        <v>33600</v>
      </c>
      <c r="BD118" s="717">
        <f t="shared" si="221"/>
        <v>3713737.7147795591</v>
      </c>
      <c r="BE118" s="717"/>
      <c r="BF118" s="717">
        <f t="shared" si="222"/>
        <v>3713737.7147795591</v>
      </c>
      <c r="BG118" s="1209"/>
      <c r="BH118" s="717">
        <f t="shared" si="223"/>
        <v>3713737.7147795591</v>
      </c>
      <c r="BI118" s="717"/>
      <c r="BJ118" s="717">
        <f t="shared" si="224"/>
        <v>3713737.7147795591</v>
      </c>
      <c r="BK118" s="717"/>
      <c r="BL118" s="717">
        <f t="shared" si="225"/>
        <v>3713737.7147795591</v>
      </c>
      <c r="BM118" s="717"/>
      <c r="BN118" s="717">
        <f t="shared" si="226"/>
        <v>3713737.7147795591</v>
      </c>
      <c r="BO118" s="717"/>
      <c r="BP118" s="717">
        <f t="shared" si="184"/>
        <v>3713737.7147795591</v>
      </c>
      <c r="BQ118" s="717"/>
      <c r="BR118" s="717">
        <f t="shared" si="285"/>
        <v>3713737.7147795591</v>
      </c>
      <c r="BS118" s="717"/>
      <c r="BT118" s="717">
        <f t="shared" si="227"/>
        <v>3713737.7147795591</v>
      </c>
      <c r="BU118" s="717"/>
      <c r="BV118" s="1235">
        <f t="shared" si="286"/>
        <v>51400</v>
      </c>
      <c r="BW118" s="717">
        <f t="shared" si="228"/>
        <v>3765137.7147795591</v>
      </c>
      <c r="BX118" s="717"/>
      <c r="BY118" s="717">
        <f t="shared" si="229"/>
        <v>3765137.7147795591</v>
      </c>
      <c r="BZ118" s="1194">
        <f t="shared" si="230"/>
        <v>3765137.7147795591</v>
      </c>
      <c r="CA118" s="1194">
        <f t="shared" si="231"/>
        <v>3028137.7147795591</v>
      </c>
      <c r="CB118" s="1194">
        <v>33500</v>
      </c>
      <c r="CC118" s="1194">
        <f t="shared" si="232"/>
        <v>737000</v>
      </c>
      <c r="CD118" s="1194">
        <f t="shared" si="233"/>
        <v>88440</v>
      </c>
      <c r="CE118" s="1194">
        <f t="shared" si="234"/>
        <v>825440</v>
      </c>
      <c r="CF118" s="1200">
        <f t="shared" si="235"/>
        <v>3853577.7147795591</v>
      </c>
      <c r="CG118" s="757">
        <f t="shared" si="236"/>
        <v>3853577.7147795591</v>
      </c>
      <c r="CH118" s="758">
        <f t="shared" si="237"/>
        <v>0</v>
      </c>
      <c r="CI118" s="757">
        <f t="shared" si="185"/>
        <v>394991.7157649048</v>
      </c>
      <c r="CJ118" s="757">
        <f t="shared" si="186"/>
        <v>96339.442869488979</v>
      </c>
      <c r="CK118" s="759">
        <f t="shared" si="291"/>
        <v>4344908.873413953</v>
      </c>
      <c r="CL118" s="764">
        <f t="shared" si="238"/>
        <v>0.125</v>
      </c>
      <c r="CM118" s="757">
        <f t="shared" si="239"/>
        <v>543113.60917674412</v>
      </c>
      <c r="CN118" s="757">
        <f t="shared" si="281"/>
        <v>30000</v>
      </c>
      <c r="CO118" s="757">
        <f t="shared" si="240"/>
        <v>513113.60917674412</v>
      </c>
      <c r="CP118" s="755">
        <f t="shared" si="241"/>
        <v>29</v>
      </c>
      <c r="CQ118" s="757">
        <f t="shared" si="283"/>
        <v>17693.572730232558</v>
      </c>
      <c r="CR118" s="764">
        <f t="shared" si="242"/>
        <v>0.875</v>
      </c>
      <c r="CS118" s="757">
        <f t="shared" si="243"/>
        <v>3801795.2642372088</v>
      </c>
      <c r="CT118" s="1101">
        <f t="shared" si="244"/>
        <v>29475.278218039861</v>
      </c>
      <c r="CU118" s="1101">
        <f t="shared" si="245"/>
        <v>34171.610634892764</v>
      </c>
      <c r="CV118" s="1101">
        <f t="shared" si="246"/>
        <v>44142.066643114937</v>
      </c>
      <c r="CW118" s="1141">
        <f t="shared" si="187"/>
        <v>75280.102836921593</v>
      </c>
      <c r="CX118" s="1152">
        <f t="shared" si="247"/>
        <v>308831.91337454721</v>
      </c>
      <c r="CY118" s="1152">
        <f t="shared" si="248"/>
        <v>122203.28371568573</v>
      </c>
      <c r="CZ118" s="1152">
        <f t="shared" si="249"/>
        <v>88265.701038951564</v>
      </c>
      <c r="DA118" s="1152">
        <f t="shared" si="250"/>
        <v>67174.262033644685</v>
      </c>
      <c r="DB118" s="1143">
        <f t="shared" si="188"/>
        <v>0.1498003200894043</v>
      </c>
      <c r="DC118" s="1143">
        <f t="shared" si="251"/>
        <v>0.27258998029423837</v>
      </c>
      <c r="DD118" s="1098" t="s">
        <v>232</v>
      </c>
      <c r="DE118" s="1144"/>
      <c r="DF118" s="705"/>
      <c r="DG118" s="765">
        <f t="shared" si="282"/>
        <v>46082</v>
      </c>
      <c r="DH118" s="1116">
        <f t="shared" si="189"/>
        <v>28</v>
      </c>
      <c r="DI118" s="497"/>
      <c r="DJ118" s="1117">
        <f t="shared" si="252"/>
        <v>46147</v>
      </c>
      <c r="DK118" s="1116">
        <f t="shared" si="253"/>
        <v>30</v>
      </c>
      <c r="DL118" s="766" t="s">
        <v>233</v>
      </c>
      <c r="DM118" s="766" t="s">
        <v>234</v>
      </c>
      <c r="DN118" s="767">
        <f t="shared" si="190"/>
        <v>22878.594340927204</v>
      </c>
      <c r="DO118" s="767">
        <f t="shared" si="191"/>
        <v>503329.07550039853</v>
      </c>
      <c r="DP118" s="768">
        <f t="shared" si="192"/>
        <v>0.16777635850013284</v>
      </c>
      <c r="DR118" s="767">
        <f t="shared" si="193"/>
        <v>3853577.7147795591</v>
      </c>
      <c r="DS118" s="767">
        <f>SUM('[6]INTERNAL PRICELIST'!M118)</f>
        <v>2329361</v>
      </c>
      <c r="DT118" s="767">
        <f t="shared" si="254"/>
        <v>1524216.7147795591</v>
      </c>
      <c r="DV118" s="951">
        <f t="shared" si="194"/>
        <v>175162.62339907087</v>
      </c>
      <c r="DX118" s="772">
        <v>5</v>
      </c>
      <c r="DY118" s="773" t="s">
        <v>255</v>
      </c>
      <c r="DZ118" s="774">
        <v>22</v>
      </c>
      <c r="EA118" s="775">
        <f t="shared" si="294"/>
        <v>0</v>
      </c>
      <c r="ED118" s="1133" t="s">
        <v>489</v>
      </c>
      <c r="EE118" s="777" t="b">
        <f t="shared" si="196"/>
        <v>1</v>
      </c>
      <c r="EF118" s="777"/>
      <c r="EG118" s="777"/>
      <c r="EH118" s="1203"/>
      <c r="EP118" s="1230" t="s">
        <v>236</v>
      </c>
      <c r="EQ118" s="1145" t="s">
        <v>236</v>
      </c>
      <c r="ER118" s="753" t="b">
        <f t="shared" si="255"/>
        <v>1</v>
      </c>
      <c r="EU118" s="770">
        <v>2409740</v>
      </c>
      <c r="EV118" s="771" t="s">
        <v>236</v>
      </c>
      <c r="EZ118" s="520"/>
      <c r="FA118" s="778"/>
      <c r="FG118" s="1107"/>
      <c r="FJ118" s="994">
        <v>0.15</v>
      </c>
      <c r="FK118" s="993">
        <v>13042.268172546426</v>
      </c>
      <c r="FL118" s="993">
        <v>13394.761906939573</v>
      </c>
      <c r="FM118" s="497"/>
      <c r="FN118" s="993">
        <f t="shared" si="197"/>
        <v>4344908.873413953</v>
      </c>
      <c r="FO118" s="994">
        <f t="shared" si="256"/>
        <v>0.15</v>
      </c>
      <c r="FP118" s="775">
        <f t="shared" si="198"/>
        <v>651736.33101209288</v>
      </c>
      <c r="FQ118" s="993">
        <f t="shared" si="199"/>
        <v>30000</v>
      </c>
      <c r="FR118" s="775">
        <f t="shared" si="257"/>
        <v>621736.33101209288</v>
      </c>
      <c r="FS118" s="497">
        <f t="shared" si="258"/>
        <v>40</v>
      </c>
      <c r="FT118" s="775">
        <f t="shared" si="259"/>
        <v>15543.408275302321</v>
      </c>
      <c r="FU118" s="497"/>
      <c r="FV118" s="993">
        <f t="shared" si="260"/>
        <v>4344908.873413953</v>
      </c>
      <c r="FW118" s="705">
        <f t="shared" si="261"/>
        <v>434490.88734139531</v>
      </c>
      <c r="FX118" s="705">
        <f t="shared" si="262"/>
        <v>108622.72183534883</v>
      </c>
      <c r="FY118" s="705">
        <v>15000</v>
      </c>
      <c r="FZ118" s="705">
        <f t="shared" si="263"/>
        <v>419490.88734139531</v>
      </c>
      <c r="GA118" s="497">
        <f t="shared" si="264"/>
        <v>46</v>
      </c>
      <c r="GB118" s="775">
        <f t="shared" si="265"/>
        <v>9119.3671161172897</v>
      </c>
      <c r="GC118" s="497"/>
      <c r="GD118" s="497"/>
      <c r="GE118" s="1107"/>
      <c r="GH118" s="1095">
        <f t="shared" si="161"/>
        <v>4344908.873413953</v>
      </c>
      <c r="GI118" s="1098">
        <f t="shared" si="162"/>
        <v>0.125</v>
      </c>
      <c r="GJ118" s="1095">
        <f t="shared" si="163"/>
        <v>543113.60917674412</v>
      </c>
      <c r="GK118" s="1095">
        <f t="shared" si="164"/>
        <v>30000</v>
      </c>
      <c r="GL118" s="1095">
        <f t="shared" si="165"/>
        <v>513113.60917674412</v>
      </c>
      <c r="GM118" s="1095">
        <f t="shared" si="166"/>
        <v>29</v>
      </c>
      <c r="GN118" s="1095">
        <f t="shared" si="167"/>
        <v>17693.572730232558</v>
      </c>
      <c r="GO118" s="1098">
        <f t="shared" si="168"/>
        <v>0.875</v>
      </c>
      <c r="GP118" s="1095">
        <f t="shared" si="169"/>
        <v>3801795.2642372088</v>
      </c>
      <c r="GQ118" s="1095">
        <f t="shared" si="170"/>
        <v>29475.278218039861</v>
      </c>
      <c r="GR118" s="1095">
        <f t="shared" si="171"/>
        <v>34171.610634892764</v>
      </c>
      <c r="GS118" s="1095">
        <f t="shared" si="172"/>
        <v>44142.066643114937</v>
      </c>
      <c r="GT118" s="1095">
        <f t="shared" si="173"/>
        <v>75280.102836921593</v>
      </c>
      <c r="GU118" s="497"/>
      <c r="GV118" s="1095">
        <f t="shared" si="266"/>
        <v>4344908.873413953</v>
      </c>
      <c r="GW118" s="1098">
        <f t="shared" si="267"/>
        <v>0.125</v>
      </c>
      <c r="GX118" s="1095">
        <f t="shared" si="268"/>
        <v>543113.60917674412</v>
      </c>
      <c r="GY118" s="1095">
        <f t="shared" si="269"/>
        <v>30000</v>
      </c>
      <c r="GZ118" s="1095">
        <f t="shared" si="270"/>
        <v>513113.60917674412</v>
      </c>
      <c r="HA118" s="1106">
        <f t="shared" si="271"/>
        <v>48</v>
      </c>
      <c r="HB118" s="770">
        <f t="shared" si="272"/>
        <v>10689.866857848836</v>
      </c>
      <c r="HC118" s="1098">
        <f t="shared" si="273"/>
        <v>0.875</v>
      </c>
      <c r="HD118" s="1102">
        <f t="shared" si="274"/>
        <v>3801795.2642372088</v>
      </c>
      <c r="HE118" s="1101">
        <f t="shared" si="275"/>
        <v>29475.278218039861</v>
      </c>
      <c r="HF118" s="1101">
        <f t="shared" si="276"/>
        <v>34171.610634892764</v>
      </c>
      <c r="HG118" s="1101">
        <f t="shared" si="277"/>
        <v>44142.066643114937</v>
      </c>
      <c r="HH118" s="1101">
        <f t="shared" si="278"/>
        <v>75280.102836921593</v>
      </c>
      <c r="HI118" s="497"/>
      <c r="HJ118" s="1102">
        <f t="shared" si="279"/>
        <v>-7003.7058723837217</v>
      </c>
      <c r="HL118" s="775"/>
      <c r="HN118" s="775"/>
      <c r="HO118" s="775"/>
      <c r="HQ118" s="702"/>
      <c r="HR118" s="1171"/>
      <c r="HS118" s="702"/>
      <c r="HT118" s="1171"/>
    </row>
    <row r="119" spans="1:228" ht="14.25" hidden="1" customHeight="1">
      <c r="A119" s="753">
        <f t="shared" si="280"/>
        <v>113</v>
      </c>
      <c r="B119" s="753"/>
      <c r="C119" s="753">
        <f t="shared" si="292"/>
        <v>20</v>
      </c>
      <c r="D119" s="753" t="s">
        <v>265</v>
      </c>
      <c r="E119" s="717" t="str">
        <f t="shared" si="200"/>
        <v>6th Floor</v>
      </c>
      <c r="F119" s="754"/>
      <c r="G119" s="756" t="s">
        <v>490</v>
      </c>
      <c r="H119" s="756"/>
      <c r="I119" s="755" t="s">
        <v>229</v>
      </c>
      <c r="J119" s="757">
        <v>22</v>
      </c>
      <c r="K119" s="758"/>
      <c r="L119" s="759" t="s">
        <v>69</v>
      </c>
      <c r="M119" s="760" t="s">
        <v>68</v>
      </c>
      <c r="N119" s="761">
        <f t="shared" si="201"/>
        <v>106005.26567735759</v>
      </c>
      <c r="O119" s="762">
        <f t="shared" si="202"/>
        <v>2332115.8449018667</v>
      </c>
      <c r="P119" s="762">
        <f t="shared" si="203"/>
        <v>22400</v>
      </c>
      <c r="Q119" s="762">
        <f t="shared" si="175"/>
        <v>50000</v>
      </c>
      <c r="R119" s="762"/>
      <c r="S119" s="762"/>
      <c r="T119" s="762"/>
      <c r="U119" s="762"/>
      <c r="V119" s="762"/>
      <c r="W119" s="762"/>
      <c r="X119" s="762"/>
      <c r="Y119" s="762">
        <f t="shared" si="293"/>
        <v>40000</v>
      </c>
      <c r="Z119" s="762">
        <f t="shared" si="177"/>
        <v>142461</v>
      </c>
      <c r="AA119" s="762">
        <v>45722.732758620688</v>
      </c>
      <c r="AB119" s="762"/>
      <c r="AC119" s="762"/>
      <c r="AD119" s="763">
        <f t="shared" si="204"/>
        <v>300583.7327586207</v>
      </c>
      <c r="AE119" s="763">
        <f t="shared" si="178"/>
        <v>2632699.5776604875</v>
      </c>
      <c r="AF119" s="762">
        <f t="shared" si="179"/>
        <v>65817.489441512196</v>
      </c>
      <c r="AG119" s="762">
        <f t="shared" si="205"/>
        <v>2698517.0671019997</v>
      </c>
      <c r="AH119" s="762">
        <f t="shared" si="180"/>
        <v>67462.92667755</v>
      </c>
      <c r="AI119" s="762">
        <f t="shared" si="206"/>
        <v>2765979.9937795498</v>
      </c>
      <c r="AJ119" s="762">
        <f t="shared" si="207"/>
        <v>138298.99968897749</v>
      </c>
      <c r="AK119" s="762">
        <f t="shared" si="208"/>
        <v>2904278.9934685272</v>
      </c>
      <c r="AL119" s="762">
        <f t="shared" si="209"/>
        <v>29042.789934685272</v>
      </c>
      <c r="AM119" s="762">
        <f t="shared" si="210"/>
        <v>27537.409960060559</v>
      </c>
      <c r="AN119" s="762"/>
      <c r="AO119" s="763">
        <f t="shared" si="211"/>
        <v>2960859.1933632731</v>
      </c>
      <c r="AP119" s="763">
        <f t="shared" si="212"/>
        <v>488541.76690494007</v>
      </c>
      <c r="AQ119" s="763">
        <f t="shared" si="213"/>
        <v>3449400.9602682129</v>
      </c>
      <c r="AR119" s="1178">
        <f t="shared" si="181"/>
        <v>3000000</v>
      </c>
      <c r="AS119" s="1178">
        <f t="shared" si="214"/>
        <v>20427.316375827861</v>
      </c>
      <c r="AT119" s="1178">
        <f t="shared" si="215"/>
        <v>449400.96026821295</v>
      </c>
      <c r="AU119" s="1178">
        <f t="shared" si="182"/>
        <v>53928.115232185555</v>
      </c>
      <c r="AV119" s="1178">
        <f t="shared" si="216"/>
        <v>503329.07550039853</v>
      </c>
      <c r="AW119" s="1178">
        <f t="shared" si="217"/>
        <v>3503329.0755003984</v>
      </c>
      <c r="AX119" s="762">
        <f t="shared" si="218"/>
        <v>43791.613443754984</v>
      </c>
      <c r="AY119" s="717" t="s">
        <v>231</v>
      </c>
      <c r="AZ119" s="717">
        <f t="shared" si="219"/>
        <v>3547120.6889441535</v>
      </c>
      <c r="BA119" s="717">
        <f t="shared" si="220"/>
        <v>133017.02583540574</v>
      </c>
      <c r="BB119" s="717"/>
      <c r="BC119" s="717">
        <f t="shared" si="183"/>
        <v>33600</v>
      </c>
      <c r="BD119" s="717">
        <f t="shared" si="221"/>
        <v>3713737.7147795591</v>
      </c>
      <c r="BE119" s="717"/>
      <c r="BF119" s="717">
        <f t="shared" si="222"/>
        <v>3713737.7147795591</v>
      </c>
      <c r="BG119" s="1209"/>
      <c r="BH119" s="717">
        <f t="shared" si="223"/>
        <v>3713737.7147795591</v>
      </c>
      <c r="BI119" s="717"/>
      <c r="BJ119" s="717">
        <f t="shared" si="224"/>
        <v>3713737.7147795591</v>
      </c>
      <c r="BK119" s="717"/>
      <c r="BL119" s="717">
        <f t="shared" si="225"/>
        <v>3713737.7147795591</v>
      </c>
      <c r="BM119" s="717"/>
      <c r="BN119" s="717">
        <f t="shared" si="226"/>
        <v>3713737.7147795591</v>
      </c>
      <c r="BO119" s="717"/>
      <c r="BP119" s="717">
        <f t="shared" si="184"/>
        <v>3713737.7147795591</v>
      </c>
      <c r="BQ119" s="717"/>
      <c r="BR119" s="717">
        <f t="shared" si="285"/>
        <v>3713737.7147795591</v>
      </c>
      <c r="BS119" s="717"/>
      <c r="BT119" s="717">
        <f t="shared" si="227"/>
        <v>3713737.7147795591</v>
      </c>
      <c r="BU119" s="717"/>
      <c r="BV119" s="1235">
        <f t="shared" si="286"/>
        <v>51400</v>
      </c>
      <c r="BW119" s="717">
        <f t="shared" si="228"/>
        <v>3765137.7147795591</v>
      </c>
      <c r="BX119" s="717"/>
      <c r="BY119" s="717">
        <f t="shared" si="229"/>
        <v>3765137.7147795591</v>
      </c>
      <c r="BZ119" s="1194">
        <f t="shared" si="230"/>
        <v>3765137.7147795591</v>
      </c>
      <c r="CA119" s="1194">
        <f t="shared" si="231"/>
        <v>3028137.7147795591</v>
      </c>
      <c r="CB119" s="1194">
        <v>33500</v>
      </c>
      <c r="CC119" s="1194">
        <f t="shared" si="232"/>
        <v>737000</v>
      </c>
      <c r="CD119" s="1194">
        <f t="shared" si="233"/>
        <v>88440</v>
      </c>
      <c r="CE119" s="1194">
        <f t="shared" si="234"/>
        <v>825440</v>
      </c>
      <c r="CF119" s="1200">
        <f t="shared" si="235"/>
        <v>3853577.7147795591</v>
      </c>
      <c r="CG119" s="757">
        <f t="shared" si="236"/>
        <v>3853577.7147795591</v>
      </c>
      <c r="CH119" s="758">
        <f t="shared" si="237"/>
        <v>0</v>
      </c>
      <c r="CI119" s="757">
        <f t="shared" si="185"/>
        <v>394991.7157649048</v>
      </c>
      <c r="CJ119" s="757">
        <f t="shared" si="186"/>
        <v>96339.442869488979</v>
      </c>
      <c r="CK119" s="759">
        <f t="shared" si="291"/>
        <v>4344908.873413953</v>
      </c>
      <c r="CL119" s="764">
        <f t="shared" si="238"/>
        <v>0.125</v>
      </c>
      <c r="CM119" s="757">
        <f t="shared" si="239"/>
        <v>543113.60917674412</v>
      </c>
      <c r="CN119" s="757">
        <f t="shared" si="281"/>
        <v>30000</v>
      </c>
      <c r="CO119" s="757">
        <f t="shared" si="240"/>
        <v>513113.60917674412</v>
      </c>
      <c r="CP119" s="755">
        <f t="shared" si="241"/>
        <v>29</v>
      </c>
      <c r="CQ119" s="757">
        <f t="shared" si="283"/>
        <v>17693.572730232558</v>
      </c>
      <c r="CR119" s="764">
        <f t="shared" si="242"/>
        <v>0.875</v>
      </c>
      <c r="CS119" s="757">
        <f t="shared" si="243"/>
        <v>3801795.2642372088</v>
      </c>
      <c r="CT119" s="1101">
        <f t="shared" si="244"/>
        <v>29475.278218039861</v>
      </c>
      <c r="CU119" s="1101">
        <f t="shared" si="245"/>
        <v>34171.610634892764</v>
      </c>
      <c r="CV119" s="1101">
        <f t="shared" si="246"/>
        <v>44142.066643114937</v>
      </c>
      <c r="CW119" s="1141">
        <f t="shared" si="187"/>
        <v>75280.102836921593</v>
      </c>
      <c r="CX119" s="1152">
        <f t="shared" si="247"/>
        <v>308831.91337454721</v>
      </c>
      <c r="CY119" s="1152">
        <f t="shared" si="248"/>
        <v>122203.28371568573</v>
      </c>
      <c r="CZ119" s="1152">
        <f t="shared" si="249"/>
        <v>88265.701038951564</v>
      </c>
      <c r="DA119" s="1152">
        <f t="shared" si="250"/>
        <v>67174.262033644685</v>
      </c>
      <c r="DB119" s="1143">
        <f t="shared" si="188"/>
        <v>0.1498003200894043</v>
      </c>
      <c r="DC119" s="1143">
        <f t="shared" si="251"/>
        <v>0.27258998029423837</v>
      </c>
      <c r="DD119" s="1098" t="s">
        <v>232</v>
      </c>
      <c r="DE119" s="1144"/>
      <c r="DF119" s="705"/>
      <c r="DG119" s="765">
        <f t="shared" si="282"/>
        <v>46082</v>
      </c>
      <c r="DH119" s="1116">
        <f t="shared" si="189"/>
        <v>28</v>
      </c>
      <c r="DI119" s="497"/>
      <c r="DJ119" s="1117">
        <f t="shared" si="252"/>
        <v>46147</v>
      </c>
      <c r="DK119" s="1116">
        <f t="shared" si="253"/>
        <v>30</v>
      </c>
      <c r="DL119" s="766" t="s">
        <v>233</v>
      </c>
      <c r="DM119" s="766" t="s">
        <v>234</v>
      </c>
      <c r="DN119" s="767">
        <f t="shared" si="190"/>
        <v>22878.594340927204</v>
      </c>
      <c r="DO119" s="767">
        <f t="shared" si="191"/>
        <v>503329.07550039853</v>
      </c>
      <c r="DP119" s="768">
        <f t="shared" si="192"/>
        <v>0.16777635850013284</v>
      </c>
      <c r="DR119" s="767">
        <f t="shared" si="193"/>
        <v>3853577.7147795591</v>
      </c>
      <c r="DS119" s="767">
        <f>SUM('[6]INTERNAL PRICELIST'!M119)</f>
        <v>2329361</v>
      </c>
      <c r="DT119" s="767">
        <f t="shared" si="254"/>
        <v>1524216.7147795591</v>
      </c>
      <c r="DV119" s="951">
        <f t="shared" si="194"/>
        <v>175162.62339907087</v>
      </c>
      <c r="DX119" s="773">
        <v>6</v>
      </c>
      <c r="DY119" s="773" t="s">
        <v>262</v>
      </c>
      <c r="DZ119" s="774">
        <v>22</v>
      </c>
      <c r="EA119" s="775">
        <f t="shared" si="294"/>
        <v>0</v>
      </c>
      <c r="ED119" s="1133" t="s">
        <v>490</v>
      </c>
      <c r="EE119" s="777" t="b">
        <f t="shared" si="196"/>
        <v>1</v>
      </c>
      <c r="EF119" s="777"/>
      <c r="EG119" s="777"/>
      <c r="EH119" s="1203"/>
      <c r="EP119" s="1230" t="s">
        <v>236</v>
      </c>
      <c r="EQ119" s="1145" t="s">
        <v>236</v>
      </c>
      <c r="ER119" s="753" t="b">
        <f t="shared" si="255"/>
        <v>1</v>
      </c>
      <c r="EU119" s="770">
        <v>2271040</v>
      </c>
      <c r="EV119" s="771" t="s">
        <v>236</v>
      </c>
      <c r="EZ119" s="520"/>
      <c r="FA119" s="778"/>
      <c r="FG119" s="1107"/>
      <c r="FJ119" s="994">
        <v>0.15</v>
      </c>
      <c r="FK119" s="993">
        <v>13042.268172546426</v>
      </c>
      <c r="FL119" s="993">
        <v>13394.761906939573</v>
      </c>
      <c r="FM119" s="497"/>
      <c r="FN119" s="993">
        <f t="shared" si="197"/>
        <v>4344908.873413953</v>
      </c>
      <c r="FO119" s="994">
        <f t="shared" si="256"/>
        <v>0.15</v>
      </c>
      <c r="FP119" s="775">
        <f t="shared" si="198"/>
        <v>651736.33101209288</v>
      </c>
      <c r="FQ119" s="993">
        <f t="shared" si="199"/>
        <v>30000</v>
      </c>
      <c r="FR119" s="775">
        <f t="shared" si="257"/>
        <v>621736.33101209288</v>
      </c>
      <c r="FS119" s="497">
        <f t="shared" si="258"/>
        <v>40</v>
      </c>
      <c r="FT119" s="775">
        <f t="shared" si="259"/>
        <v>15543.408275302321</v>
      </c>
      <c r="FU119" s="497"/>
      <c r="FV119" s="993">
        <f t="shared" si="260"/>
        <v>4344908.873413953</v>
      </c>
      <c r="FW119" s="705">
        <f t="shared" si="261"/>
        <v>434490.88734139531</v>
      </c>
      <c r="FX119" s="705">
        <f t="shared" si="262"/>
        <v>108622.72183534883</v>
      </c>
      <c r="FY119" s="705">
        <v>15000</v>
      </c>
      <c r="FZ119" s="705">
        <f t="shared" si="263"/>
        <v>419490.88734139531</v>
      </c>
      <c r="GA119" s="497">
        <f t="shared" si="264"/>
        <v>46</v>
      </c>
      <c r="GB119" s="775">
        <f t="shared" si="265"/>
        <v>9119.3671161172897</v>
      </c>
      <c r="GC119" s="497"/>
      <c r="GD119" s="497"/>
      <c r="GE119" s="1107"/>
      <c r="GH119" s="1095">
        <f t="shared" si="161"/>
        <v>4344908.873413953</v>
      </c>
      <c r="GI119" s="1098">
        <f t="shared" si="162"/>
        <v>0.125</v>
      </c>
      <c r="GJ119" s="1095">
        <f t="shared" si="163"/>
        <v>543113.60917674412</v>
      </c>
      <c r="GK119" s="1095">
        <f t="shared" si="164"/>
        <v>30000</v>
      </c>
      <c r="GL119" s="1095">
        <f t="shared" si="165"/>
        <v>513113.60917674412</v>
      </c>
      <c r="GM119" s="1095">
        <f t="shared" si="166"/>
        <v>29</v>
      </c>
      <c r="GN119" s="1095">
        <f t="shared" si="167"/>
        <v>17693.572730232558</v>
      </c>
      <c r="GO119" s="1098">
        <f t="shared" si="168"/>
        <v>0.875</v>
      </c>
      <c r="GP119" s="1095">
        <f t="shared" si="169"/>
        <v>3801795.2642372088</v>
      </c>
      <c r="GQ119" s="1095">
        <f t="shared" si="170"/>
        <v>29475.278218039861</v>
      </c>
      <c r="GR119" s="1095">
        <f t="shared" si="171"/>
        <v>34171.610634892764</v>
      </c>
      <c r="GS119" s="1095">
        <f t="shared" si="172"/>
        <v>44142.066643114937</v>
      </c>
      <c r="GT119" s="1095">
        <f t="shared" si="173"/>
        <v>75280.102836921593</v>
      </c>
      <c r="GU119" s="497"/>
      <c r="GV119" s="1095">
        <f t="shared" si="266"/>
        <v>4344908.873413953</v>
      </c>
      <c r="GW119" s="1098">
        <f t="shared" si="267"/>
        <v>0.125</v>
      </c>
      <c r="GX119" s="1095">
        <f t="shared" si="268"/>
        <v>543113.60917674412</v>
      </c>
      <c r="GY119" s="1095">
        <f t="shared" si="269"/>
        <v>30000</v>
      </c>
      <c r="GZ119" s="1095">
        <f t="shared" si="270"/>
        <v>513113.60917674412</v>
      </c>
      <c r="HA119" s="1106">
        <f t="shared" si="271"/>
        <v>48</v>
      </c>
      <c r="HB119" s="770">
        <f t="shared" si="272"/>
        <v>10689.866857848836</v>
      </c>
      <c r="HC119" s="1098">
        <f t="shared" si="273"/>
        <v>0.875</v>
      </c>
      <c r="HD119" s="1102">
        <f t="shared" si="274"/>
        <v>3801795.2642372088</v>
      </c>
      <c r="HE119" s="1101">
        <f t="shared" si="275"/>
        <v>29475.278218039861</v>
      </c>
      <c r="HF119" s="1101">
        <f t="shared" si="276"/>
        <v>34171.610634892764</v>
      </c>
      <c r="HG119" s="1101">
        <f t="shared" si="277"/>
        <v>44142.066643114937</v>
      </c>
      <c r="HH119" s="1101">
        <f t="shared" si="278"/>
        <v>75280.102836921593</v>
      </c>
      <c r="HI119" s="497"/>
      <c r="HJ119" s="1102">
        <f t="shared" si="279"/>
        <v>-7003.7058723837217</v>
      </c>
      <c r="HL119" s="775"/>
      <c r="HN119" s="775"/>
      <c r="HO119" s="775"/>
      <c r="HQ119" s="702"/>
      <c r="HR119" s="1171"/>
      <c r="HS119" s="702"/>
      <c r="HT119" s="1171"/>
    </row>
    <row r="120" spans="1:228" ht="14.25" hidden="1" customHeight="1">
      <c r="A120" s="753">
        <f t="shared" si="280"/>
        <v>114</v>
      </c>
      <c r="B120" s="753" t="s">
        <v>236</v>
      </c>
      <c r="C120" s="753">
        <f t="shared" si="292"/>
        <v>21</v>
      </c>
      <c r="D120" s="753" t="s">
        <v>265</v>
      </c>
      <c r="E120" s="717" t="str">
        <f t="shared" si="200"/>
        <v>6th Floor</v>
      </c>
      <c r="F120" s="754"/>
      <c r="G120" s="756" t="s">
        <v>491</v>
      </c>
      <c r="H120" s="756"/>
      <c r="I120" s="755" t="s">
        <v>229</v>
      </c>
      <c r="J120" s="757">
        <v>22</v>
      </c>
      <c r="K120" s="758"/>
      <c r="L120" s="759" t="s">
        <v>69</v>
      </c>
      <c r="M120" s="760" t="s">
        <v>68</v>
      </c>
      <c r="N120" s="761">
        <f t="shared" si="201"/>
        <v>106005.26567735759</v>
      </c>
      <c r="O120" s="762">
        <f t="shared" si="202"/>
        <v>2332115.8449018667</v>
      </c>
      <c r="P120" s="762">
        <f t="shared" si="203"/>
        <v>22400</v>
      </c>
      <c r="Q120" s="762">
        <f t="shared" si="175"/>
        <v>50000</v>
      </c>
      <c r="R120" s="762"/>
      <c r="S120" s="762"/>
      <c r="T120" s="762"/>
      <c r="U120" s="762"/>
      <c r="V120" s="762"/>
      <c r="W120" s="762"/>
      <c r="X120" s="762"/>
      <c r="Y120" s="762">
        <f t="shared" si="293"/>
        <v>40000</v>
      </c>
      <c r="Z120" s="762">
        <f t="shared" si="177"/>
        <v>142461</v>
      </c>
      <c r="AA120" s="762">
        <v>45722.732758620688</v>
      </c>
      <c r="AB120" s="762"/>
      <c r="AC120" s="762"/>
      <c r="AD120" s="763">
        <f t="shared" si="204"/>
        <v>300583.7327586207</v>
      </c>
      <c r="AE120" s="763">
        <f t="shared" si="178"/>
        <v>2632699.5776604875</v>
      </c>
      <c r="AF120" s="762">
        <f t="shared" si="179"/>
        <v>65817.489441512196</v>
      </c>
      <c r="AG120" s="762">
        <f t="shared" si="205"/>
        <v>2698517.0671019997</v>
      </c>
      <c r="AH120" s="762">
        <f t="shared" si="180"/>
        <v>67462.92667755</v>
      </c>
      <c r="AI120" s="762">
        <f t="shared" si="206"/>
        <v>2765979.9937795498</v>
      </c>
      <c r="AJ120" s="762">
        <f t="shared" si="207"/>
        <v>138298.99968897749</v>
      </c>
      <c r="AK120" s="762">
        <f t="shared" si="208"/>
        <v>2904278.9934685272</v>
      </c>
      <c r="AL120" s="762">
        <f t="shared" si="209"/>
        <v>29042.789934685272</v>
      </c>
      <c r="AM120" s="762">
        <f t="shared" si="210"/>
        <v>27537.409960060559</v>
      </c>
      <c r="AN120" s="762"/>
      <c r="AO120" s="763">
        <f t="shared" si="211"/>
        <v>2960859.1933632731</v>
      </c>
      <c r="AP120" s="763">
        <f t="shared" si="212"/>
        <v>488541.76690494007</v>
      </c>
      <c r="AQ120" s="763">
        <f t="shared" si="213"/>
        <v>3449400.9602682129</v>
      </c>
      <c r="AR120" s="1178">
        <f t="shared" si="181"/>
        <v>3000000</v>
      </c>
      <c r="AS120" s="1178">
        <f t="shared" si="214"/>
        <v>20427.316375827861</v>
      </c>
      <c r="AT120" s="1178">
        <f t="shared" si="215"/>
        <v>449400.96026821295</v>
      </c>
      <c r="AU120" s="1178">
        <f t="shared" si="182"/>
        <v>53928.115232185555</v>
      </c>
      <c r="AV120" s="1178">
        <f t="shared" si="216"/>
        <v>503329.07550039853</v>
      </c>
      <c r="AW120" s="1178">
        <f t="shared" si="217"/>
        <v>3503329.0755003984</v>
      </c>
      <c r="AX120" s="762">
        <f t="shared" si="218"/>
        <v>43791.613443754984</v>
      </c>
      <c r="AY120" s="717" t="s">
        <v>231</v>
      </c>
      <c r="AZ120" s="717">
        <f t="shared" si="219"/>
        <v>3547120.6889441535</v>
      </c>
      <c r="BA120" s="717">
        <f t="shared" si="220"/>
        <v>133017.02583540574</v>
      </c>
      <c r="BB120" s="717"/>
      <c r="BC120" s="717">
        <f t="shared" si="183"/>
        <v>33600</v>
      </c>
      <c r="BD120" s="717">
        <f t="shared" si="221"/>
        <v>3713737.7147795591</v>
      </c>
      <c r="BE120" s="717"/>
      <c r="BF120" s="717">
        <f t="shared" si="222"/>
        <v>3713737.7147795591</v>
      </c>
      <c r="BG120" s="1209"/>
      <c r="BH120" s="717">
        <f t="shared" si="223"/>
        <v>3713737.7147795591</v>
      </c>
      <c r="BI120" s="717"/>
      <c r="BJ120" s="717">
        <f t="shared" si="224"/>
        <v>3713737.7147795591</v>
      </c>
      <c r="BK120" s="717"/>
      <c r="BL120" s="717">
        <f t="shared" si="225"/>
        <v>3713737.7147795591</v>
      </c>
      <c r="BM120" s="717"/>
      <c r="BN120" s="717">
        <f t="shared" si="226"/>
        <v>3713737.7147795591</v>
      </c>
      <c r="BO120" s="717"/>
      <c r="BP120" s="717">
        <f t="shared" si="184"/>
        <v>3713737.7147795591</v>
      </c>
      <c r="BQ120" s="717"/>
      <c r="BR120" s="717">
        <f t="shared" si="285"/>
        <v>3713737.7147795591</v>
      </c>
      <c r="BS120" s="717"/>
      <c r="BT120" s="717">
        <f t="shared" si="227"/>
        <v>3713737.7147795591</v>
      </c>
      <c r="BU120" s="717"/>
      <c r="BV120" s="1235">
        <f t="shared" si="286"/>
        <v>51400</v>
      </c>
      <c r="BW120" s="717">
        <f t="shared" si="228"/>
        <v>3765137.7147795591</v>
      </c>
      <c r="BX120" s="717"/>
      <c r="BY120" s="717">
        <f t="shared" si="229"/>
        <v>3765137.7147795591</v>
      </c>
      <c r="BZ120" s="1194">
        <f t="shared" si="230"/>
        <v>3765137.7147795591</v>
      </c>
      <c r="CA120" s="1194">
        <f t="shared" si="231"/>
        <v>3028137.7147795591</v>
      </c>
      <c r="CB120" s="1194">
        <v>33500</v>
      </c>
      <c r="CC120" s="1194">
        <f t="shared" si="232"/>
        <v>737000</v>
      </c>
      <c r="CD120" s="1194">
        <f t="shared" si="233"/>
        <v>88440</v>
      </c>
      <c r="CE120" s="1194">
        <f t="shared" si="234"/>
        <v>825440</v>
      </c>
      <c r="CF120" s="1200">
        <f t="shared" si="235"/>
        <v>3853577.7147795591</v>
      </c>
      <c r="CG120" s="757">
        <f t="shared" si="236"/>
        <v>3853577.7147795591</v>
      </c>
      <c r="CH120" s="758">
        <f t="shared" si="237"/>
        <v>0</v>
      </c>
      <c r="CI120" s="757">
        <f t="shared" si="185"/>
        <v>394991.7157649048</v>
      </c>
      <c r="CJ120" s="757">
        <f t="shared" si="186"/>
        <v>96339.442869488979</v>
      </c>
      <c r="CK120" s="759">
        <f t="shared" si="291"/>
        <v>4344908.873413953</v>
      </c>
      <c r="CL120" s="764">
        <f t="shared" si="238"/>
        <v>0.125</v>
      </c>
      <c r="CM120" s="757">
        <f t="shared" si="239"/>
        <v>543113.60917674412</v>
      </c>
      <c r="CN120" s="757">
        <f t="shared" si="281"/>
        <v>30000</v>
      </c>
      <c r="CO120" s="757">
        <f t="shared" si="240"/>
        <v>513113.60917674412</v>
      </c>
      <c r="CP120" s="755">
        <f t="shared" si="241"/>
        <v>29</v>
      </c>
      <c r="CQ120" s="757">
        <f t="shared" si="283"/>
        <v>17693.572730232558</v>
      </c>
      <c r="CR120" s="764">
        <f t="shared" si="242"/>
        <v>0.875</v>
      </c>
      <c r="CS120" s="757">
        <f t="shared" si="243"/>
        <v>3801795.2642372088</v>
      </c>
      <c r="CT120" s="1101">
        <f t="shared" si="244"/>
        <v>29475.278218039861</v>
      </c>
      <c r="CU120" s="1101">
        <f t="shared" si="245"/>
        <v>34171.610634892764</v>
      </c>
      <c r="CV120" s="1101">
        <f t="shared" si="246"/>
        <v>44142.066643114937</v>
      </c>
      <c r="CW120" s="1141">
        <f t="shared" si="187"/>
        <v>75280.102836921593</v>
      </c>
      <c r="CX120" s="1152">
        <f t="shared" si="247"/>
        <v>308831.91337454721</v>
      </c>
      <c r="CY120" s="1152">
        <f t="shared" si="248"/>
        <v>122203.28371568573</v>
      </c>
      <c r="CZ120" s="1152">
        <f t="shared" si="249"/>
        <v>88265.701038951564</v>
      </c>
      <c r="DA120" s="1152">
        <f t="shared" si="250"/>
        <v>67174.262033644685</v>
      </c>
      <c r="DB120" s="1143">
        <f t="shared" si="188"/>
        <v>0.1498003200894043</v>
      </c>
      <c r="DC120" s="1143">
        <f t="shared" si="251"/>
        <v>0.27258998029423837</v>
      </c>
      <c r="DD120" s="1098" t="s">
        <v>232</v>
      </c>
      <c r="DE120" s="1144"/>
      <c r="DF120" s="705"/>
      <c r="DG120" s="765">
        <f t="shared" si="282"/>
        <v>46082</v>
      </c>
      <c r="DH120" s="1116">
        <f t="shared" si="189"/>
        <v>28</v>
      </c>
      <c r="DI120" s="497"/>
      <c r="DJ120" s="1117">
        <f t="shared" si="252"/>
        <v>46147</v>
      </c>
      <c r="DK120" s="1116">
        <f t="shared" si="253"/>
        <v>30</v>
      </c>
      <c r="DL120" s="766" t="s">
        <v>233</v>
      </c>
      <c r="DM120" s="766" t="s">
        <v>234</v>
      </c>
      <c r="DN120" s="767">
        <f t="shared" si="190"/>
        <v>22878.594340927204</v>
      </c>
      <c r="DO120" s="767">
        <f t="shared" si="191"/>
        <v>503329.07550039853</v>
      </c>
      <c r="DP120" s="768">
        <f t="shared" si="192"/>
        <v>0.16777635850013284</v>
      </c>
      <c r="DR120" s="767">
        <f t="shared" si="193"/>
        <v>3853577.7147795591</v>
      </c>
      <c r="DS120" s="767">
        <f>SUM('[6]INTERNAL PRICELIST'!M120)</f>
        <v>2329361</v>
      </c>
      <c r="DT120" s="767">
        <f t="shared" si="254"/>
        <v>1524216.7147795591</v>
      </c>
      <c r="DV120" s="951">
        <f t="shared" si="194"/>
        <v>175162.62339907087</v>
      </c>
      <c r="DX120" s="772">
        <v>7</v>
      </c>
      <c r="DY120" s="773" t="s">
        <v>267</v>
      </c>
      <c r="DZ120" s="774">
        <v>22</v>
      </c>
      <c r="EA120" s="775">
        <f t="shared" si="294"/>
        <v>0</v>
      </c>
      <c r="ED120" s="1133" t="s">
        <v>491</v>
      </c>
      <c r="EE120" s="777" t="b">
        <f t="shared" si="196"/>
        <v>1</v>
      </c>
      <c r="EF120" s="1123" t="s">
        <v>492</v>
      </c>
      <c r="EG120" s="1123" t="s">
        <v>459</v>
      </c>
      <c r="EH120" s="1203"/>
      <c r="EP120" s="1230" t="s">
        <v>236</v>
      </c>
      <c r="EQ120" s="1145" t="s">
        <v>236</v>
      </c>
      <c r="ER120" s="753" t="b">
        <f t="shared" si="255"/>
        <v>1</v>
      </c>
      <c r="EU120" s="770">
        <v>2409740</v>
      </c>
      <c r="EV120" s="771" t="s">
        <v>236</v>
      </c>
      <c r="EZ120" s="520"/>
      <c r="FA120" s="778"/>
      <c r="FG120" s="1107"/>
      <c r="FJ120" s="994">
        <v>0.15</v>
      </c>
      <c r="FK120" s="993">
        <v>13042.268172546426</v>
      </c>
      <c r="FL120" s="993">
        <v>13394.761906939573</v>
      </c>
      <c r="FM120" s="497"/>
      <c r="FN120" s="993">
        <f t="shared" si="197"/>
        <v>4344908.873413953</v>
      </c>
      <c r="FO120" s="994">
        <f t="shared" si="256"/>
        <v>0.15</v>
      </c>
      <c r="FP120" s="775">
        <f t="shared" si="198"/>
        <v>651736.33101209288</v>
      </c>
      <c r="FQ120" s="993">
        <f t="shared" si="199"/>
        <v>30000</v>
      </c>
      <c r="FR120" s="775">
        <f t="shared" si="257"/>
        <v>621736.33101209288</v>
      </c>
      <c r="FS120" s="497">
        <f t="shared" si="258"/>
        <v>40</v>
      </c>
      <c r="FT120" s="775">
        <f t="shared" si="259"/>
        <v>15543.408275302321</v>
      </c>
      <c r="FU120" s="497"/>
      <c r="FV120" s="993">
        <f t="shared" si="260"/>
        <v>4344908.873413953</v>
      </c>
      <c r="FW120" s="705">
        <f t="shared" si="261"/>
        <v>434490.88734139531</v>
      </c>
      <c r="FX120" s="705">
        <f t="shared" si="262"/>
        <v>108622.72183534883</v>
      </c>
      <c r="FY120" s="705">
        <v>15000</v>
      </c>
      <c r="FZ120" s="705">
        <f t="shared" si="263"/>
        <v>419490.88734139531</v>
      </c>
      <c r="GA120" s="497">
        <f t="shared" si="264"/>
        <v>46</v>
      </c>
      <c r="GB120" s="775">
        <f t="shared" si="265"/>
        <v>9119.3671161172897</v>
      </c>
      <c r="GC120" s="497"/>
      <c r="GD120" s="497"/>
      <c r="GE120" s="1107"/>
      <c r="GH120" s="1095">
        <f t="shared" si="161"/>
        <v>4344908.873413953</v>
      </c>
      <c r="GI120" s="1098">
        <f t="shared" si="162"/>
        <v>0.125</v>
      </c>
      <c r="GJ120" s="1095">
        <f t="shared" si="163"/>
        <v>543113.60917674412</v>
      </c>
      <c r="GK120" s="1095">
        <f t="shared" si="164"/>
        <v>30000</v>
      </c>
      <c r="GL120" s="1095">
        <f t="shared" si="165"/>
        <v>513113.60917674412</v>
      </c>
      <c r="GM120" s="1095">
        <f t="shared" si="166"/>
        <v>29</v>
      </c>
      <c r="GN120" s="1095">
        <f t="shared" si="167"/>
        <v>17693.572730232558</v>
      </c>
      <c r="GO120" s="1098">
        <f t="shared" si="168"/>
        <v>0.875</v>
      </c>
      <c r="GP120" s="1095">
        <f t="shared" si="169"/>
        <v>3801795.2642372088</v>
      </c>
      <c r="GQ120" s="1095">
        <f t="shared" si="170"/>
        <v>29475.278218039861</v>
      </c>
      <c r="GR120" s="1095">
        <f t="shared" si="171"/>
        <v>34171.610634892764</v>
      </c>
      <c r="GS120" s="1095">
        <f t="shared" si="172"/>
        <v>44142.066643114937</v>
      </c>
      <c r="GT120" s="1095">
        <f t="shared" si="173"/>
        <v>75280.102836921593</v>
      </c>
      <c r="GU120" s="497"/>
      <c r="GV120" s="1095">
        <f t="shared" si="266"/>
        <v>4344908.873413953</v>
      </c>
      <c r="GW120" s="1098">
        <f t="shared" si="267"/>
        <v>0.125</v>
      </c>
      <c r="GX120" s="1095">
        <f t="shared" si="268"/>
        <v>543113.60917674412</v>
      </c>
      <c r="GY120" s="1095">
        <f t="shared" si="269"/>
        <v>30000</v>
      </c>
      <c r="GZ120" s="1095">
        <f t="shared" si="270"/>
        <v>513113.60917674412</v>
      </c>
      <c r="HA120" s="1106">
        <f t="shared" si="271"/>
        <v>48</v>
      </c>
      <c r="HB120" s="770">
        <f t="shared" si="272"/>
        <v>10689.866857848836</v>
      </c>
      <c r="HC120" s="1098">
        <f t="shared" si="273"/>
        <v>0.875</v>
      </c>
      <c r="HD120" s="1102">
        <f t="shared" si="274"/>
        <v>3801795.2642372088</v>
      </c>
      <c r="HE120" s="1101">
        <f t="shared" si="275"/>
        <v>29475.278218039861</v>
      </c>
      <c r="HF120" s="1101">
        <f t="shared" si="276"/>
        <v>34171.610634892764</v>
      </c>
      <c r="HG120" s="1101">
        <f t="shared" si="277"/>
        <v>44142.066643114937</v>
      </c>
      <c r="HH120" s="1101">
        <f t="shared" si="278"/>
        <v>75280.102836921593</v>
      </c>
      <c r="HI120" s="497"/>
      <c r="HJ120" s="1102">
        <f t="shared" si="279"/>
        <v>-7003.7058723837217</v>
      </c>
      <c r="HL120" s="775"/>
      <c r="HN120" s="775"/>
      <c r="HO120" s="775"/>
      <c r="HQ120" s="702"/>
      <c r="HR120" s="1171"/>
      <c r="HS120" s="702"/>
      <c r="HT120" s="1171"/>
    </row>
    <row r="121" spans="1:228" ht="14.25" hidden="1" customHeight="1">
      <c r="A121" s="753">
        <f t="shared" si="280"/>
        <v>115</v>
      </c>
      <c r="B121" s="753" t="s">
        <v>236</v>
      </c>
      <c r="C121" s="753">
        <f t="shared" si="292"/>
        <v>22</v>
      </c>
      <c r="D121" s="753" t="s">
        <v>265</v>
      </c>
      <c r="E121" s="717" t="str">
        <f t="shared" si="200"/>
        <v>6th Floor</v>
      </c>
      <c r="F121" s="754"/>
      <c r="G121" s="756" t="s">
        <v>493</v>
      </c>
      <c r="H121" s="756"/>
      <c r="I121" s="755" t="s">
        <v>229</v>
      </c>
      <c r="J121" s="757">
        <v>22</v>
      </c>
      <c r="K121" s="758"/>
      <c r="L121" s="759" t="s">
        <v>69</v>
      </c>
      <c r="M121" s="760" t="s">
        <v>68</v>
      </c>
      <c r="N121" s="761">
        <f t="shared" si="201"/>
        <v>106005.26567735759</v>
      </c>
      <c r="O121" s="762">
        <f t="shared" si="202"/>
        <v>2332115.8449018667</v>
      </c>
      <c r="P121" s="762">
        <f t="shared" si="203"/>
        <v>22400</v>
      </c>
      <c r="Q121" s="762">
        <f t="shared" si="175"/>
        <v>50000</v>
      </c>
      <c r="R121" s="762"/>
      <c r="S121" s="762"/>
      <c r="T121" s="762"/>
      <c r="U121" s="762"/>
      <c r="V121" s="762"/>
      <c r="W121" s="762"/>
      <c r="X121" s="762"/>
      <c r="Y121" s="762">
        <f t="shared" si="293"/>
        <v>40000</v>
      </c>
      <c r="Z121" s="762">
        <f t="shared" si="177"/>
        <v>142461</v>
      </c>
      <c r="AA121" s="762">
        <v>45722.732758620688</v>
      </c>
      <c r="AB121" s="762"/>
      <c r="AC121" s="762"/>
      <c r="AD121" s="763">
        <f t="shared" si="204"/>
        <v>300583.7327586207</v>
      </c>
      <c r="AE121" s="763">
        <f t="shared" si="178"/>
        <v>2632699.5776604875</v>
      </c>
      <c r="AF121" s="762">
        <f t="shared" si="179"/>
        <v>65817.489441512196</v>
      </c>
      <c r="AG121" s="762">
        <f t="shared" si="205"/>
        <v>2698517.0671019997</v>
      </c>
      <c r="AH121" s="762">
        <f t="shared" si="180"/>
        <v>67462.92667755</v>
      </c>
      <c r="AI121" s="762">
        <f t="shared" si="206"/>
        <v>2765979.9937795498</v>
      </c>
      <c r="AJ121" s="762">
        <f t="shared" si="207"/>
        <v>138298.99968897749</v>
      </c>
      <c r="AK121" s="762">
        <f t="shared" si="208"/>
        <v>2904278.9934685272</v>
      </c>
      <c r="AL121" s="762">
        <f t="shared" si="209"/>
        <v>29042.789934685272</v>
      </c>
      <c r="AM121" s="762">
        <f t="shared" si="210"/>
        <v>27537.409960060559</v>
      </c>
      <c r="AN121" s="762"/>
      <c r="AO121" s="763">
        <f t="shared" si="211"/>
        <v>2960859.1933632731</v>
      </c>
      <c r="AP121" s="763">
        <f t="shared" si="212"/>
        <v>488541.76690494007</v>
      </c>
      <c r="AQ121" s="763">
        <f t="shared" si="213"/>
        <v>3449400.9602682129</v>
      </c>
      <c r="AR121" s="1178">
        <f t="shared" si="181"/>
        <v>3000000</v>
      </c>
      <c r="AS121" s="1178">
        <f t="shared" si="214"/>
        <v>20427.316375827861</v>
      </c>
      <c r="AT121" s="1178">
        <f t="shared" si="215"/>
        <v>449400.96026821295</v>
      </c>
      <c r="AU121" s="1178">
        <f t="shared" si="182"/>
        <v>53928.115232185555</v>
      </c>
      <c r="AV121" s="1178">
        <f t="shared" si="216"/>
        <v>503329.07550039853</v>
      </c>
      <c r="AW121" s="1178">
        <f t="shared" si="217"/>
        <v>3503329.0755003984</v>
      </c>
      <c r="AX121" s="762">
        <f t="shared" si="218"/>
        <v>43791.613443754984</v>
      </c>
      <c r="AY121" s="717" t="s">
        <v>231</v>
      </c>
      <c r="AZ121" s="717">
        <f t="shared" si="219"/>
        <v>3547120.6889441535</v>
      </c>
      <c r="BA121" s="717">
        <f t="shared" si="220"/>
        <v>133017.02583540574</v>
      </c>
      <c r="BB121" s="717"/>
      <c r="BC121" s="717">
        <f t="shared" si="183"/>
        <v>33600</v>
      </c>
      <c r="BD121" s="717">
        <f t="shared" si="221"/>
        <v>3713737.7147795591</v>
      </c>
      <c r="BE121" s="717"/>
      <c r="BF121" s="717">
        <f t="shared" si="222"/>
        <v>3713737.7147795591</v>
      </c>
      <c r="BG121" s="1209"/>
      <c r="BH121" s="717">
        <f t="shared" si="223"/>
        <v>3713737.7147795591</v>
      </c>
      <c r="BI121" s="717"/>
      <c r="BJ121" s="717">
        <f t="shared" si="224"/>
        <v>3713737.7147795591</v>
      </c>
      <c r="BK121" s="717"/>
      <c r="BL121" s="717">
        <f t="shared" si="225"/>
        <v>3713737.7147795591</v>
      </c>
      <c r="BM121" s="717"/>
      <c r="BN121" s="717">
        <f t="shared" si="226"/>
        <v>3713737.7147795591</v>
      </c>
      <c r="BO121" s="717"/>
      <c r="BP121" s="717">
        <f t="shared" si="184"/>
        <v>3713737.7147795591</v>
      </c>
      <c r="BQ121" s="717"/>
      <c r="BR121" s="717">
        <f t="shared" si="285"/>
        <v>3713737.7147795591</v>
      </c>
      <c r="BS121" s="717"/>
      <c r="BT121" s="717">
        <f t="shared" si="227"/>
        <v>3713737.7147795591</v>
      </c>
      <c r="BU121" s="717"/>
      <c r="BV121" s="1235">
        <f t="shared" si="286"/>
        <v>51400</v>
      </c>
      <c r="BW121" s="717">
        <f t="shared" si="228"/>
        <v>3765137.7147795591</v>
      </c>
      <c r="BX121" s="717"/>
      <c r="BY121" s="717">
        <f t="shared" si="229"/>
        <v>3765137.7147795591</v>
      </c>
      <c r="BZ121" s="1194">
        <f t="shared" si="230"/>
        <v>3765137.7147795591</v>
      </c>
      <c r="CA121" s="1194">
        <f t="shared" si="231"/>
        <v>3028137.7147795591</v>
      </c>
      <c r="CB121" s="1194">
        <v>33500</v>
      </c>
      <c r="CC121" s="1194">
        <f t="shared" si="232"/>
        <v>737000</v>
      </c>
      <c r="CD121" s="1194">
        <f t="shared" si="233"/>
        <v>88440</v>
      </c>
      <c r="CE121" s="1194">
        <f t="shared" si="234"/>
        <v>825440</v>
      </c>
      <c r="CF121" s="1200">
        <f t="shared" si="235"/>
        <v>3853577.7147795591</v>
      </c>
      <c r="CG121" s="757">
        <f t="shared" si="236"/>
        <v>3853577.7147795591</v>
      </c>
      <c r="CH121" s="758">
        <f t="shared" si="237"/>
        <v>0</v>
      </c>
      <c r="CI121" s="757">
        <f t="shared" si="185"/>
        <v>394991.7157649048</v>
      </c>
      <c r="CJ121" s="757">
        <f t="shared" si="186"/>
        <v>96339.442869488979</v>
      </c>
      <c r="CK121" s="759">
        <f t="shared" si="291"/>
        <v>4344908.873413953</v>
      </c>
      <c r="CL121" s="764">
        <f t="shared" si="238"/>
        <v>0.125</v>
      </c>
      <c r="CM121" s="757">
        <f t="shared" si="239"/>
        <v>543113.60917674412</v>
      </c>
      <c r="CN121" s="757">
        <f t="shared" si="281"/>
        <v>30000</v>
      </c>
      <c r="CO121" s="757">
        <f t="shared" si="240"/>
        <v>513113.60917674412</v>
      </c>
      <c r="CP121" s="755">
        <f t="shared" si="241"/>
        <v>29</v>
      </c>
      <c r="CQ121" s="757">
        <f t="shared" si="283"/>
        <v>17693.572730232558</v>
      </c>
      <c r="CR121" s="764">
        <f t="shared" si="242"/>
        <v>0.875</v>
      </c>
      <c r="CS121" s="757">
        <f t="shared" si="243"/>
        <v>3801795.2642372088</v>
      </c>
      <c r="CT121" s="1101">
        <f t="shared" si="244"/>
        <v>29475.278218039861</v>
      </c>
      <c r="CU121" s="1101">
        <f t="shared" si="245"/>
        <v>34171.610634892764</v>
      </c>
      <c r="CV121" s="1101">
        <f t="shared" si="246"/>
        <v>44142.066643114937</v>
      </c>
      <c r="CW121" s="1141">
        <f t="shared" si="187"/>
        <v>75280.102836921593</v>
      </c>
      <c r="CX121" s="1152">
        <f t="shared" si="247"/>
        <v>308831.91337454721</v>
      </c>
      <c r="CY121" s="1152">
        <f t="shared" si="248"/>
        <v>122203.28371568573</v>
      </c>
      <c r="CZ121" s="1152">
        <f t="shared" si="249"/>
        <v>88265.701038951564</v>
      </c>
      <c r="DA121" s="1152">
        <f t="shared" si="250"/>
        <v>67174.262033644685</v>
      </c>
      <c r="DB121" s="1143">
        <f t="shared" si="188"/>
        <v>0.1498003200894043</v>
      </c>
      <c r="DC121" s="1143">
        <f t="shared" si="251"/>
        <v>0.27258998029423837</v>
      </c>
      <c r="DD121" s="1098" t="s">
        <v>232</v>
      </c>
      <c r="DE121" s="1144"/>
      <c r="DF121" s="705"/>
      <c r="DG121" s="765">
        <f t="shared" si="282"/>
        <v>46082</v>
      </c>
      <c r="DH121" s="1116">
        <f t="shared" si="189"/>
        <v>28</v>
      </c>
      <c r="DI121" s="497"/>
      <c r="DJ121" s="1117">
        <f t="shared" si="252"/>
        <v>46147</v>
      </c>
      <c r="DK121" s="1116">
        <f t="shared" si="253"/>
        <v>30</v>
      </c>
      <c r="DL121" s="766" t="s">
        <v>233</v>
      </c>
      <c r="DM121" s="766" t="s">
        <v>234</v>
      </c>
      <c r="DN121" s="767">
        <f t="shared" si="190"/>
        <v>22878.594340927204</v>
      </c>
      <c r="DO121" s="767">
        <f t="shared" si="191"/>
        <v>503329.07550039853</v>
      </c>
      <c r="DP121" s="768">
        <f t="shared" si="192"/>
        <v>0.16777635850013284</v>
      </c>
      <c r="DR121" s="767">
        <f t="shared" si="193"/>
        <v>3853577.7147795591</v>
      </c>
      <c r="DS121" s="767">
        <f>SUM('[6]INTERNAL PRICELIST'!M121)</f>
        <v>2331316</v>
      </c>
      <c r="DT121" s="767">
        <f t="shared" si="254"/>
        <v>1522261.7147795591</v>
      </c>
      <c r="DV121" s="951">
        <f t="shared" si="194"/>
        <v>175162.62339907087</v>
      </c>
      <c r="DX121" s="772">
        <v>8</v>
      </c>
      <c r="DY121" s="773" t="s">
        <v>271</v>
      </c>
      <c r="DZ121" s="772">
        <v>22.34</v>
      </c>
      <c r="EA121" s="775">
        <f t="shared" si="294"/>
        <v>0.33999999999999986</v>
      </c>
      <c r="ED121" s="1133" t="s">
        <v>493</v>
      </c>
      <c r="EE121" s="777" t="b">
        <f t="shared" si="196"/>
        <v>1</v>
      </c>
      <c r="EF121" s="1123" t="s">
        <v>494</v>
      </c>
      <c r="EG121" s="1123" t="s">
        <v>459</v>
      </c>
      <c r="EH121" s="1203"/>
      <c r="EP121" s="1230" t="s">
        <v>236</v>
      </c>
      <c r="EQ121" s="1145" t="s">
        <v>236</v>
      </c>
      <c r="ER121" s="753" t="b">
        <f t="shared" si="255"/>
        <v>1</v>
      </c>
      <c r="EU121" s="770">
        <v>2409740</v>
      </c>
      <c r="EV121" s="771" t="s">
        <v>236</v>
      </c>
      <c r="EZ121" s="520"/>
      <c r="FA121" s="778"/>
      <c r="FG121" s="1107"/>
      <c r="FJ121" s="994">
        <v>0.15</v>
      </c>
      <c r="FK121" s="993">
        <v>13042.268172546426</v>
      </c>
      <c r="FL121" s="993">
        <v>13394.761906939573</v>
      </c>
      <c r="FM121" s="497"/>
      <c r="FN121" s="993">
        <f t="shared" si="197"/>
        <v>4344908.873413953</v>
      </c>
      <c r="FO121" s="994">
        <f t="shared" si="256"/>
        <v>0.15</v>
      </c>
      <c r="FP121" s="775">
        <f t="shared" si="198"/>
        <v>651736.33101209288</v>
      </c>
      <c r="FQ121" s="993">
        <f t="shared" si="199"/>
        <v>30000</v>
      </c>
      <c r="FR121" s="775">
        <f t="shared" si="257"/>
        <v>621736.33101209288</v>
      </c>
      <c r="FS121" s="497">
        <f t="shared" si="258"/>
        <v>40</v>
      </c>
      <c r="FT121" s="775">
        <f t="shared" si="259"/>
        <v>15543.408275302321</v>
      </c>
      <c r="FU121" s="497"/>
      <c r="FV121" s="993">
        <f t="shared" si="260"/>
        <v>4344908.873413953</v>
      </c>
      <c r="FW121" s="705">
        <f t="shared" si="261"/>
        <v>434490.88734139531</v>
      </c>
      <c r="FX121" s="705">
        <f t="shared" si="262"/>
        <v>108622.72183534883</v>
      </c>
      <c r="FY121" s="705">
        <v>15000</v>
      </c>
      <c r="FZ121" s="705">
        <f t="shared" si="263"/>
        <v>419490.88734139531</v>
      </c>
      <c r="GA121" s="497">
        <f t="shared" si="264"/>
        <v>46</v>
      </c>
      <c r="GB121" s="775">
        <f t="shared" si="265"/>
        <v>9119.3671161172897</v>
      </c>
      <c r="GC121" s="497"/>
      <c r="GD121" s="497"/>
      <c r="GE121" s="1107"/>
      <c r="GH121" s="1095">
        <f t="shared" si="161"/>
        <v>4344908.873413953</v>
      </c>
      <c r="GI121" s="1098">
        <f t="shared" si="162"/>
        <v>0.125</v>
      </c>
      <c r="GJ121" s="1095">
        <f t="shared" si="163"/>
        <v>543113.60917674412</v>
      </c>
      <c r="GK121" s="1095">
        <f t="shared" si="164"/>
        <v>30000</v>
      </c>
      <c r="GL121" s="1095">
        <f t="shared" si="165"/>
        <v>513113.60917674412</v>
      </c>
      <c r="GM121" s="1095">
        <f t="shared" si="166"/>
        <v>29</v>
      </c>
      <c r="GN121" s="1095">
        <f t="shared" si="167"/>
        <v>17693.572730232558</v>
      </c>
      <c r="GO121" s="1098">
        <f t="shared" si="168"/>
        <v>0.875</v>
      </c>
      <c r="GP121" s="1095">
        <f t="shared" si="169"/>
        <v>3801795.2642372088</v>
      </c>
      <c r="GQ121" s="1095">
        <f t="shared" si="170"/>
        <v>29475.278218039861</v>
      </c>
      <c r="GR121" s="1095">
        <f t="shared" si="171"/>
        <v>34171.610634892764</v>
      </c>
      <c r="GS121" s="1095">
        <f t="shared" si="172"/>
        <v>44142.066643114937</v>
      </c>
      <c r="GT121" s="1095">
        <f t="shared" si="173"/>
        <v>75280.102836921593</v>
      </c>
      <c r="GU121" s="497"/>
      <c r="GV121" s="1095">
        <f t="shared" si="266"/>
        <v>4344908.873413953</v>
      </c>
      <c r="GW121" s="1098">
        <f t="shared" si="267"/>
        <v>0.125</v>
      </c>
      <c r="GX121" s="1095">
        <f t="shared" si="268"/>
        <v>543113.60917674412</v>
      </c>
      <c r="GY121" s="1095">
        <f t="shared" si="269"/>
        <v>30000</v>
      </c>
      <c r="GZ121" s="1095">
        <f t="shared" si="270"/>
        <v>513113.60917674412</v>
      </c>
      <c r="HA121" s="1106">
        <f t="shared" si="271"/>
        <v>48</v>
      </c>
      <c r="HB121" s="770">
        <f t="shared" si="272"/>
        <v>10689.866857848836</v>
      </c>
      <c r="HC121" s="1098">
        <f t="shared" si="273"/>
        <v>0.875</v>
      </c>
      <c r="HD121" s="1102">
        <f t="shared" si="274"/>
        <v>3801795.2642372088</v>
      </c>
      <c r="HE121" s="1101">
        <f t="shared" si="275"/>
        <v>29475.278218039861</v>
      </c>
      <c r="HF121" s="1101">
        <f t="shared" si="276"/>
        <v>34171.610634892764</v>
      </c>
      <c r="HG121" s="1101">
        <f t="shared" si="277"/>
        <v>44142.066643114937</v>
      </c>
      <c r="HH121" s="1101">
        <f t="shared" si="278"/>
        <v>75280.102836921593</v>
      </c>
      <c r="HI121" s="497"/>
      <c r="HJ121" s="1102">
        <f t="shared" si="279"/>
        <v>-7003.7058723837217</v>
      </c>
      <c r="HL121" s="775"/>
      <c r="HN121" s="775"/>
      <c r="HO121" s="775"/>
      <c r="HQ121" s="702"/>
      <c r="HR121" s="1171"/>
      <c r="HS121" s="702"/>
      <c r="HT121" s="1171"/>
    </row>
    <row r="122" spans="1:228" ht="14.25" hidden="1" customHeight="1">
      <c r="A122" s="753">
        <f t="shared" si="280"/>
        <v>116</v>
      </c>
      <c r="B122" s="753" t="s">
        <v>236</v>
      </c>
      <c r="C122" s="753">
        <f t="shared" si="292"/>
        <v>23</v>
      </c>
      <c r="D122" s="753" t="s">
        <v>265</v>
      </c>
      <c r="E122" s="717" t="str">
        <f t="shared" si="200"/>
        <v>6th Floor</v>
      </c>
      <c r="F122" s="754"/>
      <c r="G122" s="756" t="s">
        <v>495</v>
      </c>
      <c r="H122" s="756"/>
      <c r="I122" s="755" t="s">
        <v>229</v>
      </c>
      <c r="J122" s="757">
        <v>22</v>
      </c>
      <c r="K122" s="758"/>
      <c r="L122" s="759" t="s">
        <v>69</v>
      </c>
      <c r="M122" s="760" t="s">
        <v>68</v>
      </c>
      <c r="N122" s="761">
        <f t="shared" si="201"/>
        <v>106005.26567735759</v>
      </c>
      <c r="O122" s="762">
        <f t="shared" si="202"/>
        <v>2332115.8449018667</v>
      </c>
      <c r="P122" s="762">
        <f t="shared" si="203"/>
        <v>22400</v>
      </c>
      <c r="Q122" s="762">
        <f t="shared" si="175"/>
        <v>50000</v>
      </c>
      <c r="R122" s="762"/>
      <c r="S122" s="762"/>
      <c r="T122" s="762"/>
      <c r="U122" s="762"/>
      <c r="V122" s="762"/>
      <c r="W122" s="762"/>
      <c r="X122" s="762"/>
      <c r="Y122" s="762">
        <f t="shared" si="293"/>
        <v>40000</v>
      </c>
      <c r="Z122" s="762">
        <f t="shared" si="177"/>
        <v>142461</v>
      </c>
      <c r="AA122" s="762">
        <v>45722.732758620688</v>
      </c>
      <c r="AB122" s="762"/>
      <c r="AC122" s="762"/>
      <c r="AD122" s="763">
        <f t="shared" si="204"/>
        <v>300583.7327586207</v>
      </c>
      <c r="AE122" s="763">
        <f t="shared" si="178"/>
        <v>2632699.5776604875</v>
      </c>
      <c r="AF122" s="762">
        <f t="shared" si="179"/>
        <v>65817.489441512196</v>
      </c>
      <c r="AG122" s="762">
        <f t="shared" si="205"/>
        <v>2698517.0671019997</v>
      </c>
      <c r="AH122" s="762">
        <f t="shared" si="180"/>
        <v>67462.92667755</v>
      </c>
      <c r="AI122" s="762">
        <f t="shared" si="206"/>
        <v>2765979.9937795498</v>
      </c>
      <c r="AJ122" s="762">
        <f t="shared" si="207"/>
        <v>138298.99968897749</v>
      </c>
      <c r="AK122" s="762">
        <f t="shared" si="208"/>
        <v>2904278.9934685272</v>
      </c>
      <c r="AL122" s="762">
        <f t="shared" si="209"/>
        <v>29042.789934685272</v>
      </c>
      <c r="AM122" s="762">
        <f t="shared" si="210"/>
        <v>27537.409960060559</v>
      </c>
      <c r="AN122" s="762"/>
      <c r="AO122" s="763">
        <f t="shared" si="211"/>
        <v>2960859.1933632731</v>
      </c>
      <c r="AP122" s="763">
        <f t="shared" si="212"/>
        <v>488541.76690494007</v>
      </c>
      <c r="AQ122" s="763">
        <f t="shared" si="213"/>
        <v>3449400.9602682129</v>
      </c>
      <c r="AR122" s="1178">
        <f t="shared" si="181"/>
        <v>3000000</v>
      </c>
      <c r="AS122" s="1178">
        <f t="shared" si="214"/>
        <v>20427.316375827861</v>
      </c>
      <c r="AT122" s="1178">
        <f t="shared" si="215"/>
        <v>449400.96026821295</v>
      </c>
      <c r="AU122" s="1178">
        <f t="shared" si="182"/>
        <v>53928.115232185555</v>
      </c>
      <c r="AV122" s="1178">
        <f t="shared" si="216"/>
        <v>503329.07550039853</v>
      </c>
      <c r="AW122" s="1178">
        <f t="shared" si="217"/>
        <v>3503329.0755003984</v>
      </c>
      <c r="AX122" s="762">
        <f t="shared" si="218"/>
        <v>43791.613443754984</v>
      </c>
      <c r="AY122" s="717" t="s">
        <v>231</v>
      </c>
      <c r="AZ122" s="717">
        <f t="shared" si="219"/>
        <v>3547120.6889441535</v>
      </c>
      <c r="BA122" s="717">
        <f t="shared" si="220"/>
        <v>133017.02583540574</v>
      </c>
      <c r="BB122" s="717"/>
      <c r="BC122" s="717">
        <f t="shared" si="183"/>
        <v>33600</v>
      </c>
      <c r="BD122" s="717">
        <f t="shared" si="221"/>
        <v>3713737.7147795591</v>
      </c>
      <c r="BE122" s="717"/>
      <c r="BF122" s="717">
        <f t="shared" si="222"/>
        <v>3713737.7147795591</v>
      </c>
      <c r="BG122" s="1209"/>
      <c r="BH122" s="717">
        <f t="shared" si="223"/>
        <v>3713737.7147795591</v>
      </c>
      <c r="BI122" s="717"/>
      <c r="BJ122" s="717">
        <f t="shared" si="224"/>
        <v>3713737.7147795591</v>
      </c>
      <c r="BK122" s="717"/>
      <c r="BL122" s="717">
        <f t="shared" si="225"/>
        <v>3713737.7147795591</v>
      </c>
      <c r="BM122" s="717"/>
      <c r="BN122" s="717">
        <f t="shared" si="226"/>
        <v>3713737.7147795591</v>
      </c>
      <c r="BO122" s="717"/>
      <c r="BP122" s="717">
        <f t="shared" si="184"/>
        <v>3713737.7147795591</v>
      </c>
      <c r="BQ122" s="717"/>
      <c r="BR122" s="717">
        <f t="shared" si="285"/>
        <v>3713737.7147795591</v>
      </c>
      <c r="BS122" s="717"/>
      <c r="BT122" s="717">
        <f t="shared" si="227"/>
        <v>3713737.7147795591</v>
      </c>
      <c r="BU122" s="717"/>
      <c r="BV122" s="1235">
        <f t="shared" si="286"/>
        <v>51400</v>
      </c>
      <c r="BW122" s="717">
        <f t="shared" si="228"/>
        <v>3765137.7147795591</v>
      </c>
      <c r="BX122" s="717"/>
      <c r="BY122" s="717">
        <f t="shared" si="229"/>
        <v>3765137.7147795591</v>
      </c>
      <c r="BZ122" s="1194">
        <f t="shared" si="230"/>
        <v>3765137.7147795591</v>
      </c>
      <c r="CA122" s="1194">
        <f t="shared" si="231"/>
        <v>3028137.7147795591</v>
      </c>
      <c r="CB122" s="1194">
        <v>33500</v>
      </c>
      <c r="CC122" s="1194">
        <f t="shared" si="232"/>
        <v>737000</v>
      </c>
      <c r="CD122" s="1194">
        <f t="shared" si="233"/>
        <v>88440</v>
      </c>
      <c r="CE122" s="1194">
        <f t="shared" si="234"/>
        <v>825440</v>
      </c>
      <c r="CF122" s="1200">
        <f t="shared" si="235"/>
        <v>3853577.7147795591</v>
      </c>
      <c r="CG122" s="757">
        <f t="shared" si="236"/>
        <v>3853577.7147795591</v>
      </c>
      <c r="CH122" s="758">
        <f t="shared" si="237"/>
        <v>0</v>
      </c>
      <c r="CI122" s="757">
        <f t="shared" si="185"/>
        <v>394991.7157649048</v>
      </c>
      <c r="CJ122" s="757">
        <f t="shared" si="186"/>
        <v>96339.442869488979</v>
      </c>
      <c r="CK122" s="759">
        <f t="shared" si="291"/>
        <v>4344908.873413953</v>
      </c>
      <c r="CL122" s="764">
        <f t="shared" si="238"/>
        <v>0.125</v>
      </c>
      <c r="CM122" s="757">
        <f t="shared" si="239"/>
        <v>543113.60917674412</v>
      </c>
      <c r="CN122" s="757">
        <f t="shared" si="281"/>
        <v>30000</v>
      </c>
      <c r="CO122" s="757">
        <f t="shared" si="240"/>
        <v>513113.60917674412</v>
      </c>
      <c r="CP122" s="755">
        <f t="shared" si="241"/>
        <v>29</v>
      </c>
      <c r="CQ122" s="757">
        <f t="shared" si="283"/>
        <v>17693.572730232558</v>
      </c>
      <c r="CR122" s="764">
        <f t="shared" si="242"/>
        <v>0.875</v>
      </c>
      <c r="CS122" s="757">
        <f t="shared" si="243"/>
        <v>3801795.2642372088</v>
      </c>
      <c r="CT122" s="1101">
        <f t="shared" si="244"/>
        <v>29475.278218039861</v>
      </c>
      <c r="CU122" s="1101">
        <f t="shared" si="245"/>
        <v>34171.610634892764</v>
      </c>
      <c r="CV122" s="1101">
        <f t="shared" si="246"/>
        <v>44142.066643114937</v>
      </c>
      <c r="CW122" s="1141">
        <f t="shared" si="187"/>
        <v>75280.102836921593</v>
      </c>
      <c r="CX122" s="1152">
        <f t="shared" si="247"/>
        <v>308831.91337454721</v>
      </c>
      <c r="CY122" s="1152">
        <f t="shared" si="248"/>
        <v>122203.28371568573</v>
      </c>
      <c r="CZ122" s="1152">
        <f t="shared" si="249"/>
        <v>88265.701038951564</v>
      </c>
      <c r="DA122" s="1152">
        <f t="shared" si="250"/>
        <v>67174.262033644685</v>
      </c>
      <c r="DB122" s="1143">
        <f t="shared" si="188"/>
        <v>0.1498003200894043</v>
      </c>
      <c r="DC122" s="1143">
        <f t="shared" si="251"/>
        <v>0.27258998029423837</v>
      </c>
      <c r="DD122" s="1098" t="s">
        <v>232</v>
      </c>
      <c r="DE122" s="1144"/>
      <c r="DF122" s="705"/>
      <c r="DG122" s="765">
        <f t="shared" si="282"/>
        <v>46082</v>
      </c>
      <c r="DH122" s="1116">
        <f t="shared" si="189"/>
        <v>28</v>
      </c>
      <c r="DI122" s="497"/>
      <c r="DJ122" s="1117">
        <f t="shared" si="252"/>
        <v>46147</v>
      </c>
      <c r="DK122" s="1116">
        <f t="shared" si="253"/>
        <v>30</v>
      </c>
      <c r="DL122" s="766" t="s">
        <v>233</v>
      </c>
      <c r="DM122" s="766" t="s">
        <v>234</v>
      </c>
      <c r="DN122" s="767">
        <f t="shared" si="190"/>
        <v>22878.594340927204</v>
      </c>
      <c r="DO122" s="767">
        <f t="shared" si="191"/>
        <v>503329.07550039853</v>
      </c>
      <c r="DP122" s="768">
        <f t="shared" si="192"/>
        <v>0.16777635850013284</v>
      </c>
      <c r="DR122" s="767">
        <f t="shared" si="193"/>
        <v>3853577.7147795591</v>
      </c>
      <c r="DS122" s="767">
        <f>SUM('[6]INTERNAL PRICELIST'!M122)</f>
        <v>2329361</v>
      </c>
      <c r="DT122" s="767">
        <f t="shared" si="254"/>
        <v>1524216.7147795591</v>
      </c>
      <c r="DV122" s="951">
        <f t="shared" si="194"/>
        <v>175162.62339907087</v>
      </c>
      <c r="DX122" s="772">
        <v>9</v>
      </c>
      <c r="DY122" s="773" t="s">
        <v>274</v>
      </c>
      <c r="DZ122" s="774">
        <v>22</v>
      </c>
      <c r="EA122" s="775">
        <f t="shared" si="294"/>
        <v>0</v>
      </c>
      <c r="ED122" s="1133" t="s">
        <v>495</v>
      </c>
      <c r="EE122" s="777" t="b">
        <f t="shared" si="196"/>
        <v>1</v>
      </c>
      <c r="EF122" s="1123" t="s">
        <v>496</v>
      </c>
      <c r="EG122" s="1123" t="s">
        <v>459</v>
      </c>
      <c r="EH122" s="1203"/>
      <c r="EP122" s="1230" t="s">
        <v>236</v>
      </c>
      <c r="EQ122" s="1145" t="s">
        <v>236</v>
      </c>
      <c r="ER122" s="753" t="b">
        <f t="shared" si="255"/>
        <v>1</v>
      </c>
      <c r="EU122" s="770">
        <v>3032402.8274007286</v>
      </c>
      <c r="EV122" s="771" t="s">
        <v>258</v>
      </c>
      <c r="EW122" s="775">
        <f>EU122-CG122</f>
        <v>-821174.88737883046</v>
      </c>
      <c r="EZ122" s="520"/>
      <c r="FA122" s="778"/>
      <c r="FG122" s="1107"/>
      <c r="FJ122" s="994">
        <v>0.15</v>
      </c>
      <c r="FK122" s="993">
        <v>13042.268172546426</v>
      </c>
      <c r="FL122" s="993">
        <v>13394.761906939573</v>
      </c>
      <c r="FM122" s="497"/>
      <c r="FN122" s="993">
        <f t="shared" si="197"/>
        <v>4344908.873413953</v>
      </c>
      <c r="FO122" s="994">
        <f t="shared" si="256"/>
        <v>0.15</v>
      </c>
      <c r="FP122" s="775">
        <f t="shared" si="198"/>
        <v>651736.33101209288</v>
      </c>
      <c r="FQ122" s="993">
        <f t="shared" si="199"/>
        <v>30000</v>
      </c>
      <c r="FR122" s="775">
        <f t="shared" si="257"/>
        <v>621736.33101209288</v>
      </c>
      <c r="FS122" s="497">
        <f t="shared" si="258"/>
        <v>40</v>
      </c>
      <c r="FT122" s="775">
        <f t="shared" si="259"/>
        <v>15543.408275302321</v>
      </c>
      <c r="FU122" s="497"/>
      <c r="FV122" s="993">
        <f t="shared" si="260"/>
        <v>4344908.873413953</v>
      </c>
      <c r="FW122" s="705">
        <f t="shared" si="261"/>
        <v>434490.88734139531</v>
      </c>
      <c r="FX122" s="705">
        <f t="shared" si="262"/>
        <v>108622.72183534883</v>
      </c>
      <c r="FY122" s="705">
        <v>15000</v>
      </c>
      <c r="FZ122" s="705">
        <f t="shared" si="263"/>
        <v>419490.88734139531</v>
      </c>
      <c r="GA122" s="497">
        <f t="shared" si="264"/>
        <v>46</v>
      </c>
      <c r="GB122" s="775">
        <f t="shared" si="265"/>
        <v>9119.3671161172897</v>
      </c>
      <c r="GC122" s="497"/>
      <c r="GD122" s="497"/>
      <c r="GE122" s="1107"/>
      <c r="GH122" s="1095">
        <f t="shared" si="161"/>
        <v>4344908.873413953</v>
      </c>
      <c r="GI122" s="1098">
        <f t="shared" si="162"/>
        <v>0.125</v>
      </c>
      <c r="GJ122" s="1095">
        <f t="shared" si="163"/>
        <v>543113.60917674412</v>
      </c>
      <c r="GK122" s="1095">
        <f t="shared" si="164"/>
        <v>30000</v>
      </c>
      <c r="GL122" s="1095">
        <f t="shared" si="165"/>
        <v>513113.60917674412</v>
      </c>
      <c r="GM122" s="1095">
        <f t="shared" si="166"/>
        <v>29</v>
      </c>
      <c r="GN122" s="1095">
        <f t="shared" si="167"/>
        <v>17693.572730232558</v>
      </c>
      <c r="GO122" s="1098">
        <f t="shared" si="168"/>
        <v>0.875</v>
      </c>
      <c r="GP122" s="1095">
        <f t="shared" si="169"/>
        <v>3801795.2642372088</v>
      </c>
      <c r="GQ122" s="1095">
        <f t="shared" si="170"/>
        <v>29475.278218039861</v>
      </c>
      <c r="GR122" s="1095">
        <f t="shared" si="171"/>
        <v>34171.610634892764</v>
      </c>
      <c r="GS122" s="1095">
        <f t="shared" si="172"/>
        <v>44142.066643114937</v>
      </c>
      <c r="GT122" s="1095">
        <f t="shared" si="173"/>
        <v>75280.102836921593</v>
      </c>
      <c r="GU122" s="497"/>
      <c r="GV122" s="1095">
        <f t="shared" si="266"/>
        <v>4344908.873413953</v>
      </c>
      <c r="GW122" s="1098">
        <f t="shared" si="267"/>
        <v>0.125</v>
      </c>
      <c r="GX122" s="1095">
        <f t="shared" si="268"/>
        <v>543113.60917674412</v>
      </c>
      <c r="GY122" s="1095">
        <f t="shared" si="269"/>
        <v>30000</v>
      </c>
      <c r="GZ122" s="1095">
        <f t="shared" si="270"/>
        <v>513113.60917674412</v>
      </c>
      <c r="HA122" s="1106">
        <f t="shared" si="271"/>
        <v>48</v>
      </c>
      <c r="HB122" s="770">
        <f t="shared" si="272"/>
        <v>10689.866857848836</v>
      </c>
      <c r="HC122" s="1098">
        <f t="shared" si="273"/>
        <v>0.875</v>
      </c>
      <c r="HD122" s="1102">
        <f t="shared" si="274"/>
        <v>3801795.2642372088</v>
      </c>
      <c r="HE122" s="1101">
        <f t="shared" si="275"/>
        <v>29475.278218039861</v>
      </c>
      <c r="HF122" s="1101">
        <f t="shared" si="276"/>
        <v>34171.610634892764</v>
      </c>
      <c r="HG122" s="1101">
        <f t="shared" si="277"/>
        <v>44142.066643114937</v>
      </c>
      <c r="HH122" s="1101">
        <f t="shared" si="278"/>
        <v>75280.102836921593</v>
      </c>
      <c r="HI122" s="497"/>
      <c r="HJ122" s="1102">
        <f t="shared" si="279"/>
        <v>-7003.7058723837217</v>
      </c>
      <c r="HL122" s="775"/>
      <c r="HN122" s="775"/>
      <c r="HO122" s="775"/>
      <c r="HQ122" s="702"/>
      <c r="HR122" s="1171"/>
      <c r="HS122" s="702"/>
      <c r="HT122" s="1171"/>
    </row>
    <row r="123" spans="1:228" ht="14.25" hidden="1" customHeight="1">
      <c r="A123" s="753">
        <f t="shared" si="280"/>
        <v>117</v>
      </c>
      <c r="B123" s="753" t="s">
        <v>236</v>
      </c>
      <c r="C123" s="753">
        <f t="shared" si="292"/>
        <v>24</v>
      </c>
      <c r="D123" s="753" t="s">
        <v>265</v>
      </c>
      <c r="E123" s="717" t="str">
        <f t="shared" si="200"/>
        <v>6th Floor</v>
      </c>
      <c r="F123" s="754"/>
      <c r="G123" s="756" t="s">
        <v>497</v>
      </c>
      <c r="H123" s="756"/>
      <c r="I123" s="755" t="s">
        <v>229</v>
      </c>
      <c r="J123" s="757">
        <v>22</v>
      </c>
      <c r="K123" s="758"/>
      <c r="L123" s="759" t="s">
        <v>69</v>
      </c>
      <c r="M123" s="760" t="s">
        <v>68</v>
      </c>
      <c r="N123" s="761">
        <f t="shared" si="201"/>
        <v>106005.26567735759</v>
      </c>
      <c r="O123" s="762">
        <f t="shared" si="202"/>
        <v>2332115.8449018667</v>
      </c>
      <c r="P123" s="762">
        <f t="shared" si="203"/>
        <v>22400</v>
      </c>
      <c r="Q123" s="762">
        <f t="shared" si="175"/>
        <v>50000</v>
      </c>
      <c r="R123" s="762"/>
      <c r="S123" s="762"/>
      <c r="T123" s="762"/>
      <c r="U123" s="762"/>
      <c r="V123" s="762"/>
      <c r="W123" s="762"/>
      <c r="X123" s="762"/>
      <c r="Y123" s="762">
        <f t="shared" si="293"/>
        <v>40000</v>
      </c>
      <c r="Z123" s="762">
        <f t="shared" si="177"/>
        <v>142461</v>
      </c>
      <c r="AA123" s="762">
        <v>45722.732758620688</v>
      </c>
      <c r="AB123" s="762"/>
      <c r="AC123" s="762"/>
      <c r="AD123" s="763">
        <f t="shared" si="204"/>
        <v>300583.7327586207</v>
      </c>
      <c r="AE123" s="763">
        <f t="shared" si="178"/>
        <v>2632699.5776604875</v>
      </c>
      <c r="AF123" s="762">
        <f t="shared" si="179"/>
        <v>65817.489441512196</v>
      </c>
      <c r="AG123" s="762">
        <f t="shared" si="205"/>
        <v>2698517.0671019997</v>
      </c>
      <c r="AH123" s="762">
        <f t="shared" si="180"/>
        <v>67462.92667755</v>
      </c>
      <c r="AI123" s="762">
        <f t="shared" si="206"/>
        <v>2765979.9937795498</v>
      </c>
      <c r="AJ123" s="762">
        <f t="shared" si="207"/>
        <v>138298.99968897749</v>
      </c>
      <c r="AK123" s="762">
        <f t="shared" si="208"/>
        <v>2904278.9934685272</v>
      </c>
      <c r="AL123" s="762">
        <f t="shared" si="209"/>
        <v>29042.789934685272</v>
      </c>
      <c r="AM123" s="762">
        <f t="shared" si="210"/>
        <v>27537.409960060559</v>
      </c>
      <c r="AN123" s="762"/>
      <c r="AO123" s="763">
        <f t="shared" si="211"/>
        <v>2960859.1933632731</v>
      </c>
      <c r="AP123" s="763">
        <f t="shared" si="212"/>
        <v>488541.76690494007</v>
      </c>
      <c r="AQ123" s="763">
        <f t="shared" si="213"/>
        <v>3449400.9602682129</v>
      </c>
      <c r="AR123" s="1178">
        <f t="shared" si="181"/>
        <v>3000000</v>
      </c>
      <c r="AS123" s="1178">
        <f t="shared" si="214"/>
        <v>20427.316375827861</v>
      </c>
      <c r="AT123" s="1178">
        <f t="shared" si="215"/>
        <v>449400.96026821295</v>
      </c>
      <c r="AU123" s="1178">
        <f t="shared" si="182"/>
        <v>53928.115232185555</v>
      </c>
      <c r="AV123" s="1178">
        <f t="shared" si="216"/>
        <v>503329.07550039853</v>
      </c>
      <c r="AW123" s="1178">
        <f t="shared" si="217"/>
        <v>3503329.0755003984</v>
      </c>
      <c r="AX123" s="762">
        <f t="shared" si="218"/>
        <v>43791.613443754984</v>
      </c>
      <c r="AY123" s="717" t="s">
        <v>231</v>
      </c>
      <c r="AZ123" s="717">
        <f t="shared" si="219"/>
        <v>3547120.6889441535</v>
      </c>
      <c r="BA123" s="717">
        <f t="shared" si="220"/>
        <v>133017.02583540574</v>
      </c>
      <c r="BB123" s="717"/>
      <c r="BC123" s="717">
        <f t="shared" si="183"/>
        <v>33600</v>
      </c>
      <c r="BD123" s="717">
        <f t="shared" si="221"/>
        <v>3713737.7147795591</v>
      </c>
      <c r="BE123" s="717"/>
      <c r="BF123" s="717">
        <f t="shared" si="222"/>
        <v>3713737.7147795591</v>
      </c>
      <c r="BG123" s="1209"/>
      <c r="BH123" s="717">
        <f t="shared" si="223"/>
        <v>3713737.7147795591</v>
      </c>
      <c r="BI123" s="717"/>
      <c r="BJ123" s="717">
        <f t="shared" si="224"/>
        <v>3713737.7147795591</v>
      </c>
      <c r="BK123" s="717"/>
      <c r="BL123" s="717">
        <f t="shared" si="225"/>
        <v>3713737.7147795591</v>
      </c>
      <c r="BM123" s="717"/>
      <c r="BN123" s="717">
        <f t="shared" si="226"/>
        <v>3713737.7147795591</v>
      </c>
      <c r="BO123" s="717"/>
      <c r="BP123" s="717">
        <f t="shared" si="184"/>
        <v>3713737.7147795591</v>
      </c>
      <c r="BQ123" s="717"/>
      <c r="BR123" s="717">
        <f t="shared" si="285"/>
        <v>3713737.7147795591</v>
      </c>
      <c r="BS123" s="717"/>
      <c r="BT123" s="717">
        <f t="shared" si="227"/>
        <v>3713737.7147795591</v>
      </c>
      <c r="BU123" s="717"/>
      <c r="BV123" s="1235">
        <f t="shared" si="286"/>
        <v>51400</v>
      </c>
      <c r="BW123" s="717">
        <f t="shared" si="228"/>
        <v>3765137.7147795591</v>
      </c>
      <c r="BX123" s="717"/>
      <c r="BY123" s="717">
        <f t="shared" si="229"/>
        <v>3765137.7147795591</v>
      </c>
      <c r="BZ123" s="1194">
        <f t="shared" si="230"/>
        <v>3765137.7147795591</v>
      </c>
      <c r="CA123" s="1194">
        <f t="shared" si="231"/>
        <v>3028137.7147795591</v>
      </c>
      <c r="CB123" s="1194">
        <v>33500</v>
      </c>
      <c r="CC123" s="1194">
        <f t="shared" si="232"/>
        <v>737000</v>
      </c>
      <c r="CD123" s="1194">
        <f t="shared" si="233"/>
        <v>88440</v>
      </c>
      <c r="CE123" s="1194">
        <f t="shared" si="234"/>
        <v>825440</v>
      </c>
      <c r="CF123" s="1200">
        <f t="shared" si="235"/>
        <v>3853577.7147795591</v>
      </c>
      <c r="CG123" s="757">
        <f t="shared" si="236"/>
        <v>3853577.7147795591</v>
      </c>
      <c r="CH123" s="758">
        <f t="shared" si="237"/>
        <v>0</v>
      </c>
      <c r="CI123" s="757">
        <f t="shared" si="185"/>
        <v>394991.7157649048</v>
      </c>
      <c r="CJ123" s="757">
        <f t="shared" si="186"/>
        <v>96339.442869488979</v>
      </c>
      <c r="CK123" s="759">
        <f t="shared" si="291"/>
        <v>4344908.873413953</v>
      </c>
      <c r="CL123" s="764">
        <f t="shared" si="238"/>
        <v>0.125</v>
      </c>
      <c r="CM123" s="757">
        <f t="shared" si="239"/>
        <v>543113.60917674412</v>
      </c>
      <c r="CN123" s="757">
        <f t="shared" si="281"/>
        <v>30000</v>
      </c>
      <c r="CO123" s="757">
        <f t="shared" si="240"/>
        <v>513113.60917674412</v>
      </c>
      <c r="CP123" s="755">
        <f t="shared" si="241"/>
        <v>29</v>
      </c>
      <c r="CQ123" s="757">
        <f t="shared" si="283"/>
        <v>17693.572730232558</v>
      </c>
      <c r="CR123" s="764">
        <f t="shared" si="242"/>
        <v>0.875</v>
      </c>
      <c r="CS123" s="757">
        <f t="shared" si="243"/>
        <v>3801795.2642372088</v>
      </c>
      <c r="CT123" s="1101">
        <f t="shared" si="244"/>
        <v>29475.278218039861</v>
      </c>
      <c r="CU123" s="1101">
        <f t="shared" si="245"/>
        <v>34171.610634892764</v>
      </c>
      <c r="CV123" s="1101">
        <f t="shared" si="246"/>
        <v>44142.066643114937</v>
      </c>
      <c r="CW123" s="1141">
        <f t="shared" si="187"/>
        <v>75280.102836921593</v>
      </c>
      <c r="CX123" s="1152">
        <f t="shared" si="247"/>
        <v>308831.91337454721</v>
      </c>
      <c r="CY123" s="1152">
        <f t="shared" si="248"/>
        <v>122203.28371568573</v>
      </c>
      <c r="CZ123" s="1152">
        <f t="shared" si="249"/>
        <v>88265.701038951564</v>
      </c>
      <c r="DA123" s="1152">
        <f t="shared" si="250"/>
        <v>67174.262033644685</v>
      </c>
      <c r="DB123" s="1143">
        <f t="shared" si="188"/>
        <v>0.1498003200894043</v>
      </c>
      <c r="DC123" s="1143">
        <f t="shared" si="251"/>
        <v>0.27258998029423837</v>
      </c>
      <c r="DD123" s="1098" t="s">
        <v>232</v>
      </c>
      <c r="DE123" s="1144"/>
      <c r="DF123" s="705"/>
      <c r="DG123" s="765">
        <f t="shared" si="282"/>
        <v>46082</v>
      </c>
      <c r="DH123" s="1116">
        <f t="shared" si="189"/>
        <v>28</v>
      </c>
      <c r="DI123" s="497"/>
      <c r="DJ123" s="1117">
        <f t="shared" si="252"/>
        <v>46147</v>
      </c>
      <c r="DK123" s="1116">
        <f t="shared" si="253"/>
        <v>30</v>
      </c>
      <c r="DL123" s="766" t="s">
        <v>233</v>
      </c>
      <c r="DM123" s="766" t="s">
        <v>234</v>
      </c>
      <c r="DN123" s="767">
        <f t="shared" si="190"/>
        <v>22878.594340927204</v>
      </c>
      <c r="DO123" s="767">
        <f t="shared" si="191"/>
        <v>503329.07550039853</v>
      </c>
      <c r="DP123" s="768">
        <f t="shared" si="192"/>
        <v>0.16777635850013284</v>
      </c>
      <c r="DR123" s="767">
        <f t="shared" si="193"/>
        <v>3853577.7147795591</v>
      </c>
      <c r="DS123" s="767">
        <f>SUM('[6]INTERNAL PRICELIST'!M123)</f>
        <v>2329361</v>
      </c>
      <c r="DT123" s="767">
        <f t="shared" si="254"/>
        <v>1524216.7147795591</v>
      </c>
      <c r="DV123" s="951">
        <f t="shared" si="194"/>
        <v>175162.62339907087</v>
      </c>
      <c r="DX123" s="772">
        <v>10</v>
      </c>
      <c r="DY123" s="773" t="s">
        <v>279</v>
      </c>
      <c r="DZ123" s="774">
        <v>22</v>
      </c>
      <c r="EA123" s="775">
        <f t="shared" si="294"/>
        <v>0</v>
      </c>
      <c r="ED123" s="1133" t="s">
        <v>497</v>
      </c>
      <c r="EE123" s="777" t="b">
        <f t="shared" si="196"/>
        <v>1</v>
      </c>
      <c r="EF123" s="1123" t="s">
        <v>498</v>
      </c>
      <c r="EG123" s="1123" t="s">
        <v>459</v>
      </c>
      <c r="EH123" s="1203"/>
      <c r="EP123" s="1230" t="s">
        <v>236</v>
      </c>
      <c r="EQ123" s="1145" t="s">
        <v>236</v>
      </c>
      <c r="ER123" s="753" t="b">
        <f t="shared" si="255"/>
        <v>1</v>
      </c>
      <c r="EU123" s="770">
        <v>2271040</v>
      </c>
      <c r="EV123" s="771" t="s">
        <v>236</v>
      </c>
      <c r="EZ123" s="520"/>
      <c r="FA123" s="778"/>
      <c r="FG123" s="1107"/>
      <c r="FJ123" s="994">
        <v>0.15</v>
      </c>
      <c r="FK123" s="993">
        <v>13042.268172546426</v>
      </c>
      <c r="FL123" s="993">
        <v>13394.761906939573</v>
      </c>
      <c r="FM123" s="497"/>
      <c r="FN123" s="993">
        <f t="shared" si="197"/>
        <v>4344908.873413953</v>
      </c>
      <c r="FO123" s="994">
        <f t="shared" si="256"/>
        <v>0.15</v>
      </c>
      <c r="FP123" s="775">
        <f t="shared" si="198"/>
        <v>651736.33101209288</v>
      </c>
      <c r="FQ123" s="993">
        <f t="shared" si="199"/>
        <v>30000</v>
      </c>
      <c r="FR123" s="775">
        <f t="shared" si="257"/>
        <v>621736.33101209288</v>
      </c>
      <c r="FS123" s="497">
        <f t="shared" si="258"/>
        <v>40</v>
      </c>
      <c r="FT123" s="775">
        <f t="shared" si="259"/>
        <v>15543.408275302321</v>
      </c>
      <c r="FU123" s="497"/>
      <c r="FV123" s="993">
        <f t="shared" si="260"/>
        <v>4344908.873413953</v>
      </c>
      <c r="FW123" s="705">
        <f t="shared" si="261"/>
        <v>434490.88734139531</v>
      </c>
      <c r="FX123" s="705">
        <f t="shared" si="262"/>
        <v>108622.72183534883</v>
      </c>
      <c r="FY123" s="705">
        <v>15000</v>
      </c>
      <c r="FZ123" s="705">
        <f t="shared" si="263"/>
        <v>419490.88734139531</v>
      </c>
      <c r="GA123" s="497">
        <f t="shared" si="264"/>
        <v>46</v>
      </c>
      <c r="GB123" s="775">
        <f t="shared" si="265"/>
        <v>9119.3671161172897</v>
      </c>
      <c r="GC123" s="497"/>
      <c r="GD123" s="497"/>
      <c r="GE123" s="1107"/>
      <c r="GH123" s="1095">
        <f t="shared" si="161"/>
        <v>4344908.873413953</v>
      </c>
      <c r="GI123" s="1098">
        <f t="shared" si="162"/>
        <v>0.125</v>
      </c>
      <c r="GJ123" s="1095">
        <f t="shared" si="163"/>
        <v>543113.60917674412</v>
      </c>
      <c r="GK123" s="1095">
        <f t="shared" si="164"/>
        <v>30000</v>
      </c>
      <c r="GL123" s="1095">
        <f t="shared" si="165"/>
        <v>513113.60917674412</v>
      </c>
      <c r="GM123" s="1095">
        <f t="shared" si="166"/>
        <v>29</v>
      </c>
      <c r="GN123" s="1095">
        <f t="shared" si="167"/>
        <v>17693.572730232558</v>
      </c>
      <c r="GO123" s="1098">
        <f t="shared" si="168"/>
        <v>0.875</v>
      </c>
      <c r="GP123" s="1095">
        <f t="shared" si="169"/>
        <v>3801795.2642372088</v>
      </c>
      <c r="GQ123" s="1095">
        <f t="shared" si="170"/>
        <v>29475.278218039861</v>
      </c>
      <c r="GR123" s="1095">
        <f t="shared" si="171"/>
        <v>34171.610634892764</v>
      </c>
      <c r="GS123" s="1095">
        <f t="shared" si="172"/>
        <v>44142.066643114937</v>
      </c>
      <c r="GT123" s="1095">
        <f t="shared" si="173"/>
        <v>75280.102836921593</v>
      </c>
      <c r="GU123" s="497"/>
      <c r="GV123" s="1095">
        <f t="shared" si="266"/>
        <v>4344908.873413953</v>
      </c>
      <c r="GW123" s="1098">
        <f t="shared" si="267"/>
        <v>0.125</v>
      </c>
      <c r="GX123" s="1095">
        <f t="shared" si="268"/>
        <v>543113.60917674412</v>
      </c>
      <c r="GY123" s="1095">
        <f t="shared" si="269"/>
        <v>30000</v>
      </c>
      <c r="GZ123" s="1095">
        <f t="shared" si="270"/>
        <v>513113.60917674412</v>
      </c>
      <c r="HA123" s="1106">
        <f t="shared" si="271"/>
        <v>48</v>
      </c>
      <c r="HB123" s="770">
        <f t="shared" si="272"/>
        <v>10689.866857848836</v>
      </c>
      <c r="HC123" s="1098">
        <f t="shared" si="273"/>
        <v>0.875</v>
      </c>
      <c r="HD123" s="1102">
        <f t="shared" si="274"/>
        <v>3801795.2642372088</v>
      </c>
      <c r="HE123" s="1101">
        <f t="shared" si="275"/>
        <v>29475.278218039861</v>
      </c>
      <c r="HF123" s="1101">
        <f t="shared" si="276"/>
        <v>34171.610634892764</v>
      </c>
      <c r="HG123" s="1101">
        <f t="shared" si="277"/>
        <v>44142.066643114937</v>
      </c>
      <c r="HH123" s="1101">
        <f t="shared" si="278"/>
        <v>75280.102836921593</v>
      </c>
      <c r="HI123" s="497"/>
      <c r="HJ123" s="1102">
        <f t="shared" si="279"/>
        <v>-7003.7058723837217</v>
      </c>
      <c r="HL123" s="775"/>
      <c r="HN123" s="775"/>
      <c r="HO123" s="775"/>
      <c r="HQ123" s="702"/>
      <c r="HR123" s="1171"/>
      <c r="HS123" s="702"/>
      <c r="HT123" s="1171"/>
    </row>
    <row r="124" spans="1:228" ht="14.25" hidden="1" customHeight="1">
      <c r="A124" s="753">
        <f t="shared" si="280"/>
        <v>118</v>
      </c>
      <c r="B124" s="753" t="s">
        <v>236</v>
      </c>
      <c r="C124" s="753">
        <f t="shared" si="292"/>
        <v>25</v>
      </c>
      <c r="D124" s="753" t="s">
        <v>265</v>
      </c>
      <c r="E124" s="717" t="str">
        <f t="shared" si="200"/>
        <v>6th Floor</v>
      </c>
      <c r="F124" s="754"/>
      <c r="G124" s="756" t="s">
        <v>499</v>
      </c>
      <c r="H124" s="756"/>
      <c r="I124" s="755" t="s">
        <v>229</v>
      </c>
      <c r="J124" s="757">
        <v>22</v>
      </c>
      <c r="K124" s="758"/>
      <c r="L124" s="759" t="s">
        <v>69</v>
      </c>
      <c r="M124" s="760" t="s">
        <v>230</v>
      </c>
      <c r="N124" s="761">
        <f t="shared" si="201"/>
        <v>106005.26567735759</v>
      </c>
      <c r="O124" s="762">
        <f t="shared" si="202"/>
        <v>2332115.8449018667</v>
      </c>
      <c r="P124" s="762">
        <f t="shared" si="203"/>
        <v>22400</v>
      </c>
      <c r="Q124" s="762">
        <f t="shared" si="175"/>
        <v>50000</v>
      </c>
      <c r="R124" s="762"/>
      <c r="S124" s="762"/>
      <c r="T124" s="762"/>
      <c r="U124" s="762"/>
      <c r="V124" s="762">
        <f t="shared" ref="V124:V125" si="302">J124*$V$5</f>
        <v>55000</v>
      </c>
      <c r="W124" s="762"/>
      <c r="X124" s="762"/>
      <c r="Y124" s="762">
        <f t="shared" si="293"/>
        <v>40000</v>
      </c>
      <c r="Z124" s="762">
        <f t="shared" si="177"/>
        <v>142461</v>
      </c>
      <c r="AA124" s="762">
        <v>45722.732758620688</v>
      </c>
      <c r="AB124" s="762"/>
      <c r="AC124" s="762"/>
      <c r="AD124" s="763">
        <f t="shared" si="204"/>
        <v>355583.7327586207</v>
      </c>
      <c r="AE124" s="763">
        <f t="shared" si="178"/>
        <v>2687699.5776604875</v>
      </c>
      <c r="AF124" s="762">
        <f t="shared" si="179"/>
        <v>67192.489441512196</v>
      </c>
      <c r="AG124" s="762">
        <f t="shared" si="205"/>
        <v>2754892.0671019997</v>
      </c>
      <c r="AH124" s="762">
        <f t="shared" si="180"/>
        <v>68872.30167755</v>
      </c>
      <c r="AI124" s="762">
        <f t="shared" si="206"/>
        <v>2823764.3687795498</v>
      </c>
      <c r="AJ124" s="762">
        <f t="shared" si="207"/>
        <v>141188.21843897749</v>
      </c>
      <c r="AK124" s="762">
        <f t="shared" si="208"/>
        <v>2964952.5872185272</v>
      </c>
      <c r="AL124" s="762">
        <f t="shared" si="209"/>
        <v>29649.525872185273</v>
      </c>
      <c r="AM124" s="762">
        <f t="shared" si="210"/>
        <v>27537.409960060559</v>
      </c>
      <c r="AN124" s="762"/>
      <c r="AO124" s="763">
        <f t="shared" si="211"/>
        <v>3022139.523050773</v>
      </c>
      <c r="AP124" s="763">
        <f t="shared" si="212"/>
        <v>498653.02130337758</v>
      </c>
      <c r="AQ124" s="763">
        <f t="shared" si="213"/>
        <v>3520792.5443541505</v>
      </c>
      <c r="AR124" s="1178">
        <f t="shared" si="181"/>
        <v>3000000</v>
      </c>
      <c r="AS124" s="1178">
        <f t="shared" si="214"/>
        <v>23672.388379734115</v>
      </c>
      <c r="AT124" s="1178">
        <f t="shared" si="215"/>
        <v>520792.54435415054</v>
      </c>
      <c r="AU124" s="1178">
        <f t="shared" si="182"/>
        <v>62495.105322498064</v>
      </c>
      <c r="AV124" s="1178">
        <f t="shared" si="216"/>
        <v>583287.64967664855</v>
      </c>
      <c r="AW124" s="1178">
        <f t="shared" si="217"/>
        <v>3583287.6496766484</v>
      </c>
      <c r="AX124" s="762">
        <f t="shared" si="218"/>
        <v>44791.095620958105</v>
      </c>
      <c r="AY124" s="717" t="s">
        <v>231</v>
      </c>
      <c r="AZ124" s="717">
        <f t="shared" si="219"/>
        <v>3628078.7452976066</v>
      </c>
      <c r="BA124" s="717">
        <f t="shared" si="220"/>
        <v>136052.95294866024</v>
      </c>
      <c r="BB124" s="717"/>
      <c r="BC124" s="717">
        <f t="shared" si="183"/>
        <v>33600</v>
      </c>
      <c r="BD124" s="717">
        <f t="shared" si="221"/>
        <v>3797731.6982462667</v>
      </c>
      <c r="BE124" s="717"/>
      <c r="BF124" s="717">
        <f t="shared" si="222"/>
        <v>3797731.6982462667</v>
      </c>
      <c r="BG124" s="1209"/>
      <c r="BH124" s="717">
        <f t="shared" si="223"/>
        <v>3797731.6982462667</v>
      </c>
      <c r="BI124" s="717"/>
      <c r="BJ124" s="717">
        <f t="shared" si="224"/>
        <v>3797731.6982462667</v>
      </c>
      <c r="BK124" s="717"/>
      <c r="BL124" s="717">
        <f t="shared" si="225"/>
        <v>3797731.6982462667</v>
      </c>
      <c r="BM124" s="717"/>
      <c r="BN124" s="717">
        <f t="shared" si="226"/>
        <v>3797731.6982462667</v>
      </c>
      <c r="BO124" s="717"/>
      <c r="BP124" s="717">
        <f t="shared" si="184"/>
        <v>3797731.6982462667</v>
      </c>
      <c r="BQ124" s="717"/>
      <c r="BR124" s="717">
        <f t="shared" si="285"/>
        <v>3797731.6982462667</v>
      </c>
      <c r="BS124" s="717"/>
      <c r="BT124" s="717">
        <f t="shared" si="227"/>
        <v>3797731.6982462667</v>
      </c>
      <c r="BU124" s="717"/>
      <c r="BV124" s="1235">
        <f t="shared" si="286"/>
        <v>51400</v>
      </c>
      <c r="BW124" s="717">
        <f t="shared" si="228"/>
        <v>3849131.6982462667</v>
      </c>
      <c r="BX124" s="717"/>
      <c r="BY124" s="717">
        <f t="shared" si="229"/>
        <v>3849131.6982462667</v>
      </c>
      <c r="BZ124" s="1194">
        <f t="shared" si="230"/>
        <v>3849131.6982462667</v>
      </c>
      <c r="CA124" s="1194">
        <f t="shared" si="231"/>
        <v>3046131.6982462667</v>
      </c>
      <c r="CB124" s="1194">
        <v>36500</v>
      </c>
      <c r="CC124" s="1194">
        <f t="shared" si="232"/>
        <v>803000</v>
      </c>
      <c r="CD124" s="1194">
        <f t="shared" si="233"/>
        <v>96360</v>
      </c>
      <c r="CE124" s="1194">
        <f t="shared" si="234"/>
        <v>899360</v>
      </c>
      <c r="CF124" s="1200">
        <f t="shared" si="235"/>
        <v>3945491.6982462667</v>
      </c>
      <c r="CG124" s="757">
        <f t="shared" si="236"/>
        <v>3945491.6982462667</v>
      </c>
      <c r="CH124" s="758">
        <f t="shared" si="237"/>
        <v>0</v>
      </c>
      <c r="CI124" s="757">
        <f t="shared" si="185"/>
        <v>404412.8990702423</v>
      </c>
      <c r="CJ124" s="757">
        <f t="shared" si="186"/>
        <v>98637.292456156676</v>
      </c>
      <c r="CK124" s="759">
        <f t="shared" si="291"/>
        <v>4448541.8897726657</v>
      </c>
      <c r="CL124" s="764">
        <f t="shared" si="238"/>
        <v>0.125</v>
      </c>
      <c r="CM124" s="757">
        <f t="shared" si="239"/>
        <v>556067.73622158321</v>
      </c>
      <c r="CN124" s="757">
        <f t="shared" si="281"/>
        <v>30000</v>
      </c>
      <c r="CO124" s="757">
        <f t="shared" si="240"/>
        <v>526067.73622158321</v>
      </c>
      <c r="CP124" s="755">
        <f t="shared" si="241"/>
        <v>29</v>
      </c>
      <c r="CQ124" s="757">
        <f t="shared" si="283"/>
        <v>18140.266766261491</v>
      </c>
      <c r="CR124" s="764">
        <f t="shared" si="242"/>
        <v>0.875</v>
      </c>
      <c r="CS124" s="757">
        <f t="shared" si="243"/>
        <v>3892474.1535510826</v>
      </c>
      <c r="CT124" s="1101">
        <f t="shared" si="244"/>
        <v>30178.310681721341</v>
      </c>
      <c r="CU124" s="1101">
        <f t="shared" si="245"/>
        <v>34986.65812774084</v>
      </c>
      <c r="CV124" s="1101">
        <f t="shared" si="246"/>
        <v>45194.925436661717</v>
      </c>
      <c r="CW124" s="1141">
        <f t="shared" si="187"/>
        <v>77075.653527643983</v>
      </c>
      <c r="CX124" s="1152">
        <f t="shared" si="247"/>
        <v>316198.04777765827</v>
      </c>
      <c r="CY124" s="1152">
        <f t="shared" si="248"/>
        <v>125118.02721649598</v>
      </c>
      <c r="CZ124" s="1152">
        <f t="shared" si="249"/>
        <v>90370.978987507391</v>
      </c>
      <c r="DA124" s="1152">
        <f t="shared" si="250"/>
        <v>68776.475474486608</v>
      </c>
      <c r="DB124" s="1143">
        <f t="shared" si="188"/>
        <v>0.17359751478471686</v>
      </c>
      <c r="DC124" s="1143">
        <f t="shared" si="251"/>
        <v>0.29524659111678714</v>
      </c>
      <c r="DD124" s="1098" t="s">
        <v>232</v>
      </c>
      <c r="DE124" s="1144"/>
      <c r="DF124" s="705"/>
      <c r="DG124" s="765">
        <f t="shared" si="282"/>
        <v>46082</v>
      </c>
      <c r="DH124" s="1116">
        <f t="shared" si="189"/>
        <v>28</v>
      </c>
      <c r="DI124" s="497"/>
      <c r="DJ124" s="1117">
        <f t="shared" si="252"/>
        <v>46147</v>
      </c>
      <c r="DK124" s="1116">
        <f t="shared" si="253"/>
        <v>30</v>
      </c>
      <c r="DL124" s="766" t="s">
        <v>233</v>
      </c>
      <c r="DM124" s="766" t="s">
        <v>234</v>
      </c>
      <c r="DN124" s="767">
        <f t="shared" si="190"/>
        <v>26513.074985302206</v>
      </c>
      <c r="DO124" s="767">
        <f t="shared" si="191"/>
        <v>583287.64967664855</v>
      </c>
      <c r="DP124" s="768">
        <f t="shared" si="192"/>
        <v>0.19442921655888284</v>
      </c>
      <c r="DR124" s="767">
        <f t="shared" si="193"/>
        <v>3945491.6982462667</v>
      </c>
      <c r="DS124" s="767">
        <f>SUM('[6]INTERNAL PRICELIST'!M124)</f>
        <v>2329361</v>
      </c>
      <c r="DT124" s="767">
        <f t="shared" si="254"/>
        <v>1616130.6982462667</v>
      </c>
      <c r="DV124" s="951">
        <f t="shared" si="194"/>
        <v>179340.53173846667</v>
      </c>
      <c r="DX124" s="772">
        <v>11</v>
      </c>
      <c r="DY124" s="773" t="s">
        <v>283</v>
      </c>
      <c r="DZ124" s="774">
        <v>22</v>
      </c>
      <c r="EA124" s="775">
        <f t="shared" si="294"/>
        <v>0</v>
      </c>
      <c r="ED124" s="1133" t="s">
        <v>499</v>
      </c>
      <c r="EE124" s="777" t="b">
        <f t="shared" si="196"/>
        <v>1</v>
      </c>
      <c r="EF124" s="1123" t="s">
        <v>500</v>
      </c>
      <c r="EG124" s="1123" t="s">
        <v>459</v>
      </c>
      <c r="EH124" s="1203"/>
      <c r="EP124" s="1230" t="s">
        <v>236</v>
      </c>
      <c r="EQ124" s="1145" t="s">
        <v>236</v>
      </c>
      <c r="ER124" s="753" t="b">
        <f t="shared" si="255"/>
        <v>1</v>
      </c>
      <c r="EU124" s="770">
        <v>2271040</v>
      </c>
      <c r="EV124" s="771" t="s">
        <v>236</v>
      </c>
      <c r="EZ124" s="520"/>
      <c r="FA124" s="778"/>
      <c r="FG124" s="1107"/>
      <c r="FJ124" s="994">
        <v>0.15</v>
      </c>
      <c r="FK124" s="993">
        <v>13600.83950116959</v>
      </c>
      <c r="FL124" s="993">
        <v>13968.429757957958</v>
      </c>
      <c r="FM124" s="497"/>
      <c r="FN124" s="993">
        <f t="shared" si="197"/>
        <v>4448541.8897726657</v>
      </c>
      <c r="FO124" s="994">
        <f t="shared" si="256"/>
        <v>0.15</v>
      </c>
      <c r="FP124" s="775">
        <f t="shared" si="198"/>
        <v>667281.28346589988</v>
      </c>
      <c r="FQ124" s="993">
        <f t="shared" si="199"/>
        <v>30000</v>
      </c>
      <c r="FR124" s="775">
        <f t="shared" si="257"/>
        <v>637281.28346589988</v>
      </c>
      <c r="FS124" s="497">
        <f t="shared" si="258"/>
        <v>40</v>
      </c>
      <c r="FT124" s="775">
        <f t="shared" si="259"/>
        <v>15932.032086647498</v>
      </c>
      <c r="FU124" s="497"/>
      <c r="FV124" s="993">
        <f t="shared" si="260"/>
        <v>4448541.8897726657</v>
      </c>
      <c r="FW124" s="705">
        <f t="shared" si="261"/>
        <v>444854.1889772666</v>
      </c>
      <c r="FX124" s="705">
        <f t="shared" si="262"/>
        <v>111213.54724431665</v>
      </c>
      <c r="FY124" s="705">
        <v>15000</v>
      </c>
      <c r="FZ124" s="705">
        <f t="shared" si="263"/>
        <v>429854.1889772666</v>
      </c>
      <c r="GA124" s="497">
        <f t="shared" si="264"/>
        <v>46</v>
      </c>
      <c r="GB124" s="775">
        <f t="shared" si="265"/>
        <v>9344.6562821144908</v>
      </c>
      <c r="GC124" s="497"/>
      <c r="GD124" s="497"/>
      <c r="GE124" s="1107"/>
      <c r="GH124" s="1095">
        <f t="shared" si="161"/>
        <v>4448541.8897726657</v>
      </c>
      <c r="GI124" s="1098">
        <f t="shared" si="162"/>
        <v>0.125</v>
      </c>
      <c r="GJ124" s="1095">
        <f t="shared" si="163"/>
        <v>556067.73622158321</v>
      </c>
      <c r="GK124" s="1095">
        <f t="shared" si="164"/>
        <v>30000</v>
      </c>
      <c r="GL124" s="1095">
        <f t="shared" si="165"/>
        <v>526067.73622158321</v>
      </c>
      <c r="GM124" s="1095">
        <f t="shared" si="166"/>
        <v>29</v>
      </c>
      <c r="GN124" s="1095">
        <f t="shared" si="167"/>
        <v>18140.266766261491</v>
      </c>
      <c r="GO124" s="1098">
        <f t="shared" si="168"/>
        <v>0.875</v>
      </c>
      <c r="GP124" s="1095">
        <f t="shared" si="169"/>
        <v>3892474.1535510826</v>
      </c>
      <c r="GQ124" s="1095">
        <f t="shared" si="170"/>
        <v>30178.310681721341</v>
      </c>
      <c r="GR124" s="1095">
        <f t="shared" si="171"/>
        <v>34986.65812774084</v>
      </c>
      <c r="GS124" s="1095">
        <f t="shared" si="172"/>
        <v>45194.925436661717</v>
      </c>
      <c r="GT124" s="1095">
        <f t="shared" si="173"/>
        <v>77075.653527643983</v>
      </c>
      <c r="GU124" s="497"/>
      <c r="GV124" s="1095">
        <f t="shared" si="266"/>
        <v>4448541.8897726657</v>
      </c>
      <c r="GW124" s="1098">
        <f t="shared" si="267"/>
        <v>0.125</v>
      </c>
      <c r="GX124" s="1095">
        <f t="shared" si="268"/>
        <v>556067.73622158321</v>
      </c>
      <c r="GY124" s="1095">
        <f t="shared" si="269"/>
        <v>30000</v>
      </c>
      <c r="GZ124" s="1095">
        <f t="shared" si="270"/>
        <v>526067.73622158321</v>
      </c>
      <c r="HA124" s="1106">
        <f t="shared" si="271"/>
        <v>48</v>
      </c>
      <c r="HB124" s="770">
        <f t="shared" si="272"/>
        <v>10959.744504616317</v>
      </c>
      <c r="HC124" s="1098">
        <f t="shared" si="273"/>
        <v>0.875</v>
      </c>
      <c r="HD124" s="1102">
        <f t="shared" si="274"/>
        <v>3892474.1535510826</v>
      </c>
      <c r="HE124" s="1101">
        <f t="shared" si="275"/>
        <v>30178.310681721341</v>
      </c>
      <c r="HF124" s="1101">
        <f t="shared" si="276"/>
        <v>34986.65812774084</v>
      </c>
      <c r="HG124" s="1101">
        <f t="shared" si="277"/>
        <v>45194.925436661717</v>
      </c>
      <c r="HH124" s="1101">
        <f t="shared" si="278"/>
        <v>77075.653527643983</v>
      </c>
      <c r="HI124" s="497"/>
      <c r="HJ124" s="1102">
        <f t="shared" si="279"/>
        <v>-7180.5222616451738</v>
      </c>
      <c r="HL124" s="775"/>
      <c r="HN124" s="775"/>
      <c r="HO124" s="775"/>
      <c r="HQ124" s="702"/>
      <c r="HR124" s="1171"/>
      <c r="HS124" s="702"/>
      <c r="HT124" s="1171"/>
    </row>
    <row r="125" spans="1:228" ht="14.25" hidden="1" customHeight="1">
      <c r="A125" s="753">
        <f t="shared" si="280"/>
        <v>119</v>
      </c>
      <c r="B125" s="753" t="s">
        <v>236</v>
      </c>
      <c r="C125" s="753">
        <f t="shared" si="292"/>
        <v>26</v>
      </c>
      <c r="D125" s="753" t="s">
        <v>265</v>
      </c>
      <c r="E125" s="717" t="str">
        <f t="shared" si="200"/>
        <v>6th Floor</v>
      </c>
      <c r="F125" s="754"/>
      <c r="G125" s="756" t="s">
        <v>501</v>
      </c>
      <c r="H125" s="756"/>
      <c r="I125" s="755" t="s">
        <v>229</v>
      </c>
      <c r="J125" s="757">
        <v>22</v>
      </c>
      <c r="K125" s="758"/>
      <c r="L125" s="759" t="s">
        <v>277</v>
      </c>
      <c r="M125" s="760" t="s">
        <v>230</v>
      </c>
      <c r="N125" s="761">
        <f t="shared" si="201"/>
        <v>106005.26567735759</v>
      </c>
      <c r="O125" s="762">
        <f t="shared" si="202"/>
        <v>2332115.8449018667</v>
      </c>
      <c r="P125" s="762">
        <f t="shared" si="203"/>
        <v>22400</v>
      </c>
      <c r="Q125" s="762">
        <f t="shared" si="175"/>
        <v>50000</v>
      </c>
      <c r="R125" s="762"/>
      <c r="S125" s="762"/>
      <c r="T125" s="762"/>
      <c r="U125" s="762"/>
      <c r="V125" s="762">
        <f t="shared" si="302"/>
        <v>55000</v>
      </c>
      <c r="W125" s="762"/>
      <c r="X125" s="762"/>
      <c r="Y125" s="762">
        <f t="shared" si="293"/>
        <v>40000</v>
      </c>
      <c r="Z125" s="762">
        <f t="shared" si="177"/>
        <v>142461</v>
      </c>
      <c r="AA125" s="762">
        <v>45722.732758620688</v>
      </c>
      <c r="AB125" s="762"/>
      <c r="AC125" s="762"/>
      <c r="AD125" s="763">
        <f t="shared" si="204"/>
        <v>355583.7327586207</v>
      </c>
      <c r="AE125" s="763">
        <f t="shared" si="178"/>
        <v>2687699.5776604875</v>
      </c>
      <c r="AF125" s="762">
        <f t="shared" si="179"/>
        <v>67192.489441512196</v>
      </c>
      <c r="AG125" s="762">
        <f t="shared" si="205"/>
        <v>2754892.0671019997</v>
      </c>
      <c r="AH125" s="762">
        <f t="shared" si="180"/>
        <v>68872.30167755</v>
      </c>
      <c r="AI125" s="762">
        <f t="shared" si="206"/>
        <v>2823764.3687795498</v>
      </c>
      <c r="AJ125" s="762">
        <f t="shared" si="207"/>
        <v>141188.21843897749</v>
      </c>
      <c r="AK125" s="762">
        <f t="shared" si="208"/>
        <v>2964952.5872185272</v>
      </c>
      <c r="AL125" s="762">
        <f t="shared" si="209"/>
        <v>29649.525872185273</v>
      </c>
      <c r="AM125" s="762">
        <f t="shared" si="210"/>
        <v>27537.409960060559</v>
      </c>
      <c r="AN125" s="762"/>
      <c r="AO125" s="763">
        <f t="shared" si="211"/>
        <v>3022139.523050773</v>
      </c>
      <c r="AP125" s="763">
        <f t="shared" si="212"/>
        <v>498653.02130337758</v>
      </c>
      <c r="AQ125" s="763">
        <f t="shared" si="213"/>
        <v>3520792.5443541505</v>
      </c>
      <c r="AR125" s="1178">
        <f t="shared" si="181"/>
        <v>3000000</v>
      </c>
      <c r="AS125" s="1178">
        <f t="shared" si="214"/>
        <v>23672.388379734115</v>
      </c>
      <c r="AT125" s="1178">
        <f t="shared" si="215"/>
        <v>520792.54435415054</v>
      </c>
      <c r="AU125" s="1178">
        <f t="shared" si="182"/>
        <v>62495.105322498064</v>
      </c>
      <c r="AV125" s="1178">
        <f t="shared" si="216"/>
        <v>583287.64967664855</v>
      </c>
      <c r="AW125" s="1178">
        <f t="shared" si="217"/>
        <v>3583287.6496766484</v>
      </c>
      <c r="AX125" s="762">
        <f t="shared" si="218"/>
        <v>44791.095620958105</v>
      </c>
      <c r="AY125" s="717" t="s">
        <v>231</v>
      </c>
      <c r="AZ125" s="717">
        <f t="shared" si="219"/>
        <v>3628078.7452976066</v>
      </c>
      <c r="BA125" s="717">
        <f t="shared" si="220"/>
        <v>136052.95294866024</v>
      </c>
      <c r="BB125" s="717"/>
      <c r="BC125" s="717">
        <f t="shared" si="183"/>
        <v>33600</v>
      </c>
      <c r="BD125" s="717">
        <f t="shared" si="221"/>
        <v>3797731.6982462667</v>
      </c>
      <c r="BE125" s="717"/>
      <c r="BF125" s="717">
        <f t="shared" si="222"/>
        <v>3797731.6982462667</v>
      </c>
      <c r="BG125" s="1209"/>
      <c r="BH125" s="717">
        <f t="shared" si="223"/>
        <v>3797731.6982462667</v>
      </c>
      <c r="BI125" s="717">
        <v>718.43902439024396</v>
      </c>
      <c r="BJ125" s="717">
        <f t="shared" si="224"/>
        <v>3798450.1372706569</v>
      </c>
      <c r="BK125" s="717"/>
      <c r="BL125" s="717">
        <f t="shared" si="225"/>
        <v>3798450.1372706569</v>
      </c>
      <c r="BM125" s="717">
        <f t="shared" ref="BM125:BM126" si="303">$BM$5/41</f>
        <v>1038.0487804878051</v>
      </c>
      <c r="BN125" s="717">
        <f t="shared" si="226"/>
        <v>3799488.1860511447</v>
      </c>
      <c r="BO125" s="717"/>
      <c r="BP125" s="717">
        <f t="shared" si="184"/>
        <v>3799488.1860511447</v>
      </c>
      <c r="BQ125" s="717"/>
      <c r="BR125" s="717">
        <f t="shared" si="285"/>
        <v>3799488.1860511447</v>
      </c>
      <c r="BS125" s="717"/>
      <c r="BT125" s="717">
        <f t="shared" si="227"/>
        <v>3799488.1860511447</v>
      </c>
      <c r="BU125" s="717"/>
      <c r="BV125" s="1235">
        <f t="shared" si="286"/>
        <v>51400</v>
      </c>
      <c r="BW125" s="717">
        <f t="shared" si="228"/>
        <v>3850888.1860511447</v>
      </c>
      <c r="BX125" s="717"/>
      <c r="BY125" s="717">
        <f t="shared" si="229"/>
        <v>3850888.1860511447</v>
      </c>
      <c r="BZ125" s="1194">
        <f t="shared" si="230"/>
        <v>3850888.1860511447</v>
      </c>
      <c r="CA125" s="1194">
        <f t="shared" si="231"/>
        <v>3036888.1860511447</v>
      </c>
      <c r="CB125" s="1194">
        <v>37000</v>
      </c>
      <c r="CC125" s="1194">
        <f t="shared" si="232"/>
        <v>814000</v>
      </c>
      <c r="CD125" s="1194">
        <f t="shared" si="233"/>
        <v>97680</v>
      </c>
      <c r="CE125" s="1194">
        <f t="shared" si="234"/>
        <v>911680</v>
      </c>
      <c r="CF125" s="1200">
        <f t="shared" si="235"/>
        <v>3948568.1860511447</v>
      </c>
      <c r="CG125" s="757">
        <f t="shared" si="236"/>
        <v>3948568.1860511447</v>
      </c>
      <c r="CH125" s="758">
        <f t="shared" si="237"/>
        <v>0</v>
      </c>
      <c r="CI125" s="757">
        <f t="shared" si="185"/>
        <v>404728.23907024233</v>
      </c>
      <c r="CJ125" s="757">
        <f t="shared" si="186"/>
        <v>98714.204651278618</v>
      </c>
      <c r="CK125" s="759">
        <f t="shared" si="291"/>
        <v>4452010.6297726659</v>
      </c>
      <c r="CL125" s="764">
        <f t="shared" si="238"/>
        <v>0.125</v>
      </c>
      <c r="CM125" s="757">
        <f t="shared" si="239"/>
        <v>556501.32872158324</v>
      </c>
      <c r="CN125" s="757">
        <f t="shared" si="281"/>
        <v>30000</v>
      </c>
      <c r="CO125" s="757">
        <f t="shared" si="240"/>
        <v>526501.32872158324</v>
      </c>
      <c r="CP125" s="755">
        <f t="shared" si="241"/>
        <v>29</v>
      </c>
      <c r="CQ125" s="757">
        <f t="shared" si="283"/>
        <v>18155.218231778734</v>
      </c>
      <c r="CR125" s="764">
        <f t="shared" si="242"/>
        <v>0.875</v>
      </c>
      <c r="CS125" s="757">
        <f t="shared" si="243"/>
        <v>3895509.3010510826</v>
      </c>
      <c r="CT125" s="1101">
        <f t="shared" si="244"/>
        <v>30201.842147983305</v>
      </c>
      <c r="CU125" s="1101">
        <f t="shared" si="245"/>
        <v>35013.938891532911</v>
      </c>
      <c r="CV125" s="1101">
        <f t="shared" si="246"/>
        <v>45230.166072704633</v>
      </c>
      <c r="CW125" s="1141">
        <f t="shared" si="187"/>
        <v>77135.753085890741</v>
      </c>
      <c r="CX125" s="1152">
        <f t="shared" si="247"/>
        <v>316444.60245634295</v>
      </c>
      <c r="CY125" s="1152">
        <f t="shared" si="248"/>
        <v>125215.58770181471</v>
      </c>
      <c r="CZ125" s="1152">
        <f t="shared" si="249"/>
        <v>90441.445544284972</v>
      </c>
      <c r="DA125" s="1152">
        <f t="shared" si="250"/>
        <v>68830.103768307075</v>
      </c>
      <c r="DB125" s="1143">
        <f t="shared" si="188"/>
        <v>0.17359751478471686</v>
      </c>
      <c r="DC125" s="1143">
        <f t="shared" si="251"/>
        <v>0.30020203054807043</v>
      </c>
      <c r="DD125" s="1098" t="s">
        <v>232</v>
      </c>
      <c r="DE125" s="1144"/>
      <c r="DF125" s="705"/>
      <c r="DG125" s="765">
        <f t="shared" si="282"/>
        <v>46082</v>
      </c>
      <c r="DH125" s="1116">
        <f t="shared" si="189"/>
        <v>28</v>
      </c>
      <c r="DI125" s="497"/>
      <c r="DJ125" s="1117">
        <f t="shared" si="252"/>
        <v>46147</v>
      </c>
      <c r="DK125" s="1116">
        <f t="shared" si="253"/>
        <v>30</v>
      </c>
      <c r="DL125" s="766" t="s">
        <v>233</v>
      </c>
      <c r="DM125" s="766" t="s">
        <v>234</v>
      </c>
      <c r="DN125" s="767">
        <f t="shared" si="190"/>
        <v>26513.074985302206</v>
      </c>
      <c r="DO125" s="767">
        <f t="shared" si="191"/>
        <v>583287.64967664855</v>
      </c>
      <c r="DP125" s="768">
        <f t="shared" si="192"/>
        <v>0.19442921655888284</v>
      </c>
      <c r="DR125" s="767">
        <f t="shared" si="193"/>
        <v>3948568.1860511447</v>
      </c>
      <c r="DS125" s="767">
        <f>SUM('[6]INTERNAL PRICELIST'!M125)</f>
        <v>2329361</v>
      </c>
      <c r="DT125" s="767">
        <f t="shared" si="254"/>
        <v>1619207.1860511447</v>
      </c>
      <c r="DV125" s="951">
        <f t="shared" si="194"/>
        <v>179480.37209323386</v>
      </c>
      <c r="DX125" s="772">
        <v>12</v>
      </c>
      <c r="DY125" s="773" t="s">
        <v>286</v>
      </c>
      <c r="DZ125" s="774">
        <v>22</v>
      </c>
      <c r="EA125" s="775">
        <f t="shared" si="294"/>
        <v>0</v>
      </c>
      <c r="ED125" s="1133" t="s">
        <v>501</v>
      </c>
      <c r="EE125" s="777" t="b">
        <f t="shared" si="196"/>
        <v>1</v>
      </c>
      <c r="EF125" s="1123" t="s">
        <v>502</v>
      </c>
      <c r="EG125" s="1123" t="s">
        <v>459</v>
      </c>
      <c r="EH125" s="1203"/>
      <c r="EP125" s="1230" t="s">
        <v>236</v>
      </c>
      <c r="EQ125" s="1145" t="s">
        <v>236</v>
      </c>
      <c r="ER125" s="753" t="b">
        <f t="shared" si="255"/>
        <v>1</v>
      </c>
      <c r="EU125" s="770">
        <v>2430561</v>
      </c>
      <c r="EV125" s="771" t="s">
        <v>236</v>
      </c>
      <c r="EZ125" s="520"/>
      <c r="FA125" s="778"/>
      <c r="FG125" s="1107"/>
      <c r="FJ125" s="994">
        <v>0.15</v>
      </c>
      <c r="FK125" s="993">
        <v>13600.83950116959</v>
      </c>
      <c r="FL125" s="993">
        <v>13968.429757957958</v>
      </c>
      <c r="FM125" s="497"/>
      <c r="FN125" s="993">
        <f t="shared" si="197"/>
        <v>4452010.6297726659</v>
      </c>
      <c r="FO125" s="994">
        <f t="shared" si="256"/>
        <v>0.15</v>
      </c>
      <c r="FP125" s="775">
        <f t="shared" si="198"/>
        <v>667801.59446589986</v>
      </c>
      <c r="FQ125" s="993">
        <f t="shared" si="199"/>
        <v>30000</v>
      </c>
      <c r="FR125" s="775">
        <f t="shared" si="257"/>
        <v>637801.59446589986</v>
      </c>
      <c r="FS125" s="497">
        <f t="shared" si="258"/>
        <v>40</v>
      </c>
      <c r="FT125" s="775">
        <f t="shared" si="259"/>
        <v>15945.039861647496</v>
      </c>
      <c r="FU125" s="497"/>
      <c r="FV125" s="993">
        <f t="shared" si="260"/>
        <v>4452010.6297726659</v>
      </c>
      <c r="FW125" s="705">
        <f t="shared" si="261"/>
        <v>445201.06297726661</v>
      </c>
      <c r="FX125" s="705">
        <f t="shared" si="262"/>
        <v>111300.26574431665</v>
      </c>
      <c r="FY125" s="705">
        <v>15000</v>
      </c>
      <c r="FZ125" s="705">
        <f t="shared" si="263"/>
        <v>430201.06297726661</v>
      </c>
      <c r="GA125" s="497">
        <f t="shared" si="264"/>
        <v>46</v>
      </c>
      <c r="GB125" s="775">
        <f t="shared" si="265"/>
        <v>9352.1970212449269</v>
      </c>
      <c r="GC125" s="497"/>
      <c r="GD125" s="497"/>
      <c r="GE125" s="1107"/>
      <c r="GH125" s="1095">
        <f t="shared" si="161"/>
        <v>4452010.6297726659</v>
      </c>
      <c r="GI125" s="1098">
        <f t="shared" si="162"/>
        <v>0.125</v>
      </c>
      <c r="GJ125" s="1095">
        <f t="shared" si="163"/>
        <v>556501.32872158324</v>
      </c>
      <c r="GK125" s="1095">
        <f t="shared" si="164"/>
        <v>30000</v>
      </c>
      <c r="GL125" s="1095">
        <f t="shared" si="165"/>
        <v>526501.32872158324</v>
      </c>
      <c r="GM125" s="1095">
        <f t="shared" si="166"/>
        <v>29</v>
      </c>
      <c r="GN125" s="1095">
        <f t="shared" si="167"/>
        <v>18155.218231778734</v>
      </c>
      <c r="GO125" s="1098">
        <f t="shared" si="168"/>
        <v>0.875</v>
      </c>
      <c r="GP125" s="1095">
        <f t="shared" si="169"/>
        <v>3895509.3010510826</v>
      </c>
      <c r="GQ125" s="1095">
        <f t="shared" si="170"/>
        <v>30201.842147983305</v>
      </c>
      <c r="GR125" s="1095">
        <f t="shared" si="171"/>
        <v>35013.938891532911</v>
      </c>
      <c r="GS125" s="1095">
        <f t="shared" si="172"/>
        <v>45230.166072704633</v>
      </c>
      <c r="GT125" s="1095">
        <f t="shared" si="173"/>
        <v>77135.753085890741</v>
      </c>
      <c r="GU125" s="497"/>
      <c r="GV125" s="1095">
        <f t="shared" si="266"/>
        <v>4452010.6297726659</v>
      </c>
      <c r="GW125" s="1098">
        <f t="shared" si="267"/>
        <v>0.125</v>
      </c>
      <c r="GX125" s="1095">
        <f t="shared" si="268"/>
        <v>556501.32872158324</v>
      </c>
      <c r="GY125" s="1095">
        <f t="shared" si="269"/>
        <v>30000</v>
      </c>
      <c r="GZ125" s="1095">
        <f t="shared" si="270"/>
        <v>526501.32872158324</v>
      </c>
      <c r="HA125" s="1106">
        <f t="shared" si="271"/>
        <v>48</v>
      </c>
      <c r="HB125" s="770">
        <f t="shared" si="272"/>
        <v>10968.77768169965</v>
      </c>
      <c r="HC125" s="1098">
        <f t="shared" si="273"/>
        <v>0.875</v>
      </c>
      <c r="HD125" s="1102">
        <f t="shared" si="274"/>
        <v>3895509.3010510826</v>
      </c>
      <c r="HE125" s="1101">
        <f t="shared" si="275"/>
        <v>30201.842147983305</v>
      </c>
      <c r="HF125" s="1101">
        <f t="shared" si="276"/>
        <v>35013.938891532911</v>
      </c>
      <c r="HG125" s="1101">
        <f t="shared" si="277"/>
        <v>45230.166072704633</v>
      </c>
      <c r="HH125" s="1101">
        <f t="shared" si="278"/>
        <v>77135.753085890741</v>
      </c>
      <c r="HI125" s="497"/>
      <c r="HJ125" s="1102">
        <f t="shared" si="279"/>
        <v>-7186.4405500790836</v>
      </c>
      <c r="HL125" s="775"/>
      <c r="HN125" s="775"/>
      <c r="HO125" s="775"/>
      <c r="HQ125" s="702"/>
      <c r="HR125" s="1171"/>
      <c r="HS125" s="702"/>
      <c r="HT125" s="1171"/>
    </row>
    <row r="126" spans="1:228" ht="14.25" customHeight="1">
      <c r="A126" s="753">
        <f t="shared" si="280"/>
        <v>120</v>
      </c>
      <c r="B126" s="753"/>
      <c r="C126" s="753">
        <f t="shared" si="292"/>
        <v>27</v>
      </c>
      <c r="D126" s="753" t="s">
        <v>265</v>
      </c>
      <c r="E126" s="717" t="str">
        <f t="shared" si="200"/>
        <v>6th Floor</v>
      </c>
      <c r="F126" s="754"/>
      <c r="G126" s="756" t="s">
        <v>503</v>
      </c>
      <c r="H126" s="756"/>
      <c r="I126" s="755" t="s">
        <v>229</v>
      </c>
      <c r="J126" s="757">
        <v>22</v>
      </c>
      <c r="K126" s="758"/>
      <c r="L126" s="759" t="s">
        <v>277</v>
      </c>
      <c r="M126" s="760" t="s">
        <v>278</v>
      </c>
      <c r="N126" s="761">
        <f t="shared" si="201"/>
        <v>106005.26567735759</v>
      </c>
      <c r="O126" s="762">
        <f t="shared" si="202"/>
        <v>2332115.8449018667</v>
      </c>
      <c r="P126" s="762">
        <f t="shared" si="203"/>
        <v>22400</v>
      </c>
      <c r="Q126" s="762">
        <f t="shared" si="175"/>
        <v>50000</v>
      </c>
      <c r="R126" s="762"/>
      <c r="S126" s="762"/>
      <c r="T126" s="762"/>
      <c r="U126" s="762"/>
      <c r="V126" s="762"/>
      <c r="W126" s="762">
        <f t="shared" ref="W126:W127" si="304">J126*$W$5</f>
        <v>22000</v>
      </c>
      <c r="X126" s="762"/>
      <c r="Y126" s="762">
        <f t="shared" si="293"/>
        <v>40000</v>
      </c>
      <c r="Z126" s="762">
        <f t="shared" si="177"/>
        <v>142461</v>
      </c>
      <c r="AA126" s="762">
        <v>45722.732758620688</v>
      </c>
      <c r="AB126" s="762"/>
      <c r="AC126" s="762"/>
      <c r="AD126" s="763">
        <f t="shared" si="204"/>
        <v>322583.7327586207</v>
      </c>
      <c r="AE126" s="763">
        <f t="shared" si="178"/>
        <v>2654699.5776604875</v>
      </c>
      <c r="AF126" s="762">
        <f t="shared" si="179"/>
        <v>66367.489441512196</v>
      </c>
      <c r="AG126" s="762">
        <f t="shared" si="205"/>
        <v>2721067.0671019997</v>
      </c>
      <c r="AH126" s="762">
        <f t="shared" si="180"/>
        <v>68026.67667755</v>
      </c>
      <c r="AI126" s="762">
        <f t="shared" si="206"/>
        <v>2789093.7437795498</v>
      </c>
      <c r="AJ126" s="762">
        <f t="shared" si="207"/>
        <v>139454.68718897749</v>
      </c>
      <c r="AK126" s="762">
        <f t="shared" si="208"/>
        <v>2928548.4309685272</v>
      </c>
      <c r="AL126" s="762">
        <f t="shared" si="209"/>
        <v>29285.484309685271</v>
      </c>
      <c r="AM126" s="762">
        <f t="shared" si="210"/>
        <v>27537.409960060559</v>
      </c>
      <c r="AN126" s="762"/>
      <c r="AO126" s="763">
        <f t="shared" si="211"/>
        <v>2985371.325238273</v>
      </c>
      <c r="AP126" s="763">
        <f t="shared" si="212"/>
        <v>492586.26866431505</v>
      </c>
      <c r="AQ126" s="763">
        <f t="shared" si="213"/>
        <v>3477957.5939025879</v>
      </c>
      <c r="AR126" s="1178">
        <f t="shared" si="181"/>
        <v>3000000</v>
      </c>
      <c r="AS126" s="1178">
        <f t="shared" si="214"/>
        <v>21725.345177390358</v>
      </c>
      <c r="AT126" s="1178">
        <f t="shared" si="215"/>
        <v>477957.59390258789</v>
      </c>
      <c r="AU126" s="1178">
        <f t="shared" si="182"/>
        <v>57354.911268310541</v>
      </c>
      <c r="AV126" s="1178">
        <f t="shared" si="216"/>
        <v>535312.5051708984</v>
      </c>
      <c r="AW126" s="1178">
        <f t="shared" si="217"/>
        <v>3535312.5051708985</v>
      </c>
      <c r="AX126" s="762">
        <f t="shared" si="218"/>
        <v>44191.406314636231</v>
      </c>
      <c r="AY126" s="717" t="s">
        <v>231</v>
      </c>
      <c r="AZ126" s="717">
        <f t="shared" si="219"/>
        <v>3579503.9114855346</v>
      </c>
      <c r="BA126" s="717">
        <f t="shared" si="220"/>
        <v>134231.39668070755</v>
      </c>
      <c r="BB126" s="717"/>
      <c r="BC126" s="717">
        <f t="shared" si="183"/>
        <v>33600</v>
      </c>
      <c r="BD126" s="717">
        <f t="shared" si="221"/>
        <v>3747335.3081662422</v>
      </c>
      <c r="BE126" s="717"/>
      <c r="BF126" s="717">
        <f t="shared" si="222"/>
        <v>3747335.3081662422</v>
      </c>
      <c r="BG126" s="1209"/>
      <c r="BH126" s="717">
        <f t="shared" si="223"/>
        <v>3747335.3081662422</v>
      </c>
      <c r="BI126" s="717"/>
      <c r="BJ126" s="717">
        <f t="shared" si="224"/>
        <v>3747335.3081662422</v>
      </c>
      <c r="BK126" s="717"/>
      <c r="BL126" s="717">
        <f t="shared" si="225"/>
        <v>3747335.3081662422</v>
      </c>
      <c r="BM126" s="717">
        <f t="shared" si="303"/>
        <v>1038.0487804878051</v>
      </c>
      <c r="BN126" s="717">
        <f t="shared" si="226"/>
        <v>3748373.3569467301</v>
      </c>
      <c r="BO126" s="717">
        <f>$BO$5/51</f>
        <v>7289.0781490196077</v>
      </c>
      <c r="BP126" s="717">
        <f t="shared" si="184"/>
        <v>3755662.4350957498</v>
      </c>
      <c r="BQ126" s="717">
        <f>$BQ$5/56</f>
        <v>4468.4242000000004</v>
      </c>
      <c r="BR126" s="717">
        <f t="shared" si="285"/>
        <v>3760130.8592957496</v>
      </c>
      <c r="BS126" s="1234">
        <f>$BS$5/64</f>
        <v>2651.4786794501206</v>
      </c>
      <c r="BT126" s="1235">
        <f t="shared" si="227"/>
        <v>3762782.3379751998</v>
      </c>
      <c r="BU126" s="1235">
        <f>$BU$5/65</f>
        <v>211.07692307692309</v>
      </c>
      <c r="BV126" s="1235">
        <f t="shared" si="286"/>
        <v>51400</v>
      </c>
      <c r="BW126" s="717">
        <f t="shared" si="228"/>
        <v>3814393.4148982768</v>
      </c>
      <c r="BX126" s="1234">
        <f t="shared" si="287"/>
        <v>27651.078536278128</v>
      </c>
      <c r="BY126" s="717">
        <f t="shared" si="229"/>
        <v>3842044.4934345549</v>
      </c>
      <c r="BZ126" s="1194">
        <f t="shared" si="230"/>
        <v>3842044.4934345549</v>
      </c>
      <c r="CA126" s="1194">
        <f t="shared" si="231"/>
        <v>2962044.4934345549</v>
      </c>
      <c r="CB126" s="1194">
        <f>$CB$5</f>
        <v>40000</v>
      </c>
      <c r="CC126" s="1194">
        <f t="shared" si="232"/>
        <v>880000</v>
      </c>
      <c r="CD126" s="1194">
        <f t="shared" si="233"/>
        <v>105600</v>
      </c>
      <c r="CE126" s="1194">
        <f t="shared" si="234"/>
        <v>985600</v>
      </c>
      <c r="CF126" s="1200">
        <f t="shared" si="235"/>
        <v>3947644.4934345549</v>
      </c>
      <c r="CG126" s="757">
        <f t="shared" si="236"/>
        <v>3947644.4934345549</v>
      </c>
      <c r="CH126" s="758">
        <f t="shared" si="237"/>
        <v>0</v>
      </c>
      <c r="CI126" s="757">
        <f t="shared" si="185"/>
        <v>404633.56057704188</v>
      </c>
      <c r="CJ126" s="757">
        <f t="shared" si="186"/>
        <v>98691.112335863872</v>
      </c>
      <c r="CK126" s="759">
        <f t="shared" si="291"/>
        <v>4450969.1663474599</v>
      </c>
      <c r="CL126" s="764">
        <f t="shared" si="238"/>
        <v>0.125</v>
      </c>
      <c r="CM126" s="757">
        <f t="shared" si="239"/>
        <v>556371.14579343249</v>
      </c>
      <c r="CN126" s="757">
        <f t="shared" si="281"/>
        <v>30000</v>
      </c>
      <c r="CO126" s="757">
        <f t="shared" si="240"/>
        <v>526371.14579343249</v>
      </c>
      <c r="CP126" s="755">
        <f t="shared" si="241"/>
        <v>29</v>
      </c>
      <c r="CQ126" s="757">
        <f t="shared" si="283"/>
        <v>18150.729165290777</v>
      </c>
      <c r="CR126" s="764">
        <f t="shared" si="242"/>
        <v>0.875</v>
      </c>
      <c r="CS126" s="757">
        <f t="shared" si="243"/>
        <v>3894598.0205540275</v>
      </c>
      <c r="CT126" s="1101">
        <f t="shared" si="244"/>
        <v>30194.776999989135</v>
      </c>
      <c r="CU126" s="1101">
        <f t="shared" si="245"/>
        <v>35005.748044798616</v>
      </c>
      <c r="CV126" s="1101">
        <f t="shared" si="246"/>
        <v>45219.585333439172</v>
      </c>
      <c r="CW126" s="1141">
        <f t="shared" si="187"/>
        <v>77117.708639842589</v>
      </c>
      <c r="CX126" s="1152">
        <f t="shared" si="247"/>
        <v>316370.57624504907</v>
      </c>
      <c r="CY126" s="1152">
        <f t="shared" si="248"/>
        <v>125186.2958906081</v>
      </c>
      <c r="CZ126" s="1152">
        <f t="shared" si="249"/>
        <v>90420.288483916069</v>
      </c>
      <c r="DA126" s="1152">
        <f t="shared" si="250"/>
        <v>68814.002271345584</v>
      </c>
      <c r="DB126" s="1143">
        <f t="shared" si="188"/>
        <v>0.1593191979675293</v>
      </c>
      <c r="DC126" s="1143">
        <f t="shared" si="251"/>
        <v>0.33274314487328155</v>
      </c>
      <c r="DD126" s="1098" t="s">
        <v>232</v>
      </c>
      <c r="DE126" s="1144"/>
      <c r="DF126" s="705"/>
      <c r="DG126" s="765">
        <f t="shared" si="282"/>
        <v>46082</v>
      </c>
      <c r="DH126" s="1116">
        <f t="shared" si="189"/>
        <v>28</v>
      </c>
      <c r="DI126" s="497"/>
      <c r="DJ126" s="1117">
        <f t="shared" si="252"/>
        <v>46147</v>
      </c>
      <c r="DK126" s="1116">
        <f t="shared" si="253"/>
        <v>30</v>
      </c>
      <c r="DL126" s="766" t="s">
        <v>233</v>
      </c>
      <c r="DM126" s="766" t="s">
        <v>234</v>
      </c>
      <c r="DN126" s="767">
        <f t="shared" si="190"/>
        <v>24332.3865986772</v>
      </c>
      <c r="DO126" s="767">
        <f t="shared" si="191"/>
        <v>535312.5051708984</v>
      </c>
      <c r="DP126" s="768">
        <f t="shared" si="192"/>
        <v>0.17843750172363279</v>
      </c>
      <c r="DR126" s="767">
        <f t="shared" si="193"/>
        <v>3947644.4934345549</v>
      </c>
      <c r="DS126" s="767">
        <f>SUM('[6]INTERNAL PRICELIST'!M126)</f>
        <v>2329361</v>
      </c>
      <c r="DT126" s="767">
        <f t="shared" si="254"/>
        <v>1618283.4934345549</v>
      </c>
      <c r="DV126" s="951">
        <f t="shared" si="194"/>
        <v>179438.38606520704</v>
      </c>
      <c r="DX126" s="772">
        <v>13</v>
      </c>
      <c r="DY126" s="773" t="s">
        <v>289</v>
      </c>
      <c r="DZ126" s="774">
        <v>22</v>
      </c>
      <c r="EA126" s="775">
        <f t="shared" si="294"/>
        <v>0</v>
      </c>
      <c r="ED126" s="1133" t="s">
        <v>503</v>
      </c>
      <c r="EE126" s="777" t="b">
        <f t="shared" si="196"/>
        <v>1</v>
      </c>
      <c r="EF126" s="777"/>
      <c r="EG126" s="777"/>
      <c r="EH126" s="1203"/>
      <c r="EP126" s="1230" t="s">
        <v>258</v>
      </c>
      <c r="EQ126" s="1145" t="s">
        <v>258</v>
      </c>
      <c r="ER126" s="753" t="b">
        <f t="shared" si="255"/>
        <v>1</v>
      </c>
      <c r="EU126" s="770">
        <v>3060231.7824007287</v>
      </c>
      <c r="EV126" s="771" t="s">
        <v>258</v>
      </c>
      <c r="EW126" s="775">
        <f>EU126-CG126</f>
        <v>-887412.71103382623</v>
      </c>
      <c r="EY126" s="775">
        <v>3027488.5686052986</v>
      </c>
      <c r="EZ126" s="520"/>
      <c r="FA126" s="778"/>
      <c r="FG126" s="1107"/>
      <c r="FJ126" s="994">
        <v>0.125</v>
      </c>
      <c r="FK126" s="993">
        <v>10904.58944246769</v>
      </c>
      <c r="FL126" s="993">
        <v>11199.308076047899</v>
      </c>
      <c r="FM126" s="497"/>
      <c r="FN126" s="993">
        <f t="shared" si="197"/>
        <v>4450969.1663474599</v>
      </c>
      <c r="FO126" s="994">
        <f t="shared" si="256"/>
        <v>0.15</v>
      </c>
      <c r="FP126" s="775">
        <f t="shared" si="198"/>
        <v>667645.37495211896</v>
      </c>
      <c r="FQ126" s="993">
        <f t="shared" si="199"/>
        <v>30000</v>
      </c>
      <c r="FR126" s="775">
        <f t="shared" si="257"/>
        <v>637645.37495211896</v>
      </c>
      <c r="FS126" s="497">
        <f t="shared" si="258"/>
        <v>40</v>
      </c>
      <c r="FT126" s="775">
        <f t="shared" si="259"/>
        <v>15941.134373802974</v>
      </c>
      <c r="FU126" s="497"/>
      <c r="FV126" s="993">
        <f t="shared" si="260"/>
        <v>4450969.1663474599</v>
      </c>
      <c r="FW126" s="705">
        <f t="shared" si="261"/>
        <v>445096.91663474601</v>
      </c>
      <c r="FX126" s="705">
        <f t="shared" si="262"/>
        <v>111274.2291586865</v>
      </c>
      <c r="FY126" s="705">
        <v>15000</v>
      </c>
      <c r="FZ126" s="705">
        <f t="shared" si="263"/>
        <v>430096.91663474601</v>
      </c>
      <c r="GA126" s="497">
        <f t="shared" si="264"/>
        <v>46</v>
      </c>
      <c r="GB126" s="775">
        <f t="shared" si="265"/>
        <v>9349.9329703205658</v>
      </c>
      <c r="GC126" s="497"/>
      <c r="GD126" s="497"/>
      <c r="GE126" s="1107"/>
      <c r="GH126" s="1095">
        <f t="shared" si="161"/>
        <v>4450969.1663474599</v>
      </c>
      <c r="GI126" s="1098">
        <f t="shared" si="162"/>
        <v>0.125</v>
      </c>
      <c r="GJ126" s="1095">
        <f t="shared" si="163"/>
        <v>556371.14579343249</v>
      </c>
      <c r="GK126" s="1095">
        <f t="shared" si="164"/>
        <v>30000</v>
      </c>
      <c r="GL126" s="1095">
        <f t="shared" si="165"/>
        <v>526371.14579343249</v>
      </c>
      <c r="GM126" s="1095">
        <f t="shared" si="166"/>
        <v>29</v>
      </c>
      <c r="GN126" s="1095">
        <f t="shared" si="167"/>
        <v>18150.729165290777</v>
      </c>
      <c r="GO126" s="1098">
        <f t="shared" si="168"/>
        <v>0.875</v>
      </c>
      <c r="GP126" s="1095">
        <f t="shared" si="169"/>
        <v>3894598.0205540275</v>
      </c>
      <c r="GQ126" s="1095">
        <f t="shared" si="170"/>
        <v>30194.776999989135</v>
      </c>
      <c r="GR126" s="1095">
        <f t="shared" si="171"/>
        <v>35005.748044798616</v>
      </c>
      <c r="GS126" s="1095">
        <f t="shared" si="172"/>
        <v>45219.585333439172</v>
      </c>
      <c r="GT126" s="1095">
        <f t="shared" si="173"/>
        <v>77117.708639842589</v>
      </c>
      <c r="GU126" s="497"/>
      <c r="GV126" s="1095">
        <f t="shared" si="266"/>
        <v>4450969.1663474599</v>
      </c>
      <c r="GW126" s="1098">
        <f t="shared" si="267"/>
        <v>0.125</v>
      </c>
      <c r="GX126" s="1095">
        <f t="shared" si="268"/>
        <v>556371.14579343249</v>
      </c>
      <c r="GY126" s="1095">
        <f t="shared" si="269"/>
        <v>30000</v>
      </c>
      <c r="GZ126" s="1095">
        <f t="shared" si="270"/>
        <v>526371.14579343249</v>
      </c>
      <c r="HA126" s="1106">
        <f t="shared" si="271"/>
        <v>48</v>
      </c>
      <c r="HB126" s="770">
        <f t="shared" si="272"/>
        <v>10966.065537363176</v>
      </c>
      <c r="HC126" s="1098">
        <f t="shared" si="273"/>
        <v>0.875</v>
      </c>
      <c r="HD126" s="1102">
        <f t="shared" si="274"/>
        <v>3894598.0205540275</v>
      </c>
      <c r="HE126" s="1101">
        <f t="shared" si="275"/>
        <v>30194.776999989135</v>
      </c>
      <c r="HF126" s="1101">
        <f t="shared" si="276"/>
        <v>35005.748044798616</v>
      </c>
      <c r="HG126" s="1101">
        <f t="shared" si="277"/>
        <v>45219.585333439172</v>
      </c>
      <c r="HH126" s="1101">
        <f t="shared" si="278"/>
        <v>77117.708639842589</v>
      </c>
      <c r="HI126" s="497"/>
      <c r="HJ126" s="1102">
        <f t="shared" si="279"/>
        <v>-7184.6636279276008</v>
      </c>
      <c r="HL126" s="775"/>
      <c r="HN126" s="775"/>
      <c r="HO126" s="775"/>
      <c r="HQ126" s="702"/>
      <c r="HR126" s="1171"/>
      <c r="HS126" s="702"/>
      <c r="HT126" s="1171"/>
    </row>
    <row r="127" spans="1:228" ht="14.25" hidden="1" customHeight="1">
      <c r="A127" s="753">
        <f t="shared" si="280"/>
        <v>121</v>
      </c>
      <c r="B127" s="753" t="s">
        <v>236</v>
      </c>
      <c r="C127" s="753">
        <f t="shared" si="292"/>
        <v>28</v>
      </c>
      <c r="D127" s="753" t="s">
        <v>265</v>
      </c>
      <c r="E127" s="717" t="str">
        <f t="shared" si="200"/>
        <v>6th Floor</v>
      </c>
      <c r="F127" s="754"/>
      <c r="G127" s="756" t="s">
        <v>504</v>
      </c>
      <c r="H127" s="756"/>
      <c r="I127" s="755" t="s">
        <v>229</v>
      </c>
      <c r="J127" s="757">
        <v>22</v>
      </c>
      <c r="K127" s="758"/>
      <c r="L127" s="759" t="s">
        <v>277</v>
      </c>
      <c r="M127" s="760" t="s">
        <v>278</v>
      </c>
      <c r="N127" s="761">
        <f t="shared" si="201"/>
        <v>106005.26567735759</v>
      </c>
      <c r="O127" s="762">
        <f t="shared" si="202"/>
        <v>2332115.8449018667</v>
      </c>
      <c r="P127" s="762">
        <f t="shared" si="203"/>
        <v>22400</v>
      </c>
      <c r="Q127" s="762">
        <f t="shared" si="175"/>
        <v>50000</v>
      </c>
      <c r="R127" s="762"/>
      <c r="S127" s="762"/>
      <c r="T127" s="762"/>
      <c r="U127" s="762"/>
      <c r="V127" s="762"/>
      <c r="W127" s="762">
        <f t="shared" si="304"/>
        <v>22000</v>
      </c>
      <c r="X127" s="762"/>
      <c r="Y127" s="762">
        <f t="shared" si="293"/>
        <v>40000</v>
      </c>
      <c r="Z127" s="762">
        <f t="shared" si="177"/>
        <v>142461</v>
      </c>
      <c r="AA127" s="762">
        <v>45722.732758620688</v>
      </c>
      <c r="AB127" s="762"/>
      <c r="AC127" s="762"/>
      <c r="AD127" s="763">
        <f t="shared" si="204"/>
        <v>322583.7327586207</v>
      </c>
      <c r="AE127" s="763">
        <f t="shared" si="178"/>
        <v>2654699.5776604875</v>
      </c>
      <c r="AF127" s="762">
        <f t="shared" si="179"/>
        <v>66367.489441512196</v>
      </c>
      <c r="AG127" s="762">
        <f t="shared" si="205"/>
        <v>2721067.0671019997</v>
      </c>
      <c r="AH127" s="762">
        <f t="shared" si="180"/>
        <v>68026.67667755</v>
      </c>
      <c r="AI127" s="762">
        <f t="shared" si="206"/>
        <v>2789093.7437795498</v>
      </c>
      <c r="AJ127" s="762">
        <f t="shared" si="207"/>
        <v>139454.68718897749</v>
      </c>
      <c r="AK127" s="762">
        <f t="shared" si="208"/>
        <v>2928548.4309685272</v>
      </c>
      <c r="AL127" s="762">
        <f t="shared" si="209"/>
        <v>29285.484309685271</v>
      </c>
      <c r="AM127" s="762">
        <f t="shared" si="210"/>
        <v>27537.409960060559</v>
      </c>
      <c r="AN127" s="762"/>
      <c r="AO127" s="763">
        <f t="shared" si="211"/>
        <v>2985371.325238273</v>
      </c>
      <c r="AP127" s="763">
        <f t="shared" si="212"/>
        <v>492586.26866431505</v>
      </c>
      <c r="AQ127" s="763">
        <f t="shared" si="213"/>
        <v>3477957.5939025879</v>
      </c>
      <c r="AR127" s="1178">
        <f t="shared" si="181"/>
        <v>3000000</v>
      </c>
      <c r="AS127" s="1178">
        <f t="shared" si="214"/>
        <v>21725.345177390358</v>
      </c>
      <c r="AT127" s="1178">
        <f t="shared" si="215"/>
        <v>477957.59390258789</v>
      </c>
      <c r="AU127" s="1178">
        <f t="shared" si="182"/>
        <v>57354.911268310541</v>
      </c>
      <c r="AV127" s="1178">
        <f t="shared" si="216"/>
        <v>535312.5051708984</v>
      </c>
      <c r="AW127" s="1178">
        <f t="shared" si="217"/>
        <v>3535312.5051708985</v>
      </c>
      <c r="AX127" s="762">
        <f t="shared" si="218"/>
        <v>44191.406314636231</v>
      </c>
      <c r="AY127" s="717" t="s">
        <v>231</v>
      </c>
      <c r="AZ127" s="717">
        <f t="shared" si="219"/>
        <v>3579503.9114855346</v>
      </c>
      <c r="BA127" s="717">
        <f t="shared" si="220"/>
        <v>134231.39668070755</v>
      </c>
      <c r="BB127" s="717"/>
      <c r="BC127" s="717">
        <f t="shared" si="183"/>
        <v>33600</v>
      </c>
      <c r="BD127" s="717">
        <f t="shared" si="221"/>
        <v>3747335.3081662422</v>
      </c>
      <c r="BE127" s="717"/>
      <c r="BF127" s="717">
        <f t="shared" si="222"/>
        <v>3747335.3081662422</v>
      </c>
      <c r="BG127" s="1209"/>
      <c r="BH127" s="717">
        <f t="shared" si="223"/>
        <v>3747335.3081662422</v>
      </c>
      <c r="BI127" s="717"/>
      <c r="BJ127" s="717">
        <f t="shared" si="224"/>
        <v>3747335.3081662422</v>
      </c>
      <c r="BK127" s="717"/>
      <c r="BL127" s="717">
        <f t="shared" si="225"/>
        <v>3747335.3081662422</v>
      </c>
      <c r="BM127" s="717"/>
      <c r="BN127" s="717">
        <f t="shared" si="226"/>
        <v>3747335.3081662422</v>
      </c>
      <c r="BO127" s="717"/>
      <c r="BP127" s="717">
        <f t="shared" si="184"/>
        <v>3747335.3081662422</v>
      </c>
      <c r="BQ127" s="717"/>
      <c r="BR127" s="717">
        <f t="shared" si="285"/>
        <v>3747335.3081662422</v>
      </c>
      <c r="BS127" s="717"/>
      <c r="BT127" s="717">
        <f t="shared" si="227"/>
        <v>3747335.3081662422</v>
      </c>
      <c r="BU127" s="717"/>
      <c r="BV127" s="1235">
        <f t="shared" si="286"/>
        <v>51400</v>
      </c>
      <c r="BW127" s="717">
        <f t="shared" si="228"/>
        <v>3798735.3081662422</v>
      </c>
      <c r="BX127" s="717"/>
      <c r="BY127" s="717">
        <f t="shared" si="229"/>
        <v>3798735.3081662422</v>
      </c>
      <c r="BZ127" s="1194">
        <f t="shared" si="230"/>
        <v>3798735.3081662422</v>
      </c>
      <c r="CA127" s="1194">
        <f t="shared" si="231"/>
        <v>3028735.3081662422</v>
      </c>
      <c r="CB127" s="1194">
        <v>35000</v>
      </c>
      <c r="CC127" s="1194">
        <f t="shared" si="232"/>
        <v>770000</v>
      </c>
      <c r="CD127" s="1194">
        <f t="shared" si="233"/>
        <v>92400</v>
      </c>
      <c r="CE127" s="1194">
        <f t="shared" si="234"/>
        <v>862400</v>
      </c>
      <c r="CF127" s="1200">
        <f t="shared" si="235"/>
        <v>3891135.3081662422</v>
      </c>
      <c r="CG127" s="757">
        <f t="shared" si="236"/>
        <v>3891135.3081662422</v>
      </c>
      <c r="CH127" s="758">
        <f t="shared" si="237"/>
        <v>0</v>
      </c>
      <c r="CI127" s="757">
        <f t="shared" si="185"/>
        <v>398841.36908703978</v>
      </c>
      <c r="CJ127" s="757">
        <f t="shared" si="186"/>
        <v>97278.382704156058</v>
      </c>
      <c r="CK127" s="759">
        <f t="shared" si="291"/>
        <v>4387255.0599574381</v>
      </c>
      <c r="CL127" s="764">
        <f t="shared" si="238"/>
        <v>0.125</v>
      </c>
      <c r="CM127" s="757">
        <f t="shared" si="239"/>
        <v>548406.88249467977</v>
      </c>
      <c r="CN127" s="757">
        <f t="shared" si="281"/>
        <v>30000</v>
      </c>
      <c r="CO127" s="757">
        <f t="shared" si="240"/>
        <v>518406.88249467977</v>
      </c>
      <c r="CP127" s="755">
        <f t="shared" si="241"/>
        <v>29</v>
      </c>
      <c r="CQ127" s="757">
        <f t="shared" si="283"/>
        <v>17876.099396368267</v>
      </c>
      <c r="CR127" s="764">
        <f t="shared" si="242"/>
        <v>0.875</v>
      </c>
      <c r="CS127" s="757">
        <f t="shared" si="243"/>
        <v>3838848.1774627585</v>
      </c>
      <c r="CT127" s="1101">
        <f t="shared" si="244"/>
        <v>29762.549059893336</v>
      </c>
      <c r="CU127" s="1101">
        <f t="shared" si="245"/>
        <v>34504.652694138422</v>
      </c>
      <c r="CV127" s="1101">
        <f t="shared" si="246"/>
        <v>44572.282383638754</v>
      </c>
      <c r="CW127" s="1141">
        <f t="shared" si="187"/>
        <v>76013.794928199044</v>
      </c>
      <c r="CX127" s="1152">
        <f t="shared" si="247"/>
        <v>311841.83928907261</v>
      </c>
      <c r="CY127" s="1152">
        <f t="shared" si="248"/>
        <v>123394.2967378725</v>
      </c>
      <c r="CZ127" s="1152">
        <f t="shared" si="249"/>
        <v>89125.952876327865</v>
      </c>
      <c r="DA127" s="1152">
        <f t="shared" si="250"/>
        <v>67828.953285837197</v>
      </c>
      <c r="DB127" s="1143">
        <f t="shared" si="188"/>
        <v>0.1593191979675293</v>
      </c>
      <c r="DC127" s="1143">
        <f t="shared" si="251"/>
        <v>0.2847393093991244</v>
      </c>
      <c r="DD127" s="1098" t="s">
        <v>232</v>
      </c>
      <c r="DE127" s="1144"/>
      <c r="DF127" s="705"/>
      <c r="DG127" s="765">
        <f t="shared" si="282"/>
        <v>46082</v>
      </c>
      <c r="DH127" s="1116">
        <f t="shared" si="189"/>
        <v>28</v>
      </c>
      <c r="DI127" s="497"/>
      <c r="DJ127" s="1117">
        <f t="shared" si="252"/>
        <v>46147</v>
      </c>
      <c r="DK127" s="1116">
        <f t="shared" si="253"/>
        <v>30</v>
      </c>
      <c r="DL127" s="766" t="s">
        <v>233</v>
      </c>
      <c r="DM127" s="766" t="s">
        <v>234</v>
      </c>
      <c r="DN127" s="767">
        <f t="shared" si="190"/>
        <v>24332.3865986772</v>
      </c>
      <c r="DO127" s="767">
        <f t="shared" si="191"/>
        <v>535312.5051708984</v>
      </c>
      <c r="DP127" s="768">
        <f t="shared" si="192"/>
        <v>0.17843750172363279</v>
      </c>
      <c r="DR127" s="767">
        <f t="shared" si="193"/>
        <v>3891135.3081662422</v>
      </c>
      <c r="DS127" s="767">
        <f>SUM('[6]INTERNAL PRICELIST'!M127)</f>
        <v>2329361</v>
      </c>
      <c r="DT127" s="767">
        <f t="shared" si="254"/>
        <v>1561774.3081662422</v>
      </c>
      <c r="DV127" s="951">
        <f t="shared" si="194"/>
        <v>176869.78673482919</v>
      </c>
      <c r="DX127" s="772">
        <v>14</v>
      </c>
      <c r="DY127" s="773" t="s">
        <v>294</v>
      </c>
      <c r="DZ127" s="774">
        <v>22</v>
      </c>
      <c r="EA127" s="775">
        <f t="shared" si="294"/>
        <v>0</v>
      </c>
      <c r="ED127" s="1133" t="s">
        <v>504</v>
      </c>
      <c r="EE127" s="777" t="b">
        <f t="shared" si="196"/>
        <v>1</v>
      </c>
      <c r="EF127" s="1123" t="s">
        <v>505</v>
      </c>
      <c r="EG127" s="1123" t="s">
        <v>459</v>
      </c>
      <c r="EH127" s="1203"/>
      <c r="EP127" s="1230" t="s">
        <v>236</v>
      </c>
      <c r="EQ127" s="1145" t="s">
        <v>236</v>
      </c>
      <c r="ER127" s="753" t="b">
        <f t="shared" si="255"/>
        <v>1</v>
      </c>
      <c r="EU127" s="770">
        <v>2360460</v>
      </c>
      <c r="EV127" s="771" t="s">
        <v>236</v>
      </c>
      <c r="EZ127" s="520"/>
      <c r="FA127" s="778"/>
      <c r="FG127" s="1107"/>
      <c r="FJ127" s="994">
        <v>0.15</v>
      </c>
      <c r="FK127" s="993">
        <v>13164.454699382281</v>
      </c>
      <c r="FL127" s="993">
        <v>13520.250772338559</v>
      </c>
      <c r="FM127" s="497"/>
      <c r="FN127" s="993">
        <f t="shared" si="197"/>
        <v>4387255.0599574381</v>
      </c>
      <c r="FO127" s="994">
        <f t="shared" si="256"/>
        <v>0.15</v>
      </c>
      <c r="FP127" s="775">
        <f t="shared" si="198"/>
        <v>658088.25899361575</v>
      </c>
      <c r="FQ127" s="993">
        <f t="shared" si="199"/>
        <v>30000</v>
      </c>
      <c r="FR127" s="775">
        <f t="shared" si="257"/>
        <v>628088.25899361575</v>
      </c>
      <c r="FS127" s="497">
        <f t="shared" si="258"/>
        <v>40</v>
      </c>
      <c r="FT127" s="775">
        <f t="shared" si="259"/>
        <v>15702.206474840394</v>
      </c>
      <c r="FU127" s="497"/>
      <c r="FV127" s="993">
        <f t="shared" si="260"/>
        <v>4387255.0599574381</v>
      </c>
      <c r="FW127" s="705">
        <f t="shared" si="261"/>
        <v>438725.50599574385</v>
      </c>
      <c r="FX127" s="705">
        <f t="shared" si="262"/>
        <v>109681.37649893596</v>
      </c>
      <c r="FY127" s="705">
        <v>15000</v>
      </c>
      <c r="FZ127" s="705">
        <f t="shared" si="263"/>
        <v>423725.50599574385</v>
      </c>
      <c r="GA127" s="497">
        <f t="shared" si="264"/>
        <v>46</v>
      </c>
      <c r="GB127" s="775">
        <f t="shared" si="265"/>
        <v>9211.4240433857358</v>
      </c>
      <c r="GC127" s="497"/>
      <c r="GD127" s="497"/>
      <c r="GE127" s="1107"/>
      <c r="GH127" s="1095">
        <f t="shared" si="161"/>
        <v>4387255.0599574381</v>
      </c>
      <c r="GI127" s="1098">
        <f t="shared" si="162"/>
        <v>0.125</v>
      </c>
      <c r="GJ127" s="1095">
        <f t="shared" si="163"/>
        <v>548406.88249467977</v>
      </c>
      <c r="GK127" s="1095">
        <f t="shared" si="164"/>
        <v>30000</v>
      </c>
      <c r="GL127" s="1095">
        <f t="shared" si="165"/>
        <v>518406.88249467977</v>
      </c>
      <c r="GM127" s="1095">
        <f t="shared" si="166"/>
        <v>29</v>
      </c>
      <c r="GN127" s="1095">
        <f t="shared" si="167"/>
        <v>17876.099396368267</v>
      </c>
      <c r="GO127" s="1098">
        <f t="shared" si="168"/>
        <v>0.875</v>
      </c>
      <c r="GP127" s="1095">
        <f t="shared" si="169"/>
        <v>3838848.1774627585</v>
      </c>
      <c r="GQ127" s="1095">
        <f t="shared" si="170"/>
        <v>29762.549059893336</v>
      </c>
      <c r="GR127" s="1095">
        <f t="shared" si="171"/>
        <v>34504.652694138422</v>
      </c>
      <c r="GS127" s="1095">
        <f t="shared" si="172"/>
        <v>44572.282383638754</v>
      </c>
      <c r="GT127" s="1095">
        <f t="shared" si="173"/>
        <v>76013.794928199044</v>
      </c>
      <c r="GU127" s="497"/>
      <c r="GV127" s="1095">
        <f t="shared" si="266"/>
        <v>4387255.0599574381</v>
      </c>
      <c r="GW127" s="1098">
        <f t="shared" si="267"/>
        <v>0.125</v>
      </c>
      <c r="GX127" s="1095">
        <f t="shared" si="268"/>
        <v>548406.88249467977</v>
      </c>
      <c r="GY127" s="1095">
        <f t="shared" si="269"/>
        <v>30000</v>
      </c>
      <c r="GZ127" s="1095">
        <f t="shared" si="270"/>
        <v>518406.88249467977</v>
      </c>
      <c r="HA127" s="1106">
        <f t="shared" si="271"/>
        <v>48</v>
      </c>
      <c r="HB127" s="770">
        <f t="shared" si="272"/>
        <v>10800.143385305828</v>
      </c>
      <c r="HC127" s="1098">
        <f t="shared" si="273"/>
        <v>0.875</v>
      </c>
      <c r="HD127" s="1102">
        <f t="shared" si="274"/>
        <v>3838848.1774627585</v>
      </c>
      <c r="HE127" s="1101">
        <f t="shared" si="275"/>
        <v>29762.549059893336</v>
      </c>
      <c r="HF127" s="1101">
        <f t="shared" si="276"/>
        <v>34504.652694138422</v>
      </c>
      <c r="HG127" s="1101">
        <f t="shared" si="277"/>
        <v>44572.282383638754</v>
      </c>
      <c r="HH127" s="1101">
        <f t="shared" si="278"/>
        <v>76013.794928199044</v>
      </c>
      <c r="HI127" s="497"/>
      <c r="HJ127" s="1102">
        <f t="shared" si="279"/>
        <v>-7075.9560110624388</v>
      </c>
      <c r="HL127" s="775"/>
      <c r="HN127" s="775"/>
      <c r="HO127" s="775"/>
      <c r="HQ127" s="702"/>
      <c r="HR127" s="1171"/>
      <c r="HS127" s="702"/>
      <c r="HT127" s="1171"/>
    </row>
    <row r="128" spans="1:228" ht="14.25" hidden="1" customHeight="1">
      <c r="A128" s="753">
        <f t="shared" si="280"/>
        <v>122</v>
      </c>
      <c r="B128" s="753" t="s">
        <v>236</v>
      </c>
      <c r="C128" s="753">
        <f t="shared" si="292"/>
        <v>29</v>
      </c>
      <c r="D128" s="753" t="s">
        <v>265</v>
      </c>
      <c r="E128" s="717" t="str">
        <f t="shared" si="200"/>
        <v>6th Floor</v>
      </c>
      <c r="F128" s="754"/>
      <c r="G128" s="756" t="s">
        <v>506</v>
      </c>
      <c r="H128" s="756"/>
      <c r="I128" s="755" t="s">
        <v>229</v>
      </c>
      <c r="J128" s="757">
        <v>22</v>
      </c>
      <c r="K128" s="758"/>
      <c r="L128" s="759" t="s">
        <v>277</v>
      </c>
      <c r="M128" s="760" t="s">
        <v>68</v>
      </c>
      <c r="N128" s="761">
        <f t="shared" si="201"/>
        <v>106005.26567735759</v>
      </c>
      <c r="O128" s="762">
        <f t="shared" si="202"/>
        <v>2332115.8449018667</v>
      </c>
      <c r="P128" s="762">
        <f t="shared" si="203"/>
        <v>22400</v>
      </c>
      <c r="Q128" s="762">
        <f t="shared" si="175"/>
        <v>50000</v>
      </c>
      <c r="R128" s="762"/>
      <c r="S128" s="762"/>
      <c r="T128" s="762"/>
      <c r="U128" s="762"/>
      <c r="V128" s="762"/>
      <c r="W128" s="762"/>
      <c r="X128" s="762"/>
      <c r="Y128" s="762">
        <f t="shared" si="293"/>
        <v>40000</v>
      </c>
      <c r="Z128" s="762">
        <f t="shared" si="177"/>
        <v>142461</v>
      </c>
      <c r="AA128" s="762">
        <v>45722.732758620688</v>
      </c>
      <c r="AB128" s="762"/>
      <c r="AC128" s="762"/>
      <c r="AD128" s="763">
        <f t="shared" si="204"/>
        <v>300583.7327586207</v>
      </c>
      <c r="AE128" s="763">
        <f t="shared" si="178"/>
        <v>2632699.5776604875</v>
      </c>
      <c r="AF128" s="762">
        <f t="shared" si="179"/>
        <v>65817.489441512196</v>
      </c>
      <c r="AG128" s="762">
        <f t="shared" si="205"/>
        <v>2698517.0671019997</v>
      </c>
      <c r="AH128" s="762">
        <f t="shared" si="180"/>
        <v>67462.92667755</v>
      </c>
      <c r="AI128" s="762">
        <f t="shared" si="206"/>
        <v>2765979.9937795498</v>
      </c>
      <c r="AJ128" s="762">
        <f t="shared" si="207"/>
        <v>138298.99968897749</v>
      </c>
      <c r="AK128" s="762">
        <f t="shared" si="208"/>
        <v>2904278.9934685272</v>
      </c>
      <c r="AL128" s="762">
        <f t="shared" si="209"/>
        <v>29042.789934685272</v>
      </c>
      <c r="AM128" s="762">
        <f t="shared" si="210"/>
        <v>27537.409960060559</v>
      </c>
      <c r="AN128" s="762"/>
      <c r="AO128" s="763">
        <f t="shared" si="211"/>
        <v>2960859.1933632731</v>
      </c>
      <c r="AP128" s="763">
        <f t="shared" si="212"/>
        <v>488541.76690494007</v>
      </c>
      <c r="AQ128" s="763">
        <f t="shared" si="213"/>
        <v>3449400.9602682129</v>
      </c>
      <c r="AR128" s="1178">
        <f t="shared" si="181"/>
        <v>3000000</v>
      </c>
      <c r="AS128" s="1178">
        <f t="shared" si="214"/>
        <v>20427.316375827861</v>
      </c>
      <c r="AT128" s="1178">
        <f t="shared" si="215"/>
        <v>449400.96026821295</v>
      </c>
      <c r="AU128" s="1178">
        <f t="shared" si="182"/>
        <v>53928.115232185555</v>
      </c>
      <c r="AV128" s="1178">
        <f t="shared" si="216"/>
        <v>503329.07550039853</v>
      </c>
      <c r="AW128" s="1178">
        <f t="shared" si="217"/>
        <v>3503329.0755003984</v>
      </c>
      <c r="AX128" s="762">
        <f t="shared" si="218"/>
        <v>43791.613443754984</v>
      </c>
      <c r="AY128" s="717" t="s">
        <v>231</v>
      </c>
      <c r="AZ128" s="717">
        <f t="shared" si="219"/>
        <v>3547120.6889441535</v>
      </c>
      <c r="BA128" s="717">
        <f t="shared" si="220"/>
        <v>133017.02583540574</v>
      </c>
      <c r="BB128" s="717"/>
      <c r="BC128" s="717">
        <f t="shared" si="183"/>
        <v>33600</v>
      </c>
      <c r="BD128" s="717">
        <f t="shared" si="221"/>
        <v>3713737.7147795591</v>
      </c>
      <c r="BE128" s="717"/>
      <c r="BF128" s="717">
        <f t="shared" si="222"/>
        <v>3713737.7147795591</v>
      </c>
      <c r="BG128" s="1209"/>
      <c r="BH128" s="717">
        <f t="shared" si="223"/>
        <v>3713737.7147795591</v>
      </c>
      <c r="BI128" s="717"/>
      <c r="BJ128" s="717">
        <f t="shared" si="224"/>
        <v>3713737.7147795591</v>
      </c>
      <c r="BK128" s="717"/>
      <c r="BL128" s="717">
        <f t="shared" si="225"/>
        <v>3713737.7147795591</v>
      </c>
      <c r="BM128" s="717"/>
      <c r="BN128" s="717">
        <f t="shared" si="226"/>
        <v>3713737.7147795591</v>
      </c>
      <c r="BO128" s="717"/>
      <c r="BP128" s="717">
        <f t="shared" si="184"/>
        <v>3713737.7147795591</v>
      </c>
      <c r="BQ128" s="717"/>
      <c r="BR128" s="717">
        <f t="shared" si="285"/>
        <v>3713737.7147795591</v>
      </c>
      <c r="BS128" s="717"/>
      <c r="BT128" s="717">
        <f t="shared" si="227"/>
        <v>3713737.7147795591</v>
      </c>
      <c r="BU128" s="717"/>
      <c r="BV128" s="1235">
        <f t="shared" si="286"/>
        <v>51400</v>
      </c>
      <c r="BW128" s="717">
        <f t="shared" si="228"/>
        <v>3765137.7147795591</v>
      </c>
      <c r="BX128" s="717"/>
      <c r="BY128" s="717">
        <f t="shared" si="229"/>
        <v>3765137.7147795591</v>
      </c>
      <c r="BZ128" s="1194">
        <f t="shared" si="230"/>
        <v>3765137.7147795591</v>
      </c>
      <c r="CA128" s="1194">
        <f t="shared" si="231"/>
        <v>3028137.7147795591</v>
      </c>
      <c r="CB128" s="1194">
        <v>33500</v>
      </c>
      <c r="CC128" s="1194">
        <f t="shared" si="232"/>
        <v>737000</v>
      </c>
      <c r="CD128" s="1194">
        <f t="shared" si="233"/>
        <v>88440</v>
      </c>
      <c r="CE128" s="1194">
        <f t="shared" si="234"/>
        <v>825440</v>
      </c>
      <c r="CF128" s="1200">
        <f t="shared" si="235"/>
        <v>3853577.7147795591</v>
      </c>
      <c r="CG128" s="757">
        <f t="shared" si="236"/>
        <v>3853577.7147795591</v>
      </c>
      <c r="CH128" s="758">
        <f t="shared" si="237"/>
        <v>0</v>
      </c>
      <c r="CI128" s="757">
        <f t="shared" si="185"/>
        <v>394991.7157649048</v>
      </c>
      <c r="CJ128" s="757">
        <f t="shared" si="186"/>
        <v>96339.442869488979</v>
      </c>
      <c r="CK128" s="759">
        <f t="shared" si="291"/>
        <v>4344908.873413953</v>
      </c>
      <c r="CL128" s="764">
        <f t="shared" si="238"/>
        <v>0.125</v>
      </c>
      <c r="CM128" s="757">
        <f t="shared" si="239"/>
        <v>543113.60917674412</v>
      </c>
      <c r="CN128" s="757">
        <f t="shared" si="281"/>
        <v>30000</v>
      </c>
      <c r="CO128" s="757">
        <f t="shared" si="240"/>
        <v>513113.60917674412</v>
      </c>
      <c r="CP128" s="755">
        <f t="shared" si="241"/>
        <v>29</v>
      </c>
      <c r="CQ128" s="757">
        <f t="shared" si="283"/>
        <v>17693.572730232558</v>
      </c>
      <c r="CR128" s="764">
        <f t="shared" si="242"/>
        <v>0.875</v>
      </c>
      <c r="CS128" s="757">
        <f t="shared" si="243"/>
        <v>3801795.2642372088</v>
      </c>
      <c r="CT128" s="1101">
        <f t="shared" si="244"/>
        <v>29475.278218039861</v>
      </c>
      <c r="CU128" s="1101">
        <f t="shared" si="245"/>
        <v>34171.610634892764</v>
      </c>
      <c r="CV128" s="1101">
        <f t="shared" si="246"/>
        <v>44142.066643114937</v>
      </c>
      <c r="CW128" s="1141">
        <f t="shared" si="187"/>
        <v>75280.102836921593</v>
      </c>
      <c r="CX128" s="1152">
        <f t="shared" si="247"/>
        <v>308831.91337454721</v>
      </c>
      <c r="CY128" s="1152">
        <f t="shared" si="248"/>
        <v>122203.28371568573</v>
      </c>
      <c r="CZ128" s="1152">
        <f t="shared" si="249"/>
        <v>88265.701038951564</v>
      </c>
      <c r="DA128" s="1152">
        <f t="shared" si="250"/>
        <v>67174.262033644685</v>
      </c>
      <c r="DB128" s="1143">
        <f t="shared" si="188"/>
        <v>0.1498003200894043</v>
      </c>
      <c r="DC128" s="1143">
        <f t="shared" si="251"/>
        <v>0.27258998029423837</v>
      </c>
      <c r="DD128" s="1098" t="s">
        <v>232</v>
      </c>
      <c r="DE128" s="1144"/>
      <c r="DF128" s="705"/>
      <c r="DG128" s="765">
        <f t="shared" si="282"/>
        <v>46082</v>
      </c>
      <c r="DH128" s="1116">
        <f t="shared" si="189"/>
        <v>28</v>
      </c>
      <c r="DI128" s="497"/>
      <c r="DJ128" s="1117">
        <f t="shared" si="252"/>
        <v>46147</v>
      </c>
      <c r="DK128" s="1116">
        <f t="shared" si="253"/>
        <v>30</v>
      </c>
      <c r="DL128" s="766" t="s">
        <v>233</v>
      </c>
      <c r="DM128" s="766" t="s">
        <v>234</v>
      </c>
      <c r="DN128" s="767">
        <f t="shared" si="190"/>
        <v>22878.594340927204</v>
      </c>
      <c r="DO128" s="767">
        <f t="shared" si="191"/>
        <v>503329.07550039853</v>
      </c>
      <c r="DP128" s="768">
        <f t="shared" si="192"/>
        <v>0.16777635850013284</v>
      </c>
      <c r="DR128" s="767">
        <f t="shared" si="193"/>
        <v>3853577.7147795591</v>
      </c>
      <c r="DS128" s="767">
        <f>SUM('[6]INTERNAL PRICELIST'!M128)</f>
        <v>2329361</v>
      </c>
      <c r="DT128" s="767">
        <f t="shared" si="254"/>
        <v>1524216.7147795591</v>
      </c>
      <c r="DV128" s="951">
        <f t="shared" si="194"/>
        <v>175162.62339907087</v>
      </c>
      <c r="DX128" s="772">
        <v>15</v>
      </c>
      <c r="DY128" s="773" t="s">
        <v>299</v>
      </c>
      <c r="DZ128" s="774">
        <v>22</v>
      </c>
      <c r="EA128" s="775">
        <f t="shared" si="294"/>
        <v>0</v>
      </c>
      <c r="ED128" s="1133" t="s">
        <v>506</v>
      </c>
      <c r="EE128" s="777" t="b">
        <f t="shared" si="196"/>
        <v>1</v>
      </c>
      <c r="EF128" s="1123" t="s">
        <v>507</v>
      </c>
      <c r="EG128" s="1123" t="s">
        <v>459</v>
      </c>
      <c r="EH128" s="1203"/>
      <c r="EP128" s="1230" t="s">
        <v>236</v>
      </c>
      <c r="EQ128" s="1145" t="s">
        <v>236</v>
      </c>
      <c r="ER128" s="753" t="b">
        <f t="shared" si="255"/>
        <v>1</v>
      </c>
      <c r="EU128" s="770">
        <v>2221760</v>
      </c>
      <c r="EV128" s="771" t="s">
        <v>236</v>
      </c>
      <c r="EZ128" s="520"/>
      <c r="FA128" s="778"/>
      <c r="FG128" s="1107"/>
      <c r="FJ128" s="994">
        <v>0.15</v>
      </c>
      <c r="FK128" s="993">
        <v>13042.268172546426</v>
      </c>
      <c r="FL128" s="993">
        <v>13394.761906939573</v>
      </c>
      <c r="FM128" s="497"/>
      <c r="FN128" s="993">
        <f t="shared" si="197"/>
        <v>4344908.873413953</v>
      </c>
      <c r="FO128" s="994">
        <f t="shared" si="256"/>
        <v>0.15</v>
      </c>
      <c r="FP128" s="775">
        <f t="shared" si="198"/>
        <v>651736.33101209288</v>
      </c>
      <c r="FQ128" s="993">
        <f t="shared" si="199"/>
        <v>30000</v>
      </c>
      <c r="FR128" s="775">
        <f t="shared" si="257"/>
        <v>621736.33101209288</v>
      </c>
      <c r="FS128" s="497">
        <f t="shared" si="258"/>
        <v>40</v>
      </c>
      <c r="FT128" s="775">
        <f t="shared" si="259"/>
        <v>15543.408275302321</v>
      </c>
      <c r="FU128" s="497"/>
      <c r="FV128" s="993">
        <f t="shared" si="260"/>
        <v>4344908.873413953</v>
      </c>
      <c r="FW128" s="705">
        <f t="shared" si="261"/>
        <v>434490.88734139531</v>
      </c>
      <c r="FX128" s="705">
        <f t="shared" si="262"/>
        <v>108622.72183534883</v>
      </c>
      <c r="FY128" s="705">
        <v>15000</v>
      </c>
      <c r="FZ128" s="705">
        <f t="shared" si="263"/>
        <v>419490.88734139531</v>
      </c>
      <c r="GA128" s="497">
        <f t="shared" si="264"/>
        <v>46</v>
      </c>
      <c r="GB128" s="775">
        <f t="shared" si="265"/>
        <v>9119.3671161172897</v>
      </c>
      <c r="GC128" s="497"/>
      <c r="GD128" s="497"/>
      <c r="GE128" s="1107"/>
      <c r="GH128" s="1095">
        <f t="shared" si="161"/>
        <v>4344908.873413953</v>
      </c>
      <c r="GI128" s="1098">
        <f t="shared" si="162"/>
        <v>0.125</v>
      </c>
      <c r="GJ128" s="1095">
        <f t="shared" si="163"/>
        <v>543113.60917674412</v>
      </c>
      <c r="GK128" s="1095">
        <f t="shared" si="164"/>
        <v>30000</v>
      </c>
      <c r="GL128" s="1095">
        <f t="shared" si="165"/>
        <v>513113.60917674412</v>
      </c>
      <c r="GM128" s="1095">
        <f t="shared" si="166"/>
        <v>29</v>
      </c>
      <c r="GN128" s="1095">
        <f t="shared" si="167"/>
        <v>17693.572730232558</v>
      </c>
      <c r="GO128" s="1098">
        <f t="shared" si="168"/>
        <v>0.875</v>
      </c>
      <c r="GP128" s="1095">
        <f t="shared" si="169"/>
        <v>3801795.2642372088</v>
      </c>
      <c r="GQ128" s="1095">
        <f t="shared" si="170"/>
        <v>29475.278218039861</v>
      </c>
      <c r="GR128" s="1095">
        <f t="shared" si="171"/>
        <v>34171.610634892764</v>
      </c>
      <c r="GS128" s="1095">
        <f t="shared" si="172"/>
        <v>44142.066643114937</v>
      </c>
      <c r="GT128" s="1095">
        <f t="shared" si="173"/>
        <v>75280.102836921593</v>
      </c>
      <c r="GU128" s="497"/>
      <c r="GV128" s="1095">
        <f t="shared" si="266"/>
        <v>4344908.873413953</v>
      </c>
      <c r="GW128" s="1098">
        <f t="shared" si="267"/>
        <v>0.125</v>
      </c>
      <c r="GX128" s="1095">
        <f t="shared" si="268"/>
        <v>543113.60917674412</v>
      </c>
      <c r="GY128" s="1095">
        <f t="shared" si="269"/>
        <v>30000</v>
      </c>
      <c r="GZ128" s="1095">
        <f t="shared" si="270"/>
        <v>513113.60917674412</v>
      </c>
      <c r="HA128" s="1106">
        <f t="shared" si="271"/>
        <v>48</v>
      </c>
      <c r="HB128" s="770">
        <f t="shared" si="272"/>
        <v>10689.866857848836</v>
      </c>
      <c r="HC128" s="1098">
        <f t="shared" si="273"/>
        <v>0.875</v>
      </c>
      <c r="HD128" s="1102">
        <f t="shared" si="274"/>
        <v>3801795.2642372088</v>
      </c>
      <c r="HE128" s="1101">
        <f t="shared" si="275"/>
        <v>29475.278218039861</v>
      </c>
      <c r="HF128" s="1101">
        <f t="shared" si="276"/>
        <v>34171.610634892764</v>
      </c>
      <c r="HG128" s="1101">
        <f t="shared" si="277"/>
        <v>44142.066643114937</v>
      </c>
      <c r="HH128" s="1101">
        <f t="shared" si="278"/>
        <v>75280.102836921593</v>
      </c>
      <c r="HI128" s="497"/>
      <c r="HJ128" s="1102">
        <f t="shared" si="279"/>
        <v>-7003.7058723837217</v>
      </c>
      <c r="HL128" s="775"/>
      <c r="HN128" s="775"/>
      <c r="HO128" s="775"/>
      <c r="HQ128" s="702"/>
      <c r="HR128" s="1171"/>
      <c r="HS128" s="702"/>
      <c r="HT128" s="1171"/>
    </row>
    <row r="129" spans="1:228" ht="14.25" customHeight="1">
      <c r="A129" s="753">
        <f t="shared" si="280"/>
        <v>123</v>
      </c>
      <c r="B129" s="753" t="s">
        <v>236</v>
      </c>
      <c r="C129" s="753">
        <f t="shared" si="292"/>
        <v>30</v>
      </c>
      <c r="D129" s="753" t="s">
        <v>265</v>
      </c>
      <c r="E129" s="717" t="str">
        <f t="shared" si="200"/>
        <v>6th Floor</v>
      </c>
      <c r="F129" s="754"/>
      <c r="G129" s="756" t="s">
        <v>508</v>
      </c>
      <c r="H129" s="756"/>
      <c r="I129" s="755" t="s">
        <v>229</v>
      </c>
      <c r="J129" s="757">
        <v>22</v>
      </c>
      <c r="K129" s="758"/>
      <c r="L129" s="759" t="s">
        <v>277</v>
      </c>
      <c r="M129" s="760" t="s">
        <v>68</v>
      </c>
      <c r="N129" s="761">
        <f t="shared" si="201"/>
        <v>106005.26567735759</v>
      </c>
      <c r="O129" s="762">
        <f t="shared" si="202"/>
        <v>2332115.8449018667</v>
      </c>
      <c r="P129" s="762">
        <f t="shared" si="203"/>
        <v>22400</v>
      </c>
      <c r="Q129" s="762">
        <f t="shared" si="175"/>
        <v>50000</v>
      </c>
      <c r="R129" s="762"/>
      <c r="S129" s="762"/>
      <c r="T129" s="762"/>
      <c r="U129" s="762"/>
      <c r="V129" s="762"/>
      <c r="W129" s="762"/>
      <c r="X129" s="762"/>
      <c r="Y129" s="762">
        <f t="shared" si="293"/>
        <v>40000</v>
      </c>
      <c r="Z129" s="762">
        <f t="shared" si="177"/>
        <v>142461</v>
      </c>
      <c r="AA129" s="762">
        <v>49222.732758620703</v>
      </c>
      <c r="AB129" s="762"/>
      <c r="AC129" s="762"/>
      <c r="AD129" s="763">
        <f t="shared" si="204"/>
        <v>304083.7327586207</v>
      </c>
      <c r="AE129" s="763">
        <f t="shared" si="178"/>
        <v>2636199.5776604875</v>
      </c>
      <c r="AF129" s="762">
        <f t="shared" si="179"/>
        <v>65904.989441512196</v>
      </c>
      <c r="AG129" s="762">
        <f t="shared" si="205"/>
        <v>2702104.5671019997</v>
      </c>
      <c r="AH129" s="762">
        <f t="shared" si="180"/>
        <v>67552.61417755</v>
      </c>
      <c r="AI129" s="762">
        <f t="shared" si="206"/>
        <v>2769657.1812795498</v>
      </c>
      <c r="AJ129" s="762">
        <f t="shared" si="207"/>
        <v>138482.85906397749</v>
      </c>
      <c r="AK129" s="762">
        <f t="shared" si="208"/>
        <v>2908140.0403435272</v>
      </c>
      <c r="AL129" s="762">
        <f>AK129*AL$5+29772.4420833333</f>
        <v>58853.842486768568</v>
      </c>
      <c r="AM129" s="762">
        <f t="shared" si="210"/>
        <v>27537.409960060559</v>
      </c>
      <c r="AN129" s="762"/>
      <c r="AO129" s="763">
        <f t="shared" si="211"/>
        <v>2994531.2927903561</v>
      </c>
      <c r="AP129" s="763">
        <f t="shared" si="212"/>
        <v>494097.66331040877</v>
      </c>
      <c r="AQ129" s="763">
        <f t="shared" si="213"/>
        <v>3488628.9561007647</v>
      </c>
      <c r="AR129" s="1178">
        <f t="shared" si="181"/>
        <v>3000000</v>
      </c>
      <c r="AS129" s="1178">
        <f t="shared" si="214"/>
        <v>22210.407095489303</v>
      </c>
      <c r="AT129" s="1178">
        <f t="shared" si="215"/>
        <v>488628.95610076468</v>
      </c>
      <c r="AU129" s="1178">
        <f t="shared" si="182"/>
        <v>58635.47473209176</v>
      </c>
      <c r="AV129" s="1178">
        <f t="shared" si="216"/>
        <v>547264.43083285645</v>
      </c>
      <c r="AW129" s="1178">
        <f t="shared" si="217"/>
        <v>3547264.4308328563</v>
      </c>
      <c r="AX129" s="762">
        <f t="shared" si="218"/>
        <v>44340.805385410706</v>
      </c>
      <c r="AY129" s="717">
        <v>7575.3956645161297</v>
      </c>
      <c r="AZ129" s="717">
        <f t="shared" si="219"/>
        <v>3599180.631882783</v>
      </c>
      <c r="BA129" s="717">
        <f t="shared" si="220"/>
        <v>134969.27369560435</v>
      </c>
      <c r="BB129" s="717"/>
      <c r="BC129" s="717">
        <f t="shared" si="183"/>
        <v>33600</v>
      </c>
      <c r="BD129" s="717">
        <f t="shared" si="221"/>
        <v>3767749.9055783874</v>
      </c>
      <c r="BE129" s="717">
        <v>18367.830916129038</v>
      </c>
      <c r="BF129" s="717">
        <f t="shared" si="222"/>
        <v>3786117.7364945165</v>
      </c>
      <c r="BG129" s="1209"/>
      <c r="BH129" s="717">
        <f t="shared" si="223"/>
        <v>3786117.7364945165</v>
      </c>
      <c r="BI129" s="717">
        <v>718.43902439024396</v>
      </c>
      <c r="BJ129" s="717">
        <f t="shared" si="224"/>
        <v>3786836.1755189067</v>
      </c>
      <c r="BK129" s="717"/>
      <c r="BL129" s="717">
        <f t="shared" si="225"/>
        <v>3786836.1755189067</v>
      </c>
      <c r="BM129" s="717">
        <f>$BM$5/41</f>
        <v>1038.0487804878051</v>
      </c>
      <c r="BN129" s="717">
        <f t="shared" si="226"/>
        <v>3787874.2242993945</v>
      </c>
      <c r="BO129" s="717">
        <f>$BO$5/51</f>
        <v>7289.0781490196077</v>
      </c>
      <c r="BP129" s="717">
        <f t="shared" si="184"/>
        <v>3795163.3024484143</v>
      </c>
      <c r="BQ129" s="717">
        <f>$BQ$5/56</f>
        <v>4468.4242000000004</v>
      </c>
      <c r="BR129" s="717">
        <f t="shared" si="285"/>
        <v>3799631.726648414</v>
      </c>
      <c r="BS129" s="1234">
        <f>$BS$5/64</f>
        <v>2651.4786794501206</v>
      </c>
      <c r="BT129" s="1235">
        <f t="shared" si="227"/>
        <v>3802283.2053278643</v>
      </c>
      <c r="BU129" s="1235">
        <f>$BU$5/65</f>
        <v>211.07692307692309</v>
      </c>
      <c r="BV129" s="1235">
        <f t="shared" si="286"/>
        <v>51400</v>
      </c>
      <c r="BW129" s="717">
        <f t="shared" si="228"/>
        <v>3853894.2822509413</v>
      </c>
      <c r="BX129" s="1234">
        <f t="shared" si="287"/>
        <v>27651.078536278128</v>
      </c>
      <c r="BY129" s="717">
        <f t="shared" si="229"/>
        <v>3881545.3607872194</v>
      </c>
      <c r="BZ129" s="1194">
        <f t="shared" si="230"/>
        <v>3881545.3607872194</v>
      </c>
      <c r="CA129" s="1194">
        <f t="shared" si="231"/>
        <v>3001545.3607872194</v>
      </c>
      <c r="CB129" s="1194">
        <f>$CB$5</f>
        <v>40000</v>
      </c>
      <c r="CC129" s="1194">
        <f t="shared" si="232"/>
        <v>880000</v>
      </c>
      <c r="CD129" s="1194">
        <f t="shared" si="233"/>
        <v>105600</v>
      </c>
      <c r="CE129" s="1194">
        <f t="shared" si="234"/>
        <v>985600</v>
      </c>
      <c r="CF129" s="1200">
        <f t="shared" si="235"/>
        <v>3987145.3607872194</v>
      </c>
      <c r="CG129" s="757">
        <f t="shared" si="236"/>
        <v>3987145.3607872194</v>
      </c>
      <c r="CH129" s="758">
        <f t="shared" si="237"/>
        <v>0</v>
      </c>
      <c r="CI129" s="757">
        <f t="shared" si="185"/>
        <v>408682.39948068996</v>
      </c>
      <c r="CJ129" s="757">
        <f t="shared" si="186"/>
        <v>99678.634019680496</v>
      </c>
      <c r="CK129" s="759">
        <f t="shared" si="291"/>
        <v>4495506.3942875899</v>
      </c>
      <c r="CL129" s="764">
        <f t="shared" si="238"/>
        <v>0.125</v>
      </c>
      <c r="CM129" s="757">
        <f t="shared" si="239"/>
        <v>561938.29928594874</v>
      </c>
      <c r="CN129" s="757">
        <f t="shared" si="281"/>
        <v>30000</v>
      </c>
      <c r="CO129" s="757">
        <f t="shared" si="240"/>
        <v>531938.29928594874</v>
      </c>
      <c r="CP129" s="755">
        <f t="shared" si="241"/>
        <v>29</v>
      </c>
      <c r="CQ129" s="757">
        <f t="shared" si="283"/>
        <v>18342.699975377542</v>
      </c>
      <c r="CR129" s="764">
        <f t="shared" si="242"/>
        <v>0.875</v>
      </c>
      <c r="CS129" s="757">
        <f t="shared" si="243"/>
        <v>3933568.0950016412</v>
      </c>
      <c r="CT129" s="1101">
        <f t="shared" si="244"/>
        <v>30496.911572391367</v>
      </c>
      <c r="CU129" s="1101">
        <f t="shared" si="245"/>
        <v>35356.022091106002</v>
      </c>
      <c r="CV129" s="1101">
        <f t="shared" si="246"/>
        <v>45672.060941354066</v>
      </c>
      <c r="CW129" s="1141">
        <f t="shared" si="187"/>
        <v>77889.362821111994</v>
      </c>
      <c r="CX129" s="1152">
        <f t="shared" si="247"/>
        <v>319536.23925936711</v>
      </c>
      <c r="CY129" s="1152">
        <f t="shared" si="248"/>
        <v>126438.93332454383</v>
      </c>
      <c r="CZ129" s="1152">
        <f t="shared" si="249"/>
        <v>91325.050761100109</v>
      </c>
      <c r="DA129" s="1152">
        <f t="shared" si="250"/>
        <v>69502.568017386584</v>
      </c>
      <c r="DB129" s="1143">
        <f t="shared" si="188"/>
        <v>0.1628763187002549</v>
      </c>
      <c r="DC129" s="1143">
        <f t="shared" si="251"/>
        <v>0.328364186287528</v>
      </c>
      <c r="DD129" s="1098" t="s">
        <v>232</v>
      </c>
      <c r="DE129" s="1144"/>
      <c r="DF129" s="705"/>
      <c r="DG129" s="765">
        <f t="shared" si="282"/>
        <v>46082</v>
      </c>
      <c r="DH129" s="1116">
        <f t="shared" si="189"/>
        <v>28</v>
      </c>
      <c r="DI129" s="497"/>
      <c r="DJ129" s="1117">
        <f t="shared" si="252"/>
        <v>46147</v>
      </c>
      <c r="DK129" s="1116">
        <f t="shared" si="253"/>
        <v>30</v>
      </c>
      <c r="DL129" s="766" t="s">
        <v>233</v>
      </c>
      <c r="DM129" s="766" t="s">
        <v>234</v>
      </c>
      <c r="DN129" s="767">
        <f t="shared" si="190"/>
        <v>24875.65594694802</v>
      </c>
      <c r="DO129" s="767">
        <f t="shared" si="191"/>
        <v>547264.43083285645</v>
      </c>
      <c r="DP129" s="768">
        <f t="shared" si="192"/>
        <v>0.18242147694428548</v>
      </c>
      <c r="DR129" s="767">
        <f t="shared" si="193"/>
        <v>3987145.3607872194</v>
      </c>
      <c r="DS129" s="767">
        <f>SUM('[6]INTERNAL PRICELIST'!M129)</f>
        <v>2329361</v>
      </c>
      <c r="DT129" s="767">
        <f t="shared" si="254"/>
        <v>1657784.3607872194</v>
      </c>
      <c r="DV129" s="951">
        <f t="shared" si="194"/>
        <v>181233.8800357827</v>
      </c>
      <c r="DX129" s="772">
        <v>16</v>
      </c>
      <c r="DY129" s="773" t="s">
        <v>303</v>
      </c>
      <c r="DZ129" s="774">
        <v>22</v>
      </c>
      <c r="EA129" s="775">
        <f t="shared" si="294"/>
        <v>0</v>
      </c>
      <c r="ED129" s="1133" t="s">
        <v>508</v>
      </c>
      <c r="EE129" s="777" t="b">
        <f t="shared" si="196"/>
        <v>1</v>
      </c>
      <c r="EF129" s="1123" t="s">
        <v>509</v>
      </c>
      <c r="EG129" s="1123" t="s">
        <v>459</v>
      </c>
      <c r="EH129" s="1203"/>
      <c r="EP129" s="1230" t="s">
        <v>258</v>
      </c>
      <c r="EQ129" s="1145" t="s">
        <v>258</v>
      </c>
      <c r="ER129" s="753" t="b">
        <f t="shared" si="255"/>
        <v>1</v>
      </c>
      <c r="EU129" s="770">
        <v>2360460</v>
      </c>
      <c r="EV129" s="771" t="s">
        <v>236</v>
      </c>
      <c r="FG129" s="1107"/>
      <c r="FJ129" s="994">
        <v>0.15</v>
      </c>
      <c r="FK129" s="993">
        <v>13042.268172546426</v>
      </c>
      <c r="FL129" s="993">
        <v>13394.761906939573</v>
      </c>
      <c r="FM129" s="497"/>
      <c r="FN129" s="993">
        <f t="shared" si="197"/>
        <v>4495506.3942875899</v>
      </c>
      <c r="FO129" s="994">
        <f t="shared" si="256"/>
        <v>0.15</v>
      </c>
      <c r="FP129" s="775">
        <f t="shared" si="198"/>
        <v>674325.95914313849</v>
      </c>
      <c r="FQ129" s="993">
        <f t="shared" si="199"/>
        <v>30000</v>
      </c>
      <c r="FR129" s="775">
        <f t="shared" si="257"/>
        <v>644325.95914313849</v>
      </c>
      <c r="FS129" s="497">
        <f t="shared" si="258"/>
        <v>40</v>
      </c>
      <c r="FT129" s="775">
        <f t="shared" si="259"/>
        <v>16108.148978578462</v>
      </c>
      <c r="FU129" s="497"/>
      <c r="FV129" s="993">
        <f t="shared" si="260"/>
        <v>4495506.3942875899</v>
      </c>
      <c r="FW129" s="705">
        <f t="shared" si="261"/>
        <v>449550.63942875899</v>
      </c>
      <c r="FX129" s="705">
        <f t="shared" si="262"/>
        <v>112387.65985718975</v>
      </c>
      <c r="FY129" s="705">
        <v>15000</v>
      </c>
      <c r="FZ129" s="705">
        <f t="shared" si="263"/>
        <v>434550.63942875899</v>
      </c>
      <c r="GA129" s="497">
        <f t="shared" si="264"/>
        <v>46</v>
      </c>
      <c r="GB129" s="775">
        <f t="shared" si="265"/>
        <v>9446.7530310599777</v>
      </c>
      <c r="GC129" s="497"/>
      <c r="GD129" s="497"/>
      <c r="GE129" s="1107"/>
      <c r="GH129" s="1095">
        <f t="shared" si="161"/>
        <v>4495506.3942875899</v>
      </c>
      <c r="GI129" s="1098">
        <f t="shared" si="162"/>
        <v>0.125</v>
      </c>
      <c r="GJ129" s="1095">
        <f t="shared" si="163"/>
        <v>561938.29928594874</v>
      </c>
      <c r="GK129" s="1095">
        <f t="shared" si="164"/>
        <v>30000</v>
      </c>
      <c r="GL129" s="1095">
        <f t="shared" si="165"/>
        <v>531938.29928594874</v>
      </c>
      <c r="GM129" s="1095">
        <f t="shared" si="166"/>
        <v>29</v>
      </c>
      <c r="GN129" s="1095">
        <f t="shared" si="167"/>
        <v>18342.699975377542</v>
      </c>
      <c r="GO129" s="1098">
        <f t="shared" si="168"/>
        <v>0.875</v>
      </c>
      <c r="GP129" s="1095">
        <f t="shared" si="169"/>
        <v>3933568.0950016412</v>
      </c>
      <c r="GQ129" s="1095">
        <f t="shared" si="170"/>
        <v>30496.911572391367</v>
      </c>
      <c r="GR129" s="1095">
        <f t="shared" si="171"/>
        <v>35356.022091106002</v>
      </c>
      <c r="GS129" s="1095">
        <f t="shared" si="172"/>
        <v>45672.060941354066</v>
      </c>
      <c r="GT129" s="1095">
        <f t="shared" si="173"/>
        <v>77889.362821111994</v>
      </c>
      <c r="GU129" s="497"/>
      <c r="GV129" s="1095">
        <f t="shared" si="266"/>
        <v>4495506.3942875899</v>
      </c>
      <c r="GW129" s="1098">
        <f t="shared" si="267"/>
        <v>0.125</v>
      </c>
      <c r="GX129" s="1095">
        <f t="shared" si="268"/>
        <v>561938.29928594874</v>
      </c>
      <c r="GY129" s="1095">
        <f t="shared" si="269"/>
        <v>30000</v>
      </c>
      <c r="GZ129" s="1095">
        <f t="shared" si="270"/>
        <v>531938.29928594874</v>
      </c>
      <c r="HA129" s="1106">
        <f t="shared" si="271"/>
        <v>48</v>
      </c>
      <c r="HB129" s="770">
        <f t="shared" si="272"/>
        <v>11082.047901790598</v>
      </c>
      <c r="HC129" s="1098">
        <f t="shared" si="273"/>
        <v>0.875</v>
      </c>
      <c r="HD129" s="1102">
        <f t="shared" si="274"/>
        <v>3933568.0950016412</v>
      </c>
      <c r="HE129" s="1101">
        <f t="shared" si="275"/>
        <v>30496.911572391367</v>
      </c>
      <c r="HF129" s="1101">
        <f t="shared" si="276"/>
        <v>35356.022091106002</v>
      </c>
      <c r="HG129" s="1101">
        <f t="shared" si="277"/>
        <v>45672.060941354066</v>
      </c>
      <c r="HH129" s="1101">
        <f t="shared" si="278"/>
        <v>77889.362821111994</v>
      </c>
      <c r="HI129" s="497"/>
      <c r="HJ129" s="1102">
        <f t="shared" si="279"/>
        <v>-7260.6520735869435</v>
      </c>
      <c r="HL129" s="775"/>
      <c r="HN129" s="775"/>
      <c r="HO129" s="775"/>
      <c r="HQ129" s="702"/>
      <c r="HR129" s="1171"/>
      <c r="HS129" s="702"/>
      <c r="HT129" s="1171"/>
    </row>
    <row r="130" spans="1:228" ht="14.25" hidden="1" customHeight="1">
      <c r="A130" s="753">
        <f t="shared" si="280"/>
        <v>124</v>
      </c>
      <c r="B130" s="753"/>
      <c r="C130" s="753">
        <f t="shared" si="292"/>
        <v>31</v>
      </c>
      <c r="D130" s="753" t="s">
        <v>265</v>
      </c>
      <c r="E130" s="717" t="str">
        <f t="shared" si="200"/>
        <v>6th Floor</v>
      </c>
      <c r="F130" s="754"/>
      <c r="G130" s="756" t="s">
        <v>510</v>
      </c>
      <c r="H130" s="756"/>
      <c r="I130" s="755" t="s">
        <v>229</v>
      </c>
      <c r="J130" s="757">
        <v>22</v>
      </c>
      <c r="K130" s="758"/>
      <c r="L130" s="759" t="s">
        <v>277</v>
      </c>
      <c r="M130" s="760" t="s">
        <v>278</v>
      </c>
      <c r="N130" s="761">
        <f t="shared" si="201"/>
        <v>106005.26567735759</v>
      </c>
      <c r="O130" s="762">
        <f t="shared" si="202"/>
        <v>2332115.8449018667</v>
      </c>
      <c r="P130" s="762">
        <f t="shared" si="203"/>
        <v>22400</v>
      </c>
      <c r="Q130" s="762">
        <f t="shared" si="175"/>
        <v>50000</v>
      </c>
      <c r="R130" s="762"/>
      <c r="S130" s="762"/>
      <c r="T130" s="762"/>
      <c r="U130" s="762"/>
      <c r="V130" s="762"/>
      <c r="W130" s="762">
        <f>J130*$W$5</f>
        <v>22000</v>
      </c>
      <c r="X130" s="762"/>
      <c r="Y130" s="762">
        <f t="shared" si="293"/>
        <v>40000</v>
      </c>
      <c r="Z130" s="762">
        <f t="shared" si="177"/>
        <v>142461</v>
      </c>
      <c r="AA130" s="762"/>
      <c r="AB130" s="762"/>
      <c r="AC130" s="762"/>
      <c r="AD130" s="763">
        <f t="shared" si="204"/>
        <v>276861</v>
      </c>
      <c r="AE130" s="763">
        <f t="shared" si="178"/>
        <v>2608976.8449018667</v>
      </c>
      <c r="AF130" s="762">
        <f t="shared" si="179"/>
        <v>65224.421122546672</v>
      </c>
      <c r="AG130" s="762">
        <f t="shared" si="205"/>
        <v>2674201.2660244135</v>
      </c>
      <c r="AH130" s="762">
        <f t="shared" si="180"/>
        <v>66855.031650610341</v>
      </c>
      <c r="AI130" s="762">
        <f t="shared" si="206"/>
        <v>2741056.2976750238</v>
      </c>
      <c r="AJ130" s="762">
        <f t="shared" si="207"/>
        <v>137052.81488375118</v>
      </c>
      <c r="AK130" s="762">
        <f t="shared" si="208"/>
        <v>2878109.1125587751</v>
      </c>
      <c r="AL130" s="762">
        <f t="shared" si="209"/>
        <v>28781.091125587751</v>
      </c>
      <c r="AM130" s="762">
        <f t="shared" si="210"/>
        <v>27537.409960060559</v>
      </c>
      <c r="AN130" s="762"/>
      <c r="AO130" s="763">
        <f t="shared" si="211"/>
        <v>2934427.6136444234</v>
      </c>
      <c r="AP130" s="763">
        <f t="shared" si="212"/>
        <v>484180.55625132989</v>
      </c>
      <c r="AQ130" s="763">
        <f t="shared" si="213"/>
        <v>3418608.1698957533</v>
      </c>
      <c r="AR130" s="1178">
        <f t="shared" si="181"/>
        <v>3000000</v>
      </c>
      <c r="AS130" s="1178">
        <f t="shared" si="214"/>
        <v>19027.644086170603</v>
      </c>
      <c r="AT130" s="1178">
        <f t="shared" si="215"/>
        <v>418608.16989575326</v>
      </c>
      <c r="AU130" s="1178">
        <f t="shared" si="182"/>
        <v>50232.980387490388</v>
      </c>
      <c r="AV130" s="1178">
        <f t="shared" si="216"/>
        <v>468841.15028324362</v>
      </c>
      <c r="AW130" s="1178">
        <f t="shared" si="217"/>
        <v>3468841.1502832435</v>
      </c>
      <c r="AX130" s="762">
        <f t="shared" si="218"/>
        <v>43360.514378540545</v>
      </c>
      <c r="AY130" s="717" t="s">
        <v>231</v>
      </c>
      <c r="AZ130" s="717">
        <f t="shared" si="219"/>
        <v>3512201.6646617842</v>
      </c>
      <c r="BA130" s="717">
        <f t="shared" si="220"/>
        <v>131707.56242481689</v>
      </c>
      <c r="BB130" s="717"/>
      <c r="BC130" s="717">
        <f t="shared" si="183"/>
        <v>33600</v>
      </c>
      <c r="BD130" s="717">
        <f t="shared" si="221"/>
        <v>3677509.2270866008</v>
      </c>
      <c r="BE130" s="717"/>
      <c r="BF130" s="717">
        <f t="shared" si="222"/>
        <v>3677509.2270866008</v>
      </c>
      <c r="BG130" s="1209"/>
      <c r="BH130" s="717">
        <f t="shared" si="223"/>
        <v>3677509.2270866008</v>
      </c>
      <c r="BI130" s="717"/>
      <c r="BJ130" s="717">
        <f t="shared" si="224"/>
        <v>3677509.2270866008</v>
      </c>
      <c r="BK130" s="717"/>
      <c r="BL130" s="717">
        <f t="shared" si="225"/>
        <v>3677509.2270866008</v>
      </c>
      <c r="BM130" s="717"/>
      <c r="BN130" s="717">
        <f t="shared" si="226"/>
        <v>3677509.2270866008</v>
      </c>
      <c r="BO130" s="717"/>
      <c r="BP130" s="717">
        <f t="shared" si="184"/>
        <v>3677509.2270866008</v>
      </c>
      <c r="BQ130" s="717"/>
      <c r="BR130" s="717">
        <f t="shared" si="285"/>
        <v>3677509.2270866008</v>
      </c>
      <c r="BS130" s="717"/>
      <c r="BT130" s="717">
        <f t="shared" si="227"/>
        <v>3677509.2270866008</v>
      </c>
      <c r="BU130" s="717"/>
      <c r="BV130" s="1235">
        <f t="shared" si="286"/>
        <v>51400</v>
      </c>
      <c r="BW130" s="717">
        <f t="shared" si="228"/>
        <v>3728909.2270866008</v>
      </c>
      <c r="BX130" s="717"/>
      <c r="BY130" s="717">
        <f t="shared" si="229"/>
        <v>3728909.2270866008</v>
      </c>
      <c r="BZ130" s="1194">
        <f t="shared" si="230"/>
        <v>3728909.2270866008</v>
      </c>
      <c r="CA130" s="1194">
        <f t="shared" si="231"/>
        <v>3035909.2270866008</v>
      </c>
      <c r="CB130" s="1194">
        <v>31500</v>
      </c>
      <c r="CC130" s="1194">
        <f t="shared" si="232"/>
        <v>693000</v>
      </c>
      <c r="CD130" s="1194">
        <f t="shared" si="233"/>
        <v>83160</v>
      </c>
      <c r="CE130" s="1194">
        <f t="shared" si="234"/>
        <v>776160</v>
      </c>
      <c r="CF130" s="1200">
        <f t="shared" si="235"/>
        <v>3812069.2270866008</v>
      </c>
      <c r="CG130" s="757">
        <f t="shared" si="236"/>
        <v>3812069.2270866008</v>
      </c>
      <c r="CH130" s="758">
        <f t="shared" si="237"/>
        <v>0</v>
      </c>
      <c r="CI130" s="757">
        <f t="shared" si="185"/>
        <v>390737.09577637655</v>
      </c>
      <c r="CJ130" s="757">
        <f t="shared" si="186"/>
        <v>95301.730677165033</v>
      </c>
      <c r="CK130" s="759">
        <f t="shared" si="291"/>
        <v>4298108.0535401423</v>
      </c>
      <c r="CL130" s="764">
        <f t="shared" si="238"/>
        <v>0.125</v>
      </c>
      <c r="CM130" s="757">
        <f t="shared" si="239"/>
        <v>537263.50669251778</v>
      </c>
      <c r="CN130" s="757">
        <f t="shared" si="281"/>
        <v>30000</v>
      </c>
      <c r="CO130" s="757">
        <f t="shared" si="240"/>
        <v>507263.50669251778</v>
      </c>
      <c r="CP130" s="755">
        <f t="shared" si="241"/>
        <v>29</v>
      </c>
      <c r="CQ130" s="757">
        <f t="shared" si="283"/>
        <v>17491.845058362684</v>
      </c>
      <c r="CR130" s="764">
        <f t="shared" si="242"/>
        <v>0.875</v>
      </c>
      <c r="CS130" s="757">
        <f t="shared" si="243"/>
        <v>3760844.5468476247</v>
      </c>
      <c r="CT130" s="1101">
        <f t="shared" si="244"/>
        <v>29157.787741990123</v>
      </c>
      <c r="CU130" s="1101">
        <f t="shared" si="245"/>
        <v>33803.534009878298</v>
      </c>
      <c r="CV130" s="1101">
        <f t="shared" si="246"/>
        <v>43666.594091213301</v>
      </c>
      <c r="CW130" s="1141">
        <f t="shared" si="187"/>
        <v>74469.229551520693</v>
      </c>
      <c r="CX130" s="1152">
        <f t="shared" si="247"/>
        <v>305505.35643855104</v>
      </c>
      <c r="CY130" s="1152">
        <f t="shared" si="248"/>
        <v>120886.98134070124</v>
      </c>
      <c r="CZ130" s="1152">
        <f t="shared" si="249"/>
        <v>87314.954476546962</v>
      </c>
      <c r="DA130" s="1152">
        <f t="shared" si="250"/>
        <v>66450.700129543693</v>
      </c>
      <c r="DB130" s="1143">
        <f t="shared" si="188"/>
        <v>0.13953605663191776</v>
      </c>
      <c r="DC130" s="1143">
        <f t="shared" si="251"/>
        <v>0.25565981784799247</v>
      </c>
      <c r="DD130" s="1098" t="s">
        <v>232</v>
      </c>
      <c r="DE130" s="1144"/>
      <c r="DF130" s="705"/>
      <c r="DG130" s="765">
        <f t="shared" si="282"/>
        <v>46082</v>
      </c>
      <c r="DH130" s="1116">
        <f t="shared" si="189"/>
        <v>28</v>
      </c>
      <c r="DI130" s="497"/>
      <c r="DJ130" s="1117">
        <f t="shared" si="252"/>
        <v>46147</v>
      </c>
      <c r="DK130" s="1116">
        <f t="shared" si="253"/>
        <v>30</v>
      </c>
      <c r="DL130" s="766" t="s">
        <v>233</v>
      </c>
      <c r="DM130" s="766" t="s">
        <v>234</v>
      </c>
      <c r="DN130" s="767">
        <f t="shared" si="190"/>
        <v>21310.961376511073</v>
      </c>
      <c r="DO130" s="767">
        <f t="shared" si="191"/>
        <v>468841.15028324362</v>
      </c>
      <c r="DP130" s="768">
        <f t="shared" si="192"/>
        <v>0.15628038342774789</v>
      </c>
      <c r="DR130" s="767">
        <f t="shared" si="193"/>
        <v>3812069.2270866008</v>
      </c>
      <c r="DS130" s="767">
        <f>SUM('[6]INTERNAL PRICELIST'!M130)</f>
        <v>2329361</v>
      </c>
      <c r="DT130" s="767">
        <f t="shared" si="254"/>
        <v>1482708.2270866008</v>
      </c>
      <c r="DV130" s="951">
        <f t="shared" si="194"/>
        <v>173275.87395848185</v>
      </c>
      <c r="DX130" s="772">
        <v>17</v>
      </c>
      <c r="DY130" s="773" t="s">
        <v>305</v>
      </c>
      <c r="DZ130" s="774">
        <v>22</v>
      </c>
      <c r="EA130" s="775">
        <f t="shared" si="294"/>
        <v>0</v>
      </c>
      <c r="ED130" s="1133" t="s">
        <v>510</v>
      </c>
      <c r="EE130" s="777" t="b">
        <f t="shared" si="196"/>
        <v>1</v>
      </c>
      <c r="EF130" s="777"/>
      <c r="EG130" s="777"/>
      <c r="EH130" s="1203"/>
      <c r="EP130" s="1230" t="s">
        <v>236</v>
      </c>
      <c r="EQ130" s="1145" t="s">
        <v>236</v>
      </c>
      <c r="ER130" s="753" t="b">
        <f t="shared" si="255"/>
        <v>1</v>
      </c>
      <c r="EU130" s="770">
        <v>3060231.7824007287</v>
      </c>
      <c r="EV130" s="771" t="s">
        <v>258</v>
      </c>
      <c r="EW130" s="775">
        <f>EU130-CG130</f>
        <v>-751837.44468587218</v>
      </c>
      <c r="EY130" s="775">
        <v>3027488.5686052986</v>
      </c>
      <c r="FG130" s="1107"/>
      <c r="FJ130" s="994">
        <v>0.125</v>
      </c>
      <c r="FK130" s="993">
        <v>10904.58944246769</v>
      </c>
      <c r="FL130" s="993">
        <v>11199.308076047899</v>
      </c>
      <c r="FM130" s="497"/>
      <c r="FN130" s="993">
        <f t="shared" si="197"/>
        <v>4298108.0535401423</v>
      </c>
      <c r="FO130" s="994">
        <f t="shared" si="256"/>
        <v>0.15</v>
      </c>
      <c r="FP130" s="775">
        <f t="shared" si="198"/>
        <v>644716.20803102129</v>
      </c>
      <c r="FQ130" s="993">
        <f t="shared" si="199"/>
        <v>30000</v>
      </c>
      <c r="FR130" s="775">
        <f t="shared" si="257"/>
        <v>614716.20803102129</v>
      </c>
      <c r="FS130" s="497">
        <f t="shared" si="258"/>
        <v>40</v>
      </c>
      <c r="FT130" s="775">
        <f t="shared" si="259"/>
        <v>15367.905200775533</v>
      </c>
      <c r="FU130" s="497"/>
      <c r="FV130" s="993">
        <f t="shared" si="260"/>
        <v>4298108.0535401423</v>
      </c>
      <c r="FW130" s="705">
        <f t="shared" si="261"/>
        <v>429810.80535401427</v>
      </c>
      <c r="FX130" s="705">
        <f t="shared" si="262"/>
        <v>107452.70133850357</v>
      </c>
      <c r="FY130" s="705">
        <v>15000</v>
      </c>
      <c r="FZ130" s="705">
        <f t="shared" si="263"/>
        <v>414810.80535401427</v>
      </c>
      <c r="GA130" s="497">
        <f t="shared" si="264"/>
        <v>46</v>
      </c>
      <c r="GB130" s="775">
        <f t="shared" si="265"/>
        <v>9017.6262033481362</v>
      </c>
      <c r="GC130" s="497"/>
      <c r="GD130" s="497"/>
      <c r="GE130" s="1107"/>
      <c r="GH130" s="1095">
        <f t="shared" si="161"/>
        <v>4298108.0535401423</v>
      </c>
      <c r="GI130" s="1098">
        <f t="shared" si="162"/>
        <v>0.125</v>
      </c>
      <c r="GJ130" s="1095">
        <f t="shared" si="163"/>
        <v>537263.50669251778</v>
      </c>
      <c r="GK130" s="1095">
        <f t="shared" si="164"/>
        <v>30000</v>
      </c>
      <c r="GL130" s="1095">
        <f t="shared" si="165"/>
        <v>507263.50669251778</v>
      </c>
      <c r="GM130" s="1095">
        <f t="shared" si="166"/>
        <v>29</v>
      </c>
      <c r="GN130" s="1095">
        <f t="shared" si="167"/>
        <v>17491.845058362684</v>
      </c>
      <c r="GO130" s="1098">
        <f t="shared" si="168"/>
        <v>0.875</v>
      </c>
      <c r="GP130" s="1095">
        <f t="shared" si="169"/>
        <v>3760844.5468476247</v>
      </c>
      <c r="GQ130" s="1095">
        <f t="shared" si="170"/>
        <v>29157.787741990123</v>
      </c>
      <c r="GR130" s="1095">
        <f t="shared" si="171"/>
        <v>33803.534009878298</v>
      </c>
      <c r="GS130" s="1095">
        <f t="shared" si="172"/>
        <v>43666.594091213301</v>
      </c>
      <c r="GT130" s="1095">
        <f t="shared" si="173"/>
        <v>74469.229551520693</v>
      </c>
      <c r="GU130" s="497"/>
      <c r="GV130" s="1095">
        <f t="shared" si="266"/>
        <v>4298108.0535401423</v>
      </c>
      <c r="GW130" s="1098">
        <f t="shared" si="267"/>
        <v>0.125</v>
      </c>
      <c r="GX130" s="1095">
        <f t="shared" si="268"/>
        <v>537263.50669251778</v>
      </c>
      <c r="GY130" s="1095">
        <f t="shared" si="269"/>
        <v>30000</v>
      </c>
      <c r="GZ130" s="1095">
        <f t="shared" si="270"/>
        <v>507263.50669251778</v>
      </c>
      <c r="HA130" s="1106">
        <f t="shared" si="271"/>
        <v>48</v>
      </c>
      <c r="HB130" s="770">
        <f t="shared" si="272"/>
        <v>10567.989722760787</v>
      </c>
      <c r="HC130" s="1098">
        <f t="shared" si="273"/>
        <v>0.875</v>
      </c>
      <c r="HD130" s="1102">
        <f t="shared" si="274"/>
        <v>3760844.5468476247</v>
      </c>
      <c r="HE130" s="1101">
        <f t="shared" si="275"/>
        <v>29157.787741990123</v>
      </c>
      <c r="HF130" s="1101">
        <f t="shared" si="276"/>
        <v>33803.534009878298</v>
      </c>
      <c r="HG130" s="1101">
        <f t="shared" si="277"/>
        <v>43666.594091213301</v>
      </c>
      <c r="HH130" s="1101">
        <f t="shared" si="278"/>
        <v>74469.229551520693</v>
      </c>
      <c r="HI130" s="497"/>
      <c r="HJ130" s="1102">
        <f t="shared" si="279"/>
        <v>-6923.8553356018965</v>
      </c>
      <c r="HL130" s="775"/>
      <c r="HN130" s="775"/>
      <c r="HO130" s="775"/>
      <c r="HQ130" s="702"/>
      <c r="HR130" s="1171"/>
      <c r="HS130" s="702"/>
      <c r="HT130" s="1171"/>
    </row>
    <row r="131" spans="1:228" ht="14.25" hidden="1" customHeight="1">
      <c r="A131" s="753">
        <f t="shared" si="280"/>
        <v>125</v>
      </c>
      <c r="B131" s="753"/>
      <c r="C131" s="753">
        <v>1</v>
      </c>
      <c r="D131" s="753" t="s">
        <v>269</v>
      </c>
      <c r="E131" s="717" t="str">
        <f t="shared" si="200"/>
        <v>7th Floor</v>
      </c>
      <c r="F131" s="754"/>
      <c r="G131" s="756" t="s">
        <v>511</v>
      </c>
      <c r="H131" s="756"/>
      <c r="I131" s="755" t="s">
        <v>229</v>
      </c>
      <c r="J131" s="757">
        <v>22</v>
      </c>
      <c r="K131" s="758"/>
      <c r="L131" s="759" t="s">
        <v>69</v>
      </c>
      <c r="M131" s="760" t="s">
        <v>230</v>
      </c>
      <c r="N131" s="761">
        <f t="shared" si="201"/>
        <v>106005.26567735759</v>
      </c>
      <c r="O131" s="762">
        <f t="shared" si="202"/>
        <v>2332115.8449018667</v>
      </c>
      <c r="P131" s="762">
        <f t="shared" si="203"/>
        <v>22400</v>
      </c>
      <c r="Q131" s="762">
        <f t="shared" si="175"/>
        <v>50000</v>
      </c>
      <c r="R131" s="762"/>
      <c r="S131" s="762"/>
      <c r="T131" s="762"/>
      <c r="U131" s="762"/>
      <c r="V131" s="762">
        <f>J131*$V$5</f>
        <v>55000</v>
      </c>
      <c r="W131" s="762"/>
      <c r="X131" s="762"/>
      <c r="Y131" s="762">
        <f>Y130+Y5</f>
        <v>60000</v>
      </c>
      <c r="Z131" s="762">
        <f t="shared" si="177"/>
        <v>142461</v>
      </c>
      <c r="AA131" s="762"/>
      <c r="AB131" s="762"/>
      <c r="AC131" s="762"/>
      <c r="AD131" s="763">
        <f t="shared" si="204"/>
        <v>329861</v>
      </c>
      <c r="AE131" s="763">
        <f t="shared" si="178"/>
        <v>2661976.8449018667</v>
      </c>
      <c r="AF131" s="762">
        <f t="shared" si="179"/>
        <v>66549.421122546672</v>
      </c>
      <c r="AG131" s="762">
        <f t="shared" si="205"/>
        <v>2728526.2660244135</v>
      </c>
      <c r="AH131" s="762">
        <f t="shared" si="180"/>
        <v>68213.156650610341</v>
      </c>
      <c r="AI131" s="762">
        <f t="shared" si="206"/>
        <v>2796739.4226750238</v>
      </c>
      <c r="AJ131" s="762">
        <f t="shared" si="207"/>
        <v>139836.97113375118</v>
      </c>
      <c r="AK131" s="762">
        <f t="shared" si="208"/>
        <v>2936576.3938087751</v>
      </c>
      <c r="AL131" s="762">
        <f t="shared" si="209"/>
        <v>29365.763938087752</v>
      </c>
      <c r="AM131" s="762">
        <f t="shared" si="210"/>
        <v>27537.409960060559</v>
      </c>
      <c r="AN131" s="762"/>
      <c r="AO131" s="763">
        <f t="shared" si="211"/>
        <v>2993479.5677069235</v>
      </c>
      <c r="AP131" s="763">
        <f t="shared" si="212"/>
        <v>493924.12867164239</v>
      </c>
      <c r="AQ131" s="763">
        <f t="shared" si="213"/>
        <v>3487403.6963785659</v>
      </c>
      <c r="AR131" s="1178">
        <f t="shared" si="181"/>
        <v>3000000</v>
      </c>
      <c r="AS131" s="1178">
        <f t="shared" si="214"/>
        <v>22154.713471752995</v>
      </c>
      <c r="AT131" s="1178">
        <f t="shared" si="215"/>
        <v>487403.69637856586</v>
      </c>
      <c r="AU131" s="1178">
        <f t="shared" si="182"/>
        <v>58488.4435654279</v>
      </c>
      <c r="AV131" s="1178">
        <f t="shared" si="216"/>
        <v>545892.13994399377</v>
      </c>
      <c r="AW131" s="1178">
        <f t="shared" si="217"/>
        <v>3545892.1399439937</v>
      </c>
      <c r="AX131" s="762">
        <f t="shared" si="218"/>
        <v>44323.651749299926</v>
      </c>
      <c r="AY131" s="717" t="s">
        <v>231</v>
      </c>
      <c r="AZ131" s="717">
        <f t="shared" si="219"/>
        <v>3590215.7916932935</v>
      </c>
      <c r="BA131" s="717">
        <f t="shared" si="220"/>
        <v>134633.0921884985</v>
      </c>
      <c r="BB131" s="717"/>
      <c r="BC131" s="717">
        <f t="shared" si="183"/>
        <v>33600</v>
      </c>
      <c r="BD131" s="717">
        <f t="shared" si="221"/>
        <v>3758448.883881792</v>
      </c>
      <c r="BE131" s="717"/>
      <c r="BF131" s="717">
        <f t="shared" si="222"/>
        <v>3758448.883881792</v>
      </c>
      <c r="BG131" s="1209"/>
      <c r="BH131" s="717">
        <f t="shared" si="223"/>
        <v>3758448.883881792</v>
      </c>
      <c r="BI131" s="717"/>
      <c r="BJ131" s="717">
        <f t="shared" si="224"/>
        <v>3758448.883881792</v>
      </c>
      <c r="BK131" s="717"/>
      <c r="BL131" s="717">
        <f t="shared" si="225"/>
        <v>3758448.883881792</v>
      </c>
      <c r="BM131" s="717"/>
      <c r="BN131" s="717">
        <f t="shared" si="226"/>
        <v>3758448.883881792</v>
      </c>
      <c r="BO131" s="717"/>
      <c r="BP131" s="717">
        <f t="shared" si="184"/>
        <v>3758448.883881792</v>
      </c>
      <c r="BQ131" s="717"/>
      <c r="BR131" s="717">
        <f t="shared" si="285"/>
        <v>3758448.883881792</v>
      </c>
      <c r="BS131" s="717"/>
      <c r="BT131" s="717">
        <f t="shared" si="227"/>
        <v>3758448.883881792</v>
      </c>
      <c r="BU131" s="717"/>
      <c r="BV131" s="1235">
        <f t="shared" si="286"/>
        <v>51400</v>
      </c>
      <c r="BW131" s="717">
        <f t="shared" si="228"/>
        <v>3809848.883881792</v>
      </c>
      <c r="BX131" s="717"/>
      <c r="BY131" s="717">
        <f t="shared" si="229"/>
        <v>3809848.883881792</v>
      </c>
      <c r="BZ131" s="1194">
        <f t="shared" si="230"/>
        <v>3809848.883881792</v>
      </c>
      <c r="CA131" s="1194">
        <f t="shared" si="231"/>
        <v>3039848.883881792</v>
      </c>
      <c r="CB131" s="1194">
        <v>35000</v>
      </c>
      <c r="CC131" s="1194">
        <f t="shared" si="232"/>
        <v>770000</v>
      </c>
      <c r="CD131" s="1194">
        <f t="shared" si="233"/>
        <v>92400</v>
      </c>
      <c r="CE131" s="1194">
        <f t="shared" si="234"/>
        <v>862400</v>
      </c>
      <c r="CF131" s="1200">
        <f t="shared" si="235"/>
        <v>3902248.883881792</v>
      </c>
      <c r="CG131" s="757">
        <f t="shared" si="236"/>
        <v>3902248.883881792</v>
      </c>
      <c r="CH131" s="758">
        <f t="shared" si="237"/>
        <v>0</v>
      </c>
      <c r="CI131" s="757">
        <f t="shared" si="185"/>
        <v>399980.51059788367</v>
      </c>
      <c r="CJ131" s="757">
        <f t="shared" si="186"/>
        <v>97556.222097044811</v>
      </c>
      <c r="CK131" s="759">
        <f t="shared" si="291"/>
        <v>4399785.61657672</v>
      </c>
      <c r="CL131" s="764">
        <f t="shared" si="238"/>
        <v>0.125</v>
      </c>
      <c r="CM131" s="757">
        <f t="shared" si="239"/>
        <v>549973.20207209</v>
      </c>
      <c r="CN131" s="757">
        <f t="shared" si="281"/>
        <v>30000</v>
      </c>
      <c r="CO131" s="757">
        <f t="shared" si="240"/>
        <v>519973.20207209</v>
      </c>
      <c r="CP131" s="755">
        <f t="shared" si="241"/>
        <v>29</v>
      </c>
      <c r="CQ131" s="757">
        <f t="shared" si="283"/>
        <v>17930.110416278967</v>
      </c>
      <c r="CR131" s="764">
        <f t="shared" si="242"/>
        <v>0.875</v>
      </c>
      <c r="CS131" s="757">
        <f t="shared" si="243"/>
        <v>3849812.41450463</v>
      </c>
      <c r="CT131" s="1101">
        <f t="shared" si="244"/>
        <v>29847.554672977694</v>
      </c>
      <c r="CU131" s="1101">
        <f t="shared" si="245"/>
        <v>34603.202356354035</v>
      </c>
      <c r="CV131" s="1101">
        <f t="shared" si="246"/>
        <v>44699.586472511175</v>
      </c>
      <c r="CW131" s="1141">
        <f t="shared" si="187"/>
        <v>76230.899962708601</v>
      </c>
      <c r="CX131" s="1152">
        <f t="shared" si="247"/>
        <v>312732.49911396793</v>
      </c>
      <c r="CY131" s="1152">
        <f t="shared" si="248"/>
        <v>123746.72649193047</v>
      </c>
      <c r="CZ131" s="1152">
        <f t="shared" si="249"/>
        <v>89380.507896152747</v>
      </c>
      <c r="DA131" s="1152">
        <f t="shared" si="250"/>
        <v>68022.681375031767</v>
      </c>
      <c r="DB131" s="1143">
        <f t="shared" si="188"/>
        <v>0.16246789879285528</v>
      </c>
      <c r="DC131" s="1143">
        <f t="shared" si="251"/>
        <v>0.28369831295651188</v>
      </c>
      <c r="DD131" s="1098" t="s">
        <v>232</v>
      </c>
      <c r="DE131" s="1144"/>
      <c r="DF131" s="705"/>
      <c r="DG131" s="765">
        <f t="shared" si="282"/>
        <v>46082</v>
      </c>
      <c r="DH131" s="1116">
        <f t="shared" si="189"/>
        <v>28</v>
      </c>
      <c r="DI131" s="497"/>
      <c r="DJ131" s="1117">
        <f t="shared" si="252"/>
        <v>46147</v>
      </c>
      <c r="DK131" s="1116">
        <f t="shared" si="253"/>
        <v>30</v>
      </c>
      <c r="DL131" s="766" t="s">
        <v>233</v>
      </c>
      <c r="DM131" s="766" t="s">
        <v>234</v>
      </c>
      <c r="DN131" s="767">
        <f t="shared" si="190"/>
        <v>24813.279088363353</v>
      </c>
      <c r="DO131" s="767">
        <f t="shared" si="191"/>
        <v>545892.13994399377</v>
      </c>
      <c r="DP131" s="768">
        <f t="shared" si="192"/>
        <v>0.18196404664799792</v>
      </c>
      <c r="DR131" s="767">
        <f t="shared" si="193"/>
        <v>3902248.883881792</v>
      </c>
      <c r="DS131" s="767">
        <f>SUM('[6]INTERNAL PRICELIST'!M131)</f>
        <v>2331316</v>
      </c>
      <c r="DT131" s="767">
        <f t="shared" si="254"/>
        <v>1570932.883881792</v>
      </c>
      <c r="DV131" s="951">
        <f t="shared" si="194"/>
        <v>177374.94926735418</v>
      </c>
      <c r="DX131" s="772">
        <v>18</v>
      </c>
      <c r="DY131" s="773" t="s">
        <v>342</v>
      </c>
      <c r="DZ131" s="772">
        <v>22.34</v>
      </c>
      <c r="EA131" s="775">
        <f t="shared" si="294"/>
        <v>0.33999999999999986</v>
      </c>
      <c r="ED131" s="1133" t="s">
        <v>511</v>
      </c>
      <c r="EE131" s="777" t="b">
        <f t="shared" si="196"/>
        <v>1</v>
      </c>
      <c r="EF131" s="777"/>
      <c r="EG131" s="777"/>
      <c r="EH131" s="1203"/>
      <c r="EP131" s="1230" t="s">
        <v>236</v>
      </c>
      <c r="EQ131" s="1145" t="s">
        <v>236</v>
      </c>
      <c r="ER131" s="753" t="b">
        <f t="shared" si="255"/>
        <v>1</v>
      </c>
      <c r="EU131" s="770">
        <v>3184920.9478750587</v>
      </c>
      <c r="EV131" s="771" t="s">
        <v>258</v>
      </c>
      <c r="EW131" s="775">
        <f>EU131-CG131</f>
        <v>-717327.93600673322</v>
      </c>
      <c r="FG131" s="1107"/>
      <c r="FJ131" s="994">
        <v>0.15</v>
      </c>
      <c r="FK131" s="993">
        <v>13711.91816192946</v>
      </c>
      <c r="FL131" s="993">
        <v>14082.51054468431</v>
      </c>
      <c r="FM131" s="497"/>
      <c r="FN131" s="993">
        <f t="shared" si="197"/>
        <v>4399785.61657672</v>
      </c>
      <c r="FO131" s="994">
        <f t="shared" si="256"/>
        <v>0.15</v>
      </c>
      <c r="FP131" s="775">
        <f t="shared" si="198"/>
        <v>659967.84248650796</v>
      </c>
      <c r="FQ131" s="993">
        <f t="shared" si="199"/>
        <v>30000</v>
      </c>
      <c r="FR131" s="775">
        <f t="shared" si="257"/>
        <v>629967.84248650796</v>
      </c>
      <c r="FS131" s="497">
        <f t="shared" si="258"/>
        <v>40</v>
      </c>
      <c r="FT131" s="775">
        <f t="shared" si="259"/>
        <v>15749.196062162699</v>
      </c>
      <c r="FU131" s="497"/>
      <c r="FV131" s="993">
        <f t="shared" si="260"/>
        <v>4399785.61657672</v>
      </c>
      <c r="FW131" s="705">
        <f t="shared" si="261"/>
        <v>439978.56165767205</v>
      </c>
      <c r="FX131" s="705">
        <f t="shared" si="262"/>
        <v>109994.64041441801</v>
      </c>
      <c r="FY131" s="705">
        <v>15000</v>
      </c>
      <c r="FZ131" s="705">
        <f t="shared" si="263"/>
        <v>424978.56165767205</v>
      </c>
      <c r="GA131" s="497">
        <f t="shared" si="264"/>
        <v>46</v>
      </c>
      <c r="GB131" s="775">
        <f t="shared" si="265"/>
        <v>9238.664383862435</v>
      </c>
      <c r="GC131" s="497"/>
      <c r="GD131" s="497"/>
      <c r="GE131" s="1107"/>
      <c r="GH131" s="1095">
        <f t="shared" si="161"/>
        <v>4399785.61657672</v>
      </c>
      <c r="GI131" s="1098">
        <f t="shared" si="162"/>
        <v>0.125</v>
      </c>
      <c r="GJ131" s="1095">
        <f t="shared" si="163"/>
        <v>549973.20207209</v>
      </c>
      <c r="GK131" s="1095">
        <f t="shared" si="164"/>
        <v>30000</v>
      </c>
      <c r="GL131" s="1095">
        <f t="shared" si="165"/>
        <v>519973.20207209</v>
      </c>
      <c r="GM131" s="1095">
        <f t="shared" si="166"/>
        <v>29</v>
      </c>
      <c r="GN131" s="1095">
        <f t="shared" si="167"/>
        <v>17930.110416278967</v>
      </c>
      <c r="GO131" s="1098">
        <f t="shared" si="168"/>
        <v>0.875</v>
      </c>
      <c r="GP131" s="1095">
        <f t="shared" si="169"/>
        <v>3849812.41450463</v>
      </c>
      <c r="GQ131" s="1095">
        <f t="shared" si="170"/>
        <v>29847.554672977694</v>
      </c>
      <c r="GR131" s="1095">
        <f t="shared" si="171"/>
        <v>34603.202356354035</v>
      </c>
      <c r="GS131" s="1095">
        <f t="shared" si="172"/>
        <v>44699.586472511175</v>
      </c>
      <c r="GT131" s="1095">
        <f t="shared" si="173"/>
        <v>76230.899962708601</v>
      </c>
      <c r="GU131" s="497"/>
      <c r="GV131" s="1095">
        <f t="shared" si="266"/>
        <v>4399785.61657672</v>
      </c>
      <c r="GW131" s="1098">
        <f t="shared" si="267"/>
        <v>0.125</v>
      </c>
      <c r="GX131" s="1095">
        <f t="shared" si="268"/>
        <v>549973.20207209</v>
      </c>
      <c r="GY131" s="1095">
        <f t="shared" si="269"/>
        <v>30000</v>
      </c>
      <c r="GZ131" s="1095">
        <f t="shared" si="270"/>
        <v>519973.20207209</v>
      </c>
      <c r="HA131" s="1106">
        <f t="shared" si="271"/>
        <v>48</v>
      </c>
      <c r="HB131" s="770">
        <f t="shared" si="272"/>
        <v>10832.775043168542</v>
      </c>
      <c r="HC131" s="1098">
        <f t="shared" si="273"/>
        <v>0.875</v>
      </c>
      <c r="HD131" s="1102">
        <f t="shared" si="274"/>
        <v>3849812.41450463</v>
      </c>
      <c r="HE131" s="1101">
        <f t="shared" si="275"/>
        <v>29847.554672977694</v>
      </c>
      <c r="HF131" s="1101">
        <f t="shared" si="276"/>
        <v>34603.202356354035</v>
      </c>
      <c r="HG131" s="1101">
        <f t="shared" si="277"/>
        <v>44699.586472511175</v>
      </c>
      <c r="HH131" s="1101">
        <f t="shared" si="278"/>
        <v>76230.899962708601</v>
      </c>
      <c r="HI131" s="497"/>
      <c r="HJ131" s="1102">
        <f t="shared" si="279"/>
        <v>-7097.3353731104253</v>
      </c>
      <c r="HL131" s="775"/>
      <c r="HN131" s="775"/>
      <c r="HO131" s="775"/>
      <c r="HQ131" s="702"/>
      <c r="HR131" s="1171"/>
      <c r="HS131" s="702"/>
      <c r="HT131" s="1171"/>
    </row>
    <row r="132" spans="1:228" ht="14.25" hidden="1" customHeight="1">
      <c r="A132" s="753">
        <f t="shared" si="280"/>
        <v>126</v>
      </c>
      <c r="B132" s="753"/>
      <c r="C132" s="753">
        <f>C131+1</f>
        <v>2</v>
      </c>
      <c r="D132" s="753" t="s">
        <v>269</v>
      </c>
      <c r="E132" s="717" t="str">
        <f t="shared" si="200"/>
        <v>7th Floor</v>
      </c>
      <c r="F132" s="754"/>
      <c r="G132" s="756" t="s">
        <v>512</v>
      </c>
      <c r="H132" s="756"/>
      <c r="I132" s="755" t="s">
        <v>229</v>
      </c>
      <c r="J132" s="757">
        <v>22</v>
      </c>
      <c r="K132" s="758"/>
      <c r="L132" s="759" t="s">
        <v>69</v>
      </c>
      <c r="M132" s="760" t="s">
        <v>68</v>
      </c>
      <c r="N132" s="761">
        <f t="shared" si="201"/>
        <v>106005.26567735759</v>
      </c>
      <c r="O132" s="762">
        <f t="shared" si="202"/>
        <v>2332115.8449018667</v>
      </c>
      <c r="P132" s="762">
        <f t="shared" si="203"/>
        <v>22400</v>
      </c>
      <c r="Q132" s="762">
        <f t="shared" si="175"/>
        <v>50000</v>
      </c>
      <c r="R132" s="762"/>
      <c r="S132" s="762"/>
      <c r="T132" s="762"/>
      <c r="U132" s="762"/>
      <c r="V132" s="762"/>
      <c r="W132" s="762"/>
      <c r="X132" s="762"/>
      <c r="Y132" s="762">
        <f>$Y$131</f>
        <v>60000</v>
      </c>
      <c r="Z132" s="762">
        <f t="shared" si="177"/>
        <v>142461</v>
      </c>
      <c r="AA132" s="762"/>
      <c r="AB132" s="762"/>
      <c r="AC132" s="762"/>
      <c r="AD132" s="763">
        <f t="shared" si="204"/>
        <v>274861</v>
      </c>
      <c r="AE132" s="763">
        <f t="shared" si="178"/>
        <v>2606976.8449018667</v>
      </c>
      <c r="AF132" s="762">
        <f t="shared" si="179"/>
        <v>65174.421122546672</v>
      </c>
      <c r="AG132" s="762">
        <f t="shared" si="205"/>
        <v>2672151.2660244135</v>
      </c>
      <c r="AH132" s="762">
        <f t="shared" si="180"/>
        <v>66803.781650610341</v>
      </c>
      <c r="AI132" s="762">
        <f t="shared" si="206"/>
        <v>2738955.0476750238</v>
      </c>
      <c r="AJ132" s="762">
        <f t="shared" si="207"/>
        <v>136947.75238375118</v>
      </c>
      <c r="AK132" s="762">
        <f t="shared" si="208"/>
        <v>2875902.8000587751</v>
      </c>
      <c r="AL132" s="762">
        <f t="shared" si="209"/>
        <v>28759.02800058775</v>
      </c>
      <c r="AM132" s="762">
        <f t="shared" si="210"/>
        <v>27537.409960060559</v>
      </c>
      <c r="AN132" s="762"/>
      <c r="AO132" s="763">
        <f t="shared" si="211"/>
        <v>2932199.2380194231</v>
      </c>
      <c r="AP132" s="763">
        <f t="shared" si="212"/>
        <v>483812.87427320483</v>
      </c>
      <c r="AQ132" s="763">
        <f t="shared" si="213"/>
        <v>3416012.1122926278</v>
      </c>
      <c r="AR132" s="1178">
        <f t="shared" si="181"/>
        <v>3000000</v>
      </c>
      <c r="AS132" s="1178">
        <f t="shared" si="214"/>
        <v>18909.641467846719</v>
      </c>
      <c r="AT132" s="1178">
        <f t="shared" si="215"/>
        <v>416012.1122926278</v>
      </c>
      <c r="AU132" s="1178">
        <f t="shared" si="182"/>
        <v>49921.453475115333</v>
      </c>
      <c r="AV132" s="1178">
        <f t="shared" si="216"/>
        <v>465933.56576774316</v>
      </c>
      <c r="AW132" s="1178">
        <f t="shared" si="217"/>
        <v>3465933.5657677432</v>
      </c>
      <c r="AX132" s="762">
        <f t="shared" si="218"/>
        <v>43324.169572096791</v>
      </c>
      <c r="AY132" s="717" t="s">
        <v>231</v>
      </c>
      <c r="AZ132" s="717">
        <f t="shared" si="219"/>
        <v>3509257.7353398399</v>
      </c>
      <c r="BA132" s="717">
        <f t="shared" si="220"/>
        <v>131597.165075244</v>
      </c>
      <c r="BB132" s="717"/>
      <c r="BC132" s="717">
        <f t="shared" si="183"/>
        <v>33600</v>
      </c>
      <c r="BD132" s="717">
        <f t="shared" si="221"/>
        <v>3674454.9004150839</v>
      </c>
      <c r="BE132" s="717"/>
      <c r="BF132" s="717">
        <f t="shared" si="222"/>
        <v>3674454.9004150839</v>
      </c>
      <c r="BG132" s="1209"/>
      <c r="BH132" s="717">
        <f t="shared" si="223"/>
        <v>3674454.9004150839</v>
      </c>
      <c r="BI132" s="717"/>
      <c r="BJ132" s="717">
        <f t="shared" si="224"/>
        <v>3674454.9004150839</v>
      </c>
      <c r="BK132" s="717"/>
      <c r="BL132" s="717">
        <f t="shared" si="225"/>
        <v>3674454.9004150839</v>
      </c>
      <c r="BM132" s="717"/>
      <c r="BN132" s="717">
        <f t="shared" si="226"/>
        <v>3674454.9004150839</v>
      </c>
      <c r="BO132" s="717"/>
      <c r="BP132" s="717">
        <f t="shared" si="184"/>
        <v>3674454.9004150839</v>
      </c>
      <c r="BQ132" s="717"/>
      <c r="BR132" s="717">
        <f t="shared" si="285"/>
        <v>3674454.9004150839</v>
      </c>
      <c r="BS132" s="717"/>
      <c r="BT132" s="717">
        <f t="shared" si="227"/>
        <v>3674454.9004150839</v>
      </c>
      <c r="BU132" s="717"/>
      <c r="BV132" s="1235">
        <f t="shared" si="286"/>
        <v>51400</v>
      </c>
      <c r="BW132" s="717">
        <f t="shared" si="228"/>
        <v>3725854.9004150839</v>
      </c>
      <c r="BX132" s="717"/>
      <c r="BY132" s="717">
        <f t="shared" si="229"/>
        <v>3725854.9004150839</v>
      </c>
      <c r="BZ132" s="1194">
        <f t="shared" si="230"/>
        <v>3725854.9004150839</v>
      </c>
      <c r="CA132" s="1194">
        <f t="shared" si="231"/>
        <v>3032854.9004150839</v>
      </c>
      <c r="CB132" s="1194">
        <v>31500</v>
      </c>
      <c r="CC132" s="1194">
        <f t="shared" si="232"/>
        <v>693000</v>
      </c>
      <c r="CD132" s="1194">
        <f t="shared" si="233"/>
        <v>83160</v>
      </c>
      <c r="CE132" s="1194">
        <f t="shared" si="234"/>
        <v>776160</v>
      </c>
      <c r="CF132" s="1200">
        <f t="shared" si="235"/>
        <v>3809014.9004150839</v>
      </c>
      <c r="CG132" s="757">
        <f t="shared" si="236"/>
        <v>3809014.9004150839</v>
      </c>
      <c r="CH132" s="758">
        <f t="shared" si="237"/>
        <v>0</v>
      </c>
      <c r="CI132" s="757">
        <f t="shared" si="185"/>
        <v>390424.02729254606</v>
      </c>
      <c r="CJ132" s="757">
        <f t="shared" si="186"/>
        <v>95225.372510377099</v>
      </c>
      <c r="CK132" s="759">
        <f t="shared" si="291"/>
        <v>4294664.3002180075</v>
      </c>
      <c r="CL132" s="764">
        <f t="shared" si="238"/>
        <v>0.125</v>
      </c>
      <c r="CM132" s="757">
        <f t="shared" si="239"/>
        <v>536833.03752725094</v>
      </c>
      <c r="CN132" s="757">
        <f t="shared" si="281"/>
        <v>30000</v>
      </c>
      <c r="CO132" s="757">
        <f t="shared" si="240"/>
        <v>506833.03752725094</v>
      </c>
      <c r="CP132" s="755">
        <f t="shared" si="241"/>
        <v>29</v>
      </c>
      <c r="CQ132" s="757">
        <f t="shared" si="283"/>
        <v>17477.001294043137</v>
      </c>
      <c r="CR132" s="764">
        <f t="shared" si="242"/>
        <v>0.875</v>
      </c>
      <c r="CS132" s="757">
        <f t="shared" si="243"/>
        <v>3757831.2626907565</v>
      </c>
      <c r="CT132" s="1101">
        <f t="shared" si="244"/>
        <v>29134.425781994749</v>
      </c>
      <c r="CU132" s="1101">
        <f t="shared" si="245"/>
        <v>33776.449759995252</v>
      </c>
      <c r="CV132" s="1101">
        <f t="shared" si="246"/>
        <v>43631.607307122547</v>
      </c>
      <c r="CW132" s="1141">
        <f t="shared" si="187"/>
        <v>74409.562913672053</v>
      </c>
      <c r="CX132" s="1152">
        <f t="shared" si="247"/>
        <v>305260.57778872194</v>
      </c>
      <c r="CY132" s="1152">
        <f t="shared" si="248"/>
        <v>120790.12362134912</v>
      </c>
      <c r="CZ132" s="1152">
        <f t="shared" si="249"/>
        <v>87244.995517673655</v>
      </c>
      <c r="DA132" s="1152">
        <f t="shared" si="250"/>
        <v>66397.458141096984</v>
      </c>
      <c r="DB132" s="1143">
        <f t="shared" si="188"/>
        <v>0.13867070409754259</v>
      </c>
      <c r="DC132" s="1143">
        <f t="shared" si="251"/>
        <v>0.25591728766640726</v>
      </c>
      <c r="DD132" s="1098" t="s">
        <v>232</v>
      </c>
      <c r="DE132" s="1144"/>
      <c r="DF132" s="705"/>
      <c r="DG132" s="765">
        <f t="shared" si="282"/>
        <v>46082</v>
      </c>
      <c r="DH132" s="1116">
        <f t="shared" si="189"/>
        <v>28</v>
      </c>
      <c r="DI132" s="497"/>
      <c r="DJ132" s="1117">
        <f t="shared" si="252"/>
        <v>46147</v>
      </c>
      <c r="DK132" s="1116">
        <f t="shared" si="253"/>
        <v>30</v>
      </c>
      <c r="DL132" s="766" t="s">
        <v>233</v>
      </c>
      <c r="DM132" s="766" t="s">
        <v>234</v>
      </c>
      <c r="DN132" s="767">
        <f t="shared" si="190"/>
        <v>21178.798443988326</v>
      </c>
      <c r="DO132" s="767">
        <f t="shared" si="191"/>
        <v>465933.56576774316</v>
      </c>
      <c r="DP132" s="768">
        <f t="shared" si="192"/>
        <v>0.15531118858924772</v>
      </c>
      <c r="DR132" s="767">
        <f t="shared" si="193"/>
        <v>3809014.9004150839</v>
      </c>
      <c r="DS132" s="767">
        <f>SUM('[6]INTERNAL PRICELIST'!M132)</f>
        <v>2329361</v>
      </c>
      <c r="DT132" s="767">
        <f t="shared" si="254"/>
        <v>1479653.9004150839</v>
      </c>
      <c r="DV132" s="951">
        <f t="shared" si="194"/>
        <v>173137.04092795835</v>
      </c>
      <c r="DX132" s="772">
        <v>1</v>
      </c>
      <c r="DY132" s="773" t="s">
        <v>235</v>
      </c>
      <c r="DZ132" s="774">
        <v>22</v>
      </c>
      <c r="EA132" s="775">
        <f t="shared" si="294"/>
        <v>0</v>
      </c>
      <c r="ED132" s="755" t="s">
        <v>512</v>
      </c>
      <c r="EE132" s="777" t="b">
        <f t="shared" si="196"/>
        <v>1</v>
      </c>
      <c r="EF132" s="777"/>
      <c r="EG132" s="777"/>
      <c r="EH132" s="1203"/>
      <c r="EP132" s="1230" t="s">
        <v>236</v>
      </c>
      <c r="EQ132" s="1145" t="s">
        <v>236</v>
      </c>
      <c r="ER132" s="753" t="b">
        <f t="shared" si="255"/>
        <v>1</v>
      </c>
      <c r="EU132" s="770">
        <v>3057701.8774007284</v>
      </c>
      <c r="EV132" s="771" t="s">
        <v>258</v>
      </c>
      <c r="EW132" s="775">
        <f>EU132-CG132</f>
        <v>-751313.02301435545</v>
      </c>
      <c r="EY132" s="775">
        <v>3024981.0503227995</v>
      </c>
      <c r="FG132" s="1107"/>
      <c r="FJ132" s="994">
        <v>0.15</v>
      </c>
      <c r="FK132" s="993">
        <v>13153.346833306294</v>
      </c>
      <c r="FL132" s="993">
        <v>13508.842693665923</v>
      </c>
      <c r="FM132" s="497"/>
      <c r="FN132" s="993">
        <f t="shared" si="197"/>
        <v>4294664.3002180075</v>
      </c>
      <c r="FO132" s="994">
        <f t="shared" si="256"/>
        <v>0.15</v>
      </c>
      <c r="FP132" s="775">
        <f t="shared" si="198"/>
        <v>644199.64503270108</v>
      </c>
      <c r="FQ132" s="993">
        <f t="shared" si="199"/>
        <v>30000</v>
      </c>
      <c r="FR132" s="775">
        <f t="shared" si="257"/>
        <v>614199.64503270108</v>
      </c>
      <c r="FS132" s="497">
        <f t="shared" si="258"/>
        <v>40</v>
      </c>
      <c r="FT132" s="775">
        <f t="shared" si="259"/>
        <v>15354.991125817527</v>
      </c>
      <c r="FU132" s="497"/>
      <c r="FV132" s="993">
        <f t="shared" si="260"/>
        <v>4294664.3002180075</v>
      </c>
      <c r="FW132" s="705">
        <f t="shared" si="261"/>
        <v>429466.4300218008</v>
      </c>
      <c r="FX132" s="705">
        <f t="shared" si="262"/>
        <v>107366.6075054502</v>
      </c>
      <c r="FY132" s="705">
        <v>15000</v>
      </c>
      <c r="FZ132" s="705">
        <f t="shared" si="263"/>
        <v>414466.4300218008</v>
      </c>
      <c r="GA132" s="497">
        <f t="shared" si="264"/>
        <v>46</v>
      </c>
      <c r="GB132" s="775">
        <f t="shared" si="265"/>
        <v>9010.1397830826263</v>
      </c>
      <c r="GC132" s="497"/>
      <c r="GD132" s="497"/>
      <c r="GE132" s="1107"/>
      <c r="GH132" s="1095">
        <f t="shared" si="161"/>
        <v>4294664.3002180075</v>
      </c>
      <c r="GI132" s="1098">
        <f t="shared" si="162"/>
        <v>0.125</v>
      </c>
      <c r="GJ132" s="1095">
        <f t="shared" si="163"/>
        <v>536833.03752725094</v>
      </c>
      <c r="GK132" s="1095">
        <f t="shared" si="164"/>
        <v>30000</v>
      </c>
      <c r="GL132" s="1095">
        <f t="shared" si="165"/>
        <v>506833.03752725094</v>
      </c>
      <c r="GM132" s="1095">
        <f t="shared" si="166"/>
        <v>29</v>
      </c>
      <c r="GN132" s="1095">
        <f t="shared" si="167"/>
        <v>17477.001294043137</v>
      </c>
      <c r="GO132" s="1098">
        <f t="shared" si="168"/>
        <v>0.875</v>
      </c>
      <c r="GP132" s="1095">
        <f t="shared" si="169"/>
        <v>3757831.2626907565</v>
      </c>
      <c r="GQ132" s="1095">
        <f t="shared" si="170"/>
        <v>29134.425781994749</v>
      </c>
      <c r="GR132" s="1095">
        <f t="shared" si="171"/>
        <v>33776.449759995252</v>
      </c>
      <c r="GS132" s="1095">
        <f t="shared" si="172"/>
        <v>43631.607307122547</v>
      </c>
      <c r="GT132" s="1095">
        <f t="shared" si="173"/>
        <v>74409.562913672053</v>
      </c>
      <c r="GU132" s="497"/>
      <c r="GV132" s="1095">
        <f t="shared" si="266"/>
        <v>4294664.3002180075</v>
      </c>
      <c r="GW132" s="1098">
        <f t="shared" si="267"/>
        <v>0.125</v>
      </c>
      <c r="GX132" s="1095">
        <f t="shared" si="268"/>
        <v>536833.03752725094</v>
      </c>
      <c r="GY132" s="1095">
        <f t="shared" si="269"/>
        <v>30000</v>
      </c>
      <c r="GZ132" s="1095">
        <f t="shared" si="270"/>
        <v>506833.03752725094</v>
      </c>
      <c r="HA132" s="1106">
        <f t="shared" si="271"/>
        <v>48</v>
      </c>
      <c r="HB132" s="770">
        <f t="shared" si="272"/>
        <v>10559.021615151061</v>
      </c>
      <c r="HC132" s="1098">
        <f t="shared" si="273"/>
        <v>0.875</v>
      </c>
      <c r="HD132" s="1102">
        <f t="shared" si="274"/>
        <v>3757831.2626907565</v>
      </c>
      <c r="HE132" s="1101">
        <f t="shared" si="275"/>
        <v>29134.425781994749</v>
      </c>
      <c r="HF132" s="1101">
        <f t="shared" si="276"/>
        <v>33776.449759995252</v>
      </c>
      <c r="HG132" s="1101">
        <f t="shared" si="277"/>
        <v>43631.607307122547</v>
      </c>
      <c r="HH132" s="1101">
        <f t="shared" si="278"/>
        <v>74409.562913672053</v>
      </c>
      <c r="HI132" s="497"/>
      <c r="HJ132" s="1102">
        <f t="shared" si="279"/>
        <v>-6917.9796788920758</v>
      </c>
      <c r="HL132" s="775"/>
      <c r="HN132" s="775"/>
      <c r="HO132" s="775"/>
      <c r="HQ132" s="702"/>
      <c r="HR132" s="1171"/>
      <c r="HS132" s="702"/>
      <c r="HT132" s="1171"/>
    </row>
    <row r="133" spans="1:228" ht="14.25" hidden="1" customHeight="1">
      <c r="A133" s="753">
        <f t="shared" si="280"/>
        <v>127</v>
      </c>
      <c r="B133" s="753" t="s">
        <v>236</v>
      </c>
      <c r="C133" s="753">
        <f t="shared" ref="C133:C161" si="305">C132+1</f>
        <v>3</v>
      </c>
      <c r="D133" s="753" t="s">
        <v>269</v>
      </c>
      <c r="E133" s="717" t="str">
        <f t="shared" si="200"/>
        <v>7th Floor</v>
      </c>
      <c r="F133" s="754"/>
      <c r="G133" s="756" t="s">
        <v>513</v>
      </c>
      <c r="H133" s="756"/>
      <c r="I133" s="755" t="s">
        <v>229</v>
      </c>
      <c r="J133" s="757">
        <v>22</v>
      </c>
      <c r="K133" s="758"/>
      <c r="L133" s="759" t="s">
        <v>69</v>
      </c>
      <c r="M133" s="760" t="s">
        <v>68</v>
      </c>
      <c r="N133" s="761">
        <f t="shared" si="201"/>
        <v>106005.26567735759</v>
      </c>
      <c r="O133" s="762">
        <f t="shared" si="202"/>
        <v>2332115.8449018667</v>
      </c>
      <c r="P133" s="762">
        <f t="shared" si="203"/>
        <v>22400</v>
      </c>
      <c r="Q133" s="762">
        <f t="shared" si="175"/>
        <v>50000</v>
      </c>
      <c r="R133" s="762"/>
      <c r="S133" s="762"/>
      <c r="T133" s="762"/>
      <c r="U133" s="762"/>
      <c r="V133" s="762"/>
      <c r="W133" s="762"/>
      <c r="X133" s="762"/>
      <c r="Y133" s="762">
        <f t="shared" ref="Y133:Y161" si="306">$Y$131</f>
        <v>60000</v>
      </c>
      <c r="Z133" s="762">
        <f t="shared" si="177"/>
        <v>142461</v>
      </c>
      <c r="AA133" s="762"/>
      <c r="AB133" s="762"/>
      <c r="AC133" s="762"/>
      <c r="AD133" s="763">
        <f t="shared" si="204"/>
        <v>274861</v>
      </c>
      <c r="AE133" s="763">
        <f t="shared" si="178"/>
        <v>2606976.8449018667</v>
      </c>
      <c r="AF133" s="762">
        <f t="shared" si="179"/>
        <v>65174.421122546672</v>
      </c>
      <c r="AG133" s="762">
        <f t="shared" si="205"/>
        <v>2672151.2660244135</v>
      </c>
      <c r="AH133" s="762">
        <f t="shared" si="180"/>
        <v>66803.781650610341</v>
      </c>
      <c r="AI133" s="762">
        <f t="shared" si="206"/>
        <v>2738955.0476750238</v>
      </c>
      <c r="AJ133" s="762">
        <f t="shared" si="207"/>
        <v>136947.75238375118</v>
      </c>
      <c r="AK133" s="762">
        <f t="shared" si="208"/>
        <v>2875902.8000587751</v>
      </c>
      <c r="AL133" s="762">
        <f t="shared" si="209"/>
        <v>28759.02800058775</v>
      </c>
      <c r="AM133" s="762">
        <f t="shared" si="210"/>
        <v>27537.409960060559</v>
      </c>
      <c r="AN133" s="762"/>
      <c r="AO133" s="763">
        <f t="shared" si="211"/>
        <v>2932199.2380194231</v>
      </c>
      <c r="AP133" s="763">
        <f t="shared" si="212"/>
        <v>483812.87427320483</v>
      </c>
      <c r="AQ133" s="763">
        <f t="shared" si="213"/>
        <v>3416012.1122926278</v>
      </c>
      <c r="AR133" s="1178">
        <f t="shared" si="181"/>
        <v>3000000</v>
      </c>
      <c r="AS133" s="1178">
        <f t="shared" si="214"/>
        <v>18909.641467846719</v>
      </c>
      <c r="AT133" s="1178">
        <f t="shared" si="215"/>
        <v>416012.1122926278</v>
      </c>
      <c r="AU133" s="1178">
        <f t="shared" si="182"/>
        <v>49921.453475115333</v>
      </c>
      <c r="AV133" s="1178">
        <f t="shared" si="216"/>
        <v>465933.56576774316</v>
      </c>
      <c r="AW133" s="1178">
        <f t="shared" si="217"/>
        <v>3465933.5657677432</v>
      </c>
      <c r="AX133" s="762">
        <f t="shared" si="218"/>
        <v>43324.169572096791</v>
      </c>
      <c r="AY133" s="717" t="s">
        <v>231</v>
      </c>
      <c r="AZ133" s="717">
        <f t="shared" si="219"/>
        <v>3509257.7353398399</v>
      </c>
      <c r="BA133" s="717">
        <f t="shared" si="220"/>
        <v>131597.165075244</v>
      </c>
      <c r="BB133" s="717"/>
      <c r="BC133" s="717">
        <f t="shared" si="183"/>
        <v>33600</v>
      </c>
      <c r="BD133" s="717">
        <f t="shared" si="221"/>
        <v>3674454.9004150839</v>
      </c>
      <c r="BE133" s="717"/>
      <c r="BF133" s="717">
        <f t="shared" si="222"/>
        <v>3674454.9004150839</v>
      </c>
      <c r="BG133" s="1209"/>
      <c r="BH133" s="717">
        <f t="shared" si="223"/>
        <v>3674454.9004150839</v>
      </c>
      <c r="BI133" s="717"/>
      <c r="BJ133" s="717">
        <f t="shared" si="224"/>
        <v>3674454.9004150839</v>
      </c>
      <c r="BK133" s="717"/>
      <c r="BL133" s="717">
        <f t="shared" si="225"/>
        <v>3674454.9004150839</v>
      </c>
      <c r="BM133" s="717"/>
      <c r="BN133" s="717">
        <f t="shared" si="226"/>
        <v>3674454.9004150839</v>
      </c>
      <c r="BO133" s="717"/>
      <c r="BP133" s="717">
        <f t="shared" si="184"/>
        <v>3674454.9004150839</v>
      </c>
      <c r="BQ133" s="717"/>
      <c r="BR133" s="717">
        <f t="shared" si="285"/>
        <v>3674454.9004150839</v>
      </c>
      <c r="BS133" s="717"/>
      <c r="BT133" s="717">
        <f t="shared" si="227"/>
        <v>3674454.9004150839</v>
      </c>
      <c r="BU133" s="717"/>
      <c r="BV133" s="1235">
        <f t="shared" si="286"/>
        <v>51400</v>
      </c>
      <c r="BW133" s="717">
        <f t="shared" si="228"/>
        <v>3725854.9004150839</v>
      </c>
      <c r="BX133" s="717"/>
      <c r="BY133" s="717">
        <f t="shared" si="229"/>
        <v>3725854.9004150839</v>
      </c>
      <c r="BZ133" s="1194">
        <f t="shared" si="230"/>
        <v>3725854.9004150839</v>
      </c>
      <c r="CA133" s="1194">
        <f t="shared" si="231"/>
        <v>3032854.9004150839</v>
      </c>
      <c r="CB133" s="1194">
        <v>31500</v>
      </c>
      <c r="CC133" s="1194">
        <f t="shared" si="232"/>
        <v>693000</v>
      </c>
      <c r="CD133" s="1194">
        <f t="shared" si="233"/>
        <v>83160</v>
      </c>
      <c r="CE133" s="1194">
        <f t="shared" si="234"/>
        <v>776160</v>
      </c>
      <c r="CF133" s="1200">
        <f t="shared" si="235"/>
        <v>3809014.9004150839</v>
      </c>
      <c r="CG133" s="757">
        <f t="shared" si="236"/>
        <v>3809014.9004150839</v>
      </c>
      <c r="CH133" s="758">
        <f t="shared" si="237"/>
        <v>0</v>
      </c>
      <c r="CI133" s="757">
        <f t="shared" si="185"/>
        <v>390424.02729254606</v>
      </c>
      <c r="CJ133" s="757">
        <f t="shared" si="186"/>
        <v>95225.372510377099</v>
      </c>
      <c r="CK133" s="759">
        <f t="shared" si="291"/>
        <v>4294664.3002180075</v>
      </c>
      <c r="CL133" s="764">
        <f t="shared" si="238"/>
        <v>0.125</v>
      </c>
      <c r="CM133" s="757">
        <f t="shared" si="239"/>
        <v>536833.03752725094</v>
      </c>
      <c r="CN133" s="757">
        <f t="shared" si="281"/>
        <v>30000</v>
      </c>
      <c r="CO133" s="757">
        <f t="shared" si="240"/>
        <v>506833.03752725094</v>
      </c>
      <c r="CP133" s="755">
        <f t="shared" si="241"/>
        <v>29</v>
      </c>
      <c r="CQ133" s="757">
        <f t="shared" si="283"/>
        <v>17477.001294043137</v>
      </c>
      <c r="CR133" s="764">
        <f t="shared" si="242"/>
        <v>0.875</v>
      </c>
      <c r="CS133" s="757">
        <f t="shared" si="243"/>
        <v>3757831.2626907565</v>
      </c>
      <c r="CT133" s="1101">
        <f t="shared" si="244"/>
        <v>29134.425781994749</v>
      </c>
      <c r="CU133" s="1101">
        <f t="shared" si="245"/>
        <v>33776.449759995252</v>
      </c>
      <c r="CV133" s="1101">
        <f t="shared" si="246"/>
        <v>43631.607307122547</v>
      </c>
      <c r="CW133" s="1141">
        <f t="shared" si="187"/>
        <v>74409.562913672053</v>
      </c>
      <c r="CX133" s="1152">
        <f t="shared" si="247"/>
        <v>305260.57778872194</v>
      </c>
      <c r="CY133" s="1152">
        <f t="shared" si="248"/>
        <v>120790.12362134912</v>
      </c>
      <c r="CZ133" s="1152">
        <f t="shared" si="249"/>
        <v>87244.995517673655</v>
      </c>
      <c r="DA133" s="1152">
        <f t="shared" si="250"/>
        <v>66397.458141096984</v>
      </c>
      <c r="DB133" s="1143">
        <f t="shared" si="188"/>
        <v>0.13867070409754259</v>
      </c>
      <c r="DC133" s="1143">
        <f t="shared" si="251"/>
        <v>0.25591728766640726</v>
      </c>
      <c r="DD133" s="1098" t="s">
        <v>232</v>
      </c>
      <c r="DE133" s="1144"/>
      <c r="DF133" s="705"/>
      <c r="DG133" s="765">
        <f t="shared" si="282"/>
        <v>46082</v>
      </c>
      <c r="DH133" s="1116">
        <f t="shared" si="189"/>
        <v>28</v>
      </c>
      <c r="DI133" s="497"/>
      <c r="DJ133" s="1117">
        <f t="shared" si="252"/>
        <v>46147</v>
      </c>
      <c r="DK133" s="1116">
        <f t="shared" si="253"/>
        <v>30</v>
      </c>
      <c r="DL133" s="766" t="s">
        <v>233</v>
      </c>
      <c r="DM133" s="766" t="s">
        <v>234</v>
      </c>
      <c r="DN133" s="767">
        <f t="shared" si="190"/>
        <v>21178.798443988326</v>
      </c>
      <c r="DO133" s="767">
        <f t="shared" si="191"/>
        <v>465933.56576774316</v>
      </c>
      <c r="DP133" s="768">
        <f t="shared" si="192"/>
        <v>0.15531118858924772</v>
      </c>
      <c r="DR133" s="767">
        <f t="shared" si="193"/>
        <v>3809014.9004150839</v>
      </c>
      <c r="DS133" s="767">
        <f>SUM('[6]INTERNAL PRICELIST'!M133)</f>
        <v>2329361</v>
      </c>
      <c r="DT133" s="767">
        <f t="shared" si="254"/>
        <v>1479653.9004150839</v>
      </c>
      <c r="DV133" s="951">
        <f t="shared" si="194"/>
        <v>173137.04092795835</v>
      </c>
      <c r="DX133" s="772">
        <v>2</v>
      </c>
      <c r="DY133" s="773" t="s">
        <v>238</v>
      </c>
      <c r="DZ133" s="774">
        <v>22</v>
      </c>
      <c r="EA133" s="775">
        <f t="shared" si="294"/>
        <v>0</v>
      </c>
      <c r="ED133" s="755" t="s">
        <v>513</v>
      </c>
      <c r="EE133" s="777" t="b">
        <f t="shared" si="196"/>
        <v>1</v>
      </c>
      <c r="EF133" s="1123" t="s">
        <v>514</v>
      </c>
      <c r="EG133" s="1123" t="s">
        <v>515</v>
      </c>
      <c r="EH133" s="1203"/>
      <c r="EP133" s="1230" t="s">
        <v>236</v>
      </c>
      <c r="EQ133" s="1145" t="s">
        <v>236</v>
      </c>
      <c r="ER133" s="753" t="b">
        <f t="shared" si="255"/>
        <v>1</v>
      </c>
      <c r="EU133" s="770">
        <v>2271040</v>
      </c>
      <c r="EV133" s="771" t="s">
        <v>236</v>
      </c>
      <c r="FJ133" s="994">
        <v>0.15</v>
      </c>
      <c r="FK133" s="993">
        <v>13153.346833306294</v>
      </c>
      <c r="FL133" s="993">
        <v>13508.842693665923</v>
      </c>
      <c r="FM133" s="497"/>
      <c r="FN133" s="993">
        <f t="shared" si="197"/>
        <v>4294664.3002180075</v>
      </c>
      <c r="FO133" s="994">
        <f t="shared" si="256"/>
        <v>0.15</v>
      </c>
      <c r="FP133" s="775">
        <f t="shared" si="198"/>
        <v>644199.64503270108</v>
      </c>
      <c r="FQ133" s="993">
        <f t="shared" si="199"/>
        <v>30000</v>
      </c>
      <c r="FR133" s="775">
        <f t="shared" si="257"/>
        <v>614199.64503270108</v>
      </c>
      <c r="FS133" s="497">
        <f t="shared" si="258"/>
        <v>40</v>
      </c>
      <c r="FT133" s="775">
        <f t="shared" si="259"/>
        <v>15354.991125817527</v>
      </c>
      <c r="FU133" s="497"/>
      <c r="FV133" s="993">
        <f t="shared" si="260"/>
        <v>4294664.3002180075</v>
      </c>
      <c r="FW133" s="705">
        <f t="shared" si="261"/>
        <v>429466.4300218008</v>
      </c>
      <c r="FX133" s="705">
        <f t="shared" si="262"/>
        <v>107366.6075054502</v>
      </c>
      <c r="FY133" s="705">
        <v>15000</v>
      </c>
      <c r="FZ133" s="705">
        <f t="shared" si="263"/>
        <v>414466.4300218008</v>
      </c>
      <c r="GA133" s="497">
        <f t="shared" si="264"/>
        <v>46</v>
      </c>
      <c r="GB133" s="775">
        <f t="shared" si="265"/>
        <v>9010.1397830826263</v>
      </c>
      <c r="GC133" s="497"/>
      <c r="GD133" s="497"/>
      <c r="GH133" s="1095">
        <f t="shared" si="161"/>
        <v>4294664.3002180075</v>
      </c>
      <c r="GI133" s="1098">
        <f t="shared" si="162"/>
        <v>0.125</v>
      </c>
      <c r="GJ133" s="1095">
        <f t="shared" si="163"/>
        <v>536833.03752725094</v>
      </c>
      <c r="GK133" s="1095">
        <f t="shared" si="164"/>
        <v>30000</v>
      </c>
      <c r="GL133" s="1095">
        <f t="shared" si="165"/>
        <v>506833.03752725094</v>
      </c>
      <c r="GM133" s="1095">
        <f t="shared" si="166"/>
        <v>29</v>
      </c>
      <c r="GN133" s="1095">
        <f t="shared" si="167"/>
        <v>17477.001294043137</v>
      </c>
      <c r="GO133" s="1098">
        <f t="shared" si="168"/>
        <v>0.875</v>
      </c>
      <c r="GP133" s="1095">
        <f t="shared" si="169"/>
        <v>3757831.2626907565</v>
      </c>
      <c r="GQ133" s="1095">
        <f t="shared" si="170"/>
        <v>29134.425781994749</v>
      </c>
      <c r="GR133" s="1095">
        <f t="shared" si="171"/>
        <v>33776.449759995252</v>
      </c>
      <c r="GS133" s="1095">
        <f t="shared" si="172"/>
        <v>43631.607307122547</v>
      </c>
      <c r="GT133" s="1095">
        <f t="shared" si="173"/>
        <v>74409.562913672053</v>
      </c>
      <c r="GU133" s="497"/>
      <c r="GV133" s="1095">
        <f t="shared" si="266"/>
        <v>4294664.3002180075</v>
      </c>
      <c r="GW133" s="1098">
        <f t="shared" si="267"/>
        <v>0.125</v>
      </c>
      <c r="GX133" s="1095">
        <f t="shared" si="268"/>
        <v>536833.03752725094</v>
      </c>
      <c r="GY133" s="1095">
        <f t="shared" si="269"/>
        <v>30000</v>
      </c>
      <c r="GZ133" s="1095">
        <f t="shared" si="270"/>
        <v>506833.03752725094</v>
      </c>
      <c r="HA133" s="1106">
        <f t="shared" si="271"/>
        <v>48</v>
      </c>
      <c r="HB133" s="770">
        <f t="shared" si="272"/>
        <v>10559.021615151061</v>
      </c>
      <c r="HC133" s="1098">
        <f t="shared" si="273"/>
        <v>0.875</v>
      </c>
      <c r="HD133" s="1102">
        <f t="shared" si="274"/>
        <v>3757831.2626907565</v>
      </c>
      <c r="HE133" s="1101">
        <f t="shared" si="275"/>
        <v>29134.425781994749</v>
      </c>
      <c r="HF133" s="1101">
        <f t="shared" si="276"/>
        <v>33776.449759995252</v>
      </c>
      <c r="HG133" s="1101">
        <f t="shared" si="277"/>
        <v>43631.607307122547</v>
      </c>
      <c r="HH133" s="1101">
        <f t="shared" si="278"/>
        <v>74409.562913672053</v>
      </c>
      <c r="HI133" s="497"/>
      <c r="HJ133" s="1102">
        <f t="shared" si="279"/>
        <v>-6917.9796788920758</v>
      </c>
      <c r="HL133" s="775"/>
      <c r="HN133" s="775"/>
      <c r="HO133" s="775"/>
      <c r="HQ133" s="702"/>
      <c r="HR133" s="1171"/>
      <c r="HS133" s="702"/>
      <c r="HT133" s="1171"/>
    </row>
    <row r="134" spans="1:228" ht="14.25" hidden="1" customHeight="1">
      <c r="A134" s="753">
        <f t="shared" si="280"/>
        <v>128</v>
      </c>
      <c r="B134" s="753" t="s">
        <v>236</v>
      </c>
      <c r="C134" s="753">
        <f t="shared" si="305"/>
        <v>4</v>
      </c>
      <c r="D134" s="753" t="s">
        <v>269</v>
      </c>
      <c r="E134" s="717" t="str">
        <f t="shared" si="200"/>
        <v>7th Floor</v>
      </c>
      <c r="F134" s="754"/>
      <c r="G134" s="756" t="s">
        <v>516</v>
      </c>
      <c r="H134" s="756"/>
      <c r="I134" s="755" t="s">
        <v>229</v>
      </c>
      <c r="J134" s="757">
        <v>22</v>
      </c>
      <c r="K134" s="758"/>
      <c r="L134" s="759" t="s">
        <v>69</v>
      </c>
      <c r="M134" s="760" t="s">
        <v>68</v>
      </c>
      <c r="N134" s="761">
        <f t="shared" si="201"/>
        <v>106005.26567735759</v>
      </c>
      <c r="O134" s="762">
        <f t="shared" si="202"/>
        <v>2332115.8449018667</v>
      </c>
      <c r="P134" s="762">
        <f t="shared" si="203"/>
        <v>22400</v>
      </c>
      <c r="Q134" s="762">
        <f t="shared" si="175"/>
        <v>50000</v>
      </c>
      <c r="R134" s="762"/>
      <c r="S134" s="762"/>
      <c r="T134" s="762"/>
      <c r="U134" s="762"/>
      <c r="V134" s="762"/>
      <c r="W134" s="762"/>
      <c r="X134" s="762"/>
      <c r="Y134" s="762">
        <f t="shared" si="306"/>
        <v>60000</v>
      </c>
      <c r="Z134" s="762">
        <f t="shared" si="177"/>
        <v>142461</v>
      </c>
      <c r="AA134" s="762"/>
      <c r="AB134" s="762"/>
      <c r="AC134" s="762"/>
      <c r="AD134" s="763">
        <f t="shared" si="204"/>
        <v>274861</v>
      </c>
      <c r="AE134" s="763">
        <f t="shared" si="178"/>
        <v>2606976.8449018667</v>
      </c>
      <c r="AF134" s="762">
        <f t="shared" si="179"/>
        <v>65174.421122546672</v>
      </c>
      <c r="AG134" s="762">
        <f t="shared" si="205"/>
        <v>2672151.2660244135</v>
      </c>
      <c r="AH134" s="762">
        <f t="shared" si="180"/>
        <v>66803.781650610341</v>
      </c>
      <c r="AI134" s="762">
        <f t="shared" si="206"/>
        <v>2738955.0476750238</v>
      </c>
      <c r="AJ134" s="762">
        <f t="shared" si="207"/>
        <v>136947.75238375118</v>
      </c>
      <c r="AK134" s="762">
        <f t="shared" si="208"/>
        <v>2875902.8000587751</v>
      </c>
      <c r="AL134" s="762">
        <f t="shared" si="209"/>
        <v>28759.02800058775</v>
      </c>
      <c r="AM134" s="762">
        <f t="shared" si="210"/>
        <v>27537.409960060559</v>
      </c>
      <c r="AN134" s="762"/>
      <c r="AO134" s="763">
        <f t="shared" si="211"/>
        <v>2932199.2380194231</v>
      </c>
      <c r="AP134" s="763">
        <f t="shared" si="212"/>
        <v>483812.87427320483</v>
      </c>
      <c r="AQ134" s="763">
        <f t="shared" si="213"/>
        <v>3416012.1122926278</v>
      </c>
      <c r="AR134" s="1178">
        <f t="shared" si="181"/>
        <v>3000000</v>
      </c>
      <c r="AS134" s="1178">
        <f t="shared" si="214"/>
        <v>18909.641467846719</v>
      </c>
      <c r="AT134" s="1178">
        <f t="shared" si="215"/>
        <v>416012.1122926278</v>
      </c>
      <c r="AU134" s="1178">
        <f t="shared" si="182"/>
        <v>49921.453475115333</v>
      </c>
      <c r="AV134" s="1178">
        <f t="shared" si="216"/>
        <v>465933.56576774316</v>
      </c>
      <c r="AW134" s="1178">
        <f t="shared" si="217"/>
        <v>3465933.5657677432</v>
      </c>
      <c r="AX134" s="762">
        <f t="shared" si="218"/>
        <v>43324.169572096791</v>
      </c>
      <c r="AY134" s="717" t="s">
        <v>231</v>
      </c>
      <c r="AZ134" s="717">
        <f t="shared" si="219"/>
        <v>3509257.7353398399</v>
      </c>
      <c r="BA134" s="717">
        <f t="shared" si="220"/>
        <v>131597.165075244</v>
      </c>
      <c r="BB134" s="717"/>
      <c r="BC134" s="717">
        <f t="shared" si="183"/>
        <v>33600</v>
      </c>
      <c r="BD134" s="717">
        <f t="shared" si="221"/>
        <v>3674454.9004150839</v>
      </c>
      <c r="BE134" s="717"/>
      <c r="BF134" s="717">
        <f t="shared" si="222"/>
        <v>3674454.9004150839</v>
      </c>
      <c r="BG134" s="1209"/>
      <c r="BH134" s="717">
        <f t="shared" si="223"/>
        <v>3674454.9004150839</v>
      </c>
      <c r="BI134" s="717"/>
      <c r="BJ134" s="717">
        <f t="shared" si="224"/>
        <v>3674454.9004150839</v>
      </c>
      <c r="BK134" s="717"/>
      <c r="BL134" s="717">
        <f t="shared" si="225"/>
        <v>3674454.9004150839</v>
      </c>
      <c r="BM134" s="717"/>
      <c r="BN134" s="717">
        <f t="shared" si="226"/>
        <v>3674454.9004150839</v>
      </c>
      <c r="BO134" s="717"/>
      <c r="BP134" s="717">
        <f t="shared" si="184"/>
        <v>3674454.9004150839</v>
      </c>
      <c r="BQ134" s="717"/>
      <c r="BR134" s="717">
        <f t="shared" si="285"/>
        <v>3674454.9004150839</v>
      </c>
      <c r="BS134" s="717"/>
      <c r="BT134" s="717">
        <f t="shared" si="227"/>
        <v>3674454.9004150839</v>
      </c>
      <c r="BU134" s="717"/>
      <c r="BV134" s="1235">
        <f t="shared" si="286"/>
        <v>51400</v>
      </c>
      <c r="BW134" s="717">
        <f t="shared" si="228"/>
        <v>3725854.9004150839</v>
      </c>
      <c r="BX134" s="717"/>
      <c r="BY134" s="717">
        <f t="shared" si="229"/>
        <v>3725854.9004150839</v>
      </c>
      <c r="BZ134" s="1194">
        <f t="shared" si="230"/>
        <v>3725854.9004150839</v>
      </c>
      <c r="CA134" s="1194">
        <f t="shared" si="231"/>
        <v>3032854.9004150839</v>
      </c>
      <c r="CB134" s="1194">
        <v>31500</v>
      </c>
      <c r="CC134" s="1194">
        <f t="shared" si="232"/>
        <v>693000</v>
      </c>
      <c r="CD134" s="1194">
        <f t="shared" si="233"/>
        <v>83160</v>
      </c>
      <c r="CE134" s="1194">
        <f t="shared" si="234"/>
        <v>776160</v>
      </c>
      <c r="CF134" s="1200">
        <f t="shared" si="235"/>
        <v>3809014.9004150839</v>
      </c>
      <c r="CG134" s="757">
        <f t="shared" si="236"/>
        <v>3809014.9004150839</v>
      </c>
      <c r="CH134" s="758">
        <f t="shared" si="237"/>
        <v>0</v>
      </c>
      <c r="CI134" s="757">
        <f t="shared" si="185"/>
        <v>390424.02729254606</v>
      </c>
      <c r="CJ134" s="757">
        <f t="shared" si="186"/>
        <v>95225.372510377099</v>
      </c>
      <c r="CK134" s="759">
        <f t="shared" si="291"/>
        <v>4294664.3002180075</v>
      </c>
      <c r="CL134" s="764">
        <f t="shared" si="238"/>
        <v>0.125</v>
      </c>
      <c r="CM134" s="757">
        <f t="shared" si="239"/>
        <v>536833.03752725094</v>
      </c>
      <c r="CN134" s="757">
        <f t="shared" si="281"/>
        <v>30000</v>
      </c>
      <c r="CO134" s="757">
        <f t="shared" si="240"/>
        <v>506833.03752725094</v>
      </c>
      <c r="CP134" s="755">
        <f t="shared" si="241"/>
        <v>29</v>
      </c>
      <c r="CQ134" s="757">
        <f t="shared" si="283"/>
        <v>17477.001294043137</v>
      </c>
      <c r="CR134" s="764">
        <f t="shared" si="242"/>
        <v>0.875</v>
      </c>
      <c r="CS134" s="757">
        <f t="shared" si="243"/>
        <v>3757831.2626907565</v>
      </c>
      <c r="CT134" s="1101">
        <f t="shared" si="244"/>
        <v>29134.425781994749</v>
      </c>
      <c r="CU134" s="1101">
        <f t="shared" si="245"/>
        <v>33776.449759995252</v>
      </c>
      <c r="CV134" s="1101">
        <f t="shared" si="246"/>
        <v>43631.607307122547</v>
      </c>
      <c r="CW134" s="1141">
        <f t="shared" si="187"/>
        <v>74409.562913672053</v>
      </c>
      <c r="CX134" s="1152">
        <f t="shared" si="247"/>
        <v>305260.57778872194</v>
      </c>
      <c r="CY134" s="1152">
        <f t="shared" si="248"/>
        <v>120790.12362134912</v>
      </c>
      <c r="CZ134" s="1152">
        <f t="shared" si="249"/>
        <v>87244.995517673655</v>
      </c>
      <c r="DA134" s="1152">
        <f t="shared" si="250"/>
        <v>66397.458141096984</v>
      </c>
      <c r="DB134" s="1143">
        <f t="shared" si="188"/>
        <v>0.13867070409754259</v>
      </c>
      <c r="DC134" s="1143">
        <f t="shared" si="251"/>
        <v>0.25591728766640726</v>
      </c>
      <c r="DD134" s="1098" t="s">
        <v>232</v>
      </c>
      <c r="DE134" s="1144"/>
      <c r="DF134" s="705"/>
      <c r="DG134" s="765">
        <f t="shared" si="282"/>
        <v>46082</v>
      </c>
      <c r="DH134" s="1116">
        <f t="shared" si="189"/>
        <v>28</v>
      </c>
      <c r="DI134" s="497"/>
      <c r="DJ134" s="1117">
        <f t="shared" si="252"/>
        <v>46147</v>
      </c>
      <c r="DK134" s="1116">
        <f t="shared" si="253"/>
        <v>30</v>
      </c>
      <c r="DL134" s="766" t="s">
        <v>233</v>
      </c>
      <c r="DM134" s="766" t="s">
        <v>234</v>
      </c>
      <c r="DN134" s="767">
        <f t="shared" si="190"/>
        <v>21178.798443988326</v>
      </c>
      <c r="DO134" s="767">
        <f t="shared" si="191"/>
        <v>465933.56576774316</v>
      </c>
      <c r="DP134" s="768">
        <f t="shared" si="192"/>
        <v>0.15531118858924772</v>
      </c>
      <c r="DR134" s="767">
        <f t="shared" si="193"/>
        <v>3809014.9004150839</v>
      </c>
      <c r="DS134" s="767">
        <f>SUM('[6]INTERNAL PRICELIST'!M134)</f>
        <v>2329361</v>
      </c>
      <c r="DT134" s="767">
        <f t="shared" si="254"/>
        <v>1479653.9004150839</v>
      </c>
      <c r="DV134" s="951">
        <f t="shared" si="194"/>
        <v>173137.04092795835</v>
      </c>
      <c r="DX134" s="772">
        <v>3</v>
      </c>
      <c r="DY134" s="773" t="s">
        <v>245</v>
      </c>
      <c r="DZ134" s="774">
        <v>22</v>
      </c>
      <c r="EA134" s="775">
        <f t="shared" si="294"/>
        <v>0</v>
      </c>
      <c r="ED134" s="755" t="s">
        <v>516</v>
      </c>
      <c r="EE134" s="777" t="b">
        <f t="shared" si="196"/>
        <v>1</v>
      </c>
      <c r="EF134" s="1123" t="s">
        <v>517</v>
      </c>
      <c r="EG134" s="1123" t="s">
        <v>515</v>
      </c>
      <c r="EH134" s="1203"/>
      <c r="EP134" s="1230" t="s">
        <v>236</v>
      </c>
      <c r="EQ134" s="1145" t="s">
        <v>236</v>
      </c>
      <c r="ER134" s="753" t="b">
        <f t="shared" si="255"/>
        <v>1</v>
      </c>
      <c r="EU134" s="770">
        <v>2409740</v>
      </c>
      <c r="EV134" s="771" t="s">
        <v>236</v>
      </c>
      <c r="FJ134" s="994">
        <v>0.15</v>
      </c>
      <c r="FK134" s="993">
        <v>13153.346833306294</v>
      </c>
      <c r="FL134" s="993">
        <v>13508.842693665923</v>
      </c>
      <c r="FM134" s="497"/>
      <c r="FN134" s="993">
        <f t="shared" si="197"/>
        <v>4294664.3002180075</v>
      </c>
      <c r="FO134" s="994">
        <f t="shared" si="256"/>
        <v>0.15</v>
      </c>
      <c r="FP134" s="775">
        <f t="shared" si="198"/>
        <v>644199.64503270108</v>
      </c>
      <c r="FQ134" s="993">
        <f t="shared" si="199"/>
        <v>30000</v>
      </c>
      <c r="FR134" s="775">
        <f t="shared" si="257"/>
        <v>614199.64503270108</v>
      </c>
      <c r="FS134" s="497">
        <f t="shared" si="258"/>
        <v>40</v>
      </c>
      <c r="FT134" s="775">
        <f t="shared" si="259"/>
        <v>15354.991125817527</v>
      </c>
      <c r="FU134" s="497"/>
      <c r="FV134" s="993">
        <f t="shared" si="260"/>
        <v>4294664.3002180075</v>
      </c>
      <c r="FW134" s="705">
        <f t="shared" si="261"/>
        <v>429466.4300218008</v>
      </c>
      <c r="FX134" s="705">
        <f t="shared" si="262"/>
        <v>107366.6075054502</v>
      </c>
      <c r="FY134" s="705">
        <v>15000</v>
      </c>
      <c r="FZ134" s="705">
        <f t="shared" si="263"/>
        <v>414466.4300218008</v>
      </c>
      <c r="GA134" s="497">
        <f t="shared" si="264"/>
        <v>46</v>
      </c>
      <c r="GB134" s="775">
        <f t="shared" si="265"/>
        <v>9010.1397830826263</v>
      </c>
      <c r="GC134" s="497"/>
      <c r="GD134" s="497"/>
      <c r="GH134" s="1095">
        <f t="shared" ref="GH134:GH197" si="307">CK134</f>
        <v>4294664.3002180075</v>
      </c>
      <c r="GI134" s="1098">
        <f t="shared" ref="GI134:GI197" si="308">CL134</f>
        <v>0.125</v>
      </c>
      <c r="GJ134" s="1095">
        <f t="shared" ref="GJ134:GJ197" si="309">CM134</f>
        <v>536833.03752725094</v>
      </c>
      <c r="GK134" s="1095">
        <f t="shared" ref="GK134:GK197" si="310">CN134</f>
        <v>30000</v>
      </c>
      <c r="GL134" s="1095">
        <f t="shared" ref="GL134:GL197" si="311">CO134</f>
        <v>506833.03752725094</v>
      </c>
      <c r="GM134" s="1095">
        <f t="shared" ref="GM134:GM197" si="312">CP134</f>
        <v>29</v>
      </c>
      <c r="GN134" s="1095">
        <f t="shared" ref="GN134:GN197" si="313">CQ134</f>
        <v>17477.001294043137</v>
      </c>
      <c r="GO134" s="1098">
        <f t="shared" ref="GO134:GO197" si="314">CR134</f>
        <v>0.875</v>
      </c>
      <c r="GP134" s="1095">
        <f t="shared" ref="GP134:GP197" si="315">CS134</f>
        <v>3757831.2626907565</v>
      </c>
      <c r="GQ134" s="1095">
        <f t="shared" ref="GQ134:GQ197" si="316">CT134</f>
        <v>29134.425781994749</v>
      </c>
      <c r="GR134" s="1095">
        <f t="shared" ref="GR134:GR197" si="317">CU134</f>
        <v>33776.449759995252</v>
      </c>
      <c r="GS134" s="1095">
        <f t="shared" ref="GS134:GS197" si="318">CV134</f>
        <v>43631.607307122547</v>
      </c>
      <c r="GT134" s="1095">
        <f t="shared" ref="GT134:GT197" si="319">CW134</f>
        <v>74409.562913672053</v>
      </c>
      <c r="GU134" s="497"/>
      <c r="GV134" s="1095">
        <f t="shared" si="266"/>
        <v>4294664.3002180075</v>
      </c>
      <c r="GW134" s="1098">
        <f t="shared" si="267"/>
        <v>0.125</v>
      </c>
      <c r="GX134" s="1095">
        <f t="shared" si="268"/>
        <v>536833.03752725094</v>
      </c>
      <c r="GY134" s="1095">
        <f t="shared" si="269"/>
        <v>30000</v>
      </c>
      <c r="GZ134" s="1095">
        <f t="shared" si="270"/>
        <v>506833.03752725094</v>
      </c>
      <c r="HA134" s="1106">
        <f t="shared" si="271"/>
        <v>48</v>
      </c>
      <c r="HB134" s="770">
        <f t="shared" si="272"/>
        <v>10559.021615151061</v>
      </c>
      <c r="HC134" s="1098">
        <f t="shared" si="273"/>
        <v>0.875</v>
      </c>
      <c r="HD134" s="1102">
        <f t="shared" si="274"/>
        <v>3757831.2626907565</v>
      </c>
      <c r="HE134" s="1101">
        <f t="shared" si="275"/>
        <v>29134.425781994749</v>
      </c>
      <c r="HF134" s="1101">
        <f t="shared" si="276"/>
        <v>33776.449759995252</v>
      </c>
      <c r="HG134" s="1101">
        <f t="shared" si="277"/>
        <v>43631.607307122547</v>
      </c>
      <c r="HH134" s="1101">
        <f t="shared" si="278"/>
        <v>74409.562913672053</v>
      </c>
      <c r="HI134" s="497"/>
      <c r="HJ134" s="1102">
        <f t="shared" si="279"/>
        <v>-6917.9796788920758</v>
      </c>
      <c r="HL134" s="775"/>
      <c r="HN134" s="775"/>
      <c r="HO134" s="775"/>
      <c r="HQ134" s="702"/>
      <c r="HR134" s="1171"/>
      <c r="HS134" s="702"/>
      <c r="HT134" s="1171"/>
    </row>
    <row r="135" spans="1:228" ht="14.25" customHeight="1">
      <c r="A135" s="753">
        <f t="shared" si="280"/>
        <v>129</v>
      </c>
      <c r="B135" s="753" t="s">
        <v>236</v>
      </c>
      <c r="C135" s="753">
        <f t="shared" si="305"/>
        <v>5</v>
      </c>
      <c r="D135" s="753" t="s">
        <v>269</v>
      </c>
      <c r="E135" s="717" t="str">
        <f t="shared" si="200"/>
        <v>7th Floor</v>
      </c>
      <c r="F135" s="754"/>
      <c r="G135" s="756" t="s">
        <v>518</v>
      </c>
      <c r="H135" s="756"/>
      <c r="I135" s="755" t="s">
        <v>229</v>
      </c>
      <c r="J135" s="757">
        <v>22</v>
      </c>
      <c r="K135" s="758"/>
      <c r="L135" s="759" t="s">
        <v>69</v>
      </c>
      <c r="M135" s="760" t="s">
        <v>68</v>
      </c>
      <c r="N135" s="761">
        <f t="shared" si="201"/>
        <v>106005.26567735759</v>
      </c>
      <c r="O135" s="762">
        <f t="shared" si="202"/>
        <v>2332115.8449018667</v>
      </c>
      <c r="P135" s="762">
        <f t="shared" si="203"/>
        <v>22400</v>
      </c>
      <c r="Q135" s="762">
        <f t="shared" ref="Q135:Q198" si="320">$Q$5</f>
        <v>50000</v>
      </c>
      <c r="R135" s="762"/>
      <c r="S135" s="762"/>
      <c r="T135" s="762"/>
      <c r="U135" s="762"/>
      <c r="V135" s="762"/>
      <c r="W135" s="762"/>
      <c r="X135" s="762"/>
      <c r="Y135" s="762">
        <f t="shared" si="306"/>
        <v>60000</v>
      </c>
      <c r="Z135" s="762">
        <f t="shared" ref="Z135:Z198" si="321">$Z$5</f>
        <v>142461</v>
      </c>
      <c r="AA135" s="762"/>
      <c r="AB135" s="762"/>
      <c r="AC135" s="762"/>
      <c r="AD135" s="763">
        <f t="shared" si="204"/>
        <v>274861</v>
      </c>
      <c r="AE135" s="763">
        <f t="shared" ref="AE135:AE198" si="322">O135+AD135</f>
        <v>2606976.8449018667</v>
      </c>
      <c r="AF135" s="762">
        <f t="shared" ref="AF135:AF198" si="323">AE135*$AF$5</f>
        <v>65174.421122546672</v>
      </c>
      <c r="AG135" s="762">
        <f t="shared" si="205"/>
        <v>2672151.2660244135</v>
      </c>
      <c r="AH135" s="762">
        <f t="shared" ref="AH135:AH198" si="324">AG135*$AH$5</f>
        <v>66803.781650610341</v>
      </c>
      <c r="AI135" s="762">
        <f t="shared" si="206"/>
        <v>2738955.0476750238</v>
      </c>
      <c r="AJ135" s="762">
        <f t="shared" si="207"/>
        <v>136947.75238375118</v>
      </c>
      <c r="AK135" s="762">
        <f t="shared" si="208"/>
        <v>2875902.8000587751</v>
      </c>
      <c r="AL135" s="762">
        <f t="shared" si="209"/>
        <v>28759.02800058775</v>
      </c>
      <c r="AM135" s="762">
        <f t="shared" si="210"/>
        <v>27537.409960060559</v>
      </c>
      <c r="AN135" s="762"/>
      <c r="AO135" s="763">
        <f t="shared" si="211"/>
        <v>2932199.2380194231</v>
      </c>
      <c r="AP135" s="763">
        <f t="shared" si="212"/>
        <v>483812.87427320483</v>
      </c>
      <c r="AQ135" s="763">
        <f t="shared" si="213"/>
        <v>3416012.1122926278</v>
      </c>
      <c r="AR135" s="1178">
        <f t="shared" ref="AR135:AR198" si="325">$AR$5</f>
        <v>3000000</v>
      </c>
      <c r="AS135" s="1178">
        <f t="shared" si="214"/>
        <v>18909.641467846719</v>
      </c>
      <c r="AT135" s="1178">
        <f t="shared" si="215"/>
        <v>416012.1122926278</v>
      </c>
      <c r="AU135" s="1178">
        <f t="shared" ref="AU135:AU198" si="326">AT135*$AU$5</f>
        <v>49921.453475115333</v>
      </c>
      <c r="AV135" s="1178">
        <f t="shared" si="216"/>
        <v>465933.56576774316</v>
      </c>
      <c r="AW135" s="1178">
        <f t="shared" si="217"/>
        <v>3465933.5657677432</v>
      </c>
      <c r="AX135" s="762">
        <f t="shared" si="218"/>
        <v>43324.169572096791</v>
      </c>
      <c r="AY135" s="717" t="s">
        <v>231</v>
      </c>
      <c r="AZ135" s="717">
        <f t="shared" si="219"/>
        <v>3509257.7353398399</v>
      </c>
      <c r="BA135" s="717">
        <f t="shared" si="220"/>
        <v>131597.165075244</v>
      </c>
      <c r="BB135" s="717"/>
      <c r="BC135" s="717">
        <f t="shared" ref="BC135:BC198" si="327">$BC$5*1.12</f>
        <v>33600</v>
      </c>
      <c r="BD135" s="717">
        <f t="shared" si="221"/>
        <v>3674454.9004150839</v>
      </c>
      <c r="BE135" s="717"/>
      <c r="BF135" s="717">
        <f t="shared" si="222"/>
        <v>3674454.9004150839</v>
      </c>
      <c r="BG135" s="1209"/>
      <c r="BH135" s="717">
        <f t="shared" si="223"/>
        <v>3674454.9004150839</v>
      </c>
      <c r="BI135" s="717"/>
      <c r="BJ135" s="717">
        <f t="shared" si="224"/>
        <v>3674454.9004150839</v>
      </c>
      <c r="BK135" s="717"/>
      <c r="BL135" s="717">
        <f t="shared" si="225"/>
        <v>3674454.9004150839</v>
      </c>
      <c r="BM135" s="717"/>
      <c r="BN135" s="717">
        <f t="shared" si="226"/>
        <v>3674454.9004150839</v>
      </c>
      <c r="BO135" s="717"/>
      <c r="BP135" s="717">
        <f t="shared" ref="BP135:BP198" si="328">BN135+BO135</f>
        <v>3674454.9004150839</v>
      </c>
      <c r="BQ135" s="717">
        <f>$BQ$5/56</f>
        <v>4468.4242000000004</v>
      </c>
      <c r="BR135" s="717">
        <f t="shared" si="285"/>
        <v>3678923.3246150836</v>
      </c>
      <c r="BS135" s="1234">
        <f>$BS$5/64</f>
        <v>2651.4786794501206</v>
      </c>
      <c r="BT135" s="1235">
        <f t="shared" si="227"/>
        <v>3681574.8032945339</v>
      </c>
      <c r="BU135" s="1235">
        <f>$BU$5/65</f>
        <v>211.07692307692309</v>
      </c>
      <c r="BV135" s="1235">
        <f t="shared" si="286"/>
        <v>51400</v>
      </c>
      <c r="BW135" s="717">
        <f t="shared" si="228"/>
        <v>3733185.8802176109</v>
      </c>
      <c r="BX135" s="1234">
        <f t="shared" si="287"/>
        <v>27651.078536278128</v>
      </c>
      <c r="BY135" s="717">
        <f t="shared" si="229"/>
        <v>3760836.958753889</v>
      </c>
      <c r="BZ135" s="1194">
        <f t="shared" si="230"/>
        <v>3760836.958753889</v>
      </c>
      <c r="CA135" s="1194">
        <f t="shared" si="231"/>
        <v>2880836.958753889</v>
      </c>
      <c r="CB135" s="1194">
        <f>$CB$5</f>
        <v>40000</v>
      </c>
      <c r="CC135" s="1194">
        <f t="shared" si="232"/>
        <v>880000</v>
      </c>
      <c r="CD135" s="1194">
        <f t="shared" si="233"/>
        <v>105600</v>
      </c>
      <c r="CE135" s="1194">
        <f t="shared" si="234"/>
        <v>985600</v>
      </c>
      <c r="CF135" s="1200">
        <f t="shared" si="235"/>
        <v>3866436.958753889</v>
      </c>
      <c r="CG135" s="757">
        <f t="shared" si="236"/>
        <v>3866436.958753889</v>
      </c>
      <c r="CH135" s="758">
        <f t="shared" si="237"/>
        <v>0</v>
      </c>
      <c r="CI135" s="757">
        <f t="shared" ref="CI135:CI198" si="329">CG135*CI$5</f>
        <v>396309.78827227361</v>
      </c>
      <c r="CJ135" s="757">
        <f t="shared" ref="CJ135:CJ198" si="330">CG135*CJ$5</f>
        <v>96660.92396884723</v>
      </c>
      <c r="CK135" s="759">
        <f t="shared" si="291"/>
        <v>4359407.6709950091</v>
      </c>
      <c r="CL135" s="764">
        <f t="shared" si="238"/>
        <v>0.125</v>
      </c>
      <c r="CM135" s="757">
        <f t="shared" si="239"/>
        <v>544925.95887437614</v>
      </c>
      <c r="CN135" s="757">
        <f t="shared" si="281"/>
        <v>30000</v>
      </c>
      <c r="CO135" s="757">
        <f t="shared" si="240"/>
        <v>514925.95887437614</v>
      </c>
      <c r="CP135" s="755">
        <f t="shared" si="241"/>
        <v>29</v>
      </c>
      <c r="CQ135" s="757">
        <f t="shared" si="283"/>
        <v>17756.067547392282</v>
      </c>
      <c r="CR135" s="764">
        <f t="shared" si="242"/>
        <v>0.875</v>
      </c>
      <c r="CS135" s="757">
        <f t="shared" si="243"/>
        <v>3814481.7121206331</v>
      </c>
      <c r="CT135" s="1101">
        <f t="shared" si="244"/>
        <v>29573.63611344789</v>
      </c>
      <c r="CU135" s="1101">
        <f t="shared" si="245"/>
        <v>34285.64001503594</v>
      </c>
      <c r="CV135" s="1101">
        <f t="shared" si="246"/>
        <v>44289.367060158009</v>
      </c>
      <c r="CW135" s="1141">
        <f t="shared" ref="CW135:CW198" si="331">-PMT($CT$5/12,60,CS135,0)</f>
        <v>75531.309710233079</v>
      </c>
      <c r="CX135" s="1152">
        <f t="shared" si="247"/>
        <v>309862.4738601736</v>
      </c>
      <c r="CY135" s="1152">
        <f t="shared" si="248"/>
        <v>122611.07147969973</v>
      </c>
      <c r="CZ135" s="1152">
        <f t="shared" si="249"/>
        <v>88560.240365321428</v>
      </c>
      <c r="DA135" s="1152">
        <f t="shared" si="250"/>
        <v>67398.420020902398</v>
      </c>
      <c r="DB135" s="1143">
        <f t="shared" ref="DB135:DB198" si="332">AT135/AR135</f>
        <v>0.13867070409754259</v>
      </c>
      <c r="DC135" s="1143">
        <f t="shared" si="251"/>
        <v>0.34212279768387971</v>
      </c>
      <c r="DD135" s="1098" t="s">
        <v>232</v>
      </c>
      <c r="DE135" s="1144"/>
      <c r="DF135" s="705"/>
      <c r="DG135" s="765">
        <f t="shared" si="282"/>
        <v>46082</v>
      </c>
      <c r="DH135" s="1116">
        <f t="shared" ref="DH135:DH198" si="333">(YEAR(DG135)-YEAR($DH$5))*12+MONTH(DG135)-MONTH($DH$5)</f>
        <v>28</v>
      </c>
      <c r="DI135" s="497"/>
      <c r="DJ135" s="1117">
        <f t="shared" si="252"/>
        <v>46147</v>
      </c>
      <c r="DK135" s="1116">
        <f t="shared" si="253"/>
        <v>30</v>
      </c>
      <c r="DL135" s="766" t="s">
        <v>233</v>
      </c>
      <c r="DM135" s="766" t="s">
        <v>234</v>
      </c>
      <c r="DN135" s="767">
        <f t="shared" ref="DN135:DN198" si="334">DO135/J135</f>
        <v>21178.798443988326</v>
      </c>
      <c r="DO135" s="767">
        <f t="shared" ref="DO135:DO198" si="335">AV135</f>
        <v>465933.56576774316</v>
      </c>
      <c r="DP135" s="768">
        <f t="shared" ref="DP135:DP198" si="336">AV135/AR135</f>
        <v>0.15531118858924772</v>
      </c>
      <c r="DR135" s="767">
        <f t="shared" ref="DR135:DR198" si="337">CG135</f>
        <v>3866436.958753889</v>
      </c>
      <c r="DS135" s="767">
        <f>SUM('[6]INTERNAL PRICELIST'!M135)</f>
        <v>2329361</v>
      </c>
      <c r="DT135" s="767">
        <f t="shared" si="254"/>
        <v>1537075.958753889</v>
      </c>
      <c r="DV135" s="951">
        <f t="shared" ref="DV135:DV198" si="338">DR135/J135</f>
        <v>175747.13448881314</v>
      </c>
      <c r="DX135" s="772">
        <v>4</v>
      </c>
      <c r="DY135" s="773" t="s">
        <v>250</v>
      </c>
      <c r="DZ135" s="774">
        <v>22</v>
      </c>
      <c r="EA135" s="775">
        <f t="shared" ref="EA135:EA139" si="339">DZ135-J135</f>
        <v>0</v>
      </c>
      <c r="ED135" s="755" t="s">
        <v>518</v>
      </c>
      <c r="EE135" s="777" t="b">
        <f t="shared" ref="EE135:EE198" si="340">G135=ED135</f>
        <v>1</v>
      </c>
      <c r="EF135" s="1123" t="s">
        <v>519</v>
      </c>
      <c r="EG135" s="1123" t="s">
        <v>515</v>
      </c>
      <c r="EH135" s="1203"/>
      <c r="EP135" s="1230" t="s">
        <v>258</v>
      </c>
      <c r="EQ135" s="1145" t="s">
        <v>258</v>
      </c>
      <c r="ER135" s="753" t="b">
        <f t="shared" si="255"/>
        <v>1</v>
      </c>
      <c r="EU135" s="770">
        <v>2271040</v>
      </c>
      <c r="EV135" s="771" t="s">
        <v>236</v>
      </c>
      <c r="FJ135" s="994">
        <v>0.15</v>
      </c>
      <c r="FK135" s="993">
        <v>13153.346833306294</v>
      </c>
      <c r="FL135" s="993">
        <v>13508.842693665923</v>
      </c>
      <c r="FM135" s="497"/>
      <c r="FN135" s="993">
        <f t="shared" ref="FN135:FN198" si="341">CK135</f>
        <v>4359407.6709950091</v>
      </c>
      <c r="FO135" s="994">
        <f t="shared" si="256"/>
        <v>0.15</v>
      </c>
      <c r="FP135" s="775">
        <f t="shared" ref="FP135:FP198" si="342">FN135*FO135</f>
        <v>653911.1506492513</v>
      </c>
      <c r="FQ135" s="993">
        <f t="shared" ref="FQ135:FQ198" si="343">CN135</f>
        <v>30000</v>
      </c>
      <c r="FR135" s="775">
        <f t="shared" si="257"/>
        <v>623911.1506492513</v>
      </c>
      <c r="FS135" s="497">
        <f t="shared" si="258"/>
        <v>40</v>
      </c>
      <c r="FT135" s="775">
        <f t="shared" si="259"/>
        <v>15597.778766231282</v>
      </c>
      <c r="FU135" s="497"/>
      <c r="FV135" s="993">
        <f t="shared" si="260"/>
        <v>4359407.6709950091</v>
      </c>
      <c r="FW135" s="705">
        <f t="shared" si="261"/>
        <v>435940.76709950092</v>
      </c>
      <c r="FX135" s="705">
        <f t="shared" si="262"/>
        <v>108985.19177487523</v>
      </c>
      <c r="FY135" s="705">
        <v>15000</v>
      </c>
      <c r="FZ135" s="705">
        <f t="shared" si="263"/>
        <v>420940.76709950092</v>
      </c>
      <c r="GA135" s="497">
        <f t="shared" si="264"/>
        <v>46</v>
      </c>
      <c r="GB135" s="775">
        <f t="shared" si="265"/>
        <v>9150.8862412934977</v>
      </c>
      <c r="GC135" s="497"/>
      <c r="GD135" s="497"/>
      <c r="GH135" s="1095">
        <f t="shared" si="307"/>
        <v>4359407.6709950091</v>
      </c>
      <c r="GI135" s="1098">
        <f t="shared" si="308"/>
        <v>0.125</v>
      </c>
      <c r="GJ135" s="1095">
        <f t="shared" si="309"/>
        <v>544925.95887437614</v>
      </c>
      <c r="GK135" s="1095">
        <f t="shared" si="310"/>
        <v>30000</v>
      </c>
      <c r="GL135" s="1095">
        <f t="shared" si="311"/>
        <v>514925.95887437614</v>
      </c>
      <c r="GM135" s="1095">
        <f t="shared" si="312"/>
        <v>29</v>
      </c>
      <c r="GN135" s="1095">
        <f t="shared" si="313"/>
        <v>17756.067547392282</v>
      </c>
      <c r="GO135" s="1098">
        <f t="shared" si="314"/>
        <v>0.875</v>
      </c>
      <c r="GP135" s="1095">
        <f t="shared" si="315"/>
        <v>3814481.7121206331</v>
      </c>
      <c r="GQ135" s="1095">
        <f t="shared" si="316"/>
        <v>29573.63611344789</v>
      </c>
      <c r="GR135" s="1095">
        <f t="shared" si="317"/>
        <v>34285.64001503594</v>
      </c>
      <c r="GS135" s="1095">
        <f t="shared" si="318"/>
        <v>44289.367060158009</v>
      </c>
      <c r="GT135" s="1095">
        <f t="shared" si="319"/>
        <v>75531.309710233079</v>
      </c>
      <c r="GU135" s="497"/>
      <c r="GV135" s="1095">
        <f t="shared" si="266"/>
        <v>4359407.6709950091</v>
      </c>
      <c r="GW135" s="1098">
        <f t="shared" si="267"/>
        <v>0.125</v>
      </c>
      <c r="GX135" s="1095">
        <f t="shared" si="268"/>
        <v>544925.95887437614</v>
      </c>
      <c r="GY135" s="1095">
        <f t="shared" si="269"/>
        <v>30000</v>
      </c>
      <c r="GZ135" s="1095">
        <f t="shared" si="270"/>
        <v>514925.95887437614</v>
      </c>
      <c r="HA135" s="1106">
        <f t="shared" si="271"/>
        <v>48</v>
      </c>
      <c r="HB135" s="770">
        <f t="shared" si="272"/>
        <v>10727.62414321617</v>
      </c>
      <c r="HC135" s="1098">
        <f t="shared" si="273"/>
        <v>0.875</v>
      </c>
      <c r="HD135" s="1102">
        <f t="shared" si="274"/>
        <v>3814481.7121206331</v>
      </c>
      <c r="HE135" s="1101">
        <f t="shared" si="275"/>
        <v>29573.63611344789</v>
      </c>
      <c r="HF135" s="1101">
        <f t="shared" si="276"/>
        <v>34285.64001503594</v>
      </c>
      <c r="HG135" s="1101">
        <f t="shared" si="277"/>
        <v>44289.367060158009</v>
      </c>
      <c r="HH135" s="1101">
        <f t="shared" si="278"/>
        <v>75531.309710233079</v>
      </c>
      <c r="HI135" s="497"/>
      <c r="HJ135" s="1102">
        <f t="shared" si="279"/>
        <v>-7028.4434041761124</v>
      </c>
      <c r="HL135" s="775"/>
      <c r="HN135" s="775"/>
      <c r="HO135" s="775"/>
      <c r="HQ135" s="702"/>
      <c r="HR135" s="1171"/>
      <c r="HS135" s="702"/>
      <c r="HT135" s="1171"/>
    </row>
    <row r="136" spans="1:228" ht="14.25" hidden="1" customHeight="1">
      <c r="A136" s="753">
        <f t="shared" si="280"/>
        <v>130</v>
      </c>
      <c r="B136" s="753" t="s">
        <v>236</v>
      </c>
      <c r="C136" s="753">
        <f t="shared" si="305"/>
        <v>6</v>
      </c>
      <c r="D136" s="753" t="s">
        <v>269</v>
      </c>
      <c r="E136" s="717" t="str">
        <f t="shared" ref="E136:E199" si="344">D136</f>
        <v>7th Floor</v>
      </c>
      <c r="F136" s="754"/>
      <c r="G136" s="756" t="s">
        <v>520</v>
      </c>
      <c r="H136" s="756"/>
      <c r="I136" s="755" t="s">
        <v>229</v>
      </c>
      <c r="J136" s="757">
        <v>22</v>
      </c>
      <c r="K136" s="758"/>
      <c r="L136" s="759" t="s">
        <v>69</v>
      </c>
      <c r="M136" s="760" t="s">
        <v>68</v>
      </c>
      <c r="N136" s="761">
        <f t="shared" ref="N136:N199" si="345">$N$5</f>
        <v>106005.26567735759</v>
      </c>
      <c r="O136" s="762">
        <f t="shared" ref="O136:O199" si="346">J136*N136</f>
        <v>2332115.8449018667</v>
      </c>
      <c r="P136" s="762">
        <f t="shared" ref="P136:P199" si="347">$P$7</f>
        <v>22400</v>
      </c>
      <c r="Q136" s="762">
        <f t="shared" si="320"/>
        <v>50000</v>
      </c>
      <c r="R136" s="762"/>
      <c r="S136" s="762"/>
      <c r="T136" s="762"/>
      <c r="U136" s="762"/>
      <c r="V136" s="762"/>
      <c r="W136" s="762"/>
      <c r="X136" s="762"/>
      <c r="Y136" s="762">
        <f t="shared" si="306"/>
        <v>60000</v>
      </c>
      <c r="Z136" s="762">
        <f t="shared" si="321"/>
        <v>142461</v>
      </c>
      <c r="AA136" s="762"/>
      <c r="AB136" s="762"/>
      <c r="AC136" s="762"/>
      <c r="AD136" s="763">
        <f t="shared" ref="AD136:AD199" si="348">SUM(P136:AC136)</f>
        <v>274861</v>
      </c>
      <c r="AE136" s="763">
        <f t="shared" si="322"/>
        <v>2606976.8449018667</v>
      </c>
      <c r="AF136" s="762">
        <f t="shared" si="323"/>
        <v>65174.421122546672</v>
      </c>
      <c r="AG136" s="762">
        <f t="shared" ref="AG136:AG199" si="349">AE136+AF136</f>
        <v>2672151.2660244135</v>
      </c>
      <c r="AH136" s="762">
        <f t="shared" si="324"/>
        <v>66803.781650610341</v>
      </c>
      <c r="AI136" s="762">
        <f t="shared" ref="AI136:AI199" si="350">AG136+AH136</f>
        <v>2738955.0476750238</v>
      </c>
      <c r="AJ136" s="762">
        <f t="shared" ref="AJ136:AJ199" si="351">AI136*$AJ$5</f>
        <v>136947.75238375118</v>
      </c>
      <c r="AK136" s="762">
        <f t="shared" ref="AK136:AK199" si="352">AI136+AJ136</f>
        <v>2875902.8000587751</v>
      </c>
      <c r="AL136" s="762">
        <f t="shared" ref="AL136:AL199" si="353">AK136*AL$5</f>
        <v>28759.02800058775</v>
      </c>
      <c r="AM136" s="762">
        <f t="shared" ref="AM136:AM199" si="354">$AM$5</f>
        <v>27537.409960060559</v>
      </c>
      <c r="AN136" s="762"/>
      <c r="AO136" s="763">
        <f t="shared" ref="AO136:AO199" si="355">AK136+AL136+AM136+AN136</f>
        <v>2932199.2380194231</v>
      </c>
      <c r="AP136" s="763">
        <f t="shared" ref="AP136:AP199" si="356">AO136*$AP$5</f>
        <v>483812.87427320483</v>
      </c>
      <c r="AQ136" s="763">
        <f t="shared" ref="AQ136:AQ199" si="357">AO136+AP136</f>
        <v>3416012.1122926278</v>
      </c>
      <c r="AR136" s="1178">
        <f t="shared" si="325"/>
        <v>3000000</v>
      </c>
      <c r="AS136" s="1178">
        <f t="shared" ref="AS136:AS199" si="358">AT136/J136</f>
        <v>18909.641467846719</v>
      </c>
      <c r="AT136" s="1178">
        <f t="shared" ref="AT136:AT199" si="359">AQ136-AR136</f>
        <v>416012.1122926278</v>
      </c>
      <c r="AU136" s="1178">
        <f t="shared" si="326"/>
        <v>49921.453475115333</v>
      </c>
      <c r="AV136" s="1178">
        <f t="shared" ref="AV136:AV199" si="360">AT136+AU136</f>
        <v>465933.56576774316</v>
      </c>
      <c r="AW136" s="1178">
        <f t="shared" ref="AW136:AW199" si="361">AR136+AT136+AU136</f>
        <v>3465933.5657677432</v>
      </c>
      <c r="AX136" s="762">
        <f t="shared" ref="AX136:AX199" si="362">AW136*$AX$5</f>
        <v>43324.169572096791</v>
      </c>
      <c r="AY136" s="717" t="s">
        <v>231</v>
      </c>
      <c r="AZ136" s="717">
        <f t="shared" ref="AZ136:AZ199" si="363">AW136+AX136+AY136</f>
        <v>3509257.7353398399</v>
      </c>
      <c r="BA136" s="717">
        <f t="shared" ref="BA136:BA199" si="364">AZ136*$BA$5</f>
        <v>131597.165075244</v>
      </c>
      <c r="BB136" s="717"/>
      <c r="BC136" s="717">
        <f t="shared" si="327"/>
        <v>33600</v>
      </c>
      <c r="BD136" s="717">
        <f t="shared" ref="BD136:BD199" si="365">AZ136+BA136+BB136+BC136</f>
        <v>3674454.9004150839</v>
      </c>
      <c r="BE136" s="717"/>
      <c r="BF136" s="717">
        <f t="shared" ref="BF136:BF199" si="366">BD136+BE136</f>
        <v>3674454.9004150839</v>
      </c>
      <c r="BG136" s="1209"/>
      <c r="BH136" s="717">
        <f t="shared" ref="BH136:BH199" si="367">BF136+BG136</f>
        <v>3674454.9004150839</v>
      </c>
      <c r="BI136" s="717"/>
      <c r="BJ136" s="717">
        <f t="shared" ref="BJ136:BJ199" si="368">BH136+BI136</f>
        <v>3674454.9004150839</v>
      </c>
      <c r="BK136" s="717"/>
      <c r="BL136" s="717">
        <f t="shared" ref="BL136:BL199" si="369">BJ136+BK136</f>
        <v>3674454.9004150839</v>
      </c>
      <c r="BM136" s="717"/>
      <c r="BN136" s="717">
        <f t="shared" ref="BN136:BN199" si="370">BL136+BM136</f>
        <v>3674454.9004150839</v>
      </c>
      <c r="BO136" s="717"/>
      <c r="BP136" s="717">
        <f t="shared" si="328"/>
        <v>3674454.9004150839</v>
      </c>
      <c r="BQ136" s="717"/>
      <c r="BR136" s="717">
        <f t="shared" si="285"/>
        <v>3674454.9004150839</v>
      </c>
      <c r="BS136" s="717"/>
      <c r="BT136" s="717">
        <f t="shared" ref="BT136:BT199" si="371">BS136+BR136</f>
        <v>3674454.9004150839</v>
      </c>
      <c r="BU136" s="717"/>
      <c r="BV136" s="1235">
        <f t="shared" si="286"/>
        <v>51400</v>
      </c>
      <c r="BW136" s="717">
        <f t="shared" ref="BW136:BW199" si="372">SUM(BT136:BV136)</f>
        <v>3725854.9004150839</v>
      </c>
      <c r="BX136" s="717"/>
      <c r="BY136" s="717">
        <f t="shared" ref="BY136:BY199" si="373">BW136+BX136</f>
        <v>3725854.9004150839</v>
      </c>
      <c r="BZ136" s="1194">
        <f t="shared" ref="BZ136:BZ199" si="374">BY136</f>
        <v>3725854.9004150839</v>
      </c>
      <c r="CA136" s="1194">
        <f t="shared" ref="CA136:CA199" si="375">BZ136-CC136</f>
        <v>3032854.9004150839</v>
      </c>
      <c r="CB136" s="1194">
        <v>31500</v>
      </c>
      <c r="CC136" s="1194">
        <f t="shared" ref="CC136:CC199" si="376">CB136*J136</f>
        <v>693000</v>
      </c>
      <c r="CD136" s="1194">
        <f t="shared" ref="CD136:CD199" si="377">CC136*$CD$5</f>
        <v>83160</v>
      </c>
      <c r="CE136" s="1194">
        <f t="shared" ref="CE136:CE199" si="378">SUM(CC136:CD136)</f>
        <v>776160</v>
      </c>
      <c r="CF136" s="1200">
        <f t="shared" ref="CF136:CF199" si="379">BZ136+CD136</f>
        <v>3809014.9004150839</v>
      </c>
      <c r="CG136" s="757">
        <f t="shared" ref="CG136:CG199" si="380">CF136</f>
        <v>3809014.9004150839</v>
      </c>
      <c r="CH136" s="758">
        <f t="shared" ref="CH136:CH199" si="381">IF(CA136&lt;=$CA$3,0,12%*CA136)</f>
        <v>0</v>
      </c>
      <c r="CI136" s="757">
        <f t="shared" si="329"/>
        <v>390424.02729254606</v>
      </c>
      <c r="CJ136" s="757">
        <f t="shared" si="330"/>
        <v>95225.372510377099</v>
      </c>
      <c r="CK136" s="759">
        <f t="shared" si="291"/>
        <v>4294664.3002180075</v>
      </c>
      <c r="CL136" s="764">
        <f t="shared" ref="CL136:CL199" si="382">$CL$5</f>
        <v>0.125</v>
      </c>
      <c r="CM136" s="757">
        <f t="shared" ref="CM136:CM199" si="383">CK136*CL136</f>
        <v>536833.03752725094</v>
      </c>
      <c r="CN136" s="757">
        <f t="shared" si="281"/>
        <v>30000</v>
      </c>
      <c r="CO136" s="757">
        <f t="shared" ref="CO136:CO199" si="384">CM136-CN136</f>
        <v>506833.03752725094</v>
      </c>
      <c r="CP136" s="755">
        <f t="shared" ref="CP136:CP199" si="385">VLOOKUP(E136,$ID$6:$IF$20,3,FALSE)</f>
        <v>29</v>
      </c>
      <c r="CQ136" s="757">
        <f t="shared" si="283"/>
        <v>17477.001294043137</v>
      </c>
      <c r="CR136" s="764">
        <f t="shared" ref="CR136:CR199" si="386">100%-CL136</f>
        <v>0.875</v>
      </c>
      <c r="CS136" s="757">
        <f t="shared" ref="CS136:CS199" si="387">CK136*CR136</f>
        <v>3757831.2626907565</v>
      </c>
      <c r="CT136" s="1101">
        <f t="shared" ref="CT136:CT199" si="388">-PMT($CT$5/12,240,CS136,0)</f>
        <v>29134.425781994749</v>
      </c>
      <c r="CU136" s="1101">
        <f t="shared" ref="CU136:CU199" si="389">-PMT($CT$5/12,180,CS136,0)</f>
        <v>33776.449759995252</v>
      </c>
      <c r="CV136" s="1101">
        <f t="shared" ref="CV136:CV199" si="390">-PMT($CT$5/12,120,CS136,0)</f>
        <v>43631.607307122547</v>
      </c>
      <c r="CW136" s="1141">
        <f t="shared" si="331"/>
        <v>74409.562913672053</v>
      </c>
      <c r="CX136" s="1152">
        <f t="shared" ref="CX136:CX199" si="391">(CK136*80%)*$CX$5</f>
        <v>305260.57778872194</v>
      </c>
      <c r="CY136" s="1152">
        <f t="shared" ref="CY136:CY199" si="392">(CK136*80%)*$CY$5</f>
        <v>120790.12362134912</v>
      </c>
      <c r="CZ136" s="1152">
        <f t="shared" ref="CZ136:CZ199" si="393">(CK136*80%)*$CZ$5</f>
        <v>87244.995517673655</v>
      </c>
      <c r="DA136" s="1152">
        <f t="shared" ref="DA136:DA199" si="394">(CK136*80%)*$DA$5</f>
        <v>66397.458141096984</v>
      </c>
      <c r="DB136" s="1143">
        <f t="shared" si="332"/>
        <v>0.13867070409754259</v>
      </c>
      <c r="DC136" s="1143">
        <f t="shared" ref="DC136:DC199" si="395">CE136/CA136</f>
        <v>0.25591728766640726</v>
      </c>
      <c r="DD136" s="1098" t="s">
        <v>232</v>
      </c>
      <c r="DE136" s="1144"/>
      <c r="DF136" s="705"/>
      <c r="DG136" s="765">
        <f t="shared" si="282"/>
        <v>46082</v>
      </c>
      <c r="DH136" s="1116">
        <f t="shared" si="333"/>
        <v>28</v>
      </c>
      <c r="DI136" s="497"/>
      <c r="DJ136" s="1117">
        <f t="shared" ref="DJ136:DJ199" si="396">DG136+65</f>
        <v>46147</v>
      </c>
      <c r="DK136" s="1116">
        <f t="shared" ref="DK136:DK199" si="397">(YEAR(DJ136)-YEAR($DK$5))*12+MONTH(DJ136)-MONTH($DK$5)+$DK$4+$DK$3</f>
        <v>30</v>
      </c>
      <c r="DL136" s="766" t="s">
        <v>233</v>
      </c>
      <c r="DM136" s="766" t="s">
        <v>234</v>
      </c>
      <c r="DN136" s="767">
        <f t="shared" si="334"/>
        <v>21178.798443988326</v>
      </c>
      <c r="DO136" s="767">
        <f t="shared" si="335"/>
        <v>465933.56576774316</v>
      </c>
      <c r="DP136" s="768">
        <f t="shared" si="336"/>
        <v>0.15531118858924772</v>
      </c>
      <c r="DR136" s="767">
        <f t="shared" si="337"/>
        <v>3809014.9004150839</v>
      </c>
      <c r="DS136" s="767">
        <f>SUM('[6]INTERNAL PRICELIST'!M136)</f>
        <v>2329361</v>
      </c>
      <c r="DT136" s="767">
        <f t="shared" ref="DT136:DT199" si="398">DR136-DS136</f>
        <v>1479653.9004150839</v>
      </c>
      <c r="DV136" s="951">
        <f t="shared" si="338"/>
        <v>173137.04092795835</v>
      </c>
      <c r="DX136" s="772">
        <v>5</v>
      </c>
      <c r="DY136" s="773" t="s">
        <v>255</v>
      </c>
      <c r="DZ136" s="774">
        <v>22</v>
      </c>
      <c r="EA136" s="775">
        <f t="shared" si="339"/>
        <v>0</v>
      </c>
      <c r="ED136" s="755" t="s">
        <v>520</v>
      </c>
      <c r="EE136" s="777" t="b">
        <f t="shared" si="340"/>
        <v>1</v>
      </c>
      <c r="EF136" s="1123" t="s">
        <v>519</v>
      </c>
      <c r="EG136" s="1123" t="s">
        <v>515</v>
      </c>
      <c r="EH136" s="1203"/>
      <c r="EP136" s="1230" t="s">
        <v>236</v>
      </c>
      <c r="EQ136" s="1145" t="s">
        <v>236</v>
      </c>
      <c r="ER136" s="753" t="b">
        <f t="shared" ref="ER136:ER199" si="399">EP136=EQ136</f>
        <v>1</v>
      </c>
      <c r="EU136" s="770">
        <v>2271040</v>
      </c>
      <c r="EV136" s="771" t="s">
        <v>236</v>
      </c>
      <c r="FJ136" s="994">
        <v>0.15</v>
      </c>
      <c r="FK136" s="993">
        <v>13153.346833306294</v>
      </c>
      <c r="FL136" s="993">
        <v>13508.842693665923</v>
      </c>
      <c r="FM136" s="497"/>
      <c r="FN136" s="993">
        <f t="shared" si="341"/>
        <v>4294664.3002180075</v>
      </c>
      <c r="FO136" s="994">
        <f t="shared" ref="FO136:FO199" si="400">$FO$5</f>
        <v>0.15</v>
      </c>
      <c r="FP136" s="775">
        <f t="shared" si="342"/>
        <v>644199.64503270108</v>
      </c>
      <c r="FQ136" s="993">
        <f t="shared" si="343"/>
        <v>30000</v>
      </c>
      <c r="FR136" s="775">
        <f t="shared" ref="FR136:FR199" si="401">FP136-FQ136</f>
        <v>614199.64503270108</v>
      </c>
      <c r="FS136" s="497">
        <f t="shared" ref="FS136:FS199" si="402">$FS$5</f>
        <v>40</v>
      </c>
      <c r="FT136" s="775">
        <f t="shared" ref="FT136:FT199" si="403">FR136/FS136</f>
        <v>15354.991125817527</v>
      </c>
      <c r="FU136" s="497"/>
      <c r="FV136" s="993">
        <f t="shared" ref="FV136:FV199" si="404">FN136</f>
        <v>4294664.3002180075</v>
      </c>
      <c r="FW136" s="705">
        <f t="shared" ref="FW136:FW199" si="405">FV136*$FW$5</f>
        <v>429466.4300218008</v>
      </c>
      <c r="FX136" s="705">
        <f t="shared" ref="FX136:FX199" si="406">FV136*$FX$5</f>
        <v>107366.6075054502</v>
      </c>
      <c r="FY136" s="705">
        <v>15000</v>
      </c>
      <c r="FZ136" s="705">
        <f t="shared" ref="FZ136:FZ199" si="407">FW136-FY136</f>
        <v>414466.4300218008</v>
      </c>
      <c r="GA136" s="497">
        <f t="shared" ref="GA136:GA199" si="408">$GA$5</f>
        <v>46</v>
      </c>
      <c r="GB136" s="775">
        <f t="shared" ref="GB136:GB199" si="409">FZ136/GA136</f>
        <v>9010.1397830826263</v>
      </c>
      <c r="GC136" s="497"/>
      <c r="GD136" s="497"/>
      <c r="GH136" s="1095">
        <f t="shared" si="307"/>
        <v>4294664.3002180075</v>
      </c>
      <c r="GI136" s="1098">
        <f t="shared" si="308"/>
        <v>0.125</v>
      </c>
      <c r="GJ136" s="1095">
        <f t="shared" si="309"/>
        <v>536833.03752725094</v>
      </c>
      <c r="GK136" s="1095">
        <f t="shared" si="310"/>
        <v>30000</v>
      </c>
      <c r="GL136" s="1095">
        <f t="shared" si="311"/>
        <v>506833.03752725094</v>
      </c>
      <c r="GM136" s="1095">
        <f t="shared" si="312"/>
        <v>29</v>
      </c>
      <c r="GN136" s="1095">
        <f t="shared" si="313"/>
        <v>17477.001294043137</v>
      </c>
      <c r="GO136" s="1098">
        <f t="shared" si="314"/>
        <v>0.875</v>
      </c>
      <c r="GP136" s="1095">
        <f t="shared" si="315"/>
        <v>3757831.2626907565</v>
      </c>
      <c r="GQ136" s="1095">
        <f t="shared" si="316"/>
        <v>29134.425781994749</v>
      </c>
      <c r="GR136" s="1095">
        <f t="shared" si="317"/>
        <v>33776.449759995252</v>
      </c>
      <c r="GS136" s="1095">
        <f t="shared" si="318"/>
        <v>43631.607307122547</v>
      </c>
      <c r="GT136" s="1095">
        <f t="shared" si="319"/>
        <v>74409.562913672053</v>
      </c>
      <c r="GU136" s="497"/>
      <c r="GV136" s="1095">
        <f t="shared" ref="GV136:GV199" si="410">GH136</f>
        <v>4294664.3002180075</v>
      </c>
      <c r="GW136" s="1098">
        <f t="shared" ref="GW136:GW199" si="411">GI136</f>
        <v>0.125</v>
      </c>
      <c r="GX136" s="1095">
        <f t="shared" ref="GX136:GX199" si="412">GJ136</f>
        <v>536833.03752725094</v>
      </c>
      <c r="GY136" s="1095">
        <f t="shared" ref="GY136:GY199" si="413">GK136</f>
        <v>30000</v>
      </c>
      <c r="GZ136" s="1095">
        <f t="shared" ref="GZ136:GZ199" si="414">GL136</f>
        <v>506833.03752725094</v>
      </c>
      <c r="HA136" s="1106">
        <f t="shared" ref="HA136:HA199" si="415">$HA$5</f>
        <v>48</v>
      </c>
      <c r="HB136" s="770">
        <f t="shared" ref="HB136:HB199" si="416">GZ136/HA136</f>
        <v>10559.021615151061</v>
      </c>
      <c r="HC136" s="1098">
        <f t="shared" ref="HC136:HC199" si="417">100%-GW136</f>
        <v>0.875</v>
      </c>
      <c r="HD136" s="1102">
        <f t="shared" ref="HD136:HD199" si="418">GV136*HC136</f>
        <v>3757831.2626907565</v>
      </c>
      <c r="HE136" s="1101">
        <f t="shared" ref="HE136:HE199" si="419">-PMT(7%/12,240,HD136,0)</f>
        <v>29134.425781994749</v>
      </c>
      <c r="HF136" s="1101">
        <f t="shared" ref="HF136:HF199" si="420">-PMT(7%/12,180,HD136,0)</f>
        <v>33776.449759995252</v>
      </c>
      <c r="HG136" s="1101">
        <f t="shared" ref="HG136:HG199" si="421">-PMT(7%/12,120,HD136,0)</f>
        <v>43631.607307122547</v>
      </c>
      <c r="HH136" s="1101">
        <f t="shared" ref="HH136:HH199" si="422">-PMT(7%/12,60,HD136,0)</f>
        <v>74409.562913672053</v>
      </c>
      <c r="HI136" s="497"/>
      <c r="HJ136" s="1102">
        <f t="shared" ref="HJ136:HJ199" si="423">HB136-GN136</f>
        <v>-6917.9796788920758</v>
      </c>
      <c r="HL136" s="775"/>
      <c r="HN136" s="775"/>
      <c r="HO136" s="775"/>
      <c r="HQ136" s="702"/>
      <c r="HR136" s="1171"/>
      <c r="HS136" s="702"/>
      <c r="HT136" s="1171"/>
    </row>
    <row r="137" spans="1:228" ht="14.25" hidden="1" customHeight="1">
      <c r="A137" s="753">
        <f t="shared" ref="A137:A200" si="424">A136+1</f>
        <v>131</v>
      </c>
      <c r="B137" s="753" t="s">
        <v>236</v>
      </c>
      <c r="C137" s="753">
        <f t="shared" si="305"/>
        <v>7</v>
      </c>
      <c r="D137" s="753" t="s">
        <v>269</v>
      </c>
      <c r="E137" s="717" t="str">
        <f t="shared" si="344"/>
        <v>7th Floor</v>
      </c>
      <c r="F137" s="754"/>
      <c r="G137" s="756" t="s">
        <v>521</v>
      </c>
      <c r="H137" s="756"/>
      <c r="I137" s="755" t="s">
        <v>229</v>
      </c>
      <c r="J137" s="757">
        <v>22</v>
      </c>
      <c r="K137" s="758"/>
      <c r="L137" s="759" t="s">
        <v>69</v>
      </c>
      <c r="M137" s="760" t="s">
        <v>68</v>
      </c>
      <c r="N137" s="761">
        <f t="shared" si="345"/>
        <v>106005.26567735759</v>
      </c>
      <c r="O137" s="762">
        <f t="shared" si="346"/>
        <v>2332115.8449018667</v>
      </c>
      <c r="P137" s="762">
        <f t="shared" si="347"/>
        <v>22400</v>
      </c>
      <c r="Q137" s="762">
        <f t="shared" si="320"/>
        <v>50000</v>
      </c>
      <c r="R137" s="762"/>
      <c r="S137" s="762"/>
      <c r="T137" s="762"/>
      <c r="U137" s="762"/>
      <c r="V137" s="762"/>
      <c r="W137" s="762"/>
      <c r="X137" s="762"/>
      <c r="Y137" s="762">
        <f t="shared" si="306"/>
        <v>60000</v>
      </c>
      <c r="Z137" s="762">
        <f t="shared" si="321"/>
        <v>142461</v>
      </c>
      <c r="AA137" s="762"/>
      <c r="AB137" s="762"/>
      <c r="AC137" s="762"/>
      <c r="AD137" s="763">
        <f t="shared" si="348"/>
        <v>274861</v>
      </c>
      <c r="AE137" s="763">
        <f t="shared" si="322"/>
        <v>2606976.8449018667</v>
      </c>
      <c r="AF137" s="762">
        <f t="shared" si="323"/>
        <v>65174.421122546672</v>
      </c>
      <c r="AG137" s="762">
        <f t="shared" si="349"/>
        <v>2672151.2660244135</v>
      </c>
      <c r="AH137" s="762">
        <f t="shared" si="324"/>
        <v>66803.781650610341</v>
      </c>
      <c r="AI137" s="762">
        <f t="shared" si="350"/>
        <v>2738955.0476750238</v>
      </c>
      <c r="AJ137" s="762">
        <f t="shared" si="351"/>
        <v>136947.75238375118</v>
      </c>
      <c r="AK137" s="762">
        <f t="shared" si="352"/>
        <v>2875902.8000587751</v>
      </c>
      <c r="AL137" s="762">
        <f t="shared" si="353"/>
        <v>28759.02800058775</v>
      </c>
      <c r="AM137" s="762">
        <f t="shared" si="354"/>
        <v>27537.409960060559</v>
      </c>
      <c r="AN137" s="762"/>
      <c r="AO137" s="763">
        <f t="shared" si="355"/>
        <v>2932199.2380194231</v>
      </c>
      <c r="AP137" s="763">
        <f t="shared" si="356"/>
        <v>483812.87427320483</v>
      </c>
      <c r="AQ137" s="763">
        <f t="shared" si="357"/>
        <v>3416012.1122926278</v>
      </c>
      <c r="AR137" s="1178">
        <f t="shared" si="325"/>
        <v>3000000</v>
      </c>
      <c r="AS137" s="1178">
        <f t="shared" si="358"/>
        <v>18909.641467846719</v>
      </c>
      <c r="AT137" s="1178">
        <f t="shared" si="359"/>
        <v>416012.1122926278</v>
      </c>
      <c r="AU137" s="1178">
        <f t="shared" si="326"/>
        <v>49921.453475115333</v>
      </c>
      <c r="AV137" s="1178">
        <f t="shared" si="360"/>
        <v>465933.56576774316</v>
      </c>
      <c r="AW137" s="1178">
        <f t="shared" si="361"/>
        <v>3465933.5657677432</v>
      </c>
      <c r="AX137" s="762">
        <f t="shared" si="362"/>
        <v>43324.169572096791</v>
      </c>
      <c r="AY137" s="717" t="s">
        <v>231</v>
      </c>
      <c r="AZ137" s="717">
        <f t="shared" si="363"/>
        <v>3509257.7353398399</v>
      </c>
      <c r="BA137" s="717">
        <f t="shared" si="364"/>
        <v>131597.165075244</v>
      </c>
      <c r="BB137" s="717"/>
      <c r="BC137" s="717">
        <f t="shared" si="327"/>
        <v>33600</v>
      </c>
      <c r="BD137" s="717">
        <f t="shared" si="365"/>
        <v>3674454.9004150839</v>
      </c>
      <c r="BE137" s="717"/>
      <c r="BF137" s="717">
        <f t="shared" si="366"/>
        <v>3674454.9004150839</v>
      </c>
      <c r="BG137" s="1209"/>
      <c r="BH137" s="717">
        <f t="shared" si="367"/>
        <v>3674454.9004150839</v>
      </c>
      <c r="BI137" s="717"/>
      <c r="BJ137" s="717">
        <f t="shared" si="368"/>
        <v>3674454.9004150839</v>
      </c>
      <c r="BK137" s="717"/>
      <c r="BL137" s="717">
        <f t="shared" si="369"/>
        <v>3674454.9004150839</v>
      </c>
      <c r="BM137" s="717"/>
      <c r="BN137" s="717">
        <f t="shared" si="370"/>
        <v>3674454.9004150839</v>
      </c>
      <c r="BO137" s="717"/>
      <c r="BP137" s="717">
        <f t="shared" si="328"/>
        <v>3674454.9004150839</v>
      </c>
      <c r="BQ137" s="717"/>
      <c r="BR137" s="717">
        <f t="shared" si="285"/>
        <v>3674454.9004150839</v>
      </c>
      <c r="BS137" s="717"/>
      <c r="BT137" s="717">
        <f t="shared" si="371"/>
        <v>3674454.9004150839</v>
      </c>
      <c r="BU137" s="717"/>
      <c r="BV137" s="1235">
        <f t="shared" si="286"/>
        <v>51400</v>
      </c>
      <c r="BW137" s="717">
        <f t="shared" si="372"/>
        <v>3725854.9004150839</v>
      </c>
      <c r="BX137" s="717"/>
      <c r="BY137" s="717">
        <f t="shared" si="373"/>
        <v>3725854.9004150839</v>
      </c>
      <c r="BZ137" s="1194">
        <f t="shared" si="374"/>
        <v>3725854.9004150839</v>
      </c>
      <c r="CA137" s="1194">
        <f t="shared" si="375"/>
        <v>3032854.9004150839</v>
      </c>
      <c r="CB137" s="1194">
        <v>31500</v>
      </c>
      <c r="CC137" s="1194">
        <f t="shared" si="376"/>
        <v>693000</v>
      </c>
      <c r="CD137" s="1194">
        <f t="shared" si="377"/>
        <v>83160</v>
      </c>
      <c r="CE137" s="1194">
        <f t="shared" si="378"/>
        <v>776160</v>
      </c>
      <c r="CF137" s="1200">
        <f t="shared" si="379"/>
        <v>3809014.9004150839</v>
      </c>
      <c r="CG137" s="757">
        <f t="shared" si="380"/>
        <v>3809014.9004150839</v>
      </c>
      <c r="CH137" s="758">
        <f t="shared" si="381"/>
        <v>0</v>
      </c>
      <c r="CI137" s="757">
        <f t="shared" si="329"/>
        <v>390424.02729254606</v>
      </c>
      <c r="CJ137" s="757">
        <f t="shared" si="330"/>
        <v>95225.372510377099</v>
      </c>
      <c r="CK137" s="759">
        <f t="shared" si="291"/>
        <v>4294664.3002180075</v>
      </c>
      <c r="CL137" s="764">
        <f t="shared" si="382"/>
        <v>0.125</v>
      </c>
      <c r="CM137" s="757">
        <f t="shared" si="383"/>
        <v>536833.03752725094</v>
      </c>
      <c r="CN137" s="757">
        <f t="shared" ref="CN137:CN200" si="425">CN$5</f>
        <v>30000</v>
      </c>
      <c r="CO137" s="757">
        <f t="shared" si="384"/>
        <v>506833.03752725094</v>
      </c>
      <c r="CP137" s="755">
        <f t="shared" si="385"/>
        <v>29</v>
      </c>
      <c r="CQ137" s="757">
        <f t="shared" si="283"/>
        <v>17477.001294043137</v>
      </c>
      <c r="CR137" s="764">
        <f t="shared" si="386"/>
        <v>0.875</v>
      </c>
      <c r="CS137" s="757">
        <f t="shared" si="387"/>
        <v>3757831.2626907565</v>
      </c>
      <c r="CT137" s="1101">
        <f t="shared" si="388"/>
        <v>29134.425781994749</v>
      </c>
      <c r="CU137" s="1101">
        <f t="shared" si="389"/>
        <v>33776.449759995252</v>
      </c>
      <c r="CV137" s="1101">
        <f t="shared" si="390"/>
        <v>43631.607307122547</v>
      </c>
      <c r="CW137" s="1141">
        <f t="shared" si="331"/>
        <v>74409.562913672053</v>
      </c>
      <c r="CX137" s="1152">
        <f t="shared" si="391"/>
        <v>305260.57778872194</v>
      </c>
      <c r="CY137" s="1152">
        <f t="shared" si="392"/>
        <v>120790.12362134912</v>
      </c>
      <c r="CZ137" s="1152">
        <f t="shared" si="393"/>
        <v>87244.995517673655</v>
      </c>
      <c r="DA137" s="1152">
        <f t="shared" si="394"/>
        <v>66397.458141096984</v>
      </c>
      <c r="DB137" s="1143">
        <f t="shared" si="332"/>
        <v>0.13867070409754259</v>
      </c>
      <c r="DC137" s="1143">
        <f t="shared" si="395"/>
        <v>0.25591728766640726</v>
      </c>
      <c r="DD137" s="1098" t="s">
        <v>232</v>
      </c>
      <c r="DE137" s="1144"/>
      <c r="DF137" s="705"/>
      <c r="DG137" s="765">
        <f t="shared" ref="DG137:DG200" si="426">$DG$7</f>
        <v>46082</v>
      </c>
      <c r="DH137" s="1116">
        <f t="shared" si="333"/>
        <v>28</v>
      </c>
      <c r="DI137" s="497"/>
      <c r="DJ137" s="1117">
        <f t="shared" si="396"/>
        <v>46147</v>
      </c>
      <c r="DK137" s="1116">
        <f t="shared" si="397"/>
        <v>30</v>
      </c>
      <c r="DL137" s="766" t="s">
        <v>233</v>
      </c>
      <c r="DM137" s="766" t="s">
        <v>234</v>
      </c>
      <c r="DN137" s="767">
        <f t="shared" si="334"/>
        <v>21178.798443988326</v>
      </c>
      <c r="DO137" s="767">
        <f t="shared" si="335"/>
        <v>465933.56576774316</v>
      </c>
      <c r="DP137" s="768">
        <f t="shared" si="336"/>
        <v>0.15531118858924772</v>
      </c>
      <c r="DR137" s="767">
        <f t="shared" si="337"/>
        <v>3809014.9004150839</v>
      </c>
      <c r="DS137" s="767">
        <f>SUM('[6]INTERNAL PRICELIST'!M137)</f>
        <v>2329361</v>
      </c>
      <c r="DT137" s="767">
        <f t="shared" si="398"/>
        <v>1479653.9004150839</v>
      </c>
      <c r="DV137" s="951">
        <f t="shared" si="338"/>
        <v>173137.04092795835</v>
      </c>
      <c r="DX137" s="773">
        <v>6</v>
      </c>
      <c r="DY137" s="773" t="s">
        <v>262</v>
      </c>
      <c r="DZ137" s="774">
        <v>22</v>
      </c>
      <c r="EA137" s="775">
        <f t="shared" si="339"/>
        <v>0</v>
      </c>
      <c r="ED137" s="755" t="s">
        <v>521</v>
      </c>
      <c r="EE137" s="777" t="b">
        <f t="shared" si="340"/>
        <v>1</v>
      </c>
      <c r="EF137" s="1123" t="s">
        <v>522</v>
      </c>
      <c r="EG137" s="1123" t="s">
        <v>515</v>
      </c>
      <c r="EH137" s="1203"/>
      <c r="EP137" s="1230" t="s">
        <v>236</v>
      </c>
      <c r="EQ137" s="1145" t="s">
        <v>236</v>
      </c>
      <c r="ER137" s="753" t="b">
        <f t="shared" si="399"/>
        <v>1</v>
      </c>
      <c r="EU137" s="770">
        <v>2459020</v>
      </c>
      <c r="EV137" s="771" t="s">
        <v>236</v>
      </c>
      <c r="FJ137" s="994">
        <v>0.15</v>
      </c>
      <c r="FK137" s="993">
        <v>13153.346833306294</v>
      </c>
      <c r="FL137" s="993">
        <v>13508.842693665923</v>
      </c>
      <c r="FM137" s="497"/>
      <c r="FN137" s="993">
        <f t="shared" si="341"/>
        <v>4294664.3002180075</v>
      </c>
      <c r="FO137" s="994">
        <f t="shared" si="400"/>
        <v>0.15</v>
      </c>
      <c r="FP137" s="775">
        <f t="shared" si="342"/>
        <v>644199.64503270108</v>
      </c>
      <c r="FQ137" s="993">
        <f t="shared" si="343"/>
        <v>30000</v>
      </c>
      <c r="FR137" s="775">
        <f t="shared" si="401"/>
        <v>614199.64503270108</v>
      </c>
      <c r="FS137" s="497">
        <f t="shared" si="402"/>
        <v>40</v>
      </c>
      <c r="FT137" s="775">
        <f t="shared" si="403"/>
        <v>15354.991125817527</v>
      </c>
      <c r="FU137" s="497"/>
      <c r="FV137" s="993">
        <f t="shared" si="404"/>
        <v>4294664.3002180075</v>
      </c>
      <c r="FW137" s="705">
        <f t="shared" si="405"/>
        <v>429466.4300218008</v>
      </c>
      <c r="FX137" s="705">
        <f t="shared" si="406"/>
        <v>107366.6075054502</v>
      </c>
      <c r="FY137" s="705">
        <v>15000</v>
      </c>
      <c r="FZ137" s="705">
        <f t="shared" si="407"/>
        <v>414466.4300218008</v>
      </c>
      <c r="GA137" s="497">
        <f t="shared" si="408"/>
        <v>46</v>
      </c>
      <c r="GB137" s="775">
        <f t="shared" si="409"/>
        <v>9010.1397830826263</v>
      </c>
      <c r="GC137" s="497"/>
      <c r="GD137" s="497"/>
      <c r="GH137" s="1095">
        <f t="shared" si="307"/>
        <v>4294664.3002180075</v>
      </c>
      <c r="GI137" s="1098">
        <f t="shared" si="308"/>
        <v>0.125</v>
      </c>
      <c r="GJ137" s="1095">
        <f t="shared" si="309"/>
        <v>536833.03752725094</v>
      </c>
      <c r="GK137" s="1095">
        <f t="shared" si="310"/>
        <v>30000</v>
      </c>
      <c r="GL137" s="1095">
        <f t="shared" si="311"/>
        <v>506833.03752725094</v>
      </c>
      <c r="GM137" s="1095">
        <f t="shared" si="312"/>
        <v>29</v>
      </c>
      <c r="GN137" s="1095">
        <f t="shared" si="313"/>
        <v>17477.001294043137</v>
      </c>
      <c r="GO137" s="1098">
        <f t="shared" si="314"/>
        <v>0.875</v>
      </c>
      <c r="GP137" s="1095">
        <f t="shared" si="315"/>
        <v>3757831.2626907565</v>
      </c>
      <c r="GQ137" s="1095">
        <f t="shared" si="316"/>
        <v>29134.425781994749</v>
      </c>
      <c r="GR137" s="1095">
        <f t="shared" si="317"/>
        <v>33776.449759995252</v>
      </c>
      <c r="GS137" s="1095">
        <f t="shared" si="318"/>
        <v>43631.607307122547</v>
      </c>
      <c r="GT137" s="1095">
        <f t="shared" si="319"/>
        <v>74409.562913672053</v>
      </c>
      <c r="GU137" s="497"/>
      <c r="GV137" s="1095">
        <f t="shared" si="410"/>
        <v>4294664.3002180075</v>
      </c>
      <c r="GW137" s="1098">
        <f t="shared" si="411"/>
        <v>0.125</v>
      </c>
      <c r="GX137" s="1095">
        <f t="shared" si="412"/>
        <v>536833.03752725094</v>
      </c>
      <c r="GY137" s="1095">
        <f t="shared" si="413"/>
        <v>30000</v>
      </c>
      <c r="GZ137" s="1095">
        <f t="shared" si="414"/>
        <v>506833.03752725094</v>
      </c>
      <c r="HA137" s="1106">
        <f t="shared" si="415"/>
        <v>48</v>
      </c>
      <c r="HB137" s="770">
        <f t="shared" si="416"/>
        <v>10559.021615151061</v>
      </c>
      <c r="HC137" s="1098">
        <f t="shared" si="417"/>
        <v>0.875</v>
      </c>
      <c r="HD137" s="1102">
        <f t="shared" si="418"/>
        <v>3757831.2626907565</v>
      </c>
      <c r="HE137" s="1101">
        <f t="shared" si="419"/>
        <v>29134.425781994749</v>
      </c>
      <c r="HF137" s="1101">
        <f t="shared" si="420"/>
        <v>33776.449759995252</v>
      </c>
      <c r="HG137" s="1101">
        <f t="shared" si="421"/>
        <v>43631.607307122547</v>
      </c>
      <c r="HH137" s="1101">
        <f t="shared" si="422"/>
        <v>74409.562913672053</v>
      </c>
      <c r="HI137" s="497"/>
      <c r="HJ137" s="1102">
        <f t="shared" si="423"/>
        <v>-6917.9796788920758</v>
      </c>
      <c r="HL137" s="775"/>
      <c r="HN137" s="775"/>
      <c r="HO137" s="775"/>
      <c r="HQ137" s="702"/>
      <c r="HR137" s="1171"/>
      <c r="HS137" s="702"/>
      <c r="HT137" s="1171"/>
    </row>
    <row r="138" spans="1:228" ht="14.25" hidden="1" customHeight="1">
      <c r="A138" s="753">
        <f t="shared" si="424"/>
        <v>132</v>
      </c>
      <c r="B138" s="753" t="s">
        <v>236</v>
      </c>
      <c r="C138" s="753">
        <f t="shared" si="305"/>
        <v>8</v>
      </c>
      <c r="D138" s="753" t="s">
        <v>269</v>
      </c>
      <c r="E138" s="717" t="str">
        <f t="shared" si="344"/>
        <v>7th Floor</v>
      </c>
      <c r="F138" s="754"/>
      <c r="G138" s="756" t="s">
        <v>523</v>
      </c>
      <c r="H138" s="756"/>
      <c r="I138" s="755" t="s">
        <v>229</v>
      </c>
      <c r="J138" s="757">
        <v>22</v>
      </c>
      <c r="K138" s="758"/>
      <c r="L138" s="759" t="s">
        <v>69</v>
      </c>
      <c r="M138" s="760" t="s">
        <v>68</v>
      </c>
      <c r="N138" s="761">
        <f t="shared" si="345"/>
        <v>106005.26567735759</v>
      </c>
      <c r="O138" s="762">
        <f t="shared" si="346"/>
        <v>2332115.8449018667</v>
      </c>
      <c r="P138" s="762">
        <f t="shared" si="347"/>
        <v>22400</v>
      </c>
      <c r="Q138" s="762">
        <f t="shared" si="320"/>
        <v>50000</v>
      </c>
      <c r="R138" s="762"/>
      <c r="S138" s="762"/>
      <c r="T138" s="762"/>
      <c r="U138" s="762"/>
      <c r="V138" s="762"/>
      <c r="W138" s="762"/>
      <c r="X138" s="762"/>
      <c r="Y138" s="762">
        <f t="shared" si="306"/>
        <v>60000</v>
      </c>
      <c r="Z138" s="762">
        <f t="shared" si="321"/>
        <v>142461</v>
      </c>
      <c r="AA138" s="762"/>
      <c r="AB138" s="762"/>
      <c r="AC138" s="762"/>
      <c r="AD138" s="763">
        <f t="shared" si="348"/>
        <v>274861</v>
      </c>
      <c r="AE138" s="763">
        <f t="shared" si="322"/>
        <v>2606976.8449018667</v>
      </c>
      <c r="AF138" s="762">
        <f t="shared" si="323"/>
        <v>65174.421122546672</v>
      </c>
      <c r="AG138" s="762">
        <f t="shared" si="349"/>
        <v>2672151.2660244135</v>
      </c>
      <c r="AH138" s="762">
        <f t="shared" si="324"/>
        <v>66803.781650610341</v>
      </c>
      <c r="AI138" s="762">
        <f t="shared" si="350"/>
        <v>2738955.0476750238</v>
      </c>
      <c r="AJ138" s="762">
        <f t="shared" si="351"/>
        <v>136947.75238375118</v>
      </c>
      <c r="AK138" s="762">
        <f t="shared" si="352"/>
        <v>2875902.8000587751</v>
      </c>
      <c r="AL138" s="762">
        <f t="shared" si="353"/>
        <v>28759.02800058775</v>
      </c>
      <c r="AM138" s="762">
        <f t="shared" si="354"/>
        <v>27537.409960060559</v>
      </c>
      <c r="AN138" s="762"/>
      <c r="AO138" s="763">
        <f t="shared" si="355"/>
        <v>2932199.2380194231</v>
      </c>
      <c r="AP138" s="763">
        <f t="shared" si="356"/>
        <v>483812.87427320483</v>
      </c>
      <c r="AQ138" s="763">
        <f t="shared" si="357"/>
        <v>3416012.1122926278</v>
      </c>
      <c r="AR138" s="1178">
        <f t="shared" si="325"/>
        <v>3000000</v>
      </c>
      <c r="AS138" s="1178">
        <f t="shared" si="358"/>
        <v>18909.641467846719</v>
      </c>
      <c r="AT138" s="1178">
        <f t="shared" si="359"/>
        <v>416012.1122926278</v>
      </c>
      <c r="AU138" s="1178">
        <f t="shared" si="326"/>
        <v>49921.453475115333</v>
      </c>
      <c r="AV138" s="1178">
        <f t="shared" si="360"/>
        <v>465933.56576774316</v>
      </c>
      <c r="AW138" s="1178">
        <f t="shared" si="361"/>
        <v>3465933.5657677432</v>
      </c>
      <c r="AX138" s="762">
        <f t="shared" si="362"/>
        <v>43324.169572096791</v>
      </c>
      <c r="AY138" s="717" t="s">
        <v>231</v>
      </c>
      <c r="AZ138" s="717">
        <f t="shared" si="363"/>
        <v>3509257.7353398399</v>
      </c>
      <c r="BA138" s="717">
        <f t="shared" si="364"/>
        <v>131597.165075244</v>
      </c>
      <c r="BB138" s="717"/>
      <c r="BC138" s="717">
        <f t="shared" si="327"/>
        <v>33600</v>
      </c>
      <c r="BD138" s="717">
        <f t="shared" si="365"/>
        <v>3674454.9004150839</v>
      </c>
      <c r="BE138" s="717"/>
      <c r="BF138" s="717">
        <f t="shared" si="366"/>
        <v>3674454.9004150839</v>
      </c>
      <c r="BG138" s="1209"/>
      <c r="BH138" s="717">
        <f t="shared" si="367"/>
        <v>3674454.9004150839</v>
      </c>
      <c r="BI138" s="717"/>
      <c r="BJ138" s="717">
        <f t="shared" si="368"/>
        <v>3674454.9004150839</v>
      </c>
      <c r="BK138" s="717"/>
      <c r="BL138" s="717">
        <f t="shared" si="369"/>
        <v>3674454.9004150839</v>
      </c>
      <c r="BM138" s="717"/>
      <c r="BN138" s="717">
        <f t="shared" si="370"/>
        <v>3674454.9004150839</v>
      </c>
      <c r="BO138" s="717"/>
      <c r="BP138" s="717">
        <f t="shared" si="328"/>
        <v>3674454.9004150839</v>
      </c>
      <c r="BQ138" s="717"/>
      <c r="BR138" s="717">
        <f t="shared" si="285"/>
        <v>3674454.9004150839</v>
      </c>
      <c r="BS138" s="717"/>
      <c r="BT138" s="717">
        <f t="shared" si="371"/>
        <v>3674454.9004150839</v>
      </c>
      <c r="BU138" s="717"/>
      <c r="BV138" s="1235">
        <f t="shared" si="286"/>
        <v>51400</v>
      </c>
      <c r="BW138" s="717">
        <f t="shared" si="372"/>
        <v>3725854.9004150839</v>
      </c>
      <c r="BX138" s="717"/>
      <c r="BY138" s="717">
        <f t="shared" si="373"/>
        <v>3725854.9004150839</v>
      </c>
      <c r="BZ138" s="1194">
        <f t="shared" si="374"/>
        <v>3725854.9004150839</v>
      </c>
      <c r="CA138" s="1194">
        <f t="shared" si="375"/>
        <v>3032854.9004150839</v>
      </c>
      <c r="CB138" s="1194">
        <v>31500</v>
      </c>
      <c r="CC138" s="1194">
        <f t="shared" si="376"/>
        <v>693000</v>
      </c>
      <c r="CD138" s="1194">
        <f t="shared" si="377"/>
        <v>83160</v>
      </c>
      <c r="CE138" s="1194">
        <f t="shared" si="378"/>
        <v>776160</v>
      </c>
      <c r="CF138" s="1200">
        <f t="shared" si="379"/>
        <v>3809014.9004150839</v>
      </c>
      <c r="CG138" s="757">
        <f t="shared" si="380"/>
        <v>3809014.9004150839</v>
      </c>
      <c r="CH138" s="758">
        <f t="shared" si="381"/>
        <v>0</v>
      </c>
      <c r="CI138" s="757">
        <f t="shared" si="329"/>
        <v>390424.02729254606</v>
      </c>
      <c r="CJ138" s="757">
        <f t="shared" si="330"/>
        <v>95225.372510377099</v>
      </c>
      <c r="CK138" s="759">
        <f t="shared" si="291"/>
        <v>4294664.3002180075</v>
      </c>
      <c r="CL138" s="764">
        <f t="shared" si="382"/>
        <v>0.125</v>
      </c>
      <c r="CM138" s="757">
        <f t="shared" si="383"/>
        <v>536833.03752725094</v>
      </c>
      <c r="CN138" s="757">
        <f t="shared" si="425"/>
        <v>30000</v>
      </c>
      <c r="CO138" s="757">
        <f t="shared" si="384"/>
        <v>506833.03752725094</v>
      </c>
      <c r="CP138" s="755">
        <f t="shared" si="385"/>
        <v>29</v>
      </c>
      <c r="CQ138" s="757">
        <f t="shared" si="283"/>
        <v>17477.001294043137</v>
      </c>
      <c r="CR138" s="764">
        <f t="shared" si="386"/>
        <v>0.875</v>
      </c>
      <c r="CS138" s="757">
        <f t="shared" si="387"/>
        <v>3757831.2626907565</v>
      </c>
      <c r="CT138" s="1101">
        <f t="shared" si="388"/>
        <v>29134.425781994749</v>
      </c>
      <c r="CU138" s="1101">
        <f t="shared" si="389"/>
        <v>33776.449759995252</v>
      </c>
      <c r="CV138" s="1101">
        <f t="shared" si="390"/>
        <v>43631.607307122547</v>
      </c>
      <c r="CW138" s="1141">
        <f t="shared" si="331"/>
        <v>74409.562913672053</v>
      </c>
      <c r="CX138" s="1152">
        <f t="shared" si="391"/>
        <v>305260.57778872194</v>
      </c>
      <c r="CY138" s="1152">
        <f t="shared" si="392"/>
        <v>120790.12362134912</v>
      </c>
      <c r="CZ138" s="1152">
        <f t="shared" si="393"/>
        <v>87244.995517673655</v>
      </c>
      <c r="DA138" s="1152">
        <f t="shared" si="394"/>
        <v>66397.458141096984</v>
      </c>
      <c r="DB138" s="1143">
        <f t="shared" si="332"/>
        <v>0.13867070409754259</v>
      </c>
      <c r="DC138" s="1143">
        <f t="shared" si="395"/>
        <v>0.25591728766640726</v>
      </c>
      <c r="DD138" s="1098" t="s">
        <v>232</v>
      </c>
      <c r="DE138" s="1144"/>
      <c r="DF138" s="705"/>
      <c r="DG138" s="765">
        <f t="shared" si="426"/>
        <v>46082</v>
      </c>
      <c r="DH138" s="1116">
        <f t="shared" si="333"/>
        <v>28</v>
      </c>
      <c r="DI138" s="497"/>
      <c r="DJ138" s="1117">
        <f t="shared" si="396"/>
        <v>46147</v>
      </c>
      <c r="DK138" s="1116">
        <f t="shared" si="397"/>
        <v>30</v>
      </c>
      <c r="DL138" s="766" t="s">
        <v>233</v>
      </c>
      <c r="DM138" s="766" t="s">
        <v>234</v>
      </c>
      <c r="DN138" s="767">
        <f t="shared" si="334"/>
        <v>21178.798443988326</v>
      </c>
      <c r="DO138" s="767">
        <f t="shared" si="335"/>
        <v>465933.56576774316</v>
      </c>
      <c r="DP138" s="768">
        <f t="shared" si="336"/>
        <v>0.15531118858924772</v>
      </c>
      <c r="DR138" s="767">
        <f t="shared" si="337"/>
        <v>3809014.9004150839</v>
      </c>
      <c r="DS138" s="767">
        <f>SUM('[6]INTERNAL PRICELIST'!M138)</f>
        <v>2329361</v>
      </c>
      <c r="DT138" s="767">
        <f t="shared" si="398"/>
        <v>1479653.9004150839</v>
      </c>
      <c r="DV138" s="951">
        <f t="shared" si="338"/>
        <v>173137.04092795835</v>
      </c>
      <c r="DX138" s="772">
        <v>7</v>
      </c>
      <c r="DY138" s="773" t="s">
        <v>267</v>
      </c>
      <c r="DZ138" s="774">
        <v>22</v>
      </c>
      <c r="EA138" s="775">
        <f t="shared" si="339"/>
        <v>0</v>
      </c>
      <c r="ED138" s="755" t="s">
        <v>523</v>
      </c>
      <c r="EE138" s="777" t="b">
        <f t="shared" si="340"/>
        <v>1</v>
      </c>
      <c r="EF138" s="1123" t="s">
        <v>524</v>
      </c>
      <c r="EG138" s="1123" t="s">
        <v>515</v>
      </c>
      <c r="EH138" s="1203"/>
      <c r="EP138" s="1230" t="s">
        <v>236</v>
      </c>
      <c r="EQ138" s="1145" t="s">
        <v>236</v>
      </c>
      <c r="ER138" s="753" t="b">
        <f t="shared" si="399"/>
        <v>1</v>
      </c>
      <c r="EU138" s="770">
        <v>2459020</v>
      </c>
      <c r="EV138" s="771" t="s">
        <v>236</v>
      </c>
      <c r="FJ138" s="994">
        <v>0.15</v>
      </c>
      <c r="FK138" s="993">
        <v>13153.346833306294</v>
      </c>
      <c r="FL138" s="993">
        <v>13508.842693665923</v>
      </c>
      <c r="FM138" s="497"/>
      <c r="FN138" s="993">
        <f t="shared" si="341"/>
        <v>4294664.3002180075</v>
      </c>
      <c r="FO138" s="994">
        <f t="shared" si="400"/>
        <v>0.15</v>
      </c>
      <c r="FP138" s="775">
        <f t="shared" si="342"/>
        <v>644199.64503270108</v>
      </c>
      <c r="FQ138" s="993">
        <f t="shared" si="343"/>
        <v>30000</v>
      </c>
      <c r="FR138" s="775">
        <f t="shared" si="401"/>
        <v>614199.64503270108</v>
      </c>
      <c r="FS138" s="497">
        <f t="shared" si="402"/>
        <v>40</v>
      </c>
      <c r="FT138" s="775">
        <f t="shared" si="403"/>
        <v>15354.991125817527</v>
      </c>
      <c r="FU138" s="497"/>
      <c r="FV138" s="993">
        <f t="shared" si="404"/>
        <v>4294664.3002180075</v>
      </c>
      <c r="FW138" s="705">
        <f t="shared" si="405"/>
        <v>429466.4300218008</v>
      </c>
      <c r="FX138" s="705">
        <f t="shared" si="406"/>
        <v>107366.6075054502</v>
      </c>
      <c r="FY138" s="705">
        <v>15000</v>
      </c>
      <c r="FZ138" s="705">
        <f t="shared" si="407"/>
        <v>414466.4300218008</v>
      </c>
      <c r="GA138" s="497">
        <f t="shared" si="408"/>
        <v>46</v>
      </c>
      <c r="GB138" s="775">
        <f t="shared" si="409"/>
        <v>9010.1397830826263</v>
      </c>
      <c r="GC138" s="497"/>
      <c r="GD138" s="497"/>
      <c r="GH138" s="1095">
        <f t="shared" si="307"/>
        <v>4294664.3002180075</v>
      </c>
      <c r="GI138" s="1098">
        <f t="shared" si="308"/>
        <v>0.125</v>
      </c>
      <c r="GJ138" s="1095">
        <f t="shared" si="309"/>
        <v>536833.03752725094</v>
      </c>
      <c r="GK138" s="1095">
        <f t="shared" si="310"/>
        <v>30000</v>
      </c>
      <c r="GL138" s="1095">
        <f t="shared" si="311"/>
        <v>506833.03752725094</v>
      </c>
      <c r="GM138" s="1095">
        <f t="shared" si="312"/>
        <v>29</v>
      </c>
      <c r="GN138" s="1095">
        <f t="shared" si="313"/>
        <v>17477.001294043137</v>
      </c>
      <c r="GO138" s="1098">
        <f t="shared" si="314"/>
        <v>0.875</v>
      </c>
      <c r="GP138" s="1095">
        <f t="shared" si="315"/>
        <v>3757831.2626907565</v>
      </c>
      <c r="GQ138" s="1095">
        <f t="shared" si="316"/>
        <v>29134.425781994749</v>
      </c>
      <c r="GR138" s="1095">
        <f t="shared" si="317"/>
        <v>33776.449759995252</v>
      </c>
      <c r="GS138" s="1095">
        <f t="shared" si="318"/>
        <v>43631.607307122547</v>
      </c>
      <c r="GT138" s="1095">
        <f t="shared" si="319"/>
        <v>74409.562913672053</v>
      </c>
      <c r="GU138" s="497"/>
      <c r="GV138" s="1095">
        <f t="shared" si="410"/>
        <v>4294664.3002180075</v>
      </c>
      <c r="GW138" s="1098">
        <f t="shared" si="411"/>
        <v>0.125</v>
      </c>
      <c r="GX138" s="1095">
        <f t="shared" si="412"/>
        <v>536833.03752725094</v>
      </c>
      <c r="GY138" s="1095">
        <f t="shared" si="413"/>
        <v>30000</v>
      </c>
      <c r="GZ138" s="1095">
        <f t="shared" si="414"/>
        <v>506833.03752725094</v>
      </c>
      <c r="HA138" s="1106">
        <f t="shared" si="415"/>
        <v>48</v>
      </c>
      <c r="HB138" s="770">
        <f t="shared" si="416"/>
        <v>10559.021615151061</v>
      </c>
      <c r="HC138" s="1098">
        <f t="shared" si="417"/>
        <v>0.875</v>
      </c>
      <c r="HD138" s="1102">
        <f t="shared" si="418"/>
        <v>3757831.2626907565</v>
      </c>
      <c r="HE138" s="1101">
        <f t="shared" si="419"/>
        <v>29134.425781994749</v>
      </c>
      <c r="HF138" s="1101">
        <f t="shared" si="420"/>
        <v>33776.449759995252</v>
      </c>
      <c r="HG138" s="1101">
        <f t="shared" si="421"/>
        <v>43631.607307122547</v>
      </c>
      <c r="HH138" s="1101">
        <f t="shared" si="422"/>
        <v>74409.562913672053</v>
      </c>
      <c r="HI138" s="497"/>
      <c r="HJ138" s="1102">
        <f t="shared" si="423"/>
        <v>-6917.9796788920758</v>
      </c>
      <c r="HL138" s="775"/>
      <c r="HN138" s="775"/>
      <c r="HO138" s="775"/>
      <c r="HQ138" s="702"/>
      <c r="HR138" s="1171"/>
      <c r="HS138" s="702"/>
      <c r="HT138" s="1171"/>
    </row>
    <row r="139" spans="1:228" ht="14.25" hidden="1" customHeight="1">
      <c r="A139" s="753">
        <f t="shared" si="424"/>
        <v>133</v>
      </c>
      <c r="B139" s="753"/>
      <c r="C139" s="753">
        <f t="shared" si="305"/>
        <v>9</v>
      </c>
      <c r="D139" s="753" t="s">
        <v>269</v>
      </c>
      <c r="E139" s="717" t="str">
        <f t="shared" si="344"/>
        <v>7th Floor</v>
      </c>
      <c r="F139" s="754"/>
      <c r="G139" s="756" t="s">
        <v>525</v>
      </c>
      <c r="H139" s="756"/>
      <c r="I139" s="755" t="s">
        <v>229</v>
      </c>
      <c r="J139" s="757">
        <v>22</v>
      </c>
      <c r="K139" s="758"/>
      <c r="L139" s="759" t="s">
        <v>69</v>
      </c>
      <c r="M139" s="760" t="s">
        <v>68</v>
      </c>
      <c r="N139" s="761">
        <f t="shared" si="345"/>
        <v>106005.26567735759</v>
      </c>
      <c r="O139" s="762">
        <f t="shared" si="346"/>
        <v>2332115.8449018667</v>
      </c>
      <c r="P139" s="762">
        <f t="shared" si="347"/>
        <v>22400</v>
      </c>
      <c r="Q139" s="762">
        <f t="shared" si="320"/>
        <v>50000</v>
      </c>
      <c r="R139" s="762"/>
      <c r="S139" s="762"/>
      <c r="T139" s="762"/>
      <c r="U139" s="762"/>
      <c r="V139" s="762"/>
      <c r="W139" s="762"/>
      <c r="X139" s="762"/>
      <c r="Y139" s="762">
        <f t="shared" si="306"/>
        <v>60000</v>
      </c>
      <c r="Z139" s="762">
        <f t="shared" si="321"/>
        <v>142461</v>
      </c>
      <c r="AA139" s="762"/>
      <c r="AB139" s="762"/>
      <c r="AC139" s="762"/>
      <c r="AD139" s="763">
        <f t="shared" si="348"/>
        <v>274861</v>
      </c>
      <c r="AE139" s="763">
        <f t="shared" si="322"/>
        <v>2606976.8449018667</v>
      </c>
      <c r="AF139" s="762">
        <f t="shared" si="323"/>
        <v>65174.421122546672</v>
      </c>
      <c r="AG139" s="762">
        <f t="shared" si="349"/>
        <v>2672151.2660244135</v>
      </c>
      <c r="AH139" s="762">
        <f t="shared" si="324"/>
        <v>66803.781650610341</v>
      </c>
      <c r="AI139" s="762">
        <f t="shared" si="350"/>
        <v>2738955.0476750238</v>
      </c>
      <c r="AJ139" s="762">
        <f t="shared" si="351"/>
        <v>136947.75238375118</v>
      </c>
      <c r="AK139" s="762">
        <f t="shared" si="352"/>
        <v>2875902.8000587751</v>
      </c>
      <c r="AL139" s="762">
        <f t="shared" si="353"/>
        <v>28759.02800058775</v>
      </c>
      <c r="AM139" s="762">
        <f t="shared" si="354"/>
        <v>27537.409960060559</v>
      </c>
      <c r="AN139" s="762"/>
      <c r="AO139" s="763">
        <f t="shared" si="355"/>
        <v>2932199.2380194231</v>
      </c>
      <c r="AP139" s="763">
        <f t="shared" si="356"/>
        <v>483812.87427320483</v>
      </c>
      <c r="AQ139" s="763">
        <f t="shared" si="357"/>
        <v>3416012.1122926278</v>
      </c>
      <c r="AR139" s="1178">
        <f t="shared" si="325"/>
        <v>3000000</v>
      </c>
      <c r="AS139" s="1178">
        <f t="shared" si="358"/>
        <v>18909.641467846719</v>
      </c>
      <c r="AT139" s="1178">
        <f t="shared" si="359"/>
        <v>416012.1122926278</v>
      </c>
      <c r="AU139" s="1178">
        <f t="shared" si="326"/>
        <v>49921.453475115333</v>
      </c>
      <c r="AV139" s="1178">
        <f t="shared" si="360"/>
        <v>465933.56576774316</v>
      </c>
      <c r="AW139" s="1178">
        <f t="shared" si="361"/>
        <v>3465933.5657677432</v>
      </c>
      <c r="AX139" s="762">
        <f t="shared" si="362"/>
        <v>43324.169572096791</v>
      </c>
      <c r="AY139" s="717" t="s">
        <v>231</v>
      </c>
      <c r="AZ139" s="717">
        <f t="shared" si="363"/>
        <v>3509257.7353398399</v>
      </c>
      <c r="BA139" s="717">
        <f t="shared" si="364"/>
        <v>131597.165075244</v>
      </c>
      <c r="BB139" s="717"/>
      <c r="BC139" s="717">
        <f t="shared" si="327"/>
        <v>33600</v>
      </c>
      <c r="BD139" s="717">
        <f t="shared" si="365"/>
        <v>3674454.9004150839</v>
      </c>
      <c r="BE139" s="717"/>
      <c r="BF139" s="717">
        <f t="shared" si="366"/>
        <v>3674454.9004150839</v>
      </c>
      <c r="BG139" s="1209"/>
      <c r="BH139" s="717">
        <f t="shared" si="367"/>
        <v>3674454.9004150839</v>
      </c>
      <c r="BI139" s="717"/>
      <c r="BJ139" s="717">
        <f t="shared" si="368"/>
        <v>3674454.9004150839</v>
      </c>
      <c r="BK139" s="717"/>
      <c r="BL139" s="717">
        <f t="shared" si="369"/>
        <v>3674454.9004150839</v>
      </c>
      <c r="BM139" s="717"/>
      <c r="BN139" s="717">
        <f t="shared" si="370"/>
        <v>3674454.9004150839</v>
      </c>
      <c r="BO139" s="717"/>
      <c r="BP139" s="717">
        <f t="shared" si="328"/>
        <v>3674454.9004150839</v>
      </c>
      <c r="BQ139" s="717"/>
      <c r="BR139" s="717">
        <f t="shared" si="285"/>
        <v>3674454.9004150839</v>
      </c>
      <c r="BS139" s="717"/>
      <c r="BT139" s="717">
        <f t="shared" si="371"/>
        <v>3674454.9004150839</v>
      </c>
      <c r="BU139" s="717"/>
      <c r="BV139" s="1235">
        <f t="shared" si="286"/>
        <v>51400</v>
      </c>
      <c r="BW139" s="717">
        <f t="shared" si="372"/>
        <v>3725854.9004150839</v>
      </c>
      <c r="BX139" s="717"/>
      <c r="BY139" s="717">
        <f t="shared" si="373"/>
        <v>3725854.9004150839</v>
      </c>
      <c r="BZ139" s="1194">
        <f t="shared" si="374"/>
        <v>3725854.9004150839</v>
      </c>
      <c r="CA139" s="1194">
        <f t="shared" si="375"/>
        <v>3032854.9004150839</v>
      </c>
      <c r="CB139" s="1194">
        <v>31500</v>
      </c>
      <c r="CC139" s="1194">
        <f t="shared" si="376"/>
        <v>693000</v>
      </c>
      <c r="CD139" s="1194">
        <f t="shared" si="377"/>
        <v>83160</v>
      </c>
      <c r="CE139" s="1194">
        <f t="shared" si="378"/>
        <v>776160</v>
      </c>
      <c r="CF139" s="1200">
        <f t="shared" si="379"/>
        <v>3809014.9004150839</v>
      </c>
      <c r="CG139" s="757">
        <f t="shared" si="380"/>
        <v>3809014.9004150839</v>
      </c>
      <c r="CH139" s="758">
        <f t="shared" si="381"/>
        <v>0</v>
      </c>
      <c r="CI139" s="757">
        <f t="shared" si="329"/>
        <v>390424.02729254606</v>
      </c>
      <c r="CJ139" s="757">
        <f t="shared" si="330"/>
        <v>95225.372510377099</v>
      </c>
      <c r="CK139" s="759">
        <f t="shared" si="291"/>
        <v>4294664.3002180075</v>
      </c>
      <c r="CL139" s="764">
        <f t="shared" si="382"/>
        <v>0.125</v>
      </c>
      <c r="CM139" s="757">
        <f t="shared" si="383"/>
        <v>536833.03752725094</v>
      </c>
      <c r="CN139" s="757">
        <f t="shared" si="425"/>
        <v>30000</v>
      </c>
      <c r="CO139" s="757">
        <f t="shared" si="384"/>
        <v>506833.03752725094</v>
      </c>
      <c r="CP139" s="755">
        <f t="shared" si="385"/>
        <v>29</v>
      </c>
      <c r="CQ139" s="757">
        <f t="shared" ref="CQ139:CQ202" si="427">CO139/CP139</f>
        <v>17477.001294043137</v>
      </c>
      <c r="CR139" s="764">
        <f t="shared" si="386"/>
        <v>0.875</v>
      </c>
      <c r="CS139" s="757">
        <f t="shared" si="387"/>
        <v>3757831.2626907565</v>
      </c>
      <c r="CT139" s="1101">
        <f t="shared" si="388"/>
        <v>29134.425781994749</v>
      </c>
      <c r="CU139" s="1101">
        <f t="shared" si="389"/>
        <v>33776.449759995252</v>
      </c>
      <c r="CV139" s="1101">
        <f t="shared" si="390"/>
        <v>43631.607307122547</v>
      </c>
      <c r="CW139" s="1141">
        <f t="shared" si="331"/>
        <v>74409.562913672053</v>
      </c>
      <c r="CX139" s="1152">
        <f t="shared" si="391"/>
        <v>305260.57778872194</v>
      </c>
      <c r="CY139" s="1152">
        <f t="shared" si="392"/>
        <v>120790.12362134912</v>
      </c>
      <c r="CZ139" s="1152">
        <f t="shared" si="393"/>
        <v>87244.995517673655</v>
      </c>
      <c r="DA139" s="1152">
        <f t="shared" si="394"/>
        <v>66397.458141096984</v>
      </c>
      <c r="DB139" s="1143">
        <f t="shared" si="332"/>
        <v>0.13867070409754259</v>
      </c>
      <c r="DC139" s="1143">
        <f t="shared" si="395"/>
        <v>0.25591728766640726</v>
      </c>
      <c r="DD139" s="1098" t="s">
        <v>232</v>
      </c>
      <c r="DE139" s="1144"/>
      <c r="DF139" s="705"/>
      <c r="DG139" s="765">
        <f t="shared" si="426"/>
        <v>46082</v>
      </c>
      <c r="DH139" s="1116">
        <f t="shared" si="333"/>
        <v>28</v>
      </c>
      <c r="DI139" s="497"/>
      <c r="DJ139" s="1117">
        <f t="shared" si="396"/>
        <v>46147</v>
      </c>
      <c r="DK139" s="1116">
        <f t="shared" si="397"/>
        <v>30</v>
      </c>
      <c r="DL139" s="766" t="s">
        <v>233</v>
      </c>
      <c r="DM139" s="766" t="s">
        <v>234</v>
      </c>
      <c r="DN139" s="767">
        <f t="shared" si="334"/>
        <v>21178.798443988326</v>
      </c>
      <c r="DO139" s="767">
        <f t="shared" si="335"/>
        <v>465933.56576774316</v>
      </c>
      <c r="DP139" s="768">
        <f t="shared" si="336"/>
        <v>0.15531118858924772</v>
      </c>
      <c r="DR139" s="767">
        <f t="shared" si="337"/>
        <v>3809014.9004150839</v>
      </c>
      <c r="DS139" s="767">
        <f>SUM('[6]INTERNAL PRICELIST'!M139)</f>
        <v>2331316</v>
      </c>
      <c r="DT139" s="767">
        <f t="shared" si="398"/>
        <v>1477698.9004150839</v>
      </c>
      <c r="DV139" s="951">
        <f t="shared" si="338"/>
        <v>173137.04092795835</v>
      </c>
      <c r="DX139" s="772">
        <v>8</v>
      </c>
      <c r="DY139" s="773" t="s">
        <v>271</v>
      </c>
      <c r="DZ139" s="772">
        <v>22.34</v>
      </c>
      <c r="EA139" s="775">
        <f t="shared" si="339"/>
        <v>0.33999999999999986</v>
      </c>
      <c r="ED139" s="755" t="s">
        <v>525</v>
      </c>
      <c r="EE139" s="777" t="b">
        <f t="shared" si="340"/>
        <v>1</v>
      </c>
      <c r="EF139" s="777"/>
      <c r="EG139" s="777"/>
      <c r="EH139" s="1203"/>
      <c r="EP139" s="1230" t="s">
        <v>236</v>
      </c>
      <c r="EQ139" s="1145" t="s">
        <v>236</v>
      </c>
      <c r="ER139" s="753" t="b">
        <f t="shared" si="399"/>
        <v>1</v>
      </c>
      <c r="EU139" s="770">
        <v>2459020</v>
      </c>
      <c r="EV139" s="771" t="s">
        <v>236</v>
      </c>
      <c r="FJ139" s="994">
        <v>0.15</v>
      </c>
      <c r="FK139" s="993">
        <v>13153.346833306294</v>
      </c>
      <c r="FL139" s="993">
        <v>13508.842693665923</v>
      </c>
      <c r="FM139" s="497"/>
      <c r="FN139" s="993">
        <f t="shared" si="341"/>
        <v>4294664.3002180075</v>
      </c>
      <c r="FO139" s="994">
        <f>FJ139</f>
        <v>0.15</v>
      </c>
      <c r="FP139" s="775">
        <f t="shared" si="342"/>
        <v>644199.64503270108</v>
      </c>
      <c r="FQ139" s="993">
        <f t="shared" si="343"/>
        <v>30000</v>
      </c>
      <c r="FR139" s="775">
        <f t="shared" si="401"/>
        <v>614199.64503270108</v>
      </c>
      <c r="FS139" s="497">
        <f t="shared" si="402"/>
        <v>40</v>
      </c>
      <c r="FT139" s="775">
        <f t="shared" si="403"/>
        <v>15354.991125817527</v>
      </c>
      <c r="FU139" s="497"/>
      <c r="FV139" s="993">
        <f t="shared" si="404"/>
        <v>4294664.3002180075</v>
      </c>
      <c r="FW139" s="705">
        <f t="shared" si="405"/>
        <v>429466.4300218008</v>
      </c>
      <c r="FX139" s="705">
        <f t="shared" si="406"/>
        <v>107366.6075054502</v>
      </c>
      <c r="FY139" s="705">
        <v>15000</v>
      </c>
      <c r="FZ139" s="705">
        <f t="shared" si="407"/>
        <v>414466.4300218008</v>
      </c>
      <c r="GA139" s="497">
        <f t="shared" si="408"/>
        <v>46</v>
      </c>
      <c r="GB139" s="775">
        <f t="shared" si="409"/>
        <v>9010.1397830826263</v>
      </c>
      <c r="GC139" s="497"/>
      <c r="GD139" s="497"/>
      <c r="GH139" s="1095">
        <f t="shared" si="307"/>
        <v>4294664.3002180075</v>
      </c>
      <c r="GI139" s="1098">
        <f t="shared" si="308"/>
        <v>0.125</v>
      </c>
      <c r="GJ139" s="1095">
        <f t="shared" si="309"/>
        <v>536833.03752725094</v>
      </c>
      <c r="GK139" s="1095">
        <f t="shared" si="310"/>
        <v>30000</v>
      </c>
      <c r="GL139" s="1095">
        <f t="shared" si="311"/>
        <v>506833.03752725094</v>
      </c>
      <c r="GM139" s="1095">
        <f t="shared" si="312"/>
        <v>29</v>
      </c>
      <c r="GN139" s="1095">
        <f t="shared" si="313"/>
        <v>17477.001294043137</v>
      </c>
      <c r="GO139" s="1098">
        <f t="shared" si="314"/>
        <v>0.875</v>
      </c>
      <c r="GP139" s="1095">
        <f t="shared" si="315"/>
        <v>3757831.2626907565</v>
      </c>
      <c r="GQ139" s="1095">
        <f t="shared" si="316"/>
        <v>29134.425781994749</v>
      </c>
      <c r="GR139" s="1095">
        <f t="shared" si="317"/>
        <v>33776.449759995252</v>
      </c>
      <c r="GS139" s="1095">
        <f t="shared" si="318"/>
        <v>43631.607307122547</v>
      </c>
      <c r="GT139" s="1095">
        <f t="shared" si="319"/>
        <v>74409.562913672053</v>
      </c>
      <c r="GU139" s="497"/>
      <c r="GV139" s="1095">
        <f t="shared" si="410"/>
        <v>4294664.3002180075</v>
      </c>
      <c r="GW139" s="1098">
        <f t="shared" si="411"/>
        <v>0.125</v>
      </c>
      <c r="GX139" s="1095">
        <f t="shared" si="412"/>
        <v>536833.03752725094</v>
      </c>
      <c r="GY139" s="1095">
        <f t="shared" si="413"/>
        <v>30000</v>
      </c>
      <c r="GZ139" s="1095">
        <f t="shared" si="414"/>
        <v>506833.03752725094</v>
      </c>
      <c r="HA139" s="1106">
        <f t="shared" si="415"/>
        <v>48</v>
      </c>
      <c r="HB139" s="770">
        <f t="shared" si="416"/>
        <v>10559.021615151061</v>
      </c>
      <c r="HC139" s="1098">
        <f t="shared" si="417"/>
        <v>0.875</v>
      </c>
      <c r="HD139" s="1102">
        <f t="shared" si="418"/>
        <v>3757831.2626907565</v>
      </c>
      <c r="HE139" s="1101">
        <f t="shared" si="419"/>
        <v>29134.425781994749</v>
      </c>
      <c r="HF139" s="1101">
        <f t="shared" si="420"/>
        <v>33776.449759995252</v>
      </c>
      <c r="HG139" s="1101">
        <f t="shared" si="421"/>
        <v>43631.607307122547</v>
      </c>
      <c r="HH139" s="1101">
        <f t="shared" si="422"/>
        <v>74409.562913672053</v>
      </c>
      <c r="HI139" s="497"/>
      <c r="HJ139" s="1102">
        <f t="shared" si="423"/>
        <v>-6917.9796788920758</v>
      </c>
      <c r="HL139" s="775"/>
      <c r="HN139" s="775"/>
      <c r="HO139" s="775"/>
      <c r="HQ139" s="702"/>
      <c r="HR139" s="1171"/>
      <c r="HS139" s="702"/>
      <c r="HT139" s="1171"/>
    </row>
    <row r="140" spans="1:228" ht="14.25" hidden="1" customHeight="1">
      <c r="A140" s="753">
        <f t="shared" si="424"/>
        <v>134</v>
      </c>
      <c r="B140" s="753" t="s">
        <v>236</v>
      </c>
      <c r="C140" s="753">
        <f t="shared" si="305"/>
        <v>10</v>
      </c>
      <c r="D140" s="753" t="s">
        <v>269</v>
      </c>
      <c r="E140" s="717" t="str">
        <f t="shared" si="344"/>
        <v>7th Floor</v>
      </c>
      <c r="F140" s="754"/>
      <c r="G140" s="756" t="s">
        <v>526</v>
      </c>
      <c r="H140" s="756"/>
      <c r="I140" s="755" t="s">
        <v>229</v>
      </c>
      <c r="J140" s="757">
        <v>22</v>
      </c>
      <c r="K140" s="758"/>
      <c r="L140" s="759" t="s">
        <v>277</v>
      </c>
      <c r="M140" s="760" t="s">
        <v>278</v>
      </c>
      <c r="N140" s="761">
        <f t="shared" si="345"/>
        <v>106005.26567735759</v>
      </c>
      <c r="O140" s="762">
        <f t="shared" si="346"/>
        <v>2332115.8449018667</v>
      </c>
      <c r="P140" s="762">
        <f t="shared" si="347"/>
        <v>22400</v>
      </c>
      <c r="Q140" s="762">
        <f t="shared" si="320"/>
        <v>50000</v>
      </c>
      <c r="R140" s="762"/>
      <c r="S140" s="762"/>
      <c r="T140" s="762"/>
      <c r="U140" s="762"/>
      <c r="V140" s="762"/>
      <c r="W140" s="762">
        <f>J140*$W$5</f>
        <v>22000</v>
      </c>
      <c r="X140" s="762"/>
      <c r="Y140" s="762">
        <f t="shared" si="306"/>
        <v>60000</v>
      </c>
      <c r="Z140" s="762">
        <f t="shared" si="321"/>
        <v>142461</v>
      </c>
      <c r="AA140" s="762"/>
      <c r="AB140" s="762"/>
      <c r="AC140" s="762"/>
      <c r="AD140" s="763">
        <f t="shared" si="348"/>
        <v>296861</v>
      </c>
      <c r="AE140" s="763">
        <f t="shared" si="322"/>
        <v>2628976.8449018667</v>
      </c>
      <c r="AF140" s="762">
        <f t="shared" si="323"/>
        <v>65724.421122546672</v>
      </c>
      <c r="AG140" s="762">
        <f t="shared" si="349"/>
        <v>2694701.2660244135</v>
      </c>
      <c r="AH140" s="762">
        <f t="shared" si="324"/>
        <v>67367.531650610341</v>
      </c>
      <c r="AI140" s="762">
        <f t="shared" si="350"/>
        <v>2762068.7976750238</v>
      </c>
      <c r="AJ140" s="762">
        <f t="shared" si="351"/>
        <v>138103.43988375118</v>
      </c>
      <c r="AK140" s="762">
        <f t="shared" si="352"/>
        <v>2900172.2375587751</v>
      </c>
      <c r="AL140" s="762">
        <f t="shared" si="353"/>
        <v>29001.722375587753</v>
      </c>
      <c r="AM140" s="762">
        <f t="shared" si="354"/>
        <v>27537.409960060559</v>
      </c>
      <c r="AN140" s="762"/>
      <c r="AO140" s="763">
        <f t="shared" si="355"/>
        <v>2956711.3698944231</v>
      </c>
      <c r="AP140" s="763">
        <f t="shared" si="356"/>
        <v>487857.37603257981</v>
      </c>
      <c r="AQ140" s="763">
        <f t="shared" si="357"/>
        <v>3444568.7459270027</v>
      </c>
      <c r="AR140" s="1178">
        <f t="shared" si="325"/>
        <v>3000000</v>
      </c>
      <c r="AS140" s="1178">
        <f t="shared" si="358"/>
        <v>20207.670269409216</v>
      </c>
      <c r="AT140" s="1178">
        <f t="shared" si="359"/>
        <v>444568.74592700275</v>
      </c>
      <c r="AU140" s="1178">
        <f t="shared" si="326"/>
        <v>53348.249511240327</v>
      </c>
      <c r="AV140" s="1178">
        <f t="shared" si="360"/>
        <v>497916.99543824309</v>
      </c>
      <c r="AW140" s="1178">
        <f t="shared" si="361"/>
        <v>3497916.9954382433</v>
      </c>
      <c r="AX140" s="762">
        <f t="shared" si="362"/>
        <v>43723.962442978045</v>
      </c>
      <c r="AY140" s="717" t="s">
        <v>231</v>
      </c>
      <c r="AZ140" s="717">
        <f t="shared" si="363"/>
        <v>3541640.9578812211</v>
      </c>
      <c r="BA140" s="717">
        <f t="shared" si="364"/>
        <v>132811.53592054578</v>
      </c>
      <c r="BB140" s="717"/>
      <c r="BC140" s="717">
        <f t="shared" si="327"/>
        <v>33600</v>
      </c>
      <c r="BD140" s="717">
        <f t="shared" si="365"/>
        <v>3708052.493801767</v>
      </c>
      <c r="BE140" s="717"/>
      <c r="BF140" s="717">
        <f t="shared" si="366"/>
        <v>3708052.493801767</v>
      </c>
      <c r="BG140" s="1209"/>
      <c r="BH140" s="717">
        <f t="shared" si="367"/>
        <v>3708052.493801767</v>
      </c>
      <c r="BI140" s="717"/>
      <c r="BJ140" s="717">
        <f t="shared" si="368"/>
        <v>3708052.493801767</v>
      </c>
      <c r="BK140" s="717"/>
      <c r="BL140" s="717">
        <f t="shared" si="369"/>
        <v>3708052.493801767</v>
      </c>
      <c r="BM140" s="717"/>
      <c r="BN140" s="717">
        <f t="shared" si="370"/>
        <v>3708052.493801767</v>
      </c>
      <c r="BO140" s="717"/>
      <c r="BP140" s="717">
        <f t="shared" si="328"/>
        <v>3708052.493801767</v>
      </c>
      <c r="BQ140" s="717"/>
      <c r="BR140" s="717">
        <f t="shared" si="285"/>
        <v>3708052.493801767</v>
      </c>
      <c r="BS140" s="717"/>
      <c r="BT140" s="717">
        <f t="shared" si="371"/>
        <v>3708052.493801767</v>
      </c>
      <c r="BU140" s="717"/>
      <c r="BV140" s="1235">
        <f t="shared" si="286"/>
        <v>51400</v>
      </c>
      <c r="BW140" s="717">
        <f t="shared" si="372"/>
        <v>3759452.493801767</v>
      </c>
      <c r="BX140" s="717"/>
      <c r="BY140" s="717">
        <f t="shared" si="373"/>
        <v>3759452.493801767</v>
      </c>
      <c r="BZ140" s="1194">
        <f t="shared" si="374"/>
        <v>3759452.493801767</v>
      </c>
      <c r="CA140" s="1194">
        <f t="shared" si="375"/>
        <v>3022452.493801767</v>
      </c>
      <c r="CB140" s="1194">
        <v>33500</v>
      </c>
      <c r="CC140" s="1194">
        <f t="shared" si="376"/>
        <v>737000</v>
      </c>
      <c r="CD140" s="1194">
        <f t="shared" si="377"/>
        <v>88440</v>
      </c>
      <c r="CE140" s="1194">
        <f t="shared" si="378"/>
        <v>825440</v>
      </c>
      <c r="CF140" s="1200">
        <f t="shared" si="379"/>
        <v>3847892.493801767</v>
      </c>
      <c r="CG140" s="757">
        <f t="shared" si="380"/>
        <v>3847892.493801767</v>
      </c>
      <c r="CH140" s="758">
        <f t="shared" si="381"/>
        <v>0</v>
      </c>
      <c r="CI140" s="757">
        <f t="shared" si="329"/>
        <v>394408.98061468109</v>
      </c>
      <c r="CJ140" s="757">
        <f t="shared" si="330"/>
        <v>96197.312345044178</v>
      </c>
      <c r="CK140" s="759">
        <f t="shared" si="291"/>
        <v>4338498.7867614916</v>
      </c>
      <c r="CL140" s="764">
        <f t="shared" si="382"/>
        <v>0.125</v>
      </c>
      <c r="CM140" s="757">
        <f t="shared" si="383"/>
        <v>542312.34834518644</v>
      </c>
      <c r="CN140" s="757">
        <f t="shared" si="425"/>
        <v>30000</v>
      </c>
      <c r="CO140" s="757">
        <f t="shared" si="384"/>
        <v>512312.34834518644</v>
      </c>
      <c r="CP140" s="755">
        <f t="shared" si="385"/>
        <v>29</v>
      </c>
      <c r="CQ140" s="757">
        <f t="shared" si="427"/>
        <v>17665.943046385739</v>
      </c>
      <c r="CR140" s="764">
        <f t="shared" si="386"/>
        <v>0.875</v>
      </c>
      <c r="CS140" s="757">
        <f t="shared" si="387"/>
        <v>3796186.438416305</v>
      </c>
      <c r="CT140" s="1101">
        <f t="shared" si="388"/>
        <v>29431.793051149678</v>
      </c>
      <c r="CU140" s="1101">
        <f t="shared" si="389"/>
        <v>34121.196922751609</v>
      </c>
      <c r="CV140" s="1101">
        <f t="shared" si="390"/>
        <v>44076.943419488205</v>
      </c>
      <c r="CW140" s="1141">
        <f t="shared" si="331"/>
        <v>75169.041363263648</v>
      </c>
      <c r="CX140" s="1152">
        <f t="shared" si="391"/>
        <v>308376.29062538221</v>
      </c>
      <c r="CY140" s="1152">
        <f t="shared" si="392"/>
        <v>122022.99601330697</v>
      </c>
      <c r="CZ140" s="1152">
        <f t="shared" si="393"/>
        <v>88135.481784973206</v>
      </c>
      <c r="DA140" s="1152">
        <f t="shared" si="394"/>
        <v>67075.159186382327</v>
      </c>
      <c r="DB140" s="1143">
        <f t="shared" si="332"/>
        <v>0.14818958197566759</v>
      </c>
      <c r="DC140" s="1143">
        <f t="shared" si="395"/>
        <v>0.2731027209502066</v>
      </c>
      <c r="DD140" s="1098" t="s">
        <v>232</v>
      </c>
      <c r="DE140" s="1144"/>
      <c r="DF140" s="705"/>
      <c r="DG140" s="765">
        <f t="shared" si="426"/>
        <v>46082</v>
      </c>
      <c r="DH140" s="1116">
        <f t="shared" si="333"/>
        <v>28</v>
      </c>
      <c r="DI140" s="497"/>
      <c r="DJ140" s="1117">
        <f t="shared" si="396"/>
        <v>46147</v>
      </c>
      <c r="DK140" s="1116">
        <f t="shared" si="397"/>
        <v>30</v>
      </c>
      <c r="DL140" s="766" t="s">
        <v>233</v>
      </c>
      <c r="DM140" s="766" t="s">
        <v>234</v>
      </c>
      <c r="DN140" s="767">
        <f t="shared" si="334"/>
        <v>22632.590701738322</v>
      </c>
      <c r="DO140" s="767">
        <f t="shared" si="335"/>
        <v>497916.99543824309</v>
      </c>
      <c r="DP140" s="768">
        <f t="shared" si="336"/>
        <v>0.1659723318127477</v>
      </c>
      <c r="DR140" s="767">
        <f t="shared" si="337"/>
        <v>3847892.493801767</v>
      </c>
      <c r="DS140" s="767">
        <f>SUM('[6]INTERNAL PRICELIST'!M140)</f>
        <v>2329361</v>
      </c>
      <c r="DT140" s="767">
        <f t="shared" si="398"/>
        <v>1518531.493801767</v>
      </c>
      <c r="DV140" s="951">
        <f t="shared" si="338"/>
        <v>174904.20426371667</v>
      </c>
      <c r="DX140" s="772"/>
      <c r="DY140" s="773"/>
      <c r="DZ140" s="772"/>
      <c r="EA140" s="775"/>
      <c r="ED140" s="755" t="s">
        <v>526</v>
      </c>
      <c r="EE140" s="777" t="b">
        <f t="shared" si="340"/>
        <v>1</v>
      </c>
      <c r="EF140" s="1123" t="s">
        <v>527</v>
      </c>
      <c r="EG140" s="1123" t="s">
        <v>515</v>
      </c>
      <c r="EH140" s="1203"/>
      <c r="EP140" s="1230" t="s">
        <v>236</v>
      </c>
      <c r="EQ140" s="1145" t="s">
        <v>236</v>
      </c>
      <c r="ER140" s="753" t="b">
        <f t="shared" si="399"/>
        <v>1</v>
      </c>
      <c r="EU140" s="770">
        <v>3085530.8324007285</v>
      </c>
      <c r="EV140" s="771" t="s">
        <v>258</v>
      </c>
      <c r="EW140" s="775">
        <f t="shared" ref="EW140:EW147" si="428">EU140-CG140</f>
        <v>-762361.66140103852</v>
      </c>
      <c r="FJ140" s="994">
        <v>0.15</v>
      </c>
      <c r="FK140" s="993">
        <v>13275.533360142148</v>
      </c>
      <c r="FL140" s="993">
        <v>13634.331559064909</v>
      </c>
      <c r="FM140" s="497"/>
      <c r="FN140" s="993">
        <f t="shared" si="341"/>
        <v>4338498.7867614916</v>
      </c>
      <c r="FO140" s="994">
        <f t="shared" si="400"/>
        <v>0.15</v>
      </c>
      <c r="FP140" s="775">
        <f t="shared" si="342"/>
        <v>650774.81801422371</v>
      </c>
      <c r="FQ140" s="993">
        <f t="shared" si="343"/>
        <v>30000</v>
      </c>
      <c r="FR140" s="775">
        <f t="shared" si="401"/>
        <v>620774.81801422371</v>
      </c>
      <c r="FS140" s="497">
        <f t="shared" si="402"/>
        <v>40</v>
      </c>
      <c r="FT140" s="775">
        <f t="shared" si="403"/>
        <v>15519.370450355593</v>
      </c>
      <c r="FU140" s="497"/>
      <c r="FV140" s="993">
        <f t="shared" si="404"/>
        <v>4338498.7867614916</v>
      </c>
      <c r="FW140" s="705">
        <f t="shared" si="405"/>
        <v>433849.87867614918</v>
      </c>
      <c r="FX140" s="705">
        <f t="shared" si="406"/>
        <v>108462.46966903729</v>
      </c>
      <c r="FY140" s="705">
        <v>15000</v>
      </c>
      <c r="FZ140" s="705">
        <f t="shared" si="407"/>
        <v>418849.87867614918</v>
      </c>
      <c r="GA140" s="497">
        <f t="shared" si="408"/>
        <v>46</v>
      </c>
      <c r="GB140" s="775">
        <f t="shared" si="409"/>
        <v>9105.4321451336782</v>
      </c>
      <c r="GC140" s="497"/>
      <c r="GD140" s="497"/>
      <c r="GH140" s="1095">
        <f t="shared" si="307"/>
        <v>4338498.7867614916</v>
      </c>
      <c r="GI140" s="1098">
        <f t="shared" si="308"/>
        <v>0.125</v>
      </c>
      <c r="GJ140" s="1095">
        <f t="shared" si="309"/>
        <v>542312.34834518644</v>
      </c>
      <c r="GK140" s="1095">
        <f t="shared" si="310"/>
        <v>30000</v>
      </c>
      <c r="GL140" s="1095">
        <f t="shared" si="311"/>
        <v>512312.34834518644</v>
      </c>
      <c r="GM140" s="1095">
        <f t="shared" si="312"/>
        <v>29</v>
      </c>
      <c r="GN140" s="1095">
        <f t="shared" si="313"/>
        <v>17665.943046385739</v>
      </c>
      <c r="GO140" s="1098">
        <f t="shared" si="314"/>
        <v>0.875</v>
      </c>
      <c r="GP140" s="1095">
        <f t="shared" si="315"/>
        <v>3796186.438416305</v>
      </c>
      <c r="GQ140" s="1095">
        <f t="shared" si="316"/>
        <v>29431.793051149678</v>
      </c>
      <c r="GR140" s="1095">
        <f t="shared" si="317"/>
        <v>34121.196922751609</v>
      </c>
      <c r="GS140" s="1095">
        <f t="shared" si="318"/>
        <v>44076.943419488205</v>
      </c>
      <c r="GT140" s="1095">
        <f t="shared" si="319"/>
        <v>75169.041363263648</v>
      </c>
      <c r="GU140" s="497"/>
      <c r="GV140" s="1095">
        <f t="shared" si="410"/>
        <v>4338498.7867614916</v>
      </c>
      <c r="GW140" s="1098">
        <f t="shared" si="411"/>
        <v>0.125</v>
      </c>
      <c r="GX140" s="1095">
        <f t="shared" si="412"/>
        <v>542312.34834518644</v>
      </c>
      <c r="GY140" s="1095">
        <f t="shared" si="413"/>
        <v>30000</v>
      </c>
      <c r="GZ140" s="1095">
        <f t="shared" si="414"/>
        <v>512312.34834518644</v>
      </c>
      <c r="HA140" s="1106">
        <f t="shared" si="415"/>
        <v>48</v>
      </c>
      <c r="HB140" s="770">
        <f t="shared" si="416"/>
        <v>10673.17392385805</v>
      </c>
      <c r="HC140" s="1098">
        <f t="shared" si="417"/>
        <v>0.875</v>
      </c>
      <c r="HD140" s="1102">
        <f t="shared" si="418"/>
        <v>3796186.438416305</v>
      </c>
      <c r="HE140" s="1101">
        <f t="shared" si="419"/>
        <v>29431.793051149678</v>
      </c>
      <c r="HF140" s="1101">
        <f t="shared" si="420"/>
        <v>34121.196922751609</v>
      </c>
      <c r="HG140" s="1101">
        <f t="shared" si="421"/>
        <v>44076.943419488205</v>
      </c>
      <c r="HH140" s="1101">
        <f t="shared" si="422"/>
        <v>75169.041363263648</v>
      </c>
      <c r="HI140" s="497"/>
      <c r="HJ140" s="1102">
        <f t="shared" si="423"/>
        <v>-6992.7691225276885</v>
      </c>
      <c r="HL140" s="775"/>
      <c r="HN140" s="775"/>
      <c r="HO140" s="775"/>
      <c r="HQ140" s="702"/>
      <c r="HR140" s="1171"/>
      <c r="HS140" s="702"/>
      <c r="HT140" s="1171"/>
    </row>
    <row r="141" spans="1:228" ht="14.25" customHeight="1">
      <c r="A141" s="753">
        <f t="shared" si="424"/>
        <v>135</v>
      </c>
      <c r="B141" s="753" t="s">
        <v>236</v>
      </c>
      <c r="C141" s="753">
        <f t="shared" si="305"/>
        <v>11</v>
      </c>
      <c r="D141" s="753" t="s">
        <v>269</v>
      </c>
      <c r="E141" s="717" t="str">
        <f t="shared" si="344"/>
        <v>7th Floor</v>
      </c>
      <c r="F141" s="754"/>
      <c r="G141" s="756" t="s">
        <v>528</v>
      </c>
      <c r="H141" s="756"/>
      <c r="I141" s="755" t="s">
        <v>229</v>
      </c>
      <c r="J141" s="757">
        <v>22</v>
      </c>
      <c r="K141" s="758"/>
      <c r="L141" s="759" t="s">
        <v>277</v>
      </c>
      <c r="M141" s="760" t="s">
        <v>68</v>
      </c>
      <c r="N141" s="761">
        <f t="shared" si="345"/>
        <v>106005.26567735759</v>
      </c>
      <c r="O141" s="762">
        <f t="shared" si="346"/>
        <v>2332115.8449018667</v>
      </c>
      <c r="P141" s="762">
        <f t="shared" si="347"/>
        <v>22400</v>
      </c>
      <c r="Q141" s="762">
        <f t="shared" si="320"/>
        <v>50000</v>
      </c>
      <c r="R141" s="762"/>
      <c r="S141" s="762"/>
      <c r="T141" s="762"/>
      <c r="U141" s="762"/>
      <c r="V141" s="762"/>
      <c r="W141" s="762"/>
      <c r="X141" s="762"/>
      <c r="Y141" s="762">
        <f t="shared" si="306"/>
        <v>60000</v>
      </c>
      <c r="Z141" s="762">
        <f t="shared" si="321"/>
        <v>142461</v>
      </c>
      <c r="AA141" s="762"/>
      <c r="AB141" s="762"/>
      <c r="AC141" s="762"/>
      <c r="AD141" s="763">
        <f t="shared" si="348"/>
        <v>274861</v>
      </c>
      <c r="AE141" s="763">
        <f t="shared" si="322"/>
        <v>2606976.8449018667</v>
      </c>
      <c r="AF141" s="762">
        <f t="shared" si="323"/>
        <v>65174.421122546672</v>
      </c>
      <c r="AG141" s="762">
        <f t="shared" si="349"/>
        <v>2672151.2660244135</v>
      </c>
      <c r="AH141" s="762">
        <f t="shared" si="324"/>
        <v>66803.781650610341</v>
      </c>
      <c r="AI141" s="762">
        <f t="shared" si="350"/>
        <v>2738955.0476750238</v>
      </c>
      <c r="AJ141" s="762">
        <f t="shared" si="351"/>
        <v>136947.75238375118</v>
      </c>
      <c r="AK141" s="762">
        <f t="shared" si="352"/>
        <v>2875902.8000587751</v>
      </c>
      <c r="AL141" s="762">
        <f t="shared" si="353"/>
        <v>28759.02800058775</v>
      </c>
      <c r="AM141" s="762">
        <f t="shared" si="354"/>
        <v>27537.409960060559</v>
      </c>
      <c r="AN141" s="762"/>
      <c r="AO141" s="763">
        <f t="shared" si="355"/>
        <v>2932199.2380194231</v>
      </c>
      <c r="AP141" s="763">
        <f t="shared" si="356"/>
        <v>483812.87427320483</v>
      </c>
      <c r="AQ141" s="763">
        <f t="shared" si="357"/>
        <v>3416012.1122926278</v>
      </c>
      <c r="AR141" s="1178">
        <f t="shared" si="325"/>
        <v>3000000</v>
      </c>
      <c r="AS141" s="1178">
        <f t="shared" si="358"/>
        <v>18909.641467846719</v>
      </c>
      <c r="AT141" s="1178">
        <f t="shared" si="359"/>
        <v>416012.1122926278</v>
      </c>
      <c r="AU141" s="1178">
        <f t="shared" si="326"/>
        <v>49921.453475115333</v>
      </c>
      <c r="AV141" s="1178">
        <f t="shared" si="360"/>
        <v>465933.56576774316</v>
      </c>
      <c r="AW141" s="1178">
        <f t="shared" si="361"/>
        <v>3465933.5657677432</v>
      </c>
      <c r="AX141" s="762">
        <f t="shared" si="362"/>
        <v>43324.169572096791</v>
      </c>
      <c r="AY141" s="717" t="s">
        <v>231</v>
      </c>
      <c r="AZ141" s="717">
        <f t="shared" si="363"/>
        <v>3509257.7353398399</v>
      </c>
      <c r="BA141" s="717">
        <f t="shared" si="364"/>
        <v>131597.165075244</v>
      </c>
      <c r="BB141" s="717"/>
      <c r="BC141" s="717">
        <f t="shared" si="327"/>
        <v>33600</v>
      </c>
      <c r="BD141" s="717">
        <f t="shared" si="365"/>
        <v>3674454.9004150839</v>
      </c>
      <c r="BE141" s="717"/>
      <c r="BF141" s="717">
        <f t="shared" si="366"/>
        <v>3674454.9004150839</v>
      </c>
      <c r="BG141" s="1209"/>
      <c r="BH141" s="717">
        <f t="shared" si="367"/>
        <v>3674454.9004150839</v>
      </c>
      <c r="BI141" s="717">
        <v>718.43902439024396</v>
      </c>
      <c r="BJ141" s="717">
        <f t="shared" si="368"/>
        <v>3675173.339439474</v>
      </c>
      <c r="BK141" s="717"/>
      <c r="BL141" s="717">
        <f t="shared" si="369"/>
        <v>3675173.339439474</v>
      </c>
      <c r="BM141" s="717">
        <f>$BM$5/41</f>
        <v>1038.0487804878051</v>
      </c>
      <c r="BN141" s="717">
        <f t="shared" si="370"/>
        <v>3676211.3882199619</v>
      </c>
      <c r="BO141" s="717">
        <f>$BO$5/51</f>
        <v>7289.0781490196077</v>
      </c>
      <c r="BP141" s="717">
        <f t="shared" si="328"/>
        <v>3683500.4663689816</v>
      </c>
      <c r="BQ141" s="717">
        <f>$BQ$5/56</f>
        <v>4468.4242000000004</v>
      </c>
      <c r="BR141" s="717">
        <f t="shared" si="285"/>
        <v>3687968.8905689814</v>
      </c>
      <c r="BS141" s="1234">
        <f>$BS$5/64</f>
        <v>2651.4786794501206</v>
      </c>
      <c r="BT141" s="1235">
        <f t="shared" si="371"/>
        <v>3690620.3692484316</v>
      </c>
      <c r="BU141" s="1235">
        <f>$BU$5/65</f>
        <v>211.07692307692309</v>
      </c>
      <c r="BV141" s="1235">
        <f t="shared" si="286"/>
        <v>51400</v>
      </c>
      <c r="BW141" s="717">
        <f t="shared" si="372"/>
        <v>3742231.4461715086</v>
      </c>
      <c r="BX141" s="1234">
        <f t="shared" si="287"/>
        <v>27651.078536278128</v>
      </c>
      <c r="BY141" s="717">
        <f t="shared" si="373"/>
        <v>3769882.5247077867</v>
      </c>
      <c r="BZ141" s="1194">
        <f t="shared" si="374"/>
        <v>3769882.5247077867</v>
      </c>
      <c r="CA141" s="1194">
        <f t="shared" si="375"/>
        <v>2889882.5247077867</v>
      </c>
      <c r="CB141" s="1194">
        <f>$CB$5</f>
        <v>40000</v>
      </c>
      <c r="CC141" s="1194">
        <f t="shared" si="376"/>
        <v>880000</v>
      </c>
      <c r="CD141" s="1194">
        <f t="shared" si="377"/>
        <v>105600</v>
      </c>
      <c r="CE141" s="1194">
        <f t="shared" si="378"/>
        <v>985600</v>
      </c>
      <c r="CF141" s="1200">
        <f t="shared" si="379"/>
        <v>3875482.5247077867</v>
      </c>
      <c r="CG141" s="757">
        <f t="shared" si="380"/>
        <v>3875482.5247077867</v>
      </c>
      <c r="CH141" s="758">
        <f t="shared" si="381"/>
        <v>0</v>
      </c>
      <c r="CI141" s="757">
        <f t="shared" si="329"/>
        <v>397236.95878254814</v>
      </c>
      <c r="CJ141" s="757">
        <f t="shared" si="330"/>
        <v>96887.063117694677</v>
      </c>
      <c r="CK141" s="759">
        <f t="shared" si="291"/>
        <v>4369606.5466080299</v>
      </c>
      <c r="CL141" s="764">
        <f t="shared" si="382"/>
        <v>0.125</v>
      </c>
      <c r="CM141" s="757">
        <f t="shared" si="383"/>
        <v>546200.81832600373</v>
      </c>
      <c r="CN141" s="757">
        <f t="shared" si="425"/>
        <v>30000</v>
      </c>
      <c r="CO141" s="757">
        <f t="shared" si="384"/>
        <v>516200.81832600373</v>
      </c>
      <c r="CP141" s="755">
        <f t="shared" si="385"/>
        <v>29</v>
      </c>
      <c r="CQ141" s="757">
        <f t="shared" si="427"/>
        <v>17800.028218138061</v>
      </c>
      <c r="CR141" s="764">
        <f t="shared" si="386"/>
        <v>0.875</v>
      </c>
      <c r="CS141" s="757">
        <f t="shared" si="387"/>
        <v>3823405.728282026</v>
      </c>
      <c r="CT141" s="1101">
        <f t="shared" si="388"/>
        <v>29642.82391576163</v>
      </c>
      <c r="CU141" s="1101">
        <f t="shared" si="389"/>
        <v>34365.851595189983</v>
      </c>
      <c r="CV141" s="1101">
        <f t="shared" si="390"/>
        <v>44392.982454660181</v>
      </c>
      <c r="CW141" s="1141">
        <f t="shared" si="331"/>
        <v>75708.015926022112</v>
      </c>
      <c r="CX141" s="1152">
        <f t="shared" si="391"/>
        <v>310587.40005807643</v>
      </c>
      <c r="CY141" s="1152">
        <f t="shared" si="392"/>
        <v>122897.92124489164</v>
      </c>
      <c r="CZ141" s="1152">
        <f t="shared" si="393"/>
        <v>88767.427888010498</v>
      </c>
      <c r="DA141" s="1152">
        <f t="shared" si="394"/>
        <v>67556.099264089687</v>
      </c>
      <c r="DB141" s="1143">
        <f t="shared" si="332"/>
        <v>0.13867070409754259</v>
      </c>
      <c r="DC141" s="1143">
        <f t="shared" si="395"/>
        <v>0.3410519256659611</v>
      </c>
      <c r="DD141" s="1098" t="s">
        <v>232</v>
      </c>
      <c r="DE141" s="1144"/>
      <c r="DF141" s="705"/>
      <c r="DG141" s="765">
        <f t="shared" si="426"/>
        <v>46082</v>
      </c>
      <c r="DH141" s="1116">
        <f t="shared" si="333"/>
        <v>28</v>
      </c>
      <c r="DI141" s="497"/>
      <c r="DJ141" s="1117">
        <f t="shared" si="396"/>
        <v>46147</v>
      </c>
      <c r="DK141" s="1116">
        <f t="shared" si="397"/>
        <v>30</v>
      </c>
      <c r="DL141" s="766" t="s">
        <v>233</v>
      </c>
      <c r="DM141" s="766" t="s">
        <v>234</v>
      </c>
      <c r="DN141" s="767">
        <f t="shared" si="334"/>
        <v>21178.798443988326</v>
      </c>
      <c r="DO141" s="767">
        <f t="shared" si="335"/>
        <v>465933.56576774316</v>
      </c>
      <c r="DP141" s="768">
        <f t="shared" si="336"/>
        <v>0.15531118858924772</v>
      </c>
      <c r="DR141" s="767">
        <f t="shared" si="337"/>
        <v>3875482.5247077867</v>
      </c>
      <c r="DS141" s="767">
        <f>SUM('[6]INTERNAL PRICELIST'!M141)</f>
        <v>2329361</v>
      </c>
      <c r="DT141" s="767">
        <f t="shared" si="398"/>
        <v>1546121.5247077867</v>
      </c>
      <c r="DV141" s="951">
        <f t="shared" si="338"/>
        <v>176158.29657762666</v>
      </c>
      <c r="DX141" s="772"/>
      <c r="DY141" s="773"/>
      <c r="DZ141" s="772"/>
      <c r="EA141" s="775"/>
      <c r="ED141" s="755" t="s">
        <v>528</v>
      </c>
      <c r="EE141" s="777" t="b">
        <f t="shared" si="340"/>
        <v>1</v>
      </c>
      <c r="EF141" s="1123" t="s">
        <v>529</v>
      </c>
      <c r="EG141" s="1123" t="s">
        <v>515</v>
      </c>
      <c r="EH141" s="1203"/>
      <c r="EP141" s="1230" t="s">
        <v>258</v>
      </c>
      <c r="EQ141" s="1145" t="s">
        <v>258</v>
      </c>
      <c r="ER141" s="753" t="b">
        <f t="shared" si="399"/>
        <v>1</v>
      </c>
      <c r="EU141" s="770">
        <v>3057701.8774007284</v>
      </c>
      <c r="EV141" s="771" t="s">
        <v>258</v>
      </c>
      <c r="EW141" s="775">
        <f t="shared" si="428"/>
        <v>-817780.64730705833</v>
      </c>
      <c r="EY141" s="775">
        <v>3024981.0503227995</v>
      </c>
      <c r="FJ141" s="994">
        <v>0.125</v>
      </c>
      <c r="FK141" s="993">
        <v>10895.332887404369</v>
      </c>
      <c r="FL141" s="993">
        <v>11189.801343820704</v>
      </c>
      <c r="FM141" s="497"/>
      <c r="FN141" s="993">
        <f t="shared" si="341"/>
        <v>4369606.5466080299</v>
      </c>
      <c r="FO141" s="994">
        <f t="shared" si="400"/>
        <v>0.15</v>
      </c>
      <c r="FP141" s="775">
        <f t="shared" si="342"/>
        <v>655440.98199120443</v>
      </c>
      <c r="FQ141" s="993">
        <f t="shared" si="343"/>
        <v>30000</v>
      </c>
      <c r="FR141" s="775">
        <f t="shared" si="401"/>
        <v>625440.98199120443</v>
      </c>
      <c r="FS141" s="497">
        <f t="shared" si="402"/>
        <v>40</v>
      </c>
      <c r="FT141" s="775">
        <f t="shared" si="403"/>
        <v>15636.024549780112</v>
      </c>
      <c r="FU141" s="497"/>
      <c r="FV141" s="993">
        <f t="shared" si="404"/>
        <v>4369606.5466080299</v>
      </c>
      <c r="FW141" s="705">
        <f t="shared" si="405"/>
        <v>436960.65466080303</v>
      </c>
      <c r="FX141" s="705">
        <f t="shared" si="406"/>
        <v>109240.16366520076</v>
      </c>
      <c r="FY141" s="705">
        <v>15000</v>
      </c>
      <c r="FZ141" s="705">
        <f t="shared" si="407"/>
        <v>421960.65466080303</v>
      </c>
      <c r="GA141" s="497">
        <f t="shared" si="408"/>
        <v>46</v>
      </c>
      <c r="GB141" s="775">
        <f t="shared" si="409"/>
        <v>9173.0577100174578</v>
      </c>
      <c r="GC141" s="497"/>
      <c r="GD141" s="497"/>
      <c r="GH141" s="1095">
        <f t="shared" si="307"/>
        <v>4369606.5466080299</v>
      </c>
      <c r="GI141" s="1098">
        <f t="shared" si="308"/>
        <v>0.125</v>
      </c>
      <c r="GJ141" s="1095">
        <f t="shared" si="309"/>
        <v>546200.81832600373</v>
      </c>
      <c r="GK141" s="1095">
        <f t="shared" si="310"/>
        <v>30000</v>
      </c>
      <c r="GL141" s="1095">
        <f t="shared" si="311"/>
        <v>516200.81832600373</v>
      </c>
      <c r="GM141" s="1095">
        <f t="shared" si="312"/>
        <v>29</v>
      </c>
      <c r="GN141" s="1095">
        <f t="shared" si="313"/>
        <v>17800.028218138061</v>
      </c>
      <c r="GO141" s="1098">
        <f t="shared" si="314"/>
        <v>0.875</v>
      </c>
      <c r="GP141" s="1095">
        <f t="shared" si="315"/>
        <v>3823405.728282026</v>
      </c>
      <c r="GQ141" s="1095">
        <f t="shared" si="316"/>
        <v>29642.82391576163</v>
      </c>
      <c r="GR141" s="1095">
        <f t="shared" si="317"/>
        <v>34365.851595189983</v>
      </c>
      <c r="GS141" s="1095">
        <f t="shared" si="318"/>
        <v>44392.982454660181</v>
      </c>
      <c r="GT141" s="1095">
        <f t="shared" si="319"/>
        <v>75708.015926022112</v>
      </c>
      <c r="GU141" s="497"/>
      <c r="GV141" s="1095">
        <f t="shared" si="410"/>
        <v>4369606.5466080299</v>
      </c>
      <c r="GW141" s="1098">
        <f t="shared" si="411"/>
        <v>0.125</v>
      </c>
      <c r="GX141" s="1095">
        <f t="shared" si="412"/>
        <v>546200.81832600373</v>
      </c>
      <c r="GY141" s="1095">
        <f t="shared" si="413"/>
        <v>30000</v>
      </c>
      <c r="GZ141" s="1095">
        <f t="shared" si="414"/>
        <v>516200.81832600373</v>
      </c>
      <c r="HA141" s="1106">
        <f t="shared" si="415"/>
        <v>48</v>
      </c>
      <c r="HB141" s="770">
        <f t="shared" si="416"/>
        <v>10754.183715125078</v>
      </c>
      <c r="HC141" s="1098">
        <f t="shared" si="417"/>
        <v>0.875</v>
      </c>
      <c r="HD141" s="1102">
        <f t="shared" si="418"/>
        <v>3823405.728282026</v>
      </c>
      <c r="HE141" s="1101">
        <f t="shared" si="419"/>
        <v>29642.82391576163</v>
      </c>
      <c r="HF141" s="1101">
        <f t="shared" si="420"/>
        <v>34365.851595189983</v>
      </c>
      <c r="HG141" s="1101">
        <f t="shared" si="421"/>
        <v>44392.982454660181</v>
      </c>
      <c r="HH141" s="1101">
        <f t="shared" si="422"/>
        <v>75708.015926022112</v>
      </c>
      <c r="HI141" s="497"/>
      <c r="HJ141" s="1102">
        <f t="shared" si="423"/>
        <v>-7045.8445030129824</v>
      </c>
      <c r="HL141" s="775"/>
      <c r="HN141" s="775"/>
      <c r="HO141" s="775"/>
      <c r="HQ141" s="702"/>
      <c r="HR141" s="1171"/>
      <c r="HS141" s="702"/>
      <c r="HT141" s="1171"/>
    </row>
    <row r="142" spans="1:228" ht="14.25" hidden="1" customHeight="1">
      <c r="A142" s="753">
        <f t="shared" si="424"/>
        <v>136</v>
      </c>
      <c r="B142" s="753" t="s">
        <v>236</v>
      </c>
      <c r="C142" s="753">
        <f t="shared" si="305"/>
        <v>12</v>
      </c>
      <c r="D142" s="753" t="s">
        <v>269</v>
      </c>
      <c r="E142" s="717" t="str">
        <f t="shared" si="344"/>
        <v>7th Floor</v>
      </c>
      <c r="F142" s="754"/>
      <c r="G142" s="756" t="s">
        <v>530</v>
      </c>
      <c r="H142" s="756"/>
      <c r="I142" s="755" t="s">
        <v>229</v>
      </c>
      <c r="J142" s="757">
        <v>22</v>
      </c>
      <c r="K142" s="758"/>
      <c r="L142" s="759" t="s">
        <v>277</v>
      </c>
      <c r="M142" s="760" t="s">
        <v>68</v>
      </c>
      <c r="N142" s="761">
        <f t="shared" si="345"/>
        <v>106005.26567735759</v>
      </c>
      <c r="O142" s="762">
        <f t="shared" si="346"/>
        <v>2332115.8449018667</v>
      </c>
      <c r="P142" s="762">
        <f t="shared" si="347"/>
        <v>22400</v>
      </c>
      <c r="Q142" s="762">
        <f t="shared" si="320"/>
        <v>50000</v>
      </c>
      <c r="R142" s="762"/>
      <c r="S142" s="762"/>
      <c r="T142" s="762"/>
      <c r="U142" s="762"/>
      <c r="V142" s="762"/>
      <c r="W142" s="762"/>
      <c r="X142" s="762"/>
      <c r="Y142" s="762">
        <f t="shared" si="306"/>
        <v>60000</v>
      </c>
      <c r="Z142" s="762">
        <f t="shared" si="321"/>
        <v>142461</v>
      </c>
      <c r="AA142" s="762"/>
      <c r="AB142" s="762"/>
      <c r="AC142" s="762"/>
      <c r="AD142" s="763">
        <f t="shared" si="348"/>
        <v>274861</v>
      </c>
      <c r="AE142" s="763">
        <f t="shared" si="322"/>
        <v>2606976.8449018667</v>
      </c>
      <c r="AF142" s="762">
        <f t="shared" si="323"/>
        <v>65174.421122546672</v>
      </c>
      <c r="AG142" s="762">
        <f t="shared" si="349"/>
        <v>2672151.2660244135</v>
      </c>
      <c r="AH142" s="762">
        <f t="shared" si="324"/>
        <v>66803.781650610341</v>
      </c>
      <c r="AI142" s="762">
        <f t="shared" si="350"/>
        <v>2738955.0476750238</v>
      </c>
      <c r="AJ142" s="762">
        <f t="shared" si="351"/>
        <v>136947.75238375118</v>
      </c>
      <c r="AK142" s="762">
        <f t="shared" si="352"/>
        <v>2875902.8000587751</v>
      </c>
      <c r="AL142" s="762">
        <f t="shared" si="353"/>
        <v>28759.02800058775</v>
      </c>
      <c r="AM142" s="762">
        <f t="shared" si="354"/>
        <v>27537.409960060559</v>
      </c>
      <c r="AN142" s="762"/>
      <c r="AO142" s="763">
        <f t="shared" si="355"/>
        <v>2932199.2380194231</v>
      </c>
      <c r="AP142" s="763">
        <f t="shared" si="356"/>
        <v>483812.87427320483</v>
      </c>
      <c r="AQ142" s="763">
        <f t="shared" si="357"/>
        <v>3416012.1122926278</v>
      </c>
      <c r="AR142" s="1178">
        <f t="shared" si="325"/>
        <v>3000000</v>
      </c>
      <c r="AS142" s="1178">
        <f t="shared" si="358"/>
        <v>18909.641467846719</v>
      </c>
      <c r="AT142" s="1178">
        <f t="shared" si="359"/>
        <v>416012.1122926278</v>
      </c>
      <c r="AU142" s="1178">
        <f t="shared" si="326"/>
        <v>49921.453475115333</v>
      </c>
      <c r="AV142" s="1178">
        <f t="shared" si="360"/>
        <v>465933.56576774316</v>
      </c>
      <c r="AW142" s="1178">
        <f t="shared" si="361"/>
        <v>3465933.5657677432</v>
      </c>
      <c r="AX142" s="762">
        <f t="shared" si="362"/>
        <v>43324.169572096791</v>
      </c>
      <c r="AY142" s="717" t="s">
        <v>231</v>
      </c>
      <c r="AZ142" s="717">
        <f t="shared" si="363"/>
        <v>3509257.7353398399</v>
      </c>
      <c r="BA142" s="717">
        <f t="shared" si="364"/>
        <v>131597.165075244</v>
      </c>
      <c r="BB142" s="717"/>
      <c r="BC142" s="717">
        <f t="shared" si="327"/>
        <v>33600</v>
      </c>
      <c r="BD142" s="717">
        <f t="shared" si="365"/>
        <v>3674454.9004150839</v>
      </c>
      <c r="BE142" s="717"/>
      <c r="BF142" s="717">
        <f t="shared" si="366"/>
        <v>3674454.9004150839</v>
      </c>
      <c r="BG142" s="1209"/>
      <c r="BH142" s="717">
        <f t="shared" si="367"/>
        <v>3674454.9004150839</v>
      </c>
      <c r="BI142" s="717"/>
      <c r="BJ142" s="717">
        <f t="shared" si="368"/>
        <v>3674454.9004150839</v>
      </c>
      <c r="BK142" s="717"/>
      <c r="BL142" s="717">
        <f t="shared" si="369"/>
        <v>3674454.9004150839</v>
      </c>
      <c r="BM142" s="717"/>
      <c r="BN142" s="717">
        <f t="shared" si="370"/>
        <v>3674454.9004150839</v>
      </c>
      <c r="BO142" s="717"/>
      <c r="BP142" s="717">
        <f t="shared" si="328"/>
        <v>3674454.9004150839</v>
      </c>
      <c r="BQ142" s="717"/>
      <c r="BR142" s="717">
        <f t="shared" si="285"/>
        <v>3674454.9004150839</v>
      </c>
      <c r="BS142" s="717"/>
      <c r="BT142" s="717">
        <f t="shared" si="371"/>
        <v>3674454.9004150839</v>
      </c>
      <c r="BU142" s="717"/>
      <c r="BV142" s="1235">
        <f t="shared" si="286"/>
        <v>51400</v>
      </c>
      <c r="BW142" s="717">
        <f t="shared" si="372"/>
        <v>3725854.9004150839</v>
      </c>
      <c r="BX142" s="717"/>
      <c r="BY142" s="717">
        <f t="shared" si="373"/>
        <v>3725854.9004150839</v>
      </c>
      <c r="BZ142" s="1194">
        <f t="shared" si="374"/>
        <v>3725854.9004150839</v>
      </c>
      <c r="CA142" s="1194">
        <f t="shared" si="375"/>
        <v>3032854.9004150839</v>
      </c>
      <c r="CB142" s="1194">
        <v>31500</v>
      </c>
      <c r="CC142" s="1194">
        <f t="shared" si="376"/>
        <v>693000</v>
      </c>
      <c r="CD142" s="1194">
        <f t="shared" si="377"/>
        <v>83160</v>
      </c>
      <c r="CE142" s="1194">
        <f t="shared" si="378"/>
        <v>776160</v>
      </c>
      <c r="CF142" s="1200">
        <f t="shared" si="379"/>
        <v>3809014.9004150839</v>
      </c>
      <c r="CG142" s="757">
        <f t="shared" si="380"/>
        <v>3809014.9004150839</v>
      </c>
      <c r="CH142" s="758">
        <f t="shared" si="381"/>
        <v>0</v>
      </c>
      <c r="CI142" s="757">
        <f t="shared" si="329"/>
        <v>390424.02729254606</v>
      </c>
      <c r="CJ142" s="757">
        <f t="shared" si="330"/>
        <v>95225.372510377099</v>
      </c>
      <c r="CK142" s="759">
        <f t="shared" si="291"/>
        <v>4294664.3002180075</v>
      </c>
      <c r="CL142" s="764">
        <f t="shared" si="382"/>
        <v>0.125</v>
      </c>
      <c r="CM142" s="757">
        <f t="shared" si="383"/>
        <v>536833.03752725094</v>
      </c>
      <c r="CN142" s="757">
        <f t="shared" si="425"/>
        <v>30000</v>
      </c>
      <c r="CO142" s="757">
        <f t="shared" si="384"/>
        <v>506833.03752725094</v>
      </c>
      <c r="CP142" s="755">
        <f t="shared" si="385"/>
        <v>29</v>
      </c>
      <c r="CQ142" s="757">
        <f t="shared" si="427"/>
        <v>17477.001294043137</v>
      </c>
      <c r="CR142" s="764">
        <f t="shared" si="386"/>
        <v>0.875</v>
      </c>
      <c r="CS142" s="757">
        <f t="shared" si="387"/>
        <v>3757831.2626907565</v>
      </c>
      <c r="CT142" s="1101">
        <f t="shared" si="388"/>
        <v>29134.425781994749</v>
      </c>
      <c r="CU142" s="1101">
        <f t="shared" si="389"/>
        <v>33776.449759995252</v>
      </c>
      <c r="CV142" s="1101">
        <f t="shared" si="390"/>
        <v>43631.607307122547</v>
      </c>
      <c r="CW142" s="1141">
        <f t="shared" si="331"/>
        <v>74409.562913672053</v>
      </c>
      <c r="CX142" s="1152">
        <f t="shared" si="391"/>
        <v>305260.57778872194</v>
      </c>
      <c r="CY142" s="1152">
        <f t="shared" si="392"/>
        <v>120790.12362134912</v>
      </c>
      <c r="CZ142" s="1152">
        <f t="shared" si="393"/>
        <v>87244.995517673655</v>
      </c>
      <c r="DA142" s="1152">
        <f t="shared" si="394"/>
        <v>66397.458141096984</v>
      </c>
      <c r="DB142" s="1143">
        <f t="shared" si="332"/>
        <v>0.13867070409754259</v>
      </c>
      <c r="DC142" s="1143">
        <f t="shared" si="395"/>
        <v>0.25591728766640726</v>
      </c>
      <c r="DD142" s="1098" t="s">
        <v>232</v>
      </c>
      <c r="DE142" s="1144"/>
      <c r="DF142" s="705"/>
      <c r="DG142" s="765">
        <f t="shared" si="426"/>
        <v>46082</v>
      </c>
      <c r="DH142" s="1116">
        <f t="shared" si="333"/>
        <v>28</v>
      </c>
      <c r="DI142" s="497"/>
      <c r="DJ142" s="1117">
        <f t="shared" si="396"/>
        <v>46147</v>
      </c>
      <c r="DK142" s="1116">
        <f t="shared" si="397"/>
        <v>30</v>
      </c>
      <c r="DL142" s="766" t="s">
        <v>233</v>
      </c>
      <c r="DM142" s="766" t="s">
        <v>234</v>
      </c>
      <c r="DN142" s="767">
        <f t="shared" si="334"/>
        <v>21178.798443988326</v>
      </c>
      <c r="DO142" s="767">
        <f t="shared" si="335"/>
        <v>465933.56576774316</v>
      </c>
      <c r="DP142" s="768">
        <f t="shared" si="336"/>
        <v>0.15531118858924772</v>
      </c>
      <c r="DR142" s="767">
        <f t="shared" si="337"/>
        <v>3809014.9004150839</v>
      </c>
      <c r="DS142" s="767">
        <f>SUM('[6]INTERNAL PRICELIST'!M142)</f>
        <v>2329361</v>
      </c>
      <c r="DT142" s="767">
        <f t="shared" si="398"/>
        <v>1479653.9004150839</v>
      </c>
      <c r="DV142" s="951">
        <f t="shared" si="338"/>
        <v>173137.04092795835</v>
      </c>
      <c r="DX142" s="772"/>
      <c r="DY142" s="773"/>
      <c r="DZ142" s="772"/>
      <c r="EA142" s="775"/>
      <c r="ED142" s="755" t="s">
        <v>530</v>
      </c>
      <c r="EE142" s="777" t="b">
        <f t="shared" si="340"/>
        <v>1</v>
      </c>
      <c r="EF142" s="1123" t="s">
        <v>531</v>
      </c>
      <c r="EG142" s="1123" t="s">
        <v>515</v>
      </c>
      <c r="EH142" s="1203"/>
      <c r="EP142" s="1230" t="s">
        <v>236</v>
      </c>
      <c r="EQ142" s="1145" t="s">
        <v>236</v>
      </c>
      <c r="ER142" s="753" t="b">
        <f t="shared" si="399"/>
        <v>1</v>
      </c>
      <c r="EU142" s="770">
        <v>3057701.8774007284</v>
      </c>
      <c r="EV142" s="771" t="s">
        <v>258</v>
      </c>
      <c r="EW142" s="775">
        <f t="shared" si="428"/>
        <v>-751313.02301435545</v>
      </c>
      <c r="EY142" s="775">
        <v>3024981.0503227995</v>
      </c>
      <c r="FJ142" s="994">
        <v>0.125</v>
      </c>
      <c r="FK142" s="993">
        <v>10895.332887404369</v>
      </c>
      <c r="FL142" s="993">
        <v>11189.801343820704</v>
      </c>
      <c r="FM142" s="497"/>
      <c r="FN142" s="993">
        <f t="shared" si="341"/>
        <v>4294664.3002180075</v>
      </c>
      <c r="FO142" s="994">
        <f t="shared" si="400"/>
        <v>0.15</v>
      </c>
      <c r="FP142" s="775">
        <f t="shared" si="342"/>
        <v>644199.64503270108</v>
      </c>
      <c r="FQ142" s="993">
        <f t="shared" si="343"/>
        <v>30000</v>
      </c>
      <c r="FR142" s="775">
        <f t="shared" si="401"/>
        <v>614199.64503270108</v>
      </c>
      <c r="FS142" s="497">
        <f t="shared" si="402"/>
        <v>40</v>
      </c>
      <c r="FT142" s="775">
        <f t="shared" si="403"/>
        <v>15354.991125817527</v>
      </c>
      <c r="FU142" s="497"/>
      <c r="FV142" s="993">
        <f t="shared" si="404"/>
        <v>4294664.3002180075</v>
      </c>
      <c r="FW142" s="705">
        <f t="shared" si="405"/>
        <v>429466.4300218008</v>
      </c>
      <c r="FX142" s="705">
        <f t="shared" si="406"/>
        <v>107366.6075054502</v>
      </c>
      <c r="FY142" s="705">
        <v>15000</v>
      </c>
      <c r="FZ142" s="705">
        <f t="shared" si="407"/>
        <v>414466.4300218008</v>
      </c>
      <c r="GA142" s="497">
        <f t="shared" si="408"/>
        <v>46</v>
      </c>
      <c r="GB142" s="775">
        <f t="shared" si="409"/>
        <v>9010.1397830826263</v>
      </c>
      <c r="GC142" s="497"/>
      <c r="GD142" s="497"/>
      <c r="GH142" s="1095">
        <f t="shared" si="307"/>
        <v>4294664.3002180075</v>
      </c>
      <c r="GI142" s="1098">
        <f t="shared" si="308"/>
        <v>0.125</v>
      </c>
      <c r="GJ142" s="1095">
        <f t="shared" si="309"/>
        <v>536833.03752725094</v>
      </c>
      <c r="GK142" s="1095">
        <f t="shared" si="310"/>
        <v>30000</v>
      </c>
      <c r="GL142" s="1095">
        <f t="shared" si="311"/>
        <v>506833.03752725094</v>
      </c>
      <c r="GM142" s="1095">
        <f t="shared" si="312"/>
        <v>29</v>
      </c>
      <c r="GN142" s="1095">
        <f t="shared" si="313"/>
        <v>17477.001294043137</v>
      </c>
      <c r="GO142" s="1098">
        <f t="shared" si="314"/>
        <v>0.875</v>
      </c>
      <c r="GP142" s="1095">
        <f t="shared" si="315"/>
        <v>3757831.2626907565</v>
      </c>
      <c r="GQ142" s="1095">
        <f t="shared" si="316"/>
        <v>29134.425781994749</v>
      </c>
      <c r="GR142" s="1095">
        <f t="shared" si="317"/>
        <v>33776.449759995252</v>
      </c>
      <c r="GS142" s="1095">
        <f t="shared" si="318"/>
        <v>43631.607307122547</v>
      </c>
      <c r="GT142" s="1095">
        <f t="shared" si="319"/>
        <v>74409.562913672053</v>
      </c>
      <c r="GU142" s="497"/>
      <c r="GV142" s="1095">
        <f t="shared" si="410"/>
        <v>4294664.3002180075</v>
      </c>
      <c r="GW142" s="1098">
        <f t="shared" si="411"/>
        <v>0.125</v>
      </c>
      <c r="GX142" s="1095">
        <f t="shared" si="412"/>
        <v>536833.03752725094</v>
      </c>
      <c r="GY142" s="1095">
        <f t="shared" si="413"/>
        <v>30000</v>
      </c>
      <c r="GZ142" s="1095">
        <f t="shared" si="414"/>
        <v>506833.03752725094</v>
      </c>
      <c r="HA142" s="1106">
        <f t="shared" si="415"/>
        <v>48</v>
      </c>
      <c r="HB142" s="770">
        <f t="shared" si="416"/>
        <v>10559.021615151061</v>
      </c>
      <c r="HC142" s="1098">
        <f t="shared" si="417"/>
        <v>0.875</v>
      </c>
      <c r="HD142" s="1102">
        <f t="shared" si="418"/>
        <v>3757831.2626907565</v>
      </c>
      <c r="HE142" s="1101">
        <f t="shared" si="419"/>
        <v>29134.425781994749</v>
      </c>
      <c r="HF142" s="1101">
        <f t="shared" si="420"/>
        <v>33776.449759995252</v>
      </c>
      <c r="HG142" s="1101">
        <f t="shared" si="421"/>
        <v>43631.607307122547</v>
      </c>
      <c r="HH142" s="1101">
        <f t="shared" si="422"/>
        <v>74409.562913672053</v>
      </c>
      <c r="HI142" s="497"/>
      <c r="HJ142" s="1102">
        <f t="shared" si="423"/>
        <v>-6917.9796788920758</v>
      </c>
      <c r="HL142" s="775"/>
      <c r="HN142" s="775"/>
      <c r="HO142" s="775"/>
      <c r="HQ142" s="702"/>
      <c r="HR142" s="1171"/>
      <c r="HS142" s="702"/>
      <c r="HT142" s="1171"/>
    </row>
    <row r="143" spans="1:228" ht="14.25" customHeight="1">
      <c r="A143" s="753">
        <f t="shared" si="424"/>
        <v>137</v>
      </c>
      <c r="B143" s="753" t="s">
        <v>236</v>
      </c>
      <c r="C143" s="753">
        <f t="shared" si="305"/>
        <v>13</v>
      </c>
      <c r="D143" s="753" t="s">
        <v>269</v>
      </c>
      <c r="E143" s="717" t="str">
        <f t="shared" si="344"/>
        <v>7th Floor</v>
      </c>
      <c r="F143" s="754"/>
      <c r="G143" s="756" t="s">
        <v>532</v>
      </c>
      <c r="H143" s="756"/>
      <c r="I143" s="755" t="s">
        <v>229</v>
      </c>
      <c r="J143" s="757">
        <v>22</v>
      </c>
      <c r="K143" s="758"/>
      <c r="L143" s="759" t="s">
        <v>277</v>
      </c>
      <c r="M143" s="760" t="s">
        <v>68</v>
      </c>
      <c r="N143" s="761">
        <f t="shared" si="345"/>
        <v>106005.26567735759</v>
      </c>
      <c r="O143" s="762">
        <f t="shared" si="346"/>
        <v>2332115.8449018667</v>
      </c>
      <c r="P143" s="762">
        <f t="shared" si="347"/>
        <v>22400</v>
      </c>
      <c r="Q143" s="762">
        <f t="shared" si="320"/>
        <v>50000</v>
      </c>
      <c r="R143" s="762"/>
      <c r="S143" s="762"/>
      <c r="T143" s="762"/>
      <c r="U143" s="762"/>
      <c r="V143" s="762"/>
      <c r="W143" s="762"/>
      <c r="X143" s="762"/>
      <c r="Y143" s="762">
        <f t="shared" si="306"/>
        <v>60000</v>
      </c>
      <c r="Z143" s="762">
        <f t="shared" si="321"/>
        <v>142461</v>
      </c>
      <c r="AA143" s="762"/>
      <c r="AB143" s="762"/>
      <c r="AC143" s="762"/>
      <c r="AD143" s="763">
        <f t="shared" si="348"/>
        <v>274861</v>
      </c>
      <c r="AE143" s="763">
        <f t="shared" si="322"/>
        <v>2606976.8449018667</v>
      </c>
      <c r="AF143" s="762">
        <f t="shared" si="323"/>
        <v>65174.421122546672</v>
      </c>
      <c r="AG143" s="762">
        <f t="shared" si="349"/>
        <v>2672151.2660244135</v>
      </c>
      <c r="AH143" s="762">
        <f t="shared" si="324"/>
        <v>66803.781650610341</v>
      </c>
      <c r="AI143" s="762">
        <f t="shared" si="350"/>
        <v>2738955.0476750238</v>
      </c>
      <c r="AJ143" s="762">
        <f t="shared" si="351"/>
        <v>136947.75238375118</v>
      </c>
      <c r="AK143" s="762">
        <f t="shared" si="352"/>
        <v>2875902.8000587751</v>
      </c>
      <c r="AL143" s="762">
        <f t="shared" si="353"/>
        <v>28759.02800058775</v>
      </c>
      <c r="AM143" s="762">
        <f t="shared" si="354"/>
        <v>27537.409960060559</v>
      </c>
      <c r="AN143" s="762"/>
      <c r="AO143" s="763">
        <f t="shared" si="355"/>
        <v>2932199.2380194231</v>
      </c>
      <c r="AP143" s="763">
        <f t="shared" si="356"/>
        <v>483812.87427320483</v>
      </c>
      <c r="AQ143" s="763">
        <f t="shared" si="357"/>
        <v>3416012.1122926278</v>
      </c>
      <c r="AR143" s="1178">
        <f t="shared" si="325"/>
        <v>3000000</v>
      </c>
      <c r="AS143" s="1178">
        <f t="shared" si="358"/>
        <v>18909.641467846719</v>
      </c>
      <c r="AT143" s="1178">
        <f t="shared" si="359"/>
        <v>416012.1122926278</v>
      </c>
      <c r="AU143" s="1178">
        <f t="shared" si="326"/>
        <v>49921.453475115333</v>
      </c>
      <c r="AV143" s="1178">
        <f t="shared" si="360"/>
        <v>465933.56576774316</v>
      </c>
      <c r="AW143" s="1178">
        <f t="shared" si="361"/>
        <v>3465933.5657677432</v>
      </c>
      <c r="AX143" s="762">
        <f t="shared" si="362"/>
        <v>43324.169572096791</v>
      </c>
      <c r="AY143" s="717" t="s">
        <v>231</v>
      </c>
      <c r="AZ143" s="717">
        <f t="shared" si="363"/>
        <v>3509257.7353398399</v>
      </c>
      <c r="BA143" s="717">
        <f t="shared" si="364"/>
        <v>131597.165075244</v>
      </c>
      <c r="BB143" s="717"/>
      <c r="BC143" s="717">
        <f t="shared" si="327"/>
        <v>33600</v>
      </c>
      <c r="BD143" s="717">
        <f t="shared" si="365"/>
        <v>3674454.9004150839</v>
      </c>
      <c r="BE143" s="717"/>
      <c r="BF143" s="717">
        <f t="shared" si="366"/>
        <v>3674454.9004150839</v>
      </c>
      <c r="BG143" s="1209"/>
      <c r="BH143" s="717">
        <f t="shared" si="367"/>
        <v>3674454.9004150839</v>
      </c>
      <c r="BI143" s="717"/>
      <c r="BJ143" s="717">
        <f t="shared" si="368"/>
        <v>3674454.9004150839</v>
      </c>
      <c r="BK143" s="717"/>
      <c r="BL143" s="717">
        <f t="shared" si="369"/>
        <v>3674454.9004150839</v>
      </c>
      <c r="BM143" s="717"/>
      <c r="BN143" s="717">
        <f t="shared" si="370"/>
        <v>3674454.9004150839</v>
      </c>
      <c r="BO143" s="717"/>
      <c r="BP143" s="717">
        <f t="shared" si="328"/>
        <v>3674454.9004150839</v>
      </c>
      <c r="BQ143" s="717"/>
      <c r="BR143" s="717">
        <f t="shared" si="285"/>
        <v>3674454.9004150839</v>
      </c>
      <c r="BS143" s="1234">
        <f t="shared" ref="BS143:BS144" si="429">$BS$5/64</f>
        <v>2651.4786794501206</v>
      </c>
      <c r="BT143" s="1235">
        <f t="shared" si="371"/>
        <v>3677106.3790945341</v>
      </c>
      <c r="BU143" s="1235">
        <f t="shared" ref="BU143:BU144" si="430">$BU$5/65</f>
        <v>211.07692307692309</v>
      </c>
      <c r="BV143" s="1235">
        <f t="shared" si="286"/>
        <v>51400</v>
      </c>
      <c r="BW143" s="717">
        <f t="shared" si="372"/>
        <v>3728717.4560176111</v>
      </c>
      <c r="BX143" s="1234">
        <f t="shared" si="287"/>
        <v>27651.078536278128</v>
      </c>
      <c r="BY143" s="717">
        <f t="shared" si="373"/>
        <v>3756368.5345538892</v>
      </c>
      <c r="BZ143" s="1194">
        <f t="shared" si="374"/>
        <v>3756368.5345538892</v>
      </c>
      <c r="CA143" s="1194">
        <f t="shared" si="375"/>
        <v>2876368.5345538892</v>
      </c>
      <c r="CB143" s="1194">
        <f t="shared" ref="CB143:CB144" si="431">$CB$5</f>
        <v>40000</v>
      </c>
      <c r="CC143" s="1194">
        <f t="shared" si="376"/>
        <v>880000</v>
      </c>
      <c r="CD143" s="1194">
        <f t="shared" si="377"/>
        <v>105600</v>
      </c>
      <c r="CE143" s="1194">
        <f t="shared" si="378"/>
        <v>985600</v>
      </c>
      <c r="CF143" s="1200">
        <f t="shared" si="379"/>
        <v>3861968.5345538892</v>
      </c>
      <c r="CG143" s="757">
        <f t="shared" si="380"/>
        <v>3861968.5345538892</v>
      </c>
      <c r="CH143" s="758">
        <f t="shared" si="381"/>
        <v>0</v>
      </c>
      <c r="CI143" s="757">
        <f t="shared" si="329"/>
        <v>395851.77479177364</v>
      </c>
      <c r="CJ143" s="757">
        <f t="shared" si="330"/>
        <v>96549.21336384723</v>
      </c>
      <c r="CK143" s="759">
        <f t="shared" si="291"/>
        <v>4354369.5227095094</v>
      </c>
      <c r="CL143" s="764">
        <f t="shared" si="382"/>
        <v>0.125</v>
      </c>
      <c r="CM143" s="757">
        <f t="shared" si="383"/>
        <v>544296.19033868867</v>
      </c>
      <c r="CN143" s="757">
        <f t="shared" si="425"/>
        <v>30000</v>
      </c>
      <c r="CO143" s="757">
        <f t="shared" si="384"/>
        <v>514296.19033868867</v>
      </c>
      <c r="CP143" s="755">
        <f t="shared" si="385"/>
        <v>29</v>
      </c>
      <c r="CQ143" s="757">
        <f t="shared" si="427"/>
        <v>17734.351390989264</v>
      </c>
      <c r="CR143" s="764">
        <f t="shared" si="386"/>
        <v>0.875</v>
      </c>
      <c r="CS143" s="757">
        <f t="shared" si="387"/>
        <v>3810073.3323708205</v>
      </c>
      <c r="CT143" s="1101">
        <f t="shared" si="388"/>
        <v>29539.457992169559</v>
      </c>
      <c r="CU143" s="1101">
        <f t="shared" si="389"/>
        <v>34246.016251558089</v>
      </c>
      <c r="CV143" s="1101">
        <f t="shared" si="390"/>
        <v>44238.182033301113</v>
      </c>
      <c r="CW143" s="1141">
        <f t="shared" si="331"/>
        <v>75444.018507565779</v>
      </c>
      <c r="CX143" s="1152">
        <f t="shared" si="391"/>
        <v>309504.36716099834</v>
      </c>
      <c r="CY143" s="1152">
        <f t="shared" si="392"/>
        <v>122469.37040327396</v>
      </c>
      <c r="CZ143" s="1152">
        <f t="shared" si="393"/>
        <v>88457.891684759015</v>
      </c>
      <c r="DA143" s="1152">
        <f t="shared" si="394"/>
        <v>67320.527963104512</v>
      </c>
      <c r="DB143" s="1143">
        <f t="shared" si="332"/>
        <v>0.13867070409754259</v>
      </c>
      <c r="DC143" s="1143">
        <f t="shared" si="395"/>
        <v>0.34265428374701012</v>
      </c>
      <c r="DD143" s="1098" t="s">
        <v>232</v>
      </c>
      <c r="DE143" s="1144"/>
      <c r="DF143" s="705"/>
      <c r="DG143" s="765">
        <f t="shared" si="426"/>
        <v>46082</v>
      </c>
      <c r="DH143" s="1116">
        <f t="shared" si="333"/>
        <v>28</v>
      </c>
      <c r="DI143" s="497"/>
      <c r="DJ143" s="1117">
        <f t="shared" si="396"/>
        <v>46147</v>
      </c>
      <c r="DK143" s="1116">
        <f t="shared" si="397"/>
        <v>30</v>
      </c>
      <c r="DL143" s="766" t="s">
        <v>233</v>
      </c>
      <c r="DM143" s="766" t="s">
        <v>234</v>
      </c>
      <c r="DN143" s="767">
        <f t="shared" si="334"/>
        <v>21178.798443988326</v>
      </c>
      <c r="DO143" s="767">
        <f t="shared" si="335"/>
        <v>465933.56576774316</v>
      </c>
      <c r="DP143" s="768">
        <f t="shared" si="336"/>
        <v>0.15531118858924772</v>
      </c>
      <c r="DR143" s="767">
        <f t="shared" si="337"/>
        <v>3861968.5345538892</v>
      </c>
      <c r="DS143" s="767">
        <f>SUM('[6]INTERNAL PRICELIST'!M143)</f>
        <v>2329361</v>
      </c>
      <c r="DT143" s="767">
        <f t="shared" si="398"/>
        <v>1532607.5345538892</v>
      </c>
      <c r="DV143" s="951">
        <f t="shared" si="338"/>
        <v>175544.02429790405</v>
      </c>
      <c r="DX143" s="772"/>
      <c r="DY143" s="773"/>
      <c r="DZ143" s="772"/>
      <c r="EA143" s="775"/>
      <c r="ED143" s="755" t="s">
        <v>532</v>
      </c>
      <c r="EE143" s="777" t="b">
        <f t="shared" si="340"/>
        <v>1</v>
      </c>
      <c r="EF143" s="1123" t="s">
        <v>533</v>
      </c>
      <c r="EG143" s="1123" t="s">
        <v>515</v>
      </c>
      <c r="EH143" s="1203"/>
      <c r="EP143" s="1230" t="s">
        <v>258</v>
      </c>
      <c r="EQ143" s="1145" t="s">
        <v>258</v>
      </c>
      <c r="ER143" s="753" t="b">
        <f t="shared" si="399"/>
        <v>1</v>
      </c>
      <c r="EU143" s="770">
        <v>3057701.8774007284</v>
      </c>
      <c r="EV143" s="771" t="s">
        <v>258</v>
      </c>
      <c r="EW143" s="775">
        <f t="shared" si="428"/>
        <v>-804266.65715316078</v>
      </c>
      <c r="EY143" s="775">
        <v>3024981.0503227995</v>
      </c>
      <c r="FJ143" s="994">
        <v>0.125</v>
      </c>
      <c r="FK143" s="993">
        <v>10895.332887404369</v>
      </c>
      <c r="FL143" s="993">
        <v>11189.801343820704</v>
      </c>
      <c r="FM143" s="497"/>
      <c r="FN143" s="993">
        <f t="shared" si="341"/>
        <v>4354369.5227095094</v>
      </c>
      <c r="FO143" s="994">
        <f t="shared" si="400"/>
        <v>0.15</v>
      </c>
      <c r="FP143" s="775">
        <f t="shared" si="342"/>
        <v>653155.42840642633</v>
      </c>
      <c r="FQ143" s="993">
        <f t="shared" si="343"/>
        <v>30000</v>
      </c>
      <c r="FR143" s="775">
        <f t="shared" si="401"/>
        <v>623155.42840642633</v>
      </c>
      <c r="FS143" s="497">
        <f t="shared" si="402"/>
        <v>40</v>
      </c>
      <c r="FT143" s="775">
        <f t="shared" si="403"/>
        <v>15578.885710160659</v>
      </c>
      <c r="FU143" s="497"/>
      <c r="FV143" s="993">
        <f t="shared" si="404"/>
        <v>4354369.5227095094</v>
      </c>
      <c r="FW143" s="705">
        <f t="shared" si="405"/>
        <v>435436.95227095095</v>
      </c>
      <c r="FX143" s="705">
        <f t="shared" si="406"/>
        <v>108859.23806773774</v>
      </c>
      <c r="FY143" s="705">
        <v>15000</v>
      </c>
      <c r="FZ143" s="705">
        <f t="shared" si="407"/>
        <v>420436.95227095095</v>
      </c>
      <c r="GA143" s="497">
        <f t="shared" si="408"/>
        <v>46</v>
      </c>
      <c r="GB143" s="775">
        <f t="shared" si="409"/>
        <v>9139.9337450206731</v>
      </c>
      <c r="GC143" s="497"/>
      <c r="GD143" s="497"/>
      <c r="GH143" s="1095">
        <f t="shared" si="307"/>
        <v>4354369.5227095094</v>
      </c>
      <c r="GI143" s="1098">
        <f t="shared" si="308"/>
        <v>0.125</v>
      </c>
      <c r="GJ143" s="1095">
        <f t="shared" si="309"/>
        <v>544296.19033868867</v>
      </c>
      <c r="GK143" s="1095">
        <f t="shared" si="310"/>
        <v>30000</v>
      </c>
      <c r="GL143" s="1095">
        <f t="shared" si="311"/>
        <v>514296.19033868867</v>
      </c>
      <c r="GM143" s="1095">
        <f t="shared" si="312"/>
        <v>29</v>
      </c>
      <c r="GN143" s="1095">
        <f t="shared" si="313"/>
        <v>17734.351390989264</v>
      </c>
      <c r="GO143" s="1098">
        <f t="shared" si="314"/>
        <v>0.875</v>
      </c>
      <c r="GP143" s="1095">
        <f t="shared" si="315"/>
        <v>3810073.3323708205</v>
      </c>
      <c r="GQ143" s="1095">
        <f t="shared" si="316"/>
        <v>29539.457992169559</v>
      </c>
      <c r="GR143" s="1095">
        <f t="shared" si="317"/>
        <v>34246.016251558089</v>
      </c>
      <c r="GS143" s="1095">
        <f t="shared" si="318"/>
        <v>44238.182033301113</v>
      </c>
      <c r="GT143" s="1095">
        <f t="shared" si="319"/>
        <v>75444.018507565779</v>
      </c>
      <c r="GU143" s="497"/>
      <c r="GV143" s="1095">
        <f t="shared" si="410"/>
        <v>4354369.5227095094</v>
      </c>
      <c r="GW143" s="1098">
        <f t="shared" si="411"/>
        <v>0.125</v>
      </c>
      <c r="GX143" s="1095">
        <f t="shared" si="412"/>
        <v>544296.19033868867</v>
      </c>
      <c r="GY143" s="1095">
        <f t="shared" si="413"/>
        <v>30000</v>
      </c>
      <c r="GZ143" s="1095">
        <f t="shared" si="414"/>
        <v>514296.19033868867</v>
      </c>
      <c r="HA143" s="1106">
        <f t="shared" si="415"/>
        <v>48</v>
      </c>
      <c r="HB143" s="770">
        <f t="shared" si="416"/>
        <v>10714.503965389347</v>
      </c>
      <c r="HC143" s="1098">
        <f t="shared" si="417"/>
        <v>0.875</v>
      </c>
      <c r="HD143" s="1102">
        <f t="shared" si="418"/>
        <v>3810073.3323708205</v>
      </c>
      <c r="HE143" s="1101">
        <f t="shared" si="419"/>
        <v>29539.457992169559</v>
      </c>
      <c r="HF143" s="1101">
        <f t="shared" si="420"/>
        <v>34246.016251558089</v>
      </c>
      <c r="HG143" s="1101">
        <f t="shared" si="421"/>
        <v>44238.182033301113</v>
      </c>
      <c r="HH143" s="1101">
        <f t="shared" si="422"/>
        <v>75444.018507565779</v>
      </c>
      <c r="HI143" s="497"/>
      <c r="HJ143" s="1102">
        <f t="shared" si="423"/>
        <v>-7019.8474255999172</v>
      </c>
      <c r="HL143" s="775"/>
      <c r="HN143" s="775"/>
      <c r="HO143" s="775"/>
      <c r="HQ143" s="702"/>
      <c r="HR143" s="1171"/>
      <c r="HS143" s="702"/>
      <c r="HT143" s="1171"/>
    </row>
    <row r="144" spans="1:228" ht="14.25" customHeight="1">
      <c r="A144" s="753">
        <f t="shared" si="424"/>
        <v>138</v>
      </c>
      <c r="B144" s="753" t="s">
        <v>236</v>
      </c>
      <c r="C144" s="753">
        <f t="shared" si="305"/>
        <v>14</v>
      </c>
      <c r="D144" s="753" t="s">
        <v>269</v>
      </c>
      <c r="E144" s="717" t="str">
        <f t="shared" si="344"/>
        <v>7th Floor</v>
      </c>
      <c r="F144" s="754"/>
      <c r="G144" s="756" t="s">
        <v>534</v>
      </c>
      <c r="H144" s="756"/>
      <c r="I144" s="755" t="s">
        <v>229</v>
      </c>
      <c r="J144" s="757">
        <v>22</v>
      </c>
      <c r="K144" s="758"/>
      <c r="L144" s="759" t="s">
        <v>277</v>
      </c>
      <c r="M144" s="760" t="s">
        <v>278</v>
      </c>
      <c r="N144" s="761">
        <f t="shared" si="345"/>
        <v>106005.26567735759</v>
      </c>
      <c r="O144" s="762">
        <f t="shared" si="346"/>
        <v>2332115.8449018667</v>
      </c>
      <c r="P144" s="762">
        <f t="shared" si="347"/>
        <v>22400</v>
      </c>
      <c r="Q144" s="762">
        <f t="shared" si="320"/>
        <v>50000</v>
      </c>
      <c r="R144" s="762"/>
      <c r="S144" s="762"/>
      <c r="T144" s="762"/>
      <c r="U144" s="762"/>
      <c r="V144" s="762"/>
      <c r="W144" s="762">
        <f t="shared" ref="W144:W145" si="432">J144*$W$5</f>
        <v>22000</v>
      </c>
      <c r="X144" s="762"/>
      <c r="Y144" s="762">
        <f t="shared" si="306"/>
        <v>60000</v>
      </c>
      <c r="Z144" s="762">
        <f t="shared" si="321"/>
        <v>142461</v>
      </c>
      <c r="AA144" s="762"/>
      <c r="AB144" s="762"/>
      <c r="AC144" s="762"/>
      <c r="AD144" s="763">
        <f t="shared" si="348"/>
        <v>296861</v>
      </c>
      <c r="AE144" s="763">
        <f t="shared" si="322"/>
        <v>2628976.8449018667</v>
      </c>
      <c r="AF144" s="762">
        <f t="shared" si="323"/>
        <v>65724.421122546672</v>
      </c>
      <c r="AG144" s="762">
        <f t="shared" si="349"/>
        <v>2694701.2660244135</v>
      </c>
      <c r="AH144" s="762">
        <f t="shared" si="324"/>
        <v>67367.531650610341</v>
      </c>
      <c r="AI144" s="762">
        <f t="shared" si="350"/>
        <v>2762068.7976750238</v>
      </c>
      <c r="AJ144" s="762">
        <f t="shared" si="351"/>
        <v>138103.43988375118</v>
      </c>
      <c r="AK144" s="762">
        <f t="shared" si="352"/>
        <v>2900172.2375587751</v>
      </c>
      <c r="AL144" s="762">
        <f t="shared" si="353"/>
        <v>29001.722375587753</v>
      </c>
      <c r="AM144" s="762">
        <f t="shared" si="354"/>
        <v>27537.409960060559</v>
      </c>
      <c r="AN144" s="762"/>
      <c r="AO144" s="763">
        <f>AK144+AL144+AM144+AN144</f>
        <v>2956711.3698944231</v>
      </c>
      <c r="AP144" s="763">
        <f t="shared" si="356"/>
        <v>487857.37603257981</v>
      </c>
      <c r="AQ144" s="763">
        <f t="shared" si="357"/>
        <v>3444568.7459270027</v>
      </c>
      <c r="AR144" s="1178">
        <f t="shared" si="325"/>
        <v>3000000</v>
      </c>
      <c r="AS144" s="1178">
        <f t="shared" si="358"/>
        <v>20207.670269409216</v>
      </c>
      <c r="AT144" s="1178">
        <f t="shared" si="359"/>
        <v>444568.74592700275</v>
      </c>
      <c r="AU144" s="1178">
        <f t="shared" si="326"/>
        <v>53348.249511240327</v>
      </c>
      <c r="AV144" s="1178">
        <f t="shared" si="360"/>
        <v>497916.99543824309</v>
      </c>
      <c r="AW144" s="1178">
        <f t="shared" si="361"/>
        <v>3497916.9954382433</v>
      </c>
      <c r="AX144" s="762">
        <f t="shared" si="362"/>
        <v>43723.962442978045</v>
      </c>
      <c r="AY144" s="717" t="s">
        <v>231</v>
      </c>
      <c r="AZ144" s="717">
        <f t="shared" si="363"/>
        <v>3541640.9578812211</v>
      </c>
      <c r="BA144" s="717">
        <f t="shared" si="364"/>
        <v>132811.53592054578</v>
      </c>
      <c r="BB144" s="717"/>
      <c r="BC144" s="717">
        <f t="shared" si="327"/>
        <v>33600</v>
      </c>
      <c r="BD144" s="717">
        <f t="shared" si="365"/>
        <v>3708052.493801767</v>
      </c>
      <c r="BE144" s="717"/>
      <c r="BF144" s="717">
        <f t="shared" si="366"/>
        <v>3708052.493801767</v>
      </c>
      <c r="BG144" s="1209"/>
      <c r="BH144" s="717">
        <f t="shared" si="367"/>
        <v>3708052.493801767</v>
      </c>
      <c r="BI144" s="717"/>
      <c r="BJ144" s="717">
        <f t="shared" si="368"/>
        <v>3708052.493801767</v>
      </c>
      <c r="BK144" s="717"/>
      <c r="BL144" s="717">
        <f t="shared" si="369"/>
        <v>3708052.493801767</v>
      </c>
      <c r="BM144" s="717"/>
      <c r="BN144" s="717">
        <f t="shared" si="370"/>
        <v>3708052.493801767</v>
      </c>
      <c r="BO144" s="717"/>
      <c r="BP144" s="717">
        <f t="shared" si="328"/>
        <v>3708052.493801767</v>
      </c>
      <c r="BQ144" s="717"/>
      <c r="BR144" s="717">
        <f t="shared" si="285"/>
        <v>3708052.493801767</v>
      </c>
      <c r="BS144" s="1234">
        <f t="shared" si="429"/>
        <v>2651.4786794501206</v>
      </c>
      <c r="BT144" s="1235">
        <f t="shared" si="371"/>
        <v>3710703.9724812172</v>
      </c>
      <c r="BU144" s="1235">
        <f t="shared" si="430"/>
        <v>211.07692307692309</v>
      </c>
      <c r="BV144" s="1235">
        <f t="shared" si="286"/>
        <v>51400</v>
      </c>
      <c r="BW144" s="717">
        <f t="shared" si="372"/>
        <v>3762315.0494042942</v>
      </c>
      <c r="BX144" s="1234">
        <f t="shared" si="287"/>
        <v>27651.078536278128</v>
      </c>
      <c r="BY144" s="717">
        <f t="shared" si="373"/>
        <v>3789966.1279405723</v>
      </c>
      <c r="BZ144" s="1194">
        <f t="shared" si="374"/>
        <v>3789966.1279405723</v>
      </c>
      <c r="CA144" s="1194">
        <f t="shared" si="375"/>
        <v>2909966.1279405723</v>
      </c>
      <c r="CB144" s="1194">
        <f t="shared" si="431"/>
        <v>40000</v>
      </c>
      <c r="CC144" s="1194">
        <f t="shared" si="376"/>
        <v>880000</v>
      </c>
      <c r="CD144" s="1194">
        <f t="shared" si="377"/>
        <v>105600</v>
      </c>
      <c r="CE144" s="1194">
        <f t="shared" si="378"/>
        <v>985600</v>
      </c>
      <c r="CF144" s="1200">
        <f t="shared" si="379"/>
        <v>3895566.1279405723</v>
      </c>
      <c r="CG144" s="757">
        <f t="shared" si="380"/>
        <v>3895566.1279405723</v>
      </c>
      <c r="CH144" s="758">
        <f t="shared" si="381"/>
        <v>0</v>
      </c>
      <c r="CI144" s="757">
        <f t="shared" si="329"/>
        <v>399295.52811390866</v>
      </c>
      <c r="CJ144" s="757">
        <f t="shared" si="330"/>
        <v>97389.153198514308</v>
      </c>
      <c r="CK144" s="759">
        <f t="shared" si="291"/>
        <v>4392250.8092529951</v>
      </c>
      <c r="CL144" s="764">
        <f t="shared" si="382"/>
        <v>0.125</v>
      </c>
      <c r="CM144" s="757">
        <f t="shared" si="383"/>
        <v>549031.35115662438</v>
      </c>
      <c r="CN144" s="757">
        <f t="shared" si="425"/>
        <v>30000</v>
      </c>
      <c r="CO144" s="757">
        <f t="shared" si="384"/>
        <v>519031.35115662438</v>
      </c>
      <c r="CP144" s="755">
        <f t="shared" si="385"/>
        <v>29</v>
      </c>
      <c r="CQ144" s="757">
        <f t="shared" si="427"/>
        <v>17897.632798504288</v>
      </c>
      <c r="CR144" s="764">
        <f t="shared" si="386"/>
        <v>0.875</v>
      </c>
      <c r="CS144" s="757">
        <f t="shared" si="387"/>
        <v>3843219.4580963706</v>
      </c>
      <c r="CT144" s="1101">
        <f t="shared" si="388"/>
        <v>29796.439552118642</v>
      </c>
      <c r="CU144" s="1101">
        <f t="shared" si="389"/>
        <v>34543.943000271625</v>
      </c>
      <c r="CV144" s="1101">
        <f t="shared" si="390"/>
        <v>44623.036658299403</v>
      </c>
      <c r="CW144" s="1141">
        <f t="shared" si="331"/>
        <v>76100.351523900783</v>
      </c>
      <c r="CX144" s="1152">
        <f t="shared" si="391"/>
        <v>312196.93230911891</v>
      </c>
      <c r="CY144" s="1152">
        <f t="shared" si="392"/>
        <v>123534.80531614741</v>
      </c>
      <c r="CZ144" s="1152">
        <f t="shared" si="393"/>
        <v>89227.440232365494</v>
      </c>
      <c r="DA144" s="1152">
        <f t="shared" si="394"/>
        <v>67906.189836018384</v>
      </c>
      <c r="DB144" s="1143">
        <f t="shared" si="332"/>
        <v>0.14818958197566759</v>
      </c>
      <c r="DC144" s="1143">
        <f t="shared" si="395"/>
        <v>0.33869810048185139</v>
      </c>
      <c r="DD144" s="1098" t="s">
        <v>232</v>
      </c>
      <c r="DE144" s="1144"/>
      <c r="DF144" s="705"/>
      <c r="DG144" s="765">
        <f t="shared" si="426"/>
        <v>46082</v>
      </c>
      <c r="DH144" s="1116">
        <f t="shared" si="333"/>
        <v>28</v>
      </c>
      <c r="DI144" s="497"/>
      <c r="DJ144" s="1117">
        <f t="shared" si="396"/>
        <v>46147</v>
      </c>
      <c r="DK144" s="1116">
        <f t="shared" si="397"/>
        <v>30</v>
      </c>
      <c r="DL144" s="766" t="s">
        <v>233</v>
      </c>
      <c r="DM144" s="766" t="s">
        <v>234</v>
      </c>
      <c r="DN144" s="767">
        <f t="shared" si="334"/>
        <v>22632.590701738322</v>
      </c>
      <c r="DO144" s="767">
        <f t="shared" si="335"/>
        <v>497916.99543824309</v>
      </c>
      <c r="DP144" s="768">
        <f t="shared" si="336"/>
        <v>0.1659723318127477</v>
      </c>
      <c r="DR144" s="767">
        <f t="shared" si="337"/>
        <v>3895566.1279405723</v>
      </c>
      <c r="DS144" s="767">
        <f>SUM('[6]INTERNAL PRICELIST'!M144)</f>
        <v>2329361</v>
      </c>
      <c r="DT144" s="767">
        <f t="shared" si="398"/>
        <v>1566205.1279405723</v>
      </c>
      <c r="DV144" s="951">
        <f t="shared" si="338"/>
        <v>177071.18763366237</v>
      </c>
      <c r="DX144" s="772"/>
      <c r="DY144" s="773"/>
      <c r="DZ144" s="772"/>
      <c r="EA144" s="775"/>
      <c r="ED144" s="755" t="s">
        <v>534</v>
      </c>
      <c r="EE144" s="777" t="b">
        <f t="shared" si="340"/>
        <v>1</v>
      </c>
      <c r="EF144" s="1123" t="s">
        <v>535</v>
      </c>
      <c r="EG144" s="1123" t="s">
        <v>515</v>
      </c>
      <c r="EH144" s="1203"/>
      <c r="EP144" s="1230" t="s">
        <v>258</v>
      </c>
      <c r="EQ144" s="1145" t="s">
        <v>258</v>
      </c>
      <c r="ER144" s="753" t="b">
        <f t="shared" si="399"/>
        <v>1</v>
      </c>
      <c r="EU144" s="770">
        <v>3085530.8324007285</v>
      </c>
      <c r="EV144" s="771" t="s">
        <v>258</v>
      </c>
      <c r="EW144" s="775">
        <f t="shared" si="428"/>
        <v>-810035.29553984385</v>
      </c>
      <c r="EY144" s="775">
        <v>3052563.7514302991</v>
      </c>
      <c r="FJ144" s="994">
        <v>0.125</v>
      </c>
      <c r="FK144" s="993">
        <v>10997.154993100912</v>
      </c>
      <c r="FL144" s="993">
        <v>11294.375398319857</v>
      </c>
      <c r="FM144" s="497"/>
      <c r="FN144" s="993">
        <f t="shared" si="341"/>
        <v>4392250.8092529951</v>
      </c>
      <c r="FO144" s="994">
        <f t="shared" si="400"/>
        <v>0.15</v>
      </c>
      <c r="FP144" s="775">
        <f t="shared" si="342"/>
        <v>658837.62138794921</v>
      </c>
      <c r="FQ144" s="993">
        <f t="shared" si="343"/>
        <v>30000</v>
      </c>
      <c r="FR144" s="775">
        <f t="shared" si="401"/>
        <v>628837.62138794921</v>
      </c>
      <c r="FS144" s="497">
        <f t="shared" si="402"/>
        <v>40</v>
      </c>
      <c r="FT144" s="775">
        <f t="shared" si="403"/>
        <v>15720.94053469873</v>
      </c>
      <c r="FU144" s="497"/>
      <c r="FV144" s="993">
        <f t="shared" si="404"/>
        <v>4392250.8092529951</v>
      </c>
      <c r="FW144" s="705">
        <f t="shared" si="405"/>
        <v>439225.08092529955</v>
      </c>
      <c r="FX144" s="705">
        <f t="shared" si="406"/>
        <v>109806.27023132489</v>
      </c>
      <c r="FY144" s="705">
        <v>15000</v>
      </c>
      <c r="FZ144" s="705">
        <f t="shared" si="407"/>
        <v>424225.08092529955</v>
      </c>
      <c r="GA144" s="497">
        <f t="shared" si="408"/>
        <v>46</v>
      </c>
      <c r="GB144" s="775">
        <f t="shared" si="409"/>
        <v>9222.2843679412945</v>
      </c>
      <c r="GC144" s="497"/>
      <c r="GD144" s="497"/>
      <c r="GH144" s="1095">
        <f t="shared" si="307"/>
        <v>4392250.8092529951</v>
      </c>
      <c r="GI144" s="1098">
        <f t="shared" si="308"/>
        <v>0.125</v>
      </c>
      <c r="GJ144" s="1095">
        <f t="shared" si="309"/>
        <v>549031.35115662438</v>
      </c>
      <c r="GK144" s="1095">
        <f t="shared" si="310"/>
        <v>30000</v>
      </c>
      <c r="GL144" s="1095">
        <f t="shared" si="311"/>
        <v>519031.35115662438</v>
      </c>
      <c r="GM144" s="1095">
        <f t="shared" si="312"/>
        <v>29</v>
      </c>
      <c r="GN144" s="1095">
        <f t="shared" si="313"/>
        <v>17897.632798504288</v>
      </c>
      <c r="GO144" s="1098">
        <f t="shared" si="314"/>
        <v>0.875</v>
      </c>
      <c r="GP144" s="1095">
        <f t="shared" si="315"/>
        <v>3843219.4580963706</v>
      </c>
      <c r="GQ144" s="1095">
        <f t="shared" si="316"/>
        <v>29796.439552118642</v>
      </c>
      <c r="GR144" s="1095">
        <f t="shared" si="317"/>
        <v>34543.943000271625</v>
      </c>
      <c r="GS144" s="1095">
        <f t="shared" si="318"/>
        <v>44623.036658299403</v>
      </c>
      <c r="GT144" s="1095">
        <f t="shared" si="319"/>
        <v>76100.351523900783</v>
      </c>
      <c r="GU144" s="497"/>
      <c r="GV144" s="1095">
        <f t="shared" si="410"/>
        <v>4392250.8092529951</v>
      </c>
      <c r="GW144" s="1098">
        <f t="shared" si="411"/>
        <v>0.125</v>
      </c>
      <c r="GX144" s="1095">
        <f t="shared" si="412"/>
        <v>549031.35115662438</v>
      </c>
      <c r="GY144" s="1095">
        <f t="shared" si="413"/>
        <v>30000</v>
      </c>
      <c r="GZ144" s="1095">
        <f t="shared" si="414"/>
        <v>519031.35115662438</v>
      </c>
      <c r="HA144" s="1106">
        <f t="shared" si="415"/>
        <v>48</v>
      </c>
      <c r="HB144" s="770">
        <f t="shared" si="416"/>
        <v>10813.153149096341</v>
      </c>
      <c r="HC144" s="1098">
        <f t="shared" si="417"/>
        <v>0.875</v>
      </c>
      <c r="HD144" s="1102">
        <f t="shared" si="418"/>
        <v>3843219.4580963706</v>
      </c>
      <c r="HE144" s="1101">
        <f t="shared" si="419"/>
        <v>29796.439552118642</v>
      </c>
      <c r="HF144" s="1101">
        <f t="shared" si="420"/>
        <v>34543.943000271625</v>
      </c>
      <c r="HG144" s="1101">
        <f t="shared" si="421"/>
        <v>44623.036658299403</v>
      </c>
      <c r="HH144" s="1101">
        <f t="shared" si="422"/>
        <v>76100.351523900783</v>
      </c>
      <c r="HI144" s="497"/>
      <c r="HJ144" s="1102">
        <f t="shared" si="423"/>
        <v>-7084.4796494079474</v>
      </c>
      <c r="HL144" s="775"/>
      <c r="HN144" s="775"/>
      <c r="HO144" s="775"/>
      <c r="HQ144" s="702"/>
      <c r="HR144" s="1171"/>
      <c r="HS144" s="702"/>
      <c r="HT144" s="1171"/>
    </row>
    <row r="145" spans="1:228" ht="14.25" hidden="1" customHeight="1">
      <c r="A145" s="753">
        <f t="shared" si="424"/>
        <v>139</v>
      </c>
      <c r="B145" s="753"/>
      <c r="C145" s="753">
        <f t="shared" si="305"/>
        <v>15</v>
      </c>
      <c r="D145" s="753" t="s">
        <v>269</v>
      </c>
      <c r="E145" s="717" t="str">
        <f t="shared" si="344"/>
        <v>7th Floor</v>
      </c>
      <c r="F145" s="754"/>
      <c r="G145" s="756" t="s">
        <v>536</v>
      </c>
      <c r="H145" s="756"/>
      <c r="I145" s="755" t="s">
        <v>229</v>
      </c>
      <c r="J145" s="757">
        <v>22</v>
      </c>
      <c r="K145" s="758"/>
      <c r="L145" s="759" t="s">
        <v>277</v>
      </c>
      <c r="M145" s="760" t="s">
        <v>278</v>
      </c>
      <c r="N145" s="761">
        <f t="shared" si="345"/>
        <v>106005.26567735759</v>
      </c>
      <c r="O145" s="762">
        <f t="shared" si="346"/>
        <v>2332115.8449018667</v>
      </c>
      <c r="P145" s="762">
        <f t="shared" si="347"/>
        <v>22400</v>
      </c>
      <c r="Q145" s="762">
        <f t="shared" si="320"/>
        <v>50000</v>
      </c>
      <c r="R145" s="762"/>
      <c r="S145" s="762"/>
      <c r="T145" s="762"/>
      <c r="U145" s="762"/>
      <c r="V145" s="762"/>
      <c r="W145" s="762">
        <f t="shared" si="432"/>
        <v>22000</v>
      </c>
      <c r="X145" s="762"/>
      <c r="Y145" s="762">
        <f t="shared" si="306"/>
        <v>60000</v>
      </c>
      <c r="Z145" s="762">
        <f t="shared" si="321"/>
        <v>142461</v>
      </c>
      <c r="AA145" s="762"/>
      <c r="AB145" s="762"/>
      <c r="AC145" s="762"/>
      <c r="AD145" s="763">
        <f t="shared" si="348"/>
        <v>296861</v>
      </c>
      <c r="AE145" s="763">
        <f t="shared" si="322"/>
        <v>2628976.8449018667</v>
      </c>
      <c r="AF145" s="762">
        <f t="shared" si="323"/>
        <v>65724.421122546672</v>
      </c>
      <c r="AG145" s="762">
        <f t="shared" si="349"/>
        <v>2694701.2660244135</v>
      </c>
      <c r="AH145" s="762">
        <f t="shared" si="324"/>
        <v>67367.531650610341</v>
      </c>
      <c r="AI145" s="762">
        <f t="shared" si="350"/>
        <v>2762068.7976750238</v>
      </c>
      <c r="AJ145" s="762">
        <f t="shared" si="351"/>
        <v>138103.43988375118</v>
      </c>
      <c r="AK145" s="762">
        <f t="shared" si="352"/>
        <v>2900172.2375587751</v>
      </c>
      <c r="AL145" s="762">
        <f t="shared" si="353"/>
        <v>29001.722375587753</v>
      </c>
      <c r="AM145" s="762">
        <f t="shared" si="354"/>
        <v>27537.409960060559</v>
      </c>
      <c r="AN145" s="762"/>
      <c r="AO145" s="763">
        <f>AK145+AL145+AM145+AN145</f>
        <v>2956711.3698944231</v>
      </c>
      <c r="AP145" s="763">
        <f t="shared" si="356"/>
        <v>487857.37603257981</v>
      </c>
      <c r="AQ145" s="763">
        <f t="shared" si="357"/>
        <v>3444568.7459270027</v>
      </c>
      <c r="AR145" s="1178">
        <f t="shared" si="325"/>
        <v>3000000</v>
      </c>
      <c r="AS145" s="1178">
        <f t="shared" si="358"/>
        <v>20207.670269409216</v>
      </c>
      <c r="AT145" s="1178">
        <f t="shared" si="359"/>
        <v>444568.74592700275</v>
      </c>
      <c r="AU145" s="1178">
        <f t="shared" si="326"/>
        <v>53348.249511240327</v>
      </c>
      <c r="AV145" s="1178">
        <f t="shared" si="360"/>
        <v>497916.99543824309</v>
      </c>
      <c r="AW145" s="1178">
        <f t="shared" si="361"/>
        <v>3497916.9954382433</v>
      </c>
      <c r="AX145" s="762">
        <f t="shared" si="362"/>
        <v>43723.962442978045</v>
      </c>
      <c r="AY145" s="717" t="s">
        <v>231</v>
      </c>
      <c r="AZ145" s="717">
        <f t="shared" si="363"/>
        <v>3541640.9578812211</v>
      </c>
      <c r="BA145" s="717">
        <f t="shared" si="364"/>
        <v>132811.53592054578</v>
      </c>
      <c r="BB145" s="717"/>
      <c r="BC145" s="717">
        <f t="shared" si="327"/>
        <v>33600</v>
      </c>
      <c r="BD145" s="717">
        <f t="shared" si="365"/>
        <v>3708052.493801767</v>
      </c>
      <c r="BE145" s="717"/>
      <c r="BF145" s="717">
        <f t="shared" si="366"/>
        <v>3708052.493801767</v>
      </c>
      <c r="BG145" s="1209"/>
      <c r="BH145" s="717">
        <f t="shared" si="367"/>
        <v>3708052.493801767</v>
      </c>
      <c r="BI145" s="717"/>
      <c r="BJ145" s="717">
        <f t="shared" si="368"/>
        <v>3708052.493801767</v>
      </c>
      <c r="BK145" s="717"/>
      <c r="BL145" s="717">
        <f t="shared" si="369"/>
        <v>3708052.493801767</v>
      </c>
      <c r="BM145" s="717"/>
      <c r="BN145" s="717">
        <f t="shared" si="370"/>
        <v>3708052.493801767</v>
      </c>
      <c r="BO145" s="717"/>
      <c r="BP145" s="717">
        <f t="shared" si="328"/>
        <v>3708052.493801767</v>
      </c>
      <c r="BQ145" s="717"/>
      <c r="BR145" s="717">
        <f t="shared" si="285"/>
        <v>3708052.493801767</v>
      </c>
      <c r="BS145" s="717"/>
      <c r="BT145" s="717">
        <f t="shared" si="371"/>
        <v>3708052.493801767</v>
      </c>
      <c r="BU145" s="717"/>
      <c r="BV145" s="1235">
        <f t="shared" si="286"/>
        <v>51400</v>
      </c>
      <c r="BW145" s="717">
        <f t="shared" si="372"/>
        <v>3759452.493801767</v>
      </c>
      <c r="BX145" s="717"/>
      <c r="BY145" s="717">
        <f t="shared" si="373"/>
        <v>3759452.493801767</v>
      </c>
      <c r="BZ145" s="1194">
        <f t="shared" si="374"/>
        <v>3759452.493801767</v>
      </c>
      <c r="CA145" s="1194">
        <f t="shared" si="375"/>
        <v>3022452.493801767</v>
      </c>
      <c r="CB145" s="1194">
        <v>33500</v>
      </c>
      <c r="CC145" s="1194">
        <f t="shared" si="376"/>
        <v>737000</v>
      </c>
      <c r="CD145" s="1194">
        <f t="shared" si="377"/>
        <v>88440</v>
      </c>
      <c r="CE145" s="1194">
        <f t="shared" si="378"/>
        <v>825440</v>
      </c>
      <c r="CF145" s="1200">
        <f t="shared" si="379"/>
        <v>3847892.493801767</v>
      </c>
      <c r="CG145" s="757">
        <f t="shared" si="380"/>
        <v>3847892.493801767</v>
      </c>
      <c r="CH145" s="758">
        <f t="shared" si="381"/>
        <v>0</v>
      </c>
      <c r="CI145" s="757">
        <f t="shared" si="329"/>
        <v>394408.98061468109</v>
      </c>
      <c r="CJ145" s="757">
        <f t="shared" si="330"/>
        <v>96197.312345044178</v>
      </c>
      <c r="CK145" s="759">
        <f t="shared" si="291"/>
        <v>4338498.7867614916</v>
      </c>
      <c r="CL145" s="764">
        <f t="shared" si="382"/>
        <v>0.125</v>
      </c>
      <c r="CM145" s="757">
        <f t="shared" si="383"/>
        <v>542312.34834518644</v>
      </c>
      <c r="CN145" s="757">
        <f t="shared" si="425"/>
        <v>30000</v>
      </c>
      <c r="CO145" s="757">
        <f t="shared" si="384"/>
        <v>512312.34834518644</v>
      </c>
      <c r="CP145" s="755">
        <f t="shared" si="385"/>
        <v>29</v>
      </c>
      <c r="CQ145" s="757">
        <f t="shared" si="427"/>
        <v>17665.943046385739</v>
      </c>
      <c r="CR145" s="764">
        <f t="shared" si="386"/>
        <v>0.875</v>
      </c>
      <c r="CS145" s="757">
        <f t="shared" si="387"/>
        <v>3796186.438416305</v>
      </c>
      <c r="CT145" s="1101">
        <f t="shared" si="388"/>
        <v>29431.793051149678</v>
      </c>
      <c r="CU145" s="1101">
        <f t="shared" si="389"/>
        <v>34121.196922751609</v>
      </c>
      <c r="CV145" s="1101">
        <f t="shared" si="390"/>
        <v>44076.943419488205</v>
      </c>
      <c r="CW145" s="1141">
        <f t="shared" si="331"/>
        <v>75169.041363263648</v>
      </c>
      <c r="CX145" s="1152">
        <f t="shared" si="391"/>
        <v>308376.29062538221</v>
      </c>
      <c r="CY145" s="1152">
        <f t="shared" si="392"/>
        <v>122022.99601330697</v>
      </c>
      <c r="CZ145" s="1152">
        <f t="shared" si="393"/>
        <v>88135.481784973206</v>
      </c>
      <c r="DA145" s="1152">
        <f t="shared" si="394"/>
        <v>67075.159186382327</v>
      </c>
      <c r="DB145" s="1143">
        <f t="shared" si="332"/>
        <v>0.14818958197566759</v>
      </c>
      <c r="DC145" s="1143">
        <f t="shared" si="395"/>
        <v>0.2731027209502066</v>
      </c>
      <c r="DD145" s="1098" t="s">
        <v>232</v>
      </c>
      <c r="DE145" s="1144"/>
      <c r="DF145" s="705"/>
      <c r="DG145" s="765">
        <f t="shared" si="426"/>
        <v>46082</v>
      </c>
      <c r="DH145" s="1116">
        <f t="shared" si="333"/>
        <v>28</v>
      </c>
      <c r="DI145" s="497"/>
      <c r="DJ145" s="1117">
        <f t="shared" si="396"/>
        <v>46147</v>
      </c>
      <c r="DK145" s="1116">
        <f t="shared" si="397"/>
        <v>30</v>
      </c>
      <c r="DL145" s="766" t="s">
        <v>233</v>
      </c>
      <c r="DM145" s="766" t="s">
        <v>234</v>
      </c>
      <c r="DN145" s="767">
        <f t="shared" si="334"/>
        <v>22632.590701738322</v>
      </c>
      <c r="DO145" s="767">
        <f t="shared" si="335"/>
        <v>497916.99543824309</v>
      </c>
      <c r="DP145" s="768">
        <f t="shared" si="336"/>
        <v>0.1659723318127477</v>
      </c>
      <c r="DR145" s="767">
        <f t="shared" si="337"/>
        <v>3847892.493801767</v>
      </c>
      <c r="DS145" s="767">
        <f>SUM('[6]INTERNAL PRICELIST'!M145)</f>
        <v>2329361</v>
      </c>
      <c r="DT145" s="767">
        <f t="shared" si="398"/>
        <v>1518531.493801767</v>
      </c>
      <c r="DV145" s="951">
        <f t="shared" si="338"/>
        <v>174904.20426371667</v>
      </c>
      <c r="DX145" s="772"/>
      <c r="DY145" s="773"/>
      <c r="DZ145" s="772"/>
      <c r="EA145" s="775"/>
      <c r="ED145" s="755" t="s">
        <v>536</v>
      </c>
      <c r="EE145" s="777" t="b">
        <f t="shared" si="340"/>
        <v>1</v>
      </c>
      <c r="EF145" s="777"/>
      <c r="EG145" s="777"/>
      <c r="EH145" s="1203"/>
      <c r="EP145" s="1230" t="s">
        <v>236</v>
      </c>
      <c r="EQ145" s="1145" t="s">
        <v>236</v>
      </c>
      <c r="ER145" s="753" t="b">
        <f t="shared" si="399"/>
        <v>1</v>
      </c>
      <c r="EU145" s="770">
        <v>3085530.8324007285</v>
      </c>
      <c r="EV145" s="771" t="s">
        <v>258</v>
      </c>
      <c r="EW145" s="775">
        <f t="shared" si="428"/>
        <v>-762361.66140103852</v>
      </c>
      <c r="EY145" s="775">
        <v>3052563.7514302991</v>
      </c>
      <c r="FJ145" s="994">
        <v>0.125</v>
      </c>
      <c r="FK145" s="993">
        <v>10997.154993100912</v>
      </c>
      <c r="FL145" s="993">
        <v>11294.375398319857</v>
      </c>
      <c r="FM145" s="497"/>
      <c r="FN145" s="993">
        <f t="shared" si="341"/>
        <v>4338498.7867614916</v>
      </c>
      <c r="FO145" s="994">
        <f t="shared" si="400"/>
        <v>0.15</v>
      </c>
      <c r="FP145" s="775">
        <f t="shared" si="342"/>
        <v>650774.81801422371</v>
      </c>
      <c r="FQ145" s="993">
        <f t="shared" si="343"/>
        <v>30000</v>
      </c>
      <c r="FR145" s="775">
        <f t="shared" si="401"/>
        <v>620774.81801422371</v>
      </c>
      <c r="FS145" s="497">
        <f t="shared" si="402"/>
        <v>40</v>
      </c>
      <c r="FT145" s="775">
        <f t="shared" si="403"/>
        <v>15519.370450355593</v>
      </c>
      <c r="FU145" s="497"/>
      <c r="FV145" s="993">
        <f t="shared" si="404"/>
        <v>4338498.7867614916</v>
      </c>
      <c r="FW145" s="705">
        <f t="shared" si="405"/>
        <v>433849.87867614918</v>
      </c>
      <c r="FX145" s="705">
        <f t="shared" si="406"/>
        <v>108462.46966903729</v>
      </c>
      <c r="FY145" s="705">
        <v>15000</v>
      </c>
      <c r="FZ145" s="705">
        <f t="shared" si="407"/>
        <v>418849.87867614918</v>
      </c>
      <c r="GA145" s="497">
        <f t="shared" si="408"/>
        <v>46</v>
      </c>
      <c r="GB145" s="775">
        <f t="shared" si="409"/>
        <v>9105.4321451336782</v>
      </c>
      <c r="GC145" s="497"/>
      <c r="GD145" s="497"/>
      <c r="GH145" s="1095">
        <f t="shared" si="307"/>
        <v>4338498.7867614916</v>
      </c>
      <c r="GI145" s="1098">
        <f t="shared" si="308"/>
        <v>0.125</v>
      </c>
      <c r="GJ145" s="1095">
        <f t="shared" si="309"/>
        <v>542312.34834518644</v>
      </c>
      <c r="GK145" s="1095">
        <f t="shared" si="310"/>
        <v>30000</v>
      </c>
      <c r="GL145" s="1095">
        <f t="shared" si="311"/>
        <v>512312.34834518644</v>
      </c>
      <c r="GM145" s="1095">
        <f t="shared" si="312"/>
        <v>29</v>
      </c>
      <c r="GN145" s="1095">
        <f t="shared" si="313"/>
        <v>17665.943046385739</v>
      </c>
      <c r="GO145" s="1098">
        <f t="shared" si="314"/>
        <v>0.875</v>
      </c>
      <c r="GP145" s="1095">
        <f t="shared" si="315"/>
        <v>3796186.438416305</v>
      </c>
      <c r="GQ145" s="1095">
        <f t="shared" si="316"/>
        <v>29431.793051149678</v>
      </c>
      <c r="GR145" s="1095">
        <f t="shared" si="317"/>
        <v>34121.196922751609</v>
      </c>
      <c r="GS145" s="1095">
        <f t="shared" si="318"/>
        <v>44076.943419488205</v>
      </c>
      <c r="GT145" s="1095">
        <f t="shared" si="319"/>
        <v>75169.041363263648</v>
      </c>
      <c r="GU145" s="497"/>
      <c r="GV145" s="1095">
        <f t="shared" si="410"/>
        <v>4338498.7867614916</v>
      </c>
      <c r="GW145" s="1098">
        <f t="shared" si="411"/>
        <v>0.125</v>
      </c>
      <c r="GX145" s="1095">
        <f t="shared" si="412"/>
        <v>542312.34834518644</v>
      </c>
      <c r="GY145" s="1095">
        <f t="shared" si="413"/>
        <v>30000</v>
      </c>
      <c r="GZ145" s="1095">
        <f t="shared" si="414"/>
        <v>512312.34834518644</v>
      </c>
      <c r="HA145" s="1106">
        <f t="shared" si="415"/>
        <v>48</v>
      </c>
      <c r="HB145" s="770">
        <f t="shared" si="416"/>
        <v>10673.17392385805</v>
      </c>
      <c r="HC145" s="1098">
        <f t="shared" si="417"/>
        <v>0.875</v>
      </c>
      <c r="HD145" s="1102">
        <f t="shared" si="418"/>
        <v>3796186.438416305</v>
      </c>
      <c r="HE145" s="1101">
        <f t="shared" si="419"/>
        <v>29431.793051149678</v>
      </c>
      <c r="HF145" s="1101">
        <f t="shared" si="420"/>
        <v>34121.196922751609</v>
      </c>
      <c r="HG145" s="1101">
        <f t="shared" si="421"/>
        <v>44076.943419488205</v>
      </c>
      <c r="HH145" s="1101">
        <f t="shared" si="422"/>
        <v>75169.041363263648</v>
      </c>
      <c r="HI145" s="497"/>
      <c r="HJ145" s="1102">
        <f t="shared" si="423"/>
        <v>-6992.7691225276885</v>
      </c>
      <c r="HL145" s="775"/>
      <c r="HN145" s="775"/>
      <c r="HO145" s="775"/>
      <c r="HQ145" s="702"/>
      <c r="HR145" s="1171"/>
      <c r="HS145" s="702"/>
      <c r="HT145" s="1171"/>
    </row>
    <row r="146" spans="1:228" ht="14.25" hidden="1" customHeight="1">
      <c r="A146" s="753">
        <f t="shared" si="424"/>
        <v>140</v>
      </c>
      <c r="B146" s="753" t="s">
        <v>236</v>
      </c>
      <c r="C146" s="753">
        <f t="shared" si="305"/>
        <v>16</v>
      </c>
      <c r="D146" s="753" t="s">
        <v>269</v>
      </c>
      <c r="E146" s="717" t="str">
        <f t="shared" si="344"/>
        <v>7th Floor</v>
      </c>
      <c r="F146" s="754"/>
      <c r="G146" s="756" t="s">
        <v>537</v>
      </c>
      <c r="H146" s="756"/>
      <c r="I146" s="755" t="s">
        <v>229</v>
      </c>
      <c r="J146" s="757">
        <v>22</v>
      </c>
      <c r="K146" s="758"/>
      <c r="L146" s="759" t="s">
        <v>277</v>
      </c>
      <c r="M146" s="760" t="s">
        <v>230</v>
      </c>
      <c r="N146" s="761">
        <f t="shared" si="345"/>
        <v>106005.26567735759</v>
      </c>
      <c r="O146" s="762">
        <f t="shared" si="346"/>
        <v>2332115.8449018667</v>
      </c>
      <c r="P146" s="762">
        <f t="shared" si="347"/>
        <v>22400</v>
      </c>
      <c r="Q146" s="762">
        <f t="shared" si="320"/>
        <v>50000</v>
      </c>
      <c r="R146" s="762"/>
      <c r="S146" s="762"/>
      <c r="T146" s="762"/>
      <c r="U146" s="762"/>
      <c r="V146" s="762">
        <f>J146*$V$5</f>
        <v>55000</v>
      </c>
      <c r="W146" s="762"/>
      <c r="X146" s="762"/>
      <c r="Y146" s="762">
        <f t="shared" si="306"/>
        <v>60000</v>
      </c>
      <c r="Z146" s="762">
        <f t="shared" si="321"/>
        <v>142461</v>
      </c>
      <c r="AA146" s="762"/>
      <c r="AB146" s="762"/>
      <c r="AC146" s="762"/>
      <c r="AD146" s="763">
        <f t="shared" si="348"/>
        <v>329861</v>
      </c>
      <c r="AE146" s="763">
        <f t="shared" si="322"/>
        <v>2661976.8449018667</v>
      </c>
      <c r="AF146" s="762">
        <f t="shared" si="323"/>
        <v>66549.421122546672</v>
      </c>
      <c r="AG146" s="762">
        <f t="shared" si="349"/>
        <v>2728526.2660244135</v>
      </c>
      <c r="AH146" s="762">
        <f t="shared" si="324"/>
        <v>68213.156650610341</v>
      </c>
      <c r="AI146" s="762">
        <f t="shared" si="350"/>
        <v>2796739.4226750238</v>
      </c>
      <c r="AJ146" s="762">
        <f t="shared" si="351"/>
        <v>139836.97113375118</v>
      </c>
      <c r="AK146" s="762">
        <f t="shared" si="352"/>
        <v>2936576.3938087751</v>
      </c>
      <c r="AL146" s="762">
        <f t="shared" si="353"/>
        <v>29365.763938087752</v>
      </c>
      <c r="AM146" s="762">
        <f t="shared" si="354"/>
        <v>27537.409960060559</v>
      </c>
      <c r="AN146" s="762"/>
      <c r="AO146" s="763">
        <f>AK146+AL146+AM146+AN146</f>
        <v>2993479.5677069235</v>
      </c>
      <c r="AP146" s="763">
        <f t="shared" si="356"/>
        <v>493924.12867164239</v>
      </c>
      <c r="AQ146" s="763">
        <f t="shared" si="357"/>
        <v>3487403.6963785659</v>
      </c>
      <c r="AR146" s="1178">
        <f t="shared" si="325"/>
        <v>3000000</v>
      </c>
      <c r="AS146" s="1178">
        <f t="shared" si="358"/>
        <v>22154.713471752995</v>
      </c>
      <c r="AT146" s="1178">
        <f t="shared" si="359"/>
        <v>487403.69637856586</v>
      </c>
      <c r="AU146" s="1178">
        <f t="shared" si="326"/>
        <v>58488.4435654279</v>
      </c>
      <c r="AV146" s="1178">
        <f t="shared" si="360"/>
        <v>545892.13994399377</v>
      </c>
      <c r="AW146" s="1178">
        <f t="shared" si="361"/>
        <v>3545892.1399439937</v>
      </c>
      <c r="AX146" s="762">
        <f t="shared" si="362"/>
        <v>44323.651749299926</v>
      </c>
      <c r="AY146" s="717" t="s">
        <v>231</v>
      </c>
      <c r="AZ146" s="717">
        <f t="shared" si="363"/>
        <v>3590215.7916932935</v>
      </c>
      <c r="BA146" s="717">
        <f t="shared" si="364"/>
        <v>134633.0921884985</v>
      </c>
      <c r="BB146" s="717"/>
      <c r="BC146" s="717">
        <f t="shared" si="327"/>
        <v>33600</v>
      </c>
      <c r="BD146" s="717">
        <f t="shared" si="365"/>
        <v>3758448.883881792</v>
      </c>
      <c r="BE146" s="717"/>
      <c r="BF146" s="717">
        <f t="shared" si="366"/>
        <v>3758448.883881792</v>
      </c>
      <c r="BG146" s="1209"/>
      <c r="BH146" s="717">
        <f t="shared" si="367"/>
        <v>3758448.883881792</v>
      </c>
      <c r="BI146" s="717"/>
      <c r="BJ146" s="717">
        <f t="shared" si="368"/>
        <v>3758448.883881792</v>
      </c>
      <c r="BK146" s="717"/>
      <c r="BL146" s="717">
        <f t="shared" si="369"/>
        <v>3758448.883881792</v>
      </c>
      <c r="BM146" s="717"/>
      <c r="BN146" s="717">
        <f t="shared" si="370"/>
        <v>3758448.883881792</v>
      </c>
      <c r="BO146" s="717"/>
      <c r="BP146" s="717">
        <f t="shared" si="328"/>
        <v>3758448.883881792</v>
      </c>
      <c r="BQ146" s="717"/>
      <c r="BR146" s="717">
        <f t="shared" ref="BR146:BR209" si="433">BP146+BQ146</f>
        <v>3758448.883881792</v>
      </c>
      <c r="BS146" s="717"/>
      <c r="BT146" s="717">
        <f t="shared" si="371"/>
        <v>3758448.883881792</v>
      </c>
      <c r="BU146" s="717"/>
      <c r="BV146" s="1235">
        <f t="shared" ref="BV146:BV209" si="434">$BV$2+$BV$3-BC146</f>
        <v>51400</v>
      </c>
      <c r="BW146" s="717">
        <f t="shared" si="372"/>
        <v>3809848.883881792</v>
      </c>
      <c r="BX146" s="717"/>
      <c r="BY146" s="717">
        <f t="shared" si="373"/>
        <v>3809848.883881792</v>
      </c>
      <c r="BZ146" s="1194">
        <f t="shared" si="374"/>
        <v>3809848.883881792</v>
      </c>
      <c r="CA146" s="1194">
        <f t="shared" si="375"/>
        <v>3039848.883881792</v>
      </c>
      <c r="CB146" s="1194">
        <v>35000</v>
      </c>
      <c r="CC146" s="1194">
        <f t="shared" si="376"/>
        <v>770000</v>
      </c>
      <c r="CD146" s="1194">
        <f t="shared" si="377"/>
        <v>92400</v>
      </c>
      <c r="CE146" s="1194">
        <f t="shared" si="378"/>
        <v>862400</v>
      </c>
      <c r="CF146" s="1200">
        <f t="shared" si="379"/>
        <v>3902248.883881792</v>
      </c>
      <c r="CG146" s="757">
        <f t="shared" si="380"/>
        <v>3902248.883881792</v>
      </c>
      <c r="CH146" s="758">
        <f t="shared" si="381"/>
        <v>0</v>
      </c>
      <c r="CI146" s="757">
        <f t="shared" si="329"/>
        <v>399980.51059788367</v>
      </c>
      <c r="CJ146" s="757">
        <f t="shared" si="330"/>
        <v>97556.222097044811</v>
      </c>
      <c r="CK146" s="759">
        <f t="shared" si="291"/>
        <v>4399785.61657672</v>
      </c>
      <c r="CL146" s="764">
        <f t="shared" si="382"/>
        <v>0.125</v>
      </c>
      <c r="CM146" s="757">
        <f t="shared" si="383"/>
        <v>549973.20207209</v>
      </c>
      <c r="CN146" s="757">
        <f t="shared" si="425"/>
        <v>30000</v>
      </c>
      <c r="CO146" s="757">
        <f t="shared" si="384"/>
        <v>519973.20207209</v>
      </c>
      <c r="CP146" s="755">
        <f t="shared" si="385"/>
        <v>29</v>
      </c>
      <c r="CQ146" s="757">
        <f t="shared" si="427"/>
        <v>17930.110416278967</v>
      </c>
      <c r="CR146" s="764">
        <f t="shared" si="386"/>
        <v>0.875</v>
      </c>
      <c r="CS146" s="757">
        <f t="shared" si="387"/>
        <v>3849812.41450463</v>
      </c>
      <c r="CT146" s="1101">
        <f t="shared" si="388"/>
        <v>29847.554672977694</v>
      </c>
      <c r="CU146" s="1101">
        <f t="shared" si="389"/>
        <v>34603.202356354035</v>
      </c>
      <c r="CV146" s="1101">
        <f t="shared" si="390"/>
        <v>44699.586472511175</v>
      </c>
      <c r="CW146" s="1141">
        <f t="shared" si="331"/>
        <v>76230.899962708601</v>
      </c>
      <c r="CX146" s="1152">
        <f t="shared" si="391"/>
        <v>312732.49911396793</v>
      </c>
      <c r="CY146" s="1152">
        <f t="shared" si="392"/>
        <v>123746.72649193047</v>
      </c>
      <c r="CZ146" s="1152">
        <f t="shared" si="393"/>
        <v>89380.507896152747</v>
      </c>
      <c r="DA146" s="1152">
        <f t="shared" si="394"/>
        <v>68022.681375031767</v>
      </c>
      <c r="DB146" s="1143">
        <f t="shared" si="332"/>
        <v>0.16246789879285528</v>
      </c>
      <c r="DC146" s="1143">
        <f t="shared" si="395"/>
        <v>0.28369831295651188</v>
      </c>
      <c r="DD146" s="1098" t="s">
        <v>232</v>
      </c>
      <c r="DE146" s="1144"/>
      <c r="DF146" s="705"/>
      <c r="DG146" s="765">
        <f t="shared" si="426"/>
        <v>46082</v>
      </c>
      <c r="DH146" s="1116">
        <f t="shared" si="333"/>
        <v>28</v>
      </c>
      <c r="DI146" s="497"/>
      <c r="DJ146" s="1117">
        <f t="shared" si="396"/>
        <v>46147</v>
      </c>
      <c r="DK146" s="1116">
        <f t="shared" si="397"/>
        <v>30</v>
      </c>
      <c r="DL146" s="766" t="s">
        <v>233</v>
      </c>
      <c r="DM146" s="766" t="s">
        <v>234</v>
      </c>
      <c r="DN146" s="767">
        <f t="shared" si="334"/>
        <v>24813.279088363353</v>
      </c>
      <c r="DO146" s="767">
        <f t="shared" si="335"/>
        <v>545892.13994399377</v>
      </c>
      <c r="DP146" s="768">
        <f t="shared" si="336"/>
        <v>0.18196404664799792</v>
      </c>
      <c r="DR146" s="767">
        <f t="shared" si="337"/>
        <v>3902248.883881792</v>
      </c>
      <c r="DS146" s="767">
        <f>SUM('[6]INTERNAL PRICELIST'!M146)</f>
        <v>2329361</v>
      </c>
      <c r="DT146" s="767">
        <f t="shared" si="398"/>
        <v>1572887.883881792</v>
      </c>
      <c r="DV146" s="951">
        <f t="shared" si="338"/>
        <v>177374.94926735418</v>
      </c>
      <c r="DX146" s="772"/>
      <c r="DY146" s="773"/>
      <c r="DZ146" s="772"/>
      <c r="EA146" s="775"/>
      <c r="ED146" s="1133" t="s">
        <v>537</v>
      </c>
      <c r="EE146" s="777" t="b">
        <f t="shared" si="340"/>
        <v>1</v>
      </c>
      <c r="EF146" s="1123" t="s">
        <v>538</v>
      </c>
      <c r="EG146" s="1123" t="s">
        <v>515</v>
      </c>
      <c r="EH146" s="1203"/>
      <c r="EP146" s="1230" t="s">
        <v>236</v>
      </c>
      <c r="EQ146" s="1145" t="s">
        <v>236</v>
      </c>
      <c r="ER146" s="753" t="b">
        <f t="shared" si="399"/>
        <v>1</v>
      </c>
      <c r="EU146" s="770">
        <v>3184920.9478750587</v>
      </c>
      <c r="EV146" s="771" t="s">
        <v>258</v>
      </c>
      <c r="EW146" s="775">
        <f t="shared" si="428"/>
        <v>-717327.93600673322</v>
      </c>
      <c r="EY146" s="775">
        <v>3151074.3799525835</v>
      </c>
      <c r="FJ146" s="994">
        <v>0.125</v>
      </c>
      <c r="FK146" s="993">
        <v>11360.808994590339</v>
      </c>
      <c r="FL146" s="993">
        <v>11667.857886336024</v>
      </c>
      <c r="FM146" s="497"/>
      <c r="FN146" s="993">
        <f t="shared" si="341"/>
        <v>4399785.61657672</v>
      </c>
      <c r="FO146" s="994">
        <f t="shared" si="400"/>
        <v>0.15</v>
      </c>
      <c r="FP146" s="775">
        <f t="shared" si="342"/>
        <v>659967.84248650796</v>
      </c>
      <c r="FQ146" s="993">
        <f t="shared" si="343"/>
        <v>30000</v>
      </c>
      <c r="FR146" s="775">
        <f t="shared" si="401"/>
        <v>629967.84248650796</v>
      </c>
      <c r="FS146" s="497">
        <f t="shared" si="402"/>
        <v>40</v>
      </c>
      <c r="FT146" s="775">
        <f t="shared" si="403"/>
        <v>15749.196062162699</v>
      </c>
      <c r="FU146" s="497"/>
      <c r="FV146" s="993">
        <f t="shared" si="404"/>
        <v>4399785.61657672</v>
      </c>
      <c r="FW146" s="705">
        <f t="shared" si="405"/>
        <v>439978.56165767205</v>
      </c>
      <c r="FX146" s="705">
        <f t="shared" si="406"/>
        <v>109994.64041441801</v>
      </c>
      <c r="FY146" s="705">
        <v>15000</v>
      </c>
      <c r="FZ146" s="705">
        <f t="shared" si="407"/>
        <v>424978.56165767205</v>
      </c>
      <c r="GA146" s="497">
        <f t="shared" si="408"/>
        <v>46</v>
      </c>
      <c r="GB146" s="775">
        <f t="shared" si="409"/>
        <v>9238.664383862435</v>
      </c>
      <c r="GC146" s="497"/>
      <c r="GD146" s="497"/>
      <c r="GH146" s="1095">
        <f t="shared" si="307"/>
        <v>4399785.61657672</v>
      </c>
      <c r="GI146" s="1098">
        <f t="shared" si="308"/>
        <v>0.125</v>
      </c>
      <c r="GJ146" s="1095">
        <f t="shared" si="309"/>
        <v>549973.20207209</v>
      </c>
      <c r="GK146" s="1095">
        <f t="shared" si="310"/>
        <v>30000</v>
      </c>
      <c r="GL146" s="1095">
        <f t="shared" si="311"/>
        <v>519973.20207209</v>
      </c>
      <c r="GM146" s="1095">
        <f t="shared" si="312"/>
        <v>29</v>
      </c>
      <c r="GN146" s="1095">
        <f t="shared" si="313"/>
        <v>17930.110416278967</v>
      </c>
      <c r="GO146" s="1098">
        <f t="shared" si="314"/>
        <v>0.875</v>
      </c>
      <c r="GP146" s="1095">
        <f t="shared" si="315"/>
        <v>3849812.41450463</v>
      </c>
      <c r="GQ146" s="1095">
        <f t="shared" si="316"/>
        <v>29847.554672977694</v>
      </c>
      <c r="GR146" s="1095">
        <f t="shared" si="317"/>
        <v>34603.202356354035</v>
      </c>
      <c r="GS146" s="1095">
        <f t="shared" si="318"/>
        <v>44699.586472511175</v>
      </c>
      <c r="GT146" s="1095">
        <f t="shared" si="319"/>
        <v>76230.899962708601</v>
      </c>
      <c r="GU146" s="497"/>
      <c r="GV146" s="1095">
        <f t="shared" si="410"/>
        <v>4399785.61657672</v>
      </c>
      <c r="GW146" s="1098">
        <f t="shared" si="411"/>
        <v>0.125</v>
      </c>
      <c r="GX146" s="1095">
        <f t="shared" si="412"/>
        <v>549973.20207209</v>
      </c>
      <c r="GY146" s="1095">
        <f t="shared" si="413"/>
        <v>30000</v>
      </c>
      <c r="GZ146" s="1095">
        <f t="shared" si="414"/>
        <v>519973.20207209</v>
      </c>
      <c r="HA146" s="1106">
        <f t="shared" si="415"/>
        <v>48</v>
      </c>
      <c r="HB146" s="770">
        <f t="shared" si="416"/>
        <v>10832.775043168542</v>
      </c>
      <c r="HC146" s="1098">
        <f t="shared" si="417"/>
        <v>0.875</v>
      </c>
      <c r="HD146" s="1102">
        <f t="shared" si="418"/>
        <v>3849812.41450463</v>
      </c>
      <c r="HE146" s="1101">
        <f t="shared" si="419"/>
        <v>29847.554672977694</v>
      </c>
      <c r="HF146" s="1101">
        <f t="shared" si="420"/>
        <v>34603.202356354035</v>
      </c>
      <c r="HG146" s="1101">
        <f t="shared" si="421"/>
        <v>44699.586472511175</v>
      </c>
      <c r="HH146" s="1101">
        <f t="shared" si="422"/>
        <v>76230.899962708601</v>
      </c>
      <c r="HI146" s="497"/>
      <c r="HJ146" s="1102">
        <f t="shared" si="423"/>
        <v>-7097.3353731104253</v>
      </c>
      <c r="HL146" s="775"/>
      <c r="HN146" s="775"/>
      <c r="HO146" s="775"/>
      <c r="HQ146" s="702"/>
      <c r="HR146" s="1171"/>
      <c r="HS146" s="702"/>
      <c r="HT146" s="1171"/>
    </row>
    <row r="147" spans="1:228" ht="14.25" hidden="1" customHeight="1">
      <c r="A147" s="753">
        <f t="shared" si="424"/>
        <v>141</v>
      </c>
      <c r="B147" s="753"/>
      <c r="C147" s="753">
        <f t="shared" si="305"/>
        <v>17</v>
      </c>
      <c r="D147" s="753" t="s">
        <v>269</v>
      </c>
      <c r="E147" s="717" t="str">
        <f t="shared" si="344"/>
        <v>7th Floor</v>
      </c>
      <c r="F147" s="754"/>
      <c r="G147" s="756" t="s">
        <v>539</v>
      </c>
      <c r="H147" s="756"/>
      <c r="I147" s="755" t="s">
        <v>229</v>
      </c>
      <c r="J147" s="757">
        <v>22</v>
      </c>
      <c r="K147" s="758"/>
      <c r="L147" s="759" t="s">
        <v>69</v>
      </c>
      <c r="M147" s="760" t="s">
        <v>68</v>
      </c>
      <c r="N147" s="761">
        <f t="shared" si="345"/>
        <v>106005.26567735759</v>
      </c>
      <c r="O147" s="762">
        <f t="shared" si="346"/>
        <v>2332115.8449018667</v>
      </c>
      <c r="P147" s="762">
        <f t="shared" si="347"/>
        <v>22400</v>
      </c>
      <c r="Q147" s="762">
        <f t="shared" si="320"/>
        <v>50000</v>
      </c>
      <c r="R147" s="762"/>
      <c r="S147" s="762"/>
      <c r="T147" s="762"/>
      <c r="U147" s="762"/>
      <c r="V147" s="762"/>
      <c r="W147" s="762"/>
      <c r="X147" s="762"/>
      <c r="Y147" s="762">
        <f t="shared" si="306"/>
        <v>60000</v>
      </c>
      <c r="Z147" s="762">
        <f t="shared" si="321"/>
        <v>142461</v>
      </c>
      <c r="AA147" s="762"/>
      <c r="AB147" s="762"/>
      <c r="AC147" s="762"/>
      <c r="AD147" s="763">
        <f t="shared" si="348"/>
        <v>274861</v>
      </c>
      <c r="AE147" s="763">
        <f t="shared" si="322"/>
        <v>2606976.8449018667</v>
      </c>
      <c r="AF147" s="762">
        <f t="shared" si="323"/>
        <v>65174.421122546672</v>
      </c>
      <c r="AG147" s="762">
        <f t="shared" si="349"/>
        <v>2672151.2660244135</v>
      </c>
      <c r="AH147" s="762">
        <f t="shared" si="324"/>
        <v>66803.781650610341</v>
      </c>
      <c r="AI147" s="762">
        <f t="shared" si="350"/>
        <v>2738955.0476750238</v>
      </c>
      <c r="AJ147" s="762">
        <f t="shared" si="351"/>
        <v>136947.75238375118</v>
      </c>
      <c r="AK147" s="762">
        <f t="shared" si="352"/>
        <v>2875902.8000587751</v>
      </c>
      <c r="AL147" s="762">
        <f t="shared" si="353"/>
        <v>28759.02800058775</v>
      </c>
      <c r="AM147" s="762">
        <f t="shared" si="354"/>
        <v>27537.409960060559</v>
      </c>
      <c r="AN147" s="762"/>
      <c r="AO147" s="763">
        <f t="shared" si="355"/>
        <v>2932199.2380194231</v>
      </c>
      <c r="AP147" s="763">
        <f t="shared" si="356"/>
        <v>483812.87427320483</v>
      </c>
      <c r="AQ147" s="763">
        <f t="shared" si="357"/>
        <v>3416012.1122926278</v>
      </c>
      <c r="AR147" s="1178">
        <f t="shared" si="325"/>
        <v>3000000</v>
      </c>
      <c r="AS147" s="1178">
        <f t="shared" si="358"/>
        <v>18909.641467846719</v>
      </c>
      <c r="AT147" s="1178">
        <f t="shared" si="359"/>
        <v>416012.1122926278</v>
      </c>
      <c r="AU147" s="1178">
        <f t="shared" si="326"/>
        <v>49921.453475115333</v>
      </c>
      <c r="AV147" s="1178">
        <f t="shared" si="360"/>
        <v>465933.56576774316</v>
      </c>
      <c r="AW147" s="1178">
        <f t="shared" si="361"/>
        <v>3465933.5657677432</v>
      </c>
      <c r="AX147" s="762">
        <f t="shared" si="362"/>
        <v>43324.169572096791</v>
      </c>
      <c r="AY147" s="717" t="s">
        <v>231</v>
      </c>
      <c r="AZ147" s="717">
        <f t="shared" si="363"/>
        <v>3509257.7353398399</v>
      </c>
      <c r="BA147" s="717">
        <f t="shared" si="364"/>
        <v>131597.165075244</v>
      </c>
      <c r="BB147" s="717"/>
      <c r="BC147" s="717">
        <f t="shared" si="327"/>
        <v>33600</v>
      </c>
      <c r="BD147" s="717">
        <f t="shared" si="365"/>
        <v>3674454.9004150839</v>
      </c>
      <c r="BE147" s="717"/>
      <c r="BF147" s="717">
        <f t="shared" si="366"/>
        <v>3674454.9004150839</v>
      </c>
      <c r="BG147" s="1209"/>
      <c r="BH147" s="717">
        <f t="shared" si="367"/>
        <v>3674454.9004150839</v>
      </c>
      <c r="BI147" s="717"/>
      <c r="BJ147" s="717">
        <f t="shared" si="368"/>
        <v>3674454.9004150839</v>
      </c>
      <c r="BK147" s="717"/>
      <c r="BL147" s="717">
        <f t="shared" si="369"/>
        <v>3674454.9004150839</v>
      </c>
      <c r="BM147" s="717"/>
      <c r="BN147" s="717">
        <f t="shared" si="370"/>
        <v>3674454.9004150839</v>
      </c>
      <c r="BO147" s="717"/>
      <c r="BP147" s="717">
        <f t="shared" si="328"/>
        <v>3674454.9004150839</v>
      </c>
      <c r="BQ147" s="717"/>
      <c r="BR147" s="717">
        <f t="shared" si="433"/>
        <v>3674454.9004150839</v>
      </c>
      <c r="BS147" s="717"/>
      <c r="BT147" s="717">
        <f t="shared" si="371"/>
        <v>3674454.9004150839</v>
      </c>
      <c r="BU147" s="717"/>
      <c r="BV147" s="1235">
        <f t="shared" si="434"/>
        <v>51400</v>
      </c>
      <c r="BW147" s="717">
        <f t="shared" si="372"/>
        <v>3725854.9004150839</v>
      </c>
      <c r="BX147" s="717"/>
      <c r="BY147" s="717">
        <f t="shared" si="373"/>
        <v>3725854.9004150839</v>
      </c>
      <c r="BZ147" s="1194">
        <f t="shared" si="374"/>
        <v>3725854.9004150839</v>
      </c>
      <c r="CA147" s="1194">
        <f t="shared" si="375"/>
        <v>3032854.9004150839</v>
      </c>
      <c r="CB147" s="1194">
        <v>31500</v>
      </c>
      <c r="CC147" s="1194">
        <f t="shared" si="376"/>
        <v>693000</v>
      </c>
      <c r="CD147" s="1194">
        <f t="shared" si="377"/>
        <v>83160</v>
      </c>
      <c r="CE147" s="1194">
        <f t="shared" si="378"/>
        <v>776160</v>
      </c>
      <c r="CF147" s="1200">
        <f t="shared" si="379"/>
        <v>3809014.9004150839</v>
      </c>
      <c r="CG147" s="757">
        <f t="shared" si="380"/>
        <v>3809014.9004150839</v>
      </c>
      <c r="CH147" s="758">
        <f t="shared" si="381"/>
        <v>0</v>
      </c>
      <c r="CI147" s="757">
        <f t="shared" si="329"/>
        <v>390424.02729254606</v>
      </c>
      <c r="CJ147" s="757">
        <f t="shared" si="330"/>
        <v>95225.372510377099</v>
      </c>
      <c r="CK147" s="759">
        <f t="shared" si="291"/>
        <v>4294664.3002180075</v>
      </c>
      <c r="CL147" s="764">
        <f t="shared" si="382"/>
        <v>0.125</v>
      </c>
      <c r="CM147" s="757">
        <f t="shared" si="383"/>
        <v>536833.03752725094</v>
      </c>
      <c r="CN147" s="757">
        <f t="shared" si="425"/>
        <v>30000</v>
      </c>
      <c r="CO147" s="757">
        <f t="shared" si="384"/>
        <v>506833.03752725094</v>
      </c>
      <c r="CP147" s="755">
        <f t="shared" si="385"/>
        <v>29</v>
      </c>
      <c r="CQ147" s="757">
        <f t="shared" si="427"/>
        <v>17477.001294043137</v>
      </c>
      <c r="CR147" s="764">
        <f t="shared" si="386"/>
        <v>0.875</v>
      </c>
      <c r="CS147" s="757">
        <f t="shared" si="387"/>
        <v>3757831.2626907565</v>
      </c>
      <c r="CT147" s="1101">
        <f t="shared" si="388"/>
        <v>29134.425781994749</v>
      </c>
      <c r="CU147" s="1101">
        <f t="shared" si="389"/>
        <v>33776.449759995252</v>
      </c>
      <c r="CV147" s="1101">
        <f t="shared" si="390"/>
        <v>43631.607307122547</v>
      </c>
      <c r="CW147" s="1141">
        <f t="shared" si="331"/>
        <v>74409.562913672053</v>
      </c>
      <c r="CX147" s="1152">
        <f t="shared" si="391"/>
        <v>305260.57778872194</v>
      </c>
      <c r="CY147" s="1152">
        <f t="shared" si="392"/>
        <v>120790.12362134912</v>
      </c>
      <c r="CZ147" s="1152">
        <f t="shared" si="393"/>
        <v>87244.995517673655</v>
      </c>
      <c r="DA147" s="1152">
        <f t="shared" si="394"/>
        <v>66397.458141096984</v>
      </c>
      <c r="DB147" s="1143">
        <f t="shared" si="332"/>
        <v>0.13867070409754259</v>
      </c>
      <c r="DC147" s="1143">
        <f t="shared" si="395"/>
        <v>0.25591728766640726</v>
      </c>
      <c r="DD147" s="1098" t="s">
        <v>232</v>
      </c>
      <c r="DE147" s="1144"/>
      <c r="DF147" s="705"/>
      <c r="DG147" s="765">
        <f t="shared" si="426"/>
        <v>46082</v>
      </c>
      <c r="DH147" s="1116">
        <f t="shared" si="333"/>
        <v>28</v>
      </c>
      <c r="DI147" s="497"/>
      <c r="DJ147" s="1117">
        <f t="shared" si="396"/>
        <v>46147</v>
      </c>
      <c r="DK147" s="1116">
        <f t="shared" si="397"/>
        <v>30</v>
      </c>
      <c r="DL147" s="766" t="s">
        <v>233</v>
      </c>
      <c r="DM147" s="766" t="s">
        <v>234</v>
      </c>
      <c r="DN147" s="767">
        <f t="shared" si="334"/>
        <v>21178.798443988326</v>
      </c>
      <c r="DO147" s="767">
        <f t="shared" si="335"/>
        <v>465933.56576774316</v>
      </c>
      <c r="DP147" s="768">
        <f t="shared" si="336"/>
        <v>0.15531118858924772</v>
      </c>
      <c r="DR147" s="767">
        <f t="shared" si="337"/>
        <v>3809014.9004150839</v>
      </c>
      <c r="DS147" s="767">
        <f>SUM('[6]INTERNAL PRICELIST'!M147)</f>
        <v>2329361</v>
      </c>
      <c r="DT147" s="767">
        <f t="shared" si="398"/>
        <v>1479653.9004150839</v>
      </c>
      <c r="DV147" s="951">
        <f t="shared" si="338"/>
        <v>173137.04092795835</v>
      </c>
      <c r="DX147" s="772"/>
      <c r="DY147" s="773"/>
      <c r="DZ147" s="772"/>
      <c r="EA147" s="775"/>
      <c r="ED147" s="755" t="s">
        <v>539</v>
      </c>
      <c r="EE147" s="777" t="b">
        <f t="shared" si="340"/>
        <v>1</v>
      </c>
      <c r="EF147" s="777"/>
      <c r="EG147" s="777"/>
      <c r="EH147" s="1203"/>
      <c r="EP147" s="1230" t="s">
        <v>236</v>
      </c>
      <c r="EQ147" s="1145" t="s">
        <v>236</v>
      </c>
      <c r="ER147" s="753" t="b">
        <f t="shared" si="399"/>
        <v>1</v>
      </c>
      <c r="EU147" s="770">
        <v>3057701.8774007284</v>
      </c>
      <c r="EV147" s="771" t="s">
        <v>258</v>
      </c>
      <c r="EW147" s="775">
        <f t="shared" si="428"/>
        <v>-751313.02301435545</v>
      </c>
      <c r="FJ147" s="994">
        <v>0.15</v>
      </c>
      <c r="FK147" s="993">
        <v>13153.346833306294</v>
      </c>
      <c r="FL147" s="993">
        <v>13508.842693665923</v>
      </c>
      <c r="FM147" s="497"/>
      <c r="FN147" s="993">
        <f t="shared" si="341"/>
        <v>4294664.3002180075</v>
      </c>
      <c r="FO147" s="994">
        <f t="shared" si="400"/>
        <v>0.15</v>
      </c>
      <c r="FP147" s="775">
        <f t="shared" si="342"/>
        <v>644199.64503270108</v>
      </c>
      <c r="FQ147" s="993">
        <f t="shared" si="343"/>
        <v>30000</v>
      </c>
      <c r="FR147" s="775">
        <f t="shared" si="401"/>
        <v>614199.64503270108</v>
      </c>
      <c r="FS147" s="497">
        <f t="shared" si="402"/>
        <v>40</v>
      </c>
      <c r="FT147" s="775">
        <f t="shared" si="403"/>
        <v>15354.991125817527</v>
      </c>
      <c r="FU147" s="497"/>
      <c r="FV147" s="993">
        <f t="shared" si="404"/>
        <v>4294664.3002180075</v>
      </c>
      <c r="FW147" s="705">
        <f t="shared" si="405"/>
        <v>429466.4300218008</v>
      </c>
      <c r="FX147" s="705">
        <f t="shared" si="406"/>
        <v>107366.6075054502</v>
      </c>
      <c r="FY147" s="705">
        <v>15000</v>
      </c>
      <c r="FZ147" s="705">
        <f t="shared" si="407"/>
        <v>414466.4300218008</v>
      </c>
      <c r="GA147" s="497">
        <f t="shared" si="408"/>
        <v>46</v>
      </c>
      <c r="GB147" s="775">
        <f t="shared" si="409"/>
        <v>9010.1397830826263</v>
      </c>
      <c r="GC147" s="497"/>
      <c r="GD147" s="497"/>
      <c r="GH147" s="1095">
        <f t="shared" si="307"/>
        <v>4294664.3002180075</v>
      </c>
      <c r="GI147" s="1098">
        <f t="shared" si="308"/>
        <v>0.125</v>
      </c>
      <c r="GJ147" s="1095">
        <f t="shared" si="309"/>
        <v>536833.03752725094</v>
      </c>
      <c r="GK147" s="1095">
        <f t="shared" si="310"/>
        <v>30000</v>
      </c>
      <c r="GL147" s="1095">
        <f t="shared" si="311"/>
        <v>506833.03752725094</v>
      </c>
      <c r="GM147" s="1095">
        <f t="shared" si="312"/>
        <v>29</v>
      </c>
      <c r="GN147" s="1095">
        <f t="shared" si="313"/>
        <v>17477.001294043137</v>
      </c>
      <c r="GO147" s="1098">
        <f t="shared" si="314"/>
        <v>0.875</v>
      </c>
      <c r="GP147" s="1095">
        <f t="shared" si="315"/>
        <v>3757831.2626907565</v>
      </c>
      <c r="GQ147" s="1095">
        <f t="shared" si="316"/>
        <v>29134.425781994749</v>
      </c>
      <c r="GR147" s="1095">
        <f t="shared" si="317"/>
        <v>33776.449759995252</v>
      </c>
      <c r="GS147" s="1095">
        <f t="shared" si="318"/>
        <v>43631.607307122547</v>
      </c>
      <c r="GT147" s="1095">
        <f t="shared" si="319"/>
        <v>74409.562913672053</v>
      </c>
      <c r="GU147" s="497"/>
      <c r="GV147" s="1095">
        <f t="shared" si="410"/>
        <v>4294664.3002180075</v>
      </c>
      <c r="GW147" s="1098">
        <f t="shared" si="411"/>
        <v>0.125</v>
      </c>
      <c r="GX147" s="1095">
        <f t="shared" si="412"/>
        <v>536833.03752725094</v>
      </c>
      <c r="GY147" s="1095">
        <f t="shared" si="413"/>
        <v>30000</v>
      </c>
      <c r="GZ147" s="1095">
        <f t="shared" si="414"/>
        <v>506833.03752725094</v>
      </c>
      <c r="HA147" s="1106">
        <f t="shared" si="415"/>
        <v>48</v>
      </c>
      <c r="HB147" s="770">
        <f t="shared" si="416"/>
        <v>10559.021615151061</v>
      </c>
      <c r="HC147" s="1098">
        <f t="shared" si="417"/>
        <v>0.875</v>
      </c>
      <c r="HD147" s="1102">
        <f t="shared" si="418"/>
        <v>3757831.2626907565</v>
      </c>
      <c r="HE147" s="1101">
        <f t="shared" si="419"/>
        <v>29134.425781994749</v>
      </c>
      <c r="HF147" s="1101">
        <f t="shared" si="420"/>
        <v>33776.449759995252</v>
      </c>
      <c r="HG147" s="1101">
        <f t="shared" si="421"/>
        <v>43631.607307122547</v>
      </c>
      <c r="HH147" s="1101">
        <f t="shared" si="422"/>
        <v>74409.562913672053</v>
      </c>
      <c r="HI147" s="497"/>
      <c r="HJ147" s="1102">
        <f t="shared" si="423"/>
        <v>-6917.9796788920758</v>
      </c>
      <c r="HL147" s="775"/>
      <c r="HN147" s="775"/>
      <c r="HO147" s="775"/>
      <c r="HQ147" s="702"/>
      <c r="HR147" s="1171"/>
      <c r="HS147" s="702"/>
      <c r="HT147" s="1171"/>
    </row>
    <row r="148" spans="1:228" ht="14.25" hidden="1" customHeight="1">
      <c r="A148" s="753">
        <f t="shared" si="424"/>
        <v>142</v>
      </c>
      <c r="B148" s="753" t="s">
        <v>236</v>
      </c>
      <c r="C148" s="753">
        <f t="shared" si="305"/>
        <v>18</v>
      </c>
      <c r="D148" s="753" t="s">
        <v>269</v>
      </c>
      <c r="E148" s="717" t="str">
        <f t="shared" si="344"/>
        <v>7th Floor</v>
      </c>
      <c r="F148" s="754"/>
      <c r="G148" s="756" t="s">
        <v>540</v>
      </c>
      <c r="H148" s="756"/>
      <c r="I148" s="755" t="s">
        <v>229</v>
      </c>
      <c r="J148" s="757">
        <v>22</v>
      </c>
      <c r="K148" s="758"/>
      <c r="L148" s="759" t="s">
        <v>69</v>
      </c>
      <c r="M148" s="760" t="s">
        <v>68</v>
      </c>
      <c r="N148" s="761">
        <f t="shared" si="345"/>
        <v>106005.26567735759</v>
      </c>
      <c r="O148" s="762">
        <f t="shared" si="346"/>
        <v>2332115.8449018667</v>
      </c>
      <c r="P148" s="762">
        <f t="shared" si="347"/>
        <v>22400</v>
      </c>
      <c r="Q148" s="762">
        <f t="shared" si="320"/>
        <v>50000</v>
      </c>
      <c r="R148" s="762"/>
      <c r="S148" s="762"/>
      <c r="T148" s="762"/>
      <c r="U148" s="762"/>
      <c r="V148" s="762"/>
      <c r="W148" s="762"/>
      <c r="X148" s="762"/>
      <c r="Y148" s="762">
        <f t="shared" si="306"/>
        <v>60000</v>
      </c>
      <c r="Z148" s="762">
        <f t="shared" si="321"/>
        <v>142461</v>
      </c>
      <c r="AA148" s="762"/>
      <c r="AB148" s="762"/>
      <c r="AC148" s="762"/>
      <c r="AD148" s="763">
        <f t="shared" si="348"/>
        <v>274861</v>
      </c>
      <c r="AE148" s="763">
        <f t="shared" si="322"/>
        <v>2606976.8449018667</v>
      </c>
      <c r="AF148" s="762">
        <f t="shared" si="323"/>
        <v>65174.421122546672</v>
      </c>
      <c r="AG148" s="762">
        <f t="shared" si="349"/>
        <v>2672151.2660244135</v>
      </c>
      <c r="AH148" s="762">
        <f t="shared" si="324"/>
        <v>66803.781650610341</v>
      </c>
      <c r="AI148" s="762">
        <f t="shared" si="350"/>
        <v>2738955.0476750238</v>
      </c>
      <c r="AJ148" s="762">
        <f t="shared" si="351"/>
        <v>136947.75238375118</v>
      </c>
      <c r="AK148" s="762">
        <f t="shared" si="352"/>
        <v>2875902.8000587751</v>
      </c>
      <c r="AL148" s="762">
        <f t="shared" si="353"/>
        <v>28759.02800058775</v>
      </c>
      <c r="AM148" s="762">
        <f t="shared" si="354"/>
        <v>27537.409960060559</v>
      </c>
      <c r="AN148" s="762"/>
      <c r="AO148" s="763">
        <f t="shared" si="355"/>
        <v>2932199.2380194231</v>
      </c>
      <c r="AP148" s="763">
        <f t="shared" si="356"/>
        <v>483812.87427320483</v>
      </c>
      <c r="AQ148" s="763">
        <f t="shared" si="357"/>
        <v>3416012.1122926278</v>
      </c>
      <c r="AR148" s="1178">
        <f t="shared" si="325"/>
        <v>3000000</v>
      </c>
      <c r="AS148" s="1178">
        <f t="shared" si="358"/>
        <v>18909.641467846719</v>
      </c>
      <c r="AT148" s="1178">
        <f t="shared" si="359"/>
        <v>416012.1122926278</v>
      </c>
      <c r="AU148" s="1178">
        <f t="shared" si="326"/>
        <v>49921.453475115333</v>
      </c>
      <c r="AV148" s="1178">
        <f t="shared" si="360"/>
        <v>465933.56576774316</v>
      </c>
      <c r="AW148" s="1178">
        <f t="shared" si="361"/>
        <v>3465933.5657677432</v>
      </c>
      <c r="AX148" s="762">
        <f t="shared" si="362"/>
        <v>43324.169572096791</v>
      </c>
      <c r="AY148" s="717" t="s">
        <v>231</v>
      </c>
      <c r="AZ148" s="717">
        <f t="shared" si="363"/>
        <v>3509257.7353398399</v>
      </c>
      <c r="BA148" s="717">
        <f t="shared" si="364"/>
        <v>131597.165075244</v>
      </c>
      <c r="BB148" s="717"/>
      <c r="BC148" s="717">
        <f t="shared" si="327"/>
        <v>33600</v>
      </c>
      <c r="BD148" s="717">
        <f t="shared" si="365"/>
        <v>3674454.9004150839</v>
      </c>
      <c r="BE148" s="717"/>
      <c r="BF148" s="717">
        <f t="shared" si="366"/>
        <v>3674454.9004150839</v>
      </c>
      <c r="BG148" s="1209"/>
      <c r="BH148" s="717">
        <f t="shared" si="367"/>
        <v>3674454.9004150839</v>
      </c>
      <c r="BI148" s="717"/>
      <c r="BJ148" s="717">
        <f t="shared" si="368"/>
        <v>3674454.9004150839</v>
      </c>
      <c r="BK148" s="717"/>
      <c r="BL148" s="717">
        <f t="shared" si="369"/>
        <v>3674454.9004150839</v>
      </c>
      <c r="BM148" s="717"/>
      <c r="BN148" s="717">
        <f t="shared" si="370"/>
        <v>3674454.9004150839</v>
      </c>
      <c r="BO148" s="717"/>
      <c r="BP148" s="717">
        <f t="shared" si="328"/>
        <v>3674454.9004150839</v>
      </c>
      <c r="BQ148" s="717"/>
      <c r="BR148" s="717">
        <f t="shared" si="433"/>
        <v>3674454.9004150839</v>
      </c>
      <c r="BS148" s="717"/>
      <c r="BT148" s="717">
        <f t="shared" si="371"/>
        <v>3674454.9004150839</v>
      </c>
      <c r="BU148" s="717"/>
      <c r="BV148" s="1235">
        <f t="shared" si="434"/>
        <v>51400</v>
      </c>
      <c r="BW148" s="717">
        <f t="shared" si="372"/>
        <v>3725854.9004150839</v>
      </c>
      <c r="BX148" s="717"/>
      <c r="BY148" s="717">
        <f t="shared" si="373"/>
        <v>3725854.9004150839</v>
      </c>
      <c r="BZ148" s="1194">
        <f t="shared" si="374"/>
        <v>3725854.9004150839</v>
      </c>
      <c r="CA148" s="1194">
        <f t="shared" si="375"/>
        <v>3032854.9004150839</v>
      </c>
      <c r="CB148" s="1194">
        <v>31500</v>
      </c>
      <c r="CC148" s="1194">
        <f t="shared" si="376"/>
        <v>693000</v>
      </c>
      <c r="CD148" s="1194">
        <f t="shared" si="377"/>
        <v>83160</v>
      </c>
      <c r="CE148" s="1194">
        <f t="shared" si="378"/>
        <v>776160</v>
      </c>
      <c r="CF148" s="1200">
        <f t="shared" si="379"/>
        <v>3809014.9004150839</v>
      </c>
      <c r="CG148" s="757">
        <f t="shared" si="380"/>
        <v>3809014.9004150839</v>
      </c>
      <c r="CH148" s="758">
        <f t="shared" si="381"/>
        <v>0</v>
      </c>
      <c r="CI148" s="757">
        <f t="shared" si="329"/>
        <v>390424.02729254606</v>
      </c>
      <c r="CJ148" s="757">
        <f t="shared" si="330"/>
        <v>95225.372510377099</v>
      </c>
      <c r="CK148" s="759">
        <f t="shared" si="291"/>
        <v>4294664.3002180075</v>
      </c>
      <c r="CL148" s="764">
        <f t="shared" si="382"/>
        <v>0.125</v>
      </c>
      <c r="CM148" s="757">
        <f t="shared" si="383"/>
        <v>536833.03752725094</v>
      </c>
      <c r="CN148" s="757">
        <f t="shared" si="425"/>
        <v>30000</v>
      </c>
      <c r="CO148" s="757">
        <f t="shared" si="384"/>
        <v>506833.03752725094</v>
      </c>
      <c r="CP148" s="755">
        <f t="shared" si="385"/>
        <v>29</v>
      </c>
      <c r="CQ148" s="757">
        <f t="shared" si="427"/>
        <v>17477.001294043137</v>
      </c>
      <c r="CR148" s="764">
        <f t="shared" si="386"/>
        <v>0.875</v>
      </c>
      <c r="CS148" s="757">
        <f t="shared" si="387"/>
        <v>3757831.2626907565</v>
      </c>
      <c r="CT148" s="1101">
        <f t="shared" si="388"/>
        <v>29134.425781994749</v>
      </c>
      <c r="CU148" s="1101">
        <f t="shared" si="389"/>
        <v>33776.449759995252</v>
      </c>
      <c r="CV148" s="1101">
        <f t="shared" si="390"/>
        <v>43631.607307122547</v>
      </c>
      <c r="CW148" s="1141">
        <f t="shared" si="331"/>
        <v>74409.562913672053</v>
      </c>
      <c r="CX148" s="1152">
        <f t="shared" si="391"/>
        <v>305260.57778872194</v>
      </c>
      <c r="CY148" s="1152">
        <f t="shared" si="392"/>
        <v>120790.12362134912</v>
      </c>
      <c r="CZ148" s="1152">
        <f t="shared" si="393"/>
        <v>87244.995517673655</v>
      </c>
      <c r="DA148" s="1152">
        <f t="shared" si="394"/>
        <v>66397.458141096984</v>
      </c>
      <c r="DB148" s="1143">
        <f t="shared" si="332"/>
        <v>0.13867070409754259</v>
      </c>
      <c r="DC148" s="1143">
        <f t="shared" si="395"/>
        <v>0.25591728766640726</v>
      </c>
      <c r="DD148" s="1098" t="s">
        <v>232</v>
      </c>
      <c r="DE148" s="1144"/>
      <c r="DF148" s="705"/>
      <c r="DG148" s="765">
        <f t="shared" si="426"/>
        <v>46082</v>
      </c>
      <c r="DH148" s="1116">
        <f t="shared" si="333"/>
        <v>28</v>
      </c>
      <c r="DI148" s="497"/>
      <c r="DJ148" s="1117">
        <f t="shared" si="396"/>
        <v>46147</v>
      </c>
      <c r="DK148" s="1116">
        <f t="shared" si="397"/>
        <v>30</v>
      </c>
      <c r="DL148" s="766" t="s">
        <v>233</v>
      </c>
      <c r="DM148" s="766" t="s">
        <v>234</v>
      </c>
      <c r="DN148" s="767">
        <f t="shared" si="334"/>
        <v>21178.798443988326</v>
      </c>
      <c r="DO148" s="767">
        <f t="shared" si="335"/>
        <v>465933.56576774316</v>
      </c>
      <c r="DP148" s="768">
        <f t="shared" si="336"/>
        <v>0.15531118858924772</v>
      </c>
      <c r="DR148" s="767">
        <f t="shared" si="337"/>
        <v>3809014.9004150839</v>
      </c>
      <c r="DS148" s="767">
        <f>SUM('[6]INTERNAL PRICELIST'!M148)</f>
        <v>2329361</v>
      </c>
      <c r="DT148" s="767">
        <f t="shared" si="398"/>
        <v>1479653.9004150839</v>
      </c>
      <c r="DV148" s="951">
        <f t="shared" si="338"/>
        <v>173137.04092795835</v>
      </c>
      <c r="DX148" s="772"/>
      <c r="DY148" s="773"/>
      <c r="DZ148" s="772"/>
      <c r="EA148" s="775"/>
      <c r="ED148" s="755" t="s">
        <v>540</v>
      </c>
      <c r="EE148" s="777" t="b">
        <f t="shared" si="340"/>
        <v>1</v>
      </c>
      <c r="EF148" s="1123" t="s">
        <v>541</v>
      </c>
      <c r="EG148" s="1123" t="s">
        <v>515</v>
      </c>
      <c r="EH148" s="1203"/>
      <c r="EP148" s="1230" t="s">
        <v>236</v>
      </c>
      <c r="EQ148" s="1145" t="s">
        <v>236</v>
      </c>
      <c r="ER148" s="753" t="b">
        <f t="shared" si="399"/>
        <v>1</v>
      </c>
      <c r="EU148" s="770">
        <v>2409740</v>
      </c>
      <c r="EV148" s="771" t="s">
        <v>236</v>
      </c>
      <c r="FJ148" s="994">
        <v>0.15</v>
      </c>
      <c r="FK148" s="993">
        <v>13153.346833306294</v>
      </c>
      <c r="FL148" s="993">
        <v>13508.842693665923</v>
      </c>
      <c r="FM148" s="497"/>
      <c r="FN148" s="993">
        <f t="shared" si="341"/>
        <v>4294664.3002180075</v>
      </c>
      <c r="FO148" s="994">
        <f t="shared" si="400"/>
        <v>0.15</v>
      </c>
      <c r="FP148" s="775">
        <f t="shared" si="342"/>
        <v>644199.64503270108</v>
      </c>
      <c r="FQ148" s="993">
        <f t="shared" si="343"/>
        <v>30000</v>
      </c>
      <c r="FR148" s="775">
        <f t="shared" si="401"/>
        <v>614199.64503270108</v>
      </c>
      <c r="FS148" s="497">
        <f t="shared" si="402"/>
        <v>40</v>
      </c>
      <c r="FT148" s="775">
        <f t="shared" si="403"/>
        <v>15354.991125817527</v>
      </c>
      <c r="FU148" s="497"/>
      <c r="FV148" s="993">
        <f t="shared" si="404"/>
        <v>4294664.3002180075</v>
      </c>
      <c r="FW148" s="705">
        <f t="shared" si="405"/>
        <v>429466.4300218008</v>
      </c>
      <c r="FX148" s="705">
        <f t="shared" si="406"/>
        <v>107366.6075054502</v>
      </c>
      <c r="FY148" s="705">
        <v>15000</v>
      </c>
      <c r="FZ148" s="705">
        <f t="shared" si="407"/>
        <v>414466.4300218008</v>
      </c>
      <c r="GA148" s="497">
        <f t="shared" si="408"/>
        <v>46</v>
      </c>
      <c r="GB148" s="775">
        <f t="shared" si="409"/>
        <v>9010.1397830826263</v>
      </c>
      <c r="GC148" s="497"/>
      <c r="GD148" s="497"/>
      <c r="GH148" s="1095">
        <f t="shared" si="307"/>
        <v>4294664.3002180075</v>
      </c>
      <c r="GI148" s="1098">
        <f t="shared" si="308"/>
        <v>0.125</v>
      </c>
      <c r="GJ148" s="1095">
        <f t="shared" si="309"/>
        <v>536833.03752725094</v>
      </c>
      <c r="GK148" s="1095">
        <f t="shared" si="310"/>
        <v>30000</v>
      </c>
      <c r="GL148" s="1095">
        <f t="shared" si="311"/>
        <v>506833.03752725094</v>
      </c>
      <c r="GM148" s="1095">
        <f t="shared" si="312"/>
        <v>29</v>
      </c>
      <c r="GN148" s="1095">
        <f t="shared" si="313"/>
        <v>17477.001294043137</v>
      </c>
      <c r="GO148" s="1098">
        <f t="shared" si="314"/>
        <v>0.875</v>
      </c>
      <c r="GP148" s="1095">
        <f t="shared" si="315"/>
        <v>3757831.2626907565</v>
      </c>
      <c r="GQ148" s="1095">
        <f t="shared" si="316"/>
        <v>29134.425781994749</v>
      </c>
      <c r="GR148" s="1095">
        <f t="shared" si="317"/>
        <v>33776.449759995252</v>
      </c>
      <c r="GS148" s="1095">
        <f t="shared" si="318"/>
        <v>43631.607307122547</v>
      </c>
      <c r="GT148" s="1095">
        <f t="shared" si="319"/>
        <v>74409.562913672053</v>
      </c>
      <c r="GU148" s="497"/>
      <c r="GV148" s="1095">
        <f t="shared" si="410"/>
        <v>4294664.3002180075</v>
      </c>
      <c r="GW148" s="1098">
        <f t="shared" si="411"/>
        <v>0.125</v>
      </c>
      <c r="GX148" s="1095">
        <f t="shared" si="412"/>
        <v>536833.03752725094</v>
      </c>
      <c r="GY148" s="1095">
        <f t="shared" si="413"/>
        <v>30000</v>
      </c>
      <c r="GZ148" s="1095">
        <f t="shared" si="414"/>
        <v>506833.03752725094</v>
      </c>
      <c r="HA148" s="1106">
        <f t="shared" si="415"/>
        <v>48</v>
      </c>
      <c r="HB148" s="770">
        <f t="shared" si="416"/>
        <v>10559.021615151061</v>
      </c>
      <c r="HC148" s="1098">
        <f t="shared" si="417"/>
        <v>0.875</v>
      </c>
      <c r="HD148" s="1102">
        <f t="shared" si="418"/>
        <v>3757831.2626907565</v>
      </c>
      <c r="HE148" s="1101">
        <f t="shared" si="419"/>
        <v>29134.425781994749</v>
      </c>
      <c r="HF148" s="1101">
        <f t="shared" si="420"/>
        <v>33776.449759995252</v>
      </c>
      <c r="HG148" s="1101">
        <f t="shared" si="421"/>
        <v>43631.607307122547</v>
      </c>
      <c r="HH148" s="1101">
        <f t="shared" si="422"/>
        <v>74409.562913672053</v>
      </c>
      <c r="HI148" s="497"/>
      <c r="HJ148" s="1102">
        <f t="shared" si="423"/>
        <v>-6917.9796788920758</v>
      </c>
      <c r="HL148" s="775"/>
      <c r="HN148" s="775"/>
      <c r="HO148" s="775"/>
      <c r="HQ148" s="702"/>
      <c r="HR148" s="1171"/>
      <c r="HS148" s="702"/>
      <c r="HT148" s="1171"/>
    </row>
    <row r="149" spans="1:228" ht="14.25" hidden="1" customHeight="1">
      <c r="A149" s="753">
        <f t="shared" si="424"/>
        <v>143</v>
      </c>
      <c r="B149" s="753" t="s">
        <v>236</v>
      </c>
      <c r="C149" s="753">
        <f t="shared" si="305"/>
        <v>19</v>
      </c>
      <c r="D149" s="753" t="s">
        <v>269</v>
      </c>
      <c r="E149" s="717" t="str">
        <f t="shared" si="344"/>
        <v>7th Floor</v>
      </c>
      <c r="F149" s="754"/>
      <c r="G149" s="756" t="s">
        <v>542</v>
      </c>
      <c r="H149" s="756"/>
      <c r="I149" s="755" t="s">
        <v>229</v>
      </c>
      <c r="J149" s="757">
        <v>22</v>
      </c>
      <c r="K149" s="758"/>
      <c r="L149" s="759" t="s">
        <v>69</v>
      </c>
      <c r="M149" s="760" t="s">
        <v>68</v>
      </c>
      <c r="N149" s="761">
        <f t="shared" si="345"/>
        <v>106005.26567735759</v>
      </c>
      <c r="O149" s="762">
        <f t="shared" si="346"/>
        <v>2332115.8449018667</v>
      </c>
      <c r="P149" s="762">
        <f t="shared" si="347"/>
        <v>22400</v>
      </c>
      <c r="Q149" s="762">
        <f t="shared" si="320"/>
        <v>50000</v>
      </c>
      <c r="R149" s="762"/>
      <c r="S149" s="762"/>
      <c r="T149" s="762"/>
      <c r="U149" s="762"/>
      <c r="V149" s="762"/>
      <c r="W149" s="762"/>
      <c r="X149" s="762"/>
      <c r="Y149" s="762">
        <f t="shared" si="306"/>
        <v>60000</v>
      </c>
      <c r="Z149" s="762">
        <f t="shared" si="321"/>
        <v>142461</v>
      </c>
      <c r="AA149" s="762"/>
      <c r="AB149" s="762"/>
      <c r="AC149" s="762"/>
      <c r="AD149" s="763">
        <f t="shared" si="348"/>
        <v>274861</v>
      </c>
      <c r="AE149" s="763">
        <f t="shared" si="322"/>
        <v>2606976.8449018667</v>
      </c>
      <c r="AF149" s="762">
        <f t="shared" si="323"/>
        <v>65174.421122546672</v>
      </c>
      <c r="AG149" s="762">
        <f t="shared" si="349"/>
        <v>2672151.2660244135</v>
      </c>
      <c r="AH149" s="762">
        <f t="shared" si="324"/>
        <v>66803.781650610341</v>
      </c>
      <c r="AI149" s="762">
        <f t="shared" si="350"/>
        <v>2738955.0476750238</v>
      </c>
      <c r="AJ149" s="762">
        <f t="shared" si="351"/>
        <v>136947.75238375118</v>
      </c>
      <c r="AK149" s="762">
        <f t="shared" si="352"/>
        <v>2875902.8000587751</v>
      </c>
      <c r="AL149" s="762">
        <f t="shared" si="353"/>
        <v>28759.02800058775</v>
      </c>
      <c r="AM149" s="762">
        <f t="shared" si="354"/>
        <v>27537.409960060559</v>
      </c>
      <c r="AN149" s="762"/>
      <c r="AO149" s="763">
        <f t="shared" si="355"/>
        <v>2932199.2380194231</v>
      </c>
      <c r="AP149" s="763">
        <f t="shared" si="356"/>
        <v>483812.87427320483</v>
      </c>
      <c r="AQ149" s="763">
        <f t="shared" si="357"/>
        <v>3416012.1122926278</v>
      </c>
      <c r="AR149" s="1178">
        <f t="shared" si="325"/>
        <v>3000000</v>
      </c>
      <c r="AS149" s="1178">
        <f t="shared" si="358"/>
        <v>18909.641467846719</v>
      </c>
      <c r="AT149" s="1178">
        <f t="shared" si="359"/>
        <v>416012.1122926278</v>
      </c>
      <c r="AU149" s="1178">
        <f t="shared" si="326"/>
        <v>49921.453475115333</v>
      </c>
      <c r="AV149" s="1178">
        <f t="shared" si="360"/>
        <v>465933.56576774316</v>
      </c>
      <c r="AW149" s="1178">
        <f t="shared" si="361"/>
        <v>3465933.5657677432</v>
      </c>
      <c r="AX149" s="762">
        <f t="shared" si="362"/>
        <v>43324.169572096791</v>
      </c>
      <c r="AY149" s="717" t="s">
        <v>231</v>
      </c>
      <c r="AZ149" s="717">
        <f t="shared" si="363"/>
        <v>3509257.7353398399</v>
      </c>
      <c r="BA149" s="717">
        <f t="shared" si="364"/>
        <v>131597.165075244</v>
      </c>
      <c r="BB149" s="717"/>
      <c r="BC149" s="717">
        <f t="shared" si="327"/>
        <v>33600</v>
      </c>
      <c r="BD149" s="717">
        <f t="shared" si="365"/>
        <v>3674454.9004150839</v>
      </c>
      <c r="BE149" s="717"/>
      <c r="BF149" s="717">
        <f t="shared" si="366"/>
        <v>3674454.9004150839</v>
      </c>
      <c r="BG149" s="1209"/>
      <c r="BH149" s="717">
        <f t="shared" si="367"/>
        <v>3674454.9004150839</v>
      </c>
      <c r="BI149" s="717"/>
      <c r="BJ149" s="717">
        <f t="shared" si="368"/>
        <v>3674454.9004150839</v>
      </c>
      <c r="BK149" s="717"/>
      <c r="BL149" s="717">
        <f t="shared" si="369"/>
        <v>3674454.9004150839</v>
      </c>
      <c r="BM149" s="717"/>
      <c r="BN149" s="717">
        <f t="shared" si="370"/>
        <v>3674454.9004150839</v>
      </c>
      <c r="BO149" s="717"/>
      <c r="BP149" s="717">
        <f t="shared" si="328"/>
        <v>3674454.9004150839</v>
      </c>
      <c r="BQ149" s="717"/>
      <c r="BR149" s="717">
        <f t="shared" si="433"/>
        <v>3674454.9004150839</v>
      </c>
      <c r="BS149" s="717"/>
      <c r="BT149" s="717">
        <f t="shared" si="371"/>
        <v>3674454.9004150839</v>
      </c>
      <c r="BU149" s="717"/>
      <c r="BV149" s="1235">
        <f t="shared" si="434"/>
        <v>51400</v>
      </c>
      <c r="BW149" s="717">
        <f t="shared" si="372"/>
        <v>3725854.9004150839</v>
      </c>
      <c r="BX149" s="717"/>
      <c r="BY149" s="717">
        <f t="shared" si="373"/>
        <v>3725854.9004150839</v>
      </c>
      <c r="BZ149" s="1194">
        <f t="shared" si="374"/>
        <v>3725854.9004150839</v>
      </c>
      <c r="CA149" s="1194">
        <f t="shared" si="375"/>
        <v>3032854.9004150839</v>
      </c>
      <c r="CB149" s="1194">
        <v>31500</v>
      </c>
      <c r="CC149" s="1194">
        <f t="shared" si="376"/>
        <v>693000</v>
      </c>
      <c r="CD149" s="1194">
        <f t="shared" si="377"/>
        <v>83160</v>
      </c>
      <c r="CE149" s="1194">
        <f t="shared" si="378"/>
        <v>776160</v>
      </c>
      <c r="CF149" s="1200">
        <f t="shared" si="379"/>
        <v>3809014.9004150839</v>
      </c>
      <c r="CG149" s="757">
        <f t="shared" si="380"/>
        <v>3809014.9004150839</v>
      </c>
      <c r="CH149" s="758">
        <f t="shared" si="381"/>
        <v>0</v>
      </c>
      <c r="CI149" s="757">
        <f t="shared" si="329"/>
        <v>390424.02729254606</v>
      </c>
      <c r="CJ149" s="757">
        <f t="shared" si="330"/>
        <v>95225.372510377099</v>
      </c>
      <c r="CK149" s="759">
        <f t="shared" si="291"/>
        <v>4294664.3002180075</v>
      </c>
      <c r="CL149" s="764">
        <f t="shared" si="382"/>
        <v>0.125</v>
      </c>
      <c r="CM149" s="757">
        <f t="shared" si="383"/>
        <v>536833.03752725094</v>
      </c>
      <c r="CN149" s="757">
        <f t="shared" si="425"/>
        <v>30000</v>
      </c>
      <c r="CO149" s="757">
        <f t="shared" si="384"/>
        <v>506833.03752725094</v>
      </c>
      <c r="CP149" s="755">
        <f t="shared" si="385"/>
        <v>29</v>
      </c>
      <c r="CQ149" s="757">
        <f t="shared" si="427"/>
        <v>17477.001294043137</v>
      </c>
      <c r="CR149" s="764">
        <f t="shared" si="386"/>
        <v>0.875</v>
      </c>
      <c r="CS149" s="757">
        <f t="shared" si="387"/>
        <v>3757831.2626907565</v>
      </c>
      <c r="CT149" s="1101">
        <f t="shared" si="388"/>
        <v>29134.425781994749</v>
      </c>
      <c r="CU149" s="1101">
        <f t="shared" si="389"/>
        <v>33776.449759995252</v>
      </c>
      <c r="CV149" s="1101">
        <f t="shared" si="390"/>
        <v>43631.607307122547</v>
      </c>
      <c r="CW149" s="1141">
        <f t="shared" si="331"/>
        <v>74409.562913672053</v>
      </c>
      <c r="CX149" s="1152">
        <f t="shared" si="391"/>
        <v>305260.57778872194</v>
      </c>
      <c r="CY149" s="1152">
        <f t="shared" si="392"/>
        <v>120790.12362134912</v>
      </c>
      <c r="CZ149" s="1152">
        <f t="shared" si="393"/>
        <v>87244.995517673655</v>
      </c>
      <c r="DA149" s="1152">
        <f t="shared" si="394"/>
        <v>66397.458141096984</v>
      </c>
      <c r="DB149" s="1143">
        <f t="shared" si="332"/>
        <v>0.13867070409754259</v>
      </c>
      <c r="DC149" s="1143">
        <f t="shared" si="395"/>
        <v>0.25591728766640726</v>
      </c>
      <c r="DD149" s="1098" t="s">
        <v>232</v>
      </c>
      <c r="DE149" s="1144"/>
      <c r="DF149" s="705"/>
      <c r="DG149" s="765">
        <f t="shared" si="426"/>
        <v>46082</v>
      </c>
      <c r="DH149" s="1116">
        <f t="shared" si="333"/>
        <v>28</v>
      </c>
      <c r="DI149" s="497"/>
      <c r="DJ149" s="1117">
        <f t="shared" si="396"/>
        <v>46147</v>
      </c>
      <c r="DK149" s="1116">
        <f t="shared" si="397"/>
        <v>30</v>
      </c>
      <c r="DL149" s="766" t="s">
        <v>233</v>
      </c>
      <c r="DM149" s="766" t="s">
        <v>234</v>
      </c>
      <c r="DN149" s="767">
        <f t="shared" si="334"/>
        <v>21178.798443988326</v>
      </c>
      <c r="DO149" s="767">
        <f t="shared" si="335"/>
        <v>465933.56576774316</v>
      </c>
      <c r="DP149" s="768">
        <f t="shared" si="336"/>
        <v>0.15531118858924772</v>
      </c>
      <c r="DR149" s="767">
        <f t="shared" si="337"/>
        <v>3809014.9004150839</v>
      </c>
      <c r="DS149" s="767">
        <f>SUM('[6]INTERNAL PRICELIST'!M149)</f>
        <v>2331316</v>
      </c>
      <c r="DT149" s="767">
        <f t="shared" si="398"/>
        <v>1477698.9004150839</v>
      </c>
      <c r="DV149" s="951">
        <f t="shared" si="338"/>
        <v>173137.04092795835</v>
      </c>
      <c r="DX149" s="772"/>
      <c r="DY149" s="773"/>
      <c r="DZ149" s="772"/>
      <c r="EA149" s="775"/>
      <c r="ED149" s="755" t="s">
        <v>542</v>
      </c>
      <c r="EE149" s="777" t="b">
        <f t="shared" si="340"/>
        <v>1</v>
      </c>
      <c r="EF149" s="1123" t="s">
        <v>543</v>
      </c>
      <c r="EG149" s="1123" t="s">
        <v>515</v>
      </c>
      <c r="EH149" s="1203"/>
      <c r="EP149" s="1230" t="s">
        <v>236</v>
      </c>
      <c r="EQ149" s="1145" t="s">
        <v>236</v>
      </c>
      <c r="ER149" s="753" t="b">
        <f t="shared" si="399"/>
        <v>1</v>
      </c>
      <c r="EU149" s="770">
        <v>2459020</v>
      </c>
      <c r="EV149" s="771" t="s">
        <v>236</v>
      </c>
      <c r="FJ149" s="994">
        <v>0.15</v>
      </c>
      <c r="FK149" s="993">
        <v>13153.346833306294</v>
      </c>
      <c r="FL149" s="993">
        <v>13508.842693665923</v>
      </c>
      <c r="FM149" s="497"/>
      <c r="FN149" s="993">
        <f t="shared" si="341"/>
        <v>4294664.3002180075</v>
      </c>
      <c r="FO149" s="994">
        <f t="shared" si="400"/>
        <v>0.15</v>
      </c>
      <c r="FP149" s="775">
        <f t="shared" si="342"/>
        <v>644199.64503270108</v>
      </c>
      <c r="FQ149" s="993">
        <f t="shared" si="343"/>
        <v>30000</v>
      </c>
      <c r="FR149" s="775">
        <f t="shared" si="401"/>
        <v>614199.64503270108</v>
      </c>
      <c r="FS149" s="497">
        <f t="shared" si="402"/>
        <v>40</v>
      </c>
      <c r="FT149" s="775">
        <f t="shared" si="403"/>
        <v>15354.991125817527</v>
      </c>
      <c r="FU149" s="497"/>
      <c r="FV149" s="993">
        <f t="shared" si="404"/>
        <v>4294664.3002180075</v>
      </c>
      <c r="FW149" s="705">
        <f t="shared" si="405"/>
        <v>429466.4300218008</v>
      </c>
      <c r="FX149" s="705">
        <f t="shared" si="406"/>
        <v>107366.6075054502</v>
      </c>
      <c r="FY149" s="705">
        <v>15000</v>
      </c>
      <c r="FZ149" s="705">
        <f t="shared" si="407"/>
        <v>414466.4300218008</v>
      </c>
      <c r="GA149" s="497">
        <f t="shared" si="408"/>
        <v>46</v>
      </c>
      <c r="GB149" s="775">
        <f t="shared" si="409"/>
        <v>9010.1397830826263</v>
      </c>
      <c r="GC149" s="497"/>
      <c r="GD149" s="497"/>
      <c r="GH149" s="1095">
        <f t="shared" si="307"/>
        <v>4294664.3002180075</v>
      </c>
      <c r="GI149" s="1098">
        <f t="shared" si="308"/>
        <v>0.125</v>
      </c>
      <c r="GJ149" s="1095">
        <f t="shared" si="309"/>
        <v>536833.03752725094</v>
      </c>
      <c r="GK149" s="1095">
        <f t="shared" si="310"/>
        <v>30000</v>
      </c>
      <c r="GL149" s="1095">
        <f t="shared" si="311"/>
        <v>506833.03752725094</v>
      </c>
      <c r="GM149" s="1095">
        <f t="shared" si="312"/>
        <v>29</v>
      </c>
      <c r="GN149" s="1095">
        <f t="shared" si="313"/>
        <v>17477.001294043137</v>
      </c>
      <c r="GO149" s="1098">
        <f t="shared" si="314"/>
        <v>0.875</v>
      </c>
      <c r="GP149" s="1095">
        <f t="shared" si="315"/>
        <v>3757831.2626907565</v>
      </c>
      <c r="GQ149" s="1095">
        <f t="shared" si="316"/>
        <v>29134.425781994749</v>
      </c>
      <c r="GR149" s="1095">
        <f t="shared" si="317"/>
        <v>33776.449759995252</v>
      </c>
      <c r="GS149" s="1095">
        <f t="shared" si="318"/>
        <v>43631.607307122547</v>
      </c>
      <c r="GT149" s="1095">
        <f t="shared" si="319"/>
        <v>74409.562913672053</v>
      </c>
      <c r="GU149" s="497"/>
      <c r="GV149" s="1095">
        <f t="shared" si="410"/>
        <v>4294664.3002180075</v>
      </c>
      <c r="GW149" s="1098">
        <f t="shared" si="411"/>
        <v>0.125</v>
      </c>
      <c r="GX149" s="1095">
        <f t="shared" si="412"/>
        <v>536833.03752725094</v>
      </c>
      <c r="GY149" s="1095">
        <f t="shared" si="413"/>
        <v>30000</v>
      </c>
      <c r="GZ149" s="1095">
        <f t="shared" si="414"/>
        <v>506833.03752725094</v>
      </c>
      <c r="HA149" s="1106">
        <f t="shared" si="415"/>
        <v>48</v>
      </c>
      <c r="HB149" s="770">
        <f t="shared" si="416"/>
        <v>10559.021615151061</v>
      </c>
      <c r="HC149" s="1098">
        <f t="shared" si="417"/>
        <v>0.875</v>
      </c>
      <c r="HD149" s="1102">
        <f t="shared" si="418"/>
        <v>3757831.2626907565</v>
      </c>
      <c r="HE149" s="1101">
        <f t="shared" si="419"/>
        <v>29134.425781994749</v>
      </c>
      <c r="HF149" s="1101">
        <f t="shared" si="420"/>
        <v>33776.449759995252</v>
      </c>
      <c r="HG149" s="1101">
        <f t="shared" si="421"/>
        <v>43631.607307122547</v>
      </c>
      <c r="HH149" s="1101">
        <f t="shared" si="422"/>
        <v>74409.562913672053</v>
      </c>
      <c r="HI149" s="497"/>
      <c r="HJ149" s="1102">
        <f t="shared" si="423"/>
        <v>-6917.9796788920758</v>
      </c>
      <c r="HL149" s="775"/>
      <c r="HN149" s="775"/>
      <c r="HO149" s="775"/>
      <c r="HQ149" s="702"/>
      <c r="HR149" s="1171"/>
      <c r="HS149" s="702"/>
      <c r="HT149" s="1171"/>
    </row>
    <row r="150" spans="1:228" ht="14.25" hidden="1" customHeight="1">
      <c r="A150" s="753">
        <f t="shared" si="424"/>
        <v>144</v>
      </c>
      <c r="B150" s="753" t="s">
        <v>236</v>
      </c>
      <c r="C150" s="753">
        <f t="shared" si="305"/>
        <v>20</v>
      </c>
      <c r="D150" s="753" t="s">
        <v>269</v>
      </c>
      <c r="E150" s="717" t="str">
        <f t="shared" si="344"/>
        <v>7th Floor</v>
      </c>
      <c r="F150" s="754"/>
      <c r="G150" s="756" t="s">
        <v>544</v>
      </c>
      <c r="H150" s="756"/>
      <c r="I150" s="755" t="s">
        <v>229</v>
      </c>
      <c r="J150" s="757">
        <v>22</v>
      </c>
      <c r="K150" s="758"/>
      <c r="L150" s="759" t="s">
        <v>69</v>
      </c>
      <c r="M150" s="760" t="s">
        <v>68</v>
      </c>
      <c r="N150" s="761">
        <f t="shared" si="345"/>
        <v>106005.26567735759</v>
      </c>
      <c r="O150" s="762">
        <f t="shared" si="346"/>
        <v>2332115.8449018667</v>
      </c>
      <c r="P150" s="762">
        <f t="shared" si="347"/>
        <v>22400</v>
      </c>
      <c r="Q150" s="762">
        <f t="shared" si="320"/>
        <v>50000</v>
      </c>
      <c r="R150" s="762"/>
      <c r="S150" s="762"/>
      <c r="T150" s="762"/>
      <c r="U150" s="762"/>
      <c r="V150" s="762"/>
      <c r="W150" s="762"/>
      <c r="X150" s="762"/>
      <c r="Y150" s="762">
        <f t="shared" si="306"/>
        <v>60000</v>
      </c>
      <c r="Z150" s="762">
        <f t="shared" si="321"/>
        <v>142461</v>
      </c>
      <c r="AA150" s="762"/>
      <c r="AB150" s="762"/>
      <c r="AC150" s="762"/>
      <c r="AD150" s="763">
        <f t="shared" si="348"/>
        <v>274861</v>
      </c>
      <c r="AE150" s="763">
        <f t="shared" si="322"/>
        <v>2606976.8449018667</v>
      </c>
      <c r="AF150" s="762">
        <f t="shared" si="323"/>
        <v>65174.421122546672</v>
      </c>
      <c r="AG150" s="762">
        <f t="shared" si="349"/>
        <v>2672151.2660244135</v>
      </c>
      <c r="AH150" s="762">
        <f t="shared" si="324"/>
        <v>66803.781650610341</v>
      </c>
      <c r="AI150" s="762">
        <f t="shared" si="350"/>
        <v>2738955.0476750238</v>
      </c>
      <c r="AJ150" s="762">
        <f t="shared" si="351"/>
        <v>136947.75238375118</v>
      </c>
      <c r="AK150" s="762">
        <f t="shared" si="352"/>
        <v>2875902.8000587751</v>
      </c>
      <c r="AL150" s="762">
        <f t="shared" si="353"/>
        <v>28759.02800058775</v>
      </c>
      <c r="AM150" s="762">
        <f t="shared" si="354"/>
        <v>27537.409960060559</v>
      </c>
      <c r="AN150" s="762"/>
      <c r="AO150" s="763">
        <f t="shared" si="355"/>
        <v>2932199.2380194231</v>
      </c>
      <c r="AP150" s="763">
        <f t="shared" si="356"/>
        <v>483812.87427320483</v>
      </c>
      <c r="AQ150" s="763">
        <f t="shared" si="357"/>
        <v>3416012.1122926278</v>
      </c>
      <c r="AR150" s="1178">
        <f t="shared" si="325"/>
        <v>3000000</v>
      </c>
      <c r="AS150" s="1178">
        <f t="shared" si="358"/>
        <v>18909.641467846719</v>
      </c>
      <c r="AT150" s="1178">
        <f t="shared" si="359"/>
        <v>416012.1122926278</v>
      </c>
      <c r="AU150" s="1178">
        <f t="shared" si="326"/>
        <v>49921.453475115333</v>
      </c>
      <c r="AV150" s="1178">
        <f t="shared" si="360"/>
        <v>465933.56576774316</v>
      </c>
      <c r="AW150" s="1178">
        <f t="shared" si="361"/>
        <v>3465933.5657677432</v>
      </c>
      <c r="AX150" s="762">
        <f t="shared" si="362"/>
        <v>43324.169572096791</v>
      </c>
      <c r="AY150" s="717" t="s">
        <v>231</v>
      </c>
      <c r="AZ150" s="717">
        <f t="shared" si="363"/>
        <v>3509257.7353398399</v>
      </c>
      <c r="BA150" s="717">
        <f t="shared" si="364"/>
        <v>131597.165075244</v>
      </c>
      <c r="BB150" s="717"/>
      <c r="BC150" s="717">
        <f t="shared" si="327"/>
        <v>33600</v>
      </c>
      <c r="BD150" s="717">
        <f t="shared" si="365"/>
        <v>3674454.9004150839</v>
      </c>
      <c r="BE150" s="717"/>
      <c r="BF150" s="717">
        <f t="shared" si="366"/>
        <v>3674454.9004150839</v>
      </c>
      <c r="BG150" s="1209"/>
      <c r="BH150" s="717">
        <f t="shared" si="367"/>
        <v>3674454.9004150839</v>
      </c>
      <c r="BI150" s="717"/>
      <c r="BJ150" s="717">
        <f t="shared" si="368"/>
        <v>3674454.9004150839</v>
      </c>
      <c r="BK150" s="717"/>
      <c r="BL150" s="717">
        <f t="shared" si="369"/>
        <v>3674454.9004150839</v>
      </c>
      <c r="BM150" s="717"/>
      <c r="BN150" s="717">
        <f t="shared" si="370"/>
        <v>3674454.9004150839</v>
      </c>
      <c r="BO150" s="717"/>
      <c r="BP150" s="717">
        <f t="shared" si="328"/>
        <v>3674454.9004150839</v>
      </c>
      <c r="BQ150" s="717"/>
      <c r="BR150" s="717">
        <f t="shared" si="433"/>
        <v>3674454.9004150839</v>
      </c>
      <c r="BS150" s="717"/>
      <c r="BT150" s="717">
        <f t="shared" si="371"/>
        <v>3674454.9004150839</v>
      </c>
      <c r="BU150" s="717"/>
      <c r="BV150" s="1235">
        <f t="shared" si="434"/>
        <v>51400</v>
      </c>
      <c r="BW150" s="717">
        <f t="shared" si="372"/>
        <v>3725854.9004150839</v>
      </c>
      <c r="BX150" s="717"/>
      <c r="BY150" s="717">
        <f t="shared" si="373"/>
        <v>3725854.9004150839</v>
      </c>
      <c r="BZ150" s="1194">
        <f t="shared" si="374"/>
        <v>3725854.9004150839</v>
      </c>
      <c r="CA150" s="1194">
        <f t="shared" si="375"/>
        <v>3032854.9004150839</v>
      </c>
      <c r="CB150" s="1194">
        <v>31500</v>
      </c>
      <c r="CC150" s="1194">
        <f t="shared" si="376"/>
        <v>693000</v>
      </c>
      <c r="CD150" s="1194">
        <f t="shared" si="377"/>
        <v>83160</v>
      </c>
      <c r="CE150" s="1194">
        <f t="shared" si="378"/>
        <v>776160</v>
      </c>
      <c r="CF150" s="1200">
        <f t="shared" si="379"/>
        <v>3809014.9004150839</v>
      </c>
      <c r="CG150" s="757">
        <f t="shared" si="380"/>
        <v>3809014.9004150839</v>
      </c>
      <c r="CH150" s="758">
        <f t="shared" si="381"/>
        <v>0</v>
      </c>
      <c r="CI150" s="757">
        <f t="shared" si="329"/>
        <v>390424.02729254606</v>
      </c>
      <c r="CJ150" s="757">
        <f t="shared" si="330"/>
        <v>95225.372510377099</v>
      </c>
      <c r="CK150" s="759">
        <f t="shared" si="291"/>
        <v>4294664.3002180075</v>
      </c>
      <c r="CL150" s="764">
        <f t="shared" si="382"/>
        <v>0.125</v>
      </c>
      <c r="CM150" s="757">
        <f t="shared" si="383"/>
        <v>536833.03752725094</v>
      </c>
      <c r="CN150" s="757">
        <f t="shared" si="425"/>
        <v>30000</v>
      </c>
      <c r="CO150" s="757">
        <f t="shared" si="384"/>
        <v>506833.03752725094</v>
      </c>
      <c r="CP150" s="755">
        <f t="shared" si="385"/>
        <v>29</v>
      </c>
      <c r="CQ150" s="757">
        <f t="shared" si="427"/>
        <v>17477.001294043137</v>
      </c>
      <c r="CR150" s="764">
        <f t="shared" si="386"/>
        <v>0.875</v>
      </c>
      <c r="CS150" s="757">
        <f t="shared" si="387"/>
        <v>3757831.2626907565</v>
      </c>
      <c r="CT150" s="1101">
        <f t="shared" si="388"/>
        <v>29134.425781994749</v>
      </c>
      <c r="CU150" s="1101">
        <f t="shared" si="389"/>
        <v>33776.449759995252</v>
      </c>
      <c r="CV150" s="1101">
        <f t="shared" si="390"/>
        <v>43631.607307122547</v>
      </c>
      <c r="CW150" s="1141">
        <f t="shared" si="331"/>
        <v>74409.562913672053</v>
      </c>
      <c r="CX150" s="1152">
        <f t="shared" si="391"/>
        <v>305260.57778872194</v>
      </c>
      <c r="CY150" s="1152">
        <f t="shared" si="392"/>
        <v>120790.12362134912</v>
      </c>
      <c r="CZ150" s="1152">
        <f t="shared" si="393"/>
        <v>87244.995517673655</v>
      </c>
      <c r="DA150" s="1152">
        <f t="shared" si="394"/>
        <v>66397.458141096984</v>
      </c>
      <c r="DB150" s="1143">
        <f t="shared" si="332"/>
        <v>0.13867070409754259</v>
      </c>
      <c r="DC150" s="1143">
        <f t="shared" si="395"/>
        <v>0.25591728766640726</v>
      </c>
      <c r="DD150" s="1098" t="s">
        <v>232</v>
      </c>
      <c r="DE150" s="1144"/>
      <c r="DF150" s="705"/>
      <c r="DG150" s="765">
        <f t="shared" si="426"/>
        <v>46082</v>
      </c>
      <c r="DH150" s="1116">
        <f t="shared" si="333"/>
        <v>28</v>
      </c>
      <c r="DI150" s="497"/>
      <c r="DJ150" s="1117">
        <f t="shared" si="396"/>
        <v>46147</v>
      </c>
      <c r="DK150" s="1116">
        <f t="shared" si="397"/>
        <v>30</v>
      </c>
      <c r="DL150" s="766" t="s">
        <v>233</v>
      </c>
      <c r="DM150" s="766" t="s">
        <v>234</v>
      </c>
      <c r="DN150" s="767">
        <f t="shared" si="334"/>
        <v>21178.798443988326</v>
      </c>
      <c r="DO150" s="767">
        <f t="shared" si="335"/>
        <v>465933.56576774316</v>
      </c>
      <c r="DP150" s="768">
        <f t="shared" si="336"/>
        <v>0.15531118858924772</v>
      </c>
      <c r="DR150" s="767">
        <f t="shared" si="337"/>
        <v>3809014.9004150839</v>
      </c>
      <c r="DS150" s="767">
        <f>SUM('[6]INTERNAL PRICELIST'!M150)</f>
        <v>2329361</v>
      </c>
      <c r="DT150" s="767">
        <f t="shared" si="398"/>
        <v>1479653.9004150839</v>
      </c>
      <c r="DV150" s="951">
        <f t="shared" si="338"/>
        <v>173137.04092795835</v>
      </c>
      <c r="DX150" s="772"/>
      <c r="DY150" s="773"/>
      <c r="DZ150" s="772"/>
      <c r="EA150" s="775"/>
      <c r="ED150" s="755" t="s">
        <v>544</v>
      </c>
      <c r="EE150" s="777" t="b">
        <f t="shared" si="340"/>
        <v>1</v>
      </c>
      <c r="EF150" s="1123" t="s">
        <v>545</v>
      </c>
      <c r="EG150" s="1123" t="s">
        <v>515</v>
      </c>
      <c r="EH150" s="1203"/>
      <c r="EP150" s="1230" t="s">
        <v>236</v>
      </c>
      <c r="EQ150" s="1145" t="s">
        <v>236</v>
      </c>
      <c r="ER150" s="753" t="b">
        <f t="shared" si="399"/>
        <v>1</v>
      </c>
      <c r="EU150" s="770">
        <v>2459020</v>
      </c>
      <c r="EV150" s="771" t="s">
        <v>236</v>
      </c>
      <c r="FJ150" s="994">
        <v>0.15</v>
      </c>
      <c r="FK150" s="993">
        <v>13153.346833306294</v>
      </c>
      <c r="FL150" s="993">
        <v>13508.842693665923</v>
      </c>
      <c r="FM150" s="497"/>
      <c r="FN150" s="993">
        <f t="shared" si="341"/>
        <v>4294664.3002180075</v>
      </c>
      <c r="FO150" s="994">
        <f t="shared" si="400"/>
        <v>0.15</v>
      </c>
      <c r="FP150" s="775">
        <f t="shared" si="342"/>
        <v>644199.64503270108</v>
      </c>
      <c r="FQ150" s="993">
        <f t="shared" si="343"/>
        <v>30000</v>
      </c>
      <c r="FR150" s="775">
        <f t="shared" si="401"/>
        <v>614199.64503270108</v>
      </c>
      <c r="FS150" s="497">
        <f t="shared" si="402"/>
        <v>40</v>
      </c>
      <c r="FT150" s="775">
        <f t="shared" si="403"/>
        <v>15354.991125817527</v>
      </c>
      <c r="FU150" s="497"/>
      <c r="FV150" s="993">
        <f t="shared" si="404"/>
        <v>4294664.3002180075</v>
      </c>
      <c r="FW150" s="705">
        <f t="shared" si="405"/>
        <v>429466.4300218008</v>
      </c>
      <c r="FX150" s="705">
        <f t="shared" si="406"/>
        <v>107366.6075054502</v>
      </c>
      <c r="FY150" s="705">
        <v>15000</v>
      </c>
      <c r="FZ150" s="705">
        <f t="shared" si="407"/>
        <v>414466.4300218008</v>
      </c>
      <c r="GA150" s="497">
        <f t="shared" si="408"/>
        <v>46</v>
      </c>
      <c r="GB150" s="775">
        <f t="shared" si="409"/>
        <v>9010.1397830826263</v>
      </c>
      <c r="GC150" s="497"/>
      <c r="GD150" s="497"/>
      <c r="GH150" s="1095">
        <f t="shared" si="307"/>
        <v>4294664.3002180075</v>
      </c>
      <c r="GI150" s="1098">
        <f t="shared" si="308"/>
        <v>0.125</v>
      </c>
      <c r="GJ150" s="1095">
        <f t="shared" si="309"/>
        <v>536833.03752725094</v>
      </c>
      <c r="GK150" s="1095">
        <f t="shared" si="310"/>
        <v>30000</v>
      </c>
      <c r="GL150" s="1095">
        <f t="shared" si="311"/>
        <v>506833.03752725094</v>
      </c>
      <c r="GM150" s="1095">
        <f t="shared" si="312"/>
        <v>29</v>
      </c>
      <c r="GN150" s="1095">
        <f t="shared" si="313"/>
        <v>17477.001294043137</v>
      </c>
      <c r="GO150" s="1098">
        <f t="shared" si="314"/>
        <v>0.875</v>
      </c>
      <c r="GP150" s="1095">
        <f t="shared" si="315"/>
        <v>3757831.2626907565</v>
      </c>
      <c r="GQ150" s="1095">
        <f t="shared" si="316"/>
        <v>29134.425781994749</v>
      </c>
      <c r="GR150" s="1095">
        <f t="shared" si="317"/>
        <v>33776.449759995252</v>
      </c>
      <c r="GS150" s="1095">
        <f t="shared" si="318"/>
        <v>43631.607307122547</v>
      </c>
      <c r="GT150" s="1095">
        <f t="shared" si="319"/>
        <v>74409.562913672053</v>
      </c>
      <c r="GU150" s="497"/>
      <c r="GV150" s="1095">
        <f t="shared" si="410"/>
        <v>4294664.3002180075</v>
      </c>
      <c r="GW150" s="1098">
        <f t="shared" si="411"/>
        <v>0.125</v>
      </c>
      <c r="GX150" s="1095">
        <f t="shared" si="412"/>
        <v>536833.03752725094</v>
      </c>
      <c r="GY150" s="1095">
        <f t="shared" si="413"/>
        <v>30000</v>
      </c>
      <c r="GZ150" s="1095">
        <f t="shared" si="414"/>
        <v>506833.03752725094</v>
      </c>
      <c r="HA150" s="1106">
        <f t="shared" si="415"/>
        <v>48</v>
      </c>
      <c r="HB150" s="770">
        <f t="shared" si="416"/>
        <v>10559.021615151061</v>
      </c>
      <c r="HC150" s="1098">
        <f t="shared" si="417"/>
        <v>0.875</v>
      </c>
      <c r="HD150" s="1102">
        <f t="shared" si="418"/>
        <v>3757831.2626907565</v>
      </c>
      <c r="HE150" s="1101">
        <f t="shared" si="419"/>
        <v>29134.425781994749</v>
      </c>
      <c r="HF150" s="1101">
        <f t="shared" si="420"/>
        <v>33776.449759995252</v>
      </c>
      <c r="HG150" s="1101">
        <f t="shared" si="421"/>
        <v>43631.607307122547</v>
      </c>
      <c r="HH150" s="1101">
        <f t="shared" si="422"/>
        <v>74409.562913672053</v>
      </c>
      <c r="HI150" s="497"/>
      <c r="HJ150" s="1102">
        <f t="shared" si="423"/>
        <v>-6917.9796788920758</v>
      </c>
      <c r="HL150" s="775"/>
      <c r="HN150" s="775"/>
      <c r="HO150" s="775"/>
      <c r="HQ150" s="702"/>
      <c r="HR150" s="1171"/>
      <c r="HS150" s="702"/>
      <c r="HT150" s="1171"/>
    </row>
    <row r="151" spans="1:228" ht="14.25" hidden="1" customHeight="1">
      <c r="A151" s="753">
        <f t="shared" si="424"/>
        <v>145</v>
      </c>
      <c r="B151" s="753" t="s">
        <v>236</v>
      </c>
      <c r="C151" s="753">
        <f t="shared" si="305"/>
        <v>21</v>
      </c>
      <c r="D151" s="753" t="s">
        <v>269</v>
      </c>
      <c r="E151" s="717" t="str">
        <f t="shared" si="344"/>
        <v>7th Floor</v>
      </c>
      <c r="F151" s="754"/>
      <c r="G151" s="756" t="s">
        <v>546</v>
      </c>
      <c r="H151" s="756"/>
      <c r="I151" s="755" t="s">
        <v>229</v>
      </c>
      <c r="J151" s="757">
        <v>22</v>
      </c>
      <c r="K151" s="758"/>
      <c r="L151" s="759" t="s">
        <v>69</v>
      </c>
      <c r="M151" s="760" t="s">
        <v>68</v>
      </c>
      <c r="N151" s="761">
        <f t="shared" si="345"/>
        <v>106005.26567735759</v>
      </c>
      <c r="O151" s="762">
        <f t="shared" si="346"/>
        <v>2332115.8449018667</v>
      </c>
      <c r="P151" s="762">
        <f t="shared" si="347"/>
        <v>22400</v>
      </c>
      <c r="Q151" s="762">
        <f t="shared" si="320"/>
        <v>50000</v>
      </c>
      <c r="R151" s="762"/>
      <c r="S151" s="762"/>
      <c r="T151" s="762"/>
      <c r="U151" s="762"/>
      <c r="V151" s="762"/>
      <c r="W151" s="762"/>
      <c r="X151" s="762"/>
      <c r="Y151" s="762">
        <f t="shared" si="306"/>
        <v>60000</v>
      </c>
      <c r="Z151" s="762">
        <f t="shared" si="321"/>
        <v>142461</v>
      </c>
      <c r="AA151" s="762"/>
      <c r="AB151" s="762"/>
      <c r="AC151" s="762"/>
      <c r="AD151" s="763">
        <f t="shared" si="348"/>
        <v>274861</v>
      </c>
      <c r="AE151" s="763">
        <f t="shared" si="322"/>
        <v>2606976.8449018667</v>
      </c>
      <c r="AF151" s="762">
        <f t="shared" si="323"/>
        <v>65174.421122546672</v>
      </c>
      <c r="AG151" s="762">
        <f t="shared" si="349"/>
        <v>2672151.2660244135</v>
      </c>
      <c r="AH151" s="762">
        <f t="shared" si="324"/>
        <v>66803.781650610341</v>
      </c>
      <c r="AI151" s="762">
        <f t="shared" si="350"/>
        <v>2738955.0476750238</v>
      </c>
      <c r="AJ151" s="762">
        <f t="shared" si="351"/>
        <v>136947.75238375118</v>
      </c>
      <c r="AK151" s="762">
        <f t="shared" si="352"/>
        <v>2875902.8000587751</v>
      </c>
      <c r="AL151" s="762">
        <f t="shared" si="353"/>
        <v>28759.02800058775</v>
      </c>
      <c r="AM151" s="762">
        <f t="shared" si="354"/>
        <v>27537.409960060559</v>
      </c>
      <c r="AN151" s="762"/>
      <c r="AO151" s="763">
        <f t="shared" si="355"/>
        <v>2932199.2380194231</v>
      </c>
      <c r="AP151" s="763">
        <f t="shared" si="356"/>
        <v>483812.87427320483</v>
      </c>
      <c r="AQ151" s="763">
        <f t="shared" si="357"/>
        <v>3416012.1122926278</v>
      </c>
      <c r="AR151" s="1178">
        <f t="shared" si="325"/>
        <v>3000000</v>
      </c>
      <c r="AS151" s="1178">
        <f t="shared" si="358"/>
        <v>18909.641467846719</v>
      </c>
      <c r="AT151" s="1178">
        <f t="shared" si="359"/>
        <v>416012.1122926278</v>
      </c>
      <c r="AU151" s="1178">
        <f t="shared" si="326"/>
        <v>49921.453475115333</v>
      </c>
      <c r="AV151" s="1178">
        <f t="shared" si="360"/>
        <v>465933.56576774316</v>
      </c>
      <c r="AW151" s="1178">
        <f t="shared" si="361"/>
        <v>3465933.5657677432</v>
      </c>
      <c r="AX151" s="762">
        <f t="shared" si="362"/>
        <v>43324.169572096791</v>
      </c>
      <c r="AY151" s="717" t="s">
        <v>231</v>
      </c>
      <c r="AZ151" s="717">
        <f t="shared" si="363"/>
        <v>3509257.7353398399</v>
      </c>
      <c r="BA151" s="717">
        <f t="shared" si="364"/>
        <v>131597.165075244</v>
      </c>
      <c r="BB151" s="717"/>
      <c r="BC151" s="717">
        <f t="shared" si="327"/>
        <v>33600</v>
      </c>
      <c r="BD151" s="717">
        <f t="shared" si="365"/>
        <v>3674454.9004150839</v>
      </c>
      <c r="BE151" s="717"/>
      <c r="BF151" s="717">
        <f t="shared" si="366"/>
        <v>3674454.9004150839</v>
      </c>
      <c r="BG151" s="1209"/>
      <c r="BH151" s="717">
        <f t="shared" si="367"/>
        <v>3674454.9004150839</v>
      </c>
      <c r="BI151" s="717"/>
      <c r="BJ151" s="717">
        <f t="shared" si="368"/>
        <v>3674454.9004150839</v>
      </c>
      <c r="BK151" s="717"/>
      <c r="BL151" s="717">
        <f t="shared" si="369"/>
        <v>3674454.9004150839</v>
      </c>
      <c r="BM151" s="717"/>
      <c r="BN151" s="717">
        <f t="shared" si="370"/>
        <v>3674454.9004150839</v>
      </c>
      <c r="BO151" s="717"/>
      <c r="BP151" s="717">
        <f t="shared" si="328"/>
        <v>3674454.9004150839</v>
      </c>
      <c r="BQ151" s="717"/>
      <c r="BR151" s="717">
        <f t="shared" si="433"/>
        <v>3674454.9004150839</v>
      </c>
      <c r="BS151" s="717"/>
      <c r="BT151" s="717">
        <f t="shared" si="371"/>
        <v>3674454.9004150839</v>
      </c>
      <c r="BU151" s="717"/>
      <c r="BV151" s="1235">
        <f t="shared" si="434"/>
        <v>51400</v>
      </c>
      <c r="BW151" s="717">
        <f t="shared" si="372"/>
        <v>3725854.9004150839</v>
      </c>
      <c r="BX151" s="717"/>
      <c r="BY151" s="717">
        <f t="shared" si="373"/>
        <v>3725854.9004150839</v>
      </c>
      <c r="BZ151" s="1194">
        <f t="shared" si="374"/>
        <v>3725854.9004150839</v>
      </c>
      <c r="CA151" s="1194">
        <f t="shared" si="375"/>
        <v>3032854.9004150839</v>
      </c>
      <c r="CB151" s="1194">
        <v>31500</v>
      </c>
      <c r="CC151" s="1194">
        <f t="shared" si="376"/>
        <v>693000</v>
      </c>
      <c r="CD151" s="1194">
        <f t="shared" si="377"/>
        <v>83160</v>
      </c>
      <c r="CE151" s="1194">
        <f t="shared" si="378"/>
        <v>776160</v>
      </c>
      <c r="CF151" s="1200">
        <f t="shared" si="379"/>
        <v>3809014.9004150839</v>
      </c>
      <c r="CG151" s="757">
        <f t="shared" si="380"/>
        <v>3809014.9004150839</v>
      </c>
      <c r="CH151" s="758">
        <f t="shared" si="381"/>
        <v>0</v>
      </c>
      <c r="CI151" s="757">
        <f t="shared" si="329"/>
        <v>390424.02729254606</v>
      </c>
      <c r="CJ151" s="757">
        <f t="shared" si="330"/>
        <v>95225.372510377099</v>
      </c>
      <c r="CK151" s="759">
        <f t="shared" si="291"/>
        <v>4294664.3002180075</v>
      </c>
      <c r="CL151" s="764">
        <f t="shared" si="382"/>
        <v>0.125</v>
      </c>
      <c r="CM151" s="757">
        <f t="shared" si="383"/>
        <v>536833.03752725094</v>
      </c>
      <c r="CN151" s="757">
        <f t="shared" si="425"/>
        <v>30000</v>
      </c>
      <c r="CO151" s="757">
        <f t="shared" si="384"/>
        <v>506833.03752725094</v>
      </c>
      <c r="CP151" s="755">
        <f t="shared" si="385"/>
        <v>29</v>
      </c>
      <c r="CQ151" s="757">
        <f t="shared" si="427"/>
        <v>17477.001294043137</v>
      </c>
      <c r="CR151" s="764">
        <f t="shared" si="386"/>
        <v>0.875</v>
      </c>
      <c r="CS151" s="757">
        <f t="shared" si="387"/>
        <v>3757831.2626907565</v>
      </c>
      <c r="CT151" s="1101">
        <f t="shared" si="388"/>
        <v>29134.425781994749</v>
      </c>
      <c r="CU151" s="1101">
        <f t="shared" si="389"/>
        <v>33776.449759995252</v>
      </c>
      <c r="CV151" s="1101">
        <f t="shared" si="390"/>
        <v>43631.607307122547</v>
      </c>
      <c r="CW151" s="1141">
        <f t="shared" si="331"/>
        <v>74409.562913672053</v>
      </c>
      <c r="CX151" s="1152">
        <f t="shared" si="391"/>
        <v>305260.57778872194</v>
      </c>
      <c r="CY151" s="1152">
        <f t="shared" si="392"/>
        <v>120790.12362134912</v>
      </c>
      <c r="CZ151" s="1152">
        <f t="shared" si="393"/>
        <v>87244.995517673655</v>
      </c>
      <c r="DA151" s="1152">
        <f t="shared" si="394"/>
        <v>66397.458141096984</v>
      </c>
      <c r="DB151" s="1143">
        <f t="shared" si="332"/>
        <v>0.13867070409754259</v>
      </c>
      <c r="DC151" s="1143">
        <f t="shared" si="395"/>
        <v>0.25591728766640726</v>
      </c>
      <c r="DD151" s="1098" t="s">
        <v>232</v>
      </c>
      <c r="DE151" s="1144"/>
      <c r="DF151" s="705"/>
      <c r="DG151" s="765">
        <f t="shared" si="426"/>
        <v>46082</v>
      </c>
      <c r="DH151" s="1116">
        <f t="shared" si="333"/>
        <v>28</v>
      </c>
      <c r="DI151" s="497"/>
      <c r="DJ151" s="1117">
        <f t="shared" si="396"/>
        <v>46147</v>
      </c>
      <c r="DK151" s="1116">
        <f t="shared" si="397"/>
        <v>30</v>
      </c>
      <c r="DL151" s="766" t="s">
        <v>233</v>
      </c>
      <c r="DM151" s="766" t="s">
        <v>234</v>
      </c>
      <c r="DN151" s="767">
        <f t="shared" si="334"/>
        <v>21178.798443988326</v>
      </c>
      <c r="DO151" s="767">
        <f t="shared" si="335"/>
        <v>465933.56576774316</v>
      </c>
      <c r="DP151" s="768">
        <f t="shared" si="336"/>
        <v>0.15531118858924772</v>
      </c>
      <c r="DR151" s="767">
        <f t="shared" si="337"/>
        <v>3809014.9004150839</v>
      </c>
      <c r="DS151" s="767">
        <f>SUM('[6]INTERNAL PRICELIST'!M151)</f>
        <v>2329361</v>
      </c>
      <c r="DT151" s="767">
        <f t="shared" si="398"/>
        <v>1479653.9004150839</v>
      </c>
      <c r="DV151" s="951">
        <f t="shared" si="338"/>
        <v>173137.04092795835</v>
      </c>
      <c r="DX151" s="772"/>
      <c r="DY151" s="773"/>
      <c r="DZ151" s="772"/>
      <c r="EA151" s="775"/>
      <c r="ED151" s="755" t="s">
        <v>546</v>
      </c>
      <c r="EE151" s="777" t="b">
        <f t="shared" si="340"/>
        <v>1</v>
      </c>
      <c r="EF151" s="1123" t="s">
        <v>547</v>
      </c>
      <c r="EG151" s="1123" t="s">
        <v>515</v>
      </c>
      <c r="EH151" s="1203"/>
      <c r="EP151" s="1230" t="s">
        <v>236</v>
      </c>
      <c r="EQ151" s="1145" t="s">
        <v>236</v>
      </c>
      <c r="ER151" s="753" t="b">
        <f t="shared" si="399"/>
        <v>1</v>
      </c>
      <c r="EU151" s="770">
        <v>2271040</v>
      </c>
      <c r="EV151" s="771" t="s">
        <v>236</v>
      </c>
      <c r="FJ151" s="994">
        <v>0.15</v>
      </c>
      <c r="FK151" s="993">
        <v>13153.346833306294</v>
      </c>
      <c r="FL151" s="993">
        <v>13508.842693665923</v>
      </c>
      <c r="FM151" s="497"/>
      <c r="FN151" s="993">
        <f t="shared" si="341"/>
        <v>4294664.3002180075</v>
      </c>
      <c r="FO151" s="994">
        <f t="shared" si="400"/>
        <v>0.15</v>
      </c>
      <c r="FP151" s="775">
        <f t="shared" si="342"/>
        <v>644199.64503270108</v>
      </c>
      <c r="FQ151" s="993">
        <f t="shared" si="343"/>
        <v>30000</v>
      </c>
      <c r="FR151" s="775">
        <f t="shared" si="401"/>
        <v>614199.64503270108</v>
      </c>
      <c r="FS151" s="497">
        <f t="shared" si="402"/>
        <v>40</v>
      </c>
      <c r="FT151" s="775">
        <f t="shared" si="403"/>
        <v>15354.991125817527</v>
      </c>
      <c r="FU151" s="497"/>
      <c r="FV151" s="993">
        <f t="shared" si="404"/>
        <v>4294664.3002180075</v>
      </c>
      <c r="FW151" s="705">
        <f t="shared" si="405"/>
        <v>429466.4300218008</v>
      </c>
      <c r="FX151" s="705">
        <f t="shared" si="406"/>
        <v>107366.6075054502</v>
      </c>
      <c r="FY151" s="705">
        <v>15000</v>
      </c>
      <c r="FZ151" s="705">
        <f t="shared" si="407"/>
        <v>414466.4300218008</v>
      </c>
      <c r="GA151" s="497">
        <f t="shared" si="408"/>
        <v>46</v>
      </c>
      <c r="GB151" s="775">
        <f t="shared" si="409"/>
        <v>9010.1397830826263</v>
      </c>
      <c r="GC151" s="497"/>
      <c r="GD151" s="497"/>
      <c r="GH151" s="1095">
        <f t="shared" si="307"/>
        <v>4294664.3002180075</v>
      </c>
      <c r="GI151" s="1098">
        <f t="shared" si="308"/>
        <v>0.125</v>
      </c>
      <c r="GJ151" s="1095">
        <f t="shared" si="309"/>
        <v>536833.03752725094</v>
      </c>
      <c r="GK151" s="1095">
        <f t="shared" si="310"/>
        <v>30000</v>
      </c>
      <c r="GL151" s="1095">
        <f t="shared" si="311"/>
        <v>506833.03752725094</v>
      </c>
      <c r="GM151" s="1095">
        <f t="shared" si="312"/>
        <v>29</v>
      </c>
      <c r="GN151" s="1095">
        <f t="shared" si="313"/>
        <v>17477.001294043137</v>
      </c>
      <c r="GO151" s="1098">
        <f t="shared" si="314"/>
        <v>0.875</v>
      </c>
      <c r="GP151" s="1095">
        <f t="shared" si="315"/>
        <v>3757831.2626907565</v>
      </c>
      <c r="GQ151" s="1095">
        <f t="shared" si="316"/>
        <v>29134.425781994749</v>
      </c>
      <c r="GR151" s="1095">
        <f t="shared" si="317"/>
        <v>33776.449759995252</v>
      </c>
      <c r="GS151" s="1095">
        <f t="shared" si="318"/>
        <v>43631.607307122547</v>
      </c>
      <c r="GT151" s="1095">
        <f t="shared" si="319"/>
        <v>74409.562913672053</v>
      </c>
      <c r="GU151" s="497"/>
      <c r="GV151" s="1095">
        <f t="shared" si="410"/>
        <v>4294664.3002180075</v>
      </c>
      <c r="GW151" s="1098">
        <f t="shared" si="411"/>
        <v>0.125</v>
      </c>
      <c r="GX151" s="1095">
        <f t="shared" si="412"/>
        <v>536833.03752725094</v>
      </c>
      <c r="GY151" s="1095">
        <f t="shared" si="413"/>
        <v>30000</v>
      </c>
      <c r="GZ151" s="1095">
        <f t="shared" si="414"/>
        <v>506833.03752725094</v>
      </c>
      <c r="HA151" s="1106">
        <f t="shared" si="415"/>
        <v>48</v>
      </c>
      <c r="HB151" s="770">
        <f t="shared" si="416"/>
        <v>10559.021615151061</v>
      </c>
      <c r="HC151" s="1098">
        <f t="shared" si="417"/>
        <v>0.875</v>
      </c>
      <c r="HD151" s="1102">
        <f t="shared" si="418"/>
        <v>3757831.2626907565</v>
      </c>
      <c r="HE151" s="1101">
        <f t="shared" si="419"/>
        <v>29134.425781994749</v>
      </c>
      <c r="HF151" s="1101">
        <f t="shared" si="420"/>
        <v>33776.449759995252</v>
      </c>
      <c r="HG151" s="1101">
        <f t="shared" si="421"/>
        <v>43631.607307122547</v>
      </c>
      <c r="HH151" s="1101">
        <f t="shared" si="422"/>
        <v>74409.562913672053</v>
      </c>
      <c r="HI151" s="497"/>
      <c r="HJ151" s="1102">
        <f t="shared" si="423"/>
        <v>-6917.9796788920758</v>
      </c>
      <c r="HL151" s="775"/>
      <c r="HN151" s="775"/>
      <c r="HO151" s="775"/>
      <c r="HQ151" s="702"/>
      <c r="HR151" s="1171"/>
      <c r="HS151" s="702"/>
      <c r="HT151" s="1171"/>
    </row>
    <row r="152" spans="1:228" ht="14.25" hidden="1" customHeight="1">
      <c r="A152" s="753">
        <f t="shared" si="424"/>
        <v>146</v>
      </c>
      <c r="B152" s="753" t="s">
        <v>236</v>
      </c>
      <c r="C152" s="753">
        <f t="shared" si="305"/>
        <v>22</v>
      </c>
      <c r="D152" s="753" t="s">
        <v>269</v>
      </c>
      <c r="E152" s="717" t="str">
        <f t="shared" si="344"/>
        <v>7th Floor</v>
      </c>
      <c r="F152" s="754"/>
      <c r="G152" s="756" t="s">
        <v>548</v>
      </c>
      <c r="H152" s="756"/>
      <c r="I152" s="755" t="s">
        <v>229</v>
      </c>
      <c r="J152" s="757">
        <v>22</v>
      </c>
      <c r="K152" s="758"/>
      <c r="L152" s="759" t="s">
        <v>69</v>
      </c>
      <c r="M152" s="760" t="s">
        <v>68</v>
      </c>
      <c r="N152" s="761">
        <f t="shared" si="345"/>
        <v>106005.26567735759</v>
      </c>
      <c r="O152" s="762">
        <f t="shared" si="346"/>
        <v>2332115.8449018667</v>
      </c>
      <c r="P152" s="762">
        <f t="shared" si="347"/>
        <v>22400</v>
      </c>
      <c r="Q152" s="762">
        <f t="shared" si="320"/>
        <v>50000</v>
      </c>
      <c r="R152" s="762"/>
      <c r="S152" s="762"/>
      <c r="T152" s="762"/>
      <c r="U152" s="762"/>
      <c r="V152" s="762"/>
      <c r="W152" s="762"/>
      <c r="X152" s="762"/>
      <c r="Y152" s="762">
        <f t="shared" si="306"/>
        <v>60000</v>
      </c>
      <c r="Z152" s="762">
        <f t="shared" si="321"/>
        <v>142461</v>
      </c>
      <c r="AA152" s="762"/>
      <c r="AB152" s="762"/>
      <c r="AC152" s="762"/>
      <c r="AD152" s="763">
        <f t="shared" si="348"/>
        <v>274861</v>
      </c>
      <c r="AE152" s="763">
        <f t="shared" si="322"/>
        <v>2606976.8449018667</v>
      </c>
      <c r="AF152" s="762">
        <f t="shared" si="323"/>
        <v>65174.421122546672</v>
      </c>
      <c r="AG152" s="762">
        <f t="shared" si="349"/>
        <v>2672151.2660244135</v>
      </c>
      <c r="AH152" s="762">
        <f t="shared" si="324"/>
        <v>66803.781650610341</v>
      </c>
      <c r="AI152" s="762">
        <f t="shared" si="350"/>
        <v>2738955.0476750238</v>
      </c>
      <c r="AJ152" s="762">
        <f t="shared" si="351"/>
        <v>136947.75238375118</v>
      </c>
      <c r="AK152" s="762">
        <f t="shared" si="352"/>
        <v>2875902.8000587751</v>
      </c>
      <c r="AL152" s="762">
        <f t="shared" si="353"/>
        <v>28759.02800058775</v>
      </c>
      <c r="AM152" s="762">
        <f t="shared" si="354"/>
        <v>27537.409960060559</v>
      </c>
      <c r="AN152" s="762"/>
      <c r="AO152" s="763">
        <f t="shared" si="355"/>
        <v>2932199.2380194231</v>
      </c>
      <c r="AP152" s="763">
        <f t="shared" si="356"/>
        <v>483812.87427320483</v>
      </c>
      <c r="AQ152" s="763">
        <f t="shared" si="357"/>
        <v>3416012.1122926278</v>
      </c>
      <c r="AR152" s="1178">
        <f t="shared" si="325"/>
        <v>3000000</v>
      </c>
      <c r="AS152" s="1178">
        <f t="shared" si="358"/>
        <v>18909.641467846719</v>
      </c>
      <c r="AT152" s="1178">
        <f t="shared" si="359"/>
        <v>416012.1122926278</v>
      </c>
      <c r="AU152" s="1178">
        <f t="shared" si="326"/>
        <v>49921.453475115333</v>
      </c>
      <c r="AV152" s="1178">
        <f t="shared" si="360"/>
        <v>465933.56576774316</v>
      </c>
      <c r="AW152" s="1178">
        <f t="shared" si="361"/>
        <v>3465933.5657677432</v>
      </c>
      <c r="AX152" s="762">
        <f t="shared" si="362"/>
        <v>43324.169572096791</v>
      </c>
      <c r="AY152" s="717" t="s">
        <v>231</v>
      </c>
      <c r="AZ152" s="717">
        <f t="shared" si="363"/>
        <v>3509257.7353398399</v>
      </c>
      <c r="BA152" s="717">
        <f t="shared" si="364"/>
        <v>131597.165075244</v>
      </c>
      <c r="BB152" s="717"/>
      <c r="BC152" s="717">
        <f t="shared" si="327"/>
        <v>33600</v>
      </c>
      <c r="BD152" s="717">
        <f t="shared" si="365"/>
        <v>3674454.9004150839</v>
      </c>
      <c r="BE152" s="717"/>
      <c r="BF152" s="717">
        <f t="shared" si="366"/>
        <v>3674454.9004150839</v>
      </c>
      <c r="BG152" s="1209"/>
      <c r="BH152" s="717">
        <f t="shared" si="367"/>
        <v>3674454.9004150839</v>
      </c>
      <c r="BI152" s="717"/>
      <c r="BJ152" s="717">
        <f t="shared" si="368"/>
        <v>3674454.9004150839</v>
      </c>
      <c r="BK152" s="717"/>
      <c r="BL152" s="717">
        <f t="shared" si="369"/>
        <v>3674454.9004150839</v>
      </c>
      <c r="BM152" s="717"/>
      <c r="BN152" s="717">
        <f t="shared" si="370"/>
        <v>3674454.9004150839</v>
      </c>
      <c r="BO152" s="717"/>
      <c r="BP152" s="717">
        <f t="shared" si="328"/>
        <v>3674454.9004150839</v>
      </c>
      <c r="BQ152" s="717"/>
      <c r="BR152" s="717">
        <f t="shared" si="433"/>
        <v>3674454.9004150839</v>
      </c>
      <c r="BS152" s="717"/>
      <c r="BT152" s="717">
        <f t="shared" si="371"/>
        <v>3674454.9004150839</v>
      </c>
      <c r="BU152" s="717"/>
      <c r="BV152" s="1235">
        <f t="shared" si="434"/>
        <v>51400</v>
      </c>
      <c r="BW152" s="717">
        <f t="shared" si="372"/>
        <v>3725854.9004150839</v>
      </c>
      <c r="BX152" s="717"/>
      <c r="BY152" s="717">
        <f t="shared" si="373"/>
        <v>3725854.9004150839</v>
      </c>
      <c r="BZ152" s="1194">
        <f t="shared" si="374"/>
        <v>3725854.9004150839</v>
      </c>
      <c r="CA152" s="1194">
        <f t="shared" si="375"/>
        <v>3032854.9004150839</v>
      </c>
      <c r="CB152" s="1194">
        <v>31500</v>
      </c>
      <c r="CC152" s="1194">
        <f t="shared" si="376"/>
        <v>693000</v>
      </c>
      <c r="CD152" s="1194">
        <f t="shared" si="377"/>
        <v>83160</v>
      </c>
      <c r="CE152" s="1194">
        <f t="shared" si="378"/>
        <v>776160</v>
      </c>
      <c r="CF152" s="1200">
        <f t="shared" si="379"/>
        <v>3809014.9004150839</v>
      </c>
      <c r="CG152" s="757">
        <f t="shared" si="380"/>
        <v>3809014.9004150839</v>
      </c>
      <c r="CH152" s="758">
        <f t="shared" si="381"/>
        <v>0</v>
      </c>
      <c r="CI152" s="757">
        <f t="shared" si="329"/>
        <v>390424.02729254606</v>
      </c>
      <c r="CJ152" s="757">
        <f t="shared" si="330"/>
        <v>95225.372510377099</v>
      </c>
      <c r="CK152" s="759">
        <f t="shared" si="291"/>
        <v>4294664.3002180075</v>
      </c>
      <c r="CL152" s="764">
        <f t="shared" si="382"/>
        <v>0.125</v>
      </c>
      <c r="CM152" s="757">
        <f t="shared" si="383"/>
        <v>536833.03752725094</v>
      </c>
      <c r="CN152" s="757">
        <f t="shared" si="425"/>
        <v>30000</v>
      </c>
      <c r="CO152" s="757">
        <f t="shared" si="384"/>
        <v>506833.03752725094</v>
      </c>
      <c r="CP152" s="755">
        <f t="shared" si="385"/>
        <v>29</v>
      </c>
      <c r="CQ152" s="757">
        <f t="shared" si="427"/>
        <v>17477.001294043137</v>
      </c>
      <c r="CR152" s="764">
        <f t="shared" si="386"/>
        <v>0.875</v>
      </c>
      <c r="CS152" s="757">
        <f t="shared" si="387"/>
        <v>3757831.2626907565</v>
      </c>
      <c r="CT152" s="1101">
        <f t="shared" si="388"/>
        <v>29134.425781994749</v>
      </c>
      <c r="CU152" s="1101">
        <f t="shared" si="389"/>
        <v>33776.449759995252</v>
      </c>
      <c r="CV152" s="1101">
        <f t="shared" si="390"/>
        <v>43631.607307122547</v>
      </c>
      <c r="CW152" s="1141">
        <f t="shared" si="331"/>
        <v>74409.562913672053</v>
      </c>
      <c r="CX152" s="1152">
        <f t="shared" si="391"/>
        <v>305260.57778872194</v>
      </c>
      <c r="CY152" s="1152">
        <f t="shared" si="392"/>
        <v>120790.12362134912</v>
      </c>
      <c r="CZ152" s="1152">
        <f t="shared" si="393"/>
        <v>87244.995517673655</v>
      </c>
      <c r="DA152" s="1152">
        <f t="shared" si="394"/>
        <v>66397.458141096984</v>
      </c>
      <c r="DB152" s="1143">
        <f t="shared" si="332"/>
        <v>0.13867070409754259</v>
      </c>
      <c r="DC152" s="1143">
        <f t="shared" si="395"/>
        <v>0.25591728766640726</v>
      </c>
      <c r="DD152" s="1098" t="s">
        <v>232</v>
      </c>
      <c r="DE152" s="1144"/>
      <c r="DF152" s="705"/>
      <c r="DG152" s="765">
        <f t="shared" si="426"/>
        <v>46082</v>
      </c>
      <c r="DH152" s="1116">
        <f t="shared" si="333"/>
        <v>28</v>
      </c>
      <c r="DI152" s="497"/>
      <c r="DJ152" s="1117">
        <f t="shared" si="396"/>
        <v>46147</v>
      </c>
      <c r="DK152" s="1116">
        <f t="shared" si="397"/>
        <v>30</v>
      </c>
      <c r="DL152" s="766" t="s">
        <v>233</v>
      </c>
      <c r="DM152" s="766" t="s">
        <v>234</v>
      </c>
      <c r="DN152" s="767">
        <f t="shared" si="334"/>
        <v>21178.798443988326</v>
      </c>
      <c r="DO152" s="767">
        <f t="shared" si="335"/>
        <v>465933.56576774316</v>
      </c>
      <c r="DP152" s="768">
        <f t="shared" si="336"/>
        <v>0.15531118858924772</v>
      </c>
      <c r="DR152" s="767">
        <f t="shared" si="337"/>
        <v>3809014.9004150839</v>
      </c>
      <c r="DS152" s="767">
        <f>SUM('[6]INTERNAL PRICELIST'!M152)</f>
        <v>2329361</v>
      </c>
      <c r="DT152" s="767">
        <f t="shared" si="398"/>
        <v>1479653.9004150839</v>
      </c>
      <c r="DV152" s="951">
        <f t="shared" si="338"/>
        <v>173137.04092795835</v>
      </c>
      <c r="DX152" s="772"/>
      <c r="DY152" s="773"/>
      <c r="DZ152" s="772"/>
      <c r="EA152" s="775"/>
      <c r="ED152" s="755" t="s">
        <v>548</v>
      </c>
      <c r="EE152" s="777" t="b">
        <f t="shared" si="340"/>
        <v>1</v>
      </c>
      <c r="EF152" s="1123" t="s">
        <v>549</v>
      </c>
      <c r="EG152" s="1123" t="s">
        <v>515</v>
      </c>
      <c r="EH152" s="1203"/>
      <c r="EP152" s="1230" t="s">
        <v>236</v>
      </c>
      <c r="EQ152" s="1145" t="s">
        <v>236</v>
      </c>
      <c r="ER152" s="753" t="b">
        <f t="shared" si="399"/>
        <v>1</v>
      </c>
      <c r="EU152" s="770">
        <v>2409740</v>
      </c>
      <c r="EV152" s="771" t="s">
        <v>236</v>
      </c>
      <c r="FJ152" s="994">
        <v>0.15</v>
      </c>
      <c r="FK152" s="993">
        <v>13153.346833306294</v>
      </c>
      <c r="FL152" s="993">
        <v>13508.842693665923</v>
      </c>
      <c r="FM152" s="497"/>
      <c r="FN152" s="993">
        <f t="shared" si="341"/>
        <v>4294664.3002180075</v>
      </c>
      <c r="FO152" s="994">
        <f t="shared" si="400"/>
        <v>0.15</v>
      </c>
      <c r="FP152" s="775">
        <f t="shared" si="342"/>
        <v>644199.64503270108</v>
      </c>
      <c r="FQ152" s="993">
        <f t="shared" si="343"/>
        <v>30000</v>
      </c>
      <c r="FR152" s="775">
        <f t="shared" si="401"/>
        <v>614199.64503270108</v>
      </c>
      <c r="FS152" s="497">
        <f t="shared" si="402"/>
        <v>40</v>
      </c>
      <c r="FT152" s="775">
        <f t="shared" si="403"/>
        <v>15354.991125817527</v>
      </c>
      <c r="FU152" s="497"/>
      <c r="FV152" s="993">
        <f t="shared" si="404"/>
        <v>4294664.3002180075</v>
      </c>
      <c r="FW152" s="705">
        <f t="shared" si="405"/>
        <v>429466.4300218008</v>
      </c>
      <c r="FX152" s="705">
        <f t="shared" si="406"/>
        <v>107366.6075054502</v>
      </c>
      <c r="FY152" s="705">
        <v>15000</v>
      </c>
      <c r="FZ152" s="705">
        <f t="shared" si="407"/>
        <v>414466.4300218008</v>
      </c>
      <c r="GA152" s="497">
        <f t="shared" si="408"/>
        <v>46</v>
      </c>
      <c r="GB152" s="775">
        <f t="shared" si="409"/>
        <v>9010.1397830826263</v>
      </c>
      <c r="GC152" s="497"/>
      <c r="GD152" s="497"/>
      <c r="GH152" s="1095">
        <f t="shared" si="307"/>
        <v>4294664.3002180075</v>
      </c>
      <c r="GI152" s="1098">
        <f t="shared" si="308"/>
        <v>0.125</v>
      </c>
      <c r="GJ152" s="1095">
        <f t="shared" si="309"/>
        <v>536833.03752725094</v>
      </c>
      <c r="GK152" s="1095">
        <f t="shared" si="310"/>
        <v>30000</v>
      </c>
      <c r="GL152" s="1095">
        <f t="shared" si="311"/>
        <v>506833.03752725094</v>
      </c>
      <c r="GM152" s="1095">
        <f t="shared" si="312"/>
        <v>29</v>
      </c>
      <c r="GN152" s="1095">
        <f t="shared" si="313"/>
        <v>17477.001294043137</v>
      </c>
      <c r="GO152" s="1098">
        <f t="shared" si="314"/>
        <v>0.875</v>
      </c>
      <c r="GP152" s="1095">
        <f t="shared" si="315"/>
        <v>3757831.2626907565</v>
      </c>
      <c r="GQ152" s="1095">
        <f t="shared" si="316"/>
        <v>29134.425781994749</v>
      </c>
      <c r="GR152" s="1095">
        <f t="shared" si="317"/>
        <v>33776.449759995252</v>
      </c>
      <c r="GS152" s="1095">
        <f t="shared" si="318"/>
        <v>43631.607307122547</v>
      </c>
      <c r="GT152" s="1095">
        <f t="shared" si="319"/>
        <v>74409.562913672053</v>
      </c>
      <c r="GU152" s="497"/>
      <c r="GV152" s="1095">
        <f t="shared" si="410"/>
        <v>4294664.3002180075</v>
      </c>
      <c r="GW152" s="1098">
        <f t="shared" si="411"/>
        <v>0.125</v>
      </c>
      <c r="GX152" s="1095">
        <f t="shared" si="412"/>
        <v>536833.03752725094</v>
      </c>
      <c r="GY152" s="1095">
        <f t="shared" si="413"/>
        <v>30000</v>
      </c>
      <c r="GZ152" s="1095">
        <f t="shared" si="414"/>
        <v>506833.03752725094</v>
      </c>
      <c r="HA152" s="1106">
        <f t="shared" si="415"/>
        <v>48</v>
      </c>
      <c r="HB152" s="770">
        <f t="shared" si="416"/>
        <v>10559.021615151061</v>
      </c>
      <c r="HC152" s="1098">
        <f t="shared" si="417"/>
        <v>0.875</v>
      </c>
      <c r="HD152" s="1102">
        <f t="shared" si="418"/>
        <v>3757831.2626907565</v>
      </c>
      <c r="HE152" s="1101">
        <f t="shared" si="419"/>
        <v>29134.425781994749</v>
      </c>
      <c r="HF152" s="1101">
        <f t="shared" si="420"/>
        <v>33776.449759995252</v>
      </c>
      <c r="HG152" s="1101">
        <f t="shared" si="421"/>
        <v>43631.607307122547</v>
      </c>
      <c r="HH152" s="1101">
        <f t="shared" si="422"/>
        <v>74409.562913672053</v>
      </c>
      <c r="HI152" s="497"/>
      <c r="HJ152" s="1102">
        <f t="shared" si="423"/>
        <v>-6917.9796788920758</v>
      </c>
      <c r="HL152" s="775"/>
      <c r="HN152" s="775"/>
      <c r="HO152" s="775"/>
      <c r="HQ152" s="702"/>
      <c r="HR152" s="1171"/>
      <c r="HS152" s="702"/>
      <c r="HT152" s="1171"/>
    </row>
    <row r="153" spans="1:228" ht="14.25" customHeight="1">
      <c r="A153" s="753">
        <f t="shared" si="424"/>
        <v>147</v>
      </c>
      <c r="B153" s="753" t="s">
        <v>236</v>
      </c>
      <c r="C153" s="753">
        <f t="shared" si="305"/>
        <v>23</v>
      </c>
      <c r="D153" s="753" t="s">
        <v>269</v>
      </c>
      <c r="E153" s="717" t="str">
        <f t="shared" si="344"/>
        <v>7th Floor</v>
      </c>
      <c r="F153" s="754"/>
      <c r="G153" s="756" t="s">
        <v>550</v>
      </c>
      <c r="H153" s="756"/>
      <c r="I153" s="755" t="s">
        <v>229</v>
      </c>
      <c r="J153" s="757">
        <v>22</v>
      </c>
      <c r="K153" s="758"/>
      <c r="L153" s="759" t="s">
        <v>69</v>
      </c>
      <c r="M153" s="760" t="s">
        <v>68</v>
      </c>
      <c r="N153" s="761">
        <f t="shared" si="345"/>
        <v>106005.26567735759</v>
      </c>
      <c r="O153" s="762">
        <f t="shared" si="346"/>
        <v>2332115.8449018667</v>
      </c>
      <c r="P153" s="762">
        <f t="shared" si="347"/>
        <v>22400</v>
      </c>
      <c r="Q153" s="762">
        <f t="shared" si="320"/>
        <v>50000</v>
      </c>
      <c r="R153" s="762"/>
      <c r="S153" s="762"/>
      <c r="T153" s="762"/>
      <c r="U153" s="762"/>
      <c r="V153" s="762"/>
      <c r="W153" s="762"/>
      <c r="X153" s="762"/>
      <c r="Y153" s="762">
        <f t="shared" si="306"/>
        <v>60000</v>
      </c>
      <c r="Z153" s="762">
        <f t="shared" si="321"/>
        <v>142461</v>
      </c>
      <c r="AA153" s="762"/>
      <c r="AB153" s="762"/>
      <c r="AC153" s="762"/>
      <c r="AD153" s="763">
        <f t="shared" si="348"/>
        <v>274861</v>
      </c>
      <c r="AE153" s="763">
        <f t="shared" si="322"/>
        <v>2606976.8449018667</v>
      </c>
      <c r="AF153" s="762">
        <f t="shared" si="323"/>
        <v>65174.421122546672</v>
      </c>
      <c r="AG153" s="762">
        <f t="shared" si="349"/>
        <v>2672151.2660244135</v>
      </c>
      <c r="AH153" s="762">
        <f t="shared" si="324"/>
        <v>66803.781650610341</v>
      </c>
      <c r="AI153" s="762">
        <f t="shared" si="350"/>
        <v>2738955.0476750238</v>
      </c>
      <c r="AJ153" s="762">
        <f t="shared" si="351"/>
        <v>136947.75238375118</v>
      </c>
      <c r="AK153" s="762">
        <f t="shared" si="352"/>
        <v>2875902.8000587751</v>
      </c>
      <c r="AL153" s="762">
        <f t="shared" si="353"/>
        <v>28759.02800058775</v>
      </c>
      <c r="AM153" s="762">
        <f t="shared" si="354"/>
        <v>27537.409960060559</v>
      </c>
      <c r="AN153" s="762"/>
      <c r="AO153" s="763">
        <f t="shared" si="355"/>
        <v>2932199.2380194231</v>
      </c>
      <c r="AP153" s="763">
        <f t="shared" si="356"/>
        <v>483812.87427320483</v>
      </c>
      <c r="AQ153" s="763">
        <f t="shared" si="357"/>
        <v>3416012.1122926278</v>
      </c>
      <c r="AR153" s="1178">
        <f t="shared" si="325"/>
        <v>3000000</v>
      </c>
      <c r="AS153" s="1178">
        <f t="shared" si="358"/>
        <v>18909.641467846719</v>
      </c>
      <c r="AT153" s="1178">
        <f t="shared" si="359"/>
        <v>416012.1122926278</v>
      </c>
      <c r="AU153" s="1178">
        <f t="shared" si="326"/>
        <v>49921.453475115333</v>
      </c>
      <c r="AV153" s="1178">
        <f t="shared" si="360"/>
        <v>465933.56576774316</v>
      </c>
      <c r="AW153" s="1178">
        <f t="shared" si="361"/>
        <v>3465933.5657677432</v>
      </c>
      <c r="AX153" s="762">
        <f t="shared" si="362"/>
        <v>43324.169572096791</v>
      </c>
      <c r="AY153" s="717" t="s">
        <v>231</v>
      </c>
      <c r="AZ153" s="717">
        <f t="shared" si="363"/>
        <v>3509257.7353398399</v>
      </c>
      <c r="BA153" s="717">
        <f t="shared" si="364"/>
        <v>131597.165075244</v>
      </c>
      <c r="BB153" s="717"/>
      <c r="BC153" s="717">
        <f t="shared" si="327"/>
        <v>33600</v>
      </c>
      <c r="BD153" s="717">
        <f t="shared" si="365"/>
        <v>3674454.9004150839</v>
      </c>
      <c r="BE153" s="717"/>
      <c r="BF153" s="717">
        <f t="shared" si="366"/>
        <v>3674454.9004150839</v>
      </c>
      <c r="BG153" s="1209"/>
      <c r="BH153" s="717">
        <f t="shared" si="367"/>
        <v>3674454.9004150839</v>
      </c>
      <c r="BI153" s="717"/>
      <c r="BJ153" s="717">
        <f t="shared" si="368"/>
        <v>3674454.9004150839</v>
      </c>
      <c r="BK153" s="717"/>
      <c r="BL153" s="717">
        <f t="shared" si="369"/>
        <v>3674454.9004150839</v>
      </c>
      <c r="BM153" s="717">
        <f>$BM$5/41</f>
        <v>1038.0487804878051</v>
      </c>
      <c r="BN153" s="717">
        <f t="shared" si="370"/>
        <v>3675492.9491955717</v>
      </c>
      <c r="BO153" s="717">
        <f>$BO$5/51</f>
        <v>7289.0781490196077</v>
      </c>
      <c r="BP153" s="717">
        <f t="shared" si="328"/>
        <v>3682782.0273445914</v>
      </c>
      <c r="BQ153" s="717">
        <f>$BQ$5/56</f>
        <v>4468.4242000000004</v>
      </c>
      <c r="BR153" s="717">
        <f t="shared" si="433"/>
        <v>3687250.4515445912</v>
      </c>
      <c r="BS153" s="1234">
        <f>$BS$5/64</f>
        <v>2651.4786794501206</v>
      </c>
      <c r="BT153" s="1235">
        <f t="shared" si="371"/>
        <v>3689901.9302240415</v>
      </c>
      <c r="BU153" s="1235">
        <f>$BU$5/65</f>
        <v>211.07692307692309</v>
      </c>
      <c r="BV153" s="1235">
        <f t="shared" si="434"/>
        <v>51400</v>
      </c>
      <c r="BW153" s="717">
        <f t="shared" si="372"/>
        <v>3741513.0071471184</v>
      </c>
      <c r="BX153" s="1234">
        <f t="shared" ref="BX146:BX209" si="435">$BX$5/68</f>
        <v>27651.078536278128</v>
      </c>
      <c r="BY153" s="717">
        <f t="shared" si="373"/>
        <v>3769164.0856833966</v>
      </c>
      <c r="BZ153" s="1194">
        <f t="shared" si="374"/>
        <v>3769164.0856833966</v>
      </c>
      <c r="CA153" s="1194">
        <f t="shared" si="375"/>
        <v>2889164.0856833966</v>
      </c>
      <c r="CB153" s="1194">
        <f>$CB$5</f>
        <v>40000</v>
      </c>
      <c r="CC153" s="1194">
        <f t="shared" si="376"/>
        <v>880000</v>
      </c>
      <c r="CD153" s="1194">
        <f t="shared" si="377"/>
        <v>105600</v>
      </c>
      <c r="CE153" s="1194">
        <f t="shared" si="378"/>
        <v>985600</v>
      </c>
      <c r="CF153" s="1200">
        <f t="shared" si="379"/>
        <v>3874764.0856833966</v>
      </c>
      <c r="CG153" s="757">
        <f t="shared" si="380"/>
        <v>3874764.0856833966</v>
      </c>
      <c r="CH153" s="758">
        <f t="shared" si="381"/>
        <v>0</v>
      </c>
      <c r="CI153" s="757">
        <f t="shared" si="329"/>
        <v>397163.31878254813</v>
      </c>
      <c r="CJ153" s="757">
        <f t="shared" si="330"/>
        <v>96869.102142084914</v>
      </c>
      <c r="CK153" s="759">
        <f t="shared" si="291"/>
        <v>4368796.5066080298</v>
      </c>
      <c r="CL153" s="764">
        <f t="shared" si="382"/>
        <v>0.125</v>
      </c>
      <c r="CM153" s="757">
        <f t="shared" si="383"/>
        <v>546099.56332600373</v>
      </c>
      <c r="CN153" s="757">
        <f t="shared" si="425"/>
        <v>30000</v>
      </c>
      <c r="CO153" s="757">
        <f t="shared" si="384"/>
        <v>516099.56332600373</v>
      </c>
      <c r="CP153" s="755">
        <f t="shared" si="385"/>
        <v>29</v>
      </c>
      <c r="CQ153" s="757">
        <f t="shared" si="427"/>
        <v>17796.536666413922</v>
      </c>
      <c r="CR153" s="764">
        <f t="shared" si="386"/>
        <v>0.875</v>
      </c>
      <c r="CS153" s="757">
        <f t="shared" si="387"/>
        <v>3822696.9432820259</v>
      </c>
      <c r="CT153" s="1101">
        <f t="shared" si="388"/>
        <v>29637.328713200804</v>
      </c>
      <c r="CU153" s="1101">
        <f t="shared" si="389"/>
        <v>34359.48083523041</v>
      </c>
      <c r="CV153" s="1101">
        <f t="shared" si="390"/>
        <v>44384.752859815882</v>
      </c>
      <c r="CW153" s="1141">
        <f t="shared" si="331"/>
        <v>75693.981133514681</v>
      </c>
      <c r="CX153" s="1152">
        <f t="shared" si="391"/>
        <v>310529.82319964317</v>
      </c>
      <c r="CY153" s="1152">
        <f t="shared" si="392"/>
        <v>122875.13836248258</v>
      </c>
      <c r="CZ153" s="1152">
        <f t="shared" si="393"/>
        <v>88750.972134724827</v>
      </c>
      <c r="DA153" s="1152">
        <f t="shared" si="394"/>
        <v>67543.57567825554</v>
      </c>
      <c r="DB153" s="1143">
        <f t="shared" si="332"/>
        <v>0.13867070409754259</v>
      </c>
      <c r="DC153" s="1143">
        <f t="shared" si="395"/>
        <v>0.3411367339376532</v>
      </c>
      <c r="DD153" s="1098" t="s">
        <v>232</v>
      </c>
      <c r="DE153" s="1144"/>
      <c r="DF153" s="705"/>
      <c r="DG153" s="765">
        <f t="shared" si="426"/>
        <v>46082</v>
      </c>
      <c r="DH153" s="1116">
        <f t="shared" si="333"/>
        <v>28</v>
      </c>
      <c r="DI153" s="497"/>
      <c r="DJ153" s="1117">
        <f t="shared" si="396"/>
        <v>46147</v>
      </c>
      <c r="DK153" s="1116">
        <f t="shared" si="397"/>
        <v>30</v>
      </c>
      <c r="DL153" s="766" t="s">
        <v>233</v>
      </c>
      <c r="DM153" s="766" t="s">
        <v>234</v>
      </c>
      <c r="DN153" s="767">
        <f t="shared" si="334"/>
        <v>21178.798443988326</v>
      </c>
      <c r="DO153" s="767">
        <f t="shared" si="335"/>
        <v>465933.56576774316</v>
      </c>
      <c r="DP153" s="768">
        <f t="shared" si="336"/>
        <v>0.15531118858924772</v>
      </c>
      <c r="DR153" s="767">
        <f t="shared" si="337"/>
        <v>3874764.0856833966</v>
      </c>
      <c r="DS153" s="767">
        <f>SUM('[6]INTERNAL PRICELIST'!M153)</f>
        <v>2329361</v>
      </c>
      <c r="DT153" s="767">
        <f t="shared" si="398"/>
        <v>1545403.0856833966</v>
      </c>
      <c r="DV153" s="951">
        <f t="shared" si="338"/>
        <v>176125.64025833621</v>
      </c>
      <c r="DX153" s="772"/>
      <c r="DY153" s="773"/>
      <c r="DZ153" s="772"/>
      <c r="EA153" s="775"/>
      <c r="ED153" s="755" t="s">
        <v>550</v>
      </c>
      <c r="EE153" s="777" t="b">
        <f t="shared" si="340"/>
        <v>1</v>
      </c>
      <c r="EF153" s="1123" t="s">
        <v>551</v>
      </c>
      <c r="EG153" s="1123" t="s">
        <v>515</v>
      </c>
      <c r="EH153" s="1203"/>
      <c r="EP153" s="1230" t="s">
        <v>258</v>
      </c>
      <c r="EQ153" s="1145" t="s">
        <v>258</v>
      </c>
      <c r="ER153" s="753" t="b">
        <f t="shared" si="399"/>
        <v>1</v>
      </c>
      <c r="EU153" s="770">
        <v>2459020</v>
      </c>
      <c r="EV153" s="771" t="s">
        <v>236</v>
      </c>
      <c r="FJ153" s="994">
        <v>0.15</v>
      </c>
      <c r="FK153" s="993">
        <v>13153.346833306294</v>
      </c>
      <c r="FL153" s="993">
        <v>13508.842693665923</v>
      </c>
      <c r="FM153" s="497"/>
      <c r="FN153" s="993">
        <f t="shared" si="341"/>
        <v>4368796.5066080298</v>
      </c>
      <c r="FO153" s="994">
        <f t="shared" si="400"/>
        <v>0.15</v>
      </c>
      <c r="FP153" s="775">
        <f t="shared" si="342"/>
        <v>655319.4759912045</v>
      </c>
      <c r="FQ153" s="993">
        <f t="shared" si="343"/>
        <v>30000</v>
      </c>
      <c r="FR153" s="775">
        <f t="shared" si="401"/>
        <v>625319.4759912045</v>
      </c>
      <c r="FS153" s="497">
        <f t="shared" si="402"/>
        <v>40</v>
      </c>
      <c r="FT153" s="775">
        <f t="shared" si="403"/>
        <v>15632.986899780113</v>
      </c>
      <c r="FU153" s="497"/>
      <c r="FV153" s="993">
        <f t="shared" si="404"/>
        <v>4368796.5066080298</v>
      </c>
      <c r="FW153" s="705">
        <f t="shared" si="405"/>
        <v>436879.65066080302</v>
      </c>
      <c r="FX153" s="705">
        <f t="shared" si="406"/>
        <v>109219.91266520075</v>
      </c>
      <c r="FY153" s="705">
        <v>15000</v>
      </c>
      <c r="FZ153" s="705">
        <f t="shared" si="407"/>
        <v>421879.65066080302</v>
      </c>
      <c r="GA153" s="497">
        <f t="shared" si="408"/>
        <v>46</v>
      </c>
      <c r="GB153" s="775">
        <f t="shared" si="409"/>
        <v>9171.296753495717</v>
      </c>
      <c r="GC153" s="497"/>
      <c r="GD153" s="497"/>
      <c r="GH153" s="1095">
        <f t="shared" si="307"/>
        <v>4368796.5066080298</v>
      </c>
      <c r="GI153" s="1098">
        <f t="shared" si="308"/>
        <v>0.125</v>
      </c>
      <c r="GJ153" s="1095">
        <f t="shared" si="309"/>
        <v>546099.56332600373</v>
      </c>
      <c r="GK153" s="1095">
        <f t="shared" si="310"/>
        <v>30000</v>
      </c>
      <c r="GL153" s="1095">
        <f t="shared" si="311"/>
        <v>516099.56332600373</v>
      </c>
      <c r="GM153" s="1095">
        <f t="shared" si="312"/>
        <v>29</v>
      </c>
      <c r="GN153" s="1095">
        <f t="shared" si="313"/>
        <v>17796.536666413922</v>
      </c>
      <c r="GO153" s="1098">
        <f t="shared" si="314"/>
        <v>0.875</v>
      </c>
      <c r="GP153" s="1095">
        <f t="shared" si="315"/>
        <v>3822696.9432820259</v>
      </c>
      <c r="GQ153" s="1095">
        <f t="shared" si="316"/>
        <v>29637.328713200804</v>
      </c>
      <c r="GR153" s="1095">
        <f t="shared" si="317"/>
        <v>34359.48083523041</v>
      </c>
      <c r="GS153" s="1095">
        <f t="shared" si="318"/>
        <v>44384.752859815882</v>
      </c>
      <c r="GT153" s="1095">
        <f t="shared" si="319"/>
        <v>75693.981133514681</v>
      </c>
      <c r="GU153" s="497"/>
      <c r="GV153" s="1095">
        <f t="shared" si="410"/>
        <v>4368796.5066080298</v>
      </c>
      <c r="GW153" s="1098">
        <f t="shared" si="411"/>
        <v>0.125</v>
      </c>
      <c r="GX153" s="1095">
        <f t="shared" si="412"/>
        <v>546099.56332600373</v>
      </c>
      <c r="GY153" s="1095">
        <f t="shared" si="413"/>
        <v>30000</v>
      </c>
      <c r="GZ153" s="1095">
        <f t="shared" si="414"/>
        <v>516099.56332600373</v>
      </c>
      <c r="HA153" s="1106">
        <f t="shared" si="415"/>
        <v>48</v>
      </c>
      <c r="HB153" s="770">
        <f t="shared" si="416"/>
        <v>10752.074235958411</v>
      </c>
      <c r="HC153" s="1098">
        <f t="shared" si="417"/>
        <v>0.875</v>
      </c>
      <c r="HD153" s="1102">
        <f t="shared" si="418"/>
        <v>3822696.9432820259</v>
      </c>
      <c r="HE153" s="1101">
        <f t="shared" si="419"/>
        <v>29637.328713200804</v>
      </c>
      <c r="HF153" s="1101">
        <f t="shared" si="420"/>
        <v>34359.48083523041</v>
      </c>
      <c r="HG153" s="1101">
        <f t="shared" si="421"/>
        <v>44384.752859815882</v>
      </c>
      <c r="HH153" s="1101">
        <f t="shared" si="422"/>
        <v>75693.981133514681</v>
      </c>
      <c r="HI153" s="497"/>
      <c r="HJ153" s="1102">
        <f t="shared" si="423"/>
        <v>-7044.4624304555109</v>
      </c>
      <c r="HL153" s="775"/>
      <c r="HN153" s="775"/>
      <c r="HO153" s="775"/>
      <c r="HQ153" s="702"/>
      <c r="HR153" s="1171"/>
      <c r="HS153" s="702"/>
      <c r="HT153" s="1171"/>
    </row>
    <row r="154" spans="1:228" ht="14.25" hidden="1" customHeight="1">
      <c r="A154" s="753">
        <f t="shared" si="424"/>
        <v>148</v>
      </c>
      <c r="B154" s="753"/>
      <c r="C154" s="753">
        <f t="shared" si="305"/>
        <v>24</v>
      </c>
      <c r="D154" s="753" t="s">
        <v>269</v>
      </c>
      <c r="E154" s="717" t="str">
        <f t="shared" si="344"/>
        <v>7th Floor</v>
      </c>
      <c r="F154" s="754"/>
      <c r="G154" s="756" t="s">
        <v>552</v>
      </c>
      <c r="H154" s="756"/>
      <c r="I154" s="755" t="s">
        <v>229</v>
      </c>
      <c r="J154" s="757">
        <v>22</v>
      </c>
      <c r="K154" s="758"/>
      <c r="L154" s="759" t="s">
        <v>69</v>
      </c>
      <c r="M154" s="760" t="s">
        <v>68</v>
      </c>
      <c r="N154" s="761">
        <f t="shared" si="345"/>
        <v>106005.26567735759</v>
      </c>
      <c r="O154" s="762">
        <f t="shared" si="346"/>
        <v>2332115.8449018667</v>
      </c>
      <c r="P154" s="762">
        <f t="shared" si="347"/>
        <v>22400</v>
      </c>
      <c r="Q154" s="762">
        <f t="shared" si="320"/>
        <v>50000</v>
      </c>
      <c r="R154" s="762"/>
      <c r="S154" s="762"/>
      <c r="T154" s="762"/>
      <c r="U154" s="762"/>
      <c r="V154" s="762"/>
      <c r="W154" s="762"/>
      <c r="X154" s="762"/>
      <c r="Y154" s="762">
        <f t="shared" si="306"/>
        <v>60000</v>
      </c>
      <c r="Z154" s="762">
        <f t="shared" si="321"/>
        <v>142461</v>
      </c>
      <c r="AA154" s="762"/>
      <c r="AB154" s="762"/>
      <c r="AC154" s="762"/>
      <c r="AD154" s="763">
        <f t="shared" si="348"/>
        <v>274861</v>
      </c>
      <c r="AE154" s="763">
        <f t="shared" si="322"/>
        <v>2606976.8449018667</v>
      </c>
      <c r="AF154" s="762">
        <f t="shared" si="323"/>
        <v>65174.421122546672</v>
      </c>
      <c r="AG154" s="762">
        <f t="shared" si="349"/>
        <v>2672151.2660244135</v>
      </c>
      <c r="AH154" s="762">
        <f t="shared" si="324"/>
        <v>66803.781650610341</v>
      </c>
      <c r="AI154" s="762">
        <f t="shared" si="350"/>
        <v>2738955.0476750238</v>
      </c>
      <c r="AJ154" s="762">
        <f t="shared" si="351"/>
        <v>136947.75238375118</v>
      </c>
      <c r="AK154" s="762">
        <f t="shared" si="352"/>
        <v>2875902.8000587751</v>
      </c>
      <c r="AL154" s="762">
        <f t="shared" si="353"/>
        <v>28759.02800058775</v>
      </c>
      <c r="AM154" s="762">
        <f t="shared" si="354"/>
        <v>27537.409960060559</v>
      </c>
      <c r="AN154" s="762"/>
      <c r="AO154" s="763">
        <f t="shared" si="355"/>
        <v>2932199.2380194231</v>
      </c>
      <c r="AP154" s="763">
        <f t="shared" si="356"/>
        <v>483812.87427320483</v>
      </c>
      <c r="AQ154" s="763">
        <f t="shared" si="357"/>
        <v>3416012.1122926278</v>
      </c>
      <c r="AR154" s="1178">
        <f t="shared" si="325"/>
        <v>3000000</v>
      </c>
      <c r="AS154" s="1178">
        <f t="shared" si="358"/>
        <v>18909.641467846719</v>
      </c>
      <c r="AT154" s="1178">
        <f t="shared" si="359"/>
        <v>416012.1122926278</v>
      </c>
      <c r="AU154" s="1178">
        <f t="shared" si="326"/>
        <v>49921.453475115333</v>
      </c>
      <c r="AV154" s="1178">
        <f t="shared" si="360"/>
        <v>465933.56576774316</v>
      </c>
      <c r="AW154" s="1178">
        <f t="shared" si="361"/>
        <v>3465933.5657677432</v>
      </c>
      <c r="AX154" s="762">
        <f t="shared" si="362"/>
        <v>43324.169572096791</v>
      </c>
      <c r="AY154" s="717" t="s">
        <v>231</v>
      </c>
      <c r="AZ154" s="717">
        <f t="shared" si="363"/>
        <v>3509257.7353398399</v>
      </c>
      <c r="BA154" s="717">
        <f t="shared" si="364"/>
        <v>131597.165075244</v>
      </c>
      <c r="BB154" s="717"/>
      <c r="BC154" s="717">
        <f t="shared" si="327"/>
        <v>33600</v>
      </c>
      <c r="BD154" s="717">
        <f t="shared" si="365"/>
        <v>3674454.9004150839</v>
      </c>
      <c r="BE154" s="717"/>
      <c r="BF154" s="717">
        <f t="shared" si="366"/>
        <v>3674454.9004150839</v>
      </c>
      <c r="BG154" s="1209"/>
      <c r="BH154" s="717">
        <f t="shared" si="367"/>
        <v>3674454.9004150839</v>
      </c>
      <c r="BI154" s="717"/>
      <c r="BJ154" s="717">
        <f t="shared" si="368"/>
        <v>3674454.9004150839</v>
      </c>
      <c r="BK154" s="717"/>
      <c r="BL154" s="717">
        <f t="shared" si="369"/>
        <v>3674454.9004150839</v>
      </c>
      <c r="BM154" s="717"/>
      <c r="BN154" s="717">
        <f t="shared" si="370"/>
        <v>3674454.9004150839</v>
      </c>
      <c r="BO154" s="717"/>
      <c r="BP154" s="717">
        <f t="shared" si="328"/>
        <v>3674454.9004150839</v>
      </c>
      <c r="BQ154" s="717"/>
      <c r="BR154" s="717">
        <f t="shared" si="433"/>
        <v>3674454.9004150839</v>
      </c>
      <c r="BS154" s="717"/>
      <c r="BT154" s="717">
        <f t="shared" si="371"/>
        <v>3674454.9004150839</v>
      </c>
      <c r="BU154" s="717"/>
      <c r="BV154" s="1235">
        <f t="shared" si="434"/>
        <v>51400</v>
      </c>
      <c r="BW154" s="717">
        <f t="shared" si="372"/>
        <v>3725854.9004150839</v>
      </c>
      <c r="BX154" s="717"/>
      <c r="BY154" s="717">
        <f t="shared" si="373"/>
        <v>3725854.9004150839</v>
      </c>
      <c r="BZ154" s="1194">
        <f t="shared" si="374"/>
        <v>3725854.9004150839</v>
      </c>
      <c r="CA154" s="1194">
        <f t="shared" si="375"/>
        <v>3032854.9004150839</v>
      </c>
      <c r="CB154" s="1194">
        <v>31500</v>
      </c>
      <c r="CC154" s="1194">
        <f t="shared" si="376"/>
        <v>693000</v>
      </c>
      <c r="CD154" s="1194">
        <f t="shared" si="377"/>
        <v>83160</v>
      </c>
      <c r="CE154" s="1194">
        <f t="shared" si="378"/>
        <v>776160</v>
      </c>
      <c r="CF154" s="1200">
        <f t="shared" si="379"/>
        <v>3809014.9004150839</v>
      </c>
      <c r="CG154" s="757">
        <f t="shared" si="380"/>
        <v>3809014.9004150839</v>
      </c>
      <c r="CH154" s="758">
        <f t="shared" si="381"/>
        <v>0</v>
      </c>
      <c r="CI154" s="757">
        <f t="shared" si="329"/>
        <v>390424.02729254606</v>
      </c>
      <c r="CJ154" s="757">
        <f t="shared" si="330"/>
        <v>95225.372510377099</v>
      </c>
      <c r="CK154" s="759">
        <f t="shared" si="291"/>
        <v>4294664.3002180075</v>
      </c>
      <c r="CL154" s="764">
        <f t="shared" si="382"/>
        <v>0.125</v>
      </c>
      <c r="CM154" s="757">
        <f t="shared" si="383"/>
        <v>536833.03752725094</v>
      </c>
      <c r="CN154" s="757">
        <f t="shared" si="425"/>
        <v>30000</v>
      </c>
      <c r="CO154" s="757">
        <f t="shared" si="384"/>
        <v>506833.03752725094</v>
      </c>
      <c r="CP154" s="755">
        <f t="shared" si="385"/>
        <v>29</v>
      </c>
      <c r="CQ154" s="757">
        <f t="shared" si="427"/>
        <v>17477.001294043137</v>
      </c>
      <c r="CR154" s="764">
        <f t="shared" si="386"/>
        <v>0.875</v>
      </c>
      <c r="CS154" s="757">
        <f t="shared" si="387"/>
        <v>3757831.2626907565</v>
      </c>
      <c r="CT154" s="1101">
        <f t="shared" si="388"/>
        <v>29134.425781994749</v>
      </c>
      <c r="CU154" s="1101">
        <f t="shared" si="389"/>
        <v>33776.449759995252</v>
      </c>
      <c r="CV154" s="1101">
        <f t="shared" si="390"/>
        <v>43631.607307122547</v>
      </c>
      <c r="CW154" s="1141">
        <f t="shared" si="331"/>
        <v>74409.562913672053</v>
      </c>
      <c r="CX154" s="1152">
        <f t="shared" si="391"/>
        <v>305260.57778872194</v>
      </c>
      <c r="CY154" s="1152">
        <f t="shared" si="392"/>
        <v>120790.12362134912</v>
      </c>
      <c r="CZ154" s="1152">
        <f t="shared" si="393"/>
        <v>87244.995517673655</v>
      </c>
      <c r="DA154" s="1152">
        <f t="shared" si="394"/>
        <v>66397.458141096984</v>
      </c>
      <c r="DB154" s="1143">
        <f t="shared" si="332"/>
        <v>0.13867070409754259</v>
      </c>
      <c r="DC154" s="1143">
        <f t="shared" si="395"/>
        <v>0.25591728766640726</v>
      </c>
      <c r="DD154" s="1098" t="s">
        <v>232</v>
      </c>
      <c r="DE154" s="1144"/>
      <c r="DF154" s="705"/>
      <c r="DG154" s="765">
        <f t="shared" si="426"/>
        <v>46082</v>
      </c>
      <c r="DH154" s="1116">
        <f t="shared" si="333"/>
        <v>28</v>
      </c>
      <c r="DI154" s="497"/>
      <c r="DJ154" s="1117">
        <f t="shared" si="396"/>
        <v>46147</v>
      </c>
      <c r="DK154" s="1116">
        <f t="shared" si="397"/>
        <v>30</v>
      </c>
      <c r="DL154" s="766" t="s">
        <v>233</v>
      </c>
      <c r="DM154" s="766" t="s">
        <v>234</v>
      </c>
      <c r="DN154" s="767">
        <f t="shared" si="334"/>
        <v>21178.798443988326</v>
      </c>
      <c r="DO154" s="767">
        <f t="shared" si="335"/>
        <v>465933.56576774316</v>
      </c>
      <c r="DP154" s="768">
        <f t="shared" si="336"/>
        <v>0.15531118858924772</v>
      </c>
      <c r="DR154" s="767">
        <f t="shared" si="337"/>
        <v>3809014.9004150839</v>
      </c>
      <c r="DS154" s="767">
        <f>SUM('[6]INTERNAL PRICELIST'!M154)</f>
        <v>2329361</v>
      </c>
      <c r="DT154" s="767">
        <f t="shared" si="398"/>
        <v>1479653.9004150839</v>
      </c>
      <c r="DV154" s="951">
        <f t="shared" si="338"/>
        <v>173137.04092795835</v>
      </c>
      <c r="DX154" s="772"/>
      <c r="DY154" s="773"/>
      <c r="DZ154" s="772"/>
      <c r="EA154" s="775"/>
      <c r="ED154" s="755" t="s">
        <v>552</v>
      </c>
      <c r="EE154" s="777" t="b">
        <f t="shared" si="340"/>
        <v>1</v>
      </c>
      <c r="EF154" s="777"/>
      <c r="EG154" s="777"/>
      <c r="EH154" s="1203"/>
      <c r="EP154" s="1230" t="s">
        <v>236</v>
      </c>
      <c r="EQ154" s="1145" t="s">
        <v>236</v>
      </c>
      <c r="ER154" s="753" t="b">
        <f t="shared" si="399"/>
        <v>1</v>
      </c>
      <c r="EU154" s="770">
        <v>2827629.65</v>
      </c>
      <c r="EV154" s="771" t="s">
        <v>236</v>
      </c>
      <c r="FJ154" s="994">
        <v>0.15</v>
      </c>
      <c r="FK154" s="993">
        <v>13153.346833306294</v>
      </c>
      <c r="FL154" s="993">
        <v>13508.842693665923</v>
      </c>
      <c r="FM154" s="497"/>
      <c r="FN154" s="993">
        <f t="shared" si="341"/>
        <v>4294664.3002180075</v>
      </c>
      <c r="FO154" s="994">
        <f t="shared" si="400"/>
        <v>0.15</v>
      </c>
      <c r="FP154" s="775">
        <f t="shared" si="342"/>
        <v>644199.64503270108</v>
      </c>
      <c r="FQ154" s="993">
        <f t="shared" si="343"/>
        <v>30000</v>
      </c>
      <c r="FR154" s="775">
        <f t="shared" si="401"/>
        <v>614199.64503270108</v>
      </c>
      <c r="FS154" s="497">
        <f t="shared" si="402"/>
        <v>40</v>
      </c>
      <c r="FT154" s="775">
        <f t="shared" si="403"/>
        <v>15354.991125817527</v>
      </c>
      <c r="FU154" s="497"/>
      <c r="FV154" s="993">
        <f t="shared" si="404"/>
        <v>4294664.3002180075</v>
      </c>
      <c r="FW154" s="705">
        <f t="shared" si="405"/>
        <v>429466.4300218008</v>
      </c>
      <c r="FX154" s="705">
        <f t="shared" si="406"/>
        <v>107366.6075054502</v>
      </c>
      <c r="FY154" s="705">
        <v>15000</v>
      </c>
      <c r="FZ154" s="705">
        <f t="shared" si="407"/>
        <v>414466.4300218008</v>
      </c>
      <c r="GA154" s="497">
        <f t="shared" si="408"/>
        <v>46</v>
      </c>
      <c r="GB154" s="775">
        <f t="shared" si="409"/>
        <v>9010.1397830826263</v>
      </c>
      <c r="GC154" s="497"/>
      <c r="GD154" s="497"/>
      <c r="GH154" s="1095">
        <f t="shared" si="307"/>
        <v>4294664.3002180075</v>
      </c>
      <c r="GI154" s="1098">
        <f t="shared" si="308"/>
        <v>0.125</v>
      </c>
      <c r="GJ154" s="1095">
        <f t="shared" si="309"/>
        <v>536833.03752725094</v>
      </c>
      <c r="GK154" s="1095">
        <f t="shared" si="310"/>
        <v>30000</v>
      </c>
      <c r="GL154" s="1095">
        <f t="shared" si="311"/>
        <v>506833.03752725094</v>
      </c>
      <c r="GM154" s="1095">
        <f t="shared" si="312"/>
        <v>29</v>
      </c>
      <c r="GN154" s="1095">
        <f t="shared" si="313"/>
        <v>17477.001294043137</v>
      </c>
      <c r="GO154" s="1098">
        <f t="shared" si="314"/>
        <v>0.875</v>
      </c>
      <c r="GP154" s="1095">
        <f t="shared" si="315"/>
        <v>3757831.2626907565</v>
      </c>
      <c r="GQ154" s="1095">
        <f t="shared" si="316"/>
        <v>29134.425781994749</v>
      </c>
      <c r="GR154" s="1095">
        <f t="shared" si="317"/>
        <v>33776.449759995252</v>
      </c>
      <c r="GS154" s="1095">
        <f t="shared" si="318"/>
        <v>43631.607307122547</v>
      </c>
      <c r="GT154" s="1095">
        <f t="shared" si="319"/>
        <v>74409.562913672053</v>
      </c>
      <c r="GU154" s="497"/>
      <c r="GV154" s="1095">
        <f t="shared" si="410"/>
        <v>4294664.3002180075</v>
      </c>
      <c r="GW154" s="1098">
        <f t="shared" si="411"/>
        <v>0.125</v>
      </c>
      <c r="GX154" s="1095">
        <f t="shared" si="412"/>
        <v>536833.03752725094</v>
      </c>
      <c r="GY154" s="1095">
        <f t="shared" si="413"/>
        <v>30000</v>
      </c>
      <c r="GZ154" s="1095">
        <f t="shared" si="414"/>
        <v>506833.03752725094</v>
      </c>
      <c r="HA154" s="1106">
        <f t="shared" si="415"/>
        <v>48</v>
      </c>
      <c r="HB154" s="770">
        <f t="shared" si="416"/>
        <v>10559.021615151061</v>
      </c>
      <c r="HC154" s="1098">
        <f t="shared" si="417"/>
        <v>0.875</v>
      </c>
      <c r="HD154" s="1102">
        <f t="shared" si="418"/>
        <v>3757831.2626907565</v>
      </c>
      <c r="HE154" s="1101">
        <f t="shared" si="419"/>
        <v>29134.425781994749</v>
      </c>
      <c r="HF154" s="1101">
        <f t="shared" si="420"/>
        <v>33776.449759995252</v>
      </c>
      <c r="HG154" s="1101">
        <f t="shared" si="421"/>
        <v>43631.607307122547</v>
      </c>
      <c r="HH154" s="1101">
        <f t="shared" si="422"/>
        <v>74409.562913672053</v>
      </c>
      <c r="HI154" s="497"/>
      <c r="HJ154" s="1102">
        <f t="shared" si="423"/>
        <v>-6917.9796788920758</v>
      </c>
      <c r="HL154" s="775"/>
      <c r="HN154" s="775"/>
      <c r="HO154" s="775"/>
      <c r="HQ154" s="702"/>
      <c r="HR154" s="1171"/>
      <c r="HS154" s="702"/>
      <c r="HT154" s="1171"/>
    </row>
    <row r="155" spans="1:228" ht="14.25" hidden="1" customHeight="1">
      <c r="A155" s="753">
        <f t="shared" si="424"/>
        <v>149</v>
      </c>
      <c r="B155" s="753"/>
      <c r="C155" s="753">
        <f t="shared" si="305"/>
        <v>25</v>
      </c>
      <c r="D155" s="753" t="s">
        <v>269</v>
      </c>
      <c r="E155" s="717" t="str">
        <f t="shared" si="344"/>
        <v>7th Floor</v>
      </c>
      <c r="F155" s="754"/>
      <c r="G155" s="756" t="s">
        <v>553</v>
      </c>
      <c r="H155" s="756"/>
      <c r="I155" s="755" t="s">
        <v>229</v>
      </c>
      <c r="J155" s="757">
        <v>22</v>
      </c>
      <c r="K155" s="758"/>
      <c r="L155" s="759" t="s">
        <v>69</v>
      </c>
      <c r="M155" s="760" t="s">
        <v>230</v>
      </c>
      <c r="N155" s="761">
        <f t="shared" si="345"/>
        <v>106005.26567735759</v>
      </c>
      <c r="O155" s="762">
        <f t="shared" si="346"/>
        <v>2332115.8449018667</v>
      </c>
      <c r="P155" s="762">
        <f t="shared" si="347"/>
        <v>22400</v>
      </c>
      <c r="Q155" s="762">
        <f t="shared" si="320"/>
        <v>50000</v>
      </c>
      <c r="R155" s="762"/>
      <c r="S155" s="762"/>
      <c r="T155" s="762"/>
      <c r="U155" s="762"/>
      <c r="V155" s="762">
        <f t="shared" ref="V155:V156" si="436">J155*$V$5</f>
        <v>55000</v>
      </c>
      <c r="W155" s="762"/>
      <c r="X155" s="762"/>
      <c r="Y155" s="762">
        <f t="shared" si="306"/>
        <v>60000</v>
      </c>
      <c r="Z155" s="762">
        <f t="shared" si="321"/>
        <v>142461</v>
      </c>
      <c r="AA155" s="762"/>
      <c r="AB155" s="762"/>
      <c r="AC155" s="762"/>
      <c r="AD155" s="763">
        <f t="shared" si="348"/>
        <v>329861</v>
      </c>
      <c r="AE155" s="763">
        <f t="shared" si="322"/>
        <v>2661976.8449018667</v>
      </c>
      <c r="AF155" s="762">
        <f t="shared" si="323"/>
        <v>66549.421122546672</v>
      </c>
      <c r="AG155" s="762">
        <f t="shared" si="349"/>
        <v>2728526.2660244135</v>
      </c>
      <c r="AH155" s="762">
        <f t="shared" si="324"/>
        <v>68213.156650610341</v>
      </c>
      <c r="AI155" s="762">
        <f t="shared" si="350"/>
        <v>2796739.4226750238</v>
      </c>
      <c r="AJ155" s="762">
        <f t="shared" si="351"/>
        <v>139836.97113375118</v>
      </c>
      <c r="AK155" s="762">
        <f t="shared" si="352"/>
        <v>2936576.3938087751</v>
      </c>
      <c r="AL155" s="762">
        <f t="shared" si="353"/>
        <v>29365.763938087752</v>
      </c>
      <c r="AM155" s="762">
        <f t="shared" si="354"/>
        <v>27537.409960060559</v>
      </c>
      <c r="AN155" s="762"/>
      <c r="AO155" s="763">
        <f t="shared" si="355"/>
        <v>2993479.5677069235</v>
      </c>
      <c r="AP155" s="763">
        <f t="shared" si="356"/>
        <v>493924.12867164239</v>
      </c>
      <c r="AQ155" s="763">
        <f t="shared" si="357"/>
        <v>3487403.6963785659</v>
      </c>
      <c r="AR155" s="1178">
        <f t="shared" si="325"/>
        <v>3000000</v>
      </c>
      <c r="AS155" s="1178">
        <f t="shared" si="358"/>
        <v>22154.713471752995</v>
      </c>
      <c r="AT155" s="1178">
        <f t="shared" si="359"/>
        <v>487403.69637856586</v>
      </c>
      <c r="AU155" s="1178">
        <f t="shared" si="326"/>
        <v>58488.4435654279</v>
      </c>
      <c r="AV155" s="1178">
        <f t="shared" si="360"/>
        <v>545892.13994399377</v>
      </c>
      <c r="AW155" s="1178">
        <f t="shared" si="361"/>
        <v>3545892.1399439937</v>
      </c>
      <c r="AX155" s="762">
        <f t="shared" si="362"/>
        <v>44323.651749299926</v>
      </c>
      <c r="AY155" s="717" t="s">
        <v>231</v>
      </c>
      <c r="AZ155" s="717">
        <f t="shared" si="363"/>
        <v>3590215.7916932935</v>
      </c>
      <c r="BA155" s="717">
        <f t="shared" si="364"/>
        <v>134633.0921884985</v>
      </c>
      <c r="BB155" s="717"/>
      <c r="BC155" s="717">
        <f t="shared" si="327"/>
        <v>33600</v>
      </c>
      <c r="BD155" s="717">
        <f t="shared" si="365"/>
        <v>3758448.883881792</v>
      </c>
      <c r="BE155" s="717"/>
      <c r="BF155" s="717">
        <f t="shared" si="366"/>
        <v>3758448.883881792</v>
      </c>
      <c r="BG155" s="1209"/>
      <c r="BH155" s="717">
        <f t="shared" si="367"/>
        <v>3758448.883881792</v>
      </c>
      <c r="BI155" s="717"/>
      <c r="BJ155" s="717">
        <f t="shared" si="368"/>
        <v>3758448.883881792</v>
      </c>
      <c r="BK155" s="717"/>
      <c r="BL155" s="717">
        <f t="shared" si="369"/>
        <v>3758448.883881792</v>
      </c>
      <c r="BM155" s="717"/>
      <c r="BN155" s="717">
        <f t="shared" si="370"/>
        <v>3758448.883881792</v>
      </c>
      <c r="BO155" s="717"/>
      <c r="BP155" s="717">
        <f t="shared" si="328"/>
        <v>3758448.883881792</v>
      </c>
      <c r="BQ155" s="717"/>
      <c r="BR155" s="717">
        <f t="shared" si="433"/>
        <v>3758448.883881792</v>
      </c>
      <c r="BS155" s="717"/>
      <c r="BT155" s="717">
        <f t="shared" si="371"/>
        <v>3758448.883881792</v>
      </c>
      <c r="BU155" s="717"/>
      <c r="BV155" s="1235">
        <f t="shared" si="434"/>
        <v>51400</v>
      </c>
      <c r="BW155" s="717">
        <f t="shared" si="372"/>
        <v>3809848.883881792</v>
      </c>
      <c r="BX155" s="717"/>
      <c r="BY155" s="717">
        <f t="shared" si="373"/>
        <v>3809848.883881792</v>
      </c>
      <c r="BZ155" s="1194">
        <f t="shared" si="374"/>
        <v>3809848.883881792</v>
      </c>
      <c r="CA155" s="1194">
        <f t="shared" si="375"/>
        <v>3039848.883881792</v>
      </c>
      <c r="CB155" s="1194">
        <v>35000</v>
      </c>
      <c r="CC155" s="1194">
        <f t="shared" si="376"/>
        <v>770000</v>
      </c>
      <c r="CD155" s="1194">
        <f t="shared" si="377"/>
        <v>92400</v>
      </c>
      <c r="CE155" s="1194">
        <f t="shared" si="378"/>
        <v>862400</v>
      </c>
      <c r="CF155" s="1200">
        <f t="shared" si="379"/>
        <v>3902248.883881792</v>
      </c>
      <c r="CG155" s="757">
        <f t="shared" si="380"/>
        <v>3902248.883881792</v>
      </c>
      <c r="CH155" s="758">
        <f t="shared" si="381"/>
        <v>0</v>
      </c>
      <c r="CI155" s="757">
        <f t="shared" si="329"/>
        <v>399980.51059788367</v>
      </c>
      <c r="CJ155" s="757">
        <f t="shared" si="330"/>
        <v>97556.222097044811</v>
      </c>
      <c r="CK155" s="759">
        <f t="shared" si="291"/>
        <v>4399785.61657672</v>
      </c>
      <c r="CL155" s="764">
        <f t="shared" si="382"/>
        <v>0.125</v>
      </c>
      <c r="CM155" s="757">
        <f t="shared" si="383"/>
        <v>549973.20207209</v>
      </c>
      <c r="CN155" s="757">
        <f t="shared" si="425"/>
        <v>30000</v>
      </c>
      <c r="CO155" s="757">
        <f t="shared" si="384"/>
        <v>519973.20207209</v>
      </c>
      <c r="CP155" s="755">
        <f t="shared" si="385"/>
        <v>29</v>
      </c>
      <c r="CQ155" s="757">
        <f t="shared" si="427"/>
        <v>17930.110416278967</v>
      </c>
      <c r="CR155" s="764">
        <f t="shared" si="386"/>
        <v>0.875</v>
      </c>
      <c r="CS155" s="757">
        <f t="shared" si="387"/>
        <v>3849812.41450463</v>
      </c>
      <c r="CT155" s="1101">
        <f t="shared" si="388"/>
        <v>29847.554672977694</v>
      </c>
      <c r="CU155" s="1101">
        <f t="shared" si="389"/>
        <v>34603.202356354035</v>
      </c>
      <c r="CV155" s="1101">
        <f t="shared" si="390"/>
        <v>44699.586472511175</v>
      </c>
      <c r="CW155" s="1141">
        <f t="shared" si="331"/>
        <v>76230.899962708601</v>
      </c>
      <c r="CX155" s="1152">
        <f t="shared" si="391"/>
        <v>312732.49911396793</v>
      </c>
      <c r="CY155" s="1152">
        <f t="shared" si="392"/>
        <v>123746.72649193047</v>
      </c>
      <c r="CZ155" s="1152">
        <f t="shared" si="393"/>
        <v>89380.507896152747</v>
      </c>
      <c r="DA155" s="1152">
        <f t="shared" si="394"/>
        <v>68022.681375031767</v>
      </c>
      <c r="DB155" s="1143">
        <f t="shared" si="332"/>
        <v>0.16246789879285528</v>
      </c>
      <c r="DC155" s="1143">
        <f t="shared" si="395"/>
        <v>0.28369831295651188</v>
      </c>
      <c r="DD155" s="1098" t="s">
        <v>232</v>
      </c>
      <c r="DE155" s="1144"/>
      <c r="DF155" s="705"/>
      <c r="DG155" s="765">
        <f t="shared" si="426"/>
        <v>46082</v>
      </c>
      <c r="DH155" s="1116">
        <f t="shared" si="333"/>
        <v>28</v>
      </c>
      <c r="DI155" s="497"/>
      <c r="DJ155" s="1117">
        <f t="shared" si="396"/>
        <v>46147</v>
      </c>
      <c r="DK155" s="1116">
        <f t="shared" si="397"/>
        <v>30</v>
      </c>
      <c r="DL155" s="766" t="s">
        <v>233</v>
      </c>
      <c r="DM155" s="766" t="s">
        <v>234</v>
      </c>
      <c r="DN155" s="767">
        <f t="shared" si="334"/>
        <v>24813.279088363353</v>
      </c>
      <c r="DO155" s="767">
        <f t="shared" si="335"/>
        <v>545892.13994399377</v>
      </c>
      <c r="DP155" s="768">
        <f t="shared" si="336"/>
        <v>0.18196404664799792</v>
      </c>
      <c r="DR155" s="767">
        <f t="shared" si="337"/>
        <v>3902248.883881792</v>
      </c>
      <c r="DS155" s="767">
        <f>SUM('[6]INTERNAL PRICELIST'!M155)</f>
        <v>2329361</v>
      </c>
      <c r="DT155" s="767">
        <f t="shared" si="398"/>
        <v>1572887.883881792</v>
      </c>
      <c r="DV155" s="951">
        <f t="shared" si="338"/>
        <v>177374.94926735418</v>
      </c>
      <c r="DX155" s="772"/>
      <c r="DY155" s="773"/>
      <c r="DZ155" s="772"/>
      <c r="EA155" s="775"/>
      <c r="ED155" s="1133" t="s">
        <v>553</v>
      </c>
      <c r="EE155" s="777" t="b">
        <f t="shared" si="340"/>
        <v>1</v>
      </c>
      <c r="EF155" s="777"/>
      <c r="EG155" s="777"/>
      <c r="EH155" s="1203"/>
      <c r="EP155" s="1230" t="s">
        <v>236</v>
      </c>
      <c r="EQ155" s="1145" t="s">
        <v>236</v>
      </c>
      <c r="ER155" s="753" t="b">
        <f t="shared" si="399"/>
        <v>1</v>
      </c>
      <c r="EU155" s="770">
        <v>3184920.9478750587</v>
      </c>
      <c r="EV155" s="771" t="s">
        <v>258</v>
      </c>
      <c r="EW155" s="775">
        <f>EU155-CG155</f>
        <v>-717327.93600673322</v>
      </c>
      <c r="FJ155" s="994">
        <v>0.15</v>
      </c>
      <c r="FK155" s="993">
        <v>13711.91816192946</v>
      </c>
      <c r="FL155" s="993">
        <v>14082.51054468431</v>
      </c>
      <c r="FM155" s="497"/>
      <c r="FN155" s="993">
        <f t="shared" si="341"/>
        <v>4399785.61657672</v>
      </c>
      <c r="FO155" s="994">
        <f t="shared" si="400"/>
        <v>0.15</v>
      </c>
      <c r="FP155" s="775">
        <f t="shared" si="342"/>
        <v>659967.84248650796</v>
      </c>
      <c r="FQ155" s="993">
        <f t="shared" si="343"/>
        <v>30000</v>
      </c>
      <c r="FR155" s="775">
        <f t="shared" si="401"/>
        <v>629967.84248650796</v>
      </c>
      <c r="FS155" s="497">
        <f t="shared" si="402"/>
        <v>40</v>
      </c>
      <c r="FT155" s="775">
        <f t="shared" si="403"/>
        <v>15749.196062162699</v>
      </c>
      <c r="FU155" s="497"/>
      <c r="FV155" s="993">
        <f t="shared" si="404"/>
        <v>4399785.61657672</v>
      </c>
      <c r="FW155" s="705">
        <f t="shared" si="405"/>
        <v>439978.56165767205</v>
      </c>
      <c r="FX155" s="705">
        <f t="shared" si="406"/>
        <v>109994.64041441801</v>
      </c>
      <c r="FY155" s="705">
        <v>15000</v>
      </c>
      <c r="FZ155" s="705">
        <f t="shared" si="407"/>
        <v>424978.56165767205</v>
      </c>
      <c r="GA155" s="497">
        <f t="shared" si="408"/>
        <v>46</v>
      </c>
      <c r="GB155" s="775">
        <f t="shared" si="409"/>
        <v>9238.664383862435</v>
      </c>
      <c r="GC155" s="497"/>
      <c r="GD155" s="497"/>
      <c r="GH155" s="1095">
        <f t="shared" si="307"/>
        <v>4399785.61657672</v>
      </c>
      <c r="GI155" s="1098">
        <f t="shared" si="308"/>
        <v>0.125</v>
      </c>
      <c r="GJ155" s="1095">
        <f t="shared" si="309"/>
        <v>549973.20207209</v>
      </c>
      <c r="GK155" s="1095">
        <f t="shared" si="310"/>
        <v>30000</v>
      </c>
      <c r="GL155" s="1095">
        <f t="shared" si="311"/>
        <v>519973.20207209</v>
      </c>
      <c r="GM155" s="1095">
        <f t="shared" si="312"/>
        <v>29</v>
      </c>
      <c r="GN155" s="1095">
        <f t="shared" si="313"/>
        <v>17930.110416278967</v>
      </c>
      <c r="GO155" s="1098">
        <f t="shared" si="314"/>
        <v>0.875</v>
      </c>
      <c r="GP155" s="1095">
        <f t="shared" si="315"/>
        <v>3849812.41450463</v>
      </c>
      <c r="GQ155" s="1095">
        <f t="shared" si="316"/>
        <v>29847.554672977694</v>
      </c>
      <c r="GR155" s="1095">
        <f t="shared" si="317"/>
        <v>34603.202356354035</v>
      </c>
      <c r="GS155" s="1095">
        <f t="shared" si="318"/>
        <v>44699.586472511175</v>
      </c>
      <c r="GT155" s="1095">
        <f t="shared" si="319"/>
        <v>76230.899962708601</v>
      </c>
      <c r="GU155" s="497"/>
      <c r="GV155" s="1095">
        <f t="shared" si="410"/>
        <v>4399785.61657672</v>
      </c>
      <c r="GW155" s="1098">
        <f t="shared" si="411"/>
        <v>0.125</v>
      </c>
      <c r="GX155" s="1095">
        <f t="shared" si="412"/>
        <v>549973.20207209</v>
      </c>
      <c r="GY155" s="1095">
        <f t="shared" si="413"/>
        <v>30000</v>
      </c>
      <c r="GZ155" s="1095">
        <f t="shared" si="414"/>
        <v>519973.20207209</v>
      </c>
      <c r="HA155" s="1106">
        <f t="shared" si="415"/>
        <v>48</v>
      </c>
      <c r="HB155" s="770">
        <f t="shared" si="416"/>
        <v>10832.775043168542</v>
      </c>
      <c r="HC155" s="1098">
        <f t="shared" si="417"/>
        <v>0.875</v>
      </c>
      <c r="HD155" s="1102">
        <f t="shared" si="418"/>
        <v>3849812.41450463</v>
      </c>
      <c r="HE155" s="1101">
        <f t="shared" si="419"/>
        <v>29847.554672977694</v>
      </c>
      <c r="HF155" s="1101">
        <f t="shared" si="420"/>
        <v>34603.202356354035</v>
      </c>
      <c r="HG155" s="1101">
        <f t="shared" si="421"/>
        <v>44699.586472511175</v>
      </c>
      <c r="HH155" s="1101">
        <f t="shared" si="422"/>
        <v>76230.899962708601</v>
      </c>
      <c r="HI155" s="497"/>
      <c r="HJ155" s="1102">
        <f t="shared" si="423"/>
        <v>-7097.3353731104253</v>
      </c>
      <c r="HL155" s="775"/>
      <c r="HN155" s="775"/>
      <c r="HO155" s="775"/>
      <c r="HQ155" s="702"/>
      <c r="HR155" s="1171"/>
      <c r="HS155" s="702"/>
      <c r="HT155" s="1171"/>
    </row>
    <row r="156" spans="1:228" ht="14.25" customHeight="1">
      <c r="A156" s="753">
        <f t="shared" si="424"/>
        <v>150</v>
      </c>
      <c r="B156" s="753" t="s">
        <v>236</v>
      </c>
      <c r="C156" s="753">
        <f t="shared" si="305"/>
        <v>26</v>
      </c>
      <c r="D156" s="753" t="s">
        <v>269</v>
      </c>
      <c r="E156" s="717" t="str">
        <f t="shared" si="344"/>
        <v>7th Floor</v>
      </c>
      <c r="F156" s="754"/>
      <c r="G156" s="756" t="s">
        <v>554</v>
      </c>
      <c r="H156" s="756"/>
      <c r="I156" s="755" t="s">
        <v>229</v>
      </c>
      <c r="J156" s="757">
        <v>22</v>
      </c>
      <c r="K156" s="758"/>
      <c r="L156" s="759" t="s">
        <v>277</v>
      </c>
      <c r="M156" s="760" t="s">
        <v>230</v>
      </c>
      <c r="N156" s="761">
        <f t="shared" si="345"/>
        <v>106005.26567735759</v>
      </c>
      <c r="O156" s="762">
        <f t="shared" si="346"/>
        <v>2332115.8449018667</v>
      </c>
      <c r="P156" s="762">
        <f t="shared" si="347"/>
        <v>22400</v>
      </c>
      <c r="Q156" s="762">
        <f t="shared" si="320"/>
        <v>50000</v>
      </c>
      <c r="R156" s="762"/>
      <c r="S156" s="762"/>
      <c r="T156" s="762"/>
      <c r="U156" s="762"/>
      <c r="V156" s="762">
        <f t="shared" si="436"/>
        <v>55000</v>
      </c>
      <c r="W156" s="762"/>
      <c r="X156" s="762"/>
      <c r="Y156" s="762">
        <f t="shared" si="306"/>
        <v>60000</v>
      </c>
      <c r="Z156" s="762">
        <f t="shared" si="321"/>
        <v>142461</v>
      </c>
      <c r="AA156" s="762"/>
      <c r="AB156" s="762"/>
      <c r="AC156" s="762"/>
      <c r="AD156" s="763">
        <f t="shared" si="348"/>
        <v>329861</v>
      </c>
      <c r="AE156" s="763">
        <f t="shared" si="322"/>
        <v>2661976.8449018667</v>
      </c>
      <c r="AF156" s="762">
        <f t="shared" si="323"/>
        <v>66549.421122546672</v>
      </c>
      <c r="AG156" s="762">
        <f t="shared" si="349"/>
        <v>2728526.2660244135</v>
      </c>
      <c r="AH156" s="762">
        <f t="shared" si="324"/>
        <v>68213.156650610341</v>
      </c>
      <c r="AI156" s="762">
        <f t="shared" si="350"/>
        <v>2796739.4226750238</v>
      </c>
      <c r="AJ156" s="762">
        <f t="shared" si="351"/>
        <v>139836.97113375118</v>
      </c>
      <c r="AK156" s="762">
        <f t="shared" si="352"/>
        <v>2936576.3938087751</v>
      </c>
      <c r="AL156" s="762">
        <f t="shared" si="353"/>
        <v>29365.763938087752</v>
      </c>
      <c r="AM156" s="762">
        <f t="shared" si="354"/>
        <v>27537.409960060559</v>
      </c>
      <c r="AN156" s="762"/>
      <c r="AO156" s="763">
        <f t="shared" si="355"/>
        <v>2993479.5677069235</v>
      </c>
      <c r="AP156" s="763">
        <f t="shared" si="356"/>
        <v>493924.12867164239</v>
      </c>
      <c r="AQ156" s="763">
        <f t="shared" si="357"/>
        <v>3487403.6963785659</v>
      </c>
      <c r="AR156" s="1178">
        <f t="shared" si="325"/>
        <v>3000000</v>
      </c>
      <c r="AS156" s="1178">
        <f t="shared" si="358"/>
        <v>22154.713471752995</v>
      </c>
      <c r="AT156" s="1178">
        <f t="shared" si="359"/>
        <v>487403.69637856586</v>
      </c>
      <c r="AU156" s="1178">
        <f t="shared" si="326"/>
        <v>58488.4435654279</v>
      </c>
      <c r="AV156" s="1178">
        <f t="shared" si="360"/>
        <v>545892.13994399377</v>
      </c>
      <c r="AW156" s="1178">
        <f t="shared" si="361"/>
        <v>3545892.1399439937</v>
      </c>
      <c r="AX156" s="762">
        <f t="shared" si="362"/>
        <v>44323.651749299926</v>
      </c>
      <c r="AY156" s="717" t="s">
        <v>231</v>
      </c>
      <c r="AZ156" s="717">
        <f t="shared" si="363"/>
        <v>3590215.7916932935</v>
      </c>
      <c r="BA156" s="717">
        <f t="shared" si="364"/>
        <v>134633.0921884985</v>
      </c>
      <c r="BB156" s="717"/>
      <c r="BC156" s="717">
        <f t="shared" si="327"/>
        <v>33600</v>
      </c>
      <c r="BD156" s="717">
        <f t="shared" si="365"/>
        <v>3758448.883881792</v>
      </c>
      <c r="BE156" s="717"/>
      <c r="BF156" s="717">
        <f t="shared" si="366"/>
        <v>3758448.883881792</v>
      </c>
      <c r="BG156" s="1209"/>
      <c r="BH156" s="717">
        <f t="shared" si="367"/>
        <v>3758448.883881792</v>
      </c>
      <c r="BI156" s="717"/>
      <c r="BJ156" s="717">
        <f t="shared" si="368"/>
        <v>3758448.883881792</v>
      </c>
      <c r="BK156" s="717"/>
      <c r="BL156" s="717">
        <f t="shared" si="369"/>
        <v>3758448.883881792</v>
      </c>
      <c r="BM156" s="717"/>
      <c r="BN156" s="717">
        <f t="shared" si="370"/>
        <v>3758448.883881792</v>
      </c>
      <c r="BO156" s="717">
        <f>$BO$5/51</f>
        <v>7289.0781490196077</v>
      </c>
      <c r="BP156" s="717">
        <f t="shared" si="328"/>
        <v>3765737.9620308117</v>
      </c>
      <c r="BQ156" s="717">
        <f>$BQ$5/56</f>
        <v>4468.4242000000004</v>
      </c>
      <c r="BR156" s="717">
        <f t="shared" si="433"/>
        <v>3770206.3862308115</v>
      </c>
      <c r="BS156" s="1234">
        <f>$BS$5/64</f>
        <v>2651.4786794501206</v>
      </c>
      <c r="BT156" s="1235">
        <f t="shared" si="371"/>
        <v>3772857.8649102617</v>
      </c>
      <c r="BU156" s="1235">
        <f>$BU$5/65</f>
        <v>211.07692307692309</v>
      </c>
      <c r="BV156" s="1235">
        <f t="shared" si="434"/>
        <v>51400</v>
      </c>
      <c r="BW156" s="717">
        <f t="shared" si="372"/>
        <v>3824468.9418333387</v>
      </c>
      <c r="BX156" s="1234">
        <f t="shared" si="435"/>
        <v>27651.078536278128</v>
      </c>
      <c r="BY156" s="717">
        <f t="shared" si="373"/>
        <v>3852120.0203696168</v>
      </c>
      <c r="BZ156" s="1194">
        <f t="shared" si="374"/>
        <v>3852120.0203696168</v>
      </c>
      <c r="CA156" s="1194">
        <f t="shared" si="375"/>
        <v>2972120.0203696168</v>
      </c>
      <c r="CB156" s="1194">
        <f>$CB$5</f>
        <v>40000</v>
      </c>
      <c r="CC156" s="1194">
        <f t="shared" si="376"/>
        <v>880000</v>
      </c>
      <c r="CD156" s="1194">
        <f t="shared" si="377"/>
        <v>105600</v>
      </c>
      <c r="CE156" s="1194">
        <f t="shared" si="378"/>
        <v>985600</v>
      </c>
      <c r="CF156" s="1200">
        <f t="shared" si="379"/>
        <v>3957720.0203696168</v>
      </c>
      <c r="CG156" s="757">
        <f t="shared" si="380"/>
        <v>3957720.0203696168</v>
      </c>
      <c r="CH156" s="758">
        <f t="shared" si="381"/>
        <v>0</v>
      </c>
      <c r="CI156" s="757">
        <f t="shared" si="329"/>
        <v>405666.30208788568</v>
      </c>
      <c r="CJ156" s="757">
        <f t="shared" si="330"/>
        <v>98943.000509240432</v>
      </c>
      <c r="CK156" s="759">
        <f t="shared" si="291"/>
        <v>4462329.3229667433</v>
      </c>
      <c r="CL156" s="764">
        <f t="shared" si="382"/>
        <v>0.125</v>
      </c>
      <c r="CM156" s="757">
        <f t="shared" si="383"/>
        <v>557791.16537084291</v>
      </c>
      <c r="CN156" s="757">
        <f t="shared" si="425"/>
        <v>30000</v>
      </c>
      <c r="CO156" s="757">
        <f t="shared" si="384"/>
        <v>527791.16537084291</v>
      </c>
      <c r="CP156" s="755">
        <f t="shared" si="385"/>
        <v>29</v>
      </c>
      <c r="CQ156" s="757">
        <f t="shared" si="427"/>
        <v>18199.695357615274</v>
      </c>
      <c r="CR156" s="764">
        <f t="shared" si="386"/>
        <v>0.875</v>
      </c>
      <c r="CS156" s="757">
        <f t="shared" si="387"/>
        <v>3904538.1575959004</v>
      </c>
      <c r="CT156" s="1101">
        <f t="shared" si="388"/>
        <v>30271.842776673831</v>
      </c>
      <c r="CU156" s="1101">
        <f t="shared" si="389"/>
        <v>35095.092806692439</v>
      </c>
      <c r="CV156" s="1101">
        <f t="shared" si="390"/>
        <v>45334.998752954823</v>
      </c>
      <c r="CW156" s="1141">
        <f t="shared" si="331"/>
        <v>77314.535266927007</v>
      </c>
      <c r="CX156" s="1152">
        <f t="shared" si="391"/>
        <v>317178.04517182801</v>
      </c>
      <c r="CY156" s="1152">
        <f t="shared" si="392"/>
        <v>125505.80741152755</v>
      </c>
      <c r="CZ156" s="1152">
        <f t="shared" si="393"/>
        <v>90651.067130172334</v>
      </c>
      <c r="DA156" s="1152">
        <f t="shared" si="394"/>
        <v>68989.635445646752</v>
      </c>
      <c r="DB156" s="1143">
        <f t="shared" si="332"/>
        <v>0.16246789879285528</v>
      </c>
      <c r="DC156" s="1143">
        <f t="shared" si="395"/>
        <v>0.33161514112657853</v>
      </c>
      <c r="DD156" s="1098" t="s">
        <v>232</v>
      </c>
      <c r="DE156" s="1144"/>
      <c r="DF156" s="705"/>
      <c r="DG156" s="765">
        <f t="shared" si="426"/>
        <v>46082</v>
      </c>
      <c r="DH156" s="1116">
        <f t="shared" si="333"/>
        <v>28</v>
      </c>
      <c r="DI156" s="497"/>
      <c r="DJ156" s="1117">
        <f t="shared" si="396"/>
        <v>46147</v>
      </c>
      <c r="DK156" s="1116">
        <f t="shared" si="397"/>
        <v>30</v>
      </c>
      <c r="DL156" s="766" t="s">
        <v>233</v>
      </c>
      <c r="DM156" s="766" t="s">
        <v>234</v>
      </c>
      <c r="DN156" s="767">
        <f t="shared" si="334"/>
        <v>24813.279088363353</v>
      </c>
      <c r="DO156" s="767">
        <f t="shared" si="335"/>
        <v>545892.13994399377</v>
      </c>
      <c r="DP156" s="768">
        <f t="shared" si="336"/>
        <v>0.18196404664799792</v>
      </c>
      <c r="DR156" s="767">
        <f t="shared" si="337"/>
        <v>3957720.0203696168</v>
      </c>
      <c r="DS156" s="767">
        <f>SUM('[6]INTERNAL PRICELIST'!M156)</f>
        <v>2329361</v>
      </c>
      <c r="DT156" s="767">
        <f t="shared" si="398"/>
        <v>1628359.0203696168</v>
      </c>
      <c r="DV156" s="951">
        <f t="shared" si="338"/>
        <v>179896.3645622553</v>
      </c>
      <c r="DX156" s="772"/>
      <c r="DY156" s="773"/>
      <c r="DZ156" s="772"/>
      <c r="EA156" s="775"/>
      <c r="ED156" s="1133" t="s">
        <v>554</v>
      </c>
      <c r="EE156" s="777" t="b">
        <f t="shared" si="340"/>
        <v>1</v>
      </c>
      <c r="EF156" s="1123" t="s">
        <v>555</v>
      </c>
      <c r="EG156" s="1123" t="s">
        <v>515</v>
      </c>
      <c r="EH156" s="1203"/>
      <c r="EP156" s="1230" t="s">
        <v>258</v>
      </c>
      <c r="EQ156" s="1145" t="s">
        <v>258</v>
      </c>
      <c r="ER156" s="753" t="b">
        <f t="shared" si="399"/>
        <v>1</v>
      </c>
      <c r="EU156" s="770">
        <v>2221760</v>
      </c>
      <c r="EV156" s="771" t="s">
        <v>236</v>
      </c>
      <c r="FJ156" s="994">
        <v>0.15</v>
      </c>
      <c r="FK156" s="993">
        <v>13711.91816192946</v>
      </c>
      <c r="FL156" s="993">
        <v>14082.51054468431</v>
      </c>
      <c r="FM156" s="497"/>
      <c r="FN156" s="993">
        <f t="shared" si="341"/>
        <v>4462329.3229667433</v>
      </c>
      <c r="FO156" s="994">
        <f>FJ156</f>
        <v>0.15</v>
      </c>
      <c r="FP156" s="775">
        <f t="shared" si="342"/>
        <v>669349.39844501147</v>
      </c>
      <c r="FQ156" s="993">
        <f t="shared" si="343"/>
        <v>30000</v>
      </c>
      <c r="FR156" s="775">
        <f t="shared" si="401"/>
        <v>639349.39844501147</v>
      </c>
      <c r="FS156" s="497">
        <f t="shared" si="402"/>
        <v>40</v>
      </c>
      <c r="FT156" s="775">
        <f t="shared" si="403"/>
        <v>15983.734961125287</v>
      </c>
      <c r="FU156" s="497"/>
      <c r="FV156" s="993">
        <f t="shared" si="404"/>
        <v>4462329.3229667433</v>
      </c>
      <c r="FW156" s="705">
        <f t="shared" si="405"/>
        <v>446232.93229667435</v>
      </c>
      <c r="FX156" s="705">
        <f t="shared" si="406"/>
        <v>111558.23307416859</v>
      </c>
      <c r="FY156" s="705">
        <v>15000</v>
      </c>
      <c r="FZ156" s="705">
        <f t="shared" si="407"/>
        <v>431232.93229667435</v>
      </c>
      <c r="GA156" s="497">
        <f t="shared" si="408"/>
        <v>46</v>
      </c>
      <c r="GB156" s="775">
        <f t="shared" si="409"/>
        <v>9374.628962971181</v>
      </c>
      <c r="GC156" s="497"/>
      <c r="GD156" s="497"/>
      <c r="GH156" s="1095">
        <f t="shared" si="307"/>
        <v>4462329.3229667433</v>
      </c>
      <c r="GI156" s="1098">
        <f t="shared" si="308"/>
        <v>0.125</v>
      </c>
      <c r="GJ156" s="1095">
        <f t="shared" si="309"/>
        <v>557791.16537084291</v>
      </c>
      <c r="GK156" s="1095">
        <f t="shared" si="310"/>
        <v>30000</v>
      </c>
      <c r="GL156" s="1095">
        <f t="shared" si="311"/>
        <v>527791.16537084291</v>
      </c>
      <c r="GM156" s="1095">
        <f t="shared" si="312"/>
        <v>29</v>
      </c>
      <c r="GN156" s="1095">
        <f t="shared" si="313"/>
        <v>18199.695357615274</v>
      </c>
      <c r="GO156" s="1098">
        <f t="shared" si="314"/>
        <v>0.875</v>
      </c>
      <c r="GP156" s="1095">
        <f t="shared" si="315"/>
        <v>3904538.1575959004</v>
      </c>
      <c r="GQ156" s="1095">
        <f t="shared" si="316"/>
        <v>30271.842776673831</v>
      </c>
      <c r="GR156" s="1095">
        <f t="shared" si="317"/>
        <v>35095.092806692439</v>
      </c>
      <c r="GS156" s="1095">
        <f t="shared" si="318"/>
        <v>45334.998752954823</v>
      </c>
      <c r="GT156" s="1095">
        <f t="shared" si="319"/>
        <v>77314.535266927007</v>
      </c>
      <c r="GU156" s="497"/>
      <c r="GV156" s="1095">
        <f t="shared" si="410"/>
        <v>4462329.3229667433</v>
      </c>
      <c r="GW156" s="1098">
        <f t="shared" si="411"/>
        <v>0.125</v>
      </c>
      <c r="GX156" s="1095">
        <f t="shared" si="412"/>
        <v>557791.16537084291</v>
      </c>
      <c r="GY156" s="1095">
        <f t="shared" si="413"/>
        <v>30000</v>
      </c>
      <c r="GZ156" s="1095">
        <f t="shared" si="414"/>
        <v>527791.16537084291</v>
      </c>
      <c r="HA156" s="1106">
        <f t="shared" si="415"/>
        <v>48</v>
      </c>
      <c r="HB156" s="770">
        <f t="shared" si="416"/>
        <v>10995.649278559227</v>
      </c>
      <c r="HC156" s="1098">
        <f t="shared" si="417"/>
        <v>0.875</v>
      </c>
      <c r="HD156" s="1102">
        <f t="shared" si="418"/>
        <v>3904538.1575959004</v>
      </c>
      <c r="HE156" s="1101">
        <f t="shared" si="419"/>
        <v>30271.842776673831</v>
      </c>
      <c r="HF156" s="1101">
        <f t="shared" si="420"/>
        <v>35095.092806692439</v>
      </c>
      <c r="HG156" s="1101">
        <f t="shared" si="421"/>
        <v>45334.998752954823</v>
      </c>
      <c r="HH156" s="1101">
        <f t="shared" si="422"/>
        <v>77314.535266927007</v>
      </c>
      <c r="HI156" s="497"/>
      <c r="HJ156" s="1102">
        <f t="shared" si="423"/>
        <v>-7204.0460790560464</v>
      </c>
      <c r="HL156" s="775"/>
      <c r="HN156" s="775"/>
      <c r="HO156" s="775"/>
      <c r="HQ156" s="702"/>
      <c r="HR156" s="1171"/>
      <c r="HS156" s="702"/>
      <c r="HT156" s="1171"/>
    </row>
    <row r="157" spans="1:228" ht="14.25" hidden="1" customHeight="1">
      <c r="A157" s="753">
        <f t="shared" si="424"/>
        <v>151</v>
      </c>
      <c r="B157" s="753" t="s">
        <v>236</v>
      </c>
      <c r="C157" s="753">
        <f t="shared" si="305"/>
        <v>27</v>
      </c>
      <c r="D157" s="753" t="s">
        <v>269</v>
      </c>
      <c r="E157" s="717" t="str">
        <f t="shared" si="344"/>
        <v>7th Floor</v>
      </c>
      <c r="F157" s="754"/>
      <c r="G157" s="756" t="s">
        <v>556</v>
      </c>
      <c r="H157" s="756"/>
      <c r="I157" s="755" t="s">
        <v>229</v>
      </c>
      <c r="J157" s="757">
        <v>22</v>
      </c>
      <c r="K157" s="758"/>
      <c r="L157" s="759" t="s">
        <v>277</v>
      </c>
      <c r="M157" s="760" t="s">
        <v>278</v>
      </c>
      <c r="N157" s="761">
        <f t="shared" si="345"/>
        <v>106005.26567735759</v>
      </c>
      <c r="O157" s="762">
        <f t="shared" si="346"/>
        <v>2332115.8449018667</v>
      </c>
      <c r="P157" s="762">
        <f t="shared" si="347"/>
        <v>22400</v>
      </c>
      <c r="Q157" s="762">
        <f t="shared" si="320"/>
        <v>50000</v>
      </c>
      <c r="R157" s="762"/>
      <c r="S157" s="762"/>
      <c r="T157" s="762"/>
      <c r="U157" s="762"/>
      <c r="V157" s="762"/>
      <c r="W157" s="762">
        <f t="shared" ref="W157:W158" si="437">J157*$W$5</f>
        <v>22000</v>
      </c>
      <c r="X157" s="762"/>
      <c r="Y157" s="762">
        <f t="shared" si="306"/>
        <v>60000</v>
      </c>
      <c r="Z157" s="762">
        <f t="shared" si="321"/>
        <v>142461</v>
      </c>
      <c r="AA157" s="762"/>
      <c r="AB157" s="762"/>
      <c r="AC157" s="762"/>
      <c r="AD157" s="763">
        <f t="shared" si="348"/>
        <v>296861</v>
      </c>
      <c r="AE157" s="763">
        <f t="shared" si="322"/>
        <v>2628976.8449018667</v>
      </c>
      <c r="AF157" s="762">
        <f t="shared" si="323"/>
        <v>65724.421122546672</v>
      </c>
      <c r="AG157" s="762">
        <f t="shared" si="349"/>
        <v>2694701.2660244135</v>
      </c>
      <c r="AH157" s="762">
        <f t="shared" si="324"/>
        <v>67367.531650610341</v>
      </c>
      <c r="AI157" s="762">
        <f t="shared" si="350"/>
        <v>2762068.7976750238</v>
      </c>
      <c r="AJ157" s="762">
        <f t="shared" si="351"/>
        <v>138103.43988375118</v>
      </c>
      <c r="AK157" s="762">
        <f t="shared" si="352"/>
        <v>2900172.2375587751</v>
      </c>
      <c r="AL157" s="762">
        <f t="shared" si="353"/>
        <v>29001.722375587753</v>
      </c>
      <c r="AM157" s="762">
        <f t="shared" si="354"/>
        <v>27537.409960060559</v>
      </c>
      <c r="AN157" s="762"/>
      <c r="AO157" s="763">
        <f t="shared" si="355"/>
        <v>2956711.3698944231</v>
      </c>
      <c r="AP157" s="763">
        <f t="shared" si="356"/>
        <v>487857.37603257981</v>
      </c>
      <c r="AQ157" s="763">
        <f t="shared" si="357"/>
        <v>3444568.7459270027</v>
      </c>
      <c r="AR157" s="1178">
        <f t="shared" si="325"/>
        <v>3000000</v>
      </c>
      <c r="AS157" s="1178">
        <f t="shared" si="358"/>
        <v>20207.670269409216</v>
      </c>
      <c r="AT157" s="1178">
        <f t="shared" si="359"/>
        <v>444568.74592700275</v>
      </c>
      <c r="AU157" s="1178">
        <f t="shared" si="326"/>
        <v>53348.249511240327</v>
      </c>
      <c r="AV157" s="1178">
        <f t="shared" si="360"/>
        <v>497916.99543824309</v>
      </c>
      <c r="AW157" s="1178">
        <f t="shared" si="361"/>
        <v>3497916.9954382433</v>
      </c>
      <c r="AX157" s="762">
        <f t="shared" si="362"/>
        <v>43723.962442978045</v>
      </c>
      <c r="AY157" s="717" t="s">
        <v>231</v>
      </c>
      <c r="AZ157" s="717">
        <f t="shared" si="363"/>
        <v>3541640.9578812211</v>
      </c>
      <c r="BA157" s="717">
        <f t="shared" si="364"/>
        <v>132811.53592054578</v>
      </c>
      <c r="BB157" s="717"/>
      <c r="BC157" s="717">
        <f t="shared" si="327"/>
        <v>33600</v>
      </c>
      <c r="BD157" s="717">
        <f t="shared" si="365"/>
        <v>3708052.493801767</v>
      </c>
      <c r="BE157" s="717"/>
      <c r="BF157" s="717">
        <f t="shared" si="366"/>
        <v>3708052.493801767</v>
      </c>
      <c r="BG157" s="1209"/>
      <c r="BH157" s="717">
        <f t="shared" si="367"/>
        <v>3708052.493801767</v>
      </c>
      <c r="BI157" s="717"/>
      <c r="BJ157" s="717">
        <f t="shared" si="368"/>
        <v>3708052.493801767</v>
      </c>
      <c r="BK157" s="717"/>
      <c r="BL157" s="717">
        <f t="shared" si="369"/>
        <v>3708052.493801767</v>
      </c>
      <c r="BM157" s="717"/>
      <c r="BN157" s="717">
        <f t="shared" si="370"/>
        <v>3708052.493801767</v>
      </c>
      <c r="BO157" s="717"/>
      <c r="BP157" s="717">
        <f t="shared" si="328"/>
        <v>3708052.493801767</v>
      </c>
      <c r="BQ157" s="717"/>
      <c r="BR157" s="717">
        <f t="shared" si="433"/>
        <v>3708052.493801767</v>
      </c>
      <c r="BS157" s="717"/>
      <c r="BT157" s="717">
        <f t="shared" si="371"/>
        <v>3708052.493801767</v>
      </c>
      <c r="BU157" s="717"/>
      <c r="BV157" s="1235">
        <f t="shared" si="434"/>
        <v>51400</v>
      </c>
      <c r="BW157" s="717">
        <f t="shared" si="372"/>
        <v>3759452.493801767</v>
      </c>
      <c r="BX157" s="717"/>
      <c r="BY157" s="717">
        <f t="shared" si="373"/>
        <v>3759452.493801767</v>
      </c>
      <c r="BZ157" s="1194">
        <f t="shared" si="374"/>
        <v>3759452.493801767</v>
      </c>
      <c r="CA157" s="1194">
        <f t="shared" si="375"/>
        <v>3022452.493801767</v>
      </c>
      <c r="CB157" s="1194">
        <v>33500</v>
      </c>
      <c r="CC157" s="1194">
        <f t="shared" si="376"/>
        <v>737000</v>
      </c>
      <c r="CD157" s="1194">
        <f t="shared" si="377"/>
        <v>88440</v>
      </c>
      <c r="CE157" s="1194">
        <f t="shared" si="378"/>
        <v>825440</v>
      </c>
      <c r="CF157" s="1200">
        <f t="shared" si="379"/>
        <v>3847892.493801767</v>
      </c>
      <c r="CG157" s="757">
        <f t="shared" si="380"/>
        <v>3847892.493801767</v>
      </c>
      <c r="CH157" s="758">
        <f t="shared" si="381"/>
        <v>0</v>
      </c>
      <c r="CI157" s="757">
        <f t="shared" si="329"/>
        <v>394408.98061468109</v>
      </c>
      <c r="CJ157" s="757">
        <f t="shared" si="330"/>
        <v>96197.312345044178</v>
      </c>
      <c r="CK157" s="759">
        <f t="shared" si="291"/>
        <v>4338498.7867614916</v>
      </c>
      <c r="CL157" s="764">
        <f t="shared" si="382"/>
        <v>0.125</v>
      </c>
      <c r="CM157" s="757">
        <f t="shared" si="383"/>
        <v>542312.34834518644</v>
      </c>
      <c r="CN157" s="757">
        <f t="shared" si="425"/>
        <v>30000</v>
      </c>
      <c r="CO157" s="757">
        <f t="shared" si="384"/>
        <v>512312.34834518644</v>
      </c>
      <c r="CP157" s="755">
        <f t="shared" si="385"/>
        <v>29</v>
      </c>
      <c r="CQ157" s="757">
        <f t="shared" si="427"/>
        <v>17665.943046385739</v>
      </c>
      <c r="CR157" s="764">
        <f t="shared" si="386"/>
        <v>0.875</v>
      </c>
      <c r="CS157" s="757">
        <f t="shared" si="387"/>
        <v>3796186.438416305</v>
      </c>
      <c r="CT157" s="1101">
        <f t="shared" si="388"/>
        <v>29431.793051149678</v>
      </c>
      <c r="CU157" s="1101">
        <f t="shared" si="389"/>
        <v>34121.196922751609</v>
      </c>
      <c r="CV157" s="1101">
        <f t="shared" si="390"/>
        <v>44076.943419488205</v>
      </c>
      <c r="CW157" s="1141">
        <f t="shared" si="331"/>
        <v>75169.041363263648</v>
      </c>
      <c r="CX157" s="1152">
        <f t="shared" si="391"/>
        <v>308376.29062538221</v>
      </c>
      <c r="CY157" s="1152">
        <f t="shared" si="392"/>
        <v>122022.99601330697</v>
      </c>
      <c r="CZ157" s="1152">
        <f t="shared" si="393"/>
        <v>88135.481784973206</v>
      </c>
      <c r="DA157" s="1152">
        <f t="shared" si="394"/>
        <v>67075.159186382327</v>
      </c>
      <c r="DB157" s="1143">
        <f t="shared" si="332"/>
        <v>0.14818958197566759</v>
      </c>
      <c r="DC157" s="1143">
        <f t="shared" si="395"/>
        <v>0.2731027209502066</v>
      </c>
      <c r="DD157" s="1098" t="s">
        <v>232</v>
      </c>
      <c r="DE157" s="1144"/>
      <c r="DF157" s="705"/>
      <c r="DG157" s="765">
        <f t="shared" si="426"/>
        <v>46082</v>
      </c>
      <c r="DH157" s="1116">
        <f t="shared" si="333"/>
        <v>28</v>
      </c>
      <c r="DI157" s="497"/>
      <c r="DJ157" s="1117">
        <f t="shared" si="396"/>
        <v>46147</v>
      </c>
      <c r="DK157" s="1116">
        <f t="shared" si="397"/>
        <v>30</v>
      </c>
      <c r="DL157" s="766" t="s">
        <v>233</v>
      </c>
      <c r="DM157" s="766" t="s">
        <v>234</v>
      </c>
      <c r="DN157" s="767">
        <f t="shared" si="334"/>
        <v>22632.590701738322</v>
      </c>
      <c r="DO157" s="767">
        <f t="shared" si="335"/>
        <v>497916.99543824309</v>
      </c>
      <c r="DP157" s="768">
        <f t="shared" si="336"/>
        <v>0.1659723318127477</v>
      </c>
      <c r="DR157" s="767">
        <f t="shared" si="337"/>
        <v>3847892.493801767</v>
      </c>
      <c r="DS157" s="767">
        <f>SUM('[6]INTERNAL PRICELIST'!M157)</f>
        <v>2331316</v>
      </c>
      <c r="DT157" s="767">
        <f t="shared" si="398"/>
        <v>1516576.493801767</v>
      </c>
      <c r="DV157" s="951">
        <f t="shared" si="338"/>
        <v>174904.20426371667</v>
      </c>
      <c r="DX157" s="772"/>
      <c r="DY157" s="773"/>
      <c r="DZ157" s="772"/>
      <c r="EA157" s="775"/>
      <c r="ED157" s="755" t="s">
        <v>556</v>
      </c>
      <c r="EE157" s="777" t="b">
        <f t="shared" si="340"/>
        <v>1</v>
      </c>
      <c r="EF157" s="1123" t="s">
        <v>557</v>
      </c>
      <c r="EG157" s="1123" t="s">
        <v>515</v>
      </c>
      <c r="EH157" s="1203"/>
      <c r="EP157" s="1230" t="s">
        <v>236</v>
      </c>
      <c r="EQ157" s="1145" t="s">
        <v>236</v>
      </c>
      <c r="ER157" s="753" t="b">
        <f t="shared" si="399"/>
        <v>1</v>
      </c>
      <c r="EU157" s="770">
        <v>3085530.8324007285</v>
      </c>
      <c r="EV157" s="771" t="s">
        <v>258</v>
      </c>
      <c r="EW157" s="775">
        <f>EU157-CG157</f>
        <v>-762361.66140103852</v>
      </c>
      <c r="EY157" s="775">
        <v>3052563.7514302991</v>
      </c>
      <c r="FJ157" s="994">
        <v>0.125</v>
      </c>
      <c r="FK157" s="993">
        <v>10997.154993100912</v>
      </c>
      <c r="FL157" s="993">
        <v>11294.375398319857</v>
      </c>
      <c r="FM157" s="497"/>
      <c r="FN157" s="993">
        <f t="shared" si="341"/>
        <v>4338498.7867614916</v>
      </c>
      <c r="FO157" s="994">
        <f t="shared" si="400"/>
        <v>0.15</v>
      </c>
      <c r="FP157" s="775">
        <f t="shared" si="342"/>
        <v>650774.81801422371</v>
      </c>
      <c r="FQ157" s="993">
        <f t="shared" si="343"/>
        <v>30000</v>
      </c>
      <c r="FR157" s="775">
        <f t="shared" si="401"/>
        <v>620774.81801422371</v>
      </c>
      <c r="FS157" s="497">
        <f t="shared" si="402"/>
        <v>40</v>
      </c>
      <c r="FT157" s="775">
        <f t="shared" si="403"/>
        <v>15519.370450355593</v>
      </c>
      <c r="FU157" s="497"/>
      <c r="FV157" s="993">
        <f t="shared" si="404"/>
        <v>4338498.7867614916</v>
      </c>
      <c r="FW157" s="705">
        <f t="shared" si="405"/>
        <v>433849.87867614918</v>
      </c>
      <c r="FX157" s="705">
        <f t="shared" si="406"/>
        <v>108462.46966903729</v>
      </c>
      <c r="FY157" s="705">
        <v>15000</v>
      </c>
      <c r="FZ157" s="705">
        <f t="shared" si="407"/>
        <v>418849.87867614918</v>
      </c>
      <c r="GA157" s="497">
        <f t="shared" si="408"/>
        <v>46</v>
      </c>
      <c r="GB157" s="775">
        <f t="shared" si="409"/>
        <v>9105.4321451336782</v>
      </c>
      <c r="GC157" s="497"/>
      <c r="GD157" s="497"/>
      <c r="GH157" s="1095">
        <f t="shared" si="307"/>
        <v>4338498.7867614916</v>
      </c>
      <c r="GI157" s="1098">
        <f t="shared" si="308"/>
        <v>0.125</v>
      </c>
      <c r="GJ157" s="1095">
        <f t="shared" si="309"/>
        <v>542312.34834518644</v>
      </c>
      <c r="GK157" s="1095">
        <f t="shared" si="310"/>
        <v>30000</v>
      </c>
      <c r="GL157" s="1095">
        <f t="shared" si="311"/>
        <v>512312.34834518644</v>
      </c>
      <c r="GM157" s="1095">
        <f t="shared" si="312"/>
        <v>29</v>
      </c>
      <c r="GN157" s="1095">
        <f t="shared" si="313"/>
        <v>17665.943046385739</v>
      </c>
      <c r="GO157" s="1098">
        <f t="shared" si="314"/>
        <v>0.875</v>
      </c>
      <c r="GP157" s="1095">
        <f t="shared" si="315"/>
        <v>3796186.438416305</v>
      </c>
      <c r="GQ157" s="1095">
        <f t="shared" si="316"/>
        <v>29431.793051149678</v>
      </c>
      <c r="GR157" s="1095">
        <f t="shared" si="317"/>
        <v>34121.196922751609</v>
      </c>
      <c r="GS157" s="1095">
        <f t="shared" si="318"/>
        <v>44076.943419488205</v>
      </c>
      <c r="GT157" s="1095">
        <f t="shared" si="319"/>
        <v>75169.041363263648</v>
      </c>
      <c r="GU157" s="497"/>
      <c r="GV157" s="1095">
        <f t="shared" si="410"/>
        <v>4338498.7867614916</v>
      </c>
      <c r="GW157" s="1098">
        <f t="shared" si="411"/>
        <v>0.125</v>
      </c>
      <c r="GX157" s="1095">
        <f t="shared" si="412"/>
        <v>542312.34834518644</v>
      </c>
      <c r="GY157" s="1095">
        <f t="shared" si="413"/>
        <v>30000</v>
      </c>
      <c r="GZ157" s="1095">
        <f t="shared" si="414"/>
        <v>512312.34834518644</v>
      </c>
      <c r="HA157" s="1106">
        <f t="shared" si="415"/>
        <v>48</v>
      </c>
      <c r="HB157" s="770">
        <f t="shared" si="416"/>
        <v>10673.17392385805</v>
      </c>
      <c r="HC157" s="1098">
        <f t="shared" si="417"/>
        <v>0.875</v>
      </c>
      <c r="HD157" s="1102">
        <f t="shared" si="418"/>
        <v>3796186.438416305</v>
      </c>
      <c r="HE157" s="1101">
        <f t="shared" si="419"/>
        <v>29431.793051149678</v>
      </c>
      <c r="HF157" s="1101">
        <f t="shared" si="420"/>
        <v>34121.196922751609</v>
      </c>
      <c r="HG157" s="1101">
        <f t="shared" si="421"/>
        <v>44076.943419488205</v>
      </c>
      <c r="HH157" s="1101">
        <f t="shared" si="422"/>
        <v>75169.041363263648</v>
      </c>
      <c r="HI157" s="497"/>
      <c r="HJ157" s="1102">
        <f t="shared" si="423"/>
        <v>-6992.7691225276885</v>
      </c>
      <c r="HL157" s="775"/>
      <c r="HN157" s="775"/>
      <c r="HO157" s="775"/>
      <c r="HQ157" s="702"/>
      <c r="HR157" s="1171"/>
      <c r="HS157" s="702"/>
      <c r="HT157" s="1171"/>
    </row>
    <row r="158" spans="1:228" ht="14.25" hidden="1" customHeight="1">
      <c r="A158" s="753">
        <f t="shared" si="424"/>
        <v>152</v>
      </c>
      <c r="B158" s="753"/>
      <c r="C158" s="753">
        <f t="shared" si="305"/>
        <v>28</v>
      </c>
      <c r="D158" s="753" t="s">
        <v>269</v>
      </c>
      <c r="E158" s="717" t="str">
        <f t="shared" si="344"/>
        <v>7th Floor</v>
      </c>
      <c r="F158" s="754"/>
      <c r="G158" s="756" t="s">
        <v>558</v>
      </c>
      <c r="H158" s="756"/>
      <c r="I158" s="755" t="s">
        <v>229</v>
      </c>
      <c r="J158" s="757">
        <v>22</v>
      </c>
      <c r="K158" s="758"/>
      <c r="L158" s="759" t="s">
        <v>277</v>
      </c>
      <c r="M158" s="760" t="s">
        <v>278</v>
      </c>
      <c r="N158" s="761">
        <f t="shared" si="345"/>
        <v>106005.26567735759</v>
      </c>
      <c r="O158" s="762">
        <f t="shared" si="346"/>
        <v>2332115.8449018667</v>
      </c>
      <c r="P158" s="762">
        <f t="shared" si="347"/>
        <v>22400</v>
      </c>
      <c r="Q158" s="762">
        <f t="shared" si="320"/>
        <v>50000</v>
      </c>
      <c r="R158" s="762"/>
      <c r="S158" s="762"/>
      <c r="T158" s="762"/>
      <c r="U158" s="762"/>
      <c r="V158" s="762"/>
      <c r="W158" s="762">
        <f t="shared" si="437"/>
        <v>22000</v>
      </c>
      <c r="X158" s="762"/>
      <c r="Y158" s="762">
        <f t="shared" si="306"/>
        <v>60000</v>
      </c>
      <c r="Z158" s="762">
        <f t="shared" si="321"/>
        <v>142461</v>
      </c>
      <c r="AA158" s="762"/>
      <c r="AB158" s="762"/>
      <c r="AC158" s="762"/>
      <c r="AD158" s="763">
        <f t="shared" si="348"/>
        <v>296861</v>
      </c>
      <c r="AE158" s="763">
        <f t="shared" si="322"/>
        <v>2628976.8449018667</v>
      </c>
      <c r="AF158" s="762">
        <f t="shared" si="323"/>
        <v>65724.421122546672</v>
      </c>
      <c r="AG158" s="762">
        <f t="shared" si="349"/>
        <v>2694701.2660244135</v>
      </c>
      <c r="AH158" s="762">
        <f t="shared" si="324"/>
        <v>67367.531650610341</v>
      </c>
      <c r="AI158" s="762">
        <f t="shared" si="350"/>
        <v>2762068.7976750238</v>
      </c>
      <c r="AJ158" s="762">
        <f t="shared" si="351"/>
        <v>138103.43988375118</v>
      </c>
      <c r="AK158" s="762">
        <f t="shared" si="352"/>
        <v>2900172.2375587751</v>
      </c>
      <c r="AL158" s="762">
        <f t="shared" si="353"/>
        <v>29001.722375587753</v>
      </c>
      <c r="AM158" s="762">
        <f t="shared" si="354"/>
        <v>27537.409960060559</v>
      </c>
      <c r="AN158" s="762"/>
      <c r="AO158" s="763">
        <f t="shared" si="355"/>
        <v>2956711.3698944231</v>
      </c>
      <c r="AP158" s="763">
        <f t="shared" si="356"/>
        <v>487857.37603257981</v>
      </c>
      <c r="AQ158" s="763">
        <f t="shared" si="357"/>
        <v>3444568.7459270027</v>
      </c>
      <c r="AR158" s="1178">
        <f t="shared" si="325"/>
        <v>3000000</v>
      </c>
      <c r="AS158" s="1178">
        <f t="shared" si="358"/>
        <v>20207.670269409216</v>
      </c>
      <c r="AT158" s="1178">
        <f t="shared" si="359"/>
        <v>444568.74592700275</v>
      </c>
      <c r="AU158" s="1178">
        <f t="shared" si="326"/>
        <v>53348.249511240327</v>
      </c>
      <c r="AV158" s="1178">
        <f t="shared" si="360"/>
        <v>497916.99543824309</v>
      </c>
      <c r="AW158" s="1178">
        <f t="shared" si="361"/>
        <v>3497916.9954382433</v>
      </c>
      <c r="AX158" s="762">
        <f t="shared" si="362"/>
        <v>43723.962442978045</v>
      </c>
      <c r="AY158" s="717" t="s">
        <v>231</v>
      </c>
      <c r="AZ158" s="717">
        <f t="shared" si="363"/>
        <v>3541640.9578812211</v>
      </c>
      <c r="BA158" s="717">
        <f t="shared" si="364"/>
        <v>132811.53592054578</v>
      </c>
      <c r="BB158" s="717"/>
      <c r="BC158" s="717">
        <f t="shared" si="327"/>
        <v>33600</v>
      </c>
      <c r="BD158" s="717">
        <f t="shared" si="365"/>
        <v>3708052.493801767</v>
      </c>
      <c r="BE158" s="717"/>
      <c r="BF158" s="717">
        <f t="shared" si="366"/>
        <v>3708052.493801767</v>
      </c>
      <c r="BG158" s="1209"/>
      <c r="BH158" s="717">
        <f t="shared" si="367"/>
        <v>3708052.493801767</v>
      </c>
      <c r="BI158" s="717"/>
      <c r="BJ158" s="717">
        <f t="shared" si="368"/>
        <v>3708052.493801767</v>
      </c>
      <c r="BK158" s="717"/>
      <c r="BL158" s="717">
        <f t="shared" si="369"/>
        <v>3708052.493801767</v>
      </c>
      <c r="BM158" s="717"/>
      <c r="BN158" s="717">
        <f t="shared" si="370"/>
        <v>3708052.493801767</v>
      </c>
      <c r="BO158" s="717"/>
      <c r="BP158" s="717">
        <f t="shared" si="328"/>
        <v>3708052.493801767</v>
      </c>
      <c r="BQ158" s="717"/>
      <c r="BR158" s="717">
        <f t="shared" si="433"/>
        <v>3708052.493801767</v>
      </c>
      <c r="BS158" s="717"/>
      <c r="BT158" s="717">
        <f t="shared" si="371"/>
        <v>3708052.493801767</v>
      </c>
      <c r="BU158" s="717"/>
      <c r="BV158" s="1235">
        <f t="shared" si="434"/>
        <v>51400</v>
      </c>
      <c r="BW158" s="717">
        <f t="shared" si="372"/>
        <v>3759452.493801767</v>
      </c>
      <c r="BX158" s="717"/>
      <c r="BY158" s="717">
        <f t="shared" si="373"/>
        <v>3759452.493801767</v>
      </c>
      <c r="BZ158" s="1194">
        <f t="shared" si="374"/>
        <v>3759452.493801767</v>
      </c>
      <c r="CA158" s="1194">
        <f t="shared" si="375"/>
        <v>3022452.493801767</v>
      </c>
      <c r="CB158" s="1194">
        <v>33500</v>
      </c>
      <c r="CC158" s="1194">
        <f t="shared" si="376"/>
        <v>737000</v>
      </c>
      <c r="CD158" s="1194">
        <f t="shared" si="377"/>
        <v>88440</v>
      </c>
      <c r="CE158" s="1194">
        <f t="shared" si="378"/>
        <v>825440</v>
      </c>
      <c r="CF158" s="1200">
        <f t="shared" si="379"/>
        <v>3847892.493801767</v>
      </c>
      <c r="CG158" s="757">
        <f t="shared" si="380"/>
        <v>3847892.493801767</v>
      </c>
      <c r="CH158" s="758">
        <f t="shared" si="381"/>
        <v>0</v>
      </c>
      <c r="CI158" s="757">
        <f t="shared" si="329"/>
        <v>394408.98061468109</v>
      </c>
      <c r="CJ158" s="757">
        <f t="shared" si="330"/>
        <v>96197.312345044178</v>
      </c>
      <c r="CK158" s="759">
        <f t="shared" si="291"/>
        <v>4338498.7867614916</v>
      </c>
      <c r="CL158" s="764">
        <f t="shared" si="382"/>
        <v>0.125</v>
      </c>
      <c r="CM158" s="757">
        <f t="shared" si="383"/>
        <v>542312.34834518644</v>
      </c>
      <c r="CN158" s="757">
        <f t="shared" si="425"/>
        <v>30000</v>
      </c>
      <c r="CO158" s="757">
        <f t="shared" si="384"/>
        <v>512312.34834518644</v>
      </c>
      <c r="CP158" s="755">
        <f t="shared" si="385"/>
        <v>29</v>
      </c>
      <c r="CQ158" s="757">
        <f t="shared" si="427"/>
        <v>17665.943046385739</v>
      </c>
      <c r="CR158" s="764">
        <f t="shared" si="386"/>
        <v>0.875</v>
      </c>
      <c r="CS158" s="757">
        <f t="shared" si="387"/>
        <v>3796186.438416305</v>
      </c>
      <c r="CT158" s="1101">
        <f t="shared" si="388"/>
        <v>29431.793051149678</v>
      </c>
      <c r="CU158" s="1101">
        <f t="shared" si="389"/>
        <v>34121.196922751609</v>
      </c>
      <c r="CV158" s="1101">
        <f t="shared" si="390"/>
        <v>44076.943419488205</v>
      </c>
      <c r="CW158" s="1141">
        <f t="shared" si="331"/>
        <v>75169.041363263648</v>
      </c>
      <c r="CX158" s="1152">
        <f t="shared" si="391"/>
        <v>308376.29062538221</v>
      </c>
      <c r="CY158" s="1152">
        <f t="shared" si="392"/>
        <v>122022.99601330697</v>
      </c>
      <c r="CZ158" s="1152">
        <f t="shared" si="393"/>
        <v>88135.481784973206</v>
      </c>
      <c r="DA158" s="1152">
        <f t="shared" si="394"/>
        <v>67075.159186382327</v>
      </c>
      <c r="DB158" s="1143">
        <f t="shared" si="332"/>
        <v>0.14818958197566759</v>
      </c>
      <c r="DC158" s="1143">
        <f t="shared" si="395"/>
        <v>0.2731027209502066</v>
      </c>
      <c r="DD158" s="1098" t="s">
        <v>232</v>
      </c>
      <c r="DE158" s="1144"/>
      <c r="DF158" s="705"/>
      <c r="DG158" s="765">
        <f t="shared" si="426"/>
        <v>46082</v>
      </c>
      <c r="DH158" s="1116">
        <f t="shared" si="333"/>
        <v>28</v>
      </c>
      <c r="DI158" s="497"/>
      <c r="DJ158" s="1117">
        <f t="shared" si="396"/>
        <v>46147</v>
      </c>
      <c r="DK158" s="1116">
        <f t="shared" si="397"/>
        <v>30</v>
      </c>
      <c r="DL158" s="766" t="s">
        <v>233</v>
      </c>
      <c r="DM158" s="766" t="s">
        <v>234</v>
      </c>
      <c r="DN158" s="767">
        <f t="shared" si="334"/>
        <v>22632.590701738322</v>
      </c>
      <c r="DO158" s="767">
        <f t="shared" si="335"/>
        <v>497916.99543824309</v>
      </c>
      <c r="DP158" s="768">
        <f t="shared" si="336"/>
        <v>0.1659723318127477</v>
      </c>
      <c r="DR158" s="767">
        <f t="shared" si="337"/>
        <v>3847892.493801767</v>
      </c>
      <c r="DS158" s="767">
        <f>SUM('[6]INTERNAL PRICELIST'!M158)</f>
        <v>2329361</v>
      </c>
      <c r="DT158" s="767">
        <f t="shared" si="398"/>
        <v>1518531.493801767</v>
      </c>
      <c r="DV158" s="951">
        <f t="shared" si="338"/>
        <v>174904.20426371667</v>
      </c>
      <c r="DX158" s="772"/>
      <c r="DY158" s="773"/>
      <c r="DZ158" s="772"/>
      <c r="EA158" s="775"/>
      <c r="ED158" s="755" t="s">
        <v>558</v>
      </c>
      <c r="EE158" s="777" t="b">
        <f t="shared" si="340"/>
        <v>1</v>
      </c>
      <c r="EF158" s="777"/>
      <c r="EG158" s="777"/>
      <c r="EH158" s="1203"/>
      <c r="EP158" s="1230" t="s">
        <v>236</v>
      </c>
      <c r="EQ158" s="1145" t="s">
        <v>236</v>
      </c>
      <c r="ER158" s="753" t="b">
        <f t="shared" si="399"/>
        <v>1</v>
      </c>
      <c r="EU158" s="770">
        <v>2853517.05</v>
      </c>
      <c r="EV158" s="771" t="s">
        <v>236</v>
      </c>
      <c r="FJ158" s="994">
        <v>0.15</v>
      </c>
      <c r="FK158" s="993">
        <v>13275.533360142148</v>
      </c>
      <c r="FL158" s="993">
        <v>13634.331559064909</v>
      </c>
      <c r="FM158" s="497"/>
      <c r="FN158" s="993">
        <f t="shared" si="341"/>
        <v>4338498.7867614916</v>
      </c>
      <c r="FO158" s="994">
        <f t="shared" si="400"/>
        <v>0.15</v>
      </c>
      <c r="FP158" s="775">
        <f t="shared" si="342"/>
        <v>650774.81801422371</v>
      </c>
      <c r="FQ158" s="993">
        <f t="shared" si="343"/>
        <v>30000</v>
      </c>
      <c r="FR158" s="775">
        <f t="shared" si="401"/>
        <v>620774.81801422371</v>
      </c>
      <c r="FS158" s="497">
        <f t="shared" si="402"/>
        <v>40</v>
      </c>
      <c r="FT158" s="775">
        <f t="shared" si="403"/>
        <v>15519.370450355593</v>
      </c>
      <c r="FU158" s="497"/>
      <c r="FV158" s="993">
        <f t="shared" si="404"/>
        <v>4338498.7867614916</v>
      </c>
      <c r="FW158" s="705">
        <f t="shared" si="405"/>
        <v>433849.87867614918</v>
      </c>
      <c r="FX158" s="705">
        <f t="shared" si="406"/>
        <v>108462.46966903729</v>
      </c>
      <c r="FY158" s="705">
        <v>15000</v>
      </c>
      <c r="FZ158" s="705">
        <f t="shared" si="407"/>
        <v>418849.87867614918</v>
      </c>
      <c r="GA158" s="497">
        <f t="shared" si="408"/>
        <v>46</v>
      </c>
      <c r="GB158" s="775">
        <f t="shared" si="409"/>
        <v>9105.4321451336782</v>
      </c>
      <c r="GC158" s="497"/>
      <c r="GD158" s="497"/>
      <c r="GH158" s="1095">
        <f t="shared" si="307"/>
        <v>4338498.7867614916</v>
      </c>
      <c r="GI158" s="1098">
        <f t="shared" si="308"/>
        <v>0.125</v>
      </c>
      <c r="GJ158" s="1095">
        <f t="shared" si="309"/>
        <v>542312.34834518644</v>
      </c>
      <c r="GK158" s="1095">
        <f t="shared" si="310"/>
        <v>30000</v>
      </c>
      <c r="GL158" s="1095">
        <f t="shared" si="311"/>
        <v>512312.34834518644</v>
      </c>
      <c r="GM158" s="1095">
        <f t="shared" si="312"/>
        <v>29</v>
      </c>
      <c r="GN158" s="1095">
        <f t="shared" si="313"/>
        <v>17665.943046385739</v>
      </c>
      <c r="GO158" s="1098">
        <f t="shared" si="314"/>
        <v>0.875</v>
      </c>
      <c r="GP158" s="1095">
        <f t="shared" si="315"/>
        <v>3796186.438416305</v>
      </c>
      <c r="GQ158" s="1095">
        <f t="shared" si="316"/>
        <v>29431.793051149678</v>
      </c>
      <c r="GR158" s="1095">
        <f t="shared" si="317"/>
        <v>34121.196922751609</v>
      </c>
      <c r="GS158" s="1095">
        <f t="shared" si="318"/>
        <v>44076.943419488205</v>
      </c>
      <c r="GT158" s="1095">
        <f t="shared" si="319"/>
        <v>75169.041363263648</v>
      </c>
      <c r="GU158" s="497"/>
      <c r="GV158" s="1095">
        <f t="shared" si="410"/>
        <v>4338498.7867614916</v>
      </c>
      <c r="GW158" s="1098">
        <f t="shared" si="411"/>
        <v>0.125</v>
      </c>
      <c r="GX158" s="1095">
        <f t="shared" si="412"/>
        <v>542312.34834518644</v>
      </c>
      <c r="GY158" s="1095">
        <f t="shared" si="413"/>
        <v>30000</v>
      </c>
      <c r="GZ158" s="1095">
        <f t="shared" si="414"/>
        <v>512312.34834518644</v>
      </c>
      <c r="HA158" s="1106">
        <f t="shared" si="415"/>
        <v>48</v>
      </c>
      <c r="HB158" s="770">
        <f t="shared" si="416"/>
        <v>10673.17392385805</v>
      </c>
      <c r="HC158" s="1098">
        <f t="shared" si="417"/>
        <v>0.875</v>
      </c>
      <c r="HD158" s="1102">
        <f t="shared" si="418"/>
        <v>3796186.438416305</v>
      </c>
      <c r="HE158" s="1101">
        <f t="shared" si="419"/>
        <v>29431.793051149678</v>
      </c>
      <c r="HF158" s="1101">
        <f t="shared" si="420"/>
        <v>34121.196922751609</v>
      </c>
      <c r="HG158" s="1101">
        <f t="shared" si="421"/>
        <v>44076.943419488205</v>
      </c>
      <c r="HH158" s="1101">
        <f t="shared" si="422"/>
        <v>75169.041363263648</v>
      </c>
      <c r="HI158" s="497"/>
      <c r="HJ158" s="1102">
        <f t="shared" si="423"/>
        <v>-6992.7691225276885</v>
      </c>
      <c r="HL158" s="775"/>
      <c r="HN158" s="775"/>
      <c r="HO158" s="775"/>
      <c r="HQ158" s="702"/>
      <c r="HR158" s="1171"/>
      <c r="HS158" s="702"/>
      <c r="HT158" s="1171"/>
    </row>
    <row r="159" spans="1:228" ht="14.25" hidden="1" customHeight="1">
      <c r="A159" s="753">
        <f t="shared" si="424"/>
        <v>153</v>
      </c>
      <c r="B159" s="753" t="s">
        <v>236</v>
      </c>
      <c r="C159" s="753">
        <f t="shared" si="305"/>
        <v>29</v>
      </c>
      <c r="D159" s="753" t="s">
        <v>269</v>
      </c>
      <c r="E159" s="717" t="str">
        <f t="shared" si="344"/>
        <v>7th Floor</v>
      </c>
      <c r="F159" s="754"/>
      <c r="G159" s="756" t="s">
        <v>559</v>
      </c>
      <c r="H159" s="756"/>
      <c r="I159" s="755" t="s">
        <v>229</v>
      </c>
      <c r="J159" s="757">
        <v>22</v>
      </c>
      <c r="K159" s="758"/>
      <c r="L159" s="759" t="s">
        <v>277</v>
      </c>
      <c r="M159" s="760" t="s">
        <v>68</v>
      </c>
      <c r="N159" s="761">
        <f t="shared" si="345"/>
        <v>106005.26567735759</v>
      </c>
      <c r="O159" s="762">
        <f t="shared" si="346"/>
        <v>2332115.8449018667</v>
      </c>
      <c r="P159" s="762">
        <f t="shared" si="347"/>
        <v>22400</v>
      </c>
      <c r="Q159" s="762">
        <f t="shared" si="320"/>
        <v>50000</v>
      </c>
      <c r="R159" s="762"/>
      <c r="S159" s="762"/>
      <c r="T159" s="762"/>
      <c r="U159" s="762"/>
      <c r="V159" s="762"/>
      <c r="W159" s="762"/>
      <c r="X159" s="762"/>
      <c r="Y159" s="762">
        <f t="shared" si="306"/>
        <v>60000</v>
      </c>
      <c r="Z159" s="762">
        <f t="shared" si="321"/>
        <v>142461</v>
      </c>
      <c r="AA159" s="762"/>
      <c r="AB159" s="762"/>
      <c r="AC159" s="762"/>
      <c r="AD159" s="763">
        <f t="shared" si="348"/>
        <v>274861</v>
      </c>
      <c r="AE159" s="763">
        <f t="shared" si="322"/>
        <v>2606976.8449018667</v>
      </c>
      <c r="AF159" s="762">
        <f t="shared" si="323"/>
        <v>65174.421122546672</v>
      </c>
      <c r="AG159" s="762">
        <f t="shared" si="349"/>
        <v>2672151.2660244135</v>
      </c>
      <c r="AH159" s="762">
        <f t="shared" si="324"/>
        <v>66803.781650610341</v>
      </c>
      <c r="AI159" s="762">
        <f t="shared" si="350"/>
        <v>2738955.0476750238</v>
      </c>
      <c r="AJ159" s="762">
        <f t="shared" si="351"/>
        <v>136947.75238375118</v>
      </c>
      <c r="AK159" s="762">
        <f t="shared" si="352"/>
        <v>2875902.8000587751</v>
      </c>
      <c r="AL159" s="762">
        <f t="shared" si="353"/>
        <v>28759.02800058775</v>
      </c>
      <c r="AM159" s="762">
        <f t="shared" si="354"/>
        <v>27537.409960060559</v>
      </c>
      <c r="AN159" s="762"/>
      <c r="AO159" s="763">
        <f t="shared" si="355"/>
        <v>2932199.2380194231</v>
      </c>
      <c r="AP159" s="763">
        <f t="shared" si="356"/>
        <v>483812.87427320483</v>
      </c>
      <c r="AQ159" s="763">
        <f t="shared" si="357"/>
        <v>3416012.1122926278</v>
      </c>
      <c r="AR159" s="1178">
        <f t="shared" si="325"/>
        <v>3000000</v>
      </c>
      <c r="AS159" s="1178">
        <f t="shared" si="358"/>
        <v>18909.641467846719</v>
      </c>
      <c r="AT159" s="1178">
        <f t="shared" si="359"/>
        <v>416012.1122926278</v>
      </c>
      <c r="AU159" s="1178">
        <f t="shared" si="326"/>
        <v>49921.453475115333</v>
      </c>
      <c r="AV159" s="1178">
        <f t="shared" si="360"/>
        <v>465933.56576774316</v>
      </c>
      <c r="AW159" s="1178">
        <f t="shared" si="361"/>
        <v>3465933.5657677432</v>
      </c>
      <c r="AX159" s="762">
        <f t="shared" si="362"/>
        <v>43324.169572096791</v>
      </c>
      <c r="AY159" s="717" t="s">
        <v>231</v>
      </c>
      <c r="AZ159" s="717">
        <f t="shared" si="363"/>
        <v>3509257.7353398399</v>
      </c>
      <c r="BA159" s="717">
        <f t="shared" si="364"/>
        <v>131597.165075244</v>
      </c>
      <c r="BB159" s="717"/>
      <c r="BC159" s="717">
        <f t="shared" si="327"/>
        <v>33600</v>
      </c>
      <c r="BD159" s="717">
        <f t="shared" si="365"/>
        <v>3674454.9004150839</v>
      </c>
      <c r="BE159" s="717"/>
      <c r="BF159" s="717">
        <f t="shared" si="366"/>
        <v>3674454.9004150839</v>
      </c>
      <c r="BG159" s="1209"/>
      <c r="BH159" s="717">
        <f t="shared" si="367"/>
        <v>3674454.9004150839</v>
      </c>
      <c r="BI159" s="717"/>
      <c r="BJ159" s="717">
        <f t="shared" si="368"/>
        <v>3674454.9004150839</v>
      </c>
      <c r="BK159" s="717"/>
      <c r="BL159" s="717">
        <f t="shared" si="369"/>
        <v>3674454.9004150839</v>
      </c>
      <c r="BM159" s="717"/>
      <c r="BN159" s="717">
        <f t="shared" si="370"/>
        <v>3674454.9004150839</v>
      </c>
      <c r="BO159" s="717"/>
      <c r="BP159" s="717">
        <f t="shared" si="328"/>
        <v>3674454.9004150839</v>
      </c>
      <c r="BQ159" s="717"/>
      <c r="BR159" s="717">
        <f t="shared" si="433"/>
        <v>3674454.9004150839</v>
      </c>
      <c r="BS159" s="717"/>
      <c r="BT159" s="717">
        <f t="shared" si="371"/>
        <v>3674454.9004150839</v>
      </c>
      <c r="BU159" s="717"/>
      <c r="BV159" s="1235">
        <f t="shared" si="434"/>
        <v>51400</v>
      </c>
      <c r="BW159" s="717">
        <f t="shared" si="372"/>
        <v>3725854.9004150839</v>
      </c>
      <c r="BX159" s="717"/>
      <c r="BY159" s="717">
        <f t="shared" si="373"/>
        <v>3725854.9004150839</v>
      </c>
      <c r="BZ159" s="1194">
        <f t="shared" si="374"/>
        <v>3725854.9004150839</v>
      </c>
      <c r="CA159" s="1194">
        <f t="shared" si="375"/>
        <v>3032854.9004150839</v>
      </c>
      <c r="CB159" s="1194">
        <v>31500</v>
      </c>
      <c r="CC159" s="1194">
        <f t="shared" si="376"/>
        <v>693000</v>
      </c>
      <c r="CD159" s="1194">
        <f t="shared" si="377"/>
        <v>83160</v>
      </c>
      <c r="CE159" s="1194">
        <f t="shared" si="378"/>
        <v>776160</v>
      </c>
      <c r="CF159" s="1200">
        <f t="shared" si="379"/>
        <v>3809014.9004150839</v>
      </c>
      <c r="CG159" s="757">
        <f t="shared" si="380"/>
        <v>3809014.9004150839</v>
      </c>
      <c r="CH159" s="758">
        <f t="shared" si="381"/>
        <v>0</v>
      </c>
      <c r="CI159" s="757">
        <f t="shared" si="329"/>
        <v>390424.02729254606</v>
      </c>
      <c r="CJ159" s="757">
        <f t="shared" si="330"/>
        <v>95225.372510377099</v>
      </c>
      <c r="CK159" s="759">
        <f t="shared" si="291"/>
        <v>4294664.3002180075</v>
      </c>
      <c r="CL159" s="764">
        <f t="shared" si="382"/>
        <v>0.125</v>
      </c>
      <c r="CM159" s="757">
        <f t="shared" si="383"/>
        <v>536833.03752725094</v>
      </c>
      <c r="CN159" s="757">
        <f t="shared" si="425"/>
        <v>30000</v>
      </c>
      <c r="CO159" s="757">
        <f t="shared" si="384"/>
        <v>506833.03752725094</v>
      </c>
      <c r="CP159" s="755">
        <f t="shared" si="385"/>
        <v>29</v>
      </c>
      <c r="CQ159" s="757">
        <f t="shared" si="427"/>
        <v>17477.001294043137</v>
      </c>
      <c r="CR159" s="764">
        <f t="shared" si="386"/>
        <v>0.875</v>
      </c>
      <c r="CS159" s="757">
        <f t="shared" si="387"/>
        <v>3757831.2626907565</v>
      </c>
      <c r="CT159" s="1101">
        <f t="shared" si="388"/>
        <v>29134.425781994749</v>
      </c>
      <c r="CU159" s="1101">
        <f t="shared" si="389"/>
        <v>33776.449759995252</v>
      </c>
      <c r="CV159" s="1101">
        <f t="shared" si="390"/>
        <v>43631.607307122547</v>
      </c>
      <c r="CW159" s="1141">
        <f t="shared" si="331"/>
        <v>74409.562913672053</v>
      </c>
      <c r="CX159" s="1152">
        <f t="shared" si="391"/>
        <v>305260.57778872194</v>
      </c>
      <c r="CY159" s="1152">
        <f t="shared" si="392"/>
        <v>120790.12362134912</v>
      </c>
      <c r="CZ159" s="1152">
        <f t="shared" si="393"/>
        <v>87244.995517673655</v>
      </c>
      <c r="DA159" s="1152">
        <f t="shared" si="394"/>
        <v>66397.458141096984</v>
      </c>
      <c r="DB159" s="1143">
        <f t="shared" si="332"/>
        <v>0.13867070409754259</v>
      </c>
      <c r="DC159" s="1143">
        <f t="shared" si="395"/>
        <v>0.25591728766640726</v>
      </c>
      <c r="DD159" s="1098" t="s">
        <v>232</v>
      </c>
      <c r="DE159" s="1144"/>
      <c r="DF159" s="705"/>
      <c r="DG159" s="765">
        <f t="shared" si="426"/>
        <v>46082</v>
      </c>
      <c r="DH159" s="1116">
        <f t="shared" si="333"/>
        <v>28</v>
      </c>
      <c r="DI159" s="497"/>
      <c r="DJ159" s="1117">
        <f t="shared" si="396"/>
        <v>46147</v>
      </c>
      <c r="DK159" s="1116">
        <f t="shared" si="397"/>
        <v>30</v>
      </c>
      <c r="DL159" s="766" t="s">
        <v>233</v>
      </c>
      <c r="DM159" s="766" t="s">
        <v>234</v>
      </c>
      <c r="DN159" s="767">
        <f t="shared" si="334"/>
        <v>21178.798443988326</v>
      </c>
      <c r="DO159" s="767">
        <f t="shared" si="335"/>
        <v>465933.56576774316</v>
      </c>
      <c r="DP159" s="768">
        <f t="shared" si="336"/>
        <v>0.15531118858924772</v>
      </c>
      <c r="DR159" s="767">
        <f t="shared" si="337"/>
        <v>3809014.9004150839</v>
      </c>
      <c r="DS159" s="767">
        <f>SUM('[6]INTERNAL PRICELIST'!M159)</f>
        <v>2329361</v>
      </c>
      <c r="DT159" s="767">
        <f t="shared" si="398"/>
        <v>1479653.9004150839</v>
      </c>
      <c r="DV159" s="951">
        <f t="shared" si="338"/>
        <v>173137.04092795835</v>
      </c>
      <c r="DX159" s="772"/>
      <c r="DY159" s="773"/>
      <c r="DZ159" s="772"/>
      <c r="EA159" s="775"/>
      <c r="ED159" s="755" t="s">
        <v>559</v>
      </c>
      <c r="EE159" s="777" t="b">
        <f t="shared" si="340"/>
        <v>1</v>
      </c>
      <c r="EF159" s="1123" t="s">
        <v>560</v>
      </c>
      <c r="EG159" s="1123" t="s">
        <v>515</v>
      </c>
      <c r="EH159" s="1203"/>
      <c r="EO159" s="497" t="s">
        <v>330</v>
      </c>
      <c r="EP159" s="1230" t="s">
        <v>236</v>
      </c>
      <c r="EQ159" s="1145" t="s">
        <v>236</v>
      </c>
      <c r="ER159" s="753" t="b">
        <f t="shared" si="399"/>
        <v>1</v>
      </c>
      <c r="EU159" s="770">
        <v>3057701.8774007284</v>
      </c>
      <c r="EV159" s="771" t="s">
        <v>258</v>
      </c>
      <c r="EW159" s="775">
        <f>EU159-CG159</f>
        <v>-751313.02301435545</v>
      </c>
      <c r="FJ159" s="994">
        <v>0.15</v>
      </c>
      <c r="FK159" s="993">
        <v>13153.346833306294</v>
      </c>
      <c r="FL159" s="993">
        <v>13508.842693665923</v>
      </c>
      <c r="FM159" s="497"/>
      <c r="FN159" s="993">
        <f t="shared" si="341"/>
        <v>4294664.3002180075</v>
      </c>
      <c r="FO159" s="994">
        <f t="shared" si="400"/>
        <v>0.15</v>
      </c>
      <c r="FP159" s="775">
        <f t="shared" si="342"/>
        <v>644199.64503270108</v>
      </c>
      <c r="FQ159" s="993">
        <f t="shared" si="343"/>
        <v>30000</v>
      </c>
      <c r="FR159" s="775">
        <f t="shared" si="401"/>
        <v>614199.64503270108</v>
      </c>
      <c r="FS159" s="497">
        <f t="shared" si="402"/>
        <v>40</v>
      </c>
      <c r="FT159" s="775">
        <f t="shared" si="403"/>
        <v>15354.991125817527</v>
      </c>
      <c r="FU159" s="497"/>
      <c r="FV159" s="993">
        <f t="shared" si="404"/>
        <v>4294664.3002180075</v>
      </c>
      <c r="FW159" s="705">
        <f t="shared" si="405"/>
        <v>429466.4300218008</v>
      </c>
      <c r="FX159" s="705">
        <f t="shared" si="406"/>
        <v>107366.6075054502</v>
      </c>
      <c r="FY159" s="705">
        <v>15000</v>
      </c>
      <c r="FZ159" s="705">
        <f t="shared" si="407"/>
        <v>414466.4300218008</v>
      </c>
      <c r="GA159" s="497">
        <f t="shared" si="408"/>
        <v>46</v>
      </c>
      <c r="GB159" s="775">
        <f t="shared" si="409"/>
        <v>9010.1397830826263</v>
      </c>
      <c r="GC159" s="497"/>
      <c r="GD159" s="497"/>
      <c r="GH159" s="1095">
        <f t="shared" si="307"/>
        <v>4294664.3002180075</v>
      </c>
      <c r="GI159" s="1098">
        <f t="shared" si="308"/>
        <v>0.125</v>
      </c>
      <c r="GJ159" s="1095">
        <f t="shared" si="309"/>
        <v>536833.03752725094</v>
      </c>
      <c r="GK159" s="1095">
        <f t="shared" si="310"/>
        <v>30000</v>
      </c>
      <c r="GL159" s="1095">
        <f t="shared" si="311"/>
        <v>506833.03752725094</v>
      </c>
      <c r="GM159" s="1095">
        <f t="shared" si="312"/>
        <v>29</v>
      </c>
      <c r="GN159" s="1095">
        <f t="shared" si="313"/>
        <v>17477.001294043137</v>
      </c>
      <c r="GO159" s="1098">
        <f t="shared" si="314"/>
        <v>0.875</v>
      </c>
      <c r="GP159" s="1095">
        <f t="shared" si="315"/>
        <v>3757831.2626907565</v>
      </c>
      <c r="GQ159" s="1095">
        <f t="shared" si="316"/>
        <v>29134.425781994749</v>
      </c>
      <c r="GR159" s="1095">
        <f t="shared" si="317"/>
        <v>33776.449759995252</v>
      </c>
      <c r="GS159" s="1095">
        <f t="shared" si="318"/>
        <v>43631.607307122547</v>
      </c>
      <c r="GT159" s="1095">
        <f t="shared" si="319"/>
        <v>74409.562913672053</v>
      </c>
      <c r="GU159" s="497"/>
      <c r="GV159" s="1095">
        <f t="shared" si="410"/>
        <v>4294664.3002180075</v>
      </c>
      <c r="GW159" s="1098">
        <f t="shared" si="411"/>
        <v>0.125</v>
      </c>
      <c r="GX159" s="1095">
        <f t="shared" si="412"/>
        <v>536833.03752725094</v>
      </c>
      <c r="GY159" s="1095">
        <f t="shared" si="413"/>
        <v>30000</v>
      </c>
      <c r="GZ159" s="1095">
        <f t="shared" si="414"/>
        <v>506833.03752725094</v>
      </c>
      <c r="HA159" s="1106">
        <f t="shared" si="415"/>
        <v>48</v>
      </c>
      <c r="HB159" s="770">
        <f t="shared" si="416"/>
        <v>10559.021615151061</v>
      </c>
      <c r="HC159" s="1098">
        <f t="shared" si="417"/>
        <v>0.875</v>
      </c>
      <c r="HD159" s="1102">
        <f t="shared" si="418"/>
        <v>3757831.2626907565</v>
      </c>
      <c r="HE159" s="1101">
        <f t="shared" si="419"/>
        <v>29134.425781994749</v>
      </c>
      <c r="HF159" s="1101">
        <f t="shared" si="420"/>
        <v>33776.449759995252</v>
      </c>
      <c r="HG159" s="1101">
        <f t="shared" si="421"/>
        <v>43631.607307122547</v>
      </c>
      <c r="HH159" s="1101">
        <f t="shared" si="422"/>
        <v>74409.562913672053</v>
      </c>
      <c r="HI159" s="497"/>
      <c r="HJ159" s="1102">
        <f t="shared" si="423"/>
        <v>-6917.9796788920758</v>
      </c>
      <c r="HL159" s="775"/>
      <c r="HN159" s="775"/>
      <c r="HO159" s="775"/>
      <c r="HQ159" s="702"/>
      <c r="HR159" s="1171"/>
      <c r="HS159" s="702"/>
      <c r="HT159" s="1171"/>
    </row>
    <row r="160" spans="1:228" ht="14.25" hidden="1" customHeight="1">
      <c r="A160" s="753">
        <f t="shared" si="424"/>
        <v>154</v>
      </c>
      <c r="B160" s="753"/>
      <c r="C160" s="753">
        <f t="shared" si="305"/>
        <v>30</v>
      </c>
      <c r="D160" s="753" t="s">
        <v>269</v>
      </c>
      <c r="E160" s="717" t="str">
        <f t="shared" si="344"/>
        <v>7th Floor</v>
      </c>
      <c r="F160" s="754"/>
      <c r="G160" s="756" t="s">
        <v>561</v>
      </c>
      <c r="H160" s="756"/>
      <c r="I160" s="755" t="s">
        <v>229</v>
      </c>
      <c r="J160" s="757">
        <v>22</v>
      </c>
      <c r="K160" s="758"/>
      <c r="L160" s="759" t="s">
        <v>277</v>
      </c>
      <c r="M160" s="760" t="s">
        <v>68</v>
      </c>
      <c r="N160" s="761">
        <f t="shared" si="345"/>
        <v>106005.26567735759</v>
      </c>
      <c r="O160" s="762">
        <f t="shared" si="346"/>
        <v>2332115.8449018667</v>
      </c>
      <c r="P160" s="762">
        <f t="shared" si="347"/>
        <v>22400</v>
      </c>
      <c r="Q160" s="762">
        <f t="shared" si="320"/>
        <v>50000</v>
      </c>
      <c r="R160" s="762"/>
      <c r="S160" s="762"/>
      <c r="T160" s="762"/>
      <c r="U160" s="762"/>
      <c r="V160" s="762"/>
      <c r="W160" s="762"/>
      <c r="X160" s="762"/>
      <c r="Y160" s="762">
        <f t="shared" si="306"/>
        <v>60000</v>
      </c>
      <c r="Z160" s="762">
        <f t="shared" si="321"/>
        <v>142461</v>
      </c>
      <c r="AA160" s="762"/>
      <c r="AB160" s="762"/>
      <c r="AC160" s="762"/>
      <c r="AD160" s="763">
        <f t="shared" si="348"/>
        <v>274861</v>
      </c>
      <c r="AE160" s="763">
        <f t="shared" si="322"/>
        <v>2606976.8449018667</v>
      </c>
      <c r="AF160" s="762">
        <f t="shared" si="323"/>
        <v>65174.421122546672</v>
      </c>
      <c r="AG160" s="762">
        <f t="shared" si="349"/>
        <v>2672151.2660244135</v>
      </c>
      <c r="AH160" s="762">
        <f t="shared" si="324"/>
        <v>66803.781650610341</v>
      </c>
      <c r="AI160" s="762">
        <f t="shared" si="350"/>
        <v>2738955.0476750238</v>
      </c>
      <c r="AJ160" s="762">
        <f t="shared" si="351"/>
        <v>136947.75238375118</v>
      </c>
      <c r="AK160" s="762">
        <f t="shared" si="352"/>
        <v>2875902.8000587751</v>
      </c>
      <c r="AL160" s="762">
        <f t="shared" si="353"/>
        <v>28759.02800058775</v>
      </c>
      <c r="AM160" s="762">
        <f t="shared" si="354"/>
        <v>27537.409960060559</v>
      </c>
      <c r="AN160" s="762"/>
      <c r="AO160" s="763">
        <f t="shared" si="355"/>
        <v>2932199.2380194231</v>
      </c>
      <c r="AP160" s="763">
        <f t="shared" si="356"/>
        <v>483812.87427320483</v>
      </c>
      <c r="AQ160" s="763">
        <f t="shared" si="357"/>
        <v>3416012.1122926278</v>
      </c>
      <c r="AR160" s="1178">
        <f t="shared" si="325"/>
        <v>3000000</v>
      </c>
      <c r="AS160" s="1178">
        <f t="shared" si="358"/>
        <v>18909.641467846719</v>
      </c>
      <c r="AT160" s="1178">
        <f t="shared" si="359"/>
        <v>416012.1122926278</v>
      </c>
      <c r="AU160" s="1178">
        <f t="shared" si="326"/>
        <v>49921.453475115333</v>
      </c>
      <c r="AV160" s="1178">
        <f t="shared" si="360"/>
        <v>465933.56576774316</v>
      </c>
      <c r="AW160" s="1178">
        <f t="shared" si="361"/>
        <v>3465933.5657677432</v>
      </c>
      <c r="AX160" s="762">
        <f t="shared" si="362"/>
        <v>43324.169572096791</v>
      </c>
      <c r="AY160" s="717" t="s">
        <v>231</v>
      </c>
      <c r="AZ160" s="717">
        <f t="shared" si="363"/>
        <v>3509257.7353398399</v>
      </c>
      <c r="BA160" s="717">
        <f t="shared" si="364"/>
        <v>131597.165075244</v>
      </c>
      <c r="BB160" s="717"/>
      <c r="BC160" s="717">
        <f t="shared" si="327"/>
        <v>33600</v>
      </c>
      <c r="BD160" s="717">
        <f t="shared" si="365"/>
        <v>3674454.9004150839</v>
      </c>
      <c r="BE160" s="717"/>
      <c r="BF160" s="717">
        <f t="shared" si="366"/>
        <v>3674454.9004150839</v>
      </c>
      <c r="BG160" s="1209"/>
      <c r="BH160" s="717">
        <f t="shared" si="367"/>
        <v>3674454.9004150839</v>
      </c>
      <c r="BI160" s="717"/>
      <c r="BJ160" s="717">
        <f t="shared" si="368"/>
        <v>3674454.9004150839</v>
      </c>
      <c r="BK160" s="717"/>
      <c r="BL160" s="717">
        <f t="shared" si="369"/>
        <v>3674454.9004150839</v>
      </c>
      <c r="BM160" s="717"/>
      <c r="BN160" s="717">
        <f t="shared" si="370"/>
        <v>3674454.9004150839</v>
      </c>
      <c r="BO160" s="717"/>
      <c r="BP160" s="717">
        <f t="shared" si="328"/>
        <v>3674454.9004150839</v>
      </c>
      <c r="BQ160" s="717"/>
      <c r="BR160" s="717">
        <f t="shared" si="433"/>
        <v>3674454.9004150839</v>
      </c>
      <c r="BS160" s="717"/>
      <c r="BT160" s="717">
        <f t="shared" si="371"/>
        <v>3674454.9004150839</v>
      </c>
      <c r="BU160" s="717"/>
      <c r="BV160" s="1235">
        <f t="shared" si="434"/>
        <v>51400</v>
      </c>
      <c r="BW160" s="717">
        <f t="shared" si="372"/>
        <v>3725854.9004150839</v>
      </c>
      <c r="BX160" s="717"/>
      <c r="BY160" s="717">
        <f t="shared" si="373"/>
        <v>3725854.9004150839</v>
      </c>
      <c r="BZ160" s="1194">
        <f t="shared" si="374"/>
        <v>3725854.9004150839</v>
      </c>
      <c r="CA160" s="1194">
        <f t="shared" si="375"/>
        <v>3032854.9004150839</v>
      </c>
      <c r="CB160" s="1194">
        <v>31500</v>
      </c>
      <c r="CC160" s="1194">
        <f t="shared" si="376"/>
        <v>693000</v>
      </c>
      <c r="CD160" s="1194">
        <f t="shared" si="377"/>
        <v>83160</v>
      </c>
      <c r="CE160" s="1194">
        <f t="shared" si="378"/>
        <v>776160</v>
      </c>
      <c r="CF160" s="1200">
        <f t="shared" si="379"/>
        <v>3809014.9004150839</v>
      </c>
      <c r="CG160" s="757">
        <f t="shared" si="380"/>
        <v>3809014.9004150839</v>
      </c>
      <c r="CH160" s="758">
        <f t="shared" si="381"/>
        <v>0</v>
      </c>
      <c r="CI160" s="757">
        <f t="shared" si="329"/>
        <v>390424.02729254606</v>
      </c>
      <c r="CJ160" s="757">
        <f t="shared" si="330"/>
        <v>95225.372510377099</v>
      </c>
      <c r="CK160" s="759">
        <f t="shared" si="291"/>
        <v>4294664.3002180075</v>
      </c>
      <c r="CL160" s="764">
        <f t="shared" si="382"/>
        <v>0.125</v>
      </c>
      <c r="CM160" s="757">
        <f t="shared" si="383"/>
        <v>536833.03752725094</v>
      </c>
      <c r="CN160" s="757">
        <f t="shared" si="425"/>
        <v>30000</v>
      </c>
      <c r="CO160" s="757">
        <f t="shared" si="384"/>
        <v>506833.03752725094</v>
      </c>
      <c r="CP160" s="755">
        <f t="shared" si="385"/>
        <v>29</v>
      </c>
      <c r="CQ160" s="757">
        <f t="shared" si="427"/>
        <v>17477.001294043137</v>
      </c>
      <c r="CR160" s="764">
        <f t="shared" si="386"/>
        <v>0.875</v>
      </c>
      <c r="CS160" s="757">
        <f t="shared" si="387"/>
        <v>3757831.2626907565</v>
      </c>
      <c r="CT160" s="1101">
        <f t="shared" si="388"/>
        <v>29134.425781994749</v>
      </c>
      <c r="CU160" s="1101">
        <f t="shared" si="389"/>
        <v>33776.449759995252</v>
      </c>
      <c r="CV160" s="1101">
        <f t="shared" si="390"/>
        <v>43631.607307122547</v>
      </c>
      <c r="CW160" s="1141">
        <f t="shared" si="331"/>
        <v>74409.562913672053</v>
      </c>
      <c r="CX160" s="1152">
        <f t="shared" si="391"/>
        <v>305260.57778872194</v>
      </c>
      <c r="CY160" s="1152">
        <f t="shared" si="392"/>
        <v>120790.12362134912</v>
      </c>
      <c r="CZ160" s="1152">
        <f t="shared" si="393"/>
        <v>87244.995517673655</v>
      </c>
      <c r="DA160" s="1152">
        <f t="shared" si="394"/>
        <v>66397.458141096984</v>
      </c>
      <c r="DB160" s="1143">
        <f t="shared" si="332"/>
        <v>0.13867070409754259</v>
      </c>
      <c r="DC160" s="1143">
        <f t="shared" si="395"/>
        <v>0.25591728766640726</v>
      </c>
      <c r="DD160" s="1098" t="s">
        <v>232</v>
      </c>
      <c r="DE160" s="1144"/>
      <c r="DF160" s="705"/>
      <c r="DG160" s="765">
        <f t="shared" si="426"/>
        <v>46082</v>
      </c>
      <c r="DH160" s="1116">
        <f t="shared" si="333"/>
        <v>28</v>
      </c>
      <c r="DI160" s="497"/>
      <c r="DJ160" s="1117">
        <f t="shared" si="396"/>
        <v>46147</v>
      </c>
      <c r="DK160" s="1116">
        <f t="shared" si="397"/>
        <v>30</v>
      </c>
      <c r="DL160" s="766" t="s">
        <v>233</v>
      </c>
      <c r="DM160" s="766" t="s">
        <v>234</v>
      </c>
      <c r="DN160" s="767">
        <f t="shared" si="334"/>
        <v>21178.798443988326</v>
      </c>
      <c r="DO160" s="767">
        <f t="shared" si="335"/>
        <v>465933.56576774316</v>
      </c>
      <c r="DP160" s="768">
        <f t="shared" si="336"/>
        <v>0.15531118858924772</v>
      </c>
      <c r="DR160" s="767">
        <f t="shared" si="337"/>
        <v>3809014.9004150839</v>
      </c>
      <c r="DS160" s="767">
        <f>SUM('[6]INTERNAL PRICELIST'!M160)</f>
        <v>2329361</v>
      </c>
      <c r="DT160" s="767">
        <f t="shared" si="398"/>
        <v>1479653.9004150839</v>
      </c>
      <c r="DV160" s="951">
        <f t="shared" si="338"/>
        <v>173137.04092795835</v>
      </c>
      <c r="DX160" s="772"/>
      <c r="DY160" s="773"/>
      <c r="DZ160" s="772"/>
      <c r="EA160" s="775"/>
      <c r="ED160" s="755" t="s">
        <v>561</v>
      </c>
      <c r="EE160" s="777" t="b">
        <f t="shared" si="340"/>
        <v>1</v>
      </c>
      <c r="EF160" s="777"/>
      <c r="EG160" s="777"/>
      <c r="EH160" s="1203"/>
      <c r="EP160" s="1230" t="s">
        <v>236</v>
      </c>
      <c r="EQ160" s="1145" t="s">
        <v>236</v>
      </c>
      <c r="ER160" s="753" t="b">
        <f t="shared" si="399"/>
        <v>1</v>
      </c>
      <c r="EU160" s="770">
        <v>3057701.8774007284</v>
      </c>
      <c r="EV160" s="771" t="s">
        <v>258</v>
      </c>
      <c r="EW160" s="775">
        <f>EU160-CG160</f>
        <v>-751313.02301435545</v>
      </c>
      <c r="EY160" s="775">
        <v>3024981.0503227995</v>
      </c>
      <c r="FJ160" s="994">
        <v>0.125</v>
      </c>
      <c r="FK160" s="993">
        <v>10895.332887404369</v>
      </c>
      <c r="FL160" s="993">
        <v>11189.801343820704</v>
      </c>
      <c r="FM160" s="497"/>
      <c r="FN160" s="993">
        <f t="shared" si="341"/>
        <v>4294664.3002180075</v>
      </c>
      <c r="FO160" s="994">
        <f t="shared" si="400"/>
        <v>0.15</v>
      </c>
      <c r="FP160" s="775">
        <f t="shared" si="342"/>
        <v>644199.64503270108</v>
      </c>
      <c r="FQ160" s="993">
        <f t="shared" si="343"/>
        <v>30000</v>
      </c>
      <c r="FR160" s="775">
        <f t="shared" si="401"/>
        <v>614199.64503270108</v>
      </c>
      <c r="FS160" s="497">
        <f t="shared" si="402"/>
        <v>40</v>
      </c>
      <c r="FT160" s="775">
        <f t="shared" si="403"/>
        <v>15354.991125817527</v>
      </c>
      <c r="FU160" s="497"/>
      <c r="FV160" s="993">
        <f t="shared" si="404"/>
        <v>4294664.3002180075</v>
      </c>
      <c r="FW160" s="705">
        <f t="shared" si="405"/>
        <v>429466.4300218008</v>
      </c>
      <c r="FX160" s="705">
        <f t="shared" si="406"/>
        <v>107366.6075054502</v>
      </c>
      <c r="FY160" s="705">
        <v>15000</v>
      </c>
      <c r="FZ160" s="705">
        <f t="shared" si="407"/>
        <v>414466.4300218008</v>
      </c>
      <c r="GA160" s="497">
        <f t="shared" si="408"/>
        <v>46</v>
      </c>
      <c r="GB160" s="775">
        <f t="shared" si="409"/>
        <v>9010.1397830826263</v>
      </c>
      <c r="GC160" s="497"/>
      <c r="GD160" s="497"/>
      <c r="GH160" s="1095">
        <f t="shared" si="307"/>
        <v>4294664.3002180075</v>
      </c>
      <c r="GI160" s="1098">
        <f t="shared" si="308"/>
        <v>0.125</v>
      </c>
      <c r="GJ160" s="1095">
        <f t="shared" si="309"/>
        <v>536833.03752725094</v>
      </c>
      <c r="GK160" s="1095">
        <f t="shared" si="310"/>
        <v>30000</v>
      </c>
      <c r="GL160" s="1095">
        <f t="shared" si="311"/>
        <v>506833.03752725094</v>
      </c>
      <c r="GM160" s="1095">
        <f t="shared" si="312"/>
        <v>29</v>
      </c>
      <c r="GN160" s="1095">
        <f t="shared" si="313"/>
        <v>17477.001294043137</v>
      </c>
      <c r="GO160" s="1098">
        <f t="shared" si="314"/>
        <v>0.875</v>
      </c>
      <c r="GP160" s="1095">
        <f t="shared" si="315"/>
        <v>3757831.2626907565</v>
      </c>
      <c r="GQ160" s="1095">
        <f t="shared" si="316"/>
        <v>29134.425781994749</v>
      </c>
      <c r="GR160" s="1095">
        <f t="shared" si="317"/>
        <v>33776.449759995252</v>
      </c>
      <c r="GS160" s="1095">
        <f t="shared" si="318"/>
        <v>43631.607307122547</v>
      </c>
      <c r="GT160" s="1095">
        <f t="shared" si="319"/>
        <v>74409.562913672053</v>
      </c>
      <c r="GU160" s="497"/>
      <c r="GV160" s="1095">
        <f t="shared" si="410"/>
        <v>4294664.3002180075</v>
      </c>
      <c r="GW160" s="1098">
        <f t="shared" si="411"/>
        <v>0.125</v>
      </c>
      <c r="GX160" s="1095">
        <f t="shared" si="412"/>
        <v>536833.03752725094</v>
      </c>
      <c r="GY160" s="1095">
        <f t="shared" si="413"/>
        <v>30000</v>
      </c>
      <c r="GZ160" s="1095">
        <f t="shared" si="414"/>
        <v>506833.03752725094</v>
      </c>
      <c r="HA160" s="1106">
        <f t="shared" si="415"/>
        <v>48</v>
      </c>
      <c r="HB160" s="770">
        <f t="shared" si="416"/>
        <v>10559.021615151061</v>
      </c>
      <c r="HC160" s="1098">
        <f t="shared" si="417"/>
        <v>0.875</v>
      </c>
      <c r="HD160" s="1102">
        <f t="shared" si="418"/>
        <v>3757831.2626907565</v>
      </c>
      <c r="HE160" s="1101">
        <f t="shared" si="419"/>
        <v>29134.425781994749</v>
      </c>
      <c r="HF160" s="1101">
        <f t="shared" si="420"/>
        <v>33776.449759995252</v>
      </c>
      <c r="HG160" s="1101">
        <f t="shared" si="421"/>
        <v>43631.607307122547</v>
      </c>
      <c r="HH160" s="1101">
        <f t="shared" si="422"/>
        <v>74409.562913672053</v>
      </c>
      <c r="HI160" s="497"/>
      <c r="HJ160" s="1102">
        <f t="shared" si="423"/>
        <v>-6917.9796788920758</v>
      </c>
      <c r="HL160" s="775"/>
      <c r="HN160" s="775"/>
      <c r="HO160" s="775"/>
      <c r="HQ160" s="702"/>
      <c r="HR160" s="1171"/>
      <c r="HS160" s="702"/>
      <c r="HT160" s="1171"/>
    </row>
    <row r="161" spans="1:228" ht="14.25" customHeight="1">
      <c r="A161" s="753">
        <f t="shared" si="424"/>
        <v>155</v>
      </c>
      <c r="B161" s="753"/>
      <c r="C161" s="753">
        <f t="shared" si="305"/>
        <v>31</v>
      </c>
      <c r="D161" s="753" t="s">
        <v>269</v>
      </c>
      <c r="E161" s="717" t="str">
        <f t="shared" si="344"/>
        <v>7th Floor</v>
      </c>
      <c r="F161" s="754"/>
      <c r="G161" s="756" t="s">
        <v>562</v>
      </c>
      <c r="H161" s="756"/>
      <c r="I161" s="755" t="s">
        <v>229</v>
      </c>
      <c r="J161" s="757">
        <v>22</v>
      </c>
      <c r="K161" s="758"/>
      <c r="L161" s="759" t="s">
        <v>277</v>
      </c>
      <c r="M161" s="760" t="s">
        <v>278</v>
      </c>
      <c r="N161" s="761">
        <f t="shared" si="345"/>
        <v>106005.26567735759</v>
      </c>
      <c r="O161" s="762">
        <f t="shared" si="346"/>
        <v>2332115.8449018667</v>
      </c>
      <c r="P161" s="762">
        <f t="shared" si="347"/>
        <v>22400</v>
      </c>
      <c r="Q161" s="762">
        <f t="shared" si="320"/>
        <v>50000</v>
      </c>
      <c r="R161" s="762"/>
      <c r="S161" s="762"/>
      <c r="T161" s="762"/>
      <c r="U161" s="762"/>
      <c r="V161" s="762"/>
      <c r="W161" s="762">
        <f>J161*$W$5</f>
        <v>22000</v>
      </c>
      <c r="X161" s="762"/>
      <c r="Y161" s="762">
        <f t="shared" si="306"/>
        <v>60000</v>
      </c>
      <c r="Z161" s="762">
        <f t="shared" si="321"/>
        <v>142461</v>
      </c>
      <c r="AA161" s="762"/>
      <c r="AB161" s="762"/>
      <c r="AC161" s="762"/>
      <c r="AD161" s="763">
        <f t="shared" si="348"/>
        <v>296861</v>
      </c>
      <c r="AE161" s="763">
        <f t="shared" si="322"/>
        <v>2628976.8449018667</v>
      </c>
      <c r="AF161" s="762">
        <f t="shared" si="323"/>
        <v>65724.421122546672</v>
      </c>
      <c r="AG161" s="762">
        <f t="shared" si="349"/>
        <v>2694701.2660244135</v>
      </c>
      <c r="AH161" s="762">
        <f t="shared" si="324"/>
        <v>67367.531650610341</v>
      </c>
      <c r="AI161" s="762">
        <f t="shared" si="350"/>
        <v>2762068.7976750238</v>
      </c>
      <c r="AJ161" s="762">
        <f t="shared" si="351"/>
        <v>138103.43988375118</v>
      </c>
      <c r="AK161" s="762">
        <f t="shared" si="352"/>
        <v>2900172.2375587751</v>
      </c>
      <c r="AL161" s="762">
        <f t="shared" si="353"/>
        <v>29001.722375587753</v>
      </c>
      <c r="AM161" s="762">
        <f t="shared" si="354"/>
        <v>27537.409960060559</v>
      </c>
      <c r="AN161" s="762"/>
      <c r="AO161" s="763">
        <f t="shared" si="355"/>
        <v>2956711.3698944231</v>
      </c>
      <c r="AP161" s="763">
        <f t="shared" si="356"/>
        <v>487857.37603257981</v>
      </c>
      <c r="AQ161" s="763">
        <f t="shared" si="357"/>
        <v>3444568.7459270027</v>
      </c>
      <c r="AR161" s="1178">
        <f t="shared" si="325"/>
        <v>3000000</v>
      </c>
      <c r="AS161" s="1178">
        <f t="shared" si="358"/>
        <v>20207.670269409216</v>
      </c>
      <c r="AT161" s="1178">
        <f t="shared" si="359"/>
        <v>444568.74592700275</v>
      </c>
      <c r="AU161" s="1178">
        <f t="shared" si="326"/>
        <v>53348.249511240327</v>
      </c>
      <c r="AV161" s="1178">
        <f t="shared" si="360"/>
        <v>497916.99543824309</v>
      </c>
      <c r="AW161" s="1178">
        <f t="shared" si="361"/>
        <v>3497916.9954382433</v>
      </c>
      <c r="AX161" s="762">
        <f t="shared" si="362"/>
        <v>43723.962442978045</v>
      </c>
      <c r="AY161" s="717" t="s">
        <v>231</v>
      </c>
      <c r="AZ161" s="717">
        <f t="shared" si="363"/>
        <v>3541640.9578812211</v>
      </c>
      <c r="BA161" s="717">
        <f t="shared" si="364"/>
        <v>132811.53592054578</v>
      </c>
      <c r="BB161" s="717"/>
      <c r="BC161" s="717">
        <f t="shared" si="327"/>
        <v>33600</v>
      </c>
      <c r="BD161" s="717">
        <f t="shared" si="365"/>
        <v>3708052.493801767</v>
      </c>
      <c r="BE161" s="717">
        <v>18367.830916129038</v>
      </c>
      <c r="BF161" s="717">
        <f t="shared" si="366"/>
        <v>3726420.3247178961</v>
      </c>
      <c r="BG161" s="1209"/>
      <c r="BH161" s="717">
        <f t="shared" si="367"/>
        <v>3726420.3247178961</v>
      </c>
      <c r="BI161" s="717">
        <v>718.43902439024396</v>
      </c>
      <c r="BJ161" s="717">
        <f t="shared" si="368"/>
        <v>3727138.7637422862</v>
      </c>
      <c r="BK161" s="717"/>
      <c r="BL161" s="717">
        <f t="shared" si="369"/>
        <v>3727138.7637422862</v>
      </c>
      <c r="BM161" s="717">
        <f>$BM$5/41</f>
        <v>1038.0487804878051</v>
      </c>
      <c r="BN161" s="717">
        <f t="shared" si="370"/>
        <v>3728176.8125227741</v>
      </c>
      <c r="BO161" s="717">
        <f t="shared" ref="BO161:BO162" si="438">$BO$5/51</f>
        <v>7289.0781490196077</v>
      </c>
      <c r="BP161" s="717">
        <f t="shared" si="328"/>
        <v>3735465.8906717938</v>
      </c>
      <c r="BQ161" s="717">
        <f t="shared" ref="BQ161:BQ163" si="439">$BQ$5/56</f>
        <v>4468.4242000000004</v>
      </c>
      <c r="BR161" s="717">
        <f t="shared" si="433"/>
        <v>3739934.3148717936</v>
      </c>
      <c r="BS161" s="1234">
        <f t="shared" ref="BS161:BS163" si="440">$BS$5/64</f>
        <v>2651.4786794501206</v>
      </c>
      <c r="BT161" s="1235">
        <f t="shared" si="371"/>
        <v>3742585.7935512438</v>
      </c>
      <c r="BU161" s="1235">
        <f t="shared" ref="BU161:BU163" si="441">$BU$5/65</f>
        <v>211.07692307692309</v>
      </c>
      <c r="BV161" s="1235">
        <f t="shared" si="434"/>
        <v>51400</v>
      </c>
      <c r="BW161" s="717">
        <f t="shared" si="372"/>
        <v>3794196.8704743208</v>
      </c>
      <c r="BX161" s="1234">
        <f t="shared" si="435"/>
        <v>27651.078536278128</v>
      </c>
      <c r="BY161" s="717">
        <f t="shared" si="373"/>
        <v>3821847.9490105989</v>
      </c>
      <c r="BZ161" s="1194">
        <f t="shared" si="374"/>
        <v>3821847.9490105989</v>
      </c>
      <c r="CA161" s="1194">
        <f t="shared" si="375"/>
        <v>2941847.9490105989</v>
      </c>
      <c r="CB161" s="1194">
        <f t="shared" ref="CB161:CB163" si="442">$CB$5</f>
        <v>40000</v>
      </c>
      <c r="CC161" s="1194">
        <f t="shared" si="376"/>
        <v>880000</v>
      </c>
      <c r="CD161" s="1194">
        <f t="shared" si="377"/>
        <v>105600</v>
      </c>
      <c r="CE161" s="1194">
        <f t="shared" si="378"/>
        <v>985600</v>
      </c>
      <c r="CF161" s="1200">
        <f t="shared" si="379"/>
        <v>3927447.9490105989</v>
      </c>
      <c r="CG161" s="757">
        <f t="shared" si="380"/>
        <v>3927447.9490105989</v>
      </c>
      <c r="CH161" s="758">
        <f t="shared" si="381"/>
        <v>0</v>
      </c>
      <c r="CI161" s="757">
        <f t="shared" si="329"/>
        <v>402563.41477358638</v>
      </c>
      <c r="CJ161" s="757">
        <f t="shared" si="330"/>
        <v>98186.198725264985</v>
      </c>
      <c r="CK161" s="759">
        <f t="shared" si="291"/>
        <v>4428197.5625094511</v>
      </c>
      <c r="CL161" s="764">
        <f t="shared" si="382"/>
        <v>0.125</v>
      </c>
      <c r="CM161" s="757">
        <f t="shared" si="383"/>
        <v>553524.69531368138</v>
      </c>
      <c r="CN161" s="757">
        <f t="shared" si="425"/>
        <v>30000</v>
      </c>
      <c r="CO161" s="757">
        <f t="shared" si="384"/>
        <v>523524.69531368138</v>
      </c>
      <c r="CP161" s="755">
        <f t="shared" si="385"/>
        <v>29</v>
      </c>
      <c r="CQ161" s="757">
        <f t="shared" si="427"/>
        <v>18052.575700471771</v>
      </c>
      <c r="CR161" s="764">
        <f t="shared" si="386"/>
        <v>0.875</v>
      </c>
      <c r="CS161" s="757">
        <f t="shared" si="387"/>
        <v>3874672.8671957697</v>
      </c>
      <c r="CT161" s="1101">
        <f t="shared" si="388"/>
        <v>30040.297498082131</v>
      </c>
      <c r="CU161" s="1101">
        <f t="shared" si="389"/>
        <v>34826.655133403889</v>
      </c>
      <c r="CV161" s="1101">
        <f t="shared" si="390"/>
        <v>44988.237407976652</v>
      </c>
      <c r="CW161" s="1141">
        <f t="shared" si="331"/>
        <v>76723.166722248832</v>
      </c>
      <c r="CX161" s="1152">
        <f t="shared" si="391"/>
        <v>314751.99270537327</v>
      </c>
      <c r="CY161" s="1152">
        <f t="shared" si="392"/>
        <v>124545.83026853147</v>
      </c>
      <c r="CZ161" s="1152">
        <f t="shared" si="393"/>
        <v>89957.689236129358</v>
      </c>
      <c r="DA161" s="1152">
        <f t="shared" si="394"/>
        <v>68461.942946810464</v>
      </c>
      <c r="DB161" s="1143">
        <f t="shared" si="332"/>
        <v>0.14818958197566759</v>
      </c>
      <c r="DC161" s="1143">
        <f t="shared" si="395"/>
        <v>0.33502751232655537</v>
      </c>
      <c r="DD161" s="1098" t="s">
        <v>232</v>
      </c>
      <c r="DE161" s="1144"/>
      <c r="DF161" s="705"/>
      <c r="DG161" s="765">
        <f t="shared" si="426"/>
        <v>46082</v>
      </c>
      <c r="DH161" s="1116">
        <f t="shared" si="333"/>
        <v>28</v>
      </c>
      <c r="DI161" s="497"/>
      <c r="DJ161" s="1117">
        <f t="shared" si="396"/>
        <v>46147</v>
      </c>
      <c r="DK161" s="1116">
        <f t="shared" si="397"/>
        <v>30</v>
      </c>
      <c r="DL161" s="766" t="s">
        <v>233</v>
      </c>
      <c r="DM161" s="766" t="s">
        <v>234</v>
      </c>
      <c r="DN161" s="767">
        <f t="shared" si="334"/>
        <v>22632.590701738322</v>
      </c>
      <c r="DO161" s="767">
        <f t="shared" si="335"/>
        <v>497916.99543824309</v>
      </c>
      <c r="DP161" s="768">
        <f t="shared" si="336"/>
        <v>0.1659723318127477</v>
      </c>
      <c r="DR161" s="767">
        <f t="shared" si="337"/>
        <v>3927447.9490105989</v>
      </c>
      <c r="DS161" s="767">
        <f>SUM('[6]INTERNAL PRICELIST'!M161)</f>
        <v>2329361</v>
      </c>
      <c r="DT161" s="767">
        <f t="shared" si="398"/>
        <v>1598086.9490105989</v>
      </c>
      <c r="DV161" s="951">
        <f t="shared" si="338"/>
        <v>178520.36131866358</v>
      </c>
      <c r="DX161" s="772"/>
      <c r="DY161" s="773"/>
      <c r="DZ161" s="772"/>
      <c r="EA161" s="775"/>
      <c r="ED161" s="755" t="s">
        <v>562</v>
      </c>
      <c r="EE161" s="777" t="b">
        <f t="shared" si="340"/>
        <v>1</v>
      </c>
      <c r="EF161" s="777"/>
      <c r="EG161" s="777"/>
      <c r="EH161" s="1203"/>
      <c r="EP161" s="1230" t="s">
        <v>258</v>
      </c>
      <c r="EQ161" s="1145" t="s">
        <v>258</v>
      </c>
      <c r="ER161" s="753" t="b">
        <f t="shared" si="399"/>
        <v>1</v>
      </c>
      <c r="EU161" s="770">
        <v>3085530.8324007285</v>
      </c>
      <c r="EV161" s="771" t="s">
        <v>258</v>
      </c>
      <c r="EW161" s="775">
        <f>EU161-CG161</f>
        <v>-841917.11660987046</v>
      </c>
      <c r="EY161" s="775">
        <v>3052563.7514302991</v>
      </c>
      <c r="FJ161" s="994">
        <v>0.125</v>
      </c>
      <c r="FK161" s="993">
        <v>10997.154993100912</v>
      </c>
      <c r="FL161" s="993">
        <v>11294.375398319857</v>
      </c>
      <c r="FM161" s="497"/>
      <c r="FN161" s="993">
        <f t="shared" si="341"/>
        <v>4428197.5625094511</v>
      </c>
      <c r="FO161" s="994">
        <f t="shared" si="400"/>
        <v>0.15</v>
      </c>
      <c r="FP161" s="775">
        <f t="shared" si="342"/>
        <v>664229.63437641761</v>
      </c>
      <c r="FQ161" s="993">
        <f t="shared" si="343"/>
        <v>30000</v>
      </c>
      <c r="FR161" s="775">
        <f t="shared" si="401"/>
        <v>634229.63437641761</v>
      </c>
      <c r="FS161" s="497">
        <f t="shared" si="402"/>
        <v>40</v>
      </c>
      <c r="FT161" s="775">
        <f t="shared" si="403"/>
        <v>15855.74085941044</v>
      </c>
      <c r="FU161" s="497"/>
      <c r="FV161" s="993">
        <f t="shared" si="404"/>
        <v>4428197.5625094511</v>
      </c>
      <c r="FW161" s="705">
        <f t="shared" si="405"/>
        <v>442819.75625094515</v>
      </c>
      <c r="FX161" s="705">
        <f t="shared" si="406"/>
        <v>110704.93906273629</v>
      </c>
      <c r="FY161" s="705">
        <v>15000</v>
      </c>
      <c r="FZ161" s="705">
        <f t="shared" si="407"/>
        <v>427819.75625094515</v>
      </c>
      <c r="GA161" s="497">
        <f t="shared" si="408"/>
        <v>46</v>
      </c>
      <c r="GB161" s="775">
        <f t="shared" si="409"/>
        <v>9300.4294837161997</v>
      </c>
      <c r="GC161" s="497"/>
      <c r="GD161" s="497"/>
      <c r="GH161" s="1095">
        <f t="shared" si="307"/>
        <v>4428197.5625094511</v>
      </c>
      <c r="GI161" s="1098">
        <f t="shared" si="308"/>
        <v>0.125</v>
      </c>
      <c r="GJ161" s="1095">
        <f t="shared" si="309"/>
        <v>553524.69531368138</v>
      </c>
      <c r="GK161" s="1095">
        <f t="shared" si="310"/>
        <v>30000</v>
      </c>
      <c r="GL161" s="1095">
        <f t="shared" si="311"/>
        <v>523524.69531368138</v>
      </c>
      <c r="GM161" s="1095">
        <f t="shared" si="312"/>
        <v>29</v>
      </c>
      <c r="GN161" s="1095">
        <f t="shared" si="313"/>
        <v>18052.575700471771</v>
      </c>
      <c r="GO161" s="1098">
        <f t="shared" si="314"/>
        <v>0.875</v>
      </c>
      <c r="GP161" s="1095">
        <f t="shared" si="315"/>
        <v>3874672.8671957697</v>
      </c>
      <c r="GQ161" s="1095">
        <f t="shared" si="316"/>
        <v>30040.297498082131</v>
      </c>
      <c r="GR161" s="1095">
        <f t="shared" si="317"/>
        <v>34826.655133403889</v>
      </c>
      <c r="GS161" s="1095">
        <f t="shared" si="318"/>
        <v>44988.237407976652</v>
      </c>
      <c r="GT161" s="1095">
        <f t="shared" si="319"/>
        <v>76723.166722248832</v>
      </c>
      <c r="GU161" s="497"/>
      <c r="GV161" s="1095">
        <f t="shared" si="410"/>
        <v>4428197.5625094511</v>
      </c>
      <c r="GW161" s="1098">
        <f t="shared" si="411"/>
        <v>0.125</v>
      </c>
      <c r="GX161" s="1095">
        <f t="shared" si="412"/>
        <v>553524.69531368138</v>
      </c>
      <c r="GY161" s="1095">
        <f t="shared" si="413"/>
        <v>30000</v>
      </c>
      <c r="GZ161" s="1095">
        <f t="shared" si="414"/>
        <v>523524.69531368138</v>
      </c>
      <c r="HA161" s="1106">
        <f t="shared" si="415"/>
        <v>48</v>
      </c>
      <c r="HB161" s="770">
        <f t="shared" si="416"/>
        <v>10906.764485701695</v>
      </c>
      <c r="HC161" s="1098">
        <f t="shared" si="417"/>
        <v>0.875</v>
      </c>
      <c r="HD161" s="1102">
        <f t="shared" si="418"/>
        <v>3874672.8671957697</v>
      </c>
      <c r="HE161" s="1101">
        <f t="shared" si="419"/>
        <v>30040.297498082131</v>
      </c>
      <c r="HF161" s="1101">
        <f t="shared" si="420"/>
        <v>34826.655133403889</v>
      </c>
      <c r="HG161" s="1101">
        <f t="shared" si="421"/>
        <v>44988.237407976652</v>
      </c>
      <c r="HH161" s="1101">
        <f t="shared" si="422"/>
        <v>76723.166722248832</v>
      </c>
      <c r="HI161" s="497"/>
      <c r="HJ161" s="1102">
        <f t="shared" si="423"/>
        <v>-7145.8112147700758</v>
      </c>
      <c r="HL161" s="775"/>
      <c r="HN161" s="775"/>
      <c r="HO161" s="775"/>
      <c r="HQ161" s="702"/>
      <c r="HR161" s="1171"/>
      <c r="HS161" s="702"/>
      <c r="HT161" s="1171"/>
    </row>
    <row r="162" spans="1:228" ht="14.25" customHeight="1">
      <c r="A162" s="753">
        <f t="shared" si="424"/>
        <v>156</v>
      </c>
      <c r="B162" s="753"/>
      <c r="C162" s="753">
        <v>1</v>
      </c>
      <c r="D162" s="753" t="s">
        <v>272</v>
      </c>
      <c r="E162" s="717" t="str">
        <f t="shared" si="344"/>
        <v>8th Floor</v>
      </c>
      <c r="F162" s="754"/>
      <c r="G162" s="756" t="s">
        <v>563</v>
      </c>
      <c r="H162" s="756"/>
      <c r="I162" s="755" t="s">
        <v>229</v>
      </c>
      <c r="J162" s="757">
        <v>22</v>
      </c>
      <c r="K162" s="758"/>
      <c r="L162" s="759" t="s">
        <v>69</v>
      </c>
      <c r="M162" s="760" t="s">
        <v>230</v>
      </c>
      <c r="N162" s="761">
        <f t="shared" si="345"/>
        <v>106005.26567735759</v>
      </c>
      <c r="O162" s="762">
        <f t="shared" si="346"/>
        <v>2332115.8449018667</v>
      </c>
      <c r="P162" s="762">
        <f t="shared" si="347"/>
        <v>22400</v>
      </c>
      <c r="Q162" s="762">
        <f t="shared" si="320"/>
        <v>50000</v>
      </c>
      <c r="R162" s="762"/>
      <c r="S162" s="762"/>
      <c r="T162" s="762">
        <f>J162*$T$5</f>
        <v>66000</v>
      </c>
      <c r="U162" s="762"/>
      <c r="V162" s="762">
        <f>J162*$V$5</f>
        <v>55000</v>
      </c>
      <c r="W162" s="762"/>
      <c r="X162" s="762"/>
      <c r="Y162" s="762">
        <f>Y161+Y5</f>
        <v>80000</v>
      </c>
      <c r="Z162" s="762">
        <f t="shared" si="321"/>
        <v>142461</v>
      </c>
      <c r="AA162" s="762"/>
      <c r="AB162" s="762"/>
      <c r="AC162" s="762"/>
      <c r="AD162" s="763">
        <f t="shared" si="348"/>
        <v>415861</v>
      </c>
      <c r="AE162" s="763">
        <f t="shared" si="322"/>
        <v>2747976.8449018667</v>
      </c>
      <c r="AF162" s="762">
        <f t="shared" si="323"/>
        <v>68699.421122546672</v>
      </c>
      <c r="AG162" s="762">
        <f t="shared" si="349"/>
        <v>2816676.2660244135</v>
      </c>
      <c r="AH162" s="762">
        <f t="shared" si="324"/>
        <v>70416.906650610341</v>
      </c>
      <c r="AI162" s="762">
        <f t="shared" si="350"/>
        <v>2887093.1726750238</v>
      </c>
      <c r="AJ162" s="762">
        <f t="shared" si="351"/>
        <v>144354.65863375118</v>
      </c>
      <c r="AK162" s="762">
        <f t="shared" si="352"/>
        <v>3031447.8313087751</v>
      </c>
      <c r="AL162" s="762">
        <f t="shared" si="353"/>
        <v>30314.478313087751</v>
      </c>
      <c r="AM162" s="762">
        <f t="shared" si="354"/>
        <v>27537.409960060559</v>
      </c>
      <c r="AN162" s="762"/>
      <c r="AO162" s="763">
        <f t="shared" si="355"/>
        <v>3089299.7195819234</v>
      </c>
      <c r="AP162" s="763">
        <f t="shared" si="356"/>
        <v>509734.45373101742</v>
      </c>
      <c r="AQ162" s="763">
        <f t="shared" si="357"/>
        <v>3599034.1733129406</v>
      </c>
      <c r="AR162" s="1178">
        <f t="shared" si="325"/>
        <v>3000000</v>
      </c>
      <c r="AS162" s="1178">
        <f t="shared" si="358"/>
        <v>27228.826059679119</v>
      </c>
      <c r="AT162" s="1178">
        <f t="shared" si="359"/>
        <v>599034.17331294063</v>
      </c>
      <c r="AU162" s="1178">
        <f t="shared" si="326"/>
        <v>71884.100797552877</v>
      </c>
      <c r="AV162" s="1178">
        <f t="shared" si="360"/>
        <v>670918.27411049348</v>
      </c>
      <c r="AW162" s="1178">
        <f t="shared" si="361"/>
        <v>3670918.2741104937</v>
      </c>
      <c r="AX162" s="762">
        <f t="shared" si="362"/>
        <v>45886.478426381174</v>
      </c>
      <c r="AY162" s="717" t="s">
        <v>231</v>
      </c>
      <c r="AZ162" s="717">
        <f t="shared" si="363"/>
        <v>3716804.7525368747</v>
      </c>
      <c r="BA162" s="717">
        <f t="shared" si="364"/>
        <v>139380.1782201328</v>
      </c>
      <c r="BB162" s="717"/>
      <c r="BC162" s="717">
        <f t="shared" si="327"/>
        <v>33600</v>
      </c>
      <c r="BD162" s="717">
        <f t="shared" si="365"/>
        <v>3889784.9307570076</v>
      </c>
      <c r="BE162" s="717"/>
      <c r="BF162" s="717">
        <f t="shared" si="366"/>
        <v>3889784.9307570076</v>
      </c>
      <c r="BG162" s="1209"/>
      <c r="BH162" s="717">
        <f t="shared" si="367"/>
        <v>3889784.9307570076</v>
      </c>
      <c r="BI162" s="717"/>
      <c r="BJ162" s="717">
        <f t="shared" si="368"/>
        <v>3889784.9307570076</v>
      </c>
      <c r="BK162" s="717"/>
      <c r="BL162" s="717">
        <f t="shared" si="369"/>
        <v>3889784.9307570076</v>
      </c>
      <c r="BM162" s="717"/>
      <c r="BN162" s="717">
        <f t="shared" si="370"/>
        <v>3889784.9307570076</v>
      </c>
      <c r="BO162" s="717">
        <f t="shared" si="438"/>
        <v>7289.0781490196077</v>
      </c>
      <c r="BP162" s="717">
        <f t="shared" si="328"/>
        <v>3897074.0089060273</v>
      </c>
      <c r="BQ162" s="717">
        <f t="shared" si="439"/>
        <v>4468.4242000000004</v>
      </c>
      <c r="BR162" s="717">
        <f t="shared" si="433"/>
        <v>3901542.4331060271</v>
      </c>
      <c r="BS162" s="1234">
        <f t="shared" si="440"/>
        <v>2651.4786794501206</v>
      </c>
      <c r="BT162" s="1235">
        <f t="shared" si="371"/>
        <v>3904193.9117854773</v>
      </c>
      <c r="BU162" s="1235">
        <f t="shared" si="441"/>
        <v>211.07692307692309</v>
      </c>
      <c r="BV162" s="1235">
        <f t="shared" si="434"/>
        <v>51400</v>
      </c>
      <c r="BW162" s="717">
        <f t="shared" si="372"/>
        <v>3955804.9887085543</v>
      </c>
      <c r="BX162" s="1234">
        <f t="shared" si="435"/>
        <v>27651.078536278128</v>
      </c>
      <c r="BY162" s="717">
        <f t="shared" si="373"/>
        <v>3983456.0672448324</v>
      </c>
      <c r="BZ162" s="1194">
        <f t="shared" si="374"/>
        <v>3983456.0672448324</v>
      </c>
      <c r="CA162" s="1194">
        <f t="shared" si="375"/>
        <v>3103456.0672448324</v>
      </c>
      <c r="CB162" s="1194">
        <f t="shared" si="442"/>
        <v>40000</v>
      </c>
      <c r="CC162" s="1194">
        <f t="shared" si="376"/>
        <v>880000</v>
      </c>
      <c r="CD162" s="1194">
        <f t="shared" si="377"/>
        <v>105600</v>
      </c>
      <c r="CE162" s="1194">
        <f t="shared" si="378"/>
        <v>985600</v>
      </c>
      <c r="CF162" s="1200">
        <f t="shared" si="379"/>
        <v>4089056.0672448324</v>
      </c>
      <c r="CG162" s="757">
        <f t="shared" si="380"/>
        <v>4089056.0672448324</v>
      </c>
      <c r="CH162" s="758">
        <f t="shared" si="381"/>
        <v>0</v>
      </c>
      <c r="CI162" s="757">
        <f t="shared" si="329"/>
        <v>419128.24689259531</v>
      </c>
      <c r="CJ162" s="757">
        <f t="shared" si="330"/>
        <v>102226.40168112081</v>
      </c>
      <c r="CK162" s="759">
        <f t="shared" si="291"/>
        <v>4610410.7158185486</v>
      </c>
      <c r="CL162" s="764">
        <f t="shared" si="382"/>
        <v>0.125</v>
      </c>
      <c r="CM162" s="757">
        <f t="shared" si="383"/>
        <v>576301.33947731857</v>
      </c>
      <c r="CN162" s="757">
        <f t="shared" si="425"/>
        <v>30000</v>
      </c>
      <c r="CO162" s="757">
        <f t="shared" si="384"/>
        <v>546301.33947731857</v>
      </c>
      <c r="CP162" s="755">
        <f t="shared" si="385"/>
        <v>29</v>
      </c>
      <c r="CQ162" s="757">
        <f t="shared" si="427"/>
        <v>18837.977223355814</v>
      </c>
      <c r="CR162" s="764">
        <f t="shared" si="386"/>
        <v>0.875</v>
      </c>
      <c r="CS162" s="757">
        <f t="shared" si="387"/>
        <v>4034109.3763412302</v>
      </c>
      <c r="CT162" s="1101">
        <f t="shared" si="388"/>
        <v>31276.407056474778</v>
      </c>
      <c r="CU162" s="1101">
        <f t="shared" si="389"/>
        <v>36259.715551663503</v>
      </c>
      <c r="CV162" s="1101">
        <f t="shared" si="390"/>
        <v>46839.430468857216</v>
      </c>
      <c r="CW162" s="1141">
        <f t="shared" si="331"/>
        <v>79880.200694418338</v>
      </c>
      <c r="CX162" s="1152">
        <f t="shared" si="391"/>
        <v>327703.52711448097</v>
      </c>
      <c r="CY162" s="1152">
        <f t="shared" si="392"/>
        <v>129670.68934366907</v>
      </c>
      <c r="CZ162" s="1152">
        <f t="shared" si="393"/>
        <v>93659.302361724855</v>
      </c>
      <c r="DA162" s="1152">
        <f t="shared" si="394"/>
        <v>71279.040948855458</v>
      </c>
      <c r="DB162" s="1143">
        <f t="shared" si="332"/>
        <v>0.19967805777098022</v>
      </c>
      <c r="DC162" s="1143">
        <f t="shared" si="395"/>
        <v>0.31758142491605817</v>
      </c>
      <c r="DD162" s="1098" t="s">
        <v>232</v>
      </c>
      <c r="DE162" s="1144"/>
      <c r="DF162" s="705"/>
      <c r="DG162" s="765">
        <f t="shared" si="426"/>
        <v>46082</v>
      </c>
      <c r="DH162" s="1116">
        <f t="shared" si="333"/>
        <v>28</v>
      </c>
      <c r="DI162" s="497"/>
      <c r="DJ162" s="1117">
        <f t="shared" si="396"/>
        <v>46147</v>
      </c>
      <c r="DK162" s="1116">
        <f t="shared" si="397"/>
        <v>30</v>
      </c>
      <c r="DL162" s="766" t="s">
        <v>233</v>
      </c>
      <c r="DM162" s="766" t="s">
        <v>234</v>
      </c>
      <c r="DN162" s="767">
        <f t="shared" si="334"/>
        <v>30496.285186840614</v>
      </c>
      <c r="DO162" s="767">
        <f t="shared" si="335"/>
        <v>670918.27411049348</v>
      </c>
      <c r="DP162" s="768">
        <f t="shared" si="336"/>
        <v>0.22363942470349782</v>
      </c>
      <c r="DR162" s="767">
        <f t="shared" si="337"/>
        <v>4089056.0672448324</v>
      </c>
      <c r="DS162" s="767">
        <f>SUM('[6]INTERNAL PRICELIST'!M162)</f>
        <v>2329361</v>
      </c>
      <c r="DT162" s="767">
        <f t="shared" si="398"/>
        <v>1759695.0672448324</v>
      </c>
      <c r="DV162" s="951">
        <f t="shared" si="338"/>
        <v>185866.18487476511</v>
      </c>
      <c r="DX162" s="772"/>
      <c r="DY162" s="773"/>
      <c r="DZ162" s="772"/>
      <c r="EA162" s="775"/>
      <c r="ED162" s="1133" t="s">
        <v>563</v>
      </c>
      <c r="EE162" s="777" t="b">
        <f t="shared" si="340"/>
        <v>1</v>
      </c>
      <c r="EF162" s="777"/>
      <c r="EG162" s="777"/>
      <c r="EH162" s="1203"/>
      <c r="EP162" s="1230" t="s">
        <v>258</v>
      </c>
      <c r="EQ162" s="1145" t="s">
        <v>258</v>
      </c>
      <c r="ER162" s="753" t="b">
        <f t="shared" si="399"/>
        <v>1</v>
      </c>
      <c r="EU162" s="770">
        <v>3295300.7030250588</v>
      </c>
      <c r="EV162" s="771" t="s">
        <v>258</v>
      </c>
      <c r="EW162" s="775">
        <f>EU162-CG162</f>
        <v>-793755.36421977356</v>
      </c>
      <c r="EY162" s="775">
        <v>3260477.402618058</v>
      </c>
      <c r="FJ162" s="994">
        <v>0.125</v>
      </c>
      <c r="FK162" s="993">
        <v>11764.672492003094</v>
      </c>
      <c r="FL162" s="993">
        <v>12082.636613408584</v>
      </c>
      <c r="FM162" s="497"/>
      <c r="FN162" s="993">
        <f t="shared" si="341"/>
        <v>4610410.7158185486</v>
      </c>
      <c r="FO162" s="994">
        <f t="shared" si="400"/>
        <v>0.15</v>
      </c>
      <c r="FP162" s="775">
        <f t="shared" si="342"/>
        <v>691561.60737278231</v>
      </c>
      <c r="FQ162" s="993">
        <f t="shared" si="343"/>
        <v>30000</v>
      </c>
      <c r="FR162" s="775">
        <f t="shared" si="401"/>
        <v>661561.60737278231</v>
      </c>
      <c r="FS162" s="497">
        <f t="shared" si="402"/>
        <v>40</v>
      </c>
      <c r="FT162" s="775">
        <f t="shared" si="403"/>
        <v>16539.040184319558</v>
      </c>
      <c r="FU162" s="497"/>
      <c r="FV162" s="993">
        <f t="shared" si="404"/>
        <v>4610410.7158185486</v>
      </c>
      <c r="FW162" s="705">
        <f t="shared" si="405"/>
        <v>461041.07158185489</v>
      </c>
      <c r="FX162" s="705">
        <f t="shared" si="406"/>
        <v>115260.26789546372</v>
      </c>
      <c r="FY162" s="705">
        <v>15000</v>
      </c>
      <c r="FZ162" s="705">
        <f t="shared" si="407"/>
        <v>446041.07158185489</v>
      </c>
      <c r="GA162" s="497">
        <f t="shared" si="408"/>
        <v>46</v>
      </c>
      <c r="GB162" s="775">
        <f t="shared" si="409"/>
        <v>9696.5450343881494</v>
      </c>
      <c r="GC162" s="497"/>
      <c r="GD162" s="497"/>
      <c r="GH162" s="1095">
        <f t="shared" si="307"/>
        <v>4610410.7158185486</v>
      </c>
      <c r="GI162" s="1098">
        <f t="shared" si="308"/>
        <v>0.125</v>
      </c>
      <c r="GJ162" s="1095">
        <f t="shared" si="309"/>
        <v>576301.33947731857</v>
      </c>
      <c r="GK162" s="1095">
        <f t="shared" si="310"/>
        <v>30000</v>
      </c>
      <c r="GL162" s="1095">
        <f t="shared" si="311"/>
        <v>546301.33947731857</v>
      </c>
      <c r="GM162" s="1095">
        <f t="shared" si="312"/>
        <v>29</v>
      </c>
      <c r="GN162" s="1095">
        <f t="shared" si="313"/>
        <v>18837.977223355814</v>
      </c>
      <c r="GO162" s="1098">
        <f t="shared" si="314"/>
        <v>0.875</v>
      </c>
      <c r="GP162" s="1095">
        <f t="shared" si="315"/>
        <v>4034109.3763412302</v>
      </c>
      <c r="GQ162" s="1095">
        <f t="shared" si="316"/>
        <v>31276.407056474778</v>
      </c>
      <c r="GR162" s="1095">
        <f t="shared" si="317"/>
        <v>36259.715551663503</v>
      </c>
      <c r="GS162" s="1095">
        <f t="shared" si="318"/>
        <v>46839.430468857216</v>
      </c>
      <c r="GT162" s="1095">
        <f t="shared" si="319"/>
        <v>79880.200694418338</v>
      </c>
      <c r="GU162" s="497"/>
      <c r="GV162" s="1095">
        <f t="shared" si="410"/>
        <v>4610410.7158185486</v>
      </c>
      <c r="GW162" s="1098">
        <f t="shared" si="411"/>
        <v>0.125</v>
      </c>
      <c r="GX162" s="1095">
        <f t="shared" si="412"/>
        <v>576301.33947731857</v>
      </c>
      <c r="GY162" s="1095">
        <f t="shared" si="413"/>
        <v>30000</v>
      </c>
      <c r="GZ162" s="1095">
        <f t="shared" si="414"/>
        <v>546301.33947731857</v>
      </c>
      <c r="HA162" s="1106">
        <f t="shared" si="415"/>
        <v>48</v>
      </c>
      <c r="HB162" s="770">
        <f t="shared" si="416"/>
        <v>11381.27790577747</v>
      </c>
      <c r="HC162" s="1098">
        <f t="shared" si="417"/>
        <v>0.875</v>
      </c>
      <c r="HD162" s="1102">
        <f t="shared" si="418"/>
        <v>4034109.3763412302</v>
      </c>
      <c r="HE162" s="1101">
        <f t="shared" si="419"/>
        <v>31276.407056474778</v>
      </c>
      <c r="HF162" s="1101">
        <f t="shared" si="420"/>
        <v>36259.715551663503</v>
      </c>
      <c r="HG162" s="1101">
        <f t="shared" si="421"/>
        <v>46839.430468857216</v>
      </c>
      <c r="HH162" s="1101">
        <f t="shared" si="422"/>
        <v>79880.200694418338</v>
      </c>
      <c r="HI162" s="497"/>
      <c r="HJ162" s="1102">
        <f t="shared" si="423"/>
        <v>-7456.6993175783446</v>
      </c>
      <c r="HL162" s="775"/>
      <c r="HN162" s="775"/>
      <c r="HO162" s="775"/>
      <c r="HQ162" s="702"/>
      <c r="HR162" s="1171"/>
      <c r="HS162" s="702"/>
      <c r="HT162" s="1171"/>
    </row>
    <row r="163" spans="1:228" ht="14.25" customHeight="1">
      <c r="A163" s="753">
        <f t="shared" si="424"/>
        <v>157</v>
      </c>
      <c r="B163" s="753"/>
      <c r="C163" s="753">
        <f>C162+1</f>
        <v>2</v>
      </c>
      <c r="D163" s="753" t="s">
        <v>272</v>
      </c>
      <c r="E163" s="717" t="str">
        <f t="shared" si="344"/>
        <v>8th Floor</v>
      </c>
      <c r="F163" s="754"/>
      <c r="G163" s="756" t="s">
        <v>564</v>
      </c>
      <c r="H163" s="756"/>
      <c r="I163" s="755" t="s">
        <v>229</v>
      </c>
      <c r="J163" s="757">
        <v>22</v>
      </c>
      <c r="K163" s="758"/>
      <c r="L163" s="759" t="s">
        <v>69</v>
      </c>
      <c r="M163" s="760" t="s">
        <v>68</v>
      </c>
      <c r="N163" s="761">
        <f t="shared" si="345"/>
        <v>106005.26567735759</v>
      </c>
      <c r="O163" s="762">
        <f t="shared" si="346"/>
        <v>2332115.8449018667</v>
      </c>
      <c r="P163" s="762">
        <f t="shared" si="347"/>
        <v>22400</v>
      </c>
      <c r="Q163" s="762">
        <f t="shared" si="320"/>
        <v>50000</v>
      </c>
      <c r="R163" s="762"/>
      <c r="S163" s="762"/>
      <c r="T163" s="762">
        <f t="shared" ref="T163:T192" si="443">J163*$T$5</f>
        <v>66000</v>
      </c>
      <c r="U163" s="762"/>
      <c r="V163" s="762"/>
      <c r="W163" s="762"/>
      <c r="X163" s="762"/>
      <c r="Y163" s="762">
        <f>$Y$162</f>
        <v>80000</v>
      </c>
      <c r="Z163" s="762">
        <f t="shared" si="321"/>
        <v>142461</v>
      </c>
      <c r="AA163" s="762"/>
      <c r="AB163" s="762"/>
      <c r="AC163" s="762"/>
      <c r="AD163" s="763">
        <f t="shared" si="348"/>
        <v>360861</v>
      </c>
      <c r="AE163" s="763">
        <f t="shared" si="322"/>
        <v>2692976.8449018667</v>
      </c>
      <c r="AF163" s="762">
        <f t="shared" si="323"/>
        <v>67324.421122546672</v>
      </c>
      <c r="AG163" s="762">
        <f t="shared" si="349"/>
        <v>2760301.2660244135</v>
      </c>
      <c r="AH163" s="762">
        <f t="shared" si="324"/>
        <v>69007.531650610341</v>
      </c>
      <c r="AI163" s="762">
        <f t="shared" si="350"/>
        <v>2829308.7976750238</v>
      </c>
      <c r="AJ163" s="762">
        <f t="shared" si="351"/>
        <v>141465.43988375118</v>
      </c>
      <c r="AK163" s="762">
        <f t="shared" si="352"/>
        <v>2970774.2375587751</v>
      </c>
      <c r="AL163" s="762">
        <f t="shared" si="353"/>
        <v>29707.742375587753</v>
      </c>
      <c r="AM163" s="762">
        <f t="shared" si="354"/>
        <v>27537.409960060559</v>
      </c>
      <c r="AN163" s="762"/>
      <c r="AO163" s="763">
        <f t="shared" si="355"/>
        <v>3028019.3898944231</v>
      </c>
      <c r="AP163" s="763">
        <f t="shared" si="356"/>
        <v>499623.19933257985</v>
      </c>
      <c r="AQ163" s="763">
        <f t="shared" si="357"/>
        <v>3527642.589227003</v>
      </c>
      <c r="AR163" s="1178">
        <f t="shared" si="325"/>
        <v>3000000</v>
      </c>
      <c r="AS163" s="1178">
        <f t="shared" si="358"/>
        <v>23983.754055772864</v>
      </c>
      <c r="AT163" s="1178">
        <f t="shared" si="359"/>
        <v>527642.58922700305</v>
      </c>
      <c r="AU163" s="1178">
        <f t="shared" si="326"/>
        <v>63317.110707240361</v>
      </c>
      <c r="AV163" s="1178">
        <f t="shared" si="360"/>
        <v>590959.69993424346</v>
      </c>
      <c r="AW163" s="1178">
        <f t="shared" si="361"/>
        <v>3590959.6999342432</v>
      </c>
      <c r="AX163" s="762">
        <f t="shared" si="362"/>
        <v>44886.996249178046</v>
      </c>
      <c r="AY163" s="717" t="s">
        <v>231</v>
      </c>
      <c r="AZ163" s="717">
        <f t="shared" si="363"/>
        <v>3635846.6961834212</v>
      </c>
      <c r="BA163" s="717">
        <f t="shared" si="364"/>
        <v>136344.25110687828</v>
      </c>
      <c r="BB163" s="717"/>
      <c r="BC163" s="717">
        <f t="shared" si="327"/>
        <v>33600</v>
      </c>
      <c r="BD163" s="717">
        <f t="shared" si="365"/>
        <v>3805790.9472902995</v>
      </c>
      <c r="BE163" s="717"/>
      <c r="BF163" s="717">
        <f t="shared" si="366"/>
        <v>3805790.9472902995</v>
      </c>
      <c r="BG163" s="1209"/>
      <c r="BH163" s="717">
        <f t="shared" si="367"/>
        <v>3805790.9472902995</v>
      </c>
      <c r="BI163" s="717"/>
      <c r="BJ163" s="717">
        <f t="shared" si="368"/>
        <v>3805790.9472902995</v>
      </c>
      <c r="BK163" s="717"/>
      <c r="BL163" s="717">
        <f t="shared" si="369"/>
        <v>3805790.9472902995</v>
      </c>
      <c r="BM163" s="717"/>
      <c r="BN163" s="717">
        <f t="shared" si="370"/>
        <v>3805790.9472902995</v>
      </c>
      <c r="BO163" s="717"/>
      <c r="BP163" s="717">
        <f t="shared" si="328"/>
        <v>3805790.9472902995</v>
      </c>
      <c r="BQ163" s="717">
        <f t="shared" si="439"/>
        <v>4468.4242000000004</v>
      </c>
      <c r="BR163" s="717">
        <f t="shared" si="433"/>
        <v>3810259.3714902992</v>
      </c>
      <c r="BS163" s="1234">
        <f t="shared" si="440"/>
        <v>2651.4786794501206</v>
      </c>
      <c r="BT163" s="1235">
        <f t="shared" si="371"/>
        <v>3812910.8501697495</v>
      </c>
      <c r="BU163" s="1235">
        <f t="shared" si="441"/>
        <v>211.07692307692309</v>
      </c>
      <c r="BV163" s="1235">
        <f t="shared" si="434"/>
        <v>51400</v>
      </c>
      <c r="BW163" s="717">
        <f t="shared" si="372"/>
        <v>3864521.9270928265</v>
      </c>
      <c r="BX163" s="1234">
        <f t="shared" si="435"/>
        <v>27651.078536278128</v>
      </c>
      <c r="BY163" s="717">
        <f t="shared" si="373"/>
        <v>3892173.0056291046</v>
      </c>
      <c r="BZ163" s="1194">
        <f t="shared" si="374"/>
        <v>3892173.0056291046</v>
      </c>
      <c r="CA163" s="1194">
        <f t="shared" si="375"/>
        <v>3012173.0056291046</v>
      </c>
      <c r="CB163" s="1194">
        <f t="shared" si="442"/>
        <v>40000</v>
      </c>
      <c r="CC163" s="1194">
        <f t="shared" si="376"/>
        <v>880000</v>
      </c>
      <c r="CD163" s="1194">
        <f t="shared" si="377"/>
        <v>105600</v>
      </c>
      <c r="CE163" s="1194">
        <f t="shared" si="378"/>
        <v>985600</v>
      </c>
      <c r="CF163" s="1200">
        <f t="shared" si="379"/>
        <v>3997773.0056291046</v>
      </c>
      <c r="CG163" s="757">
        <f t="shared" si="380"/>
        <v>3997773.0056291046</v>
      </c>
      <c r="CH163" s="758">
        <f t="shared" si="381"/>
        <v>0</v>
      </c>
      <c r="CI163" s="757">
        <f t="shared" si="329"/>
        <v>409771.73307698319</v>
      </c>
      <c r="CJ163" s="757">
        <f t="shared" si="330"/>
        <v>99944.325140727626</v>
      </c>
      <c r="CK163" s="759">
        <f t="shared" ref="CK163:CK226" si="444">SUM(CG163:CJ163)</f>
        <v>4507489.0638468154</v>
      </c>
      <c r="CL163" s="764">
        <f t="shared" si="382"/>
        <v>0.125</v>
      </c>
      <c r="CM163" s="757">
        <f t="shared" si="383"/>
        <v>563436.13298085192</v>
      </c>
      <c r="CN163" s="757">
        <f t="shared" si="425"/>
        <v>30000</v>
      </c>
      <c r="CO163" s="757">
        <f t="shared" si="384"/>
        <v>533436.13298085192</v>
      </c>
      <c r="CP163" s="755">
        <f t="shared" si="385"/>
        <v>29</v>
      </c>
      <c r="CQ163" s="757">
        <f t="shared" si="427"/>
        <v>18394.349413132826</v>
      </c>
      <c r="CR163" s="764">
        <f t="shared" si="386"/>
        <v>0.875</v>
      </c>
      <c r="CS163" s="757">
        <f t="shared" si="387"/>
        <v>3944052.9308659635</v>
      </c>
      <c r="CT163" s="1101">
        <f t="shared" si="388"/>
        <v>30578.200393248844</v>
      </c>
      <c r="CU163" s="1101">
        <f t="shared" si="389"/>
        <v>35450.262760007012</v>
      </c>
      <c r="CV163" s="1101">
        <f t="shared" si="390"/>
        <v>45793.798776060408</v>
      </c>
      <c r="CW163" s="1141">
        <f t="shared" si="331"/>
        <v>78096.975137724425</v>
      </c>
      <c r="CX163" s="1152">
        <f t="shared" si="391"/>
        <v>320387.95580282662</v>
      </c>
      <c r="CY163" s="1152">
        <f t="shared" si="392"/>
        <v>126775.95341184128</v>
      </c>
      <c r="CZ163" s="1152">
        <f t="shared" si="393"/>
        <v>91568.475596873963</v>
      </c>
      <c r="DA163" s="1152">
        <f t="shared" si="394"/>
        <v>69687.825524111133</v>
      </c>
      <c r="DB163" s="1143">
        <f t="shared" si="332"/>
        <v>0.17588086307566769</v>
      </c>
      <c r="DC163" s="1143">
        <f t="shared" si="395"/>
        <v>0.32720564129554486</v>
      </c>
      <c r="DD163" s="1098" t="s">
        <v>232</v>
      </c>
      <c r="DE163" s="1144"/>
      <c r="DF163" s="705"/>
      <c r="DG163" s="765">
        <f t="shared" si="426"/>
        <v>46082</v>
      </c>
      <c r="DH163" s="1116">
        <f t="shared" si="333"/>
        <v>28</v>
      </c>
      <c r="DI163" s="497"/>
      <c r="DJ163" s="1117">
        <f t="shared" si="396"/>
        <v>46147</v>
      </c>
      <c r="DK163" s="1116">
        <f t="shared" si="397"/>
        <v>30</v>
      </c>
      <c r="DL163" s="766" t="s">
        <v>233</v>
      </c>
      <c r="DM163" s="766" t="s">
        <v>234</v>
      </c>
      <c r="DN163" s="767">
        <f t="shared" si="334"/>
        <v>26861.804542465612</v>
      </c>
      <c r="DO163" s="767">
        <f t="shared" si="335"/>
        <v>590959.69993424346</v>
      </c>
      <c r="DP163" s="768">
        <f t="shared" si="336"/>
        <v>0.19698656664474781</v>
      </c>
      <c r="DR163" s="767">
        <f t="shared" si="337"/>
        <v>3997773.0056291046</v>
      </c>
      <c r="DS163" s="767">
        <f>SUM('[6]INTERNAL PRICELIST'!M163)</f>
        <v>2329361</v>
      </c>
      <c r="DT163" s="767">
        <f t="shared" si="398"/>
        <v>1668412.0056291046</v>
      </c>
      <c r="DV163" s="951">
        <f t="shared" si="338"/>
        <v>181716.95480132292</v>
      </c>
      <c r="DX163" s="772"/>
      <c r="DY163" s="773"/>
      <c r="DZ163" s="772"/>
      <c r="EA163" s="775"/>
      <c r="ED163" s="755" t="s">
        <v>564</v>
      </c>
      <c r="EE163" s="777" t="b">
        <f t="shared" si="340"/>
        <v>1</v>
      </c>
      <c r="EF163" s="777"/>
      <c r="EG163" s="777"/>
      <c r="EH163" s="1203"/>
      <c r="EP163" s="1230" t="s">
        <v>258</v>
      </c>
      <c r="EQ163" s="1145" t="s">
        <v>258</v>
      </c>
      <c r="ER163" s="753" t="b">
        <f t="shared" si="399"/>
        <v>1</v>
      </c>
      <c r="EU163" s="770">
        <v>3166487.7924007284</v>
      </c>
      <c r="EV163" s="771" t="s">
        <v>258</v>
      </c>
      <c r="EW163" s="775">
        <f>EU163-CG163</f>
        <v>-831285.21322837612</v>
      </c>
      <c r="FJ163" s="994">
        <v>0.15</v>
      </c>
      <c r="FK163" s="993">
        <v>13630.985074573726</v>
      </c>
      <c r="FL163" s="993">
        <v>13999.390076589232</v>
      </c>
      <c r="FM163" s="497"/>
      <c r="FN163" s="993">
        <f t="shared" si="341"/>
        <v>4507489.0638468154</v>
      </c>
      <c r="FO163" s="994">
        <f t="shared" si="400"/>
        <v>0.15</v>
      </c>
      <c r="FP163" s="775">
        <f t="shared" si="342"/>
        <v>676123.35957702226</v>
      </c>
      <c r="FQ163" s="993">
        <f t="shared" si="343"/>
        <v>30000</v>
      </c>
      <c r="FR163" s="775">
        <f t="shared" si="401"/>
        <v>646123.35957702226</v>
      </c>
      <c r="FS163" s="497">
        <f t="shared" si="402"/>
        <v>40</v>
      </c>
      <c r="FT163" s="775">
        <f t="shared" si="403"/>
        <v>16153.083989425557</v>
      </c>
      <c r="FU163" s="497"/>
      <c r="FV163" s="993">
        <f t="shared" si="404"/>
        <v>4507489.0638468154</v>
      </c>
      <c r="FW163" s="705">
        <f t="shared" si="405"/>
        <v>450748.90638468158</v>
      </c>
      <c r="FX163" s="705">
        <f t="shared" si="406"/>
        <v>112687.2265961704</v>
      </c>
      <c r="FY163" s="705">
        <v>15000</v>
      </c>
      <c r="FZ163" s="705">
        <f t="shared" si="407"/>
        <v>435748.90638468158</v>
      </c>
      <c r="GA163" s="497">
        <f t="shared" si="408"/>
        <v>46</v>
      </c>
      <c r="GB163" s="775">
        <f t="shared" si="409"/>
        <v>9472.8023127104698</v>
      </c>
      <c r="GC163" s="497"/>
      <c r="GD163" s="497"/>
      <c r="GH163" s="1095">
        <f t="shared" si="307"/>
        <v>4507489.0638468154</v>
      </c>
      <c r="GI163" s="1098">
        <f t="shared" si="308"/>
        <v>0.125</v>
      </c>
      <c r="GJ163" s="1095">
        <f t="shared" si="309"/>
        <v>563436.13298085192</v>
      </c>
      <c r="GK163" s="1095">
        <f t="shared" si="310"/>
        <v>30000</v>
      </c>
      <c r="GL163" s="1095">
        <f t="shared" si="311"/>
        <v>533436.13298085192</v>
      </c>
      <c r="GM163" s="1095">
        <f t="shared" si="312"/>
        <v>29</v>
      </c>
      <c r="GN163" s="1095">
        <f t="shared" si="313"/>
        <v>18394.349413132826</v>
      </c>
      <c r="GO163" s="1098">
        <f t="shared" si="314"/>
        <v>0.875</v>
      </c>
      <c r="GP163" s="1095">
        <f t="shared" si="315"/>
        <v>3944052.9308659635</v>
      </c>
      <c r="GQ163" s="1095">
        <f t="shared" si="316"/>
        <v>30578.200393248844</v>
      </c>
      <c r="GR163" s="1095">
        <f t="shared" si="317"/>
        <v>35450.262760007012</v>
      </c>
      <c r="GS163" s="1095">
        <f t="shared" si="318"/>
        <v>45793.798776060408</v>
      </c>
      <c r="GT163" s="1095">
        <f t="shared" si="319"/>
        <v>78096.975137724425</v>
      </c>
      <c r="GU163" s="497"/>
      <c r="GV163" s="1095">
        <f t="shared" si="410"/>
        <v>4507489.0638468154</v>
      </c>
      <c r="GW163" s="1098">
        <f t="shared" si="411"/>
        <v>0.125</v>
      </c>
      <c r="GX163" s="1095">
        <f t="shared" si="412"/>
        <v>563436.13298085192</v>
      </c>
      <c r="GY163" s="1095">
        <f t="shared" si="413"/>
        <v>30000</v>
      </c>
      <c r="GZ163" s="1095">
        <f t="shared" si="414"/>
        <v>533436.13298085192</v>
      </c>
      <c r="HA163" s="1106">
        <f t="shared" si="415"/>
        <v>48</v>
      </c>
      <c r="HB163" s="770">
        <f t="shared" si="416"/>
        <v>11113.252770434416</v>
      </c>
      <c r="HC163" s="1098">
        <f t="shared" si="417"/>
        <v>0.875</v>
      </c>
      <c r="HD163" s="1102">
        <f t="shared" si="418"/>
        <v>3944052.9308659635</v>
      </c>
      <c r="HE163" s="1101">
        <f t="shared" si="419"/>
        <v>30578.200393248844</v>
      </c>
      <c r="HF163" s="1101">
        <f t="shared" si="420"/>
        <v>35450.262760007012</v>
      </c>
      <c r="HG163" s="1101">
        <f t="shared" si="421"/>
        <v>45793.798776060408</v>
      </c>
      <c r="HH163" s="1101">
        <f t="shared" si="422"/>
        <v>78096.975137724425</v>
      </c>
      <c r="HI163" s="497"/>
      <c r="HJ163" s="1102">
        <f t="shared" si="423"/>
        <v>-7281.0966426984105</v>
      </c>
      <c r="HL163" s="775"/>
      <c r="HN163" s="775"/>
      <c r="HO163" s="775"/>
      <c r="HQ163" s="702"/>
      <c r="HR163" s="1171"/>
      <c r="HS163" s="702"/>
      <c r="HT163" s="1171"/>
    </row>
    <row r="164" spans="1:228" ht="14.25" hidden="1" customHeight="1">
      <c r="A164" s="753">
        <f t="shared" si="424"/>
        <v>158</v>
      </c>
      <c r="B164" s="753" t="s">
        <v>236</v>
      </c>
      <c r="C164" s="753">
        <f t="shared" ref="C164:C192" si="445">C163+1</f>
        <v>3</v>
      </c>
      <c r="D164" s="753" t="s">
        <v>272</v>
      </c>
      <c r="E164" s="717" t="str">
        <f t="shared" si="344"/>
        <v>8th Floor</v>
      </c>
      <c r="F164" s="754"/>
      <c r="G164" s="756" t="s">
        <v>565</v>
      </c>
      <c r="H164" s="756"/>
      <c r="I164" s="755" t="s">
        <v>229</v>
      </c>
      <c r="J164" s="757">
        <v>22</v>
      </c>
      <c r="K164" s="758"/>
      <c r="L164" s="759" t="s">
        <v>69</v>
      </c>
      <c r="M164" s="760" t="s">
        <v>68</v>
      </c>
      <c r="N164" s="761">
        <f t="shared" si="345"/>
        <v>106005.26567735759</v>
      </c>
      <c r="O164" s="762">
        <f t="shared" si="346"/>
        <v>2332115.8449018667</v>
      </c>
      <c r="P164" s="762">
        <f t="shared" si="347"/>
        <v>22400</v>
      </c>
      <c r="Q164" s="762">
        <f t="shared" si="320"/>
        <v>50000</v>
      </c>
      <c r="R164" s="762"/>
      <c r="S164" s="762"/>
      <c r="T164" s="762">
        <f t="shared" si="443"/>
        <v>66000</v>
      </c>
      <c r="U164" s="762"/>
      <c r="V164" s="762"/>
      <c r="W164" s="762"/>
      <c r="X164" s="762"/>
      <c r="Y164" s="762">
        <f t="shared" ref="Y164:Y192" si="446">$Y$162</f>
        <v>80000</v>
      </c>
      <c r="Z164" s="762">
        <f t="shared" si="321"/>
        <v>142461</v>
      </c>
      <c r="AA164" s="762"/>
      <c r="AB164" s="762"/>
      <c r="AC164" s="762"/>
      <c r="AD164" s="763">
        <f t="shared" si="348"/>
        <v>360861</v>
      </c>
      <c r="AE164" s="763">
        <f t="shared" si="322"/>
        <v>2692976.8449018667</v>
      </c>
      <c r="AF164" s="762">
        <f t="shared" si="323"/>
        <v>67324.421122546672</v>
      </c>
      <c r="AG164" s="762">
        <f t="shared" si="349"/>
        <v>2760301.2660244135</v>
      </c>
      <c r="AH164" s="762">
        <f t="shared" si="324"/>
        <v>69007.531650610341</v>
      </c>
      <c r="AI164" s="762">
        <f t="shared" si="350"/>
        <v>2829308.7976750238</v>
      </c>
      <c r="AJ164" s="762">
        <f t="shared" si="351"/>
        <v>141465.43988375118</v>
      </c>
      <c r="AK164" s="762">
        <f t="shared" si="352"/>
        <v>2970774.2375587751</v>
      </c>
      <c r="AL164" s="762">
        <f t="shared" si="353"/>
        <v>29707.742375587753</v>
      </c>
      <c r="AM164" s="762">
        <f t="shared" si="354"/>
        <v>27537.409960060559</v>
      </c>
      <c r="AN164" s="762"/>
      <c r="AO164" s="763">
        <f t="shared" si="355"/>
        <v>3028019.3898944231</v>
      </c>
      <c r="AP164" s="763">
        <f t="shared" si="356"/>
        <v>499623.19933257985</v>
      </c>
      <c r="AQ164" s="763">
        <f t="shared" si="357"/>
        <v>3527642.589227003</v>
      </c>
      <c r="AR164" s="1178">
        <f t="shared" si="325"/>
        <v>3000000</v>
      </c>
      <c r="AS164" s="1178">
        <f t="shared" si="358"/>
        <v>23983.754055772864</v>
      </c>
      <c r="AT164" s="1178">
        <f t="shared" si="359"/>
        <v>527642.58922700305</v>
      </c>
      <c r="AU164" s="1178">
        <f t="shared" si="326"/>
        <v>63317.110707240361</v>
      </c>
      <c r="AV164" s="1178">
        <f t="shared" si="360"/>
        <v>590959.69993424346</v>
      </c>
      <c r="AW164" s="1178">
        <f t="shared" si="361"/>
        <v>3590959.6999342432</v>
      </c>
      <c r="AX164" s="762">
        <f t="shared" si="362"/>
        <v>44886.996249178046</v>
      </c>
      <c r="AY164" s="717" t="s">
        <v>231</v>
      </c>
      <c r="AZ164" s="717">
        <f t="shared" si="363"/>
        <v>3635846.6961834212</v>
      </c>
      <c r="BA164" s="717">
        <f t="shared" si="364"/>
        <v>136344.25110687828</v>
      </c>
      <c r="BB164" s="717"/>
      <c r="BC164" s="717">
        <f t="shared" si="327"/>
        <v>33600</v>
      </c>
      <c r="BD164" s="717">
        <f t="shared" si="365"/>
        <v>3805790.9472902995</v>
      </c>
      <c r="BE164" s="717"/>
      <c r="BF164" s="717">
        <f t="shared" si="366"/>
        <v>3805790.9472902995</v>
      </c>
      <c r="BG164" s="1209"/>
      <c r="BH164" s="717">
        <f t="shared" si="367"/>
        <v>3805790.9472902995</v>
      </c>
      <c r="BI164" s="717"/>
      <c r="BJ164" s="717">
        <f t="shared" si="368"/>
        <v>3805790.9472902995</v>
      </c>
      <c r="BK164" s="717"/>
      <c r="BL164" s="717">
        <f t="shared" si="369"/>
        <v>3805790.9472902995</v>
      </c>
      <c r="BM164" s="717"/>
      <c r="BN164" s="717">
        <f t="shared" si="370"/>
        <v>3805790.9472902995</v>
      </c>
      <c r="BO164" s="717"/>
      <c r="BP164" s="717">
        <f t="shared" si="328"/>
        <v>3805790.9472902995</v>
      </c>
      <c r="BQ164" s="717"/>
      <c r="BR164" s="717">
        <f t="shared" si="433"/>
        <v>3805790.9472902995</v>
      </c>
      <c r="BS164" s="717"/>
      <c r="BT164" s="717">
        <f t="shared" si="371"/>
        <v>3805790.9472902995</v>
      </c>
      <c r="BU164" s="717"/>
      <c r="BV164" s="1235">
        <f t="shared" si="434"/>
        <v>51400</v>
      </c>
      <c r="BW164" s="717">
        <f t="shared" si="372"/>
        <v>3857190.9472902995</v>
      </c>
      <c r="BX164" s="717"/>
      <c r="BY164" s="717">
        <f t="shared" si="373"/>
        <v>3857190.9472902995</v>
      </c>
      <c r="BZ164" s="1194">
        <f t="shared" si="374"/>
        <v>3857190.9472902995</v>
      </c>
      <c r="CA164" s="1194">
        <f t="shared" si="375"/>
        <v>3043190.9472902995</v>
      </c>
      <c r="CB164" s="1194">
        <v>37000</v>
      </c>
      <c r="CC164" s="1194">
        <f t="shared" si="376"/>
        <v>814000</v>
      </c>
      <c r="CD164" s="1194">
        <f t="shared" si="377"/>
        <v>97680</v>
      </c>
      <c r="CE164" s="1194">
        <f t="shared" si="378"/>
        <v>911680</v>
      </c>
      <c r="CF164" s="1200">
        <f t="shared" si="379"/>
        <v>3954870.9472902995</v>
      </c>
      <c r="CG164" s="757">
        <f t="shared" si="380"/>
        <v>3954870.9472902995</v>
      </c>
      <c r="CH164" s="758">
        <f t="shared" si="381"/>
        <v>0</v>
      </c>
      <c r="CI164" s="757">
        <f t="shared" si="329"/>
        <v>405374.27209725569</v>
      </c>
      <c r="CJ164" s="757">
        <f t="shared" si="330"/>
        <v>98871.773682257495</v>
      </c>
      <c r="CK164" s="759">
        <f t="shared" si="444"/>
        <v>4459116.9930698127</v>
      </c>
      <c r="CL164" s="764">
        <f t="shared" si="382"/>
        <v>0.125</v>
      </c>
      <c r="CM164" s="757">
        <f t="shared" si="383"/>
        <v>557389.62413372658</v>
      </c>
      <c r="CN164" s="757">
        <f t="shared" si="425"/>
        <v>30000</v>
      </c>
      <c r="CO164" s="757">
        <f t="shared" si="384"/>
        <v>527389.62413372658</v>
      </c>
      <c r="CP164" s="755">
        <f t="shared" si="385"/>
        <v>29</v>
      </c>
      <c r="CQ164" s="757">
        <f t="shared" si="427"/>
        <v>18185.849108059538</v>
      </c>
      <c r="CR164" s="764">
        <f t="shared" si="386"/>
        <v>0.875</v>
      </c>
      <c r="CS164" s="757">
        <f t="shared" si="387"/>
        <v>3901727.3689360861</v>
      </c>
      <c r="CT164" s="1101">
        <f t="shared" si="388"/>
        <v>30250.050762111794</v>
      </c>
      <c r="CU164" s="1101">
        <f t="shared" si="389"/>
        <v>35069.828643584122</v>
      </c>
      <c r="CV164" s="1101">
        <f t="shared" si="390"/>
        <v>45302.363113285224</v>
      </c>
      <c r="CW164" s="1141">
        <f t="shared" si="331"/>
        <v>77258.878282619058</v>
      </c>
      <c r="CX164" s="1152">
        <f t="shared" si="391"/>
        <v>316949.71587485942</v>
      </c>
      <c r="CY164" s="1152">
        <f t="shared" si="392"/>
        <v>125415.45862097293</v>
      </c>
      <c r="CZ164" s="1152">
        <f t="shared" si="393"/>
        <v>90585.809478382245</v>
      </c>
      <c r="DA164" s="1152">
        <f t="shared" si="394"/>
        <v>68939.971368327359</v>
      </c>
      <c r="DB164" s="1143">
        <f t="shared" si="332"/>
        <v>0.17588086307566769</v>
      </c>
      <c r="DC164" s="1143">
        <f t="shared" si="395"/>
        <v>0.29958028128723663</v>
      </c>
      <c r="DD164" s="1098" t="s">
        <v>232</v>
      </c>
      <c r="DE164" s="1144"/>
      <c r="DF164" s="705"/>
      <c r="DG164" s="765">
        <f t="shared" si="426"/>
        <v>46082</v>
      </c>
      <c r="DH164" s="1116">
        <f t="shared" si="333"/>
        <v>28</v>
      </c>
      <c r="DI164" s="497"/>
      <c r="DJ164" s="1117">
        <f t="shared" si="396"/>
        <v>46147</v>
      </c>
      <c r="DK164" s="1116">
        <f t="shared" si="397"/>
        <v>30</v>
      </c>
      <c r="DL164" s="766" t="s">
        <v>233</v>
      </c>
      <c r="DM164" s="766" t="s">
        <v>234</v>
      </c>
      <c r="DN164" s="767">
        <f t="shared" si="334"/>
        <v>26861.804542465612</v>
      </c>
      <c r="DO164" s="767">
        <f t="shared" si="335"/>
        <v>590959.69993424346</v>
      </c>
      <c r="DP164" s="768">
        <f t="shared" si="336"/>
        <v>0.19698656664474781</v>
      </c>
      <c r="DR164" s="767">
        <f t="shared" si="337"/>
        <v>3954870.9472902995</v>
      </c>
      <c r="DS164" s="767">
        <f>SUM('[6]INTERNAL PRICELIST'!M164)</f>
        <v>2329361</v>
      </c>
      <c r="DT164" s="767">
        <f t="shared" si="398"/>
        <v>1625509.9472902995</v>
      </c>
      <c r="DV164" s="951">
        <f t="shared" si="338"/>
        <v>179766.86124046816</v>
      </c>
      <c r="DX164" s="772"/>
      <c r="DY164" s="773"/>
      <c r="DZ164" s="772"/>
      <c r="EA164" s="775"/>
      <c r="ED164" s="755" t="s">
        <v>565</v>
      </c>
      <c r="EE164" s="777" t="b">
        <f t="shared" si="340"/>
        <v>1</v>
      </c>
      <c r="EF164" s="1123" t="s">
        <v>566</v>
      </c>
      <c r="EG164" s="1123" t="s">
        <v>567</v>
      </c>
      <c r="EH164" s="1203"/>
      <c r="EP164" s="1230" t="s">
        <v>236</v>
      </c>
      <c r="EQ164" s="1145" t="s">
        <v>236</v>
      </c>
      <c r="ER164" s="753" t="b">
        <f t="shared" si="399"/>
        <v>1</v>
      </c>
      <c r="EU164" s="770">
        <v>2459020</v>
      </c>
      <c r="EV164" s="771" t="s">
        <v>236</v>
      </c>
      <c r="FJ164" s="994">
        <v>0.15</v>
      </c>
      <c r="FK164" s="993">
        <v>13630.985074573726</v>
      </c>
      <c r="FL164" s="993">
        <v>13999.390076589232</v>
      </c>
      <c r="FM164" s="497"/>
      <c r="FN164" s="993">
        <f t="shared" si="341"/>
        <v>4459116.9930698127</v>
      </c>
      <c r="FO164" s="994">
        <f t="shared" si="400"/>
        <v>0.15</v>
      </c>
      <c r="FP164" s="775">
        <f t="shared" si="342"/>
        <v>668867.54896047188</v>
      </c>
      <c r="FQ164" s="993">
        <f t="shared" si="343"/>
        <v>30000</v>
      </c>
      <c r="FR164" s="775">
        <f t="shared" si="401"/>
        <v>638867.54896047188</v>
      </c>
      <c r="FS164" s="497">
        <f t="shared" si="402"/>
        <v>40</v>
      </c>
      <c r="FT164" s="775">
        <f t="shared" si="403"/>
        <v>15971.688724011798</v>
      </c>
      <c r="FU164" s="497"/>
      <c r="FV164" s="993">
        <f t="shared" si="404"/>
        <v>4459116.9930698127</v>
      </c>
      <c r="FW164" s="705">
        <f t="shared" si="405"/>
        <v>445911.69930698129</v>
      </c>
      <c r="FX164" s="705">
        <f t="shared" si="406"/>
        <v>111477.92482674532</v>
      </c>
      <c r="FY164" s="705">
        <v>15000</v>
      </c>
      <c r="FZ164" s="705">
        <f t="shared" si="407"/>
        <v>430911.69930698129</v>
      </c>
      <c r="GA164" s="497">
        <f t="shared" si="408"/>
        <v>46</v>
      </c>
      <c r="GB164" s="775">
        <f t="shared" si="409"/>
        <v>9367.6456371082895</v>
      </c>
      <c r="GC164" s="497"/>
      <c r="GD164" s="497"/>
      <c r="GH164" s="1095">
        <f t="shared" si="307"/>
        <v>4459116.9930698127</v>
      </c>
      <c r="GI164" s="1098">
        <f t="shared" si="308"/>
        <v>0.125</v>
      </c>
      <c r="GJ164" s="1095">
        <f t="shared" si="309"/>
        <v>557389.62413372658</v>
      </c>
      <c r="GK164" s="1095">
        <f t="shared" si="310"/>
        <v>30000</v>
      </c>
      <c r="GL164" s="1095">
        <f t="shared" si="311"/>
        <v>527389.62413372658</v>
      </c>
      <c r="GM164" s="1095">
        <f t="shared" si="312"/>
        <v>29</v>
      </c>
      <c r="GN164" s="1095">
        <f t="shared" si="313"/>
        <v>18185.849108059538</v>
      </c>
      <c r="GO164" s="1098">
        <f t="shared" si="314"/>
        <v>0.875</v>
      </c>
      <c r="GP164" s="1095">
        <f t="shared" si="315"/>
        <v>3901727.3689360861</v>
      </c>
      <c r="GQ164" s="1095">
        <f t="shared" si="316"/>
        <v>30250.050762111794</v>
      </c>
      <c r="GR164" s="1095">
        <f t="shared" si="317"/>
        <v>35069.828643584122</v>
      </c>
      <c r="GS164" s="1095">
        <f t="shared" si="318"/>
        <v>45302.363113285224</v>
      </c>
      <c r="GT164" s="1095">
        <f t="shared" si="319"/>
        <v>77258.878282619058</v>
      </c>
      <c r="GU164" s="497"/>
      <c r="GV164" s="1095">
        <f t="shared" si="410"/>
        <v>4459116.9930698127</v>
      </c>
      <c r="GW164" s="1098">
        <f t="shared" si="411"/>
        <v>0.125</v>
      </c>
      <c r="GX164" s="1095">
        <f t="shared" si="412"/>
        <v>557389.62413372658</v>
      </c>
      <c r="GY164" s="1095">
        <f t="shared" si="413"/>
        <v>30000</v>
      </c>
      <c r="GZ164" s="1095">
        <f t="shared" si="414"/>
        <v>527389.62413372658</v>
      </c>
      <c r="HA164" s="1106">
        <f t="shared" si="415"/>
        <v>48</v>
      </c>
      <c r="HB164" s="770">
        <f t="shared" si="416"/>
        <v>10987.283836119304</v>
      </c>
      <c r="HC164" s="1098">
        <f t="shared" si="417"/>
        <v>0.875</v>
      </c>
      <c r="HD164" s="1102">
        <f t="shared" si="418"/>
        <v>3901727.3689360861</v>
      </c>
      <c r="HE164" s="1101">
        <f t="shared" si="419"/>
        <v>30250.050762111794</v>
      </c>
      <c r="HF164" s="1101">
        <f t="shared" si="420"/>
        <v>35069.828643584122</v>
      </c>
      <c r="HG164" s="1101">
        <f t="shared" si="421"/>
        <v>45302.363113285224</v>
      </c>
      <c r="HH164" s="1101">
        <f t="shared" si="422"/>
        <v>77258.878282619058</v>
      </c>
      <c r="HI164" s="497"/>
      <c r="HJ164" s="1102">
        <f t="shared" si="423"/>
        <v>-7198.5652719402333</v>
      </c>
      <c r="HL164" s="775"/>
      <c r="HN164" s="775"/>
      <c r="HO164" s="775"/>
      <c r="HQ164" s="702"/>
      <c r="HR164" s="1171"/>
      <c r="HS164" s="702"/>
      <c r="HT164" s="1171"/>
    </row>
    <row r="165" spans="1:228" ht="14.25" hidden="1" customHeight="1">
      <c r="A165" s="753">
        <f t="shared" si="424"/>
        <v>159</v>
      </c>
      <c r="B165" s="753" t="s">
        <v>236</v>
      </c>
      <c r="C165" s="753">
        <f t="shared" si="445"/>
        <v>4</v>
      </c>
      <c r="D165" s="753" t="s">
        <v>272</v>
      </c>
      <c r="E165" s="717" t="str">
        <f t="shared" si="344"/>
        <v>8th Floor</v>
      </c>
      <c r="F165" s="754"/>
      <c r="G165" s="756" t="s">
        <v>568</v>
      </c>
      <c r="H165" s="756"/>
      <c r="I165" s="755" t="s">
        <v>229</v>
      </c>
      <c r="J165" s="757">
        <v>22</v>
      </c>
      <c r="K165" s="758"/>
      <c r="L165" s="759" t="s">
        <v>69</v>
      </c>
      <c r="M165" s="760" t="s">
        <v>68</v>
      </c>
      <c r="N165" s="761">
        <f t="shared" si="345"/>
        <v>106005.26567735759</v>
      </c>
      <c r="O165" s="762">
        <f t="shared" si="346"/>
        <v>2332115.8449018667</v>
      </c>
      <c r="P165" s="762">
        <f t="shared" si="347"/>
        <v>22400</v>
      </c>
      <c r="Q165" s="762">
        <f t="shared" si="320"/>
        <v>50000</v>
      </c>
      <c r="R165" s="762"/>
      <c r="S165" s="762"/>
      <c r="T165" s="762">
        <f t="shared" si="443"/>
        <v>66000</v>
      </c>
      <c r="U165" s="762"/>
      <c r="V165" s="762"/>
      <c r="W165" s="762"/>
      <c r="X165" s="762"/>
      <c r="Y165" s="762">
        <f t="shared" si="446"/>
        <v>80000</v>
      </c>
      <c r="Z165" s="762">
        <f t="shared" si="321"/>
        <v>142461</v>
      </c>
      <c r="AA165" s="762"/>
      <c r="AB165" s="762"/>
      <c r="AC165" s="762"/>
      <c r="AD165" s="763">
        <f t="shared" si="348"/>
        <v>360861</v>
      </c>
      <c r="AE165" s="763">
        <f t="shared" si="322"/>
        <v>2692976.8449018667</v>
      </c>
      <c r="AF165" s="762">
        <f t="shared" si="323"/>
        <v>67324.421122546672</v>
      </c>
      <c r="AG165" s="762">
        <f t="shared" si="349"/>
        <v>2760301.2660244135</v>
      </c>
      <c r="AH165" s="762">
        <f t="shared" si="324"/>
        <v>69007.531650610341</v>
      </c>
      <c r="AI165" s="762">
        <f t="shared" si="350"/>
        <v>2829308.7976750238</v>
      </c>
      <c r="AJ165" s="762">
        <f t="shared" si="351"/>
        <v>141465.43988375118</v>
      </c>
      <c r="AK165" s="762">
        <f t="shared" si="352"/>
        <v>2970774.2375587751</v>
      </c>
      <c r="AL165" s="762">
        <f t="shared" si="353"/>
        <v>29707.742375587753</v>
      </c>
      <c r="AM165" s="762">
        <f t="shared" si="354"/>
        <v>27537.409960060559</v>
      </c>
      <c r="AN165" s="762"/>
      <c r="AO165" s="763">
        <f t="shared" si="355"/>
        <v>3028019.3898944231</v>
      </c>
      <c r="AP165" s="763">
        <f t="shared" si="356"/>
        <v>499623.19933257985</v>
      </c>
      <c r="AQ165" s="763">
        <f t="shared" si="357"/>
        <v>3527642.589227003</v>
      </c>
      <c r="AR165" s="1178">
        <f t="shared" si="325"/>
        <v>3000000</v>
      </c>
      <c r="AS165" s="1178">
        <f t="shared" si="358"/>
        <v>23983.754055772864</v>
      </c>
      <c r="AT165" s="1178">
        <f t="shared" si="359"/>
        <v>527642.58922700305</v>
      </c>
      <c r="AU165" s="1178">
        <f t="shared" si="326"/>
        <v>63317.110707240361</v>
      </c>
      <c r="AV165" s="1178">
        <f t="shared" si="360"/>
        <v>590959.69993424346</v>
      </c>
      <c r="AW165" s="1178">
        <f t="shared" si="361"/>
        <v>3590959.6999342432</v>
      </c>
      <c r="AX165" s="762">
        <f t="shared" si="362"/>
        <v>44886.996249178046</v>
      </c>
      <c r="AY165" s="717" t="s">
        <v>231</v>
      </c>
      <c r="AZ165" s="717">
        <f t="shared" si="363"/>
        <v>3635846.6961834212</v>
      </c>
      <c r="BA165" s="717">
        <f t="shared" si="364"/>
        <v>136344.25110687828</v>
      </c>
      <c r="BB165" s="717"/>
      <c r="BC165" s="717">
        <f t="shared" si="327"/>
        <v>33600</v>
      </c>
      <c r="BD165" s="717">
        <f t="shared" si="365"/>
        <v>3805790.9472902995</v>
      </c>
      <c r="BE165" s="717"/>
      <c r="BF165" s="717">
        <f t="shared" si="366"/>
        <v>3805790.9472902995</v>
      </c>
      <c r="BG165" s="1209"/>
      <c r="BH165" s="717">
        <f t="shared" si="367"/>
        <v>3805790.9472902995</v>
      </c>
      <c r="BI165" s="717"/>
      <c r="BJ165" s="717">
        <f t="shared" si="368"/>
        <v>3805790.9472902995</v>
      </c>
      <c r="BK165" s="717"/>
      <c r="BL165" s="717">
        <f t="shared" si="369"/>
        <v>3805790.9472902995</v>
      </c>
      <c r="BM165" s="717"/>
      <c r="BN165" s="717">
        <f t="shared" si="370"/>
        <v>3805790.9472902995</v>
      </c>
      <c r="BO165" s="717"/>
      <c r="BP165" s="717">
        <f t="shared" si="328"/>
        <v>3805790.9472902995</v>
      </c>
      <c r="BQ165" s="717"/>
      <c r="BR165" s="717">
        <f t="shared" si="433"/>
        <v>3805790.9472902995</v>
      </c>
      <c r="BS165" s="717"/>
      <c r="BT165" s="717">
        <f t="shared" si="371"/>
        <v>3805790.9472902995</v>
      </c>
      <c r="BU165" s="717"/>
      <c r="BV165" s="1235">
        <f t="shared" si="434"/>
        <v>51400</v>
      </c>
      <c r="BW165" s="717">
        <f t="shared" si="372"/>
        <v>3857190.9472902995</v>
      </c>
      <c r="BX165" s="717"/>
      <c r="BY165" s="717">
        <f t="shared" si="373"/>
        <v>3857190.9472902995</v>
      </c>
      <c r="BZ165" s="1194">
        <f t="shared" si="374"/>
        <v>3857190.9472902995</v>
      </c>
      <c r="CA165" s="1194">
        <f t="shared" si="375"/>
        <v>3043190.9472902995</v>
      </c>
      <c r="CB165" s="1194">
        <v>37000</v>
      </c>
      <c r="CC165" s="1194">
        <f t="shared" si="376"/>
        <v>814000</v>
      </c>
      <c r="CD165" s="1194">
        <f t="shared" si="377"/>
        <v>97680</v>
      </c>
      <c r="CE165" s="1194">
        <f t="shared" si="378"/>
        <v>911680</v>
      </c>
      <c r="CF165" s="1200">
        <f t="shared" si="379"/>
        <v>3954870.9472902995</v>
      </c>
      <c r="CG165" s="757">
        <f t="shared" si="380"/>
        <v>3954870.9472902995</v>
      </c>
      <c r="CH165" s="758">
        <f t="shared" si="381"/>
        <v>0</v>
      </c>
      <c r="CI165" s="757">
        <f t="shared" si="329"/>
        <v>405374.27209725569</v>
      </c>
      <c r="CJ165" s="757">
        <f t="shared" si="330"/>
        <v>98871.773682257495</v>
      </c>
      <c r="CK165" s="759">
        <f t="shared" si="444"/>
        <v>4459116.9930698127</v>
      </c>
      <c r="CL165" s="764">
        <f t="shared" si="382"/>
        <v>0.125</v>
      </c>
      <c r="CM165" s="757">
        <f t="shared" si="383"/>
        <v>557389.62413372658</v>
      </c>
      <c r="CN165" s="757">
        <f t="shared" si="425"/>
        <v>30000</v>
      </c>
      <c r="CO165" s="757">
        <f t="shared" si="384"/>
        <v>527389.62413372658</v>
      </c>
      <c r="CP165" s="755">
        <f t="shared" si="385"/>
        <v>29</v>
      </c>
      <c r="CQ165" s="757">
        <f t="shared" si="427"/>
        <v>18185.849108059538</v>
      </c>
      <c r="CR165" s="764">
        <f t="shared" si="386"/>
        <v>0.875</v>
      </c>
      <c r="CS165" s="757">
        <f t="shared" si="387"/>
        <v>3901727.3689360861</v>
      </c>
      <c r="CT165" s="1101">
        <f t="shared" si="388"/>
        <v>30250.050762111794</v>
      </c>
      <c r="CU165" s="1101">
        <f t="shared" si="389"/>
        <v>35069.828643584122</v>
      </c>
      <c r="CV165" s="1101">
        <f t="shared" si="390"/>
        <v>45302.363113285224</v>
      </c>
      <c r="CW165" s="1141">
        <f t="shared" si="331"/>
        <v>77258.878282619058</v>
      </c>
      <c r="CX165" s="1152">
        <f t="shared" si="391"/>
        <v>316949.71587485942</v>
      </c>
      <c r="CY165" s="1152">
        <f t="shared" si="392"/>
        <v>125415.45862097293</v>
      </c>
      <c r="CZ165" s="1152">
        <f t="shared" si="393"/>
        <v>90585.809478382245</v>
      </c>
      <c r="DA165" s="1152">
        <f t="shared" si="394"/>
        <v>68939.971368327359</v>
      </c>
      <c r="DB165" s="1143">
        <f t="shared" si="332"/>
        <v>0.17588086307566769</v>
      </c>
      <c r="DC165" s="1143">
        <f t="shared" si="395"/>
        <v>0.29958028128723663</v>
      </c>
      <c r="DD165" s="1098" t="s">
        <v>232</v>
      </c>
      <c r="DE165" s="1144"/>
      <c r="DF165" s="705"/>
      <c r="DG165" s="765">
        <f t="shared" si="426"/>
        <v>46082</v>
      </c>
      <c r="DH165" s="1116">
        <f t="shared" si="333"/>
        <v>28</v>
      </c>
      <c r="DI165" s="497"/>
      <c r="DJ165" s="1117">
        <f t="shared" si="396"/>
        <v>46147</v>
      </c>
      <c r="DK165" s="1116">
        <f t="shared" si="397"/>
        <v>30</v>
      </c>
      <c r="DL165" s="766" t="s">
        <v>233</v>
      </c>
      <c r="DM165" s="766" t="s">
        <v>234</v>
      </c>
      <c r="DN165" s="767">
        <f t="shared" si="334"/>
        <v>26861.804542465612</v>
      </c>
      <c r="DO165" s="767">
        <f t="shared" si="335"/>
        <v>590959.69993424346</v>
      </c>
      <c r="DP165" s="768">
        <f t="shared" si="336"/>
        <v>0.19698656664474781</v>
      </c>
      <c r="DR165" s="767">
        <f t="shared" si="337"/>
        <v>3954870.9472902995</v>
      </c>
      <c r="DS165" s="767">
        <f>SUM('[6]INTERNAL PRICELIST'!M165)</f>
        <v>2329361</v>
      </c>
      <c r="DT165" s="767">
        <f t="shared" si="398"/>
        <v>1625509.9472902995</v>
      </c>
      <c r="DV165" s="951">
        <f t="shared" si="338"/>
        <v>179766.86124046816</v>
      </c>
      <c r="DX165" s="772"/>
      <c r="DY165" s="773"/>
      <c r="DZ165" s="772"/>
      <c r="EA165" s="775"/>
      <c r="ED165" s="755" t="s">
        <v>568</v>
      </c>
      <c r="EE165" s="777" t="b">
        <f t="shared" si="340"/>
        <v>1</v>
      </c>
      <c r="EF165" s="1123" t="s">
        <v>569</v>
      </c>
      <c r="EG165" s="1123" t="s">
        <v>567</v>
      </c>
      <c r="EH165" s="1203"/>
      <c r="EP165" s="1230" t="s">
        <v>236</v>
      </c>
      <c r="EQ165" s="1145" t="s">
        <v>236</v>
      </c>
      <c r="ER165" s="753" t="b">
        <f t="shared" si="399"/>
        <v>1</v>
      </c>
      <c r="EU165" s="770">
        <v>2459020</v>
      </c>
      <c r="EV165" s="771" t="s">
        <v>236</v>
      </c>
      <c r="FJ165" s="994">
        <v>0.15</v>
      </c>
      <c r="FK165" s="993">
        <v>13630.985074573726</v>
      </c>
      <c r="FL165" s="993">
        <v>13999.390076589232</v>
      </c>
      <c r="FM165" s="497"/>
      <c r="FN165" s="993">
        <f t="shared" si="341"/>
        <v>4459116.9930698127</v>
      </c>
      <c r="FO165" s="994">
        <f t="shared" si="400"/>
        <v>0.15</v>
      </c>
      <c r="FP165" s="775">
        <f t="shared" si="342"/>
        <v>668867.54896047188</v>
      </c>
      <c r="FQ165" s="993">
        <f t="shared" si="343"/>
        <v>30000</v>
      </c>
      <c r="FR165" s="775">
        <f t="shared" si="401"/>
        <v>638867.54896047188</v>
      </c>
      <c r="FS165" s="497">
        <f t="shared" si="402"/>
        <v>40</v>
      </c>
      <c r="FT165" s="775">
        <f t="shared" si="403"/>
        <v>15971.688724011798</v>
      </c>
      <c r="FU165" s="497"/>
      <c r="FV165" s="993">
        <f t="shared" si="404"/>
        <v>4459116.9930698127</v>
      </c>
      <c r="FW165" s="705">
        <f t="shared" si="405"/>
        <v>445911.69930698129</v>
      </c>
      <c r="FX165" s="705">
        <f t="shared" si="406"/>
        <v>111477.92482674532</v>
      </c>
      <c r="FY165" s="705">
        <v>15000</v>
      </c>
      <c r="FZ165" s="705">
        <f t="shared" si="407"/>
        <v>430911.69930698129</v>
      </c>
      <c r="GA165" s="497">
        <f t="shared" si="408"/>
        <v>46</v>
      </c>
      <c r="GB165" s="775">
        <f t="shared" si="409"/>
        <v>9367.6456371082895</v>
      </c>
      <c r="GC165" s="497"/>
      <c r="GD165" s="497"/>
      <c r="GH165" s="1095">
        <f t="shared" si="307"/>
        <v>4459116.9930698127</v>
      </c>
      <c r="GI165" s="1098">
        <f t="shared" si="308"/>
        <v>0.125</v>
      </c>
      <c r="GJ165" s="1095">
        <f t="shared" si="309"/>
        <v>557389.62413372658</v>
      </c>
      <c r="GK165" s="1095">
        <f t="shared" si="310"/>
        <v>30000</v>
      </c>
      <c r="GL165" s="1095">
        <f t="shared" si="311"/>
        <v>527389.62413372658</v>
      </c>
      <c r="GM165" s="1095">
        <f t="shared" si="312"/>
        <v>29</v>
      </c>
      <c r="GN165" s="1095">
        <f t="shared" si="313"/>
        <v>18185.849108059538</v>
      </c>
      <c r="GO165" s="1098">
        <f t="shared" si="314"/>
        <v>0.875</v>
      </c>
      <c r="GP165" s="1095">
        <f t="shared" si="315"/>
        <v>3901727.3689360861</v>
      </c>
      <c r="GQ165" s="1095">
        <f t="shared" si="316"/>
        <v>30250.050762111794</v>
      </c>
      <c r="GR165" s="1095">
        <f t="shared" si="317"/>
        <v>35069.828643584122</v>
      </c>
      <c r="GS165" s="1095">
        <f t="shared" si="318"/>
        <v>45302.363113285224</v>
      </c>
      <c r="GT165" s="1095">
        <f t="shared" si="319"/>
        <v>77258.878282619058</v>
      </c>
      <c r="GU165" s="497"/>
      <c r="GV165" s="1095">
        <f t="shared" si="410"/>
        <v>4459116.9930698127</v>
      </c>
      <c r="GW165" s="1098">
        <f t="shared" si="411"/>
        <v>0.125</v>
      </c>
      <c r="GX165" s="1095">
        <f t="shared" si="412"/>
        <v>557389.62413372658</v>
      </c>
      <c r="GY165" s="1095">
        <f t="shared" si="413"/>
        <v>30000</v>
      </c>
      <c r="GZ165" s="1095">
        <f t="shared" si="414"/>
        <v>527389.62413372658</v>
      </c>
      <c r="HA165" s="1106">
        <f t="shared" si="415"/>
        <v>48</v>
      </c>
      <c r="HB165" s="770">
        <f t="shared" si="416"/>
        <v>10987.283836119304</v>
      </c>
      <c r="HC165" s="1098">
        <f t="shared" si="417"/>
        <v>0.875</v>
      </c>
      <c r="HD165" s="1102">
        <f t="shared" si="418"/>
        <v>3901727.3689360861</v>
      </c>
      <c r="HE165" s="1101">
        <f t="shared" si="419"/>
        <v>30250.050762111794</v>
      </c>
      <c r="HF165" s="1101">
        <f t="shared" si="420"/>
        <v>35069.828643584122</v>
      </c>
      <c r="HG165" s="1101">
        <f t="shared" si="421"/>
        <v>45302.363113285224</v>
      </c>
      <c r="HH165" s="1101">
        <f t="shared" si="422"/>
        <v>77258.878282619058</v>
      </c>
      <c r="HI165" s="497"/>
      <c r="HJ165" s="1102">
        <f t="shared" si="423"/>
        <v>-7198.5652719402333</v>
      </c>
      <c r="HL165" s="775"/>
      <c r="HN165" s="775"/>
      <c r="HO165" s="775"/>
      <c r="HQ165" s="702"/>
      <c r="HR165" s="1171"/>
      <c r="HS165" s="702"/>
      <c r="HT165" s="1171"/>
    </row>
    <row r="166" spans="1:228" ht="14.25" customHeight="1">
      <c r="A166" s="753">
        <f t="shared" si="424"/>
        <v>160</v>
      </c>
      <c r="B166" s="753" t="s">
        <v>236</v>
      </c>
      <c r="C166" s="753">
        <f t="shared" si="445"/>
        <v>5</v>
      </c>
      <c r="D166" s="753" t="s">
        <v>272</v>
      </c>
      <c r="E166" s="717" t="str">
        <f t="shared" si="344"/>
        <v>8th Floor</v>
      </c>
      <c r="F166" s="754"/>
      <c r="G166" s="756" t="s">
        <v>570</v>
      </c>
      <c r="H166" s="756"/>
      <c r="I166" s="755" t="s">
        <v>229</v>
      </c>
      <c r="J166" s="757">
        <v>22</v>
      </c>
      <c r="K166" s="758"/>
      <c r="L166" s="759" t="s">
        <v>69</v>
      </c>
      <c r="M166" s="760" t="s">
        <v>68</v>
      </c>
      <c r="N166" s="761">
        <f t="shared" si="345"/>
        <v>106005.26567735759</v>
      </c>
      <c r="O166" s="762">
        <f t="shared" si="346"/>
        <v>2332115.8449018667</v>
      </c>
      <c r="P166" s="762">
        <f t="shared" si="347"/>
        <v>22400</v>
      </c>
      <c r="Q166" s="762">
        <f t="shared" si="320"/>
        <v>50000</v>
      </c>
      <c r="R166" s="762"/>
      <c r="S166" s="762"/>
      <c r="T166" s="762">
        <f t="shared" si="443"/>
        <v>66000</v>
      </c>
      <c r="U166" s="762"/>
      <c r="V166" s="762"/>
      <c r="W166" s="762"/>
      <c r="X166" s="762"/>
      <c r="Y166" s="762">
        <f t="shared" si="446"/>
        <v>80000</v>
      </c>
      <c r="Z166" s="762">
        <f t="shared" si="321"/>
        <v>142461</v>
      </c>
      <c r="AA166" s="762"/>
      <c r="AB166" s="762"/>
      <c r="AC166" s="762"/>
      <c r="AD166" s="763">
        <f t="shared" si="348"/>
        <v>360861</v>
      </c>
      <c r="AE166" s="763">
        <f t="shared" si="322"/>
        <v>2692976.8449018667</v>
      </c>
      <c r="AF166" s="762">
        <f t="shared" si="323"/>
        <v>67324.421122546672</v>
      </c>
      <c r="AG166" s="762">
        <f t="shared" si="349"/>
        <v>2760301.2660244135</v>
      </c>
      <c r="AH166" s="762">
        <f t="shared" si="324"/>
        <v>69007.531650610341</v>
      </c>
      <c r="AI166" s="762">
        <f t="shared" si="350"/>
        <v>2829308.7976750238</v>
      </c>
      <c r="AJ166" s="762">
        <f t="shared" si="351"/>
        <v>141465.43988375118</v>
      </c>
      <c r="AK166" s="762">
        <f t="shared" si="352"/>
        <v>2970774.2375587751</v>
      </c>
      <c r="AL166" s="762">
        <f t="shared" si="353"/>
        <v>29707.742375587753</v>
      </c>
      <c r="AM166" s="762">
        <f t="shared" si="354"/>
        <v>27537.409960060559</v>
      </c>
      <c r="AN166" s="762"/>
      <c r="AO166" s="763">
        <f t="shared" si="355"/>
        <v>3028019.3898944231</v>
      </c>
      <c r="AP166" s="763">
        <f t="shared" si="356"/>
        <v>499623.19933257985</v>
      </c>
      <c r="AQ166" s="763">
        <f t="shared" si="357"/>
        <v>3527642.589227003</v>
      </c>
      <c r="AR166" s="1178">
        <f t="shared" si="325"/>
        <v>3000000</v>
      </c>
      <c r="AS166" s="1178">
        <f t="shared" si="358"/>
        <v>23983.754055772864</v>
      </c>
      <c r="AT166" s="1178">
        <f t="shared" si="359"/>
        <v>527642.58922700305</v>
      </c>
      <c r="AU166" s="1178">
        <f t="shared" si="326"/>
        <v>63317.110707240361</v>
      </c>
      <c r="AV166" s="1178">
        <f t="shared" si="360"/>
        <v>590959.69993424346</v>
      </c>
      <c r="AW166" s="1178">
        <f t="shared" si="361"/>
        <v>3590959.6999342432</v>
      </c>
      <c r="AX166" s="762">
        <f t="shared" si="362"/>
        <v>44886.996249178046</v>
      </c>
      <c r="AY166" s="717" t="s">
        <v>231</v>
      </c>
      <c r="AZ166" s="717">
        <f t="shared" si="363"/>
        <v>3635846.6961834212</v>
      </c>
      <c r="BA166" s="717">
        <f t="shared" si="364"/>
        <v>136344.25110687828</v>
      </c>
      <c r="BB166" s="717"/>
      <c r="BC166" s="717">
        <f t="shared" si="327"/>
        <v>33600</v>
      </c>
      <c r="BD166" s="717">
        <f t="shared" si="365"/>
        <v>3805790.9472902995</v>
      </c>
      <c r="BE166" s="717"/>
      <c r="BF166" s="717">
        <f t="shared" si="366"/>
        <v>3805790.9472902995</v>
      </c>
      <c r="BG166" s="1209"/>
      <c r="BH166" s="717">
        <f t="shared" si="367"/>
        <v>3805790.9472902995</v>
      </c>
      <c r="BI166" s="717">
        <v>718.43902439024396</v>
      </c>
      <c r="BJ166" s="717">
        <f t="shared" si="368"/>
        <v>3806509.3863146896</v>
      </c>
      <c r="BK166" s="717"/>
      <c r="BL166" s="717">
        <f t="shared" si="369"/>
        <v>3806509.3863146896</v>
      </c>
      <c r="BM166" s="717">
        <f t="shared" ref="BM166:BM167" si="447">$BM$5/41</f>
        <v>1038.0487804878051</v>
      </c>
      <c r="BN166" s="717">
        <f t="shared" si="370"/>
        <v>3807547.4350951775</v>
      </c>
      <c r="BO166" s="717">
        <f t="shared" ref="BO166:BO167" si="448">$BO$5/51</f>
        <v>7289.0781490196077</v>
      </c>
      <c r="BP166" s="717">
        <f t="shared" si="328"/>
        <v>3814836.5132441972</v>
      </c>
      <c r="BQ166" s="717">
        <f t="shared" ref="BQ166:BQ167" si="449">$BQ$5/56</f>
        <v>4468.4242000000004</v>
      </c>
      <c r="BR166" s="717">
        <f t="shared" si="433"/>
        <v>3819304.937444197</v>
      </c>
      <c r="BS166" s="1234">
        <f t="shared" ref="BS166:BS167" si="450">$BS$5/64</f>
        <v>2651.4786794501206</v>
      </c>
      <c r="BT166" s="1235">
        <f t="shared" si="371"/>
        <v>3821956.4161236472</v>
      </c>
      <c r="BU166" s="1235">
        <f t="shared" ref="BU166:BU167" si="451">$BU$5/65</f>
        <v>211.07692307692309</v>
      </c>
      <c r="BV166" s="1235">
        <f t="shared" si="434"/>
        <v>51400</v>
      </c>
      <c r="BW166" s="717">
        <f t="shared" si="372"/>
        <v>3873567.4930467242</v>
      </c>
      <c r="BX166" s="1234">
        <f t="shared" si="435"/>
        <v>27651.078536278128</v>
      </c>
      <c r="BY166" s="717">
        <f t="shared" si="373"/>
        <v>3901218.5715830023</v>
      </c>
      <c r="BZ166" s="1194">
        <f t="shared" si="374"/>
        <v>3901218.5715830023</v>
      </c>
      <c r="CA166" s="1194">
        <f t="shared" si="375"/>
        <v>3021218.5715830023</v>
      </c>
      <c r="CB166" s="1194">
        <f t="shared" ref="CB166:CB167" si="452">$CB$5</f>
        <v>40000</v>
      </c>
      <c r="CC166" s="1194">
        <f t="shared" si="376"/>
        <v>880000</v>
      </c>
      <c r="CD166" s="1194">
        <f t="shared" si="377"/>
        <v>105600</v>
      </c>
      <c r="CE166" s="1194">
        <f t="shared" si="378"/>
        <v>985600</v>
      </c>
      <c r="CF166" s="1200">
        <f t="shared" si="379"/>
        <v>4006818.5715830023</v>
      </c>
      <c r="CG166" s="757">
        <f t="shared" si="380"/>
        <v>4006818.5715830023</v>
      </c>
      <c r="CH166" s="758">
        <f t="shared" si="381"/>
        <v>0</v>
      </c>
      <c r="CI166" s="757">
        <f t="shared" si="329"/>
        <v>410698.90358725772</v>
      </c>
      <c r="CJ166" s="757">
        <f t="shared" si="330"/>
        <v>100170.46428957506</v>
      </c>
      <c r="CK166" s="759">
        <f t="shared" si="444"/>
        <v>4517687.9394598352</v>
      </c>
      <c r="CL166" s="764">
        <f t="shared" si="382"/>
        <v>0.125</v>
      </c>
      <c r="CM166" s="757">
        <f t="shared" si="383"/>
        <v>564710.9924324794</v>
      </c>
      <c r="CN166" s="757">
        <f t="shared" si="425"/>
        <v>30000</v>
      </c>
      <c r="CO166" s="757">
        <f t="shared" si="384"/>
        <v>534710.9924324794</v>
      </c>
      <c r="CP166" s="755">
        <f t="shared" si="385"/>
        <v>29</v>
      </c>
      <c r="CQ166" s="757">
        <f t="shared" si="427"/>
        <v>18438.310083878601</v>
      </c>
      <c r="CR166" s="764">
        <f t="shared" si="386"/>
        <v>0.875</v>
      </c>
      <c r="CS166" s="757">
        <f t="shared" si="387"/>
        <v>3952976.9470273559</v>
      </c>
      <c r="CT166" s="1101">
        <f t="shared" si="388"/>
        <v>30647.388195562577</v>
      </c>
      <c r="CU166" s="1101">
        <f t="shared" si="389"/>
        <v>35530.474340161047</v>
      </c>
      <c r="CV166" s="1101">
        <f t="shared" si="390"/>
        <v>45897.414170562573</v>
      </c>
      <c r="CW166" s="1141">
        <f t="shared" si="331"/>
        <v>78273.681353513442</v>
      </c>
      <c r="CX166" s="1152">
        <f t="shared" si="391"/>
        <v>321112.88200072933</v>
      </c>
      <c r="CY166" s="1152">
        <f t="shared" si="392"/>
        <v>127062.80317703313</v>
      </c>
      <c r="CZ166" s="1152">
        <f t="shared" si="393"/>
        <v>91775.663119562989</v>
      </c>
      <c r="DA166" s="1152">
        <f t="shared" si="394"/>
        <v>69845.504767298378</v>
      </c>
      <c r="DB166" s="1143">
        <f t="shared" si="332"/>
        <v>0.17588086307566769</v>
      </c>
      <c r="DC166" s="1143">
        <f t="shared" si="395"/>
        <v>0.32622598353868304</v>
      </c>
      <c r="DD166" s="1098" t="s">
        <v>232</v>
      </c>
      <c r="DE166" s="1144"/>
      <c r="DF166" s="705"/>
      <c r="DG166" s="765">
        <f t="shared" si="426"/>
        <v>46082</v>
      </c>
      <c r="DH166" s="1116">
        <f t="shared" si="333"/>
        <v>28</v>
      </c>
      <c r="DI166" s="497"/>
      <c r="DJ166" s="1117">
        <f t="shared" si="396"/>
        <v>46147</v>
      </c>
      <c r="DK166" s="1116">
        <f t="shared" si="397"/>
        <v>30</v>
      </c>
      <c r="DL166" s="766" t="s">
        <v>233</v>
      </c>
      <c r="DM166" s="766" t="s">
        <v>234</v>
      </c>
      <c r="DN166" s="767">
        <f t="shared" si="334"/>
        <v>26861.804542465612</v>
      </c>
      <c r="DO166" s="767">
        <f t="shared" si="335"/>
        <v>590959.69993424346</v>
      </c>
      <c r="DP166" s="768">
        <f t="shared" si="336"/>
        <v>0.19698656664474781</v>
      </c>
      <c r="DR166" s="767">
        <f t="shared" si="337"/>
        <v>4006818.5715830023</v>
      </c>
      <c r="DS166" s="767">
        <f>SUM('[6]INTERNAL PRICELIST'!M166)</f>
        <v>2329361</v>
      </c>
      <c r="DT166" s="767">
        <f t="shared" si="398"/>
        <v>1677457.5715830023</v>
      </c>
      <c r="DV166" s="951">
        <f t="shared" si="338"/>
        <v>182128.11689013647</v>
      </c>
      <c r="DX166" s="772"/>
      <c r="DY166" s="773"/>
      <c r="DZ166" s="772"/>
      <c r="EA166" s="775"/>
      <c r="ED166" s="755" t="s">
        <v>570</v>
      </c>
      <c r="EE166" s="777" t="b">
        <f t="shared" si="340"/>
        <v>1</v>
      </c>
      <c r="EF166" s="1123" t="s">
        <v>571</v>
      </c>
      <c r="EG166" s="1123" t="s">
        <v>567</v>
      </c>
      <c r="EH166" s="1203"/>
      <c r="EP166" s="1230" t="s">
        <v>258</v>
      </c>
      <c r="EQ166" s="1145" t="s">
        <v>258</v>
      </c>
      <c r="ER166" s="753" t="b">
        <f t="shared" si="399"/>
        <v>1</v>
      </c>
      <c r="EU166" s="770">
        <v>2459020</v>
      </c>
      <c r="EV166" s="771" t="s">
        <v>236</v>
      </c>
      <c r="FJ166" s="994">
        <v>0.15</v>
      </c>
      <c r="FK166" s="993">
        <v>13630.985074573726</v>
      </c>
      <c r="FL166" s="993">
        <v>13999.390076589232</v>
      </c>
      <c r="FM166" s="497"/>
      <c r="FN166" s="993">
        <f t="shared" si="341"/>
        <v>4517687.9394598352</v>
      </c>
      <c r="FO166" s="994">
        <f t="shared" si="400"/>
        <v>0.15</v>
      </c>
      <c r="FP166" s="775">
        <f t="shared" si="342"/>
        <v>677653.19091897528</v>
      </c>
      <c r="FQ166" s="993">
        <f t="shared" si="343"/>
        <v>30000</v>
      </c>
      <c r="FR166" s="775">
        <f t="shared" si="401"/>
        <v>647653.19091897528</v>
      </c>
      <c r="FS166" s="497">
        <f t="shared" si="402"/>
        <v>40</v>
      </c>
      <c r="FT166" s="775">
        <f t="shared" si="403"/>
        <v>16191.329772974383</v>
      </c>
      <c r="FU166" s="497"/>
      <c r="FV166" s="993">
        <f t="shared" si="404"/>
        <v>4517687.9394598352</v>
      </c>
      <c r="FW166" s="705">
        <f t="shared" si="405"/>
        <v>451768.79394598352</v>
      </c>
      <c r="FX166" s="705">
        <f t="shared" si="406"/>
        <v>112942.19848649588</v>
      </c>
      <c r="FY166" s="705">
        <v>15000</v>
      </c>
      <c r="FZ166" s="705">
        <f t="shared" si="407"/>
        <v>436768.79394598352</v>
      </c>
      <c r="GA166" s="497">
        <f t="shared" si="408"/>
        <v>46</v>
      </c>
      <c r="GB166" s="775">
        <f t="shared" si="409"/>
        <v>9494.9737814344244</v>
      </c>
      <c r="GC166" s="497"/>
      <c r="GD166" s="497"/>
      <c r="GH166" s="1095">
        <f t="shared" si="307"/>
        <v>4517687.9394598352</v>
      </c>
      <c r="GI166" s="1098">
        <f t="shared" si="308"/>
        <v>0.125</v>
      </c>
      <c r="GJ166" s="1095">
        <f t="shared" si="309"/>
        <v>564710.9924324794</v>
      </c>
      <c r="GK166" s="1095">
        <f t="shared" si="310"/>
        <v>30000</v>
      </c>
      <c r="GL166" s="1095">
        <f t="shared" si="311"/>
        <v>534710.9924324794</v>
      </c>
      <c r="GM166" s="1095">
        <f t="shared" si="312"/>
        <v>29</v>
      </c>
      <c r="GN166" s="1095">
        <f t="shared" si="313"/>
        <v>18438.310083878601</v>
      </c>
      <c r="GO166" s="1098">
        <f t="shared" si="314"/>
        <v>0.875</v>
      </c>
      <c r="GP166" s="1095">
        <f t="shared" si="315"/>
        <v>3952976.9470273559</v>
      </c>
      <c r="GQ166" s="1095">
        <f t="shared" si="316"/>
        <v>30647.388195562577</v>
      </c>
      <c r="GR166" s="1095">
        <f t="shared" si="317"/>
        <v>35530.474340161047</v>
      </c>
      <c r="GS166" s="1095">
        <f t="shared" si="318"/>
        <v>45897.414170562573</v>
      </c>
      <c r="GT166" s="1095">
        <f t="shared" si="319"/>
        <v>78273.681353513442</v>
      </c>
      <c r="GU166" s="497"/>
      <c r="GV166" s="1095">
        <f t="shared" si="410"/>
        <v>4517687.9394598352</v>
      </c>
      <c r="GW166" s="1098">
        <f t="shared" si="411"/>
        <v>0.125</v>
      </c>
      <c r="GX166" s="1095">
        <f t="shared" si="412"/>
        <v>564710.9924324794</v>
      </c>
      <c r="GY166" s="1095">
        <f t="shared" si="413"/>
        <v>30000</v>
      </c>
      <c r="GZ166" s="1095">
        <f t="shared" si="414"/>
        <v>534710.9924324794</v>
      </c>
      <c r="HA166" s="1106">
        <f t="shared" si="415"/>
        <v>48</v>
      </c>
      <c r="HB166" s="770">
        <f t="shared" si="416"/>
        <v>11139.812342343321</v>
      </c>
      <c r="HC166" s="1098">
        <f t="shared" si="417"/>
        <v>0.875</v>
      </c>
      <c r="HD166" s="1102">
        <f t="shared" si="418"/>
        <v>3952976.9470273559</v>
      </c>
      <c r="HE166" s="1101">
        <f t="shared" si="419"/>
        <v>30647.388195562577</v>
      </c>
      <c r="HF166" s="1101">
        <f t="shared" si="420"/>
        <v>35530.474340161047</v>
      </c>
      <c r="HG166" s="1101">
        <f t="shared" si="421"/>
        <v>45897.414170562573</v>
      </c>
      <c r="HH166" s="1101">
        <f t="shared" si="422"/>
        <v>78273.681353513442</v>
      </c>
      <c r="HI166" s="497"/>
      <c r="HJ166" s="1102">
        <f t="shared" si="423"/>
        <v>-7298.4977415352805</v>
      </c>
      <c r="HL166" s="775"/>
      <c r="HN166" s="775"/>
      <c r="HO166" s="775"/>
      <c r="HQ166" s="702"/>
      <c r="HR166" s="1171"/>
      <c r="HS166" s="702"/>
      <c r="HT166" s="1171"/>
    </row>
    <row r="167" spans="1:228" ht="14.25" customHeight="1">
      <c r="A167" s="753">
        <f t="shared" si="424"/>
        <v>161</v>
      </c>
      <c r="B167" s="753" t="s">
        <v>236</v>
      </c>
      <c r="C167" s="753">
        <f t="shared" si="445"/>
        <v>6</v>
      </c>
      <c r="D167" s="753" t="s">
        <v>272</v>
      </c>
      <c r="E167" s="717" t="str">
        <f t="shared" si="344"/>
        <v>8th Floor</v>
      </c>
      <c r="F167" s="754"/>
      <c r="G167" s="756" t="s">
        <v>572</v>
      </c>
      <c r="H167" s="756"/>
      <c r="I167" s="755" t="s">
        <v>229</v>
      </c>
      <c r="J167" s="757">
        <v>22</v>
      </c>
      <c r="K167" s="758"/>
      <c r="L167" s="759" t="s">
        <v>69</v>
      </c>
      <c r="M167" s="760" t="s">
        <v>68</v>
      </c>
      <c r="N167" s="761">
        <f t="shared" si="345"/>
        <v>106005.26567735759</v>
      </c>
      <c r="O167" s="762">
        <f t="shared" si="346"/>
        <v>2332115.8449018667</v>
      </c>
      <c r="P167" s="762">
        <f t="shared" si="347"/>
        <v>22400</v>
      </c>
      <c r="Q167" s="762">
        <f t="shared" si="320"/>
        <v>50000</v>
      </c>
      <c r="R167" s="762"/>
      <c r="S167" s="762"/>
      <c r="T167" s="762">
        <f t="shared" si="443"/>
        <v>66000</v>
      </c>
      <c r="U167" s="762"/>
      <c r="V167" s="762"/>
      <c r="W167" s="762"/>
      <c r="X167" s="762"/>
      <c r="Y167" s="762">
        <f t="shared" si="446"/>
        <v>80000</v>
      </c>
      <c r="Z167" s="762">
        <f t="shared" si="321"/>
        <v>142461</v>
      </c>
      <c r="AA167" s="762"/>
      <c r="AB167" s="762"/>
      <c r="AC167" s="762"/>
      <c r="AD167" s="763">
        <f t="shared" si="348"/>
        <v>360861</v>
      </c>
      <c r="AE167" s="763">
        <f t="shared" si="322"/>
        <v>2692976.8449018667</v>
      </c>
      <c r="AF167" s="762">
        <f t="shared" si="323"/>
        <v>67324.421122546672</v>
      </c>
      <c r="AG167" s="762">
        <f t="shared" si="349"/>
        <v>2760301.2660244135</v>
      </c>
      <c r="AH167" s="762">
        <f t="shared" si="324"/>
        <v>69007.531650610341</v>
      </c>
      <c r="AI167" s="762">
        <f t="shared" si="350"/>
        <v>2829308.7976750238</v>
      </c>
      <c r="AJ167" s="762">
        <f t="shared" si="351"/>
        <v>141465.43988375118</v>
      </c>
      <c r="AK167" s="762">
        <f t="shared" si="352"/>
        <v>2970774.2375587751</v>
      </c>
      <c r="AL167" s="762">
        <f t="shared" si="353"/>
        <v>29707.742375587753</v>
      </c>
      <c r="AM167" s="762">
        <f t="shared" si="354"/>
        <v>27537.409960060559</v>
      </c>
      <c r="AN167" s="762"/>
      <c r="AO167" s="763">
        <f t="shared" si="355"/>
        <v>3028019.3898944231</v>
      </c>
      <c r="AP167" s="763">
        <f t="shared" si="356"/>
        <v>499623.19933257985</v>
      </c>
      <c r="AQ167" s="763">
        <f t="shared" si="357"/>
        <v>3527642.589227003</v>
      </c>
      <c r="AR167" s="1178">
        <f t="shared" si="325"/>
        <v>3000000</v>
      </c>
      <c r="AS167" s="1178">
        <f t="shared" si="358"/>
        <v>23983.754055772864</v>
      </c>
      <c r="AT167" s="1178">
        <f t="shared" si="359"/>
        <v>527642.58922700305</v>
      </c>
      <c r="AU167" s="1178">
        <f t="shared" si="326"/>
        <v>63317.110707240361</v>
      </c>
      <c r="AV167" s="1178">
        <f t="shared" si="360"/>
        <v>590959.69993424346</v>
      </c>
      <c r="AW167" s="1178">
        <f t="shared" si="361"/>
        <v>3590959.6999342432</v>
      </c>
      <c r="AX167" s="762">
        <f t="shared" si="362"/>
        <v>44886.996249178046</v>
      </c>
      <c r="AY167" s="717" t="s">
        <v>231</v>
      </c>
      <c r="AZ167" s="717">
        <f t="shared" si="363"/>
        <v>3635846.6961834212</v>
      </c>
      <c r="BA167" s="717">
        <f t="shared" si="364"/>
        <v>136344.25110687828</v>
      </c>
      <c r="BB167" s="717"/>
      <c r="BC167" s="717">
        <f t="shared" si="327"/>
        <v>33600</v>
      </c>
      <c r="BD167" s="717">
        <f t="shared" si="365"/>
        <v>3805790.9472902995</v>
      </c>
      <c r="BE167" s="717"/>
      <c r="BF167" s="717">
        <f t="shared" si="366"/>
        <v>3805790.9472902995</v>
      </c>
      <c r="BG167" s="1209"/>
      <c r="BH167" s="717">
        <f t="shared" si="367"/>
        <v>3805790.9472902995</v>
      </c>
      <c r="BI167" s="717">
        <v>718.43902439024396</v>
      </c>
      <c r="BJ167" s="717">
        <f t="shared" si="368"/>
        <v>3806509.3863146896</v>
      </c>
      <c r="BK167" s="717"/>
      <c r="BL167" s="717">
        <f t="shared" si="369"/>
        <v>3806509.3863146896</v>
      </c>
      <c r="BM167" s="717">
        <f t="shared" si="447"/>
        <v>1038.0487804878051</v>
      </c>
      <c r="BN167" s="717">
        <f t="shared" si="370"/>
        <v>3807547.4350951775</v>
      </c>
      <c r="BO167" s="717">
        <f t="shared" si="448"/>
        <v>7289.0781490196077</v>
      </c>
      <c r="BP167" s="717">
        <f t="shared" si="328"/>
        <v>3814836.5132441972</v>
      </c>
      <c r="BQ167" s="717">
        <f t="shared" si="449"/>
        <v>4468.4242000000004</v>
      </c>
      <c r="BR167" s="717">
        <f t="shared" si="433"/>
        <v>3819304.937444197</v>
      </c>
      <c r="BS167" s="1234">
        <f t="shared" si="450"/>
        <v>2651.4786794501206</v>
      </c>
      <c r="BT167" s="1235">
        <f t="shared" si="371"/>
        <v>3821956.4161236472</v>
      </c>
      <c r="BU167" s="1235">
        <f t="shared" si="451"/>
        <v>211.07692307692309</v>
      </c>
      <c r="BV167" s="1235">
        <f t="shared" si="434"/>
        <v>51400</v>
      </c>
      <c r="BW167" s="717">
        <f t="shared" si="372"/>
        <v>3873567.4930467242</v>
      </c>
      <c r="BX167" s="1234">
        <f t="shared" si="435"/>
        <v>27651.078536278128</v>
      </c>
      <c r="BY167" s="717">
        <f t="shared" si="373"/>
        <v>3901218.5715830023</v>
      </c>
      <c r="BZ167" s="1194">
        <f t="shared" si="374"/>
        <v>3901218.5715830023</v>
      </c>
      <c r="CA167" s="1194">
        <f t="shared" si="375"/>
        <v>3021218.5715830023</v>
      </c>
      <c r="CB167" s="1194">
        <f t="shared" si="452"/>
        <v>40000</v>
      </c>
      <c r="CC167" s="1194">
        <f t="shared" si="376"/>
        <v>880000</v>
      </c>
      <c r="CD167" s="1194">
        <f t="shared" si="377"/>
        <v>105600</v>
      </c>
      <c r="CE167" s="1194">
        <f t="shared" si="378"/>
        <v>985600</v>
      </c>
      <c r="CF167" s="1200">
        <f t="shared" si="379"/>
        <v>4006818.5715830023</v>
      </c>
      <c r="CG167" s="757">
        <f t="shared" si="380"/>
        <v>4006818.5715830023</v>
      </c>
      <c r="CH167" s="758">
        <f t="shared" si="381"/>
        <v>0</v>
      </c>
      <c r="CI167" s="757">
        <f t="shared" si="329"/>
        <v>410698.90358725772</v>
      </c>
      <c r="CJ167" s="757">
        <f t="shared" si="330"/>
        <v>100170.46428957506</v>
      </c>
      <c r="CK167" s="759">
        <f t="shared" si="444"/>
        <v>4517687.9394598352</v>
      </c>
      <c r="CL167" s="764">
        <f t="shared" si="382"/>
        <v>0.125</v>
      </c>
      <c r="CM167" s="757">
        <f t="shared" si="383"/>
        <v>564710.9924324794</v>
      </c>
      <c r="CN167" s="757">
        <f t="shared" si="425"/>
        <v>30000</v>
      </c>
      <c r="CO167" s="757">
        <f t="shared" si="384"/>
        <v>534710.9924324794</v>
      </c>
      <c r="CP167" s="755">
        <f t="shared" si="385"/>
        <v>29</v>
      </c>
      <c r="CQ167" s="757">
        <f t="shared" si="427"/>
        <v>18438.310083878601</v>
      </c>
      <c r="CR167" s="764">
        <f t="shared" si="386"/>
        <v>0.875</v>
      </c>
      <c r="CS167" s="757">
        <f t="shared" si="387"/>
        <v>3952976.9470273559</v>
      </c>
      <c r="CT167" s="1101">
        <f t="shared" si="388"/>
        <v>30647.388195562577</v>
      </c>
      <c r="CU167" s="1101">
        <f t="shared" si="389"/>
        <v>35530.474340161047</v>
      </c>
      <c r="CV167" s="1101">
        <f t="shared" si="390"/>
        <v>45897.414170562573</v>
      </c>
      <c r="CW167" s="1141">
        <f t="shared" si="331"/>
        <v>78273.681353513442</v>
      </c>
      <c r="CX167" s="1152">
        <f t="shared" si="391"/>
        <v>321112.88200072933</v>
      </c>
      <c r="CY167" s="1152">
        <f t="shared" si="392"/>
        <v>127062.80317703313</v>
      </c>
      <c r="CZ167" s="1152">
        <f t="shared" si="393"/>
        <v>91775.663119562989</v>
      </c>
      <c r="DA167" s="1152">
        <f t="shared" si="394"/>
        <v>69845.504767298378</v>
      </c>
      <c r="DB167" s="1143">
        <f t="shared" si="332"/>
        <v>0.17588086307566769</v>
      </c>
      <c r="DC167" s="1143">
        <f t="shared" si="395"/>
        <v>0.32622598353868304</v>
      </c>
      <c r="DD167" s="1098" t="s">
        <v>232</v>
      </c>
      <c r="DE167" s="1144"/>
      <c r="DF167" s="705"/>
      <c r="DG167" s="765">
        <f t="shared" si="426"/>
        <v>46082</v>
      </c>
      <c r="DH167" s="1116">
        <f t="shared" si="333"/>
        <v>28</v>
      </c>
      <c r="DI167" s="497"/>
      <c r="DJ167" s="1117">
        <f t="shared" si="396"/>
        <v>46147</v>
      </c>
      <c r="DK167" s="1116">
        <f t="shared" si="397"/>
        <v>30</v>
      </c>
      <c r="DL167" s="766" t="s">
        <v>233</v>
      </c>
      <c r="DM167" s="766" t="s">
        <v>234</v>
      </c>
      <c r="DN167" s="767">
        <f t="shared" si="334"/>
        <v>26861.804542465612</v>
      </c>
      <c r="DO167" s="767">
        <f t="shared" si="335"/>
        <v>590959.69993424346</v>
      </c>
      <c r="DP167" s="768">
        <f t="shared" si="336"/>
        <v>0.19698656664474781</v>
      </c>
      <c r="DR167" s="767">
        <f t="shared" si="337"/>
        <v>4006818.5715830023</v>
      </c>
      <c r="DS167" s="767">
        <f>SUM('[6]INTERNAL PRICELIST'!M167)</f>
        <v>2331316</v>
      </c>
      <c r="DT167" s="767">
        <f t="shared" si="398"/>
        <v>1675502.5715830023</v>
      </c>
      <c r="DV167" s="951">
        <f t="shared" si="338"/>
        <v>182128.11689013647</v>
      </c>
      <c r="DX167" s="772"/>
      <c r="DY167" s="773"/>
      <c r="DZ167" s="772"/>
      <c r="EA167" s="775"/>
      <c r="ED167" s="755" t="s">
        <v>572</v>
      </c>
      <c r="EE167" s="777" t="b">
        <f t="shared" si="340"/>
        <v>1</v>
      </c>
      <c r="EF167" s="1123" t="s">
        <v>571</v>
      </c>
      <c r="EG167" s="1123" t="s">
        <v>567</v>
      </c>
      <c r="EH167" s="1203"/>
      <c r="EP167" s="1230" t="s">
        <v>258</v>
      </c>
      <c r="EQ167" s="1145" t="s">
        <v>258</v>
      </c>
      <c r="ER167" s="753" t="b">
        <f t="shared" si="399"/>
        <v>1</v>
      </c>
      <c r="EU167" s="770">
        <v>2459020</v>
      </c>
      <c r="EV167" s="771" t="s">
        <v>236</v>
      </c>
      <c r="FJ167" s="994">
        <v>0.15</v>
      </c>
      <c r="FK167" s="993">
        <v>13630.985074573726</v>
      </c>
      <c r="FL167" s="993">
        <v>13999.390076589232</v>
      </c>
      <c r="FM167" s="497"/>
      <c r="FN167" s="993">
        <f t="shared" si="341"/>
        <v>4517687.9394598352</v>
      </c>
      <c r="FO167" s="994">
        <f t="shared" si="400"/>
        <v>0.15</v>
      </c>
      <c r="FP167" s="775">
        <f t="shared" si="342"/>
        <v>677653.19091897528</v>
      </c>
      <c r="FQ167" s="993">
        <f t="shared" si="343"/>
        <v>30000</v>
      </c>
      <c r="FR167" s="775">
        <f t="shared" si="401"/>
        <v>647653.19091897528</v>
      </c>
      <c r="FS167" s="497">
        <f t="shared" si="402"/>
        <v>40</v>
      </c>
      <c r="FT167" s="775">
        <f t="shared" si="403"/>
        <v>16191.329772974383</v>
      </c>
      <c r="FU167" s="497"/>
      <c r="FV167" s="993">
        <f t="shared" si="404"/>
        <v>4517687.9394598352</v>
      </c>
      <c r="FW167" s="705">
        <f t="shared" si="405"/>
        <v>451768.79394598352</v>
      </c>
      <c r="FX167" s="705">
        <f t="shared" si="406"/>
        <v>112942.19848649588</v>
      </c>
      <c r="FY167" s="705">
        <v>15000</v>
      </c>
      <c r="FZ167" s="705">
        <f t="shared" si="407"/>
        <v>436768.79394598352</v>
      </c>
      <c r="GA167" s="497">
        <f t="shared" si="408"/>
        <v>46</v>
      </c>
      <c r="GB167" s="775">
        <f t="shared" si="409"/>
        <v>9494.9737814344244</v>
      </c>
      <c r="GC167" s="497"/>
      <c r="GD167" s="497"/>
      <c r="GH167" s="1095">
        <f t="shared" si="307"/>
        <v>4517687.9394598352</v>
      </c>
      <c r="GI167" s="1098">
        <f t="shared" si="308"/>
        <v>0.125</v>
      </c>
      <c r="GJ167" s="1095">
        <f t="shared" si="309"/>
        <v>564710.9924324794</v>
      </c>
      <c r="GK167" s="1095">
        <f t="shared" si="310"/>
        <v>30000</v>
      </c>
      <c r="GL167" s="1095">
        <f t="shared" si="311"/>
        <v>534710.9924324794</v>
      </c>
      <c r="GM167" s="1095">
        <f t="shared" si="312"/>
        <v>29</v>
      </c>
      <c r="GN167" s="1095">
        <f t="shared" si="313"/>
        <v>18438.310083878601</v>
      </c>
      <c r="GO167" s="1098">
        <f t="shared" si="314"/>
        <v>0.875</v>
      </c>
      <c r="GP167" s="1095">
        <f t="shared" si="315"/>
        <v>3952976.9470273559</v>
      </c>
      <c r="GQ167" s="1095">
        <f t="shared" si="316"/>
        <v>30647.388195562577</v>
      </c>
      <c r="GR167" s="1095">
        <f t="shared" si="317"/>
        <v>35530.474340161047</v>
      </c>
      <c r="GS167" s="1095">
        <f t="shared" si="318"/>
        <v>45897.414170562573</v>
      </c>
      <c r="GT167" s="1095">
        <f t="shared" si="319"/>
        <v>78273.681353513442</v>
      </c>
      <c r="GU167" s="497"/>
      <c r="GV167" s="1095">
        <f t="shared" si="410"/>
        <v>4517687.9394598352</v>
      </c>
      <c r="GW167" s="1098">
        <f t="shared" si="411"/>
        <v>0.125</v>
      </c>
      <c r="GX167" s="1095">
        <f t="shared" si="412"/>
        <v>564710.9924324794</v>
      </c>
      <c r="GY167" s="1095">
        <f t="shared" si="413"/>
        <v>30000</v>
      </c>
      <c r="GZ167" s="1095">
        <f t="shared" si="414"/>
        <v>534710.9924324794</v>
      </c>
      <c r="HA167" s="1106">
        <f t="shared" si="415"/>
        <v>48</v>
      </c>
      <c r="HB167" s="770">
        <f t="shared" si="416"/>
        <v>11139.812342343321</v>
      </c>
      <c r="HC167" s="1098">
        <f t="shared" si="417"/>
        <v>0.875</v>
      </c>
      <c r="HD167" s="1102">
        <f t="shared" si="418"/>
        <v>3952976.9470273559</v>
      </c>
      <c r="HE167" s="1101">
        <f t="shared" si="419"/>
        <v>30647.388195562577</v>
      </c>
      <c r="HF167" s="1101">
        <f t="shared" si="420"/>
        <v>35530.474340161047</v>
      </c>
      <c r="HG167" s="1101">
        <f t="shared" si="421"/>
        <v>45897.414170562573</v>
      </c>
      <c r="HH167" s="1101">
        <f t="shared" si="422"/>
        <v>78273.681353513442</v>
      </c>
      <c r="HI167" s="497"/>
      <c r="HJ167" s="1102">
        <f t="shared" si="423"/>
        <v>-7298.4977415352805</v>
      </c>
      <c r="HL167" s="775"/>
      <c r="HN167" s="775"/>
      <c r="HO167" s="775"/>
      <c r="HQ167" s="702"/>
      <c r="HR167" s="1171"/>
      <c r="HS167" s="702"/>
      <c r="HT167" s="1171"/>
    </row>
    <row r="168" spans="1:228" ht="14.25" hidden="1" customHeight="1">
      <c r="A168" s="753">
        <f t="shared" si="424"/>
        <v>162</v>
      </c>
      <c r="B168" s="753" t="s">
        <v>236</v>
      </c>
      <c r="C168" s="753">
        <f t="shared" si="445"/>
        <v>7</v>
      </c>
      <c r="D168" s="753" t="s">
        <v>272</v>
      </c>
      <c r="E168" s="717" t="str">
        <f t="shared" si="344"/>
        <v>8th Floor</v>
      </c>
      <c r="F168" s="754"/>
      <c r="G168" s="756" t="s">
        <v>573</v>
      </c>
      <c r="H168" s="756"/>
      <c r="I168" s="755" t="s">
        <v>229</v>
      </c>
      <c r="J168" s="757">
        <v>22</v>
      </c>
      <c r="K168" s="758"/>
      <c r="L168" s="759" t="s">
        <v>69</v>
      </c>
      <c r="M168" s="760" t="s">
        <v>68</v>
      </c>
      <c r="N168" s="761">
        <f t="shared" si="345"/>
        <v>106005.26567735759</v>
      </c>
      <c r="O168" s="762">
        <f t="shared" si="346"/>
        <v>2332115.8449018667</v>
      </c>
      <c r="P168" s="762">
        <f t="shared" si="347"/>
        <v>22400</v>
      </c>
      <c r="Q168" s="762">
        <f t="shared" si="320"/>
        <v>50000</v>
      </c>
      <c r="R168" s="762"/>
      <c r="S168" s="762"/>
      <c r="T168" s="762">
        <f t="shared" si="443"/>
        <v>66000</v>
      </c>
      <c r="U168" s="762"/>
      <c r="V168" s="762"/>
      <c r="W168" s="762"/>
      <c r="X168" s="762"/>
      <c r="Y168" s="762">
        <f t="shared" si="446"/>
        <v>80000</v>
      </c>
      <c r="Z168" s="762">
        <f t="shared" si="321"/>
        <v>142461</v>
      </c>
      <c r="AA168" s="762"/>
      <c r="AB168" s="762"/>
      <c r="AC168" s="762"/>
      <c r="AD168" s="763">
        <f t="shared" si="348"/>
        <v>360861</v>
      </c>
      <c r="AE168" s="763">
        <f t="shared" si="322"/>
        <v>2692976.8449018667</v>
      </c>
      <c r="AF168" s="762">
        <f t="shared" si="323"/>
        <v>67324.421122546672</v>
      </c>
      <c r="AG168" s="762">
        <f t="shared" si="349"/>
        <v>2760301.2660244135</v>
      </c>
      <c r="AH168" s="762">
        <f t="shared" si="324"/>
        <v>69007.531650610341</v>
      </c>
      <c r="AI168" s="762">
        <f t="shared" si="350"/>
        <v>2829308.7976750238</v>
      </c>
      <c r="AJ168" s="762">
        <f t="shared" si="351"/>
        <v>141465.43988375118</v>
      </c>
      <c r="AK168" s="762">
        <f t="shared" si="352"/>
        <v>2970774.2375587751</v>
      </c>
      <c r="AL168" s="762">
        <f t="shared" si="353"/>
        <v>29707.742375587753</v>
      </c>
      <c r="AM168" s="762">
        <f t="shared" si="354"/>
        <v>27537.409960060559</v>
      </c>
      <c r="AN168" s="762"/>
      <c r="AO168" s="763">
        <f t="shared" si="355"/>
        <v>3028019.3898944231</v>
      </c>
      <c r="AP168" s="763">
        <f t="shared" si="356"/>
        <v>499623.19933257985</v>
      </c>
      <c r="AQ168" s="763">
        <f t="shared" si="357"/>
        <v>3527642.589227003</v>
      </c>
      <c r="AR168" s="1178">
        <f t="shared" si="325"/>
        <v>3000000</v>
      </c>
      <c r="AS168" s="1178">
        <f t="shared" si="358"/>
        <v>23983.754055772864</v>
      </c>
      <c r="AT168" s="1178">
        <f t="shared" si="359"/>
        <v>527642.58922700305</v>
      </c>
      <c r="AU168" s="1178">
        <f t="shared" si="326"/>
        <v>63317.110707240361</v>
      </c>
      <c r="AV168" s="1178">
        <f t="shared" si="360"/>
        <v>590959.69993424346</v>
      </c>
      <c r="AW168" s="1178">
        <f t="shared" si="361"/>
        <v>3590959.6999342432</v>
      </c>
      <c r="AX168" s="762">
        <f t="shared" si="362"/>
        <v>44886.996249178046</v>
      </c>
      <c r="AY168" s="717" t="s">
        <v>231</v>
      </c>
      <c r="AZ168" s="717">
        <f t="shared" si="363"/>
        <v>3635846.6961834212</v>
      </c>
      <c r="BA168" s="717">
        <f t="shared" si="364"/>
        <v>136344.25110687828</v>
      </c>
      <c r="BB168" s="717"/>
      <c r="BC168" s="717">
        <f t="shared" si="327"/>
        <v>33600</v>
      </c>
      <c r="BD168" s="717">
        <f t="shared" si="365"/>
        <v>3805790.9472902995</v>
      </c>
      <c r="BE168" s="717"/>
      <c r="BF168" s="717">
        <f t="shared" si="366"/>
        <v>3805790.9472902995</v>
      </c>
      <c r="BG168" s="1209"/>
      <c r="BH168" s="717">
        <f t="shared" si="367"/>
        <v>3805790.9472902995</v>
      </c>
      <c r="BI168" s="717"/>
      <c r="BJ168" s="717">
        <f t="shared" si="368"/>
        <v>3805790.9472902995</v>
      </c>
      <c r="BK168" s="717"/>
      <c r="BL168" s="717">
        <f t="shared" si="369"/>
        <v>3805790.9472902995</v>
      </c>
      <c r="BM168" s="717"/>
      <c r="BN168" s="717">
        <f t="shared" si="370"/>
        <v>3805790.9472902995</v>
      </c>
      <c r="BO168" s="717"/>
      <c r="BP168" s="717">
        <f t="shared" si="328"/>
        <v>3805790.9472902995</v>
      </c>
      <c r="BQ168" s="717"/>
      <c r="BR168" s="717">
        <f t="shared" si="433"/>
        <v>3805790.9472902995</v>
      </c>
      <c r="BS168" s="717"/>
      <c r="BT168" s="717">
        <f t="shared" si="371"/>
        <v>3805790.9472902995</v>
      </c>
      <c r="BU168" s="717"/>
      <c r="BV168" s="1235">
        <f t="shared" si="434"/>
        <v>51400</v>
      </c>
      <c r="BW168" s="717">
        <f t="shared" si="372"/>
        <v>3857190.9472902995</v>
      </c>
      <c r="BX168" s="717"/>
      <c r="BY168" s="717">
        <f t="shared" si="373"/>
        <v>3857190.9472902995</v>
      </c>
      <c r="BZ168" s="1194">
        <f t="shared" si="374"/>
        <v>3857190.9472902995</v>
      </c>
      <c r="CA168" s="1194">
        <f t="shared" si="375"/>
        <v>3043190.9472902995</v>
      </c>
      <c r="CB168" s="1194">
        <v>37000</v>
      </c>
      <c r="CC168" s="1194">
        <f t="shared" si="376"/>
        <v>814000</v>
      </c>
      <c r="CD168" s="1194">
        <f t="shared" si="377"/>
        <v>97680</v>
      </c>
      <c r="CE168" s="1194">
        <f t="shared" si="378"/>
        <v>911680</v>
      </c>
      <c r="CF168" s="1200">
        <f t="shared" si="379"/>
        <v>3954870.9472902995</v>
      </c>
      <c r="CG168" s="757">
        <f t="shared" si="380"/>
        <v>3954870.9472902995</v>
      </c>
      <c r="CH168" s="758">
        <f t="shared" si="381"/>
        <v>0</v>
      </c>
      <c r="CI168" s="757">
        <f t="shared" si="329"/>
        <v>405374.27209725569</v>
      </c>
      <c r="CJ168" s="757">
        <f t="shared" si="330"/>
        <v>98871.773682257495</v>
      </c>
      <c r="CK168" s="759">
        <f t="shared" si="444"/>
        <v>4459116.9930698127</v>
      </c>
      <c r="CL168" s="764">
        <f t="shared" si="382"/>
        <v>0.125</v>
      </c>
      <c r="CM168" s="757">
        <f t="shared" si="383"/>
        <v>557389.62413372658</v>
      </c>
      <c r="CN168" s="757">
        <f t="shared" si="425"/>
        <v>30000</v>
      </c>
      <c r="CO168" s="757">
        <f t="shared" si="384"/>
        <v>527389.62413372658</v>
      </c>
      <c r="CP168" s="755">
        <f t="shared" si="385"/>
        <v>29</v>
      </c>
      <c r="CQ168" s="757">
        <f t="shared" si="427"/>
        <v>18185.849108059538</v>
      </c>
      <c r="CR168" s="764">
        <f t="shared" si="386"/>
        <v>0.875</v>
      </c>
      <c r="CS168" s="757">
        <f t="shared" si="387"/>
        <v>3901727.3689360861</v>
      </c>
      <c r="CT168" s="1101">
        <f t="shared" si="388"/>
        <v>30250.050762111794</v>
      </c>
      <c r="CU168" s="1101">
        <f t="shared" si="389"/>
        <v>35069.828643584122</v>
      </c>
      <c r="CV168" s="1101">
        <f t="shared" si="390"/>
        <v>45302.363113285224</v>
      </c>
      <c r="CW168" s="1141">
        <f t="shared" si="331"/>
        <v>77258.878282619058</v>
      </c>
      <c r="CX168" s="1152">
        <f t="shared" si="391"/>
        <v>316949.71587485942</v>
      </c>
      <c r="CY168" s="1152">
        <f t="shared" si="392"/>
        <v>125415.45862097293</v>
      </c>
      <c r="CZ168" s="1152">
        <f t="shared" si="393"/>
        <v>90585.809478382245</v>
      </c>
      <c r="DA168" s="1152">
        <f t="shared" si="394"/>
        <v>68939.971368327359</v>
      </c>
      <c r="DB168" s="1143">
        <f t="shared" si="332"/>
        <v>0.17588086307566769</v>
      </c>
      <c r="DC168" s="1143">
        <f t="shared" si="395"/>
        <v>0.29958028128723663</v>
      </c>
      <c r="DD168" s="1098" t="s">
        <v>232</v>
      </c>
      <c r="DE168" s="1144"/>
      <c r="DF168" s="705"/>
      <c r="DG168" s="765">
        <f t="shared" si="426"/>
        <v>46082</v>
      </c>
      <c r="DH168" s="1116">
        <f t="shared" si="333"/>
        <v>28</v>
      </c>
      <c r="DI168" s="497"/>
      <c r="DJ168" s="1117">
        <f t="shared" si="396"/>
        <v>46147</v>
      </c>
      <c r="DK168" s="1116">
        <f t="shared" si="397"/>
        <v>30</v>
      </c>
      <c r="DL168" s="766" t="s">
        <v>233</v>
      </c>
      <c r="DM168" s="766" t="s">
        <v>234</v>
      </c>
      <c r="DN168" s="767">
        <f t="shared" si="334"/>
        <v>26861.804542465612</v>
      </c>
      <c r="DO168" s="767">
        <f t="shared" si="335"/>
        <v>590959.69993424346</v>
      </c>
      <c r="DP168" s="768">
        <f t="shared" si="336"/>
        <v>0.19698656664474781</v>
      </c>
      <c r="DR168" s="767">
        <f t="shared" si="337"/>
        <v>3954870.9472902995</v>
      </c>
      <c r="DS168" s="767">
        <f>SUM('[6]INTERNAL PRICELIST'!M168)</f>
        <v>2329361</v>
      </c>
      <c r="DT168" s="767">
        <f t="shared" si="398"/>
        <v>1625509.9472902995</v>
      </c>
      <c r="DV168" s="951">
        <f t="shared" si="338"/>
        <v>179766.86124046816</v>
      </c>
      <c r="DX168" s="772"/>
      <c r="DY168" s="773"/>
      <c r="DZ168" s="772"/>
      <c r="EA168" s="775"/>
      <c r="ED168" s="755" t="s">
        <v>573</v>
      </c>
      <c r="EE168" s="777" t="b">
        <f t="shared" si="340"/>
        <v>1</v>
      </c>
      <c r="EF168" s="1123" t="s">
        <v>574</v>
      </c>
      <c r="EG168" s="1123" t="s">
        <v>567</v>
      </c>
      <c r="EH168" s="1203"/>
      <c r="EP168" s="1230" t="s">
        <v>236</v>
      </c>
      <c r="EQ168" s="1145" t="s">
        <v>236</v>
      </c>
      <c r="ER168" s="753" t="b">
        <f t="shared" si="399"/>
        <v>1</v>
      </c>
      <c r="EU168" s="770">
        <v>2582361</v>
      </c>
      <c r="EV168" s="771" t="s">
        <v>236</v>
      </c>
      <c r="FJ168" s="994">
        <v>0.15</v>
      </c>
      <c r="FK168" s="993">
        <v>13630.985074573726</v>
      </c>
      <c r="FL168" s="993">
        <v>13999.390076589232</v>
      </c>
      <c r="FM168" s="497"/>
      <c r="FN168" s="993">
        <f t="shared" si="341"/>
        <v>4459116.9930698127</v>
      </c>
      <c r="FO168" s="994">
        <f t="shared" si="400"/>
        <v>0.15</v>
      </c>
      <c r="FP168" s="775">
        <f t="shared" si="342"/>
        <v>668867.54896047188</v>
      </c>
      <c r="FQ168" s="993">
        <f t="shared" si="343"/>
        <v>30000</v>
      </c>
      <c r="FR168" s="775">
        <f t="shared" si="401"/>
        <v>638867.54896047188</v>
      </c>
      <c r="FS168" s="497">
        <f t="shared" si="402"/>
        <v>40</v>
      </c>
      <c r="FT168" s="775">
        <f t="shared" si="403"/>
        <v>15971.688724011798</v>
      </c>
      <c r="FU168" s="497"/>
      <c r="FV168" s="993">
        <f t="shared" si="404"/>
        <v>4459116.9930698127</v>
      </c>
      <c r="FW168" s="705">
        <f t="shared" si="405"/>
        <v>445911.69930698129</v>
      </c>
      <c r="FX168" s="705">
        <f t="shared" si="406"/>
        <v>111477.92482674532</v>
      </c>
      <c r="FY168" s="705">
        <v>15000</v>
      </c>
      <c r="FZ168" s="705">
        <f t="shared" si="407"/>
        <v>430911.69930698129</v>
      </c>
      <c r="GA168" s="497">
        <f t="shared" si="408"/>
        <v>46</v>
      </c>
      <c r="GB168" s="775">
        <f t="shared" si="409"/>
        <v>9367.6456371082895</v>
      </c>
      <c r="GC168" s="497"/>
      <c r="GD168" s="497"/>
      <c r="GH168" s="1095">
        <f t="shared" si="307"/>
        <v>4459116.9930698127</v>
      </c>
      <c r="GI168" s="1098">
        <f t="shared" si="308"/>
        <v>0.125</v>
      </c>
      <c r="GJ168" s="1095">
        <f t="shared" si="309"/>
        <v>557389.62413372658</v>
      </c>
      <c r="GK168" s="1095">
        <f t="shared" si="310"/>
        <v>30000</v>
      </c>
      <c r="GL168" s="1095">
        <f t="shared" si="311"/>
        <v>527389.62413372658</v>
      </c>
      <c r="GM168" s="1095">
        <f t="shared" si="312"/>
        <v>29</v>
      </c>
      <c r="GN168" s="1095">
        <f t="shared" si="313"/>
        <v>18185.849108059538</v>
      </c>
      <c r="GO168" s="1098">
        <f t="shared" si="314"/>
        <v>0.875</v>
      </c>
      <c r="GP168" s="1095">
        <f t="shared" si="315"/>
        <v>3901727.3689360861</v>
      </c>
      <c r="GQ168" s="1095">
        <f t="shared" si="316"/>
        <v>30250.050762111794</v>
      </c>
      <c r="GR168" s="1095">
        <f t="shared" si="317"/>
        <v>35069.828643584122</v>
      </c>
      <c r="GS168" s="1095">
        <f t="shared" si="318"/>
        <v>45302.363113285224</v>
      </c>
      <c r="GT168" s="1095">
        <f t="shared" si="319"/>
        <v>77258.878282619058</v>
      </c>
      <c r="GU168" s="497"/>
      <c r="GV168" s="1095">
        <f t="shared" si="410"/>
        <v>4459116.9930698127</v>
      </c>
      <c r="GW168" s="1098">
        <f t="shared" si="411"/>
        <v>0.125</v>
      </c>
      <c r="GX168" s="1095">
        <f t="shared" si="412"/>
        <v>557389.62413372658</v>
      </c>
      <c r="GY168" s="1095">
        <f t="shared" si="413"/>
        <v>30000</v>
      </c>
      <c r="GZ168" s="1095">
        <f t="shared" si="414"/>
        <v>527389.62413372658</v>
      </c>
      <c r="HA168" s="1106">
        <f t="shared" si="415"/>
        <v>48</v>
      </c>
      <c r="HB168" s="770">
        <f t="shared" si="416"/>
        <v>10987.283836119304</v>
      </c>
      <c r="HC168" s="1098">
        <f t="shared" si="417"/>
        <v>0.875</v>
      </c>
      <c r="HD168" s="1102">
        <f t="shared" si="418"/>
        <v>3901727.3689360861</v>
      </c>
      <c r="HE168" s="1101">
        <f t="shared" si="419"/>
        <v>30250.050762111794</v>
      </c>
      <c r="HF168" s="1101">
        <f t="shared" si="420"/>
        <v>35069.828643584122</v>
      </c>
      <c r="HG168" s="1101">
        <f t="shared" si="421"/>
        <v>45302.363113285224</v>
      </c>
      <c r="HH168" s="1101">
        <f t="shared" si="422"/>
        <v>77258.878282619058</v>
      </c>
      <c r="HI168" s="497"/>
      <c r="HJ168" s="1102">
        <f t="shared" si="423"/>
        <v>-7198.5652719402333</v>
      </c>
      <c r="HL168" s="775"/>
      <c r="HN168" s="775"/>
      <c r="HO168" s="775"/>
      <c r="HQ168" s="702"/>
      <c r="HR168" s="1171"/>
      <c r="HS168" s="702"/>
      <c r="HT168" s="1171"/>
    </row>
    <row r="169" spans="1:228" ht="14.25" hidden="1" customHeight="1">
      <c r="A169" s="753">
        <f t="shared" si="424"/>
        <v>163</v>
      </c>
      <c r="B169" s="753" t="s">
        <v>236</v>
      </c>
      <c r="C169" s="753">
        <f t="shared" si="445"/>
        <v>8</v>
      </c>
      <c r="D169" s="753" t="s">
        <v>272</v>
      </c>
      <c r="E169" s="717" t="str">
        <f t="shared" si="344"/>
        <v>8th Floor</v>
      </c>
      <c r="F169" s="754"/>
      <c r="G169" s="756" t="s">
        <v>575</v>
      </c>
      <c r="H169" s="756"/>
      <c r="I169" s="755" t="s">
        <v>229</v>
      </c>
      <c r="J169" s="757">
        <v>22</v>
      </c>
      <c r="K169" s="758"/>
      <c r="L169" s="759" t="s">
        <v>69</v>
      </c>
      <c r="M169" s="760" t="s">
        <v>68</v>
      </c>
      <c r="N169" s="761">
        <f t="shared" si="345"/>
        <v>106005.26567735759</v>
      </c>
      <c r="O169" s="762">
        <f t="shared" si="346"/>
        <v>2332115.8449018667</v>
      </c>
      <c r="P169" s="762">
        <f t="shared" si="347"/>
        <v>22400</v>
      </c>
      <c r="Q169" s="762">
        <f t="shared" si="320"/>
        <v>50000</v>
      </c>
      <c r="R169" s="762"/>
      <c r="S169" s="762"/>
      <c r="T169" s="762">
        <f t="shared" si="443"/>
        <v>66000</v>
      </c>
      <c r="U169" s="762"/>
      <c r="V169" s="762"/>
      <c r="W169" s="762"/>
      <c r="X169" s="762"/>
      <c r="Y169" s="762">
        <f t="shared" si="446"/>
        <v>80000</v>
      </c>
      <c r="Z169" s="762">
        <f t="shared" si="321"/>
        <v>142461</v>
      </c>
      <c r="AA169" s="762"/>
      <c r="AB169" s="762"/>
      <c r="AC169" s="762"/>
      <c r="AD169" s="763">
        <f t="shared" si="348"/>
        <v>360861</v>
      </c>
      <c r="AE169" s="763">
        <f t="shared" si="322"/>
        <v>2692976.8449018667</v>
      </c>
      <c r="AF169" s="762">
        <f t="shared" si="323"/>
        <v>67324.421122546672</v>
      </c>
      <c r="AG169" s="762">
        <f t="shared" si="349"/>
        <v>2760301.2660244135</v>
      </c>
      <c r="AH169" s="762">
        <f t="shared" si="324"/>
        <v>69007.531650610341</v>
      </c>
      <c r="AI169" s="762">
        <f t="shared" si="350"/>
        <v>2829308.7976750238</v>
      </c>
      <c r="AJ169" s="762">
        <f t="shared" si="351"/>
        <v>141465.43988375118</v>
      </c>
      <c r="AK169" s="762">
        <f t="shared" si="352"/>
        <v>2970774.2375587751</v>
      </c>
      <c r="AL169" s="762">
        <f t="shared" si="353"/>
        <v>29707.742375587753</v>
      </c>
      <c r="AM169" s="762">
        <f t="shared" si="354"/>
        <v>27537.409960060559</v>
      </c>
      <c r="AN169" s="762"/>
      <c r="AO169" s="763">
        <f t="shared" si="355"/>
        <v>3028019.3898944231</v>
      </c>
      <c r="AP169" s="763">
        <f t="shared" si="356"/>
        <v>499623.19933257985</v>
      </c>
      <c r="AQ169" s="763">
        <f t="shared" si="357"/>
        <v>3527642.589227003</v>
      </c>
      <c r="AR169" s="1178">
        <f t="shared" si="325"/>
        <v>3000000</v>
      </c>
      <c r="AS169" s="1178">
        <f t="shared" si="358"/>
        <v>23983.754055772864</v>
      </c>
      <c r="AT169" s="1178">
        <f t="shared" si="359"/>
        <v>527642.58922700305</v>
      </c>
      <c r="AU169" s="1178">
        <f t="shared" si="326"/>
        <v>63317.110707240361</v>
      </c>
      <c r="AV169" s="1178">
        <f t="shared" si="360"/>
        <v>590959.69993424346</v>
      </c>
      <c r="AW169" s="1178">
        <f t="shared" si="361"/>
        <v>3590959.6999342432</v>
      </c>
      <c r="AX169" s="762">
        <f t="shared" si="362"/>
        <v>44886.996249178046</v>
      </c>
      <c r="AY169" s="717" t="s">
        <v>231</v>
      </c>
      <c r="AZ169" s="717">
        <f t="shared" si="363"/>
        <v>3635846.6961834212</v>
      </c>
      <c r="BA169" s="717">
        <f t="shared" si="364"/>
        <v>136344.25110687828</v>
      </c>
      <c r="BB169" s="717"/>
      <c r="BC169" s="717">
        <f t="shared" si="327"/>
        <v>33600</v>
      </c>
      <c r="BD169" s="717">
        <f t="shared" si="365"/>
        <v>3805790.9472902995</v>
      </c>
      <c r="BE169" s="717"/>
      <c r="BF169" s="717">
        <f t="shared" si="366"/>
        <v>3805790.9472902995</v>
      </c>
      <c r="BG169" s="1209"/>
      <c r="BH169" s="717">
        <f t="shared" si="367"/>
        <v>3805790.9472902995</v>
      </c>
      <c r="BI169" s="717"/>
      <c r="BJ169" s="717">
        <f t="shared" si="368"/>
        <v>3805790.9472902995</v>
      </c>
      <c r="BK169" s="717"/>
      <c r="BL169" s="717">
        <f t="shared" si="369"/>
        <v>3805790.9472902995</v>
      </c>
      <c r="BM169" s="717"/>
      <c r="BN169" s="717">
        <f t="shared" si="370"/>
        <v>3805790.9472902995</v>
      </c>
      <c r="BO169" s="717"/>
      <c r="BP169" s="717">
        <f t="shared" si="328"/>
        <v>3805790.9472902995</v>
      </c>
      <c r="BQ169" s="717"/>
      <c r="BR169" s="717">
        <f t="shared" si="433"/>
        <v>3805790.9472902995</v>
      </c>
      <c r="BS169" s="717"/>
      <c r="BT169" s="717">
        <f t="shared" si="371"/>
        <v>3805790.9472902995</v>
      </c>
      <c r="BU169" s="717"/>
      <c r="BV169" s="1235">
        <f t="shared" si="434"/>
        <v>51400</v>
      </c>
      <c r="BW169" s="717">
        <f t="shared" si="372"/>
        <v>3857190.9472902995</v>
      </c>
      <c r="BX169" s="717"/>
      <c r="BY169" s="717">
        <f t="shared" si="373"/>
        <v>3857190.9472902995</v>
      </c>
      <c r="BZ169" s="1194">
        <f t="shared" si="374"/>
        <v>3857190.9472902995</v>
      </c>
      <c r="CA169" s="1194">
        <f t="shared" si="375"/>
        <v>3043190.9472902995</v>
      </c>
      <c r="CB169" s="1194">
        <v>37000</v>
      </c>
      <c r="CC169" s="1194">
        <f t="shared" si="376"/>
        <v>814000</v>
      </c>
      <c r="CD169" s="1194">
        <f t="shared" si="377"/>
        <v>97680</v>
      </c>
      <c r="CE169" s="1194">
        <f t="shared" si="378"/>
        <v>911680</v>
      </c>
      <c r="CF169" s="1200">
        <f t="shared" si="379"/>
        <v>3954870.9472902995</v>
      </c>
      <c r="CG169" s="757">
        <f t="shared" si="380"/>
        <v>3954870.9472902995</v>
      </c>
      <c r="CH169" s="758">
        <f t="shared" si="381"/>
        <v>0</v>
      </c>
      <c r="CI169" s="757">
        <f t="shared" si="329"/>
        <v>405374.27209725569</v>
      </c>
      <c r="CJ169" s="757">
        <f t="shared" si="330"/>
        <v>98871.773682257495</v>
      </c>
      <c r="CK169" s="759">
        <f t="shared" si="444"/>
        <v>4459116.9930698127</v>
      </c>
      <c r="CL169" s="764">
        <f t="shared" si="382"/>
        <v>0.125</v>
      </c>
      <c r="CM169" s="757">
        <f t="shared" si="383"/>
        <v>557389.62413372658</v>
      </c>
      <c r="CN169" s="757">
        <f t="shared" si="425"/>
        <v>30000</v>
      </c>
      <c r="CO169" s="757">
        <f t="shared" si="384"/>
        <v>527389.62413372658</v>
      </c>
      <c r="CP169" s="755">
        <f t="shared" si="385"/>
        <v>29</v>
      </c>
      <c r="CQ169" s="757">
        <f t="shared" si="427"/>
        <v>18185.849108059538</v>
      </c>
      <c r="CR169" s="764">
        <f t="shared" si="386"/>
        <v>0.875</v>
      </c>
      <c r="CS169" s="757">
        <f t="shared" si="387"/>
        <v>3901727.3689360861</v>
      </c>
      <c r="CT169" s="1101">
        <f t="shared" si="388"/>
        <v>30250.050762111794</v>
      </c>
      <c r="CU169" s="1101">
        <f t="shared" si="389"/>
        <v>35069.828643584122</v>
      </c>
      <c r="CV169" s="1101">
        <f t="shared" si="390"/>
        <v>45302.363113285224</v>
      </c>
      <c r="CW169" s="1141">
        <f t="shared" si="331"/>
        <v>77258.878282619058</v>
      </c>
      <c r="CX169" s="1152">
        <f t="shared" si="391"/>
        <v>316949.71587485942</v>
      </c>
      <c r="CY169" s="1152">
        <f t="shared" si="392"/>
        <v>125415.45862097293</v>
      </c>
      <c r="CZ169" s="1152">
        <f t="shared" si="393"/>
        <v>90585.809478382245</v>
      </c>
      <c r="DA169" s="1152">
        <f t="shared" si="394"/>
        <v>68939.971368327359</v>
      </c>
      <c r="DB169" s="1143">
        <f t="shared" si="332"/>
        <v>0.17588086307566769</v>
      </c>
      <c r="DC169" s="1143">
        <f t="shared" si="395"/>
        <v>0.29958028128723663</v>
      </c>
      <c r="DD169" s="1098" t="s">
        <v>232</v>
      </c>
      <c r="DE169" s="1144"/>
      <c r="DF169" s="705"/>
      <c r="DG169" s="765">
        <f t="shared" si="426"/>
        <v>46082</v>
      </c>
      <c r="DH169" s="1116">
        <f t="shared" si="333"/>
        <v>28</v>
      </c>
      <c r="DI169" s="497"/>
      <c r="DJ169" s="1117">
        <f t="shared" si="396"/>
        <v>46147</v>
      </c>
      <c r="DK169" s="1116">
        <f t="shared" si="397"/>
        <v>30</v>
      </c>
      <c r="DL169" s="766" t="s">
        <v>233</v>
      </c>
      <c r="DM169" s="766" t="s">
        <v>234</v>
      </c>
      <c r="DN169" s="767">
        <f t="shared" si="334"/>
        <v>26861.804542465612</v>
      </c>
      <c r="DO169" s="767">
        <f t="shared" si="335"/>
        <v>590959.69993424346</v>
      </c>
      <c r="DP169" s="768">
        <f t="shared" si="336"/>
        <v>0.19698656664474781</v>
      </c>
      <c r="DR169" s="767">
        <f t="shared" si="337"/>
        <v>3954870.9472902995</v>
      </c>
      <c r="DS169" s="767">
        <f>SUM('[6]INTERNAL PRICELIST'!M169)</f>
        <v>2329361</v>
      </c>
      <c r="DT169" s="767">
        <f t="shared" si="398"/>
        <v>1625509.9472902995</v>
      </c>
      <c r="DV169" s="951">
        <f t="shared" si="338"/>
        <v>179766.86124046816</v>
      </c>
      <c r="DX169" s="772"/>
      <c r="DY169" s="773"/>
      <c r="DZ169" s="772"/>
      <c r="EA169" s="775"/>
      <c r="ED169" s="755" t="s">
        <v>575</v>
      </c>
      <c r="EE169" s="777" t="b">
        <f t="shared" si="340"/>
        <v>1</v>
      </c>
      <c r="EF169" s="1123" t="s">
        <v>576</v>
      </c>
      <c r="EG169" s="1123" t="s">
        <v>567</v>
      </c>
      <c r="EH169" s="1203"/>
      <c r="EP169" s="1230" t="s">
        <v>236</v>
      </c>
      <c r="EQ169" s="1145" t="s">
        <v>236</v>
      </c>
      <c r="ER169" s="753" t="b">
        <f t="shared" si="399"/>
        <v>1</v>
      </c>
      <c r="EU169" s="770">
        <v>2508300</v>
      </c>
      <c r="EV169" s="771" t="s">
        <v>236</v>
      </c>
      <c r="FJ169" s="994">
        <v>0.15</v>
      </c>
      <c r="FK169" s="993">
        <v>13630.985074573726</v>
      </c>
      <c r="FL169" s="993">
        <v>13999.390076589232</v>
      </c>
      <c r="FM169" s="497"/>
      <c r="FN169" s="993">
        <f t="shared" si="341"/>
        <v>4459116.9930698127</v>
      </c>
      <c r="FO169" s="994">
        <f>FJ169</f>
        <v>0.15</v>
      </c>
      <c r="FP169" s="775">
        <f t="shared" si="342"/>
        <v>668867.54896047188</v>
      </c>
      <c r="FQ169" s="993">
        <f t="shared" si="343"/>
        <v>30000</v>
      </c>
      <c r="FR169" s="775">
        <f t="shared" si="401"/>
        <v>638867.54896047188</v>
      </c>
      <c r="FS169" s="497">
        <f t="shared" si="402"/>
        <v>40</v>
      </c>
      <c r="FT169" s="775">
        <f t="shared" si="403"/>
        <v>15971.688724011798</v>
      </c>
      <c r="FU169" s="497"/>
      <c r="FV169" s="993">
        <f t="shared" si="404"/>
        <v>4459116.9930698127</v>
      </c>
      <c r="FW169" s="705">
        <f t="shared" si="405"/>
        <v>445911.69930698129</v>
      </c>
      <c r="FX169" s="705">
        <f t="shared" si="406"/>
        <v>111477.92482674532</v>
      </c>
      <c r="FY169" s="705">
        <v>15000</v>
      </c>
      <c r="FZ169" s="705">
        <f t="shared" si="407"/>
        <v>430911.69930698129</v>
      </c>
      <c r="GA169" s="497">
        <f t="shared" si="408"/>
        <v>46</v>
      </c>
      <c r="GB169" s="775">
        <f t="shared" si="409"/>
        <v>9367.6456371082895</v>
      </c>
      <c r="GC169" s="497"/>
      <c r="GD169" s="497"/>
      <c r="GH169" s="1095">
        <f t="shared" si="307"/>
        <v>4459116.9930698127</v>
      </c>
      <c r="GI169" s="1098">
        <f t="shared" si="308"/>
        <v>0.125</v>
      </c>
      <c r="GJ169" s="1095">
        <f t="shared" si="309"/>
        <v>557389.62413372658</v>
      </c>
      <c r="GK169" s="1095">
        <f t="shared" si="310"/>
        <v>30000</v>
      </c>
      <c r="GL169" s="1095">
        <f t="shared" si="311"/>
        <v>527389.62413372658</v>
      </c>
      <c r="GM169" s="1095">
        <f t="shared" si="312"/>
        <v>29</v>
      </c>
      <c r="GN169" s="1095">
        <f t="shared" si="313"/>
        <v>18185.849108059538</v>
      </c>
      <c r="GO169" s="1098">
        <f t="shared" si="314"/>
        <v>0.875</v>
      </c>
      <c r="GP169" s="1095">
        <f t="shared" si="315"/>
        <v>3901727.3689360861</v>
      </c>
      <c r="GQ169" s="1095">
        <f t="shared" si="316"/>
        <v>30250.050762111794</v>
      </c>
      <c r="GR169" s="1095">
        <f t="shared" si="317"/>
        <v>35069.828643584122</v>
      </c>
      <c r="GS169" s="1095">
        <f t="shared" si="318"/>
        <v>45302.363113285224</v>
      </c>
      <c r="GT169" s="1095">
        <f t="shared" si="319"/>
        <v>77258.878282619058</v>
      </c>
      <c r="GU169" s="497"/>
      <c r="GV169" s="1095">
        <f t="shared" si="410"/>
        <v>4459116.9930698127</v>
      </c>
      <c r="GW169" s="1098">
        <f t="shared" si="411"/>
        <v>0.125</v>
      </c>
      <c r="GX169" s="1095">
        <f t="shared" si="412"/>
        <v>557389.62413372658</v>
      </c>
      <c r="GY169" s="1095">
        <f t="shared" si="413"/>
        <v>30000</v>
      </c>
      <c r="GZ169" s="1095">
        <f t="shared" si="414"/>
        <v>527389.62413372658</v>
      </c>
      <c r="HA169" s="1106">
        <f t="shared" si="415"/>
        <v>48</v>
      </c>
      <c r="HB169" s="770">
        <f t="shared" si="416"/>
        <v>10987.283836119304</v>
      </c>
      <c r="HC169" s="1098">
        <f t="shared" si="417"/>
        <v>0.875</v>
      </c>
      <c r="HD169" s="1102">
        <f t="shared" si="418"/>
        <v>3901727.3689360861</v>
      </c>
      <c r="HE169" s="1101">
        <f t="shared" si="419"/>
        <v>30250.050762111794</v>
      </c>
      <c r="HF169" s="1101">
        <f t="shared" si="420"/>
        <v>35069.828643584122</v>
      </c>
      <c r="HG169" s="1101">
        <f t="shared" si="421"/>
        <v>45302.363113285224</v>
      </c>
      <c r="HH169" s="1101">
        <f t="shared" si="422"/>
        <v>77258.878282619058</v>
      </c>
      <c r="HI169" s="497"/>
      <c r="HJ169" s="1102">
        <f t="shared" si="423"/>
        <v>-7198.5652719402333</v>
      </c>
      <c r="HL169" s="775"/>
      <c r="HN169" s="775"/>
      <c r="HO169" s="775"/>
      <c r="HQ169" s="702"/>
      <c r="HR169" s="1171"/>
      <c r="HS169" s="702"/>
      <c r="HT169" s="1171"/>
    </row>
    <row r="170" spans="1:228" ht="14.25" hidden="1" customHeight="1">
      <c r="A170" s="753">
        <f t="shared" si="424"/>
        <v>164</v>
      </c>
      <c r="B170" s="753" t="s">
        <v>236</v>
      </c>
      <c r="C170" s="753">
        <f t="shared" si="445"/>
        <v>9</v>
      </c>
      <c r="D170" s="753" t="s">
        <v>272</v>
      </c>
      <c r="E170" s="717" t="str">
        <f t="shared" si="344"/>
        <v>8th Floor</v>
      </c>
      <c r="F170" s="754"/>
      <c r="G170" s="756" t="s">
        <v>577</v>
      </c>
      <c r="H170" s="756"/>
      <c r="I170" s="755" t="s">
        <v>229</v>
      </c>
      <c r="J170" s="757">
        <v>22</v>
      </c>
      <c r="K170" s="758"/>
      <c r="L170" s="759" t="s">
        <v>69</v>
      </c>
      <c r="M170" s="760" t="s">
        <v>68</v>
      </c>
      <c r="N170" s="761">
        <f t="shared" si="345"/>
        <v>106005.26567735759</v>
      </c>
      <c r="O170" s="762">
        <f t="shared" si="346"/>
        <v>2332115.8449018667</v>
      </c>
      <c r="P170" s="762">
        <f t="shared" si="347"/>
        <v>22400</v>
      </c>
      <c r="Q170" s="762">
        <f t="shared" si="320"/>
        <v>50000</v>
      </c>
      <c r="R170" s="762"/>
      <c r="S170" s="762"/>
      <c r="T170" s="762">
        <f t="shared" si="443"/>
        <v>66000</v>
      </c>
      <c r="U170" s="762"/>
      <c r="V170" s="762"/>
      <c r="W170" s="762"/>
      <c r="X170" s="762"/>
      <c r="Y170" s="762">
        <f t="shared" si="446"/>
        <v>80000</v>
      </c>
      <c r="Z170" s="762">
        <f t="shared" si="321"/>
        <v>142461</v>
      </c>
      <c r="AA170" s="762"/>
      <c r="AB170" s="762"/>
      <c r="AC170" s="762"/>
      <c r="AD170" s="763">
        <f t="shared" si="348"/>
        <v>360861</v>
      </c>
      <c r="AE170" s="763">
        <f t="shared" si="322"/>
        <v>2692976.8449018667</v>
      </c>
      <c r="AF170" s="762">
        <f t="shared" si="323"/>
        <v>67324.421122546672</v>
      </c>
      <c r="AG170" s="762">
        <f t="shared" si="349"/>
        <v>2760301.2660244135</v>
      </c>
      <c r="AH170" s="762">
        <f t="shared" si="324"/>
        <v>69007.531650610341</v>
      </c>
      <c r="AI170" s="762">
        <f t="shared" si="350"/>
        <v>2829308.7976750238</v>
      </c>
      <c r="AJ170" s="762">
        <f t="shared" si="351"/>
        <v>141465.43988375118</v>
      </c>
      <c r="AK170" s="762">
        <f t="shared" si="352"/>
        <v>2970774.2375587751</v>
      </c>
      <c r="AL170" s="762">
        <f t="shared" si="353"/>
        <v>29707.742375587753</v>
      </c>
      <c r="AM170" s="762">
        <f t="shared" si="354"/>
        <v>27537.409960060559</v>
      </c>
      <c r="AN170" s="762"/>
      <c r="AO170" s="763">
        <f t="shared" si="355"/>
        <v>3028019.3898944231</v>
      </c>
      <c r="AP170" s="763">
        <f t="shared" si="356"/>
        <v>499623.19933257985</v>
      </c>
      <c r="AQ170" s="763">
        <f t="shared" si="357"/>
        <v>3527642.589227003</v>
      </c>
      <c r="AR170" s="1178">
        <f t="shared" si="325"/>
        <v>3000000</v>
      </c>
      <c r="AS170" s="1178">
        <f t="shared" si="358"/>
        <v>23983.754055772864</v>
      </c>
      <c r="AT170" s="1178">
        <f t="shared" si="359"/>
        <v>527642.58922700305</v>
      </c>
      <c r="AU170" s="1178">
        <f t="shared" si="326"/>
        <v>63317.110707240361</v>
      </c>
      <c r="AV170" s="1178">
        <f t="shared" si="360"/>
        <v>590959.69993424346</v>
      </c>
      <c r="AW170" s="1178">
        <f t="shared" si="361"/>
        <v>3590959.6999342432</v>
      </c>
      <c r="AX170" s="762">
        <f t="shared" si="362"/>
        <v>44886.996249178046</v>
      </c>
      <c r="AY170" s="717" t="s">
        <v>231</v>
      </c>
      <c r="AZ170" s="717">
        <f t="shared" si="363"/>
        <v>3635846.6961834212</v>
      </c>
      <c r="BA170" s="717">
        <f t="shared" si="364"/>
        <v>136344.25110687828</v>
      </c>
      <c r="BB170" s="717"/>
      <c r="BC170" s="717">
        <f t="shared" si="327"/>
        <v>33600</v>
      </c>
      <c r="BD170" s="717">
        <f t="shared" si="365"/>
        <v>3805790.9472902995</v>
      </c>
      <c r="BE170" s="717"/>
      <c r="BF170" s="717">
        <f t="shared" si="366"/>
        <v>3805790.9472902995</v>
      </c>
      <c r="BG170" s="1209"/>
      <c r="BH170" s="717">
        <f t="shared" si="367"/>
        <v>3805790.9472902995</v>
      </c>
      <c r="BI170" s="717"/>
      <c r="BJ170" s="717">
        <f t="shared" si="368"/>
        <v>3805790.9472902995</v>
      </c>
      <c r="BK170" s="717"/>
      <c r="BL170" s="717">
        <f t="shared" si="369"/>
        <v>3805790.9472902995</v>
      </c>
      <c r="BM170" s="717"/>
      <c r="BN170" s="717">
        <f t="shared" si="370"/>
        <v>3805790.9472902995</v>
      </c>
      <c r="BO170" s="717"/>
      <c r="BP170" s="717">
        <f t="shared" si="328"/>
        <v>3805790.9472902995</v>
      </c>
      <c r="BQ170" s="717"/>
      <c r="BR170" s="717">
        <f t="shared" si="433"/>
        <v>3805790.9472902995</v>
      </c>
      <c r="BS170" s="717"/>
      <c r="BT170" s="717">
        <f t="shared" si="371"/>
        <v>3805790.9472902995</v>
      </c>
      <c r="BU170" s="717"/>
      <c r="BV170" s="1235">
        <f t="shared" si="434"/>
        <v>51400</v>
      </c>
      <c r="BW170" s="717">
        <f t="shared" si="372"/>
        <v>3857190.9472902995</v>
      </c>
      <c r="BX170" s="717"/>
      <c r="BY170" s="717">
        <f t="shared" si="373"/>
        <v>3857190.9472902995</v>
      </c>
      <c r="BZ170" s="1194">
        <f t="shared" si="374"/>
        <v>3857190.9472902995</v>
      </c>
      <c r="CA170" s="1194">
        <f t="shared" si="375"/>
        <v>3043190.9472902995</v>
      </c>
      <c r="CB170" s="1194">
        <v>37000</v>
      </c>
      <c r="CC170" s="1194">
        <f t="shared" si="376"/>
        <v>814000</v>
      </c>
      <c r="CD170" s="1194">
        <f t="shared" si="377"/>
        <v>97680</v>
      </c>
      <c r="CE170" s="1194">
        <f t="shared" si="378"/>
        <v>911680</v>
      </c>
      <c r="CF170" s="1200">
        <f t="shared" si="379"/>
        <v>3954870.9472902995</v>
      </c>
      <c r="CG170" s="757">
        <f t="shared" si="380"/>
        <v>3954870.9472902995</v>
      </c>
      <c r="CH170" s="758">
        <f t="shared" si="381"/>
        <v>0</v>
      </c>
      <c r="CI170" s="757">
        <f t="shared" si="329"/>
        <v>405374.27209725569</v>
      </c>
      <c r="CJ170" s="757">
        <f t="shared" si="330"/>
        <v>98871.773682257495</v>
      </c>
      <c r="CK170" s="759">
        <f t="shared" si="444"/>
        <v>4459116.9930698127</v>
      </c>
      <c r="CL170" s="764">
        <f t="shared" si="382"/>
        <v>0.125</v>
      </c>
      <c r="CM170" s="757">
        <f t="shared" si="383"/>
        <v>557389.62413372658</v>
      </c>
      <c r="CN170" s="757">
        <f t="shared" si="425"/>
        <v>30000</v>
      </c>
      <c r="CO170" s="757">
        <f t="shared" si="384"/>
        <v>527389.62413372658</v>
      </c>
      <c r="CP170" s="755">
        <f t="shared" si="385"/>
        <v>29</v>
      </c>
      <c r="CQ170" s="757">
        <f t="shared" si="427"/>
        <v>18185.849108059538</v>
      </c>
      <c r="CR170" s="764">
        <f t="shared" si="386"/>
        <v>0.875</v>
      </c>
      <c r="CS170" s="757">
        <f t="shared" si="387"/>
        <v>3901727.3689360861</v>
      </c>
      <c r="CT170" s="1101">
        <f t="shared" si="388"/>
        <v>30250.050762111794</v>
      </c>
      <c r="CU170" s="1101">
        <f t="shared" si="389"/>
        <v>35069.828643584122</v>
      </c>
      <c r="CV170" s="1101">
        <f t="shared" si="390"/>
        <v>45302.363113285224</v>
      </c>
      <c r="CW170" s="1141">
        <f t="shared" si="331"/>
        <v>77258.878282619058</v>
      </c>
      <c r="CX170" s="1152">
        <f t="shared" si="391"/>
        <v>316949.71587485942</v>
      </c>
      <c r="CY170" s="1152">
        <f t="shared" si="392"/>
        <v>125415.45862097293</v>
      </c>
      <c r="CZ170" s="1152">
        <f t="shared" si="393"/>
        <v>90585.809478382245</v>
      </c>
      <c r="DA170" s="1152">
        <f t="shared" si="394"/>
        <v>68939.971368327359</v>
      </c>
      <c r="DB170" s="1143">
        <f t="shared" si="332"/>
        <v>0.17588086307566769</v>
      </c>
      <c r="DC170" s="1143">
        <f t="shared" si="395"/>
        <v>0.29958028128723663</v>
      </c>
      <c r="DD170" s="1098" t="s">
        <v>232</v>
      </c>
      <c r="DE170" s="1144"/>
      <c r="DF170" s="705"/>
      <c r="DG170" s="765">
        <f t="shared" si="426"/>
        <v>46082</v>
      </c>
      <c r="DH170" s="1116">
        <f t="shared" si="333"/>
        <v>28</v>
      </c>
      <c r="DI170" s="497"/>
      <c r="DJ170" s="1117">
        <f t="shared" si="396"/>
        <v>46147</v>
      </c>
      <c r="DK170" s="1116">
        <f t="shared" si="397"/>
        <v>30</v>
      </c>
      <c r="DL170" s="766" t="s">
        <v>233</v>
      </c>
      <c r="DM170" s="766" t="s">
        <v>234</v>
      </c>
      <c r="DN170" s="767">
        <f t="shared" si="334"/>
        <v>26861.804542465612</v>
      </c>
      <c r="DO170" s="767">
        <f t="shared" si="335"/>
        <v>590959.69993424346</v>
      </c>
      <c r="DP170" s="768">
        <f t="shared" si="336"/>
        <v>0.19698656664474781</v>
      </c>
      <c r="DR170" s="767">
        <f t="shared" si="337"/>
        <v>3954870.9472902995</v>
      </c>
      <c r="DS170" s="767">
        <f>SUM('[6]INTERNAL PRICELIST'!M170)</f>
        <v>2329361</v>
      </c>
      <c r="DT170" s="767">
        <f t="shared" si="398"/>
        <v>1625509.9472902995</v>
      </c>
      <c r="DV170" s="951">
        <f t="shared" si="338"/>
        <v>179766.86124046816</v>
      </c>
      <c r="DX170" s="772"/>
      <c r="DY170" s="773"/>
      <c r="DZ170" s="772"/>
      <c r="EA170" s="775"/>
      <c r="ED170" s="755" t="s">
        <v>577</v>
      </c>
      <c r="EE170" s="777" t="b">
        <f t="shared" si="340"/>
        <v>1</v>
      </c>
      <c r="EF170" s="1123" t="s">
        <v>576</v>
      </c>
      <c r="EG170" s="1123" t="s">
        <v>567</v>
      </c>
      <c r="EH170" s="1203"/>
      <c r="EP170" s="1230" t="s">
        <v>236</v>
      </c>
      <c r="EQ170" s="1145" t="s">
        <v>236</v>
      </c>
      <c r="ER170" s="753" t="b">
        <f t="shared" si="399"/>
        <v>1</v>
      </c>
      <c r="EU170" s="770">
        <v>2508300</v>
      </c>
      <c r="EV170" s="771" t="s">
        <v>236</v>
      </c>
      <c r="FJ170" s="994">
        <v>0.15</v>
      </c>
      <c r="FK170" s="993">
        <v>13630.985074573726</v>
      </c>
      <c r="FL170" s="993">
        <v>13999.390076589232</v>
      </c>
      <c r="FM170" s="497"/>
      <c r="FN170" s="993">
        <f t="shared" si="341"/>
        <v>4459116.9930698127</v>
      </c>
      <c r="FO170" s="994">
        <f t="shared" si="400"/>
        <v>0.15</v>
      </c>
      <c r="FP170" s="775">
        <f t="shared" si="342"/>
        <v>668867.54896047188</v>
      </c>
      <c r="FQ170" s="993">
        <f t="shared" si="343"/>
        <v>30000</v>
      </c>
      <c r="FR170" s="775">
        <f t="shared" si="401"/>
        <v>638867.54896047188</v>
      </c>
      <c r="FS170" s="497">
        <f t="shared" si="402"/>
        <v>40</v>
      </c>
      <c r="FT170" s="775">
        <f t="shared" si="403"/>
        <v>15971.688724011798</v>
      </c>
      <c r="FU170" s="497"/>
      <c r="FV170" s="993">
        <f t="shared" si="404"/>
        <v>4459116.9930698127</v>
      </c>
      <c r="FW170" s="705">
        <f t="shared" si="405"/>
        <v>445911.69930698129</v>
      </c>
      <c r="FX170" s="705">
        <f t="shared" si="406"/>
        <v>111477.92482674532</v>
      </c>
      <c r="FY170" s="705">
        <v>15000</v>
      </c>
      <c r="FZ170" s="705">
        <f t="shared" si="407"/>
        <v>430911.69930698129</v>
      </c>
      <c r="GA170" s="497">
        <f t="shared" si="408"/>
        <v>46</v>
      </c>
      <c r="GB170" s="775">
        <f t="shared" si="409"/>
        <v>9367.6456371082895</v>
      </c>
      <c r="GC170" s="497"/>
      <c r="GD170" s="497"/>
      <c r="GH170" s="1095">
        <f t="shared" si="307"/>
        <v>4459116.9930698127</v>
      </c>
      <c r="GI170" s="1098">
        <f t="shared" si="308"/>
        <v>0.125</v>
      </c>
      <c r="GJ170" s="1095">
        <f t="shared" si="309"/>
        <v>557389.62413372658</v>
      </c>
      <c r="GK170" s="1095">
        <f t="shared" si="310"/>
        <v>30000</v>
      </c>
      <c r="GL170" s="1095">
        <f t="shared" si="311"/>
        <v>527389.62413372658</v>
      </c>
      <c r="GM170" s="1095">
        <f t="shared" si="312"/>
        <v>29</v>
      </c>
      <c r="GN170" s="1095">
        <f t="shared" si="313"/>
        <v>18185.849108059538</v>
      </c>
      <c r="GO170" s="1098">
        <f t="shared" si="314"/>
        <v>0.875</v>
      </c>
      <c r="GP170" s="1095">
        <f t="shared" si="315"/>
        <v>3901727.3689360861</v>
      </c>
      <c r="GQ170" s="1095">
        <f t="shared" si="316"/>
        <v>30250.050762111794</v>
      </c>
      <c r="GR170" s="1095">
        <f t="shared" si="317"/>
        <v>35069.828643584122</v>
      </c>
      <c r="GS170" s="1095">
        <f t="shared" si="318"/>
        <v>45302.363113285224</v>
      </c>
      <c r="GT170" s="1095">
        <f t="shared" si="319"/>
        <v>77258.878282619058</v>
      </c>
      <c r="GU170" s="497"/>
      <c r="GV170" s="1095">
        <f t="shared" si="410"/>
        <v>4459116.9930698127</v>
      </c>
      <c r="GW170" s="1098">
        <f t="shared" si="411"/>
        <v>0.125</v>
      </c>
      <c r="GX170" s="1095">
        <f t="shared" si="412"/>
        <v>557389.62413372658</v>
      </c>
      <c r="GY170" s="1095">
        <f t="shared" si="413"/>
        <v>30000</v>
      </c>
      <c r="GZ170" s="1095">
        <f t="shared" si="414"/>
        <v>527389.62413372658</v>
      </c>
      <c r="HA170" s="1106">
        <f t="shared" si="415"/>
        <v>48</v>
      </c>
      <c r="HB170" s="770">
        <f t="shared" si="416"/>
        <v>10987.283836119304</v>
      </c>
      <c r="HC170" s="1098">
        <f t="shared" si="417"/>
        <v>0.875</v>
      </c>
      <c r="HD170" s="1102">
        <f t="shared" si="418"/>
        <v>3901727.3689360861</v>
      </c>
      <c r="HE170" s="1101">
        <f t="shared" si="419"/>
        <v>30250.050762111794</v>
      </c>
      <c r="HF170" s="1101">
        <f t="shared" si="420"/>
        <v>35069.828643584122</v>
      </c>
      <c r="HG170" s="1101">
        <f t="shared" si="421"/>
        <v>45302.363113285224</v>
      </c>
      <c r="HH170" s="1101">
        <f t="shared" si="422"/>
        <v>77258.878282619058</v>
      </c>
      <c r="HI170" s="497"/>
      <c r="HJ170" s="1102">
        <f t="shared" si="423"/>
        <v>-7198.5652719402333</v>
      </c>
      <c r="HL170" s="775"/>
      <c r="HN170" s="775"/>
      <c r="HO170" s="775"/>
      <c r="HQ170" s="702"/>
      <c r="HR170" s="1171"/>
      <c r="HS170" s="702"/>
      <c r="HT170" s="1171"/>
    </row>
    <row r="171" spans="1:228" ht="14.25" hidden="1" customHeight="1">
      <c r="A171" s="753">
        <f t="shared" si="424"/>
        <v>165</v>
      </c>
      <c r="B171" s="753"/>
      <c r="C171" s="753">
        <f t="shared" si="445"/>
        <v>10</v>
      </c>
      <c r="D171" s="753" t="s">
        <v>272</v>
      </c>
      <c r="E171" s="717" t="str">
        <f t="shared" si="344"/>
        <v>8th Floor</v>
      </c>
      <c r="F171" s="754"/>
      <c r="G171" s="756" t="s">
        <v>578</v>
      </c>
      <c r="H171" s="756"/>
      <c r="I171" s="755" t="s">
        <v>229</v>
      </c>
      <c r="J171" s="757">
        <v>22</v>
      </c>
      <c r="K171" s="758"/>
      <c r="L171" s="759" t="s">
        <v>277</v>
      </c>
      <c r="M171" s="760" t="s">
        <v>278</v>
      </c>
      <c r="N171" s="761">
        <f t="shared" si="345"/>
        <v>106005.26567735759</v>
      </c>
      <c r="O171" s="762">
        <f t="shared" si="346"/>
        <v>2332115.8449018667</v>
      </c>
      <c r="P171" s="762">
        <f t="shared" si="347"/>
        <v>22400</v>
      </c>
      <c r="Q171" s="762">
        <f t="shared" si="320"/>
        <v>50000</v>
      </c>
      <c r="R171" s="762"/>
      <c r="S171" s="762"/>
      <c r="T171" s="762">
        <f t="shared" si="443"/>
        <v>66000</v>
      </c>
      <c r="U171" s="762"/>
      <c r="V171" s="762"/>
      <c r="W171" s="762">
        <f>J171*$W$5</f>
        <v>22000</v>
      </c>
      <c r="X171" s="762"/>
      <c r="Y171" s="762">
        <f t="shared" si="446"/>
        <v>80000</v>
      </c>
      <c r="Z171" s="762">
        <f t="shared" si="321"/>
        <v>142461</v>
      </c>
      <c r="AA171" s="762"/>
      <c r="AB171" s="762"/>
      <c r="AC171" s="762"/>
      <c r="AD171" s="763">
        <f t="shared" si="348"/>
        <v>382861</v>
      </c>
      <c r="AE171" s="763">
        <f t="shared" si="322"/>
        <v>2714976.8449018667</v>
      </c>
      <c r="AF171" s="762">
        <f t="shared" si="323"/>
        <v>67874.421122546672</v>
      </c>
      <c r="AG171" s="762">
        <f t="shared" si="349"/>
        <v>2782851.2660244135</v>
      </c>
      <c r="AH171" s="762">
        <f t="shared" si="324"/>
        <v>69571.281650610341</v>
      </c>
      <c r="AI171" s="762">
        <f t="shared" si="350"/>
        <v>2852422.5476750238</v>
      </c>
      <c r="AJ171" s="762">
        <f t="shared" si="351"/>
        <v>142621.12738375118</v>
      </c>
      <c r="AK171" s="762">
        <f t="shared" si="352"/>
        <v>2995043.6750587751</v>
      </c>
      <c r="AL171" s="762">
        <f t="shared" si="353"/>
        <v>29950.436750587753</v>
      </c>
      <c r="AM171" s="762">
        <f t="shared" si="354"/>
        <v>27537.409960060559</v>
      </c>
      <c r="AN171" s="762"/>
      <c r="AO171" s="763">
        <f t="shared" si="355"/>
        <v>3052531.521769423</v>
      </c>
      <c r="AP171" s="763">
        <f t="shared" si="356"/>
        <v>503667.70109195483</v>
      </c>
      <c r="AQ171" s="763">
        <f t="shared" si="357"/>
        <v>3556199.222861378</v>
      </c>
      <c r="AR171" s="1178">
        <f t="shared" si="325"/>
        <v>3000000</v>
      </c>
      <c r="AS171" s="1178">
        <f t="shared" si="358"/>
        <v>25281.782857335362</v>
      </c>
      <c r="AT171" s="1178">
        <f t="shared" si="359"/>
        <v>556199.22286137799</v>
      </c>
      <c r="AU171" s="1178">
        <f t="shared" si="326"/>
        <v>66743.906743365354</v>
      </c>
      <c r="AV171" s="1178">
        <f t="shared" si="360"/>
        <v>622943.12960474333</v>
      </c>
      <c r="AW171" s="1178">
        <f t="shared" si="361"/>
        <v>3622943.1296047433</v>
      </c>
      <c r="AX171" s="762">
        <f t="shared" si="362"/>
        <v>45286.789120059293</v>
      </c>
      <c r="AY171" s="717" t="s">
        <v>231</v>
      </c>
      <c r="AZ171" s="717">
        <f t="shared" si="363"/>
        <v>3668229.9187248028</v>
      </c>
      <c r="BA171" s="717">
        <f t="shared" si="364"/>
        <v>137558.62195218011</v>
      </c>
      <c r="BB171" s="717"/>
      <c r="BC171" s="717">
        <f t="shared" si="327"/>
        <v>33600</v>
      </c>
      <c r="BD171" s="717">
        <f t="shared" si="365"/>
        <v>3839388.5406769831</v>
      </c>
      <c r="BE171" s="717"/>
      <c r="BF171" s="717">
        <f t="shared" si="366"/>
        <v>3839388.5406769831</v>
      </c>
      <c r="BG171" s="1209"/>
      <c r="BH171" s="717">
        <f t="shared" si="367"/>
        <v>3839388.5406769831</v>
      </c>
      <c r="BI171" s="717"/>
      <c r="BJ171" s="717">
        <f t="shared" si="368"/>
        <v>3839388.5406769831</v>
      </c>
      <c r="BK171" s="717"/>
      <c r="BL171" s="717">
        <f t="shared" si="369"/>
        <v>3839388.5406769831</v>
      </c>
      <c r="BM171" s="717"/>
      <c r="BN171" s="717">
        <f t="shared" si="370"/>
        <v>3839388.5406769831</v>
      </c>
      <c r="BO171" s="717"/>
      <c r="BP171" s="717">
        <f t="shared" si="328"/>
        <v>3839388.5406769831</v>
      </c>
      <c r="BQ171" s="717"/>
      <c r="BR171" s="717">
        <f t="shared" si="433"/>
        <v>3839388.5406769831</v>
      </c>
      <c r="BS171" s="717"/>
      <c r="BT171" s="717">
        <f t="shared" si="371"/>
        <v>3839388.5406769831</v>
      </c>
      <c r="BU171" s="717"/>
      <c r="BV171" s="1235">
        <f t="shared" si="434"/>
        <v>51400</v>
      </c>
      <c r="BW171" s="717">
        <f t="shared" si="372"/>
        <v>3890788.5406769831</v>
      </c>
      <c r="BX171" s="717"/>
      <c r="BY171" s="717">
        <f t="shared" si="373"/>
        <v>3890788.5406769831</v>
      </c>
      <c r="BZ171" s="1194">
        <f t="shared" si="374"/>
        <v>3890788.5406769831</v>
      </c>
      <c r="CA171" s="1194">
        <f t="shared" si="375"/>
        <v>3010788.5406769831</v>
      </c>
      <c r="CB171" s="1194">
        <v>40000</v>
      </c>
      <c r="CC171" s="1194">
        <f t="shared" si="376"/>
        <v>880000</v>
      </c>
      <c r="CD171" s="1194">
        <f t="shared" si="377"/>
        <v>105600</v>
      </c>
      <c r="CE171" s="1194">
        <f t="shared" si="378"/>
        <v>985600</v>
      </c>
      <c r="CF171" s="1200">
        <f t="shared" si="379"/>
        <v>3996388.5406769831</v>
      </c>
      <c r="CG171" s="757">
        <f t="shared" si="380"/>
        <v>3996388.5406769831</v>
      </c>
      <c r="CH171" s="758">
        <f t="shared" si="381"/>
        <v>0</v>
      </c>
      <c r="CI171" s="757">
        <f t="shared" si="329"/>
        <v>409629.82541939075</v>
      </c>
      <c r="CJ171" s="757">
        <f t="shared" si="330"/>
        <v>99909.713516924588</v>
      </c>
      <c r="CK171" s="759">
        <f t="shared" si="444"/>
        <v>4505928.0796132982</v>
      </c>
      <c r="CL171" s="764">
        <f t="shared" si="382"/>
        <v>0.125</v>
      </c>
      <c r="CM171" s="757">
        <f t="shared" si="383"/>
        <v>563241.00995166227</v>
      </c>
      <c r="CN171" s="757">
        <f t="shared" si="425"/>
        <v>30000</v>
      </c>
      <c r="CO171" s="757">
        <f t="shared" si="384"/>
        <v>533241.00995166227</v>
      </c>
      <c r="CP171" s="755">
        <f t="shared" si="385"/>
        <v>29</v>
      </c>
      <c r="CQ171" s="757">
        <f t="shared" si="427"/>
        <v>18387.62103281594</v>
      </c>
      <c r="CR171" s="764">
        <f t="shared" si="386"/>
        <v>0.875</v>
      </c>
      <c r="CS171" s="757">
        <f t="shared" si="387"/>
        <v>3942687.0696616359</v>
      </c>
      <c r="CT171" s="1101">
        <f t="shared" si="388"/>
        <v>30567.610885869661</v>
      </c>
      <c r="CU171" s="1101">
        <f t="shared" si="389"/>
        <v>35437.986013361908</v>
      </c>
      <c r="CV171" s="1101">
        <f t="shared" si="390"/>
        <v>45777.939969334584</v>
      </c>
      <c r="CW171" s="1141">
        <f t="shared" si="331"/>
        <v>78069.929448838971</v>
      </c>
      <c r="CX171" s="1152">
        <f t="shared" si="391"/>
        <v>320277.00255578972</v>
      </c>
      <c r="CY171" s="1152">
        <f t="shared" si="392"/>
        <v>126732.04975247307</v>
      </c>
      <c r="CZ171" s="1152">
        <f t="shared" si="393"/>
        <v>91536.764605528384</v>
      </c>
      <c r="DA171" s="1152">
        <f t="shared" si="394"/>
        <v>69663.691999798495</v>
      </c>
      <c r="DB171" s="1143">
        <f t="shared" si="332"/>
        <v>0.18539974095379266</v>
      </c>
      <c r="DC171" s="1143">
        <f t="shared" si="395"/>
        <v>0.32735610179331476</v>
      </c>
      <c r="DD171" s="1098" t="s">
        <v>232</v>
      </c>
      <c r="DE171" s="1144"/>
      <c r="DF171" s="705"/>
      <c r="DG171" s="765">
        <f t="shared" si="426"/>
        <v>46082</v>
      </c>
      <c r="DH171" s="1116">
        <f t="shared" si="333"/>
        <v>28</v>
      </c>
      <c r="DI171" s="497"/>
      <c r="DJ171" s="1117">
        <f t="shared" si="396"/>
        <v>46147</v>
      </c>
      <c r="DK171" s="1116">
        <f t="shared" si="397"/>
        <v>30</v>
      </c>
      <c r="DL171" s="766" t="s">
        <v>233</v>
      </c>
      <c r="DM171" s="766" t="s">
        <v>234</v>
      </c>
      <c r="DN171" s="767">
        <f t="shared" si="334"/>
        <v>28315.596800215604</v>
      </c>
      <c r="DO171" s="767">
        <f t="shared" si="335"/>
        <v>622943.12960474333</v>
      </c>
      <c r="DP171" s="768">
        <f t="shared" si="336"/>
        <v>0.20764770986824777</v>
      </c>
      <c r="DR171" s="767">
        <f t="shared" si="337"/>
        <v>3996388.5406769831</v>
      </c>
      <c r="DS171" s="767">
        <f>SUM('[6]INTERNAL PRICELIST'!M171)</f>
        <v>2329361</v>
      </c>
      <c r="DT171" s="767">
        <f t="shared" si="398"/>
        <v>1667027.5406769831</v>
      </c>
      <c r="DV171" s="951">
        <f t="shared" si="338"/>
        <v>181654.02457622651</v>
      </c>
      <c r="DX171" s="772"/>
      <c r="DY171" s="773"/>
      <c r="DZ171" s="772"/>
      <c r="EA171" s="775"/>
      <c r="ED171" s="755" t="s">
        <v>578</v>
      </c>
      <c r="EE171" s="777" t="b">
        <f t="shared" si="340"/>
        <v>1</v>
      </c>
      <c r="EF171" s="777"/>
      <c r="EG171" s="777"/>
      <c r="EH171" s="1203"/>
      <c r="EP171" s="1230" t="s">
        <v>236</v>
      </c>
      <c r="EQ171" s="1145" t="s">
        <v>236</v>
      </c>
      <c r="ER171" s="753" t="b">
        <f t="shared" si="399"/>
        <v>1</v>
      </c>
      <c r="EU171" s="770">
        <v>3194316.7474007285</v>
      </c>
      <c r="EV171" s="771" t="s">
        <v>258</v>
      </c>
      <c r="EW171" s="775">
        <f t="shared" ref="EW171:EW177" si="453">EU171-CG171</f>
        <v>-802071.79327625455</v>
      </c>
      <c r="EY171" s="775">
        <v>3160387.0375777991</v>
      </c>
      <c r="FJ171" s="994">
        <v>0.125</v>
      </c>
      <c r="FK171" s="993">
        <v>11395.186860823775</v>
      </c>
      <c r="FL171" s="993">
        <v>11703.164884089281</v>
      </c>
      <c r="FM171" s="497"/>
      <c r="FN171" s="993">
        <f t="shared" si="341"/>
        <v>4505928.0796132982</v>
      </c>
      <c r="FO171" s="994">
        <f t="shared" si="400"/>
        <v>0.15</v>
      </c>
      <c r="FP171" s="775">
        <f t="shared" si="342"/>
        <v>675889.21194199473</v>
      </c>
      <c r="FQ171" s="993">
        <f t="shared" si="343"/>
        <v>30000</v>
      </c>
      <c r="FR171" s="775">
        <f t="shared" si="401"/>
        <v>645889.21194199473</v>
      </c>
      <c r="FS171" s="497">
        <f t="shared" si="402"/>
        <v>40</v>
      </c>
      <c r="FT171" s="775">
        <f t="shared" si="403"/>
        <v>16147.230298549868</v>
      </c>
      <c r="FU171" s="497"/>
      <c r="FV171" s="993">
        <f t="shared" si="404"/>
        <v>4505928.0796132982</v>
      </c>
      <c r="FW171" s="705">
        <f t="shared" si="405"/>
        <v>450592.80796132982</v>
      </c>
      <c r="FX171" s="705">
        <f t="shared" si="406"/>
        <v>112648.20199033245</v>
      </c>
      <c r="FY171" s="705">
        <v>15000</v>
      </c>
      <c r="FZ171" s="705">
        <f t="shared" si="407"/>
        <v>435592.80796132982</v>
      </c>
      <c r="GA171" s="497">
        <f t="shared" si="408"/>
        <v>46</v>
      </c>
      <c r="GB171" s="775">
        <f t="shared" si="409"/>
        <v>9469.4088687245621</v>
      </c>
      <c r="GC171" s="497"/>
      <c r="GD171" s="497"/>
      <c r="GH171" s="1095">
        <f t="shared" si="307"/>
        <v>4505928.0796132982</v>
      </c>
      <c r="GI171" s="1098">
        <f t="shared" si="308"/>
        <v>0.125</v>
      </c>
      <c r="GJ171" s="1095">
        <f t="shared" si="309"/>
        <v>563241.00995166227</v>
      </c>
      <c r="GK171" s="1095">
        <f t="shared" si="310"/>
        <v>30000</v>
      </c>
      <c r="GL171" s="1095">
        <f t="shared" si="311"/>
        <v>533241.00995166227</v>
      </c>
      <c r="GM171" s="1095">
        <f t="shared" si="312"/>
        <v>29</v>
      </c>
      <c r="GN171" s="1095">
        <f t="shared" si="313"/>
        <v>18387.62103281594</v>
      </c>
      <c r="GO171" s="1098">
        <f t="shared" si="314"/>
        <v>0.875</v>
      </c>
      <c r="GP171" s="1095">
        <f t="shared" si="315"/>
        <v>3942687.0696616359</v>
      </c>
      <c r="GQ171" s="1095">
        <f t="shared" si="316"/>
        <v>30567.610885869661</v>
      </c>
      <c r="GR171" s="1095">
        <f t="shared" si="317"/>
        <v>35437.986013361908</v>
      </c>
      <c r="GS171" s="1095">
        <f t="shared" si="318"/>
        <v>45777.939969334584</v>
      </c>
      <c r="GT171" s="1095">
        <f t="shared" si="319"/>
        <v>78069.929448838971</v>
      </c>
      <c r="GU171" s="497"/>
      <c r="GV171" s="1095">
        <f t="shared" si="410"/>
        <v>4505928.0796132982</v>
      </c>
      <c r="GW171" s="1098">
        <f t="shared" si="411"/>
        <v>0.125</v>
      </c>
      <c r="GX171" s="1095">
        <f t="shared" si="412"/>
        <v>563241.00995166227</v>
      </c>
      <c r="GY171" s="1095">
        <f t="shared" si="413"/>
        <v>30000</v>
      </c>
      <c r="GZ171" s="1095">
        <f t="shared" si="414"/>
        <v>533241.00995166227</v>
      </c>
      <c r="HA171" s="1106">
        <f t="shared" si="415"/>
        <v>48</v>
      </c>
      <c r="HB171" s="770">
        <f t="shared" si="416"/>
        <v>11109.187707326297</v>
      </c>
      <c r="HC171" s="1098">
        <f t="shared" si="417"/>
        <v>0.875</v>
      </c>
      <c r="HD171" s="1102">
        <f t="shared" si="418"/>
        <v>3942687.0696616359</v>
      </c>
      <c r="HE171" s="1101">
        <f t="shared" si="419"/>
        <v>30567.610885869661</v>
      </c>
      <c r="HF171" s="1101">
        <f t="shared" si="420"/>
        <v>35437.986013361908</v>
      </c>
      <c r="HG171" s="1101">
        <f t="shared" si="421"/>
        <v>45777.939969334584</v>
      </c>
      <c r="HH171" s="1101">
        <f t="shared" si="422"/>
        <v>78069.929448838971</v>
      </c>
      <c r="HI171" s="497"/>
      <c r="HJ171" s="1102">
        <f t="shared" si="423"/>
        <v>-7278.4333254896428</v>
      </c>
      <c r="HL171" s="775"/>
      <c r="HN171" s="775"/>
      <c r="HO171" s="775"/>
      <c r="HQ171" s="702"/>
      <c r="HR171" s="1171"/>
      <c r="HS171" s="702"/>
      <c r="HT171" s="1171"/>
    </row>
    <row r="172" spans="1:228" ht="14.25" customHeight="1">
      <c r="A172" s="753">
        <f t="shared" si="424"/>
        <v>166</v>
      </c>
      <c r="B172" s="753"/>
      <c r="C172" s="753">
        <f t="shared" si="445"/>
        <v>11</v>
      </c>
      <c r="D172" s="753" t="s">
        <v>272</v>
      </c>
      <c r="E172" s="717" t="str">
        <f t="shared" si="344"/>
        <v>8th Floor</v>
      </c>
      <c r="F172" s="754"/>
      <c r="G172" s="756" t="s">
        <v>579</v>
      </c>
      <c r="H172" s="756"/>
      <c r="I172" s="755" t="s">
        <v>229</v>
      </c>
      <c r="J172" s="757">
        <v>22</v>
      </c>
      <c r="K172" s="758"/>
      <c r="L172" s="759" t="s">
        <v>277</v>
      </c>
      <c r="M172" s="760" t="s">
        <v>68</v>
      </c>
      <c r="N172" s="761">
        <f t="shared" si="345"/>
        <v>106005.26567735759</v>
      </c>
      <c r="O172" s="762">
        <f t="shared" si="346"/>
        <v>2332115.8449018667</v>
      </c>
      <c r="P172" s="762">
        <f t="shared" si="347"/>
        <v>22400</v>
      </c>
      <c r="Q172" s="762">
        <f t="shared" si="320"/>
        <v>50000</v>
      </c>
      <c r="R172" s="762"/>
      <c r="S172" s="762"/>
      <c r="T172" s="762">
        <f t="shared" si="443"/>
        <v>66000</v>
      </c>
      <c r="U172" s="762"/>
      <c r="V172" s="762"/>
      <c r="W172" s="762"/>
      <c r="X172" s="762"/>
      <c r="Y172" s="762">
        <f t="shared" si="446"/>
        <v>80000</v>
      </c>
      <c r="Z172" s="762">
        <f t="shared" si="321"/>
        <v>142461</v>
      </c>
      <c r="AA172" s="762"/>
      <c r="AB172" s="762"/>
      <c r="AC172" s="762"/>
      <c r="AD172" s="763">
        <f t="shared" si="348"/>
        <v>360861</v>
      </c>
      <c r="AE172" s="763">
        <f t="shared" si="322"/>
        <v>2692976.8449018667</v>
      </c>
      <c r="AF172" s="762">
        <f t="shared" si="323"/>
        <v>67324.421122546672</v>
      </c>
      <c r="AG172" s="762">
        <f t="shared" si="349"/>
        <v>2760301.2660244135</v>
      </c>
      <c r="AH172" s="762">
        <f t="shared" si="324"/>
        <v>69007.531650610341</v>
      </c>
      <c r="AI172" s="762">
        <f t="shared" si="350"/>
        <v>2829308.7976750238</v>
      </c>
      <c r="AJ172" s="762">
        <f t="shared" si="351"/>
        <v>141465.43988375118</v>
      </c>
      <c r="AK172" s="762">
        <f t="shared" si="352"/>
        <v>2970774.2375587751</v>
      </c>
      <c r="AL172" s="762">
        <f t="shared" si="353"/>
        <v>29707.742375587753</v>
      </c>
      <c r="AM172" s="762">
        <f t="shared" si="354"/>
        <v>27537.409960060559</v>
      </c>
      <c r="AN172" s="762"/>
      <c r="AO172" s="763">
        <f t="shared" si="355"/>
        <v>3028019.3898944231</v>
      </c>
      <c r="AP172" s="763">
        <f t="shared" si="356"/>
        <v>499623.19933257985</v>
      </c>
      <c r="AQ172" s="763">
        <f t="shared" si="357"/>
        <v>3527642.589227003</v>
      </c>
      <c r="AR172" s="1178">
        <f t="shared" si="325"/>
        <v>3000000</v>
      </c>
      <c r="AS172" s="1178">
        <f t="shared" si="358"/>
        <v>23983.754055772864</v>
      </c>
      <c r="AT172" s="1178">
        <f t="shared" si="359"/>
        <v>527642.58922700305</v>
      </c>
      <c r="AU172" s="1178">
        <f t="shared" si="326"/>
        <v>63317.110707240361</v>
      </c>
      <c r="AV172" s="1178">
        <f t="shared" si="360"/>
        <v>590959.69993424346</v>
      </c>
      <c r="AW172" s="1178">
        <f t="shared" si="361"/>
        <v>3590959.6999342432</v>
      </c>
      <c r="AX172" s="762">
        <f t="shared" si="362"/>
        <v>44886.996249178046</v>
      </c>
      <c r="AY172" s="717" t="s">
        <v>231</v>
      </c>
      <c r="AZ172" s="717">
        <f t="shared" si="363"/>
        <v>3635846.6961834212</v>
      </c>
      <c r="BA172" s="717">
        <f t="shared" si="364"/>
        <v>136344.25110687828</v>
      </c>
      <c r="BB172" s="717"/>
      <c r="BC172" s="717">
        <f t="shared" si="327"/>
        <v>33600</v>
      </c>
      <c r="BD172" s="717">
        <f t="shared" si="365"/>
        <v>3805790.9472902995</v>
      </c>
      <c r="BE172" s="717"/>
      <c r="BF172" s="717">
        <f t="shared" si="366"/>
        <v>3805790.9472902995</v>
      </c>
      <c r="BG172" s="1209"/>
      <c r="BH172" s="717">
        <f t="shared" si="367"/>
        <v>3805790.9472902995</v>
      </c>
      <c r="BI172" s="717">
        <v>718.43902439024396</v>
      </c>
      <c r="BJ172" s="717">
        <f t="shared" si="368"/>
        <v>3806509.3863146896</v>
      </c>
      <c r="BK172" s="717"/>
      <c r="BL172" s="717">
        <f t="shared" si="369"/>
        <v>3806509.3863146896</v>
      </c>
      <c r="BM172" s="717">
        <f>$BM$5/41</f>
        <v>1038.0487804878051</v>
      </c>
      <c r="BN172" s="717">
        <f t="shared" si="370"/>
        <v>3807547.4350951775</v>
      </c>
      <c r="BO172" s="717">
        <f>$BO$5/51</f>
        <v>7289.0781490196077</v>
      </c>
      <c r="BP172" s="717">
        <f t="shared" si="328"/>
        <v>3814836.5132441972</v>
      </c>
      <c r="BQ172" s="717">
        <f>$BQ$5/56</f>
        <v>4468.4242000000004</v>
      </c>
      <c r="BR172" s="717">
        <f t="shared" si="433"/>
        <v>3819304.937444197</v>
      </c>
      <c r="BS172" s="1234">
        <f>$BS$5/64</f>
        <v>2651.4786794501206</v>
      </c>
      <c r="BT172" s="1235">
        <f t="shared" si="371"/>
        <v>3821956.4161236472</v>
      </c>
      <c r="BU172" s="1235">
        <f>$BU$5/65</f>
        <v>211.07692307692309</v>
      </c>
      <c r="BV172" s="1235">
        <f t="shared" si="434"/>
        <v>51400</v>
      </c>
      <c r="BW172" s="717">
        <f t="shared" si="372"/>
        <v>3873567.4930467242</v>
      </c>
      <c r="BX172" s="1234">
        <f t="shared" si="435"/>
        <v>27651.078536278128</v>
      </c>
      <c r="BY172" s="717">
        <f t="shared" si="373"/>
        <v>3901218.5715830023</v>
      </c>
      <c r="BZ172" s="1194">
        <f t="shared" si="374"/>
        <v>3901218.5715830023</v>
      </c>
      <c r="CA172" s="1194">
        <f t="shared" si="375"/>
        <v>3021218.5715830023</v>
      </c>
      <c r="CB172" s="1194">
        <f>$CB$5</f>
        <v>40000</v>
      </c>
      <c r="CC172" s="1194">
        <f t="shared" si="376"/>
        <v>880000</v>
      </c>
      <c r="CD172" s="1194">
        <f t="shared" si="377"/>
        <v>105600</v>
      </c>
      <c r="CE172" s="1194">
        <f t="shared" si="378"/>
        <v>985600</v>
      </c>
      <c r="CF172" s="1200">
        <f t="shared" si="379"/>
        <v>4006818.5715830023</v>
      </c>
      <c r="CG172" s="757">
        <f t="shared" si="380"/>
        <v>4006818.5715830023</v>
      </c>
      <c r="CH172" s="758">
        <f t="shared" si="381"/>
        <v>0</v>
      </c>
      <c r="CI172" s="757">
        <f t="shared" si="329"/>
        <v>410698.90358725772</v>
      </c>
      <c r="CJ172" s="757">
        <f t="shared" si="330"/>
        <v>100170.46428957506</v>
      </c>
      <c r="CK172" s="759">
        <f t="shared" si="444"/>
        <v>4517687.9394598352</v>
      </c>
      <c r="CL172" s="764">
        <f t="shared" si="382"/>
        <v>0.125</v>
      </c>
      <c r="CM172" s="757">
        <f t="shared" si="383"/>
        <v>564710.9924324794</v>
      </c>
      <c r="CN172" s="757">
        <f t="shared" si="425"/>
        <v>30000</v>
      </c>
      <c r="CO172" s="757">
        <f t="shared" si="384"/>
        <v>534710.9924324794</v>
      </c>
      <c r="CP172" s="755">
        <f t="shared" si="385"/>
        <v>29</v>
      </c>
      <c r="CQ172" s="757">
        <f t="shared" si="427"/>
        <v>18438.310083878601</v>
      </c>
      <c r="CR172" s="764">
        <f t="shared" si="386"/>
        <v>0.875</v>
      </c>
      <c r="CS172" s="757">
        <f t="shared" si="387"/>
        <v>3952976.9470273559</v>
      </c>
      <c r="CT172" s="1101">
        <f t="shared" si="388"/>
        <v>30647.388195562577</v>
      </c>
      <c r="CU172" s="1101">
        <f t="shared" si="389"/>
        <v>35530.474340161047</v>
      </c>
      <c r="CV172" s="1101">
        <f t="shared" si="390"/>
        <v>45897.414170562573</v>
      </c>
      <c r="CW172" s="1141">
        <f t="shared" si="331"/>
        <v>78273.681353513442</v>
      </c>
      <c r="CX172" s="1152">
        <f t="shared" si="391"/>
        <v>321112.88200072933</v>
      </c>
      <c r="CY172" s="1152">
        <f t="shared" si="392"/>
        <v>127062.80317703313</v>
      </c>
      <c r="CZ172" s="1152">
        <f t="shared" si="393"/>
        <v>91775.663119562989</v>
      </c>
      <c r="DA172" s="1152">
        <f t="shared" si="394"/>
        <v>69845.504767298378</v>
      </c>
      <c r="DB172" s="1143">
        <f t="shared" si="332"/>
        <v>0.17588086307566769</v>
      </c>
      <c r="DC172" s="1143">
        <f t="shared" si="395"/>
        <v>0.32622598353868304</v>
      </c>
      <c r="DD172" s="1098" t="s">
        <v>232</v>
      </c>
      <c r="DE172" s="1144"/>
      <c r="DF172" s="705"/>
      <c r="DG172" s="765">
        <f t="shared" si="426"/>
        <v>46082</v>
      </c>
      <c r="DH172" s="1116">
        <f t="shared" si="333"/>
        <v>28</v>
      </c>
      <c r="DI172" s="497"/>
      <c r="DJ172" s="1117">
        <f t="shared" si="396"/>
        <v>46147</v>
      </c>
      <c r="DK172" s="1116">
        <f t="shared" si="397"/>
        <v>30</v>
      </c>
      <c r="DL172" s="766" t="s">
        <v>233</v>
      </c>
      <c r="DM172" s="766" t="s">
        <v>234</v>
      </c>
      <c r="DN172" s="767">
        <f t="shared" si="334"/>
        <v>26861.804542465612</v>
      </c>
      <c r="DO172" s="767">
        <f t="shared" si="335"/>
        <v>590959.69993424346</v>
      </c>
      <c r="DP172" s="768">
        <f t="shared" si="336"/>
        <v>0.19698656664474781</v>
      </c>
      <c r="DR172" s="767">
        <f t="shared" si="337"/>
        <v>4006818.5715830023</v>
      </c>
      <c r="DS172" s="767">
        <f>SUM('[6]INTERNAL PRICELIST'!M172)</f>
        <v>2329361</v>
      </c>
      <c r="DT172" s="767">
        <f t="shared" si="398"/>
        <v>1677457.5715830023</v>
      </c>
      <c r="DV172" s="951">
        <f t="shared" si="338"/>
        <v>182128.11689013647</v>
      </c>
      <c r="DX172" s="772"/>
      <c r="DY172" s="773"/>
      <c r="DZ172" s="772"/>
      <c r="EA172" s="775"/>
      <c r="ED172" s="755" t="s">
        <v>579</v>
      </c>
      <c r="EE172" s="777" t="b">
        <f t="shared" si="340"/>
        <v>1</v>
      </c>
      <c r="EF172" s="777"/>
      <c r="EG172" s="777"/>
      <c r="EH172" s="1203"/>
      <c r="EP172" s="1230" t="s">
        <v>258</v>
      </c>
      <c r="EQ172" s="1145" t="s">
        <v>258</v>
      </c>
      <c r="ER172" s="753" t="b">
        <f t="shared" si="399"/>
        <v>1</v>
      </c>
      <c r="EU172" s="770">
        <v>3166487.7924007284</v>
      </c>
      <c r="EV172" s="771" t="s">
        <v>258</v>
      </c>
      <c r="EW172" s="775">
        <f t="shared" si="453"/>
        <v>-840330.77918227389</v>
      </c>
      <c r="EY172" s="775">
        <v>3132804.3364702989</v>
      </c>
      <c r="FJ172" s="994">
        <v>0.125</v>
      </c>
      <c r="FK172" s="993">
        <v>11293.364755127228</v>
      </c>
      <c r="FL172" s="993">
        <v>11598.590829590126</v>
      </c>
      <c r="FM172" s="497"/>
      <c r="FN172" s="993">
        <f t="shared" si="341"/>
        <v>4517687.9394598352</v>
      </c>
      <c r="FO172" s="994">
        <f>FJ172</f>
        <v>0.125</v>
      </c>
      <c r="FP172" s="775">
        <f t="shared" si="342"/>
        <v>564710.9924324794</v>
      </c>
      <c r="FQ172" s="993">
        <f t="shared" si="343"/>
        <v>30000</v>
      </c>
      <c r="FR172" s="775">
        <f t="shared" si="401"/>
        <v>534710.9924324794</v>
      </c>
      <c r="FS172" s="497">
        <f t="shared" si="402"/>
        <v>40</v>
      </c>
      <c r="FT172" s="775">
        <f t="shared" si="403"/>
        <v>13367.774810811985</v>
      </c>
      <c r="FU172" s="497"/>
      <c r="FV172" s="993">
        <f t="shared" si="404"/>
        <v>4517687.9394598352</v>
      </c>
      <c r="FW172" s="705">
        <f t="shared" si="405"/>
        <v>451768.79394598352</v>
      </c>
      <c r="FX172" s="705">
        <f t="shared" si="406"/>
        <v>112942.19848649588</v>
      </c>
      <c r="FY172" s="705">
        <v>15000</v>
      </c>
      <c r="FZ172" s="705">
        <f t="shared" si="407"/>
        <v>436768.79394598352</v>
      </c>
      <c r="GA172" s="497">
        <f t="shared" si="408"/>
        <v>46</v>
      </c>
      <c r="GB172" s="775">
        <f t="shared" si="409"/>
        <v>9494.9737814344244</v>
      </c>
      <c r="GC172" s="497"/>
      <c r="GD172" s="497"/>
      <c r="GH172" s="1095">
        <f t="shared" si="307"/>
        <v>4517687.9394598352</v>
      </c>
      <c r="GI172" s="1098">
        <f t="shared" si="308"/>
        <v>0.125</v>
      </c>
      <c r="GJ172" s="1095">
        <f t="shared" si="309"/>
        <v>564710.9924324794</v>
      </c>
      <c r="GK172" s="1095">
        <f t="shared" si="310"/>
        <v>30000</v>
      </c>
      <c r="GL172" s="1095">
        <f t="shared" si="311"/>
        <v>534710.9924324794</v>
      </c>
      <c r="GM172" s="1095">
        <f t="shared" si="312"/>
        <v>29</v>
      </c>
      <c r="GN172" s="1095">
        <f t="shared" si="313"/>
        <v>18438.310083878601</v>
      </c>
      <c r="GO172" s="1098">
        <f t="shared" si="314"/>
        <v>0.875</v>
      </c>
      <c r="GP172" s="1095">
        <f t="shared" si="315"/>
        <v>3952976.9470273559</v>
      </c>
      <c r="GQ172" s="1095">
        <f t="shared" si="316"/>
        <v>30647.388195562577</v>
      </c>
      <c r="GR172" s="1095">
        <f t="shared" si="317"/>
        <v>35530.474340161047</v>
      </c>
      <c r="GS172" s="1095">
        <f t="shared" si="318"/>
        <v>45897.414170562573</v>
      </c>
      <c r="GT172" s="1095">
        <f t="shared" si="319"/>
        <v>78273.681353513442</v>
      </c>
      <c r="GU172" s="497"/>
      <c r="GV172" s="1095">
        <f t="shared" si="410"/>
        <v>4517687.9394598352</v>
      </c>
      <c r="GW172" s="1098">
        <f t="shared" si="411"/>
        <v>0.125</v>
      </c>
      <c r="GX172" s="1095">
        <f t="shared" si="412"/>
        <v>564710.9924324794</v>
      </c>
      <c r="GY172" s="1095">
        <f t="shared" si="413"/>
        <v>30000</v>
      </c>
      <c r="GZ172" s="1095">
        <f t="shared" si="414"/>
        <v>534710.9924324794</v>
      </c>
      <c r="HA172" s="1106">
        <f t="shared" si="415"/>
        <v>48</v>
      </c>
      <c r="HB172" s="770">
        <f t="shared" si="416"/>
        <v>11139.812342343321</v>
      </c>
      <c r="HC172" s="1098">
        <f t="shared" si="417"/>
        <v>0.875</v>
      </c>
      <c r="HD172" s="1102">
        <f t="shared" si="418"/>
        <v>3952976.9470273559</v>
      </c>
      <c r="HE172" s="1101">
        <f t="shared" si="419"/>
        <v>30647.388195562577</v>
      </c>
      <c r="HF172" s="1101">
        <f t="shared" si="420"/>
        <v>35530.474340161047</v>
      </c>
      <c r="HG172" s="1101">
        <f t="shared" si="421"/>
        <v>45897.414170562573</v>
      </c>
      <c r="HH172" s="1101">
        <f t="shared" si="422"/>
        <v>78273.681353513442</v>
      </c>
      <c r="HI172" s="497"/>
      <c r="HJ172" s="1102">
        <f t="shared" si="423"/>
        <v>-7298.4977415352805</v>
      </c>
      <c r="HL172" s="775"/>
      <c r="HN172" s="775"/>
      <c r="HO172" s="775"/>
      <c r="HQ172" s="702"/>
      <c r="HR172" s="1171"/>
      <c r="HS172" s="702"/>
      <c r="HT172" s="1171"/>
    </row>
    <row r="173" spans="1:228" ht="14.25" hidden="1" customHeight="1">
      <c r="A173" s="753">
        <f t="shared" si="424"/>
        <v>167</v>
      </c>
      <c r="B173" s="753" t="s">
        <v>236</v>
      </c>
      <c r="C173" s="753">
        <f t="shared" si="445"/>
        <v>12</v>
      </c>
      <c r="D173" s="753" t="s">
        <v>272</v>
      </c>
      <c r="E173" s="717" t="str">
        <f t="shared" si="344"/>
        <v>8th Floor</v>
      </c>
      <c r="F173" s="754"/>
      <c r="G173" s="756" t="s">
        <v>580</v>
      </c>
      <c r="H173" s="756"/>
      <c r="I173" s="755" t="s">
        <v>229</v>
      </c>
      <c r="J173" s="757">
        <v>22</v>
      </c>
      <c r="K173" s="758"/>
      <c r="L173" s="759" t="s">
        <v>277</v>
      </c>
      <c r="M173" s="760" t="s">
        <v>68</v>
      </c>
      <c r="N173" s="761">
        <f t="shared" si="345"/>
        <v>106005.26567735759</v>
      </c>
      <c r="O173" s="762">
        <f t="shared" si="346"/>
        <v>2332115.8449018667</v>
      </c>
      <c r="P173" s="762">
        <f t="shared" si="347"/>
        <v>22400</v>
      </c>
      <c r="Q173" s="762">
        <f t="shared" si="320"/>
        <v>50000</v>
      </c>
      <c r="R173" s="762"/>
      <c r="S173" s="762"/>
      <c r="T173" s="762">
        <f t="shared" si="443"/>
        <v>66000</v>
      </c>
      <c r="U173" s="762"/>
      <c r="V173" s="762"/>
      <c r="W173" s="762"/>
      <c r="X173" s="762"/>
      <c r="Y173" s="762">
        <f t="shared" si="446"/>
        <v>80000</v>
      </c>
      <c r="Z173" s="762">
        <f t="shared" si="321"/>
        <v>142461</v>
      </c>
      <c r="AA173" s="762"/>
      <c r="AB173" s="762"/>
      <c r="AC173" s="762"/>
      <c r="AD173" s="763">
        <f t="shared" si="348"/>
        <v>360861</v>
      </c>
      <c r="AE173" s="763">
        <f t="shared" si="322"/>
        <v>2692976.8449018667</v>
      </c>
      <c r="AF173" s="762">
        <f t="shared" si="323"/>
        <v>67324.421122546672</v>
      </c>
      <c r="AG173" s="762">
        <f t="shared" si="349"/>
        <v>2760301.2660244135</v>
      </c>
      <c r="AH173" s="762">
        <f t="shared" si="324"/>
        <v>69007.531650610341</v>
      </c>
      <c r="AI173" s="762">
        <f t="shared" si="350"/>
        <v>2829308.7976750238</v>
      </c>
      <c r="AJ173" s="762">
        <f t="shared" si="351"/>
        <v>141465.43988375118</v>
      </c>
      <c r="AK173" s="762">
        <f t="shared" si="352"/>
        <v>2970774.2375587751</v>
      </c>
      <c r="AL173" s="762">
        <f t="shared" si="353"/>
        <v>29707.742375587753</v>
      </c>
      <c r="AM173" s="762">
        <f t="shared" si="354"/>
        <v>27537.409960060559</v>
      </c>
      <c r="AN173" s="762"/>
      <c r="AO173" s="763">
        <f t="shared" si="355"/>
        <v>3028019.3898944231</v>
      </c>
      <c r="AP173" s="763">
        <f t="shared" si="356"/>
        <v>499623.19933257985</v>
      </c>
      <c r="AQ173" s="763">
        <f t="shared" si="357"/>
        <v>3527642.589227003</v>
      </c>
      <c r="AR173" s="1178">
        <f t="shared" si="325"/>
        <v>3000000</v>
      </c>
      <c r="AS173" s="1178">
        <f t="shared" si="358"/>
        <v>23983.754055772864</v>
      </c>
      <c r="AT173" s="1178">
        <f t="shared" si="359"/>
        <v>527642.58922700305</v>
      </c>
      <c r="AU173" s="1178">
        <f t="shared" si="326"/>
        <v>63317.110707240361</v>
      </c>
      <c r="AV173" s="1178">
        <f t="shared" si="360"/>
        <v>590959.69993424346</v>
      </c>
      <c r="AW173" s="1178">
        <f t="shared" si="361"/>
        <v>3590959.6999342432</v>
      </c>
      <c r="AX173" s="762">
        <f t="shared" si="362"/>
        <v>44886.996249178046</v>
      </c>
      <c r="AY173" s="717" t="s">
        <v>231</v>
      </c>
      <c r="AZ173" s="717">
        <f t="shared" si="363"/>
        <v>3635846.6961834212</v>
      </c>
      <c r="BA173" s="717">
        <f t="shared" si="364"/>
        <v>136344.25110687828</v>
      </c>
      <c r="BB173" s="717"/>
      <c r="BC173" s="717">
        <f t="shared" si="327"/>
        <v>33600</v>
      </c>
      <c r="BD173" s="717">
        <f t="shared" si="365"/>
        <v>3805790.9472902995</v>
      </c>
      <c r="BE173" s="717"/>
      <c r="BF173" s="717">
        <f t="shared" si="366"/>
        <v>3805790.9472902995</v>
      </c>
      <c r="BG173" s="1209"/>
      <c r="BH173" s="717">
        <f t="shared" si="367"/>
        <v>3805790.9472902995</v>
      </c>
      <c r="BI173" s="717"/>
      <c r="BJ173" s="717">
        <f t="shared" si="368"/>
        <v>3805790.9472902995</v>
      </c>
      <c r="BK173" s="717"/>
      <c r="BL173" s="717">
        <f t="shared" si="369"/>
        <v>3805790.9472902995</v>
      </c>
      <c r="BM173" s="717"/>
      <c r="BN173" s="717">
        <f t="shared" si="370"/>
        <v>3805790.9472902995</v>
      </c>
      <c r="BO173" s="717"/>
      <c r="BP173" s="717">
        <f t="shared" si="328"/>
        <v>3805790.9472902995</v>
      </c>
      <c r="BQ173" s="717"/>
      <c r="BR173" s="717">
        <f t="shared" si="433"/>
        <v>3805790.9472902995</v>
      </c>
      <c r="BS173" s="717"/>
      <c r="BT173" s="717">
        <f t="shared" si="371"/>
        <v>3805790.9472902995</v>
      </c>
      <c r="BU173" s="717"/>
      <c r="BV173" s="1235">
        <f t="shared" si="434"/>
        <v>51400</v>
      </c>
      <c r="BW173" s="717">
        <f t="shared" si="372"/>
        <v>3857190.9472902995</v>
      </c>
      <c r="BX173" s="717"/>
      <c r="BY173" s="717">
        <f t="shared" si="373"/>
        <v>3857190.9472902995</v>
      </c>
      <c r="BZ173" s="1194">
        <f t="shared" si="374"/>
        <v>3857190.9472902995</v>
      </c>
      <c r="CA173" s="1194">
        <f t="shared" si="375"/>
        <v>3043190.9472902995</v>
      </c>
      <c r="CB173" s="1194">
        <v>37000</v>
      </c>
      <c r="CC173" s="1194">
        <f t="shared" si="376"/>
        <v>814000</v>
      </c>
      <c r="CD173" s="1194">
        <f t="shared" si="377"/>
        <v>97680</v>
      </c>
      <c r="CE173" s="1194">
        <f t="shared" si="378"/>
        <v>911680</v>
      </c>
      <c r="CF173" s="1200">
        <f t="shared" si="379"/>
        <v>3954870.9472902995</v>
      </c>
      <c r="CG173" s="757">
        <f t="shared" si="380"/>
        <v>3954870.9472902995</v>
      </c>
      <c r="CH173" s="758">
        <f t="shared" si="381"/>
        <v>0</v>
      </c>
      <c r="CI173" s="757">
        <f t="shared" si="329"/>
        <v>405374.27209725569</v>
      </c>
      <c r="CJ173" s="757">
        <f t="shared" si="330"/>
        <v>98871.773682257495</v>
      </c>
      <c r="CK173" s="759">
        <f t="shared" si="444"/>
        <v>4459116.9930698127</v>
      </c>
      <c r="CL173" s="764">
        <f t="shared" si="382"/>
        <v>0.125</v>
      </c>
      <c r="CM173" s="757">
        <f t="shared" si="383"/>
        <v>557389.62413372658</v>
      </c>
      <c r="CN173" s="757">
        <f t="shared" si="425"/>
        <v>30000</v>
      </c>
      <c r="CO173" s="757">
        <f t="shared" si="384"/>
        <v>527389.62413372658</v>
      </c>
      <c r="CP173" s="755">
        <f t="shared" si="385"/>
        <v>29</v>
      </c>
      <c r="CQ173" s="757">
        <f t="shared" si="427"/>
        <v>18185.849108059538</v>
      </c>
      <c r="CR173" s="764">
        <f t="shared" si="386"/>
        <v>0.875</v>
      </c>
      <c r="CS173" s="757">
        <f t="shared" si="387"/>
        <v>3901727.3689360861</v>
      </c>
      <c r="CT173" s="1101">
        <f t="shared" si="388"/>
        <v>30250.050762111794</v>
      </c>
      <c r="CU173" s="1101">
        <f t="shared" si="389"/>
        <v>35069.828643584122</v>
      </c>
      <c r="CV173" s="1101">
        <f t="shared" si="390"/>
        <v>45302.363113285224</v>
      </c>
      <c r="CW173" s="1141">
        <f t="shared" si="331"/>
        <v>77258.878282619058</v>
      </c>
      <c r="CX173" s="1152">
        <f t="shared" si="391"/>
        <v>316949.71587485942</v>
      </c>
      <c r="CY173" s="1152">
        <f t="shared" si="392"/>
        <v>125415.45862097293</v>
      </c>
      <c r="CZ173" s="1152">
        <f t="shared" si="393"/>
        <v>90585.809478382245</v>
      </c>
      <c r="DA173" s="1152">
        <f t="shared" si="394"/>
        <v>68939.971368327359</v>
      </c>
      <c r="DB173" s="1143">
        <f t="shared" si="332"/>
        <v>0.17588086307566769</v>
      </c>
      <c r="DC173" s="1143">
        <f t="shared" si="395"/>
        <v>0.29958028128723663</v>
      </c>
      <c r="DD173" s="1098" t="s">
        <v>232</v>
      </c>
      <c r="DE173" s="1144"/>
      <c r="DF173" s="705"/>
      <c r="DG173" s="765">
        <f t="shared" si="426"/>
        <v>46082</v>
      </c>
      <c r="DH173" s="1116">
        <f t="shared" si="333"/>
        <v>28</v>
      </c>
      <c r="DI173" s="497"/>
      <c r="DJ173" s="1117">
        <f t="shared" si="396"/>
        <v>46147</v>
      </c>
      <c r="DK173" s="1116">
        <f t="shared" si="397"/>
        <v>30</v>
      </c>
      <c r="DL173" s="766" t="s">
        <v>233</v>
      </c>
      <c r="DM173" s="766" t="s">
        <v>234</v>
      </c>
      <c r="DN173" s="767">
        <f t="shared" si="334"/>
        <v>26861.804542465612</v>
      </c>
      <c r="DO173" s="767">
        <f t="shared" si="335"/>
        <v>590959.69993424346</v>
      </c>
      <c r="DP173" s="768">
        <f t="shared" si="336"/>
        <v>0.19698656664474781</v>
      </c>
      <c r="DR173" s="767">
        <f t="shared" si="337"/>
        <v>3954870.9472902995</v>
      </c>
      <c r="DS173" s="767">
        <f>SUM('[6]INTERNAL PRICELIST'!M173)</f>
        <v>2329361</v>
      </c>
      <c r="DT173" s="767">
        <f t="shared" si="398"/>
        <v>1625509.9472902995</v>
      </c>
      <c r="DV173" s="951">
        <f t="shared" si="338"/>
        <v>179766.86124046816</v>
      </c>
      <c r="DX173" s="772"/>
      <c r="DY173" s="773"/>
      <c r="DZ173" s="772"/>
      <c r="EA173" s="775"/>
      <c r="ED173" s="755" t="s">
        <v>580</v>
      </c>
      <c r="EE173" s="777" t="b">
        <f t="shared" si="340"/>
        <v>1</v>
      </c>
      <c r="EF173" s="1123" t="s">
        <v>581</v>
      </c>
      <c r="EG173" s="1123" t="s">
        <v>567</v>
      </c>
      <c r="EH173" s="1203"/>
      <c r="EP173" s="1230" t="s">
        <v>236</v>
      </c>
      <c r="EQ173" s="1145" t="s">
        <v>236</v>
      </c>
      <c r="ER173" s="753" t="b">
        <f t="shared" si="399"/>
        <v>1</v>
      </c>
      <c r="EU173" s="770">
        <v>3166487.7924007284</v>
      </c>
      <c r="EV173" s="771" t="s">
        <v>258</v>
      </c>
      <c r="EW173" s="775">
        <f t="shared" si="453"/>
        <v>-788383.15488957101</v>
      </c>
      <c r="EY173" s="775">
        <v>3132804.3364702989</v>
      </c>
      <c r="FJ173" s="994">
        <v>0.125</v>
      </c>
      <c r="FK173" s="993">
        <v>11293.364755127228</v>
      </c>
      <c r="FL173" s="993">
        <v>11598.590829590126</v>
      </c>
      <c r="FM173" s="497"/>
      <c r="FN173" s="993">
        <f t="shared" si="341"/>
        <v>4459116.9930698127</v>
      </c>
      <c r="FO173" s="994">
        <f t="shared" si="400"/>
        <v>0.15</v>
      </c>
      <c r="FP173" s="775">
        <f t="shared" si="342"/>
        <v>668867.54896047188</v>
      </c>
      <c r="FQ173" s="993">
        <f t="shared" si="343"/>
        <v>30000</v>
      </c>
      <c r="FR173" s="775">
        <f t="shared" si="401"/>
        <v>638867.54896047188</v>
      </c>
      <c r="FS173" s="497">
        <f t="shared" si="402"/>
        <v>40</v>
      </c>
      <c r="FT173" s="775">
        <f t="shared" si="403"/>
        <v>15971.688724011798</v>
      </c>
      <c r="FU173" s="497"/>
      <c r="FV173" s="993">
        <f t="shared" si="404"/>
        <v>4459116.9930698127</v>
      </c>
      <c r="FW173" s="705">
        <f t="shared" si="405"/>
        <v>445911.69930698129</v>
      </c>
      <c r="FX173" s="705">
        <f t="shared" si="406"/>
        <v>111477.92482674532</v>
      </c>
      <c r="FY173" s="705">
        <v>15000</v>
      </c>
      <c r="FZ173" s="705">
        <f t="shared" si="407"/>
        <v>430911.69930698129</v>
      </c>
      <c r="GA173" s="497">
        <f t="shared" si="408"/>
        <v>46</v>
      </c>
      <c r="GB173" s="775">
        <f t="shared" si="409"/>
        <v>9367.6456371082895</v>
      </c>
      <c r="GC173" s="497"/>
      <c r="GD173" s="497"/>
      <c r="GH173" s="1095">
        <f t="shared" si="307"/>
        <v>4459116.9930698127</v>
      </c>
      <c r="GI173" s="1098">
        <f t="shared" si="308"/>
        <v>0.125</v>
      </c>
      <c r="GJ173" s="1095">
        <f t="shared" si="309"/>
        <v>557389.62413372658</v>
      </c>
      <c r="GK173" s="1095">
        <f t="shared" si="310"/>
        <v>30000</v>
      </c>
      <c r="GL173" s="1095">
        <f t="shared" si="311"/>
        <v>527389.62413372658</v>
      </c>
      <c r="GM173" s="1095">
        <f t="shared" si="312"/>
        <v>29</v>
      </c>
      <c r="GN173" s="1095">
        <f t="shared" si="313"/>
        <v>18185.849108059538</v>
      </c>
      <c r="GO173" s="1098">
        <f t="shared" si="314"/>
        <v>0.875</v>
      </c>
      <c r="GP173" s="1095">
        <f t="shared" si="315"/>
        <v>3901727.3689360861</v>
      </c>
      <c r="GQ173" s="1095">
        <f t="shared" si="316"/>
        <v>30250.050762111794</v>
      </c>
      <c r="GR173" s="1095">
        <f t="shared" si="317"/>
        <v>35069.828643584122</v>
      </c>
      <c r="GS173" s="1095">
        <f t="shared" si="318"/>
        <v>45302.363113285224</v>
      </c>
      <c r="GT173" s="1095">
        <f t="shared" si="319"/>
        <v>77258.878282619058</v>
      </c>
      <c r="GU173" s="497"/>
      <c r="GV173" s="1095">
        <f t="shared" si="410"/>
        <v>4459116.9930698127</v>
      </c>
      <c r="GW173" s="1098">
        <f t="shared" si="411"/>
        <v>0.125</v>
      </c>
      <c r="GX173" s="1095">
        <f t="shared" si="412"/>
        <v>557389.62413372658</v>
      </c>
      <c r="GY173" s="1095">
        <f t="shared" si="413"/>
        <v>30000</v>
      </c>
      <c r="GZ173" s="1095">
        <f t="shared" si="414"/>
        <v>527389.62413372658</v>
      </c>
      <c r="HA173" s="1106">
        <f t="shared" si="415"/>
        <v>48</v>
      </c>
      <c r="HB173" s="770">
        <f t="shared" si="416"/>
        <v>10987.283836119304</v>
      </c>
      <c r="HC173" s="1098">
        <f t="shared" si="417"/>
        <v>0.875</v>
      </c>
      <c r="HD173" s="1102">
        <f t="shared" si="418"/>
        <v>3901727.3689360861</v>
      </c>
      <c r="HE173" s="1101">
        <f t="shared" si="419"/>
        <v>30250.050762111794</v>
      </c>
      <c r="HF173" s="1101">
        <f t="shared" si="420"/>
        <v>35069.828643584122</v>
      </c>
      <c r="HG173" s="1101">
        <f t="shared" si="421"/>
        <v>45302.363113285224</v>
      </c>
      <c r="HH173" s="1101">
        <f t="shared" si="422"/>
        <v>77258.878282619058</v>
      </c>
      <c r="HI173" s="497"/>
      <c r="HJ173" s="1102">
        <f t="shared" si="423"/>
        <v>-7198.5652719402333</v>
      </c>
      <c r="HL173" s="775"/>
      <c r="HN173" s="775"/>
      <c r="HO173" s="775"/>
      <c r="HQ173" s="702"/>
      <c r="HR173" s="1171"/>
      <c r="HS173" s="702"/>
      <c r="HT173" s="1171"/>
    </row>
    <row r="174" spans="1:228" ht="14.25" hidden="1" customHeight="1">
      <c r="A174" s="753">
        <f t="shared" si="424"/>
        <v>168</v>
      </c>
      <c r="B174" s="753"/>
      <c r="C174" s="753">
        <f t="shared" si="445"/>
        <v>13</v>
      </c>
      <c r="D174" s="753" t="s">
        <v>272</v>
      </c>
      <c r="E174" s="717" t="str">
        <f t="shared" si="344"/>
        <v>8th Floor</v>
      </c>
      <c r="F174" s="754"/>
      <c r="G174" s="756" t="s">
        <v>582</v>
      </c>
      <c r="H174" s="756"/>
      <c r="I174" s="755" t="s">
        <v>229</v>
      </c>
      <c r="J174" s="757">
        <v>22</v>
      </c>
      <c r="K174" s="758"/>
      <c r="L174" s="759" t="s">
        <v>277</v>
      </c>
      <c r="M174" s="760" t="s">
        <v>68</v>
      </c>
      <c r="N174" s="761">
        <f t="shared" si="345"/>
        <v>106005.26567735759</v>
      </c>
      <c r="O174" s="762">
        <f t="shared" si="346"/>
        <v>2332115.8449018667</v>
      </c>
      <c r="P174" s="762">
        <f t="shared" si="347"/>
        <v>22400</v>
      </c>
      <c r="Q174" s="762">
        <f t="shared" si="320"/>
        <v>50000</v>
      </c>
      <c r="R174" s="762"/>
      <c r="S174" s="762"/>
      <c r="T174" s="762">
        <f t="shared" si="443"/>
        <v>66000</v>
      </c>
      <c r="U174" s="762"/>
      <c r="V174" s="762"/>
      <c r="W174" s="762"/>
      <c r="X174" s="762"/>
      <c r="Y174" s="762">
        <f t="shared" si="446"/>
        <v>80000</v>
      </c>
      <c r="Z174" s="762">
        <f t="shared" si="321"/>
        <v>142461</v>
      </c>
      <c r="AA174" s="762"/>
      <c r="AB174" s="762"/>
      <c r="AC174" s="762"/>
      <c r="AD174" s="763">
        <f t="shared" si="348"/>
        <v>360861</v>
      </c>
      <c r="AE174" s="763">
        <f t="shared" si="322"/>
        <v>2692976.8449018667</v>
      </c>
      <c r="AF174" s="762">
        <f t="shared" si="323"/>
        <v>67324.421122546672</v>
      </c>
      <c r="AG174" s="762">
        <f t="shared" si="349"/>
        <v>2760301.2660244135</v>
      </c>
      <c r="AH174" s="762">
        <f t="shared" si="324"/>
        <v>69007.531650610341</v>
      </c>
      <c r="AI174" s="762">
        <f t="shared" si="350"/>
        <v>2829308.7976750238</v>
      </c>
      <c r="AJ174" s="762">
        <f t="shared" si="351"/>
        <v>141465.43988375118</v>
      </c>
      <c r="AK174" s="762">
        <f t="shared" si="352"/>
        <v>2970774.2375587751</v>
      </c>
      <c r="AL174" s="762">
        <f t="shared" si="353"/>
        <v>29707.742375587753</v>
      </c>
      <c r="AM174" s="762">
        <f t="shared" si="354"/>
        <v>27537.409960060559</v>
      </c>
      <c r="AN174" s="762"/>
      <c r="AO174" s="763">
        <f t="shared" si="355"/>
        <v>3028019.3898944231</v>
      </c>
      <c r="AP174" s="763">
        <f t="shared" si="356"/>
        <v>499623.19933257985</v>
      </c>
      <c r="AQ174" s="763">
        <f t="shared" si="357"/>
        <v>3527642.589227003</v>
      </c>
      <c r="AR174" s="1178">
        <f t="shared" si="325"/>
        <v>3000000</v>
      </c>
      <c r="AS174" s="1178">
        <f t="shared" si="358"/>
        <v>23983.754055772864</v>
      </c>
      <c r="AT174" s="1178">
        <f t="shared" si="359"/>
        <v>527642.58922700305</v>
      </c>
      <c r="AU174" s="1178">
        <f t="shared" si="326"/>
        <v>63317.110707240361</v>
      </c>
      <c r="AV174" s="1178">
        <f t="shared" si="360"/>
        <v>590959.69993424346</v>
      </c>
      <c r="AW174" s="1178">
        <f t="shared" si="361"/>
        <v>3590959.6999342432</v>
      </c>
      <c r="AX174" s="762">
        <f t="shared" si="362"/>
        <v>44886.996249178046</v>
      </c>
      <c r="AY174" s="717" t="s">
        <v>231</v>
      </c>
      <c r="AZ174" s="717">
        <f t="shared" si="363"/>
        <v>3635846.6961834212</v>
      </c>
      <c r="BA174" s="717">
        <f t="shared" si="364"/>
        <v>136344.25110687828</v>
      </c>
      <c r="BB174" s="717"/>
      <c r="BC174" s="717">
        <f t="shared" si="327"/>
        <v>33600</v>
      </c>
      <c r="BD174" s="717">
        <f t="shared" si="365"/>
        <v>3805790.9472902995</v>
      </c>
      <c r="BE174" s="717"/>
      <c r="BF174" s="717">
        <f t="shared" si="366"/>
        <v>3805790.9472902995</v>
      </c>
      <c r="BG174" s="1209"/>
      <c r="BH174" s="717">
        <f t="shared" si="367"/>
        <v>3805790.9472902995</v>
      </c>
      <c r="BI174" s="717"/>
      <c r="BJ174" s="717">
        <f t="shared" si="368"/>
        <v>3805790.9472902995</v>
      </c>
      <c r="BK174" s="717"/>
      <c r="BL174" s="717">
        <f t="shared" si="369"/>
        <v>3805790.9472902995</v>
      </c>
      <c r="BM174" s="717"/>
      <c r="BN174" s="717">
        <f t="shared" si="370"/>
        <v>3805790.9472902995</v>
      </c>
      <c r="BO174" s="717"/>
      <c r="BP174" s="717">
        <f t="shared" si="328"/>
        <v>3805790.9472902995</v>
      </c>
      <c r="BQ174" s="717"/>
      <c r="BR174" s="717">
        <f t="shared" si="433"/>
        <v>3805790.9472902995</v>
      </c>
      <c r="BS174" s="717"/>
      <c r="BT174" s="717">
        <f t="shared" si="371"/>
        <v>3805790.9472902995</v>
      </c>
      <c r="BU174" s="717"/>
      <c r="BV174" s="1235">
        <f t="shared" si="434"/>
        <v>51400</v>
      </c>
      <c r="BW174" s="717">
        <f t="shared" si="372"/>
        <v>3857190.9472902995</v>
      </c>
      <c r="BX174" s="717"/>
      <c r="BY174" s="717">
        <f t="shared" si="373"/>
        <v>3857190.9472902995</v>
      </c>
      <c r="BZ174" s="1194">
        <f t="shared" si="374"/>
        <v>3857190.9472902995</v>
      </c>
      <c r="CA174" s="1194">
        <f t="shared" si="375"/>
        <v>3043190.9472902995</v>
      </c>
      <c r="CB174" s="1194">
        <v>37000</v>
      </c>
      <c r="CC174" s="1194">
        <f t="shared" si="376"/>
        <v>814000</v>
      </c>
      <c r="CD174" s="1194">
        <f t="shared" si="377"/>
        <v>97680</v>
      </c>
      <c r="CE174" s="1194">
        <f t="shared" si="378"/>
        <v>911680</v>
      </c>
      <c r="CF174" s="1200">
        <f t="shared" si="379"/>
        <v>3954870.9472902995</v>
      </c>
      <c r="CG174" s="757">
        <f t="shared" si="380"/>
        <v>3954870.9472902995</v>
      </c>
      <c r="CH174" s="758">
        <f t="shared" si="381"/>
        <v>0</v>
      </c>
      <c r="CI174" s="757">
        <f t="shared" si="329"/>
        <v>405374.27209725569</v>
      </c>
      <c r="CJ174" s="757">
        <f t="shared" si="330"/>
        <v>98871.773682257495</v>
      </c>
      <c r="CK174" s="759">
        <f t="shared" si="444"/>
        <v>4459116.9930698127</v>
      </c>
      <c r="CL174" s="764">
        <f t="shared" si="382"/>
        <v>0.125</v>
      </c>
      <c r="CM174" s="757">
        <f t="shared" si="383"/>
        <v>557389.62413372658</v>
      </c>
      <c r="CN174" s="757">
        <f t="shared" si="425"/>
        <v>30000</v>
      </c>
      <c r="CO174" s="757">
        <f t="shared" si="384"/>
        <v>527389.62413372658</v>
      </c>
      <c r="CP174" s="755">
        <f t="shared" si="385"/>
        <v>29</v>
      </c>
      <c r="CQ174" s="757">
        <f t="shared" si="427"/>
        <v>18185.849108059538</v>
      </c>
      <c r="CR174" s="764">
        <f t="shared" si="386"/>
        <v>0.875</v>
      </c>
      <c r="CS174" s="757">
        <f t="shared" si="387"/>
        <v>3901727.3689360861</v>
      </c>
      <c r="CT174" s="1101">
        <f t="shared" si="388"/>
        <v>30250.050762111794</v>
      </c>
      <c r="CU174" s="1101">
        <f t="shared" si="389"/>
        <v>35069.828643584122</v>
      </c>
      <c r="CV174" s="1101">
        <f t="shared" si="390"/>
        <v>45302.363113285224</v>
      </c>
      <c r="CW174" s="1141">
        <f t="shared" si="331"/>
        <v>77258.878282619058</v>
      </c>
      <c r="CX174" s="1152">
        <f t="shared" si="391"/>
        <v>316949.71587485942</v>
      </c>
      <c r="CY174" s="1152">
        <f t="shared" si="392"/>
        <v>125415.45862097293</v>
      </c>
      <c r="CZ174" s="1152">
        <f t="shared" si="393"/>
        <v>90585.809478382245</v>
      </c>
      <c r="DA174" s="1152">
        <f t="shared" si="394"/>
        <v>68939.971368327359</v>
      </c>
      <c r="DB174" s="1143">
        <f t="shared" si="332"/>
        <v>0.17588086307566769</v>
      </c>
      <c r="DC174" s="1143">
        <f t="shared" si="395"/>
        <v>0.29958028128723663</v>
      </c>
      <c r="DD174" s="1098" t="s">
        <v>232</v>
      </c>
      <c r="DE174" s="1144"/>
      <c r="DF174" s="705"/>
      <c r="DG174" s="765">
        <f t="shared" si="426"/>
        <v>46082</v>
      </c>
      <c r="DH174" s="1116">
        <f t="shared" si="333"/>
        <v>28</v>
      </c>
      <c r="DI174" s="497"/>
      <c r="DJ174" s="1117">
        <f t="shared" si="396"/>
        <v>46147</v>
      </c>
      <c r="DK174" s="1116">
        <f t="shared" si="397"/>
        <v>30</v>
      </c>
      <c r="DL174" s="766" t="s">
        <v>233</v>
      </c>
      <c r="DM174" s="766" t="s">
        <v>234</v>
      </c>
      <c r="DN174" s="767">
        <f t="shared" si="334"/>
        <v>26861.804542465612</v>
      </c>
      <c r="DO174" s="767">
        <f t="shared" si="335"/>
        <v>590959.69993424346</v>
      </c>
      <c r="DP174" s="768">
        <f t="shared" si="336"/>
        <v>0.19698656664474781</v>
      </c>
      <c r="DR174" s="767">
        <f t="shared" si="337"/>
        <v>3954870.9472902995</v>
      </c>
      <c r="DS174" s="767">
        <f>SUM('[6]INTERNAL PRICELIST'!M174)</f>
        <v>2329361</v>
      </c>
      <c r="DT174" s="767">
        <f t="shared" si="398"/>
        <v>1625509.9472902995</v>
      </c>
      <c r="DV174" s="951">
        <f t="shared" si="338"/>
        <v>179766.86124046816</v>
      </c>
      <c r="DX174" s="772">
        <v>9</v>
      </c>
      <c r="DY174" s="773" t="s">
        <v>274</v>
      </c>
      <c r="DZ174" s="774">
        <v>22</v>
      </c>
      <c r="EA174" s="775">
        <f t="shared" ref="EA174:EA183" si="454">DZ174-J174</f>
        <v>0</v>
      </c>
      <c r="ED174" s="755" t="s">
        <v>582</v>
      </c>
      <c r="EE174" s="777" t="b">
        <f t="shared" si="340"/>
        <v>1</v>
      </c>
      <c r="EF174" s="777"/>
      <c r="EG174" s="777"/>
      <c r="EH174" s="1203"/>
      <c r="EP174" s="1230" t="s">
        <v>236</v>
      </c>
      <c r="EQ174" s="1145" t="s">
        <v>236</v>
      </c>
      <c r="ER174" s="753" t="b">
        <f t="shared" si="399"/>
        <v>1</v>
      </c>
      <c r="EU174" s="770">
        <v>3166487.7924007284</v>
      </c>
      <c r="EV174" s="771" t="s">
        <v>258</v>
      </c>
      <c r="EW174" s="775">
        <f t="shared" si="453"/>
        <v>-788383.15488957101</v>
      </c>
      <c r="EY174" s="775">
        <v>3132804.3364702989</v>
      </c>
      <c r="FJ174" s="994">
        <v>0.125</v>
      </c>
      <c r="FK174" s="993">
        <v>11293.364755127228</v>
      </c>
      <c r="FL174" s="993">
        <v>11598.590829590126</v>
      </c>
      <c r="FM174" s="497"/>
      <c r="FN174" s="993">
        <f t="shared" si="341"/>
        <v>4459116.9930698127</v>
      </c>
      <c r="FO174" s="994">
        <f t="shared" si="400"/>
        <v>0.15</v>
      </c>
      <c r="FP174" s="775">
        <f t="shared" si="342"/>
        <v>668867.54896047188</v>
      </c>
      <c r="FQ174" s="993">
        <f t="shared" si="343"/>
        <v>30000</v>
      </c>
      <c r="FR174" s="775">
        <f t="shared" si="401"/>
        <v>638867.54896047188</v>
      </c>
      <c r="FS174" s="497">
        <f t="shared" si="402"/>
        <v>40</v>
      </c>
      <c r="FT174" s="775">
        <f t="shared" si="403"/>
        <v>15971.688724011798</v>
      </c>
      <c r="FU174" s="497"/>
      <c r="FV174" s="993">
        <f t="shared" si="404"/>
        <v>4459116.9930698127</v>
      </c>
      <c r="FW174" s="705">
        <f t="shared" si="405"/>
        <v>445911.69930698129</v>
      </c>
      <c r="FX174" s="705">
        <f t="shared" si="406"/>
        <v>111477.92482674532</v>
      </c>
      <c r="FY174" s="705">
        <v>15000</v>
      </c>
      <c r="FZ174" s="705">
        <f t="shared" si="407"/>
        <v>430911.69930698129</v>
      </c>
      <c r="GA174" s="497">
        <f t="shared" si="408"/>
        <v>46</v>
      </c>
      <c r="GB174" s="775">
        <f t="shared" si="409"/>
        <v>9367.6456371082895</v>
      </c>
      <c r="GC174" s="497"/>
      <c r="GD174" s="497"/>
      <c r="GH174" s="1095">
        <f t="shared" si="307"/>
        <v>4459116.9930698127</v>
      </c>
      <c r="GI174" s="1098">
        <f t="shared" si="308"/>
        <v>0.125</v>
      </c>
      <c r="GJ174" s="1095">
        <f t="shared" si="309"/>
        <v>557389.62413372658</v>
      </c>
      <c r="GK174" s="1095">
        <f t="shared" si="310"/>
        <v>30000</v>
      </c>
      <c r="GL174" s="1095">
        <f t="shared" si="311"/>
        <v>527389.62413372658</v>
      </c>
      <c r="GM174" s="1095">
        <f t="shared" si="312"/>
        <v>29</v>
      </c>
      <c r="GN174" s="1095">
        <f t="shared" si="313"/>
        <v>18185.849108059538</v>
      </c>
      <c r="GO174" s="1098">
        <f t="shared" si="314"/>
        <v>0.875</v>
      </c>
      <c r="GP174" s="1095">
        <f t="shared" si="315"/>
        <v>3901727.3689360861</v>
      </c>
      <c r="GQ174" s="1095">
        <f t="shared" si="316"/>
        <v>30250.050762111794</v>
      </c>
      <c r="GR174" s="1095">
        <f t="shared" si="317"/>
        <v>35069.828643584122</v>
      </c>
      <c r="GS174" s="1095">
        <f t="shared" si="318"/>
        <v>45302.363113285224</v>
      </c>
      <c r="GT174" s="1095">
        <f t="shared" si="319"/>
        <v>77258.878282619058</v>
      </c>
      <c r="GU174" s="497"/>
      <c r="GV174" s="1095">
        <f t="shared" si="410"/>
        <v>4459116.9930698127</v>
      </c>
      <c r="GW174" s="1098">
        <f t="shared" si="411"/>
        <v>0.125</v>
      </c>
      <c r="GX174" s="1095">
        <f t="shared" si="412"/>
        <v>557389.62413372658</v>
      </c>
      <c r="GY174" s="1095">
        <f t="shared" si="413"/>
        <v>30000</v>
      </c>
      <c r="GZ174" s="1095">
        <f t="shared" si="414"/>
        <v>527389.62413372658</v>
      </c>
      <c r="HA174" s="1106">
        <f t="shared" si="415"/>
        <v>48</v>
      </c>
      <c r="HB174" s="770">
        <f t="shared" si="416"/>
        <v>10987.283836119304</v>
      </c>
      <c r="HC174" s="1098">
        <f t="shared" si="417"/>
        <v>0.875</v>
      </c>
      <c r="HD174" s="1102">
        <f t="shared" si="418"/>
        <v>3901727.3689360861</v>
      </c>
      <c r="HE174" s="1101">
        <f t="shared" si="419"/>
        <v>30250.050762111794</v>
      </c>
      <c r="HF174" s="1101">
        <f t="shared" si="420"/>
        <v>35069.828643584122</v>
      </c>
      <c r="HG174" s="1101">
        <f t="shared" si="421"/>
        <v>45302.363113285224</v>
      </c>
      <c r="HH174" s="1101">
        <f t="shared" si="422"/>
        <v>77258.878282619058</v>
      </c>
      <c r="HI174" s="497"/>
      <c r="HJ174" s="1102">
        <f t="shared" si="423"/>
        <v>-7198.5652719402333</v>
      </c>
      <c r="HL174" s="775"/>
      <c r="HN174" s="775"/>
      <c r="HO174" s="775"/>
      <c r="HQ174" s="702"/>
      <c r="HR174" s="1171"/>
      <c r="HS174" s="702"/>
      <c r="HT174" s="1171"/>
    </row>
    <row r="175" spans="1:228" ht="14.25" customHeight="1">
      <c r="A175" s="753">
        <f t="shared" si="424"/>
        <v>169</v>
      </c>
      <c r="B175" s="753"/>
      <c r="C175" s="753">
        <f t="shared" si="445"/>
        <v>14</v>
      </c>
      <c r="D175" s="753" t="s">
        <v>272</v>
      </c>
      <c r="E175" s="717" t="str">
        <f t="shared" si="344"/>
        <v>8th Floor</v>
      </c>
      <c r="F175" s="754"/>
      <c r="G175" s="756" t="s">
        <v>583</v>
      </c>
      <c r="H175" s="756"/>
      <c r="I175" s="755" t="s">
        <v>229</v>
      </c>
      <c r="J175" s="757">
        <v>22</v>
      </c>
      <c r="K175" s="758"/>
      <c r="L175" s="759" t="s">
        <v>277</v>
      </c>
      <c r="M175" s="760" t="s">
        <v>278</v>
      </c>
      <c r="N175" s="761">
        <f t="shared" si="345"/>
        <v>106005.26567735759</v>
      </c>
      <c r="O175" s="762">
        <f t="shared" si="346"/>
        <v>2332115.8449018667</v>
      </c>
      <c r="P175" s="762">
        <f t="shared" si="347"/>
        <v>22400</v>
      </c>
      <c r="Q175" s="762">
        <f t="shared" si="320"/>
        <v>50000</v>
      </c>
      <c r="R175" s="762"/>
      <c r="S175" s="762"/>
      <c r="T175" s="762">
        <f t="shared" si="443"/>
        <v>66000</v>
      </c>
      <c r="U175" s="762"/>
      <c r="V175" s="762"/>
      <c r="W175" s="762">
        <f t="shared" ref="W175:W176" si="455">J175*$W$5</f>
        <v>22000</v>
      </c>
      <c r="X175" s="762"/>
      <c r="Y175" s="762">
        <f t="shared" si="446"/>
        <v>80000</v>
      </c>
      <c r="Z175" s="762">
        <f t="shared" si="321"/>
        <v>142461</v>
      </c>
      <c r="AA175" s="762"/>
      <c r="AB175" s="762"/>
      <c r="AC175" s="762"/>
      <c r="AD175" s="763">
        <f t="shared" si="348"/>
        <v>382861</v>
      </c>
      <c r="AE175" s="763">
        <f t="shared" si="322"/>
        <v>2714976.8449018667</v>
      </c>
      <c r="AF175" s="762">
        <f t="shared" si="323"/>
        <v>67874.421122546672</v>
      </c>
      <c r="AG175" s="762">
        <f t="shared" si="349"/>
        <v>2782851.2660244135</v>
      </c>
      <c r="AH175" s="762">
        <f t="shared" si="324"/>
        <v>69571.281650610341</v>
      </c>
      <c r="AI175" s="762">
        <f t="shared" si="350"/>
        <v>2852422.5476750238</v>
      </c>
      <c r="AJ175" s="762">
        <f t="shared" si="351"/>
        <v>142621.12738375118</v>
      </c>
      <c r="AK175" s="762">
        <f t="shared" si="352"/>
        <v>2995043.6750587751</v>
      </c>
      <c r="AL175" s="762">
        <f t="shared" si="353"/>
        <v>29950.436750587753</v>
      </c>
      <c r="AM175" s="762">
        <f t="shared" si="354"/>
        <v>27537.409960060559</v>
      </c>
      <c r="AN175" s="762"/>
      <c r="AO175" s="763">
        <f t="shared" si="355"/>
        <v>3052531.521769423</v>
      </c>
      <c r="AP175" s="763">
        <f t="shared" si="356"/>
        <v>503667.70109195483</v>
      </c>
      <c r="AQ175" s="763">
        <f t="shared" si="357"/>
        <v>3556199.222861378</v>
      </c>
      <c r="AR175" s="1178">
        <f t="shared" si="325"/>
        <v>3000000</v>
      </c>
      <c r="AS175" s="1178">
        <f t="shared" si="358"/>
        <v>25281.782857335362</v>
      </c>
      <c r="AT175" s="1178">
        <f t="shared" si="359"/>
        <v>556199.22286137799</v>
      </c>
      <c r="AU175" s="1178">
        <f t="shared" si="326"/>
        <v>66743.906743365354</v>
      </c>
      <c r="AV175" s="1178">
        <f t="shared" si="360"/>
        <v>622943.12960474333</v>
      </c>
      <c r="AW175" s="1178">
        <f t="shared" si="361"/>
        <v>3622943.1296047433</v>
      </c>
      <c r="AX175" s="762">
        <f t="shared" si="362"/>
        <v>45286.789120059293</v>
      </c>
      <c r="AY175" s="717" t="s">
        <v>231</v>
      </c>
      <c r="AZ175" s="717">
        <f t="shared" si="363"/>
        <v>3668229.9187248028</v>
      </c>
      <c r="BA175" s="717">
        <f t="shared" si="364"/>
        <v>137558.62195218011</v>
      </c>
      <c r="BB175" s="717"/>
      <c r="BC175" s="717">
        <f t="shared" si="327"/>
        <v>33600</v>
      </c>
      <c r="BD175" s="717">
        <f t="shared" si="365"/>
        <v>3839388.5406769831</v>
      </c>
      <c r="BE175" s="717"/>
      <c r="BF175" s="717">
        <f t="shared" si="366"/>
        <v>3839388.5406769831</v>
      </c>
      <c r="BG175" s="1209"/>
      <c r="BH175" s="717">
        <f t="shared" si="367"/>
        <v>3839388.5406769831</v>
      </c>
      <c r="BI175" s="717"/>
      <c r="BJ175" s="717">
        <f t="shared" si="368"/>
        <v>3839388.5406769831</v>
      </c>
      <c r="BK175" s="717"/>
      <c r="BL175" s="717">
        <f t="shared" si="369"/>
        <v>3839388.5406769831</v>
      </c>
      <c r="BM175" s="717"/>
      <c r="BN175" s="717">
        <f t="shared" si="370"/>
        <v>3839388.5406769831</v>
      </c>
      <c r="BO175" s="717"/>
      <c r="BP175" s="717">
        <f t="shared" si="328"/>
        <v>3839388.5406769831</v>
      </c>
      <c r="BQ175" s="717">
        <f>$BQ$5/56</f>
        <v>4468.4242000000004</v>
      </c>
      <c r="BR175" s="717">
        <f t="shared" si="433"/>
        <v>3843856.9648769828</v>
      </c>
      <c r="BS175" s="1234">
        <f>$BS$5/64</f>
        <v>2651.4786794501206</v>
      </c>
      <c r="BT175" s="1235">
        <f t="shared" si="371"/>
        <v>3846508.4435564331</v>
      </c>
      <c r="BU175" s="1235">
        <f>$BU$5/65</f>
        <v>211.07692307692309</v>
      </c>
      <c r="BV175" s="1235">
        <f t="shared" si="434"/>
        <v>51400</v>
      </c>
      <c r="BW175" s="717">
        <f t="shared" si="372"/>
        <v>3898119.5204795101</v>
      </c>
      <c r="BX175" s="1234">
        <f t="shared" si="435"/>
        <v>27651.078536278128</v>
      </c>
      <c r="BY175" s="717">
        <f t="shared" si="373"/>
        <v>3925770.5990157882</v>
      </c>
      <c r="BZ175" s="1194">
        <f t="shared" si="374"/>
        <v>3925770.5990157882</v>
      </c>
      <c r="CA175" s="1194">
        <f t="shared" si="375"/>
        <v>3045770.5990157882</v>
      </c>
      <c r="CB175" s="1194">
        <f>$CB$5</f>
        <v>40000</v>
      </c>
      <c r="CC175" s="1194">
        <f t="shared" si="376"/>
        <v>880000</v>
      </c>
      <c r="CD175" s="1194">
        <f t="shared" si="377"/>
        <v>105600</v>
      </c>
      <c r="CE175" s="1194">
        <f t="shared" si="378"/>
        <v>985600</v>
      </c>
      <c r="CF175" s="1200">
        <f t="shared" si="379"/>
        <v>4031370.5990157882</v>
      </c>
      <c r="CG175" s="757">
        <f t="shared" si="380"/>
        <v>4031370.5990157882</v>
      </c>
      <c r="CH175" s="758">
        <f t="shared" si="381"/>
        <v>0</v>
      </c>
      <c r="CI175" s="757">
        <f t="shared" si="329"/>
        <v>413215.48639911826</v>
      </c>
      <c r="CJ175" s="757">
        <f t="shared" si="330"/>
        <v>100784.2649753947</v>
      </c>
      <c r="CK175" s="759">
        <f t="shared" si="444"/>
        <v>4545370.3503903011</v>
      </c>
      <c r="CL175" s="764">
        <f t="shared" si="382"/>
        <v>0.125</v>
      </c>
      <c r="CM175" s="757">
        <f t="shared" si="383"/>
        <v>568171.29379878764</v>
      </c>
      <c r="CN175" s="757">
        <f t="shared" si="425"/>
        <v>30000</v>
      </c>
      <c r="CO175" s="757">
        <f t="shared" si="384"/>
        <v>538171.29379878764</v>
      </c>
      <c r="CP175" s="755">
        <f t="shared" si="385"/>
        <v>29</v>
      </c>
      <c r="CQ175" s="757">
        <f t="shared" si="427"/>
        <v>18557.63082064785</v>
      </c>
      <c r="CR175" s="764">
        <f t="shared" si="386"/>
        <v>0.875</v>
      </c>
      <c r="CS175" s="757">
        <f t="shared" si="387"/>
        <v>3977199.0565915136</v>
      </c>
      <c r="CT175" s="1101">
        <f t="shared" si="388"/>
        <v>30835.181953197927</v>
      </c>
      <c r="CU175" s="1101">
        <f t="shared" si="389"/>
        <v>35748.189508720541</v>
      </c>
      <c r="CV175" s="1101">
        <f t="shared" si="390"/>
        <v>46178.653401058698</v>
      </c>
      <c r="CW175" s="1141">
        <f t="shared" si="331"/>
        <v>78753.308154059428</v>
      </c>
      <c r="CX175" s="1152">
        <f t="shared" si="391"/>
        <v>323080.52095094713</v>
      </c>
      <c r="CY175" s="1152">
        <f t="shared" si="392"/>
        <v>127841.3883247147</v>
      </c>
      <c r="CZ175" s="1152">
        <f t="shared" si="393"/>
        <v>92338.024144480427</v>
      </c>
      <c r="DA175" s="1152">
        <f t="shared" si="394"/>
        <v>70273.48739702499</v>
      </c>
      <c r="DB175" s="1143">
        <f t="shared" si="332"/>
        <v>0.18539974095379266</v>
      </c>
      <c r="DC175" s="1143">
        <f t="shared" si="395"/>
        <v>0.32359626831990801</v>
      </c>
      <c r="DD175" s="1098" t="s">
        <v>232</v>
      </c>
      <c r="DE175" s="1144"/>
      <c r="DF175" s="705"/>
      <c r="DG175" s="765">
        <f t="shared" si="426"/>
        <v>46082</v>
      </c>
      <c r="DH175" s="1116">
        <f t="shared" si="333"/>
        <v>28</v>
      </c>
      <c r="DI175" s="497"/>
      <c r="DJ175" s="1117">
        <f t="shared" si="396"/>
        <v>46147</v>
      </c>
      <c r="DK175" s="1116">
        <f t="shared" si="397"/>
        <v>30</v>
      </c>
      <c r="DL175" s="766" t="s">
        <v>233</v>
      </c>
      <c r="DM175" s="766" t="s">
        <v>234</v>
      </c>
      <c r="DN175" s="767">
        <f t="shared" si="334"/>
        <v>28315.596800215604</v>
      </c>
      <c r="DO175" s="767">
        <f t="shared" si="335"/>
        <v>622943.12960474333</v>
      </c>
      <c r="DP175" s="768">
        <f t="shared" si="336"/>
        <v>0.20764770986824777</v>
      </c>
      <c r="DR175" s="767">
        <f t="shared" si="337"/>
        <v>4031370.5990157882</v>
      </c>
      <c r="DS175" s="767">
        <f>SUM('[6]INTERNAL PRICELIST'!M175)</f>
        <v>2331316</v>
      </c>
      <c r="DT175" s="767">
        <f t="shared" si="398"/>
        <v>1700054.5990157882</v>
      </c>
      <c r="DV175" s="951">
        <f t="shared" si="338"/>
        <v>183244.11813708127</v>
      </c>
      <c r="DX175" s="772">
        <v>10</v>
      </c>
      <c r="DY175" s="773" t="s">
        <v>279</v>
      </c>
      <c r="DZ175" s="774">
        <v>22</v>
      </c>
      <c r="EA175" s="775">
        <f t="shared" si="454"/>
        <v>0</v>
      </c>
      <c r="ED175" s="755" t="s">
        <v>583</v>
      </c>
      <c r="EE175" s="777" t="b">
        <f t="shared" si="340"/>
        <v>1</v>
      </c>
      <c r="EF175" s="777"/>
      <c r="EG175" s="777"/>
      <c r="EH175" s="1203"/>
      <c r="EP175" s="1230" t="s">
        <v>258</v>
      </c>
      <c r="EQ175" s="1145" t="s">
        <v>258</v>
      </c>
      <c r="ER175" s="753" t="b">
        <f t="shared" si="399"/>
        <v>1</v>
      </c>
      <c r="EU175" s="770">
        <v>3194316.7474007285</v>
      </c>
      <c r="EV175" s="771" t="s">
        <v>258</v>
      </c>
      <c r="EW175" s="775">
        <f t="shared" si="453"/>
        <v>-837053.85161505966</v>
      </c>
      <c r="EY175" s="775">
        <v>3160387.0375777991</v>
      </c>
      <c r="FJ175" s="994">
        <v>0.125</v>
      </c>
      <c r="FK175" s="993">
        <v>11395.186860823775</v>
      </c>
      <c r="FL175" s="993">
        <v>11703.164884089281</v>
      </c>
      <c r="FM175" s="497"/>
      <c r="FN175" s="993">
        <f t="shared" si="341"/>
        <v>4545370.3503903011</v>
      </c>
      <c r="FO175" s="994">
        <f t="shared" si="400"/>
        <v>0.15</v>
      </c>
      <c r="FP175" s="775">
        <f t="shared" si="342"/>
        <v>681805.55255854514</v>
      </c>
      <c r="FQ175" s="993">
        <f t="shared" si="343"/>
        <v>30000</v>
      </c>
      <c r="FR175" s="775">
        <f t="shared" si="401"/>
        <v>651805.55255854514</v>
      </c>
      <c r="FS175" s="497">
        <f t="shared" si="402"/>
        <v>40</v>
      </c>
      <c r="FT175" s="775">
        <f t="shared" si="403"/>
        <v>16295.138813963629</v>
      </c>
      <c r="FU175" s="497"/>
      <c r="FV175" s="993">
        <f t="shared" si="404"/>
        <v>4545370.3503903011</v>
      </c>
      <c r="FW175" s="705">
        <f t="shared" si="405"/>
        <v>454537.03503903013</v>
      </c>
      <c r="FX175" s="705">
        <f t="shared" si="406"/>
        <v>113634.25875975753</v>
      </c>
      <c r="FY175" s="705">
        <v>15000</v>
      </c>
      <c r="FZ175" s="705">
        <f t="shared" si="407"/>
        <v>439537.03503903013</v>
      </c>
      <c r="GA175" s="497">
        <f t="shared" si="408"/>
        <v>46</v>
      </c>
      <c r="GB175" s="775">
        <f t="shared" si="409"/>
        <v>9555.1529356310893</v>
      </c>
      <c r="GC175" s="497"/>
      <c r="GD175" s="497"/>
      <c r="GH175" s="1095">
        <f t="shared" si="307"/>
        <v>4545370.3503903011</v>
      </c>
      <c r="GI175" s="1098">
        <f t="shared" si="308"/>
        <v>0.125</v>
      </c>
      <c r="GJ175" s="1095">
        <f t="shared" si="309"/>
        <v>568171.29379878764</v>
      </c>
      <c r="GK175" s="1095">
        <f t="shared" si="310"/>
        <v>30000</v>
      </c>
      <c r="GL175" s="1095">
        <f t="shared" si="311"/>
        <v>538171.29379878764</v>
      </c>
      <c r="GM175" s="1095">
        <f t="shared" si="312"/>
        <v>29</v>
      </c>
      <c r="GN175" s="1095">
        <f t="shared" si="313"/>
        <v>18557.63082064785</v>
      </c>
      <c r="GO175" s="1098">
        <f t="shared" si="314"/>
        <v>0.875</v>
      </c>
      <c r="GP175" s="1095">
        <f t="shared" si="315"/>
        <v>3977199.0565915136</v>
      </c>
      <c r="GQ175" s="1095">
        <f t="shared" si="316"/>
        <v>30835.181953197927</v>
      </c>
      <c r="GR175" s="1095">
        <f t="shared" si="317"/>
        <v>35748.189508720541</v>
      </c>
      <c r="GS175" s="1095">
        <f t="shared" si="318"/>
        <v>46178.653401058698</v>
      </c>
      <c r="GT175" s="1095">
        <f t="shared" si="319"/>
        <v>78753.308154059428</v>
      </c>
      <c r="GU175" s="497"/>
      <c r="GV175" s="1095">
        <f t="shared" si="410"/>
        <v>4545370.3503903011</v>
      </c>
      <c r="GW175" s="1098">
        <f t="shared" si="411"/>
        <v>0.125</v>
      </c>
      <c r="GX175" s="1095">
        <f t="shared" si="412"/>
        <v>568171.29379878764</v>
      </c>
      <c r="GY175" s="1095">
        <f t="shared" si="413"/>
        <v>30000</v>
      </c>
      <c r="GZ175" s="1095">
        <f t="shared" si="414"/>
        <v>538171.29379878764</v>
      </c>
      <c r="HA175" s="1106">
        <f t="shared" si="415"/>
        <v>48</v>
      </c>
      <c r="HB175" s="770">
        <f t="shared" si="416"/>
        <v>11211.901954141409</v>
      </c>
      <c r="HC175" s="1098">
        <f t="shared" si="417"/>
        <v>0.875</v>
      </c>
      <c r="HD175" s="1102">
        <f t="shared" si="418"/>
        <v>3977199.0565915136</v>
      </c>
      <c r="HE175" s="1101">
        <f t="shared" si="419"/>
        <v>30835.181953197927</v>
      </c>
      <c r="HF175" s="1101">
        <f t="shared" si="420"/>
        <v>35748.189508720541</v>
      </c>
      <c r="HG175" s="1101">
        <f t="shared" si="421"/>
        <v>46178.653401058698</v>
      </c>
      <c r="HH175" s="1101">
        <f t="shared" si="422"/>
        <v>78753.308154059428</v>
      </c>
      <c r="HI175" s="497"/>
      <c r="HJ175" s="1102">
        <f t="shared" si="423"/>
        <v>-7345.7288665064407</v>
      </c>
      <c r="HL175" s="775"/>
      <c r="HN175" s="775"/>
      <c r="HO175" s="775"/>
      <c r="HQ175" s="702"/>
      <c r="HR175" s="1171"/>
      <c r="HS175" s="702"/>
      <c r="HT175" s="1171"/>
    </row>
    <row r="176" spans="1:228" ht="14.25" hidden="1" customHeight="1">
      <c r="A176" s="753">
        <f t="shared" si="424"/>
        <v>170</v>
      </c>
      <c r="B176" s="753"/>
      <c r="C176" s="753">
        <f t="shared" si="445"/>
        <v>15</v>
      </c>
      <c r="D176" s="753" t="s">
        <v>272</v>
      </c>
      <c r="E176" s="717" t="str">
        <f t="shared" si="344"/>
        <v>8th Floor</v>
      </c>
      <c r="F176" s="754"/>
      <c r="G176" s="756" t="s">
        <v>584</v>
      </c>
      <c r="H176" s="756"/>
      <c r="I176" s="755" t="s">
        <v>229</v>
      </c>
      <c r="J176" s="757">
        <v>22</v>
      </c>
      <c r="K176" s="758"/>
      <c r="L176" s="759" t="s">
        <v>277</v>
      </c>
      <c r="M176" s="760" t="s">
        <v>278</v>
      </c>
      <c r="N176" s="761">
        <f t="shared" si="345"/>
        <v>106005.26567735759</v>
      </c>
      <c r="O176" s="762">
        <f t="shared" si="346"/>
        <v>2332115.8449018667</v>
      </c>
      <c r="P176" s="762">
        <f t="shared" si="347"/>
        <v>22400</v>
      </c>
      <c r="Q176" s="762">
        <f t="shared" si="320"/>
        <v>50000</v>
      </c>
      <c r="R176" s="762"/>
      <c r="S176" s="762"/>
      <c r="T176" s="762">
        <f t="shared" si="443"/>
        <v>66000</v>
      </c>
      <c r="U176" s="762"/>
      <c r="V176" s="762"/>
      <c r="W176" s="762">
        <f t="shared" si="455"/>
        <v>22000</v>
      </c>
      <c r="X176" s="762"/>
      <c r="Y176" s="762">
        <f t="shared" si="446"/>
        <v>80000</v>
      </c>
      <c r="Z176" s="762">
        <f t="shared" si="321"/>
        <v>142461</v>
      </c>
      <c r="AA176" s="762"/>
      <c r="AB176" s="762"/>
      <c r="AC176" s="762"/>
      <c r="AD176" s="763">
        <f t="shared" si="348"/>
        <v>382861</v>
      </c>
      <c r="AE176" s="763">
        <f t="shared" si="322"/>
        <v>2714976.8449018667</v>
      </c>
      <c r="AF176" s="762">
        <f t="shared" si="323"/>
        <v>67874.421122546672</v>
      </c>
      <c r="AG176" s="762">
        <f t="shared" si="349"/>
        <v>2782851.2660244135</v>
      </c>
      <c r="AH176" s="762">
        <f t="shared" si="324"/>
        <v>69571.281650610341</v>
      </c>
      <c r="AI176" s="762">
        <f t="shared" si="350"/>
        <v>2852422.5476750238</v>
      </c>
      <c r="AJ176" s="762">
        <f t="shared" si="351"/>
        <v>142621.12738375118</v>
      </c>
      <c r="AK176" s="762">
        <f t="shared" si="352"/>
        <v>2995043.6750587751</v>
      </c>
      <c r="AL176" s="762">
        <f t="shared" si="353"/>
        <v>29950.436750587753</v>
      </c>
      <c r="AM176" s="762">
        <f t="shared" si="354"/>
        <v>27537.409960060559</v>
      </c>
      <c r="AN176" s="762"/>
      <c r="AO176" s="763">
        <f t="shared" si="355"/>
        <v>3052531.521769423</v>
      </c>
      <c r="AP176" s="763">
        <f t="shared" si="356"/>
        <v>503667.70109195483</v>
      </c>
      <c r="AQ176" s="763">
        <f t="shared" si="357"/>
        <v>3556199.222861378</v>
      </c>
      <c r="AR176" s="1178">
        <f t="shared" si="325"/>
        <v>3000000</v>
      </c>
      <c r="AS176" s="1178">
        <f t="shared" si="358"/>
        <v>25281.782857335362</v>
      </c>
      <c r="AT176" s="1178">
        <f t="shared" si="359"/>
        <v>556199.22286137799</v>
      </c>
      <c r="AU176" s="1178">
        <f t="shared" si="326"/>
        <v>66743.906743365354</v>
      </c>
      <c r="AV176" s="1178">
        <f t="shared" si="360"/>
        <v>622943.12960474333</v>
      </c>
      <c r="AW176" s="1178">
        <f t="shared" si="361"/>
        <v>3622943.1296047433</v>
      </c>
      <c r="AX176" s="762">
        <f t="shared" si="362"/>
        <v>45286.789120059293</v>
      </c>
      <c r="AY176" s="717" t="s">
        <v>231</v>
      </c>
      <c r="AZ176" s="717">
        <f t="shared" si="363"/>
        <v>3668229.9187248028</v>
      </c>
      <c r="BA176" s="717">
        <f t="shared" si="364"/>
        <v>137558.62195218011</v>
      </c>
      <c r="BB176" s="717"/>
      <c r="BC176" s="717">
        <f t="shared" si="327"/>
        <v>33600</v>
      </c>
      <c r="BD176" s="717">
        <f t="shared" si="365"/>
        <v>3839388.5406769831</v>
      </c>
      <c r="BE176" s="717"/>
      <c r="BF176" s="717">
        <f t="shared" si="366"/>
        <v>3839388.5406769831</v>
      </c>
      <c r="BG176" s="1209"/>
      <c r="BH176" s="717">
        <f t="shared" si="367"/>
        <v>3839388.5406769831</v>
      </c>
      <c r="BI176" s="717"/>
      <c r="BJ176" s="717">
        <f t="shared" si="368"/>
        <v>3839388.5406769831</v>
      </c>
      <c r="BK176" s="717"/>
      <c r="BL176" s="717">
        <f t="shared" si="369"/>
        <v>3839388.5406769831</v>
      </c>
      <c r="BM176" s="717"/>
      <c r="BN176" s="717">
        <f t="shared" si="370"/>
        <v>3839388.5406769831</v>
      </c>
      <c r="BO176" s="717"/>
      <c r="BP176" s="717">
        <f t="shared" si="328"/>
        <v>3839388.5406769831</v>
      </c>
      <c r="BQ176" s="717"/>
      <c r="BR176" s="717">
        <f t="shared" si="433"/>
        <v>3839388.5406769831</v>
      </c>
      <c r="BS176" s="717"/>
      <c r="BT176" s="717">
        <f t="shared" si="371"/>
        <v>3839388.5406769831</v>
      </c>
      <c r="BU176" s="717"/>
      <c r="BV176" s="1235">
        <f t="shared" si="434"/>
        <v>51400</v>
      </c>
      <c r="BW176" s="717">
        <f t="shared" si="372"/>
        <v>3890788.5406769831</v>
      </c>
      <c r="BX176" s="717"/>
      <c r="BY176" s="717">
        <f t="shared" si="373"/>
        <v>3890788.5406769831</v>
      </c>
      <c r="BZ176" s="1194">
        <f t="shared" si="374"/>
        <v>3890788.5406769831</v>
      </c>
      <c r="CA176" s="1194">
        <f t="shared" si="375"/>
        <v>3010788.5406769831</v>
      </c>
      <c r="CB176" s="1194">
        <v>40000</v>
      </c>
      <c r="CC176" s="1194">
        <f t="shared" si="376"/>
        <v>880000</v>
      </c>
      <c r="CD176" s="1194">
        <f t="shared" si="377"/>
        <v>105600</v>
      </c>
      <c r="CE176" s="1194">
        <f t="shared" si="378"/>
        <v>985600</v>
      </c>
      <c r="CF176" s="1200">
        <f t="shared" si="379"/>
        <v>3996388.5406769831</v>
      </c>
      <c r="CG176" s="757">
        <f t="shared" si="380"/>
        <v>3996388.5406769831</v>
      </c>
      <c r="CH176" s="758">
        <f t="shared" si="381"/>
        <v>0</v>
      </c>
      <c r="CI176" s="757">
        <f t="shared" si="329"/>
        <v>409629.82541939075</v>
      </c>
      <c r="CJ176" s="757">
        <f t="shared" si="330"/>
        <v>99909.713516924588</v>
      </c>
      <c r="CK176" s="759">
        <f t="shared" si="444"/>
        <v>4505928.0796132982</v>
      </c>
      <c r="CL176" s="764">
        <f t="shared" si="382"/>
        <v>0.125</v>
      </c>
      <c r="CM176" s="757">
        <f t="shared" si="383"/>
        <v>563241.00995166227</v>
      </c>
      <c r="CN176" s="757">
        <f t="shared" si="425"/>
        <v>30000</v>
      </c>
      <c r="CO176" s="757">
        <f t="shared" si="384"/>
        <v>533241.00995166227</v>
      </c>
      <c r="CP176" s="755">
        <f t="shared" si="385"/>
        <v>29</v>
      </c>
      <c r="CQ176" s="757">
        <f t="shared" si="427"/>
        <v>18387.62103281594</v>
      </c>
      <c r="CR176" s="764">
        <f t="shared" si="386"/>
        <v>0.875</v>
      </c>
      <c r="CS176" s="757">
        <f t="shared" si="387"/>
        <v>3942687.0696616359</v>
      </c>
      <c r="CT176" s="1101">
        <f t="shared" si="388"/>
        <v>30567.610885869661</v>
      </c>
      <c r="CU176" s="1101">
        <f t="shared" si="389"/>
        <v>35437.986013361908</v>
      </c>
      <c r="CV176" s="1101">
        <f t="shared" si="390"/>
        <v>45777.939969334584</v>
      </c>
      <c r="CW176" s="1141">
        <f t="shared" si="331"/>
        <v>78069.929448838971</v>
      </c>
      <c r="CX176" s="1152">
        <f t="shared" si="391"/>
        <v>320277.00255578972</v>
      </c>
      <c r="CY176" s="1152">
        <f t="shared" si="392"/>
        <v>126732.04975247307</v>
      </c>
      <c r="CZ176" s="1152">
        <f t="shared" si="393"/>
        <v>91536.764605528384</v>
      </c>
      <c r="DA176" s="1152">
        <f t="shared" si="394"/>
        <v>69663.691999798495</v>
      </c>
      <c r="DB176" s="1143">
        <f t="shared" si="332"/>
        <v>0.18539974095379266</v>
      </c>
      <c r="DC176" s="1143">
        <f t="shared" si="395"/>
        <v>0.32735610179331476</v>
      </c>
      <c r="DD176" s="1098" t="s">
        <v>232</v>
      </c>
      <c r="DE176" s="1144"/>
      <c r="DF176" s="705"/>
      <c r="DG176" s="765">
        <f t="shared" si="426"/>
        <v>46082</v>
      </c>
      <c r="DH176" s="1116">
        <f t="shared" si="333"/>
        <v>28</v>
      </c>
      <c r="DI176" s="497"/>
      <c r="DJ176" s="1117">
        <f t="shared" si="396"/>
        <v>46147</v>
      </c>
      <c r="DK176" s="1116">
        <f t="shared" si="397"/>
        <v>30</v>
      </c>
      <c r="DL176" s="766" t="s">
        <v>233</v>
      </c>
      <c r="DM176" s="766" t="s">
        <v>234</v>
      </c>
      <c r="DN176" s="767">
        <f t="shared" si="334"/>
        <v>28315.596800215604</v>
      </c>
      <c r="DO176" s="767">
        <f t="shared" si="335"/>
        <v>622943.12960474333</v>
      </c>
      <c r="DP176" s="768">
        <f t="shared" si="336"/>
        <v>0.20764770986824777</v>
      </c>
      <c r="DR176" s="767">
        <f t="shared" si="337"/>
        <v>3996388.5406769831</v>
      </c>
      <c r="DS176" s="767">
        <f>SUM('[6]INTERNAL PRICELIST'!M176)</f>
        <v>2329361</v>
      </c>
      <c r="DT176" s="767">
        <f t="shared" si="398"/>
        <v>1667027.5406769831</v>
      </c>
      <c r="DV176" s="951">
        <f t="shared" si="338"/>
        <v>181654.02457622651</v>
      </c>
      <c r="DX176" s="772">
        <v>11</v>
      </c>
      <c r="DY176" s="773" t="s">
        <v>283</v>
      </c>
      <c r="DZ176" s="774">
        <v>22</v>
      </c>
      <c r="EA176" s="775">
        <f t="shared" si="454"/>
        <v>0</v>
      </c>
      <c r="ED176" s="755" t="s">
        <v>584</v>
      </c>
      <c r="EE176" s="777" t="b">
        <f t="shared" si="340"/>
        <v>1</v>
      </c>
      <c r="EF176" s="777"/>
      <c r="EG176" s="777"/>
      <c r="EH176" s="1203"/>
      <c r="EP176" s="1230" t="s">
        <v>236</v>
      </c>
      <c r="EQ176" s="1145" t="s">
        <v>236</v>
      </c>
      <c r="ER176" s="753" t="b">
        <f t="shared" si="399"/>
        <v>1</v>
      </c>
      <c r="EU176" s="770">
        <v>3194316.7474007285</v>
      </c>
      <c r="EV176" s="771" t="s">
        <v>258</v>
      </c>
      <c r="EW176" s="775">
        <f t="shared" si="453"/>
        <v>-802071.79327625455</v>
      </c>
      <c r="EY176" s="775">
        <v>3160387.0375777991</v>
      </c>
      <c r="FJ176" s="994">
        <v>0.125</v>
      </c>
      <c r="FK176" s="993">
        <v>11395.186860823775</v>
      </c>
      <c r="FL176" s="993">
        <v>11703.164884089281</v>
      </c>
      <c r="FM176" s="497"/>
      <c r="FN176" s="993">
        <f t="shared" si="341"/>
        <v>4505928.0796132982</v>
      </c>
      <c r="FO176" s="994">
        <f t="shared" si="400"/>
        <v>0.15</v>
      </c>
      <c r="FP176" s="775">
        <f t="shared" si="342"/>
        <v>675889.21194199473</v>
      </c>
      <c r="FQ176" s="993">
        <f t="shared" si="343"/>
        <v>30000</v>
      </c>
      <c r="FR176" s="775">
        <f t="shared" si="401"/>
        <v>645889.21194199473</v>
      </c>
      <c r="FS176" s="497">
        <f t="shared" si="402"/>
        <v>40</v>
      </c>
      <c r="FT176" s="775">
        <f t="shared" si="403"/>
        <v>16147.230298549868</v>
      </c>
      <c r="FU176" s="497"/>
      <c r="FV176" s="993">
        <f t="shared" si="404"/>
        <v>4505928.0796132982</v>
      </c>
      <c r="FW176" s="705">
        <f t="shared" si="405"/>
        <v>450592.80796132982</v>
      </c>
      <c r="FX176" s="705">
        <f t="shared" si="406"/>
        <v>112648.20199033245</v>
      </c>
      <c r="FY176" s="705">
        <v>15000</v>
      </c>
      <c r="FZ176" s="705">
        <f t="shared" si="407"/>
        <v>435592.80796132982</v>
      </c>
      <c r="GA176" s="497">
        <f t="shared" si="408"/>
        <v>46</v>
      </c>
      <c r="GB176" s="775">
        <f t="shared" si="409"/>
        <v>9469.4088687245621</v>
      </c>
      <c r="GC176" s="497"/>
      <c r="GD176" s="497"/>
      <c r="GH176" s="1095">
        <f t="shared" si="307"/>
        <v>4505928.0796132982</v>
      </c>
      <c r="GI176" s="1098">
        <f t="shared" si="308"/>
        <v>0.125</v>
      </c>
      <c r="GJ176" s="1095">
        <f t="shared" si="309"/>
        <v>563241.00995166227</v>
      </c>
      <c r="GK176" s="1095">
        <f t="shared" si="310"/>
        <v>30000</v>
      </c>
      <c r="GL176" s="1095">
        <f t="shared" si="311"/>
        <v>533241.00995166227</v>
      </c>
      <c r="GM176" s="1095">
        <f t="shared" si="312"/>
        <v>29</v>
      </c>
      <c r="GN176" s="1095">
        <f t="shared" si="313"/>
        <v>18387.62103281594</v>
      </c>
      <c r="GO176" s="1098">
        <f t="shared" si="314"/>
        <v>0.875</v>
      </c>
      <c r="GP176" s="1095">
        <f t="shared" si="315"/>
        <v>3942687.0696616359</v>
      </c>
      <c r="GQ176" s="1095">
        <f t="shared" si="316"/>
        <v>30567.610885869661</v>
      </c>
      <c r="GR176" s="1095">
        <f t="shared" si="317"/>
        <v>35437.986013361908</v>
      </c>
      <c r="GS176" s="1095">
        <f t="shared" si="318"/>
        <v>45777.939969334584</v>
      </c>
      <c r="GT176" s="1095">
        <f t="shared" si="319"/>
        <v>78069.929448838971</v>
      </c>
      <c r="GU176" s="497"/>
      <c r="GV176" s="1095">
        <f t="shared" si="410"/>
        <v>4505928.0796132982</v>
      </c>
      <c r="GW176" s="1098">
        <f t="shared" si="411"/>
        <v>0.125</v>
      </c>
      <c r="GX176" s="1095">
        <f t="shared" si="412"/>
        <v>563241.00995166227</v>
      </c>
      <c r="GY176" s="1095">
        <f t="shared" si="413"/>
        <v>30000</v>
      </c>
      <c r="GZ176" s="1095">
        <f t="shared" si="414"/>
        <v>533241.00995166227</v>
      </c>
      <c r="HA176" s="1106">
        <f t="shared" si="415"/>
        <v>48</v>
      </c>
      <c r="HB176" s="770">
        <f t="shared" si="416"/>
        <v>11109.187707326297</v>
      </c>
      <c r="HC176" s="1098">
        <f t="shared" si="417"/>
        <v>0.875</v>
      </c>
      <c r="HD176" s="1102">
        <f t="shared" si="418"/>
        <v>3942687.0696616359</v>
      </c>
      <c r="HE176" s="1101">
        <f t="shared" si="419"/>
        <v>30567.610885869661</v>
      </c>
      <c r="HF176" s="1101">
        <f t="shared" si="420"/>
        <v>35437.986013361908</v>
      </c>
      <c r="HG176" s="1101">
        <f t="shared" si="421"/>
        <v>45777.939969334584</v>
      </c>
      <c r="HH176" s="1101">
        <f t="shared" si="422"/>
        <v>78069.929448838971</v>
      </c>
      <c r="HI176" s="497"/>
      <c r="HJ176" s="1102">
        <f t="shared" si="423"/>
        <v>-7278.4333254896428</v>
      </c>
      <c r="HL176" s="775"/>
      <c r="HN176" s="775"/>
      <c r="HO176" s="775"/>
      <c r="HQ176" s="702"/>
      <c r="HR176" s="1171"/>
      <c r="HS176" s="702"/>
      <c r="HT176" s="1171"/>
    </row>
    <row r="177" spans="1:228" ht="14.25" hidden="1" customHeight="1">
      <c r="A177" s="753">
        <f t="shared" si="424"/>
        <v>171</v>
      </c>
      <c r="B177" s="753"/>
      <c r="C177" s="753">
        <f t="shared" si="445"/>
        <v>16</v>
      </c>
      <c r="D177" s="753" t="s">
        <v>272</v>
      </c>
      <c r="E177" s="717" t="str">
        <f t="shared" si="344"/>
        <v>8th Floor</v>
      </c>
      <c r="F177" s="754"/>
      <c r="G177" s="756" t="s">
        <v>585</v>
      </c>
      <c r="H177" s="756"/>
      <c r="I177" s="755" t="s">
        <v>229</v>
      </c>
      <c r="J177" s="757">
        <v>22</v>
      </c>
      <c r="K177" s="758"/>
      <c r="L177" s="759" t="s">
        <v>277</v>
      </c>
      <c r="M177" s="760" t="s">
        <v>230</v>
      </c>
      <c r="N177" s="761">
        <f t="shared" si="345"/>
        <v>106005.26567735759</v>
      </c>
      <c r="O177" s="762">
        <f t="shared" si="346"/>
        <v>2332115.8449018667</v>
      </c>
      <c r="P177" s="762">
        <f t="shared" si="347"/>
        <v>22400</v>
      </c>
      <c r="Q177" s="762">
        <f t="shared" si="320"/>
        <v>50000</v>
      </c>
      <c r="R177" s="762"/>
      <c r="S177" s="762"/>
      <c r="T177" s="762">
        <f t="shared" si="443"/>
        <v>66000</v>
      </c>
      <c r="U177" s="762"/>
      <c r="V177" s="762">
        <f>J177*$V$5</f>
        <v>55000</v>
      </c>
      <c r="W177" s="762"/>
      <c r="X177" s="762"/>
      <c r="Y177" s="762">
        <f t="shared" si="446"/>
        <v>80000</v>
      </c>
      <c r="Z177" s="762">
        <f t="shared" si="321"/>
        <v>142461</v>
      </c>
      <c r="AA177" s="762"/>
      <c r="AB177" s="762"/>
      <c r="AC177" s="762"/>
      <c r="AD177" s="763">
        <f t="shared" si="348"/>
        <v>415861</v>
      </c>
      <c r="AE177" s="763">
        <f t="shared" si="322"/>
        <v>2747976.8449018667</v>
      </c>
      <c r="AF177" s="762">
        <f t="shared" si="323"/>
        <v>68699.421122546672</v>
      </c>
      <c r="AG177" s="762">
        <f t="shared" si="349"/>
        <v>2816676.2660244135</v>
      </c>
      <c r="AH177" s="762">
        <f t="shared" si="324"/>
        <v>70416.906650610341</v>
      </c>
      <c r="AI177" s="762">
        <f t="shared" si="350"/>
        <v>2887093.1726750238</v>
      </c>
      <c r="AJ177" s="762">
        <f t="shared" si="351"/>
        <v>144354.65863375118</v>
      </c>
      <c r="AK177" s="762">
        <f t="shared" si="352"/>
        <v>3031447.8313087751</v>
      </c>
      <c r="AL177" s="762">
        <f t="shared" si="353"/>
        <v>30314.478313087751</v>
      </c>
      <c r="AM177" s="762">
        <f t="shared" si="354"/>
        <v>27537.409960060559</v>
      </c>
      <c r="AN177" s="762"/>
      <c r="AO177" s="763">
        <f t="shared" si="355"/>
        <v>3089299.7195819234</v>
      </c>
      <c r="AP177" s="763">
        <f t="shared" si="356"/>
        <v>509734.45373101742</v>
      </c>
      <c r="AQ177" s="763">
        <f t="shared" si="357"/>
        <v>3599034.1733129406</v>
      </c>
      <c r="AR177" s="1178">
        <f t="shared" si="325"/>
        <v>3000000</v>
      </c>
      <c r="AS177" s="1178">
        <f t="shared" si="358"/>
        <v>27228.826059679119</v>
      </c>
      <c r="AT177" s="1178">
        <f t="shared" si="359"/>
        <v>599034.17331294063</v>
      </c>
      <c r="AU177" s="1178">
        <f t="shared" si="326"/>
        <v>71884.100797552877</v>
      </c>
      <c r="AV177" s="1178">
        <f t="shared" si="360"/>
        <v>670918.27411049348</v>
      </c>
      <c r="AW177" s="1178">
        <f t="shared" si="361"/>
        <v>3670918.2741104937</v>
      </c>
      <c r="AX177" s="762">
        <f t="shared" si="362"/>
        <v>45886.478426381174</v>
      </c>
      <c r="AY177" s="717" t="s">
        <v>231</v>
      </c>
      <c r="AZ177" s="717">
        <f t="shared" si="363"/>
        <v>3716804.7525368747</v>
      </c>
      <c r="BA177" s="717">
        <f t="shared" si="364"/>
        <v>139380.1782201328</v>
      </c>
      <c r="BB177" s="717"/>
      <c r="BC177" s="717">
        <f t="shared" si="327"/>
        <v>33600</v>
      </c>
      <c r="BD177" s="717">
        <f t="shared" si="365"/>
        <v>3889784.9307570076</v>
      </c>
      <c r="BE177" s="717"/>
      <c r="BF177" s="717">
        <f t="shared" si="366"/>
        <v>3889784.9307570076</v>
      </c>
      <c r="BG177" s="1209"/>
      <c r="BH177" s="717">
        <f t="shared" si="367"/>
        <v>3889784.9307570076</v>
      </c>
      <c r="BI177" s="717"/>
      <c r="BJ177" s="717">
        <f t="shared" si="368"/>
        <v>3889784.9307570076</v>
      </c>
      <c r="BK177" s="717"/>
      <c r="BL177" s="717">
        <f t="shared" si="369"/>
        <v>3889784.9307570076</v>
      </c>
      <c r="BM177" s="717"/>
      <c r="BN177" s="717">
        <f t="shared" si="370"/>
        <v>3889784.9307570076</v>
      </c>
      <c r="BO177" s="717"/>
      <c r="BP177" s="717">
        <f t="shared" si="328"/>
        <v>3889784.9307570076</v>
      </c>
      <c r="BQ177" s="717"/>
      <c r="BR177" s="717">
        <f t="shared" si="433"/>
        <v>3889784.9307570076</v>
      </c>
      <c r="BS177" s="717"/>
      <c r="BT177" s="717">
        <f t="shared" si="371"/>
        <v>3889784.9307570076</v>
      </c>
      <c r="BU177" s="717"/>
      <c r="BV177" s="1235">
        <f t="shared" si="434"/>
        <v>51400</v>
      </c>
      <c r="BW177" s="717">
        <f t="shared" si="372"/>
        <v>3941184.9307570076</v>
      </c>
      <c r="BX177" s="717"/>
      <c r="BY177" s="717">
        <f t="shared" si="373"/>
        <v>3941184.9307570076</v>
      </c>
      <c r="BZ177" s="1194">
        <f t="shared" si="374"/>
        <v>3941184.9307570076</v>
      </c>
      <c r="CA177" s="1194">
        <f t="shared" si="375"/>
        <v>3039184.9307570076</v>
      </c>
      <c r="CB177" s="1194">
        <v>41000</v>
      </c>
      <c r="CC177" s="1194">
        <f t="shared" si="376"/>
        <v>902000</v>
      </c>
      <c r="CD177" s="1194">
        <f t="shared" si="377"/>
        <v>108240</v>
      </c>
      <c r="CE177" s="1194">
        <f t="shared" si="378"/>
        <v>1010240</v>
      </c>
      <c r="CF177" s="1200">
        <f t="shared" si="379"/>
        <v>4049424.9307570076</v>
      </c>
      <c r="CG177" s="757">
        <f t="shared" si="380"/>
        <v>4049424.9307570076</v>
      </c>
      <c r="CH177" s="758">
        <f t="shared" si="381"/>
        <v>0</v>
      </c>
      <c r="CI177" s="757">
        <f t="shared" si="329"/>
        <v>415066.05540259322</v>
      </c>
      <c r="CJ177" s="757">
        <f t="shared" si="330"/>
        <v>101235.62326892519</v>
      </c>
      <c r="CK177" s="759">
        <f t="shared" si="444"/>
        <v>4565726.6094285259</v>
      </c>
      <c r="CL177" s="764">
        <f t="shared" si="382"/>
        <v>0.125</v>
      </c>
      <c r="CM177" s="757">
        <f t="shared" si="383"/>
        <v>570715.82617856574</v>
      </c>
      <c r="CN177" s="757">
        <f t="shared" si="425"/>
        <v>30000</v>
      </c>
      <c r="CO177" s="757">
        <f t="shared" si="384"/>
        <v>540715.82617856574</v>
      </c>
      <c r="CP177" s="755">
        <f t="shared" si="385"/>
        <v>29</v>
      </c>
      <c r="CQ177" s="757">
        <f t="shared" si="427"/>
        <v>18645.373316502268</v>
      </c>
      <c r="CR177" s="764">
        <f t="shared" si="386"/>
        <v>0.875</v>
      </c>
      <c r="CS177" s="757">
        <f t="shared" si="387"/>
        <v>3995010.7832499603</v>
      </c>
      <c r="CT177" s="1101">
        <f t="shared" si="388"/>
        <v>30973.276080396208</v>
      </c>
      <c r="CU177" s="1101">
        <f t="shared" si="389"/>
        <v>35908.286343453619</v>
      </c>
      <c r="CV177" s="1101">
        <f t="shared" si="390"/>
        <v>46385.462650515707</v>
      </c>
      <c r="CW177" s="1141">
        <f t="shared" si="331"/>
        <v>79106.001689969766</v>
      </c>
      <c r="CX177" s="1152">
        <f t="shared" si="391"/>
        <v>324527.42412224039</v>
      </c>
      <c r="CY177" s="1152">
        <f t="shared" si="392"/>
        <v>128413.92086132543</v>
      </c>
      <c r="CZ177" s="1152">
        <f t="shared" si="393"/>
        <v>92751.556286784631</v>
      </c>
      <c r="DA177" s="1152">
        <f t="shared" si="394"/>
        <v>70588.204395355046</v>
      </c>
      <c r="DB177" s="1143">
        <f t="shared" si="332"/>
        <v>0.19967805777098022</v>
      </c>
      <c r="DC177" s="1143">
        <f t="shared" si="395"/>
        <v>0.3324049121776762</v>
      </c>
      <c r="DD177" s="1098" t="s">
        <v>232</v>
      </c>
      <c r="DE177" s="1144"/>
      <c r="DF177" s="705"/>
      <c r="DG177" s="765">
        <f t="shared" si="426"/>
        <v>46082</v>
      </c>
      <c r="DH177" s="1116">
        <f t="shared" si="333"/>
        <v>28</v>
      </c>
      <c r="DI177" s="497"/>
      <c r="DJ177" s="1117">
        <f t="shared" si="396"/>
        <v>46147</v>
      </c>
      <c r="DK177" s="1116">
        <f t="shared" si="397"/>
        <v>30</v>
      </c>
      <c r="DL177" s="766" t="s">
        <v>233</v>
      </c>
      <c r="DM177" s="766" t="s">
        <v>234</v>
      </c>
      <c r="DN177" s="767">
        <f t="shared" si="334"/>
        <v>30496.285186840614</v>
      </c>
      <c r="DO177" s="767">
        <f t="shared" si="335"/>
        <v>670918.27411049348</v>
      </c>
      <c r="DP177" s="768">
        <f t="shared" si="336"/>
        <v>0.22363942470349782</v>
      </c>
      <c r="DR177" s="767">
        <f t="shared" si="337"/>
        <v>4049424.9307570076</v>
      </c>
      <c r="DS177" s="767">
        <f>SUM('[6]INTERNAL PRICELIST'!M177)</f>
        <v>2329361</v>
      </c>
      <c r="DT177" s="767">
        <f t="shared" si="398"/>
        <v>1720063.9307570076</v>
      </c>
      <c r="DV177" s="951">
        <f t="shared" si="338"/>
        <v>184064.76957986399</v>
      </c>
      <c r="DX177" s="772">
        <v>12</v>
      </c>
      <c r="DY177" s="773" t="s">
        <v>286</v>
      </c>
      <c r="DZ177" s="774">
        <v>22</v>
      </c>
      <c r="EA177" s="775">
        <f t="shared" si="454"/>
        <v>0</v>
      </c>
      <c r="ED177" s="1133" t="s">
        <v>585</v>
      </c>
      <c r="EE177" s="777" t="b">
        <f t="shared" si="340"/>
        <v>1</v>
      </c>
      <c r="EF177" s="777"/>
      <c r="EG177" s="777"/>
      <c r="EH177" s="1203"/>
      <c r="EP177" s="1230" t="s">
        <v>236</v>
      </c>
      <c r="EQ177" s="1145" t="s">
        <v>236</v>
      </c>
      <c r="ER177" s="753" t="b">
        <f t="shared" si="399"/>
        <v>1</v>
      </c>
      <c r="EU177" s="770">
        <v>3295300.7030250588</v>
      </c>
      <c r="EV177" s="771" t="s">
        <v>258</v>
      </c>
      <c r="EW177" s="775">
        <f t="shared" si="453"/>
        <v>-754124.22773194872</v>
      </c>
      <c r="EY177" s="775">
        <v>3260477.402618058</v>
      </c>
      <c r="FJ177" s="994">
        <v>0.125</v>
      </c>
      <c r="FK177" s="993">
        <v>11764.672492003094</v>
      </c>
      <c r="FL177" s="993">
        <v>12082.636613408584</v>
      </c>
      <c r="FM177" s="497"/>
      <c r="FN177" s="993">
        <f t="shared" si="341"/>
        <v>4565726.6094285259</v>
      </c>
      <c r="FO177" s="994">
        <f t="shared" si="400"/>
        <v>0.15</v>
      </c>
      <c r="FP177" s="775">
        <f t="shared" si="342"/>
        <v>684858.99141427886</v>
      </c>
      <c r="FQ177" s="993">
        <f t="shared" si="343"/>
        <v>30000</v>
      </c>
      <c r="FR177" s="775">
        <f t="shared" si="401"/>
        <v>654858.99141427886</v>
      </c>
      <c r="FS177" s="497">
        <f t="shared" si="402"/>
        <v>40</v>
      </c>
      <c r="FT177" s="775">
        <f t="shared" si="403"/>
        <v>16371.474785356972</v>
      </c>
      <c r="FU177" s="497"/>
      <c r="FV177" s="993">
        <f t="shared" si="404"/>
        <v>4565726.6094285259</v>
      </c>
      <c r="FW177" s="705">
        <f t="shared" si="405"/>
        <v>456572.66094285261</v>
      </c>
      <c r="FX177" s="705">
        <f t="shared" si="406"/>
        <v>114143.16523571315</v>
      </c>
      <c r="FY177" s="705">
        <v>15000</v>
      </c>
      <c r="FZ177" s="705">
        <f t="shared" si="407"/>
        <v>441572.66094285261</v>
      </c>
      <c r="GA177" s="497">
        <f t="shared" si="408"/>
        <v>46</v>
      </c>
      <c r="GB177" s="775">
        <f t="shared" si="409"/>
        <v>9599.4056726707095</v>
      </c>
      <c r="GC177" s="497"/>
      <c r="GD177" s="497"/>
      <c r="GH177" s="1095">
        <f t="shared" si="307"/>
        <v>4565726.6094285259</v>
      </c>
      <c r="GI177" s="1098">
        <f t="shared" si="308"/>
        <v>0.125</v>
      </c>
      <c r="GJ177" s="1095">
        <f t="shared" si="309"/>
        <v>570715.82617856574</v>
      </c>
      <c r="GK177" s="1095">
        <f t="shared" si="310"/>
        <v>30000</v>
      </c>
      <c r="GL177" s="1095">
        <f t="shared" si="311"/>
        <v>540715.82617856574</v>
      </c>
      <c r="GM177" s="1095">
        <f t="shared" si="312"/>
        <v>29</v>
      </c>
      <c r="GN177" s="1095">
        <f t="shared" si="313"/>
        <v>18645.373316502268</v>
      </c>
      <c r="GO177" s="1098">
        <f t="shared" si="314"/>
        <v>0.875</v>
      </c>
      <c r="GP177" s="1095">
        <f t="shared" si="315"/>
        <v>3995010.7832499603</v>
      </c>
      <c r="GQ177" s="1095">
        <f t="shared" si="316"/>
        <v>30973.276080396208</v>
      </c>
      <c r="GR177" s="1095">
        <f t="shared" si="317"/>
        <v>35908.286343453619</v>
      </c>
      <c r="GS177" s="1095">
        <f t="shared" si="318"/>
        <v>46385.462650515707</v>
      </c>
      <c r="GT177" s="1095">
        <f t="shared" si="319"/>
        <v>79106.001689969766</v>
      </c>
      <c r="GU177" s="497"/>
      <c r="GV177" s="1095">
        <f t="shared" si="410"/>
        <v>4565726.6094285259</v>
      </c>
      <c r="GW177" s="1098">
        <f t="shared" si="411"/>
        <v>0.125</v>
      </c>
      <c r="GX177" s="1095">
        <f t="shared" si="412"/>
        <v>570715.82617856574</v>
      </c>
      <c r="GY177" s="1095">
        <f t="shared" si="413"/>
        <v>30000</v>
      </c>
      <c r="GZ177" s="1095">
        <f t="shared" si="414"/>
        <v>540715.82617856574</v>
      </c>
      <c r="HA177" s="1106">
        <f t="shared" si="415"/>
        <v>48</v>
      </c>
      <c r="HB177" s="770">
        <f t="shared" si="416"/>
        <v>11264.913045386786</v>
      </c>
      <c r="HC177" s="1098">
        <f t="shared" si="417"/>
        <v>0.875</v>
      </c>
      <c r="HD177" s="1102">
        <f t="shared" si="418"/>
        <v>3995010.7832499603</v>
      </c>
      <c r="HE177" s="1101">
        <f t="shared" si="419"/>
        <v>30973.276080396208</v>
      </c>
      <c r="HF177" s="1101">
        <f t="shared" si="420"/>
        <v>35908.286343453619</v>
      </c>
      <c r="HG177" s="1101">
        <f t="shared" si="421"/>
        <v>46385.462650515707</v>
      </c>
      <c r="HH177" s="1101">
        <f t="shared" si="422"/>
        <v>79106.001689969766</v>
      </c>
      <c r="HI177" s="497"/>
      <c r="HJ177" s="1102">
        <f t="shared" si="423"/>
        <v>-7380.4602711154821</v>
      </c>
      <c r="HL177" s="775"/>
      <c r="HN177" s="775"/>
      <c r="HO177" s="775"/>
      <c r="HQ177" s="702"/>
      <c r="HR177" s="1171"/>
      <c r="HS177" s="702"/>
      <c r="HT177" s="1171"/>
    </row>
    <row r="178" spans="1:228" ht="14.25" hidden="1" customHeight="1">
      <c r="A178" s="753">
        <f t="shared" si="424"/>
        <v>172</v>
      </c>
      <c r="B178" s="753" t="s">
        <v>236</v>
      </c>
      <c r="C178" s="753">
        <f t="shared" si="445"/>
        <v>17</v>
      </c>
      <c r="D178" s="753" t="s">
        <v>272</v>
      </c>
      <c r="E178" s="717" t="str">
        <f t="shared" si="344"/>
        <v>8th Floor</v>
      </c>
      <c r="F178" s="754"/>
      <c r="G178" s="756" t="s">
        <v>586</v>
      </c>
      <c r="H178" s="756"/>
      <c r="I178" s="755" t="s">
        <v>229</v>
      </c>
      <c r="J178" s="757">
        <v>22</v>
      </c>
      <c r="K178" s="758"/>
      <c r="L178" s="759" t="s">
        <v>69</v>
      </c>
      <c r="M178" s="760" t="s">
        <v>68</v>
      </c>
      <c r="N178" s="761">
        <f t="shared" si="345"/>
        <v>106005.26567735759</v>
      </c>
      <c r="O178" s="762">
        <f t="shared" si="346"/>
        <v>2332115.8449018667</v>
      </c>
      <c r="P178" s="762">
        <f t="shared" si="347"/>
        <v>22400</v>
      </c>
      <c r="Q178" s="762">
        <f t="shared" si="320"/>
        <v>50000</v>
      </c>
      <c r="R178" s="762"/>
      <c r="S178" s="762"/>
      <c r="T178" s="762">
        <f t="shared" si="443"/>
        <v>66000</v>
      </c>
      <c r="U178" s="762"/>
      <c r="V178" s="762"/>
      <c r="W178" s="762"/>
      <c r="X178" s="762"/>
      <c r="Y178" s="762">
        <f t="shared" si="446"/>
        <v>80000</v>
      </c>
      <c r="Z178" s="762">
        <f t="shared" si="321"/>
        <v>142461</v>
      </c>
      <c r="AA178" s="762"/>
      <c r="AB178" s="762"/>
      <c r="AC178" s="762"/>
      <c r="AD178" s="763">
        <f t="shared" si="348"/>
        <v>360861</v>
      </c>
      <c r="AE178" s="763">
        <f t="shared" si="322"/>
        <v>2692976.8449018667</v>
      </c>
      <c r="AF178" s="762">
        <f t="shared" si="323"/>
        <v>67324.421122546672</v>
      </c>
      <c r="AG178" s="762">
        <f t="shared" si="349"/>
        <v>2760301.2660244135</v>
      </c>
      <c r="AH178" s="762">
        <f t="shared" si="324"/>
        <v>69007.531650610341</v>
      </c>
      <c r="AI178" s="762">
        <f t="shared" si="350"/>
        <v>2829308.7976750238</v>
      </c>
      <c r="AJ178" s="762">
        <f t="shared" si="351"/>
        <v>141465.43988375118</v>
      </c>
      <c r="AK178" s="762">
        <f t="shared" si="352"/>
        <v>2970774.2375587751</v>
      </c>
      <c r="AL178" s="762">
        <f t="shared" si="353"/>
        <v>29707.742375587753</v>
      </c>
      <c r="AM178" s="762">
        <f t="shared" si="354"/>
        <v>27537.409960060559</v>
      </c>
      <c r="AN178" s="762"/>
      <c r="AO178" s="763">
        <f t="shared" si="355"/>
        <v>3028019.3898944231</v>
      </c>
      <c r="AP178" s="763">
        <f t="shared" si="356"/>
        <v>499623.19933257985</v>
      </c>
      <c r="AQ178" s="763">
        <f t="shared" si="357"/>
        <v>3527642.589227003</v>
      </c>
      <c r="AR178" s="1178">
        <f t="shared" si="325"/>
        <v>3000000</v>
      </c>
      <c r="AS178" s="1178">
        <f t="shared" si="358"/>
        <v>23983.754055772864</v>
      </c>
      <c r="AT178" s="1178">
        <f t="shared" si="359"/>
        <v>527642.58922700305</v>
      </c>
      <c r="AU178" s="1178">
        <f t="shared" si="326"/>
        <v>63317.110707240361</v>
      </c>
      <c r="AV178" s="1178">
        <f t="shared" si="360"/>
        <v>590959.69993424346</v>
      </c>
      <c r="AW178" s="1178">
        <f t="shared" si="361"/>
        <v>3590959.6999342432</v>
      </c>
      <c r="AX178" s="762">
        <f t="shared" si="362"/>
        <v>44886.996249178046</v>
      </c>
      <c r="AY178" s="717" t="s">
        <v>231</v>
      </c>
      <c r="AZ178" s="717">
        <f t="shared" si="363"/>
        <v>3635846.6961834212</v>
      </c>
      <c r="BA178" s="717">
        <f t="shared" si="364"/>
        <v>136344.25110687828</v>
      </c>
      <c r="BB178" s="717"/>
      <c r="BC178" s="717">
        <f t="shared" si="327"/>
        <v>33600</v>
      </c>
      <c r="BD178" s="717">
        <f t="shared" si="365"/>
        <v>3805790.9472902995</v>
      </c>
      <c r="BE178" s="717"/>
      <c r="BF178" s="717">
        <f t="shared" si="366"/>
        <v>3805790.9472902995</v>
      </c>
      <c r="BG178" s="1209"/>
      <c r="BH178" s="717">
        <f t="shared" si="367"/>
        <v>3805790.9472902995</v>
      </c>
      <c r="BI178" s="717"/>
      <c r="BJ178" s="717">
        <f t="shared" si="368"/>
        <v>3805790.9472902995</v>
      </c>
      <c r="BK178" s="717"/>
      <c r="BL178" s="717">
        <f t="shared" si="369"/>
        <v>3805790.9472902995</v>
      </c>
      <c r="BM178" s="717"/>
      <c r="BN178" s="717">
        <f t="shared" si="370"/>
        <v>3805790.9472902995</v>
      </c>
      <c r="BO178" s="717"/>
      <c r="BP178" s="717">
        <f t="shared" si="328"/>
        <v>3805790.9472902995</v>
      </c>
      <c r="BQ178" s="717"/>
      <c r="BR178" s="717">
        <f t="shared" si="433"/>
        <v>3805790.9472902995</v>
      </c>
      <c r="BS178" s="717"/>
      <c r="BT178" s="717">
        <f t="shared" si="371"/>
        <v>3805790.9472902995</v>
      </c>
      <c r="BU178" s="717"/>
      <c r="BV178" s="1235">
        <f t="shared" si="434"/>
        <v>51400</v>
      </c>
      <c r="BW178" s="717">
        <f t="shared" si="372"/>
        <v>3857190.9472902995</v>
      </c>
      <c r="BX178" s="717"/>
      <c r="BY178" s="717">
        <f t="shared" si="373"/>
        <v>3857190.9472902995</v>
      </c>
      <c r="BZ178" s="1194">
        <f t="shared" si="374"/>
        <v>3857190.9472902995</v>
      </c>
      <c r="CA178" s="1194">
        <f t="shared" si="375"/>
        <v>3043190.9472902995</v>
      </c>
      <c r="CB178" s="1194">
        <v>37000</v>
      </c>
      <c r="CC178" s="1194">
        <f t="shared" si="376"/>
        <v>814000</v>
      </c>
      <c r="CD178" s="1194">
        <f t="shared" si="377"/>
        <v>97680</v>
      </c>
      <c r="CE178" s="1194">
        <f t="shared" si="378"/>
        <v>911680</v>
      </c>
      <c r="CF178" s="1200">
        <f t="shared" si="379"/>
        <v>3954870.9472902995</v>
      </c>
      <c r="CG178" s="757">
        <f t="shared" si="380"/>
        <v>3954870.9472902995</v>
      </c>
      <c r="CH178" s="758">
        <f t="shared" si="381"/>
        <v>0</v>
      </c>
      <c r="CI178" s="757">
        <f t="shared" si="329"/>
        <v>405374.27209725569</v>
      </c>
      <c r="CJ178" s="757">
        <f t="shared" si="330"/>
        <v>98871.773682257495</v>
      </c>
      <c r="CK178" s="759">
        <f t="shared" si="444"/>
        <v>4459116.9930698127</v>
      </c>
      <c r="CL178" s="764">
        <f t="shared" si="382"/>
        <v>0.125</v>
      </c>
      <c r="CM178" s="757">
        <f t="shared" si="383"/>
        <v>557389.62413372658</v>
      </c>
      <c r="CN178" s="757">
        <f t="shared" si="425"/>
        <v>30000</v>
      </c>
      <c r="CO178" s="757">
        <f t="shared" si="384"/>
        <v>527389.62413372658</v>
      </c>
      <c r="CP178" s="755">
        <f t="shared" si="385"/>
        <v>29</v>
      </c>
      <c r="CQ178" s="757">
        <f t="shared" si="427"/>
        <v>18185.849108059538</v>
      </c>
      <c r="CR178" s="764">
        <f t="shared" si="386"/>
        <v>0.875</v>
      </c>
      <c r="CS178" s="757">
        <f t="shared" si="387"/>
        <v>3901727.3689360861</v>
      </c>
      <c r="CT178" s="1101">
        <f t="shared" si="388"/>
        <v>30250.050762111794</v>
      </c>
      <c r="CU178" s="1101">
        <f t="shared" si="389"/>
        <v>35069.828643584122</v>
      </c>
      <c r="CV178" s="1101">
        <f t="shared" si="390"/>
        <v>45302.363113285224</v>
      </c>
      <c r="CW178" s="1141">
        <f t="shared" si="331"/>
        <v>77258.878282619058</v>
      </c>
      <c r="CX178" s="1152">
        <f t="shared" si="391"/>
        <v>316949.71587485942</v>
      </c>
      <c r="CY178" s="1152">
        <f t="shared" si="392"/>
        <v>125415.45862097293</v>
      </c>
      <c r="CZ178" s="1152">
        <f t="shared" si="393"/>
        <v>90585.809478382245</v>
      </c>
      <c r="DA178" s="1152">
        <f t="shared" si="394"/>
        <v>68939.971368327359</v>
      </c>
      <c r="DB178" s="1143">
        <f t="shared" si="332"/>
        <v>0.17588086307566769</v>
      </c>
      <c r="DC178" s="1143">
        <f t="shared" si="395"/>
        <v>0.29958028128723663</v>
      </c>
      <c r="DD178" s="1098" t="s">
        <v>232</v>
      </c>
      <c r="DE178" s="1144"/>
      <c r="DF178" s="705"/>
      <c r="DG178" s="765">
        <f t="shared" si="426"/>
        <v>46082</v>
      </c>
      <c r="DH178" s="1116">
        <f t="shared" si="333"/>
        <v>28</v>
      </c>
      <c r="DI178" s="497"/>
      <c r="DJ178" s="1117">
        <f t="shared" si="396"/>
        <v>46147</v>
      </c>
      <c r="DK178" s="1116">
        <f t="shared" si="397"/>
        <v>30</v>
      </c>
      <c r="DL178" s="766" t="s">
        <v>233</v>
      </c>
      <c r="DM178" s="766" t="s">
        <v>234</v>
      </c>
      <c r="DN178" s="767">
        <f t="shared" si="334"/>
        <v>26861.804542465612</v>
      </c>
      <c r="DO178" s="767">
        <f t="shared" si="335"/>
        <v>590959.69993424346</v>
      </c>
      <c r="DP178" s="768">
        <f t="shared" si="336"/>
        <v>0.19698656664474781</v>
      </c>
      <c r="DR178" s="767">
        <f t="shared" si="337"/>
        <v>3954870.9472902995</v>
      </c>
      <c r="DS178" s="767">
        <f>SUM('[6]INTERNAL PRICELIST'!M178)</f>
        <v>2329361</v>
      </c>
      <c r="DT178" s="767">
        <f t="shared" si="398"/>
        <v>1625509.9472902995</v>
      </c>
      <c r="DV178" s="951">
        <f t="shared" si="338"/>
        <v>179766.86124046816</v>
      </c>
      <c r="DX178" s="772">
        <v>13</v>
      </c>
      <c r="DY178" s="773" t="s">
        <v>289</v>
      </c>
      <c r="DZ178" s="774">
        <v>22</v>
      </c>
      <c r="EA178" s="775">
        <f t="shared" si="454"/>
        <v>0</v>
      </c>
      <c r="ED178" s="755" t="s">
        <v>586</v>
      </c>
      <c r="EE178" s="777" t="b">
        <f t="shared" si="340"/>
        <v>1</v>
      </c>
      <c r="EF178" s="1123" t="s">
        <v>587</v>
      </c>
      <c r="EG178" s="1123" t="s">
        <v>567</v>
      </c>
      <c r="EH178" s="1203"/>
      <c r="EP178" s="1230" t="s">
        <v>236</v>
      </c>
      <c r="EQ178" s="1145" t="s">
        <v>236</v>
      </c>
      <c r="ER178" s="753" t="b">
        <f t="shared" si="399"/>
        <v>1</v>
      </c>
      <c r="EU178" s="770">
        <v>2459020</v>
      </c>
      <c r="EV178" s="771" t="s">
        <v>236</v>
      </c>
      <c r="FJ178" s="994">
        <v>0.15</v>
      </c>
      <c r="FK178" s="993">
        <v>13630.985074573726</v>
      </c>
      <c r="FL178" s="993">
        <v>13999.390076589232</v>
      </c>
      <c r="FM178" s="497"/>
      <c r="FN178" s="993">
        <f t="shared" si="341"/>
        <v>4459116.9930698127</v>
      </c>
      <c r="FO178" s="994">
        <f t="shared" si="400"/>
        <v>0.15</v>
      </c>
      <c r="FP178" s="775">
        <f t="shared" si="342"/>
        <v>668867.54896047188</v>
      </c>
      <c r="FQ178" s="993">
        <f t="shared" si="343"/>
        <v>30000</v>
      </c>
      <c r="FR178" s="775">
        <f t="shared" si="401"/>
        <v>638867.54896047188</v>
      </c>
      <c r="FS178" s="497">
        <f t="shared" si="402"/>
        <v>40</v>
      </c>
      <c r="FT178" s="775">
        <f t="shared" si="403"/>
        <v>15971.688724011798</v>
      </c>
      <c r="FU178" s="497"/>
      <c r="FV178" s="993">
        <f t="shared" si="404"/>
        <v>4459116.9930698127</v>
      </c>
      <c r="FW178" s="705">
        <f t="shared" si="405"/>
        <v>445911.69930698129</v>
      </c>
      <c r="FX178" s="705">
        <f t="shared" si="406"/>
        <v>111477.92482674532</v>
      </c>
      <c r="FY178" s="705">
        <v>15000</v>
      </c>
      <c r="FZ178" s="705">
        <f t="shared" si="407"/>
        <v>430911.69930698129</v>
      </c>
      <c r="GA178" s="497">
        <f t="shared" si="408"/>
        <v>46</v>
      </c>
      <c r="GB178" s="775">
        <f t="shared" si="409"/>
        <v>9367.6456371082895</v>
      </c>
      <c r="GC178" s="497"/>
      <c r="GD178" s="497"/>
      <c r="GH178" s="1095">
        <f t="shared" si="307"/>
        <v>4459116.9930698127</v>
      </c>
      <c r="GI178" s="1098">
        <f t="shared" si="308"/>
        <v>0.125</v>
      </c>
      <c r="GJ178" s="1095">
        <f t="shared" si="309"/>
        <v>557389.62413372658</v>
      </c>
      <c r="GK178" s="1095">
        <f t="shared" si="310"/>
        <v>30000</v>
      </c>
      <c r="GL178" s="1095">
        <f t="shared" si="311"/>
        <v>527389.62413372658</v>
      </c>
      <c r="GM178" s="1095">
        <f t="shared" si="312"/>
        <v>29</v>
      </c>
      <c r="GN178" s="1095">
        <f t="shared" si="313"/>
        <v>18185.849108059538</v>
      </c>
      <c r="GO178" s="1098">
        <f t="shared" si="314"/>
        <v>0.875</v>
      </c>
      <c r="GP178" s="1095">
        <f t="shared" si="315"/>
        <v>3901727.3689360861</v>
      </c>
      <c r="GQ178" s="1095">
        <f t="shared" si="316"/>
        <v>30250.050762111794</v>
      </c>
      <c r="GR178" s="1095">
        <f t="shared" si="317"/>
        <v>35069.828643584122</v>
      </c>
      <c r="GS178" s="1095">
        <f t="shared" si="318"/>
        <v>45302.363113285224</v>
      </c>
      <c r="GT178" s="1095">
        <f t="shared" si="319"/>
        <v>77258.878282619058</v>
      </c>
      <c r="GU178" s="497"/>
      <c r="GV178" s="1095">
        <f t="shared" si="410"/>
        <v>4459116.9930698127</v>
      </c>
      <c r="GW178" s="1098">
        <f t="shared" si="411"/>
        <v>0.125</v>
      </c>
      <c r="GX178" s="1095">
        <f t="shared" si="412"/>
        <v>557389.62413372658</v>
      </c>
      <c r="GY178" s="1095">
        <f t="shared" si="413"/>
        <v>30000</v>
      </c>
      <c r="GZ178" s="1095">
        <f t="shared" si="414"/>
        <v>527389.62413372658</v>
      </c>
      <c r="HA178" s="1106">
        <f t="shared" si="415"/>
        <v>48</v>
      </c>
      <c r="HB178" s="770">
        <f t="shared" si="416"/>
        <v>10987.283836119304</v>
      </c>
      <c r="HC178" s="1098">
        <f t="shared" si="417"/>
        <v>0.875</v>
      </c>
      <c r="HD178" s="1102">
        <f t="shared" si="418"/>
        <v>3901727.3689360861</v>
      </c>
      <c r="HE178" s="1101">
        <f t="shared" si="419"/>
        <v>30250.050762111794</v>
      </c>
      <c r="HF178" s="1101">
        <f t="shared" si="420"/>
        <v>35069.828643584122</v>
      </c>
      <c r="HG178" s="1101">
        <f t="shared" si="421"/>
        <v>45302.363113285224</v>
      </c>
      <c r="HH178" s="1101">
        <f t="shared" si="422"/>
        <v>77258.878282619058</v>
      </c>
      <c r="HI178" s="497"/>
      <c r="HJ178" s="1102">
        <f t="shared" si="423"/>
        <v>-7198.5652719402333</v>
      </c>
      <c r="HL178" s="775"/>
      <c r="HN178" s="775"/>
      <c r="HO178" s="775"/>
      <c r="HQ178" s="702"/>
      <c r="HR178" s="1171"/>
      <c r="HS178" s="702"/>
      <c r="HT178" s="1171"/>
    </row>
    <row r="179" spans="1:228" ht="14.25" hidden="1" customHeight="1">
      <c r="A179" s="753">
        <f t="shared" si="424"/>
        <v>173</v>
      </c>
      <c r="B179" s="753" t="s">
        <v>236</v>
      </c>
      <c r="C179" s="753">
        <f t="shared" si="445"/>
        <v>18</v>
      </c>
      <c r="D179" s="753" t="s">
        <v>272</v>
      </c>
      <c r="E179" s="717" t="str">
        <f t="shared" si="344"/>
        <v>8th Floor</v>
      </c>
      <c r="F179" s="754"/>
      <c r="G179" s="756" t="s">
        <v>588</v>
      </c>
      <c r="H179" s="756"/>
      <c r="I179" s="755" t="s">
        <v>229</v>
      </c>
      <c r="J179" s="757">
        <v>22</v>
      </c>
      <c r="K179" s="758"/>
      <c r="L179" s="759" t="s">
        <v>69</v>
      </c>
      <c r="M179" s="760" t="s">
        <v>68</v>
      </c>
      <c r="N179" s="761">
        <f t="shared" si="345"/>
        <v>106005.26567735759</v>
      </c>
      <c r="O179" s="762">
        <f t="shared" si="346"/>
        <v>2332115.8449018667</v>
      </c>
      <c r="P179" s="762">
        <f t="shared" si="347"/>
        <v>22400</v>
      </c>
      <c r="Q179" s="762">
        <f t="shared" si="320"/>
        <v>50000</v>
      </c>
      <c r="R179" s="762"/>
      <c r="S179" s="762"/>
      <c r="T179" s="762">
        <f t="shared" si="443"/>
        <v>66000</v>
      </c>
      <c r="U179" s="762"/>
      <c r="V179" s="762"/>
      <c r="W179" s="762"/>
      <c r="X179" s="762"/>
      <c r="Y179" s="762">
        <f t="shared" si="446"/>
        <v>80000</v>
      </c>
      <c r="Z179" s="762">
        <f t="shared" si="321"/>
        <v>142461</v>
      </c>
      <c r="AA179" s="762"/>
      <c r="AB179" s="762"/>
      <c r="AC179" s="762"/>
      <c r="AD179" s="763">
        <f t="shared" si="348"/>
        <v>360861</v>
      </c>
      <c r="AE179" s="763">
        <f t="shared" si="322"/>
        <v>2692976.8449018667</v>
      </c>
      <c r="AF179" s="762">
        <f t="shared" si="323"/>
        <v>67324.421122546672</v>
      </c>
      <c r="AG179" s="762">
        <f t="shared" si="349"/>
        <v>2760301.2660244135</v>
      </c>
      <c r="AH179" s="762">
        <f t="shared" si="324"/>
        <v>69007.531650610341</v>
      </c>
      <c r="AI179" s="762">
        <f t="shared" si="350"/>
        <v>2829308.7976750238</v>
      </c>
      <c r="AJ179" s="762">
        <f t="shared" si="351"/>
        <v>141465.43988375118</v>
      </c>
      <c r="AK179" s="762">
        <f t="shared" si="352"/>
        <v>2970774.2375587751</v>
      </c>
      <c r="AL179" s="762">
        <f t="shared" si="353"/>
        <v>29707.742375587753</v>
      </c>
      <c r="AM179" s="762">
        <f t="shared" si="354"/>
        <v>27537.409960060559</v>
      </c>
      <c r="AN179" s="762"/>
      <c r="AO179" s="763">
        <f t="shared" si="355"/>
        <v>3028019.3898944231</v>
      </c>
      <c r="AP179" s="763">
        <f t="shared" si="356"/>
        <v>499623.19933257985</v>
      </c>
      <c r="AQ179" s="763">
        <f t="shared" si="357"/>
        <v>3527642.589227003</v>
      </c>
      <c r="AR179" s="1178">
        <f t="shared" si="325"/>
        <v>3000000</v>
      </c>
      <c r="AS179" s="1178">
        <f t="shared" si="358"/>
        <v>23983.754055772864</v>
      </c>
      <c r="AT179" s="1178">
        <f t="shared" si="359"/>
        <v>527642.58922700305</v>
      </c>
      <c r="AU179" s="1178">
        <f t="shared" si="326"/>
        <v>63317.110707240361</v>
      </c>
      <c r="AV179" s="1178">
        <f t="shared" si="360"/>
        <v>590959.69993424346</v>
      </c>
      <c r="AW179" s="1178">
        <f t="shared" si="361"/>
        <v>3590959.6999342432</v>
      </c>
      <c r="AX179" s="762">
        <f t="shared" si="362"/>
        <v>44886.996249178046</v>
      </c>
      <c r="AY179" s="717" t="s">
        <v>231</v>
      </c>
      <c r="AZ179" s="717">
        <f t="shared" si="363"/>
        <v>3635846.6961834212</v>
      </c>
      <c r="BA179" s="717">
        <f t="shared" si="364"/>
        <v>136344.25110687828</v>
      </c>
      <c r="BB179" s="717"/>
      <c r="BC179" s="717">
        <f t="shared" si="327"/>
        <v>33600</v>
      </c>
      <c r="BD179" s="717">
        <f t="shared" si="365"/>
        <v>3805790.9472902995</v>
      </c>
      <c r="BE179" s="717"/>
      <c r="BF179" s="717">
        <f t="shared" si="366"/>
        <v>3805790.9472902995</v>
      </c>
      <c r="BG179" s="1209"/>
      <c r="BH179" s="717">
        <f t="shared" si="367"/>
        <v>3805790.9472902995</v>
      </c>
      <c r="BI179" s="717"/>
      <c r="BJ179" s="717">
        <f t="shared" si="368"/>
        <v>3805790.9472902995</v>
      </c>
      <c r="BK179" s="717"/>
      <c r="BL179" s="717">
        <f t="shared" si="369"/>
        <v>3805790.9472902995</v>
      </c>
      <c r="BM179" s="717"/>
      <c r="BN179" s="717">
        <f t="shared" si="370"/>
        <v>3805790.9472902995</v>
      </c>
      <c r="BO179" s="717"/>
      <c r="BP179" s="717">
        <f t="shared" si="328"/>
        <v>3805790.9472902995</v>
      </c>
      <c r="BQ179" s="717"/>
      <c r="BR179" s="717">
        <f t="shared" si="433"/>
        <v>3805790.9472902995</v>
      </c>
      <c r="BS179" s="717"/>
      <c r="BT179" s="717">
        <f t="shared" si="371"/>
        <v>3805790.9472902995</v>
      </c>
      <c r="BU179" s="717"/>
      <c r="BV179" s="1235">
        <f t="shared" si="434"/>
        <v>51400</v>
      </c>
      <c r="BW179" s="717">
        <f t="shared" si="372"/>
        <v>3857190.9472902995</v>
      </c>
      <c r="BX179" s="717"/>
      <c r="BY179" s="717">
        <f t="shared" si="373"/>
        <v>3857190.9472902995</v>
      </c>
      <c r="BZ179" s="1194">
        <f t="shared" si="374"/>
        <v>3857190.9472902995</v>
      </c>
      <c r="CA179" s="1194">
        <f t="shared" si="375"/>
        <v>3043190.9472902995</v>
      </c>
      <c r="CB179" s="1194">
        <v>37000</v>
      </c>
      <c r="CC179" s="1194">
        <f t="shared" si="376"/>
        <v>814000</v>
      </c>
      <c r="CD179" s="1194">
        <f t="shared" si="377"/>
        <v>97680</v>
      </c>
      <c r="CE179" s="1194">
        <f t="shared" si="378"/>
        <v>911680</v>
      </c>
      <c r="CF179" s="1200">
        <f t="shared" si="379"/>
        <v>3954870.9472902995</v>
      </c>
      <c r="CG179" s="757">
        <f t="shared" si="380"/>
        <v>3954870.9472902995</v>
      </c>
      <c r="CH179" s="758">
        <f t="shared" si="381"/>
        <v>0</v>
      </c>
      <c r="CI179" s="757">
        <f t="shared" si="329"/>
        <v>405374.27209725569</v>
      </c>
      <c r="CJ179" s="757">
        <f t="shared" si="330"/>
        <v>98871.773682257495</v>
      </c>
      <c r="CK179" s="759">
        <f t="shared" si="444"/>
        <v>4459116.9930698127</v>
      </c>
      <c r="CL179" s="764">
        <f t="shared" si="382"/>
        <v>0.125</v>
      </c>
      <c r="CM179" s="757">
        <f t="shared" si="383"/>
        <v>557389.62413372658</v>
      </c>
      <c r="CN179" s="757">
        <f t="shared" si="425"/>
        <v>30000</v>
      </c>
      <c r="CO179" s="757">
        <f t="shared" si="384"/>
        <v>527389.62413372658</v>
      </c>
      <c r="CP179" s="755">
        <f t="shared" si="385"/>
        <v>29</v>
      </c>
      <c r="CQ179" s="757">
        <f t="shared" si="427"/>
        <v>18185.849108059538</v>
      </c>
      <c r="CR179" s="764">
        <f t="shared" si="386"/>
        <v>0.875</v>
      </c>
      <c r="CS179" s="757">
        <f t="shared" si="387"/>
        <v>3901727.3689360861</v>
      </c>
      <c r="CT179" s="1101">
        <f t="shared" si="388"/>
        <v>30250.050762111794</v>
      </c>
      <c r="CU179" s="1101">
        <f t="shared" si="389"/>
        <v>35069.828643584122</v>
      </c>
      <c r="CV179" s="1101">
        <f t="shared" si="390"/>
        <v>45302.363113285224</v>
      </c>
      <c r="CW179" s="1141">
        <f t="shared" si="331"/>
        <v>77258.878282619058</v>
      </c>
      <c r="CX179" s="1152">
        <f t="shared" si="391"/>
        <v>316949.71587485942</v>
      </c>
      <c r="CY179" s="1152">
        <f t="shared" si="392"/>
        <v>125415.45862097293</v>
      </c>
      <c r="CZ179" s="1152">
        <f t="shared" si="393"/>
        <v>90585.809478382245</v>
      </c>
      <c r="DA179" s="1152">
        <f t="shared" si="394"/>
        <v>68939.971368327359</v>
      </c>
      <c r="DB179" s="1143">
        <f t="shared" si="332"/>
        <v>0.17588086307566769</v>
      </c>
      <c r="DC179" s="1143">
        <f t="shared" si="395"/>
        <v>0.29958028128723663</v>
      </c>
      <c r="DD179" s="1098" t="s">
        <v>232</v>
      </c>
      <c r="DE179" s="1144"/>
      <c r="DF179" s="705"/>
      <c r="DG179" s="765">
        <f t="shared" si="426"/>
        <v>46082</v>
      </c>
      <c r="DH179" s="1116">
        <f t="shared" si="333"/>
        <v>28</v>
      </c>
      <c r="DI179" s="497"/>
      <c r="DJ179" s="1117">
        <f t="shared" si="396"/>
        <v>46147</v>
      </c>
      <c r="DK179" s="1116">
        <f t="shared" si="397"/>
        <v>30</v>
      </c>
      <c r="DL179" s="766" t="s">
        <v>233</v>
      </c>
      <c r="DM179" s="766" t="s">
        <v>234</v>
      </c>
      <c r="DN179" s="767">
        <f t="shared" si="334"/>
        <v>26861.804542465612</v>
      </c>
      <c r="DO179" s="767">
        <f t="shared" si="335"/>
        <v>590959.69993424346</v>
      </c>
      <c r="DP179" s="768">
        <f t="shared" si="336"/>
        <v>0.19698656664474781</v>
      </c>
      <c r="DR179" s="767">
        <f t="shared" si="337"/>
        <v>3954870.9472902995</v>
      </c>
      <c r="DS179" s="767">
        <f>SUM('[6]INTERNAL PRICELIST'!M179)</f>
        <v>2329361</v>
      </c>
      <c r="DT179" s="767">
        <f t="shared" si="398"/>
        <v>1625509.9472902995</v>
      </c>
      <c r="DV179" s="951">
        <f t="shared" si="338"/>
        <v>179766.86124046816</v>
      </c>
      <c r="DX179" s="772">
        <v>14</v>
      </c>
      <c r="DY179" s="773" t="s">
        <v>294</v>
      </c>
      <c r="DZ179" s="774">
        <v>22</v>
      </c>
      <c r="EA179" s="775">
        <f t="shared" si="454"/>
        <v>0</v>
      </c>
      <c r="ED179" s="755" t="s">
        <v>588</v>
      </c>
      <c r="EE179" s="777" t="b">
        <f t="shared" si="340"/>
        <v>1</v>
      </c>
      <c r="EF179" s="1123" t="s">
        <v>589</v>
      </c>
      <c r="EG179" s="1123" t="s">
        <v>567</v>
      </c>
      <c r="EH179" s="1203"/>
      <c r="EP179" s="1230" t="s">
        <v>236</v>
      </c>
      <c r="EQ179" s="1145" t="s">
        <v>236</v>
      </c>
      <c r="ER179" s="753" t="b">
        <f t="shared" si="399"/>
        <v>1</v>
      </c>
      <c r="EU179" s="770">
        <v>2459020</v>
      </c>
      <c r="EV179" s="771" t="s">
        <v>236</v>
      </c>
      <c r="FJ179" s="994">
        <v>0.15</v>
      </c>
      <c r="FK179" s="993">
        <v>13630.985074573726</v>
      </c>
      <c r="FL179" s="993">
        <v>13999.390076589232</v>
      </c>
      <c r="FM179" s="497"/>
      <c r="FN179" s="993">
        <f t="shared" si="341"/>
        <v>4459116.9930698127</v>
      </c>
      <c r="FO179" s="994">
        <f t="shared" si="400"/>
        <v>0.15</v>
      </c>
      <c r="FP179" s="775">
        <f t="shared" si="342"/>
        <v>668867.54896047188</v>
      </c>
      <c r="FQ179" s="993">
        <f t="shared" si="343"/>
        <v>30000</v>
      </c>
      <c r="FR179" s="775">
        <f t="shared" si="401"/>
        <v>638867.54896047188</v>
      </c>
      <c r="FS179" s="497">
        <f t="shared" si="402"/>
        <v>40</v>
      </c>
      <c r="FT179" s="775">
        <f t="shared" si="403"/>
        <v>15971.688724011798</v>
      </c>
      <c r="FU179" s="497"/>
      <c r="FV179" s="993">
        <f t="shared" si="404"/>
        <v>4459116.9930698127</v>
      </c>
      <c r="FW179" s="705">
        <f t="shared" si="405"/>
        <v>445911.69930698129</v>
      </c>
      <c r="FX179" s="705">
        <f t="shared" si="406"/>
        <v>111477.92482674532</v>
      </c>
      <c r="FY179" s="705">
        <v>15000</v>
      </c>
      <c r="FZ179" s="705">
        <f t="shared" si="407"/>
        <v>430911.69930698129</v>
      </c>
      <c r="GA179" s="497">
        <f t="shared" si="408"/>
        <v>46</v>
      </c>
      <c r="GB179" s="775">
        <f t="shared" si="409"/>
        <v>9367.6456371082895</v>
      </c>
      <c r="GC179" s="497"/>
      <c r="GD179" s="497"/>
      <c r="GH179" s="1095">
        <f t="shared" si="307"/>
        <v>4459116.9930698127</v>
      </c>
      <c r="GI179" s="1098">
        <f t="shared" si="308"/>
        <v>0.125</v>
      </c>
      <c r="GJ179" s="1095">
        <f t="shared" si="309"/>
        <v>557389.62413372658</v>
      </c>
      <c r="GK179" s="1095">
        <f t="shared" si="310"/>
        <v>30000</v>
      </c>
      <c r="GL179" s="1095">
        <f t="shared" si="311"/>
        <v>527389.62413372658</v>
      </c>
      <c r="GM179" s="1095">
        <f t="shared" si="312"/>
        <v>29</v>
      </c>
      <c r="GN179" s="1095">
        <f t="shared" si="313"/>
        <v>18185.849108059538</v>
      </c>
      <c r="GO179" s="1098">
        <f t="shared" si="314"/>
        <v>0.875</v>
      </c>
      <c r="GP179" s="1095">
        <f t="shared" si="315"/>
        <v>3901727.3689360861</v>
      </c>
      <c r="GQ179" s="1095">
        <f t="shared" si="316"/>
        <v>30250.050762111794</v>
      </c>
      <c r="GR179" s="1095">
        <f t="shared" si="317"/>
        <v>35069.828643584122</v>
      </c>
      <c r="GS179" s="1095">
        <f t="shared" si="318"/>
        <v>45302.363113285224</v>
      </c>
      <c r="GT179" s="1095">
        <f t="shared" si="319"/>
        <v>77258.878282619058</v>
      </c>
      <c r="GU179" s="497"/>
      <c r="GV179" s="1095">
        <f t="shared" si="410"/>
        <v>4459116.9930698127</v>
      </c>
      <c r="GW179" s="1098">
        <f t="shared" si="411"/>
        <v>0.125</v>
      </c>
      <c r="GX179" s="1095">
        <f t="shared" si="412"/>
        <v>557389.62413372658</v>
      </c>
      <c r="GY179" s="1095">
        <f t="shared" si="413"/>
        <v>30000</v>
      </c>
      <c r="GZ179" s="1095">
        <f t="shared" si="414"/>
        <v>527389.62413372658</v>
      </c>
      <c r="HA179" s="1106">
        <f t="shared" si="415"/>
        <v>48</v>
      </c>
      <c r="HB179" s="770">
        <f t="shared" si="416"/>
        <v>10987.283836119304</v>
      </c>
      <c r="HC179" s="1098">
        <f t="shared" si="417"/>
        <v>0.875</v>
      </c>
      <c r="HD179" s="1102">
        <f t="shared" si="418"/>
        <v>3901727.3689360861</v>
      </c>
      <c r="HE179" s="1101">
        <f t="shared" si="419"/>
        <v>30250.050762111794</v>
      </c>
      <c r="HF179" s="1101">
        <f t="shared" si="420"/>
        <v>35069.828643584122</v>
      </c>
      <c r="HG179" s="1101">
        <f t="shared" si="421"/>
        <v>45302.363113285224</v>
      </c>
      <c r="HH179" s="1101">
        <f t="shared" si="422"/>
        <v>77258.878282619058</v>
      </c>
      <c r="HI179" s="497"/>
      <c r="HJ179" s="1102">
        <f t="shared" si="423"/>
        <v>-7198.5652719402333</v>
      </c>
      <c r="HL179" s="775"/>
      <c r="HN179" s="775"/>
      <c r="HO179" s="775"/>
      <c r="HQ179" s="702"/>
      <c r="HR179" s="1171"/>
      <c r="HS179" s="702"/>
      <c r="HT179" s="1171"/>
    </row>
    <row r="180" spans="1:228" ht="14.25" hidden="1" customHeight="1">
      <c r="A180" s="753">
        <f t="shared" si="424"/>
        <v>174</v>
      </c>
      <c r="B180" s="753" t="s">
        <v>236</v>
      </c>
      <c r="C180" s="753">
        <f t="shared" si="445"/>
        <v>19</v>
      </c>
      <c r="D180" s="753" t="s">
        <v>272</v>
      </c>
      <c r="E180" s="717" t="str">
        <f t="shared" si="344"/>
        <v>8th Floor</v>
      </c>
      <c r="F180" s="754"/>
      <c r="G180" s="756" t="s">
        <v>590</v>
      </c>
      <c r="H180" s="756"/>
      <c r="I180" s="755" t="s">
        <v>229</v>
      </c>
      <c r="J180" s="757">
        <v>22</v>
      </c>
      <c r="K180" s="758"/>
      <c r="L180" s="759" t="s">
        <v>69</v>
      </c>
      <c r="M180" s="760" t="s">
        <v>68</v>
      </c>
      <c r="N180" s="761">
        <f t="shared" si="345"/>
        <v>106005.26567735759</v>
      </c>
      <c r="O180" s="762">
        <f t="shared" si="346"/>
        <v>2332115.8449018667</v>
      </c>
      <c r="P180" s="762">
        <f t="shared" si="347"/>
        <v>22400</v>
      </c>
      <c r="Q180" s="762">
        <f t="shared" si="320"/>
        <v>50000</v>
      </c>
      <c r="R180" s="762"/>
      <c r="S180" s="762"/>
      <c r="T180" s="762">
        <f t="shared" si="443"/>
        <v>66000</v>
      </c>
      <c r="U180" s="762"/>
      <c r="V180" s="762"/>
      <c r="W180" s="762"/>
      <c r="X180" s="762"/>
      <c r="Y180" s="762">
        <f t="shared" si="446"/>
        <v>80000</v>
      </c>
      <c r="Z180" s="762">
        <f t="shared" si="321"/>
        <v>142461</v>
      </c>
      <c r="AA180" s="762"/>
      <c r="AB180" s="762"/>
      <c r="AC180" s="762"/>
      <c r="AD180" s="763">
        <f t="shared" si="348"/>
        <v>360861</v>
      </c>
      <c r="AE180" s="763">
        <f t="shared" si="322"/>
        <v>2692976.8449018667</v>
      </c>
      <c r="AF180" s="762">
        <f t="shared" si="323"/>
        <v>67324.421122546672</v>
      </c>
      <c r="AG180" s="762">
        <f t="shared" si="349"/>
        <v>2760301.2660244135</v>
      </c>
      <c r="AH180" s="762">
        <f t="shared" si="324"/>
        <v>69007.531650610341</v>
      </c>
      <c r="AI180" s="762">
        <f t="shared" si="350"/>
        <v>2829308.7976750238</v>
      </c>
      <c r="AJ180" s="762">
        <f t="shared" si="351"/>
        <v>141465.43988375118</v>
      </c>
      <c r="AK180" s="762">
        <f t="shared" si="352"/>
        <v>2970774.2375587751</v>
      </c>
      <c r="AL180" s="762">
        <f t="shared" si="353"/>
        <v>29707.742375587753</v>
      </c>
      <c r="AM180" s="762">
        <f t="shared" si="354"/>
        <v>27537.409960060559</v>
      </c>
      <c r="AN180" s="762"/>
      <c r="AO180" s="763">
        <f t="shared" si="355"/>
        <v>3028019.3898944231</v>
      </c>
      <c r="AP180" s="763">
        <f t="shared" si="356"/>
        <v>499623.19933257985</v>
      </c>
      <c r="AQ180" s="763">
        <f t="shared" si="357"/>
        <v>3527642.589227003</v>
      </c>
      <c r="AR180" s="1178">
        <f t="shared" si="325"/>
        <v>3000000</v>
      </c>
      <c r="AS180" s="1178">
        <f t="shared" si="358"/>
        <v>23983.754055772864</v>
      </c>
      <c r="AT180" s="1178">
        <f t="shared" si="359"/>
        <v>527642.58922700305</v>
      </c>
      <c r="AU180" s="1178">
        <f t="shared" si="326"/>
        <v>63317.110707240361</v>
      </c>
      <c r="AV180" s="1178">
        <f t="shared" si="360"/>
        <v>590959.69993424346</v>
      </c>
      <c r="AW180" s="1178">
        <f t="shared" si="361"/>
        <v>3590959.6999342432</v>
      </c>
      <c r="AX180" s="762">
        <f t="shared" si="362"/>
        <v>44886.996249178046</v>
      </c>
      <c r="AY180" s="717" t="s">
        <v>231</v>
      </c>
      <c r="AZ180" s="717">
        <f t="shared" si="363"/>
        <v>3635846.6961834212</v>
      </c>
      <c r="BA180" s="717">
        <f t="shared" si="364"/>
        <v>136344.25110687828</v>
      </c>
      <c r="BB180" s="717"/>
      <c r="BC180" s="717">
        <f t="shared" si="327"/>
        <v>33600</v>
      </c>
      <c r="BD180" s="717">
        <f t="shared" si="365"/>
        <v>3805790.9472902995</v>
      </c>
      <c r="BE180" s="717"/>
      <c r="BF180" s="717">
        <f t="shared" si="366"/>
        <v>3805790.9472902995</v>
      </c>
      <c r="BG180" s="1209"/>
      <c r="BH180" s="717">
        <f t="shared" si="367"/>
        <v>3805790.9472902995</v>
      </c>
      <c r="BI180" s="717"/>
      <c r="BJ180" s="717">
        <f t="shared" si="368"/>
        <v>3805790.9472902995</v>
      </c>
      <c r="BK180" s="717"/>
      <c r="BL180" s="717">
        <f t="shared" si="369"/>
        <v>3805790.9472902995</v>
      </c>
      <c r="BM180" s="717"/>
      <c r="BN180" s="717">
        <f t="shared" si="370"/>
        <v>3805790.9472902995</v>
      </c>
      <c r="BO180" s="717"/>
      <c r="BP180" s="717">
        <f t="shared" si="328"/>
        <v>3805790.9472902995</v>
      </c>
      <c r="BQ180" s="717"/>
      <c r="BR180" s="717">
        <f t="shared" si="433"/>
        <v>3805790.9472902995</v>
      </c>
      <c r="BS180" s="717"/>
      <c r="BT180" s="717">
        <f t="shared" si="371"/>
        <v>3805790.9472902995</v>
      </c>
      <c r="BU180" s="717"/>
      <c r="BV180" s="1235">
        <f t="shared" si="434"/>
        <v>51400</v>
      </c>
      <c r="BW180" s="717">
        <f t="shared" si="372"/>
        <v>3857190.9472902995</v>
      </c>
      <c r="BX180" s="717"/>
      <c r="BY180" s="717">
        <f t="shared" si="373"/>
        <v>3857190.9472902995</v>
      </c>
      <c r="BZ180" s="1194">
        <f t="shared" si="374"/>
        <v>3857190.9472902995</v>
      </c>
      <c r="CA180" s="1194">
        <f t="shared" si="375"/>
        <v>3043190.9472902995</v>
      </c>
      <c r="CB180" s="1194">
        <v>37000</v>
      </c>
      <c r="CC180" s="1194">
        <f t="shared" si="376"/>
        <v>814000</v>
      </c>
      <c r="CD180" s="1194">
        <f t="shared" si="377"/>
        <v>97680</v>
      </c>
      <c r="CE180" s="1194">
        <f t="shared" si="378"/>
        <v>911680</v>
      </c>
      <c r="CF180" s="1200">
        <f t="shared" si="379"/>
        <v>3954870.9472902995</v>
      </c>
      <c r="CG180" s="757">
        <f t="shared" si="380"/>
        <v>3954870.9472902995</v>
      </c>
      <c r="CH180" s="758">
        <f t="shared" si="381"/>
        <v>0</v>
      </c>
      <c r="CI180" s="757">
        <f t="shared" si="329"/>
        <v>405374.27209725569</v>
      </c>
      <c r="CJ180" s="757">
        <f t="shared" si="330"/>
        <v>98871.773682257495</v>
      </c>
      <c r="CK180" s="759">
        <f t="shared" si="444"/>
        <v>4459116.9930698127</v>
      </c>
      <c r="CL180" s="764">
        <f t="shared" si="382"/>
        <v>0.125</v>
      </c>
      <c r="CM180" s="757">
        <f t="shared" si="383"/>
        <v>557389.62413372658</v>
      </c>
      <c r="CN180" s="757">
        <f t="shared" si="425"/>
        <v>30000</v>
      </c>
      <c r="CO180" s="757">
        <f t="shared" si="384"/>
        <v>527389.62413372658</v>
      </c>
      <c r="CP180" s="755">
        <f t="shared" si="385"/>
        <v>29</v>
      </c>
      <c r="CQ180" s="757">
        <f t="shared" si="427"/>
        <v>18185.849108059538</v>
      </c>
      <c r="CR180" s="764">
        <f t="shared" si="386"/>
        <v>0.875</v>
      </c>
      <c r="CS180" s="757">
        <f t="shared" si="387"/>
        <v>3901727.3689360861</v>
      </c>
      <c r="CT180" s="1101">
        <f t="shared" si="388"/>
        <v>30250.050762111794</v>
      </c>
      <c r="CU180" s="1101">
        <f t="shared" si="389"/>
        <v>35069.828643584122</v>
      </c>
      <c r="CV180" s="1101">
        <f t="shared" si="390"/>
        <v>45302.363113285224</v>
      </c>
      <c r="CW180" s="1141">
        <f t="shared" si="331"/>
        <v>77258.878282619058</v>
      </c>
      <c r="CX180" s="1152">
        <f t="shared" si="391"/>
        <v>316949.71587485942</v>
      </c>
      <c r="CY180" s="1152">
        <f t="shared" si="392"/>
        <v>125415.45862097293</v>
      </c>
      <c r="CZ180" s="1152">
        <f t="shared" si="393"/>
        <v>90585.809478382245</v>
      </c>
      <c r="DA180" s="1152">
        <f t="shared" si="394"/>
        <v>68939.971368327359</v>
      </c>
      <c r="DB180" s="1143">
        <f t="shared" si="332"/>
        <v>0.17588086307566769</v>
      </c>
      <c r="DC180" s="1143">
        <f t="shared" si="395"/>
        <v>0.29958028128723663</v>
      </c>
      <c r="DD180" s="1098" t="s">
        <v>232</v>
      </c>
      <c r="DE180" s="1144"/>
      <c r="DF180" s="705"/>
      <c r="DG180" s="765">
        <f t="shared" si="426"/>
        <v>46082</v>
      </c>
      <c r="DH180" s="1116">
        <f t="shared" si="333"/>
        <v>28</v>
      </c>
      <c r="DI180" s="497"/>
      <c r="DJ180" s="1117">
        <f t="shared" si="396"/>
        <v>46147</v>
      </c>
      <c r="DK180" s="1116">
        <f t="shared" si="397"/>
        <v>30</v>
      </c>
      <c r="DL180" s="766" t="s">
        <v>233</v>
      </c>
      <c r="DM180" s="766" t="s">
        <v>234</v>
      </c>
      <c r="DN180" s="767">
        <f t="shared" si="334"/>
        <v>26861.804542465612</v>
      </c>
      <c r="DO180" s="767">
        <f t="shared" si="335"/>
        <v>590959.69993424346</v>
      </c>
      <c r="DP180" s="768">
        <f t="shared" si="336"/>
        <v>0.19698656664474781</v>
      </c>
      <c r="DR180" s="767">
        <f t="shared" si="337"/>
        <v>3954870.9472902995</v>
      </c>
      <c r="DS180" s="767">
        <f>SUM('[6]INTERNAL PRICELIST'!M180)</f>
        <v>2329361</v>
      </c>
      <c r="DT180" s="767">
        <f t="shared" si="398"/>
        <v>1625509.9472902995</v>
      </c>
      <c r="DV180" s="951">
        <f t="shared" si="338"/>
        <v>179766.86124046816</v>
      </c>
      <c r="DX180" s="772">
        <v>15</v>
      </c>
      <c r="DY180" s="773" t="s">
        <v>299</v>
      </c>
      <c r="DZ180" s="774">
        <v>22</v>
      </c>
      <c r="EA180" s="775">
        <f t="shared" si="454"/>
        <v>0</v>
      </c>
      <c r="ED180" s="755" t="s">
        <v>590</v>
      </c>
      <c r="EE180" s="777" t="b">
        <f t="shared" si="340"/>
        <v>1</v>
      </c>
      <c r="EF180" s="1123" t="s">
        <v>591</v>
      </c>
      <c r="EG180" s="1123" t="s">
        <v>567</v>
      </c>
      <c r="EH180" s="1203"/>
      <c r="EP180" s="1230" t="s">
        <v>236</v>
      </c>
      <c r="EQ180" s="1145" t="s">
        <v>236</v>
      </c>
      <c r="ER180" s="753" t="b">
        <f t="shared" si="399"/>
        <v>1</v>
      </c>
      <c r="EU180" s="770">
        <v>2369600</v>
      </c>
      <c r="EV180" s="771" t="s">
        <v>236</v>
      </c>
      <c r="FJ180" s="994">
        <v>0.15</v>
      </c>
      <c r="FK180" s="993">
        <v>13630.985074573726</v>
      </c>
      <c r="FL180" s="993">
        <v>13999.390076589232</v>
      </c>
      <c r="FM180" s="497"/>
      <c r="FN180" s="993">
        <f t="shared" si="341"/>
        <v>4459116.9930698127</v>
      </c>
      <c r="FO180" s="994">
        <f t="shared" si="400"/>
        <v>0.15</v>
      </c>
      <c r="FP180" s="775">
        <f t="shared" si="342"/>
        <v>668867.54896047188</v>
      </c>
      <c r="FQ180" s="993">
        <f t="shared" si="343"/>
        <v>30000</v>
      </c>
      <c r="FR180" s="775">
        <f t="shared" si="401"/>
        <v>638867.54896047188</v>
      </c>
      <c r="FS180" s="497">
        <f t="shared" si="402"/>
        <v>40</v>
      </c>
      <c r="FT180" s="775">
        <f t="shared" si="403"/>
        <v>15971.688724011798</v>
      </c>
      <c r="FU180" s="497"/>
      <c r="FV180" s="993">
        <f t="shared" si="404"/>
        <v>4459116.9930698127</v>
      </c>
      <c r="FW180" s="705">
        <f t="shared" si="405"/>
        <v>445911.69930698129</v>
      </c>
      <c r="FX180" s="705">
        <f t="shared" si="406"/>
        <v>111477.92482674532</v>
      </c>
      <c r="FY180" s="705">
        <v>15000</v>
      </c>
      <c r="FZ180" s="705">
        <f t="shared" si="407"/>
        <v>430911.69930698129</v>
      </c>
      <c r="GA180" s="497">
        <f t="shared" si="408"/>
        <v>46</v>
      </c>
      <c r="GB180" s="775">
        <f t="shared" si="409"/>
        <v>9367.6456371082895</v>
      </c>
      <c r="GC180" s="497"/>
      <c r="GD180" s="497"/>
      <c r="GH180" s="1095">
        <f t="shared" si="307"/>
        <v>4459116.9930698127</v>
      </c>
      <c r="GI180" s="1098">
        <f t="shared" si="308"/>
        <v>0.125</v>
      </c>
      <c r="GJ180" s="1095">
        <f t="shared" si="309"/>
        <v>557389.62413372658</v>
      </c>
      <c r="GK180" s="1095">
        <f t="shared" si="310"/>
        <v>30000</v>
      </c>
      <c r="GL180" s="1095">
        <f t="shared" si="311"/>
        <v>527389.62413372658</v>
      </c>
      <c r="GM180" s="1095">
        <f t="shared" si="312"/>
        <v>29</v>
      </c>
      <c r="GN180" s="1095">
        <f t="shared" si="313"/>
        <v>18185.849108059538</v>
      </c>
      <c r="GO180" s="1098">
        <f t="shared" si="314"/>
        <v>0.875</v>
      </c>
      <c r="GP180" s="1095">
        <f t="shared" si="315"/>
        <v>3901727.3689360861</v>
      </c>
      <c r="GQ180" s="1095">
        <f t="shared" si="316"/>
        <v>30250.050762111794</v>
      </c>
      <c r="GR180" s="1095">
        <f t="shared" si="317"/>
        <v>35069.828643584122</v>
      </c>
      <c r="GS180" s="1095">
        <f t="shared" si="318"/>
        <v>45302.363113285224</v>
      </c>
      <c r="GT180" s="1095">
        <f t="shared" si="319"/>
        <v>77258.878282619058</v>
      </c>
      <c r="GU180" s="497"/>
      <c r="GV180" s="1095">
        <f t="shared" si="410"/>
        <v>4459116.9930698127</v>
      </c>
      <c r="GW180" s="1098">
        <f t="shared" si="411"/>
        <v>0.125</v>
      </c>
      <c r="GX180" s="1095">
        <f t="shared" si="412"/>
        <v>557389.62413372658</v>
      </c>
      <c r="GY180" s="1095">
        <f t="shared" si="413"/>
        <v>30000</v>
      </c>
      <c r="GZ180" s="1095">
        <f t="shared" si="414"/>
        <v>527389.62413372658</v>
      </c>
      <c r="HA180" s="1106">
        <f t="shared" si="415"/>
        <v>48</v>
      </c>
      <c r="HB180" s="770">
        <f t="shared" si="416"/>
        <v>10987.283836119304</v>
      </c>
      <c r="HC180" s="1098">
        <f t="shared" si="417"/>
        <v>0.875</v>
      </c>
      <c r="HD180" s="1102">
        <f t="shared" si="418"/>
        <v>3901727.3689360861</v>
      </c>
      <c r="HE180" s="1101">
        <f t="shared" si="419"/>
        <v>30250.050762111794</v>
      </c>
      <c r="HF180" s="1101">
        <f t="shared" si="420"/>
        <v>35069.828643584122</v>
      </c>
      <c r="HG180" s="1101">
        <f t="shared" si="421"/>
        <v>45302.363113285224</v>
      </c>
      <c r="HH180" s="1101">
        <f t="shared" si="422"/>
        <v>77258.878282619058</v>
      </c>
      <c r="HI180" s="497"/>
      <c r="HJ180" s="1102">
        <f t="shared" si="423"/>
        <v>-7198.5652719402333</v>
      </c>
      <c r="HL180" s="775"/>
      <c r="HN180" s="775"/>
      <c r="HO180" s="775"/>
      <c r="HQ180" s="702"/>
      <c r="HR180" s="1171"/>
      <c r="HS180" s="702"/>
      <c r="HT180" s="1171"/>
    </row>
    <row r="181" spans="1:228" ht="14.25" hidden="1" customHeight="1">
      <c r="A181" s="753">
        <f t="shared" si="424"/>
        <v>175</v>
      </c>
      <c r="B181" s="753" t="s">
        <v>236</v>
      </c>
      <c r="C181" s="753">
        <f t="shared" si="445"/>
        <v>20</v>
      </c>
      <c r="D181" s="753" t="s">
        <v>272</v>
      </c>
      <c r="E181" s="717" t="str">
        <f t="shared" si="344"/>
        <v>8th Floor</v>
      </c>
      <c r="F181" s="754"/>
      <c r="G181" s="756" t="s">
        <v>592</v>
      </c>
      <c r="H181" s="756"/>
      <c r="I181" s="755" t="s">
        <v>229</v>
      </c>
      <c r="J181" s="757">
        <v>22</v>
      </c>
      <c r="K181" s="758"/>
      <c r="L181" s="759" t="s">
        <v>69</v>
      </c>
      <c r="M181" s="760" t="s">
        <v>68</v>
      </c>
      <c r="N181" s="761">
        <f t="shared" si="345"/>
        <v>106005.26567735759</v>
      </c>
      <c r="O181" s="762">
        <f t="shared" si="346"/>
        <v>2332115.8449018667</v>
      </c>
      <c r="P181" s="762">
        <f t="shared" si="347"/>
        <v>22400</v>
      </c>
      <c r="Q181" s="762">
        <f t="shared" si="320"/>
        <v>50000</v>
      </c>
      <c r="R181" s="762"/>
      <c r="S181" s="762"/>
      <c r="T181" s="762">
        <f t="shared" si="443"/>
        <v>66000</v>
      </c>
      <c r="U181" s="762"/>
      <c r="V181" s="762"/>
      <c r="W181" s="762"/>
      <c r="X181" s="762"/>
      <c r="Y181" s="762">
        <f t="shared" si="446"/>
        <v>80000</v>
      </c>
      <c r="Z181" s="762">
        <f t="shared" si="321"/>
        <v>142461</v>
      </c>
      <c r="AA181" s="762"/>
      <c r="AB181" s="762"/>
      <c r="AC181" s="762"/>
      <c r="AD181" s="763">
        <f t="shared" si="348"/>
        <v>360861</v>
      </c>
      <c r="AE181" s="763">
        <f t="shared" si="322"/>
        <v>2692976.8449018667</v>
      </c>
      <c r="AF181" s="762">
        <f t="shared" si="323"/>
        <v>67324.421122546672</v>
      </c>
      <c r="AG181" s="762">
        <f t="shared" si="349"/>
        <v>2760301.2660244135</v>
      </c>
      <c r="AH181" s="762">
        <f t="shared" si="324"/>
        <v>69007.531650610341</v>
      </c>
      <c r="AI181" s="762">
        <f t="shared" si="350"/>
        <v>2829308.7976750238</v>
      </c>
      <c r="AJ181" s="762">
        <f t="shared" si="351"/>
        <v>141465.43988375118</v>
      </c>
      <c r="AK181" s="762">
        <f t="shared" si="352"/>
        <v>2970774.2375587751</v>
      </c>
      <c r="AL181" s="762">
        <f t="shared" si="353"/>
        <v>29707.742375587753</v>
      </c>
      <c r="AM181" s="762">
        <f t="shared" si="354"/>
        <v>27537.409960060559</v>
      </c>
      <c r="AN181" s="762"/>
      <c r="AO181" s="763">
        <f t="shared" si="355"/>
        <v>3028019.3898944231</v>
      </c>
      <c r="AP181" s="763">
        <f t="shared" si="356"/>
        <v>499623.19933257985</v>
      </c>
      <c r="AQ181" s="763">
        <f t="shared" si="357"/>
        <v>3527642.589227003</v>
      </c>
      <c r="AR181" s="1178">
        <f t="shared" si="325"/>
        <v>3000000</v>
      </c>
      <c r="AS181" s="1178">
        <f t="shared" si="358"/>
        <v>23983.754055772864</v>
      </c>
      <c r="AT181" s="1178">
        <f t="shared" si="359"/>
        <v>527642.58922700305</v>
      </c>
      <c r="AU181" s="1178">
        <f t="shared" si="326"/>
        <v>63317.110707240361</v>
      </c>
      <c r="AV181" s="1178">
        <f t="shared" si="360"/>
        <v>590959.69993424346</v>
      </c>
      <c r="AW181" s="1178">
        <f t="shared" si="361"/>
        <v>3590959.6999342432</v>
      </c>
      <c r="AX181" s="762">
        <f t="shared" si="362"/>
        <v>44886.996249178046</v>
      </c>
      <c r="AY181" s="717" t="s">
        <v>231</v>
      </c>
      <c r="AZ181" s="717">
        <f t="shared" si="363"/>
        <v>3635846.6961834212</v>
      </c>
      <c r="BA181" s="717">
        <f t="shared" si="364"/>
        <v>136344.25110687828</v>
      </c>
      <c r="BB181" s="717"/>
      <c r="BC181" s="717">
        <f t="shared" si="327"/>
        <v>33600</v>
      </c>
      <c r="BD181" s="717">
        <f t="shared" si="365"/>
        <v>3805790.9472902995</v>
      </c>
      <c r="BE181" s="717"/>
      <c r="BF181" s="717">
        <f t="shared" si="366"/>
        <v>3805790.9472902995</v>
      </c>
      <c r="BG181" s="1209"/>
      <c r="BH181" s="717">
        <f t="shared" si="367"/>
        <v>3805790.9472902995</v>
      </c>
      <c r="BI181" s="717">
        <v>718.43902439024396</v>
      </c>
      <c r="BJ181" s="717">
        <f t="shared" si="368"/>
        <v>3806509.3863146896</v>
      </c>
      <c r="BK181" s="717"/>
      <c r="BL181" s="717">
        <f t="shared" si="369"/>
        <v>3806509.3863146896</v>
      </c>
      <c r="BM181" s="717"/>
      <c r="BN181" s="717">
        <f t="shared" si="370"/>
        <v>3806509.3863146896</v>
      </c>
      <c r="BO181" s="717"/>
      <c r="BP181" s="717">
        <f t="shared" si="328"/>
        <v>3806509.3863146896</v>
      </c>
      <c r="BQ181" s="717"/>
      <c r="BR181" s="717">
        <f t="shared" si="433"/>
        <v>3806509.3863146896</v>
      </c>
      <c r="BS181" s="717"/>
      <c r="BT181" s="717">
        <f t="shared" si="371"/>
        <v>3806509.3863146896</v>
      </c>
      <c r="BU181" s="717"/>
      <c r="BV181" s="1235">
        <f t="shared" si="434"/>
        <v>51400</v>
      </c>
      <c r="BW181" s="717">
        <f t="shared" si="372"/>
        <v>3857909.3863146896</v>
      </c>
      <c r="BX181" s="717"/>
      <c r="BY181" s="717">
        <f t="shared" si="373"/>
        <v>3857909.3863146896</v>
      </c>
      <c r="BZ181" s="1194">
        <f t="shared" si="374"/>
        <v>3857909.3863146896</v>
      </c>
      <c r="CA181" s="1194">
        <f t="shared" si="375"/>
        <v>3043909.3863146896</v>
      </c>
      <c r="CB181" s="1194">
        <v>37000</v>
      </c>
      <c r="CC181" s="1194">
        <f t="shared" si="376"/>
        <v>814000</v>
      </c>
      <c r="CD181" s="1194">
        <f t="shared" si="377"/>
        <v>97680</v>
      </c>
      <c r="CE181" s="1194">
        <f t="shared" si="378"/>
        <v>911680</v>
      </c>
      <c r="CF181" s="1200">
        <f t="shared" si="379"/>
        <v>3955589.3863146896</v>
      </c>
      <c r="CG181" s="757">
        <f t="shared" si="380"/>
        <v>3955589.3863146896</v>
      </c>
      <c r="CH181" s="758">
        <f t="shared" si="381"/>
        <v>0</v>
      </c>
      <c r="CI181" s="757">
        <f t="shared" si="329"/>
        <v>405447.91209725564</v>
      </c>
      <c r="CJ181" s="757">
        <f t="shared" si="330"/>
        <v>98889.734657867244</v>
      </c>
      <c r="CK181" s="759">
        <f t="shared" si="444"/>
        <v>4459927.0330698118</v>
      </c>
      <c r="CL181" s="764">
        <f t="shared" si="382"/>
        <v>0.125</v>
      </c>
      <c r="CM181" s="757">
        <f t="shared" si="383"/>
        <v>557490.87913372647</v>
      </c>
      <c r="CN181" s="757">
        <f t="shared" si="425"/>
        <v>30000</v>
      </c>
      <c r="CO181" s="757">
        <f t="shared" si="384"/>
        <v>527490.87913372647</v>
      </c>
      <c r="CP181" s="755">
        <f t="shared" si="385"/>
        <v>29</v>
      </c>
      <c r="CQ181" s="757">
        <f t="shared" si="427"/>
        <v>18189.340659783673</v>
      </c>
      <c r="CR181" s="764">
        <f t="shared" si="386"/>
        <v>0.875</v>
      </c>
      <c r="CS181" s="757">
        <f t="shared" si="387"/>
        <v>3902436.1539360853</v>
      </c>
      <c r="CT181" s="1101">
        <f t="shared" si="388"/>
        <v>30255.545964672616</v>
      </c>
      <c r="CU181" s="1101">
        <f t="shared" si="389"/>
        <v>35076.199403543673</v>
      </c>
      <c r="CV181" s="1101">
        <f t="shared" si="390"/>
        <v>45310.592708129516</v>
      </c>
      <c r="CW181" s="1141">
        <f t="shared" si="331"/>
        <v>77272.913075126475</v>
      </c>
      <c r="CX181" s="1152">
        <f t="shared" si="391"/>
        <v>317007.29273329256</v>
      </c>
      <c r="CY181" s="1152">
        <f t="shared" si="392"/>
        <v>125438.24150338197</v>
      </c>
      <c r="CZ181" s="1152">
        <f t="shared" si="393"/>
        <v>90602.265231667887</v>
      </c>
      <c r="DA181" s="1152">
        <f t="shared" si="394"/>
        <v>68952.494954161491</v>
      </c>
      <c r="DB181" s="1143">
        <f t="shared" si="332"/>
        <v>0.17588086307566769</v>
      </c>
      <c r="DC181" s="1143">
        <f t="shared" si="395"/>
        <v>0.29950957282068957</v>
      </c>
      <c r="DD181" s="1098" t="s">
        <v>232</v>
      </c>
      <c r="DE181" s="1144"/>
      <c r="DF181" s="705"/>
      <c r="DG181" s="765">
        <f t="shared" si="426"/>
        <v>46082</v>
      </c>
      <c r="DH181" s="1116">
        <f t="shared" si="333"/>
        <v>28</v>
      </c>
      <c r="DI181" s="497"/>
      <c r="DJ181" s="1117">
        <f t="shared" si="396"/>
        <v>46147</v>
      </c>
      <c r="DK181" s="1116">
        <f t="shared" si="397"/>
        <v>30</v>
      </c>
      <c r="DL181" s="766" t="s">
        <v>233</v>
      </c>
      <c r="DM181" s="766" t="s">
        <v>234</v>
      </c>
      <c r="DN181" s="767">
        <f t="shared" si="334"/>
        <v>26861.804542465612</v>
      </c>
      <c r="DO181" s="767">
        <f t="shared" si="335"/>
        <v>590959.69993424346</v>
      </c>
      <c r="DP181" s="768">
        <f t="shared" si="336"/>
        <v>0.19698656664474781</v>
      </c>
      <c r="DR181" s="767">
        <f t="shared" si="337"/>
        <v>3955589.3863146896</v>
      </c>
      <c r="DS181" s="767">
        <f>SUM('[6]INTERNAL PRICELIST'!M181)</f>
        <v>2329361</v>
      </c>
      <c r="DT181" s="767">
        <f t="shared" si="398"/>
        <v>1626228.3863146896</v>
      </c>
      <c r="DV181" s="951">
        <f t="shared" si="338"/>
        <v>179799.51755975862</v>
      </c>
      <c r="DX181" s="772">
        <v>16</v>
      </c>
      <c r="DY181" s="773" t="s">
        <v>303</v>
      </c>
      <c r="DZ181" s="774">
        <v>22</v>
      </c>
      <c r="EA181" s="775">
        <f t="shared" si="454"/>
        <v>0</v>
      </c>
      <c r="ED181" s="755" t="s">
        <v>592</v>
      </c>
      <c r="EE181" s="777" t="b">
        <f t="shared" si="340"/>
        <v>1</v>
      </c>
      <c r="EF181" s="1123" t="s">
        <v>593</v>
      </c>
      <c r="EG181" s="1123" t="s">
        <v>567</v>
      </c>
      <c r="EH181" s="1203"/>
      <c r="EP181" s="1230" t="s">
        <v>236</v>
      </c>
      <c r="EQ181" s="1145" t="s">
        <v>236</v>
      </c>
      <c r="ER181" s="753" t="b">
        <f t="shared" si="399"/>
        <v>1</v>
      </c>
      <c r="EU181" s="770">
        <v>2369600</v>
      </c>
      <c r="EV181" s="771" t="s">
        <v>236</v>
      </c>
      <c r="FJ181" s="994">
        <v>0.15</v>
      </c>
      <c r="FK181" s="993">
        <v>13630.985074573726</v>
      </c>
      <c r="FL181" s="993">
        <v>13999.390076589232</v>
      </c>
      <c r="FM181" s="497"/>
      <c r="FN181" s="993">
        <f t="shared" si="341"/>
        <v>4459927.0330698118</v>
      </c>
      <c r="FO181" s="994">
        <f t="shared" si="400"/>
        <v>0.15</v>
      </c>
      <c r="FP181" s="775">
        <f t="shared" si="342"/>
        <v>668989.05496047169</v>
      </c>
      <c r="FQ181" s="993">
        <f t="shared" si="343"/>
        <v>30000</v>
      </c>
      <c r="FR181" s="775">
        <f t="shared" si="401"/>
        <v>638989.05496047169</v>
      </c>
      <c r="FS181" s="497">
        <f t="shared" si="402"/>
        <v>40</v>
      </c>
      <c r="FT181" s="775">
        <f t="shared" si="403"/>
        <v>15974.726374011792</v>
      </c>
      <c r="FU181" s="497"/>
      <c r="FV181" s="993">
        <f t="shared" si="404"/>
        <v>4459927.0330698118</v>
      </c>
      <c r="FW181" s="705">
        <f t="shared" si="405"/>
        <v>445992.70330698119</v>
      </c>
      <c r="FX181" s="705">
        <f t="shared" si="406"/>
        <v>111498.1758267453</v>
      </c>
      <c r="FY181" s="705">
        <v>15000</v>
      </c>
      <c r="FZ181" s="705">
        <f t="shared" si="407"/>
        <v>430992.70330698119</v>
      </c>
      <c r="GA181" s="497">
        <f t="shared" si="408"/>
        <v>46</v>
      </c>
      <c r="GB181" s="775">
        <f t="shared" si="409"/>
        <v>9369.4065936300267</v>
      </c>
      <c r="GC181" s="497"/>
      <c r="GD181" s="497"/>
      <c r="GH181" s="1095">
        <f t="shared" si="307"/>
        <v>4459927.0330698118</v>
      </c>
      <c r="GI181" s="1098">
        <f t="shared" si="308"/>
        <v>0.125</v>
      </c>
      <c r="GJ181" s="1095">
        <f t="shared" si="309"/>
        <v>557490.87913372647</v>
      </c>
      <c r="GK181" s="1095">
        <f t="shared" si="310"/>
        <v>30000</v>
      </c>
      <c r="GL181" s="1095">
        <f t="shared" si="311"/>
        <v>527490.87913372647</v>
      </c>
      <c r="GM181" s="1095">
        <f t="shared" si="312"/>
        <v>29</v>
      </c>
      <c r="GN181" s="1095">
        <f t="shared" si="313"/>
        <v>18189.340659783673</v>
      </c>
      <c r="GO181" s="1098">
        <f t="shared" si="314"/>
        <v>0.875</v>
      </c>
      <c r="GP181" s="1095">
        <f t="shared" si="315"/>
        <v>3902436.1539360853</v>
      </c>
      <c r="GQ181" s="1095">
        <f t="shared" si="316"/>
        <v>30255.545964672616</v>
      </c>
      <c r="GR181" s="1095">
        <f t="shared" si="317"/>
        <v>35076.199403543673</v>
      </c>
      <c r="GS181" s="1095">
        <f t="shared" si="318"/>
        <v>45310.592708129516</v>
      </c>
      <c r="GT181" s="1095">
        <f t="shared" si="319"/>
        <v>77272.913075126475</v>
      </c>
      <c r="GU181" s="497"/>
      <c r="GV181" s="1095">
        <f t="shared" si="410"/>
        <v>4459927.0330698118</v>
      </c>
      <c r="GW181" s="1098">
        <f t="shared" si="411"/>
        <v>0.125</v>
      </c>
      <c r="GX181" s="1095">
        <f t="shared" si="412"/>
        <v>557490.87913372647</v>
      </c>
      <c r="GY181" s="1095">
        <f t="shared" si="413"/>
        <v>30000</v>
      </c>
      <c r="GZ181" s="1095">
        <f t="shared" si="414"/>
        <v>527490.87913372647</v>
      </c>
      <c r="HA181" s="1106">
        <f t="shared" si="415"/>
        <v>48</v>
      </c>
      <c r="HB181" s="770">
        <f t="shared" si="416"/>
        <v>10989.393315285968</v>
      </c>
      <c r="HC181" s="1098">
        <f t="shared" si="417"/>
        <v>0.875</v>
      </c>
      <c r="HD181" s="1102">
        <f t="shared" si="418"/>
        <v>3902436.1539360853</v>
      </c>
      <c r="HE181" s="1101">
        <f t="shared" si="419"/>
        <v>30255.545964672616</v>
      </c>
      <c r="HF181" s="1101">
        <f t="shared" si="420"/>
        <v>35076.199403543673</v>
      </c>
      <c r="HG181" s="1101">
        <f t="shared" si="421"/>
        <v>45310.592708129516</v>
      </c>
      <c r="HH181" s="1101">
        <f t="shared" si="422"/>
        <v>77272.913075126475</v>
      </c>
      <c r="HI181" s="497"/>
      <c r="HJ181" s="1102">
        <f t="shared" si="423"/>
        <v>-7199.9473444977048</v>
      </c>
      <c r="HL181" s="775"/>
      <c r="HN181" s="775"/>
      <c r="HO181" s="775"/>
      <c r="HQ181" s="702"/>
      <c r="HR181" s="1171"/>
      <c r="HS181" s="702"/>
      <c r="HT181" s="1171"/>
    </row>
    <row r="182" spans="1:228" ht="14.25" hidden="1" customHeight="1">
      <c r="A182" s="753">
        <f t="shared" si="424"/>
        <v>176</v>
      </c>
      <c r="B182" s="753" t="s">
        <v>236</v>
      </c>
      <c r="C182" s="753">
        <f t="shared" si="445"/>
        <v>21</v>
      </c>
      <c r="D182" s="753" t="s">
        <v>272</v>
      </c>
      <c r="E182" s="717" t="str">
        <f t="shared" si="344"/>
        <v>8th Floor</v>
      </c>
      <c r="F182" s="754"/>
      <c r="G182" s="756" t="s">
        <v>594</v>
      </c>
      <c r="H182" s="756"/>
      <c r="I182" s="755" t="s">
        <v>229</v>
      </c>
      <c r="J182" s="757">
        <v>22</v>
      </c>
      <c r="K182" s="758"/>
      <c r="L182" s="759" t="s">
        <v>69</v>
      </c>
      <c r="M182" s="760" t="s">
        <v>68</v>
      </c>
      <c r="N182" s="761">
        <f t="shared" si="345"/>
        <v>106005.26567735759</v>
      </c>
      <c r="O182" s="762">
        <f t="shared" si="346"/>
        <v>2332115.8449018667</v>
      </c>
      <c r="P182" s="762">
        <f t="shared" si="347"/>
        <v>22400</v>
      </c>
      <c r="Q182" s="762">
        <f t="shared" si="320"/>
        <v>50000</v>
      </c>
      <c r="R182" s="762"/>
      <c r="S182" s="762"/>
      <c r="T182" s="762">
        <f t="shared" si="443"/>
        <v>66000</v>
      </c>
      <c r="U182" s="762"/>
      <c r="V182" s="762"/>
      <c r="W182" s="762"/>
      <c r="X182" s="762"/>
      <c r="Y182" s="762">
        <f t="shared" si="446"/>
        <v>80000</v>
      </c>
      <c r="Z182" s="762">
        <f t="shared" si="321"/>
        <v>142461</v>
      </c>
      <c r="AA182" s="762"/>
      <c r="AB182" s="762"/>
      <c r="AC182" s="762"/>
      <c r="AD182" s="763">
        <f t="shared" si="348"/>
        <v>360861</v>
      </c>
      <c r="AE182" s="763">
        <f t="shared" si="322"/>
        <v>2692976.8449018667</v>
      </c>
      <c r="AF182" s="762">
        <f t="shared" si="323"/>
        <v>67324.421122546672</v>
      </c>
      <c r="AG182" s="762">
        <f t="shared" si="349"/>
        <v>2760301.2660244135</v>
      </c>
      <c r="AH182" s="762">
        <f t="shared" si="324"/>
        <v>69007.531650610341</v>
      </c>
      <c r="AI182" s="762">
        <f t="shared" si="350"/>
        <v>2829308.7976750238</v>
      </c>
      <c r="AJ182" s="762">
        <f t="shared" si="351"/>
        <v>141465.43988375118</v>
      </c>
      <c r="AK182" s="762">
        <f t="shared" si="352"/>
        <v>2970774.2375587751</v>
      </c>
      <c r="AL182" s="762">
        <f t="shared" si="353"/>
        <v>29707.742375587753</v>
      </c>
      <c r="AM182" s="762">
        <f t="shared" si="354"/>
        <v>27537.409960060559</v>
      </c>
      <c r="AN182" s="762"/>
      <c r="AO182" s="763">
        <f t="shared" si="355"/>
        <v>3028019.3898944231</v>
      </c>
      <c r="AP182" s="763">
        <f t="shared" si="356"/>
        <v>499623.19933257985</v>
      </c>
      <c r="AQ182" s="763">
        <f t="shared" si="357"/>
        <v>3527642.589227003</v>
      </c>
      <c r="AR182" s="1178">
        <f t="shared" si="325"/>
        <v>3000000</v>
      </c>
      <c r="AS182" s="1178">
        <f t="shared" si="358"/>
        <v>23983.754055772864</v>
      </c>
      <c r="AT182" s="1178">
        <f t="shared" si="359"/>
        <v>527642.58922700305</v>
      </c>
      <c r="AU182" s="1178">
        <f t="shared" si="326"/>
        <v>63317.110707240361</v>
      </c>
      <c r="AV182" s="1178">
        <f t="shared" si="360"/>
        <v>590959.69993424346</v>
      </c>
      <c r="AW182" s="1178">
        <f t="shared" si="361"/>
        <v>3590959.6999342432</v>
      </c>
      <c r="AX182" s="762">
        <f t="shared" si="362"/>
        <v>44886.996249178046</v>
      </c>
      <c r="AY182" s="717" t="s">
        <v>231</v>
      </c>
      <c r="AZ182" s="717">
        <f t="shared" si="363"/>
        <v>3635846.6961834212</v>
      </c>
      <c r="BA182" s="717">
        <f t="shared" si="364"/>
        <v>136344.25110687828</v>
      </c>
      <c r="BB182" s="717"/>
      <c r="BC182" s="717">
        <f t="shared" si="327"/>
        <v>33600</v>
      </c>
      <c r="BD182" s="717">
        <f t="shared" si="365"/>
        <v>3805790.9472902995</v>
      </c>
      <c r="BE182" s="717"/>
      <c r="BF182" s="717">
        <f t="shared" si="366"/>
        <v>3805790.9472902995</v>
      </c>
      <c r="BG182" s="1209"/>
      <c r="BH182" s="717">
        <f t="shared" si="367"/>
        <v>3805790.9472902995</v>
      </c>
      <c r="BI182" s="717"/>
      <c r="BJ182" s="717">
        <f t="shared" si="368"/>
        <v>3805790.9472902995</v>
      </c>
      <c r="BK182" s="717"/>
      <c r="BL182" s="717">
        <f t="shared" si="369"/>
        <v>3805790.9472902995</v>
      </c>
      <c r="BM182" s="717"/>
      <c r="BN182" s="717">
        <f t="shared" si="370"/>
        <v>3805790.9472902995</v>
      </c>
      <c r="BO182" s="717"/>
      <c r="BP182" s="717">
        <f t="shared" si="328"/>
        <v>3805790.9472902995</v>
      </c>
      <c r="BQ182" s="717"/>
      <c r="BR182" s="717">
        <f t="shared" si="433"/>
        <v>3805790.9472902995</v>
      </c>
      <c r="BS182" s="717"/>
      <c r="BT182" s="717">
        <f t="shared" si="371"/>
        <v>3805790.9472902995</v>
      </c>
      <c r="BU182" s="717"/>
      <c r="BV182" s="1235">
        <f t="shared" si="434"/>
        <v>51400</v>
      </c>
      <c r="BW182" s="717">
        <f t="shared" si="372"/>
        <v>3857190.9472902995</v>
      </c>
      <c r="BX182" s="717"/>
      <c r="BY182" s="717">
        <f t="shared" si="373"/>
        <v>3857190.9472902995</v>
      </c>
      <c r="BZ182" s="1194">
        <f t="shared" si="374"/>
        <v>3857190.9472902995</v>
      </c>
      <c r="CA182" s="1194">
        <f t="shared" si="375"/>
        <v>3043190.9472902995</v>
      </c>
      <c r="CB182" s="1194">
        <v>37000</v>
      </c>
      <c r="CC182" s="1194">
        <f t="shared" si="376"/>
        <v>814000</v>
      </c>
      <c r="CD182" s="1194">
        <f t="shared" si="377"/>
        <v>97680</v>
      </c>
      <c r="CE182" s="1194">
        <f t="shared" si="378"/>
        <v>911680</v>
      </c>
      <c r="CF182" s="1200">
        <f t="shared" si="379"/>
        <v>3954870.9472902995</v>
      </c>
      <c r="CG182" s="757">
        <f t="shared" si="380"/>
        <v>3954870.9472902995</v>
      </c>
      <c r="CH182" s="758">
        <f t="shared" si="381"/>
        <v>0</v>
      </c>
      <c r="CI182" s="757">
        <f t="shared" si="329"/>
        <v>405374.27209725569</v>
      </c>
      <c r="CJ182" s="757">
        <f t="shared" si="330"/>
        <v>98871.773682257495</v>
      </c>
      <c r="CK182" s="759">
        <f t="shared" si="444"/>
        <v>4459116.9930698127</v>
      </c>
      <c r="CL182" s="764">
        <f t="shared" si="382"/>
        <v>0.125</v>
      </c>
      <c r="CM182" s="757">
        <f t="shared" si="383"/>
        <v>557389.62413372658</v>
      </c>
      <c r="CN182" s="757">
        <f t="shared" si="425"/>
        <v>30000</v>
      </c>
      <c r="CO182" s="757">
        <f t="shared" si="384"/>
        <v>527389.62413372658</v>
      </c>
      <c r="CP182" s="755">
        <f t="shared" si="385"/>
        <v>29</v>
      </c>
      <c r="CQ182" s="757">
        <f t="shared" si="427"/>
        <v>18185.849108059538</v>
      </c>
      <c r="CR182" s="764">
        <f t="shared" si="386"/>
        <v>0.875</v>
      </c>
      <c r="CS182" s="757">
        <f t="shared" si="387"/>
        <v>3901727.3689360861</v>
      </c>
      <c r="CT182" s="1101">
        <f t="shared" si="388"/>
        <v>30250.050762111794</v>
      </c>
      <c r="CU182" s="1101">
        <f t="shared" si="389"/>
        <v>35069.828643584122</v>
      </c>
      <c r="CV182" s="1101">
        <f t="shared" si="390"/>
        <v>45302.363113285224</v>
      </c>
      <c r="CW182" s="1141">
        <f t="shared" si="331"/>
        <v>77258.878282619058</v>
      </c>
      <c r="CX182" s="1152">
        <f t="shared" si="391"/>
        <v>316949.71587485942</v>
      </c>
      <c r="CY182" s="1152">
        <f t="shared" si="392"/>
        <v>125415.45862097293</v>
      </c>
      <c r="CZ182" s="1152">
        <f t="shared" si="393"/>
        <v>90585.809478382245</v>
      </c>
      <c r="DA182" s="1152">
        <f t="shared" si="394"/>
        <v>68939.971368327359</v>
      </c>
      <c r="DB182" s="1143">
        <f t="shared" si="332"/>
        <v>0.17588086307566769</v>
      </c>
      <c r="DC182" s="1143">
        <f t="shared" si="395"/>
        <v>0.29958028128723663</v>
      </c>
      <c r="DD182" s="1098" t="s">
        <v>232</v>
      </c>
      <c r="DE182" s="1144"/>
      <c r="DF182" s="705"/>
      <c r="DG182" s="765">
        <f t="shared" si="426"/>
        <v>46082</v>
      </c>
      <c r="DH182" s="1116">
        <f t="shared" si="333"/>
        <v>28</v>
      </c>
      <c r="DI182" s="497"/>
      <c r="DJ182" s="1117">
        <f t="shared" si="396"/>
        <v>46147</v>
      </c>
      <c r="DK182" s="1116">
        <f t="shared" si="397"/>
        <v>30</v>
      </c>
      <c r="DL182" s="766" t="s">
        <v>233</v>
      </c>
      <c r="DM182" s="766" t="s">
        <v>234</v>
      </c>
      <c r="DN182" s="767">
        <f t="shared" si="334"/>
        <v>26861.804542465612</v>
      </c>
      <c r="DO182" s="767">
        <f t="shared" si="335"/>
        <v>590959.69993424346</v>
      </c>
      <c r="DP182" s="768">
        <f t="shared" si="336"/>
        <v>0.19698656664474781</v>
      </c>
      <c r="DR182" s="767">
        <f t="shared" si="337"/>
        <v>3954870.9472902995</v>
      </c>
      <c r="DS182" s="767">
        <f>SUM('[6]INTERNAL PRICELIST'!M182)</f>
        <v>2329361</v>
      </c>
      <c r="DT182" s="767">
        <f t="shared" si="398"/>
        <v>1625509.9472902995</v>
      </c>
      <c r="DV182" s="951">
        <f t="shared" si="338"/>
        <v>179766.86124046816</v>
      </c>
      <c r="DX182" s="772">
        <v>17</v>
      </c>
      <c r="DY182" s="773" t="s">
        <v>305</v>
      </c>
      <c r="DZ182" s="774">
        <v>22</v>
      </c>
      <c r="EA182" s="775">
        <f t="shared" si="454"/>
        <v>0</v>
      </c>
      <c r="ED182" s="755" t="s">
        <v>594</v>
      </c>
      <c r="EE182" s="777" t="b">
        <f t="shared" si="340"/>
        <v>1</v>
      </c>
      <c r="EF182" s="1123" t="s">
        <v>595</v>
      </c>
      <c r="EG182" s="1123" t="s">
        <v>567</v>
      </c>
      <c r="EH182" s="1203"/>
      <c r="EP182" s="1230" t="s">
        <v>236</v>
      </c>
      <c r="EQ182" s="1145" t="s">
        <v>236</v>
      </c>
      <c r="ER182" s="753" t="b">
        <f t="shared" si="399"/>
        <v>1</v>
      </c>
      <c r="EU182" s="770">
        <v>3166487.7924007284</v>
      </c>
      <c r="EV182" s="771" t="s">
        <v>258</v>
      </c>
      <c r="EW182" s="775">
        <f>EU182-CG182</f>
        <v>-788383.15488957101</v>
      </c>
      <c r="FJ182" s="994">
        <v>0.15</v>
      </c>
      <c r="FK182" s="993">
        <v>13630.985074573726</v>
      </c>
      <c r="FL182" s="993">
        <v>13999.390076589232</v>
      </c>
      <c r="FM182" s="497"/>
      <c r="FN182" s="993">
        <f t="shared" si="341"/>
        <v>4459116.9930698127</v>
      </c>
      <c r="FO182" s="994">
        <f t="shared" si="400"/>
        <v>0.15</v>
      </c>
      <c r="FP182" s="775">
        <f t="shared" si="342"/>
        <v>668867.54896047188</v>
      </c>
      <c r="FQ182" s="993">
        <f t="shared" si="343"/>
        <v>30000</v>
      </c>
      <c r="FR182" s="775">
        <f t="shared" si="401"/>
        <v>638867.54896047188</v>
      </c>
      <c r="FS182" s="497">
        <f t="shared" si="402"/>
        <v>40</v>
      </c>
      <c r="FT182" s="775">
        <f t="shared" si="403"/>
        <v>15971.688724011798</v>
      </c>
      <c r="FU182" s="497"/>
      <c r="FV182" s="993">
        <f t="shared" si="404"/>
        <v>4459116.9930698127</v>
      </c>
      <c r="FW182" s="705">
        <f t="shared" si="405"/>
        <v>445911.69930698129</v>
      </c>
      <c r="FX182" s="705">
        <f t="shared" si="406"/>
        <v>111477.92482674532</v>
      </c>
      <c r="FY182" s="705">
        <v>15000</v>
      </c>
      <c r="FZ182" s="705">
        <f t="shared" si="407"/>
        <v>430911.69930698129</v>
      </c>
      <c r="GA182" s="497">
        <f t="shared" si="408"/>
        <v>46</v>
      </c>
      <c r="GB182" s="775">
        <f t="shared" si="409"/>
        <v>9367.6456371082895</v>
      </c>
      <c r="GC182" s="497"/>
      <c r="GD182" s="497"/>
      <c r="GH182" s="1095">
        <f t="shared" si="307"/>
        <v>4459116.9930698127</v>
      </c>
      <c r="GI182" s="1098">
        <f t="shared" si="308"/>
        <v>0.125</v>
      </c>
      <c r="GJ182" s="1095">
        <f t="shared" si="309"/>
        <v>557389.62413372658</v>
      </c>
      <c r="GK182" s="1095">
        <f t="shared" si="310"/>
        <v>30000</v>
      </c>
      <c r="GL182" s="1095">
        <f t="shared" si="311"/>
        <v>527389.62413372658</v>
      </c>
      <c r="GM182" s="1095">
        <f t="shared" si="312"/>
        <v>29</v>
      </c>
      <c r="GN182" s="1095">
        <f t="shared" si="313"/>
        <v>18185.849108059538</v>
      </c>
      <c r="GO182" s="1098">
        <f t="shared" si="314"/>
        <v>0.875</v>
      </c>
      <c r="GP182" s="1095">
        <f t="shared" si="315"/>
        <v>3901727.3689360861</v>
      </c>
      <c r="GQ182" s="1095">
        <f t="shared" si="316"/>
        <v>30250.050762111794</v>
      </c>
      <c r="GR182" s="1095">
        <f t="shared" si="317"/>
        <v>35069.828643584122</v>
      </c>
      <c r="GS182" s="1095">
        <f t="shared" si="318"/>
        <v>45302.363113285224</v>
      </c>
      <c r="GT182" s="1095">
        <f t="shared" si="319"/>
        <v>77258.878282619058</v>
      </c>
      <c r="GU182" s="497"/>
      <c r="GV182" s="1095">
        <f t="shared" si="410"/>
        <v>4459116.9930698127</v>
      </c>
      <c r="GW182" s="1098">
        <f t="shared" si="411"/>
        <v>0.125</v>
      </c>
      <c r="GX182" s="1095">
        <f t="shared" si="412"/>
        <v>557389.62413372658</v>
      </c>
      <c r="GY182" s="1095">
        <f t="shared" si="413"/>
        <v>30000</v>
      </c>
      <c r="GZ182" s="1095">
        <f t="shared" si="414"/>
        <v>527389.62413372658</v>
      </c>
      <c r="HA182" s="1106">
        <f t="shared" si="415"/>
        <v>48</v>
      </c>
      <c r="HB182" s="770">
        <f t="shared" si="416"/>
        <v>10987.283836119304</v>
      </c>
      <c r="HC182" s="1098">
        <f t="shared" si="417"/>
        <v>0.875</v>
      </c>
      <c r="HD182" s="1102">
        <f t="shared" si="418"/>
        <v>3901727.3689360861</v>
      </c>
      <c r="HE182" s="1101">
        <f t="shared" si="419"/>
        <v>30250.050762111794</v>
      </c>
      <c r="HF182" s="1101">
        <f t="shared" si="420"/>
        <v>35069.828643584122</v>
      </c>
      <c r="HG182" s="1101">
        <f t="shared" si="421"/>
        <v>45302.363113285224</v>
      </c>
      <c r="HH182" s="1101">
        <f t="shared" si="422"/>
        <v>77258.878282619058</v>
      </c>
      <c r="HI182" s="497"/>
      <c r="HJ182" s="1102">
        <f t="shared" si="423"/>
        <v>-7198.5652719402333</v>
      </c>
      <c r="HL182" s="775"/>
      <c r="HN182" s="775"/>
      <c r="HO182" s="775"/>
      <c r="HQ182" s="702"/>
      <c r="HR182" s="1171"/>
      <c r="HS182" s="702"/>
      <c r="HT182" s="1171"/>
    </row>
    <row r="183" spans="1:228" ht="14.25" hidden="1" customHeight="1">
      <c r="A183" s="753">
        <f t="shared" si="424"/>
        <v>177</v>
      </c>
      <c r="B183" s="753" t="s">
        <v>236</v>
      </c>
      <c r="C183" s="753">
        <f t="shared" si="445"/>
        <v>22</v>
      </c>
      <c r="D183" s="753" t="s">
        <v>272</v>
      </c>
      <c r="E183" s="717" t="str">
        <f t="shared" si="344"/>
        <v>8th Floor</v>
      </c>
      <c r="F183" s="754"/>
      <c r="G183" s="756" t="s">
        <v>596</v>
      </c>
      <c r="H183" s="756"/>
      <c r="I183" s="755" t="s">
        <v>229</v>
      </c>
      <c r="J183" s="757">
        <v>22</v>
      </c>
      <c r="K183" s="758"/>
      <c r="L183" s="759" t="s">
        <v>69</v>
      </c>
      <c r="M183" s="760" t="s">
        <v>68</v>
      </c>
      <c r="N183" s="761">
        <f t="shared" si="345"/>
        <v>106005.26567735759</v>
      </c>
      <c r="O183" s="762">
        <f t="shared" si="346"/>
        <v>2332115.8449018667</v>
      </c>
      <c r="P183" s="762">
        <f t="shared" si="347"/>
        <v>22400</v>
      </c>
      <c r="Q183" s="762">
        <f t="shared" si="320"/>
        <v>50000</v>
      </c>
      <c r="R183" s="762"/>
      <c r="S183" s="762"/>
      <c r="T183" s="762">
        <f t="shared" si="443"/>
        <v>66000</v>
      </c>
      <c r="U183" s="762"/>
      <c r="V183" s="762"/>
      <c r="W183" s="762"/>
      <c r="X183" s="762"/>
      <c r="Y183" s="762">
        <f t="shared" si="446"/>
        <v>80000</v>
      </c>
      <c r="Z183" s="762">
        <f t="shared" si="321"/>
        <v>142461</v>
      </c>
      <c r="AA183" s="762"/>
      <c r="AB183" s="762"/>
      <c r="AC183" s="762"/>
      <c r="AD183" s="763">
        <f t="shared" si="348"/>
        <v>360861</v>
      </c>
      <c r="AE183" s="763">
        <f t="shared" si="322"/>
        <v>2692976.8449018667</v>
      </c>
      <c r="AF183" s="762">
        <f t="shared" si="323"/>
        <v>67324.421122546672</v>
      </c>
      <c r="AG183" s="762">
        <f t="shared" si="349"/>
        <v>2760301.2660244135</v>
      </c>
      <c r="AH183" s="762">
        <f t="shared" si="324"/>
        <v>69007.531650610341</v>
      </c>
      <c r="AI183" s="762">
        <f t="shared" si="350"/>
        <v>2829308.7976750238</v>
      </c>
      <c r="AJ183" s="762">
        <f t="shared" si="351"/>
        <v>141465.43988375118</v>
      </c>
      <c r="AK183" s="762">
        <f t="shared" si="352"/>
        <v>2970774.2375587751</v>
      </c>
      <c r="AL183" s="762">
        <f t="shared" si="353"/>
        <v>29707.742375587753</v>
      </c>
      <c r="AM183" s="762">
        <f t="shared" si="354"/>
        <v>27537.409960060559</v>
      </c>
      <c r="AN183" s="762"/>
      <c r="AO183" s="763">
        <f t="shared" si="355"/>
        <v>3028019.3898944231</v>
      </c>
      <c r="AP183" s="763">
        <f t="shared" si="356"/>
        <v>499623.19933257985</v>
      </c>
      <c r="AQ183" s="763">
        <f t="shared" si="357"/>
        <v>3527642.589227003</v>
      </c>
      <c r="AR183" s="1178">
        <f t="shared" si="325"/>
        <v>3000000</v>
      </c>
      <c r="AS183" s="1178">
        <f t="shared" si="358"/>
        <v>23983.754055772864</v>
      </c>
      <c r="AT183" s="1178">
        <f t="shared" si="359"/>
        <v>527642.58922700305</v>
      </c>
      <c r="AU183" s="1178">
        <f t="shared" si="326"/>
        <v>63317.110707240361</v>
      </c>
      <c r="AV183" s="1178">
        <f t="shared" si="360"/>
        <v>590959.69993424346</v>
      </c>
      <c r="AW183" s="1178">
        <f t="shared" si="361"/>
        <v>3590959.6999342432</v>
      </c>
      <c r="AX183" s="762">
        <f t="shared" si="362"/>
        <v>44886.996249178046</v>
      </c>
      <c r="AY183" s="717" t="s">
        <v>231</v>
      </c>
      <c r="AZ183" s="717">
        <f t="shared" si="363"/>
        <v>3635846.6961834212</v>
      </c>
      <c r="BA183" s="717">
        <f t="shared" si="364"/>
        <v>136344.25110687828</v>
      </c>
      <c r="BB183" s="717"/>
      <c r="BC183" s="717">
        <f t="shared" si="327"/>
        <v>33600</v>
      </c>
      <c r="BD183" s="717">
        <f t="shared" si="365"/>
        <v>3805790.9472902995</v>
      </c>
      <c r="BE183" s="717"/>
      <c r="BF183" s="717">
        <f t="shared" si="366"/>
        <v>3805790.9472902995</v>
      </c>
      <c r="BG183" s="1209"/>
      <c r="BH183" s="717">
        <f t="shared" si="367"/>
        <v>3805790.9472902995</v>
      </c>
      <c r="BI183" s="717"/>
      <c r="BJ183" s="717">
        <f t="shared" si="368"/>
        <v>3805790.9472902995</v>
      </c>
      <c r="BK183" s="717"/>
      <c r="BL183" s="717">
        <f t="shared" si="369"/>
        <v>3805790.9472902995</v>
      </c>
      <c r="BM183" s="717"/>
      <c r="BN183" s="717">
        <f t="shared" si="370"/>
        <v>3805790.9472902995</v>
      </c>
      <c r="BO183" s="717"/>
      <c r="BP183" s="717">
        <f t="shared" si="328"/>
        <v>3805790.9472902995</v>
      </c>
      <c r="BQ183" s="717"/>
      <c r="BR183" s="717">
        <f t="shared" si="433"/>
        <v>3805790.9472902995</v>
      </c>
      <c r="BS183" s="717"/>
      <c r="BT183" s="717">
        <f t="shared" si="371"/>
        <v>3805790.9472902995</v>
      </c>
      <c r="BU183" s="717"/>
      <c r="BV183" s="1235">
        <f t="shared" si="434"/>
        <v>51400</v>
      </c>
      <c r="BW183" s="717">
        <f t="shared" si="372"/>
        <v>3857190.9472902995</v>
      </c>
      <c r="BX183" s="717"/>
      <c r="BY183" s="717">
        <f t="shared" si="373"/>
        <v>3857190.9472902995</v>
      </c>
      <c r="BZ183" s="1194">
        <f t="shared" si="374"/>
        <v>3857190.9472902995</v>
      </c>
      <c r="CA183" s="1194">
        <f t="shared" si="375"/>
        <v>3043190.9472902995</v>
      </c>
      <c r="CB183" s="1194">
        <v>37000</v>
      </c>
      <c r="CC183" s="1194">
        <f t="shared" si="376"/>
        <v>814000</v>
      </c>
      <c r="CD183" s="1194">
        <f t="shared" si="377"/>
        <v>97680</v>
      </c>
      <c r="CE183" s="1194">
        <f t="shared" si="378"/>
        <v>911680</v>
      </c>
      <c r="CF183" s="1200">
        <f t="shared" si="379"/>
        <v>3954870.9472902995</v>
      </c>
      <c r="CG183" s="757">
        <f t="shared" si="380"/>
        <v>3954870.9472902995</v>
      </c>
      <c r="CH183" s="758">
        <f t="shared" si="381"/>
        <v>0</v>
      </c>
      <c r="CI183" s="757">
        <f t="shared" si="329"/>
        <v>405374.27209725569</v>
      </c>
      <c r="CJ183" s="757">
        <f t="shared" si="330"/>
        <v>98871.773682257495</v>
      </c>
      <c r="CK183" s="759">
        <f t="shared" si="444"/>
        <v>4459116.9930698127</v>
      </c>
      <c r="CL183" s="764">
        <f t="shared" si="382"/>
        <v>0.125</v>
      </c>
      <c r="CM183" s="757">
        <f t="shared" si="383"/>
        <v>557389.62413372658</v>
      </c>
      <c r="CN183" s="757">
        <f t="shared" si="425"/>
        <v>30000</v>
      </c>
      <c r="CO183" s="757">
        <f t="shared" si="384"/>
        <v>527389.62413372658</v>
      </c>
      <c r="CP183" s="755">
        <f t="shared" si="385"/>
        <v>29</v>
      </c>
      <c r="CQ183" s="757">
        <f t="shared" si="427"/>
        <v>18185.849108059538</v>
      </c>
      <c r="CR183" s="764">
        <f t="shared" si="386"/>
        <v>0.875</v>
      </c>
      <c r="CS183" s="757">
        <f t="shared" si="387"/>
        <v>3901727.3689360861</v>
      </c>
      <c r="CT183" s="1101">
        <f t="shared" si="388"/>
        <v>30250.050762111794</v>
      </c>
      <c r="CU183" s="1101">
        <f t="shared" si="389"/>
        <v>35069.828643584122</v>
      </c>
      <c r="CV183" s="1101">
        <f t="shared" si="390"/>
        <v>45302.363113285224</v>
      </c>
      <c r="CW183" s="1141">
        <f t="shared" si="331"/>
        <v>77258.878282619058</v>
      </c>
      <c r="CX183" s="1152">
        <f t="shared" si="391"/>
        <v>316949.71587485942</v>
      </c>
      <c r="CY183" s="1152">
        <f t="shared" si="392"/>
        <v>125415.45862097293</v>
      </c>
      <c r="CZ183" s="1152">
        <f t="shared" si="393"/>
        <v>90585.809478382245</v>
      </c>
      <c r="DA183" s="1152">
        <f t="shared" si="394"/>
        <v>68939.971368327359</v>
      </c>
      <c r="DB183" s="1143">
        <f t="shared" si="332"/>
        <v>0.17588086307566769</v>
      </c>
      <c r="DC183" s="1143">
        <f t="shared" si="395"/>
        <v>0.29958028128723663</v>
      </c>
      <c r="DD183" s="1098" t="s">
        <v>232</v>
      </c>
      <c r="DE183" s="1144"/>
      <c r="DF183" s="705"/>
      <c r="DG183" s="765">
        <f t="shared" si="426"/>
        <v>46082</v>
      </c>
      <c r="DH183" s="1116">
        <f t="shared" si="333"/>
        <v>28</v>
      </c>
      <c r="DI183" s="497"/>
      <c r="DJ183" s="1117">
        <f t="shared" si="396"/>
        <v>46147</v>
      </c>
      <c r="DK183" s="1116">
        <f t="shared" si="397"/>
        <v>30</v>
      </c>
      <c r="DL183" s="766" t="s">
        <v>233</v>
      </c>
      <c r="DM183" s="766" t="s">
        <v>234</v>
      </c>
      <c r="DN183" s="767">
        <f t="shared" si="334"/>
        <v>26861.804542465612</v>
      </c>
      <c r="DO183" s="767">
        <f t="shared" si="335"/>
        <v>590959.69993424346</v>
      </c>
      <c r="DP183" s="768">
        <f t="shared" si="336"/>
        <v>0.19698656664474781</v>
      </c>
      <c r="DR183" s="767">
        <f t="shared" si="337"/>
        <v>3954870.9472902995</v>
      </c>
      <c r="DS183" s="767">
        <f>SUM('[6]INTERNAL PRICELIST'!M183)</f>
        <v>2331316</v>
      </c>
      <c r="DT183" s="767">
        <f t="shared" si="398"/>
        <v>1623554.9472902995</v>
      </c>
      <c r="DV183" s="951">
        <f t="shared" si="338"/>
        <v>179766.86124046816</v>
      </c>
      <c r="DX183" s="772">
        <v>18</v>
      </c>
      <c r="DY183" s="773" t="s">
        <v>342</v>
      </c>
      <c r="DZ183" s="772">
        <v>22.34</v>
      </c>
      <c r="EA183" s="775">
        <f t="shared" si="454"/>
        <v>0.33999999999999986</v>
      </c>
      <c r="ED183" s="755" t="s">
        <v>596</v>
      </c>
      <c r="EE183" s="777" t="b">
        <f t="shared" si="340"/>
        <v>1</v>
      </c>
      <c r="EF183" s="1123" t="s">
        <v>597</v>
      </c>
      <c r="EG183" s="1123" t="s">
        <v>567</v>
      </c>
      <c r="EH183" s="1203"/>
      <c r="EP183" s="1230" t="s">
        <v>236</v>
      </c>
      <c r="EQ183" s="1145" t="s">
        <v>236</v>
      </c>
      <c r="ER183" s="753" t="b">
        <f t="shared" si="399"/>
        <v>1</v>
      </c>
      <c r="EU183" s="770">
        <v>2459020</v>
      </c>
      <c r="EV183" s="771" t="s">
        <v>236</v>
      </c>
      <c r="FJ183" s="994">
        <v>0.15</v>
      </c>
      <c r="FK183" s="993">
        <v>13630.985074573726</v>
      </c>
      <c r="FL183" s="993">
        <v>13999.390076589232</v>
      </c>
      <c r="FM183" s="497"/>
      <c r="FN183" s="993">
        <f t="shared" si="341"/>
        <v>4459116.9930698127</v>
      </c>
      <c r="FO183" s="994">
        <f t="shared" si="400"/>
        <v>0.15</v>
      </c>
      <c r="FP183" s="775">
        <f t="shared" si="342"/>
        <v>668867.54896047188</v>
      </c>
      <c r="FQ183" s="993">
        <f t="shared" si="343"/>
        <v>30000</v>
      </c>
      <c r="FR183" s="775">
        <f t="shared" si="401"/>
        <v>638867.54896047188</v>
      </c>
      <c r="FS183" s="497">
        <f t="shared" si="402"/>
        <v>40</v>
      </c>
      <c r="FT183" s="775">
        <f t="shared" si="403"/>
        <v>15971.688724011798</v>
      </c>
      <c r="FU183" s="497"/>
      <c r="FV183" s="993">
        <f t="shared" si="404"/>
        <v>4459116.9930698127</v>
      </c>
      <c r="FW183" s="705">
        <f t="shared" si="405"/>
        <v>445911.69930698129</v>
      </c>
      <c r="FX183" s="705">
        <f t="shared" si="406"/>
        <v>111477.92482674532</v>
      </c>
      <c r="FY183" s="705">
        <v>15000</v>
      </c>
      <c r="FZ183" s="705">
        <f t="shared" si="407"/>
        <v>430911.69930698129</v>
      </c>
      <c r="GA183" s="497">
        <f t="shared" si="408"/>
        <v>46</v>
      </c>
      <c r="GB183" s="775">
        <f t="shared" si="409"/>
        <v>9367.6456371082895</v>
      </c>
      <c r="GC183" s="497"/>
      <c r="GD183" s="497"/>
      <c r="GH183" s="1095">
        <f t="shared" si="307"/>
        <v>4459116.9930698127</v>
      </c>
      <c r="GI183" s="1098">
        <f t="shared" si="308"/>
        <v>0.125</v>
      </c>
      <c r="GJ183" s="1095">
        <f t="shared" si="309"/>
        <v>557389.62413372658</v>
      </c>
      <c r="GK183" s="1095">
        <f t="shared" si="310"/>
        <v>30000</v>
      </c>
      <c r="GL183" s="1095">
        <f t="shared" si="311"/>
        <v>527389.62413372658</v>
      </c>
      <c r="GM183" s="1095">
        <f t="shared" si="312"/>
        <v>29</v>
      </c>
      <c r="GN183" s="1095">
        <f t="shared" si="313"/>
        <v>18185.849108059538</v>
      </c>
      <c r="GO183" s="1098">
        <f t="shared" si="314"/>
        <v>0.875</v>
      </c>
      <c r="GP183" s="1095">
        <f t="shared" si="315"/>
        <v>3901727.3689360861</v>
      </c>
      <c r="GQ183" s="1095">
        <f t="shared" si="316"/>
        <v>30250.050762111794</v>
      </c>
      <c r="GR183" s="1095">
        <f t="shared" si="317"/>
        <v>35069.828643584122</v>
      </c>
      <c r="GS183" s="1095">
        <f t="shared" si="318"/>
        <v>45302.363113285224</v>
      </c>
      <c r="GT183" s="1095">
        <f t="shared" si="319"/>
        <v>77258.878282619058</v>
      </c>
      <c r="GU183" s="497"/>
      <c r="GV183" s="1095">
        <f t="shared" si="410"/>
        <v>4459116.9930698127</v>
      </c>
      <c r="GW183" s="1098">
        <f t="shared" si="411"/>
        <v>0.125</v>
      </c>
      <c r="GX183" s="1095">
        <f t="shared" si="412"/>
        <v>557389.62413372658</v>
      </c>
      <c r="GY183" s="1095">
        <f t="shared" si="413"/>
        <v>30000</v>
      </c>
      <c r="GZ183" s="1095">
        <f t="shared" si="414"/>
        <v>527389.62413372658</v>
      </c>
      <c r="HA183" s="1106">
        <f t="shared" si="415"/>
        <v>48</v>
      </c>
      <c r="HB183" s="770">
        <f t="shared" si="416"/>
        <v>10987.283836119304</v>
      </c>
      <c r="HC183" s="1098">
        <f t="shared" si="417"/>
        <v>0.875</v>
      </c>
      <c r="HD183" s="1102">
        <f t="shared" si="418"/>
        <v>3901727.3689360861</v>
      </c>
      <c r="HE183" s="1101">
        <f t="shared" si="419"/>
        <v>30250.050762111794</v>
      </c>
      <c r="HF183" s="1101">
        <f t="shared" si="420"/>
        <v>35069.828643584122</v>
      </c>
      <c r="HG183" s="1101">
        <f t="shared" si="421"/>
        <v>45302.363113285224</v>
      </c>
      <c r="HH183" s="1101">
        <f t="shared" si="422"/>
        <v>77258.878282619058</v>
      </c>
      <c r="HI183" s="497"/>
      <c r="HJ183" s="1102">
        <f t="shared" si="423"/>
        <v>-7198.5652719402333</v>
      </c>
      <c r="HL183" s="775"/>
      <c r="HN183" s="775"/>
      <c r="HO183" s="775"/>
      <c r="HQ183" s="702"/>
      <c r="HR183" s="1171"/>
      <c r="HS183" s="702"/>
      <c r="HT183" s="1171"/>
    </row>
    <row r="184" spans="1:228" ht="14.25" hidden="1" customHeight="1">
      <c r="A184" s="753">
        <f t="shared" si="424"/>
        <v>178</v>
      </c>
      <c r="B184" s="753" t="s">
        <v>236</v>
      </c>
      <c r="C184" s="753">
        <f t="shared" si="445"/>
        <v>23</v>
      </c>
      <c r="D184" s="753" t="s">
        <v>272</v>
      </c>
      <c r="E184" s="717" t="str">
        <f t="shared" si="344"/>
        <v>8th Floor</v>
      </c>
      <c r="F184" s="754"/>
      <c r="G184" s="756" t="s">
        <v>598</v>
      </c>
      <c r="H184" s="756"/>
      <c r="I184" s="755" t="s">
        <v>229</v>
      </c>
      <c r="J184" s="757">
        <v>22</v>
      </c>
      <c r="K184" s="758"/>
      <c r="L184" s="759" t="s">
        <v>69</v>
      </c>
      <c r="M184" s="760" t="s">
        <v>68</v>
      </c>
      <c r="N184" s="761">
        <f t="shared" si="345"/>
        <v>106005.26567735759</v>
      </c>
      <c r="O184" s="762">
        <f t="shared" si="346"/>
        <v>2332115.8449018667</v>
      </c>
      <c r="P184" s="762">
        <f t="shared" si="347"/>
        <v>22400</v>
      </c>
      <c r="Q184" s="762">
        <f t="shared" si="320"/>
        <v>50000</v>
      </c>
      <c r="R184" s="762"/>
      <c r="S184" s="762"/>
      <c r="T184" s="762">
        <f t="shared" si="443"/>
        <v>66000</v>
      </c>
      <c r="U184" s="762"/>
      <c r="V184" s="762"/>
      <c r="W184" s="762"/>
      <c r="X184" s="762"/>
      <c r="Y184" s="762">
        <f t="shared" si="446"/>
        <v>80000</v>
      </c>
      <c r="Z184" s="762">
        <f t="shared" si="321"/>
        <v>142461</v>
      </c>
      <c r="AA184" s="762"/>
      <c r="AB184" s="762"/>
      <c r="AC184" s="762"/>
      <c r="AD184" s="763">
        <f t="shared" si="348"/>
        <v>360861</v>
      </c>
      <c r="AE184" s="763">
        <f t="shared" si="322"/>
        <v>2692976.8449018667</v>
      </c>
      <c r="AF184" s="762">
        <f t="shared" si="323"/>
        <v>67324.421122546672</v>
      </c>
      <c r="AG184" s="762">
        <f t="shared" si="349"/>
        <v>2760301.2660244135</v>
      </c>
      <c r="AH184" s="762">
        <f t="shared" si="324"/>
        <v>69007.531650610341</v>
      </c>
      <c r="AI184" s="762">
        <f t="shared" si="350"/>
        <v>2829308.7976750238</v>
      </c>
      <c r="AJ184" s="762">
        <f t="shared" si="351"/>
        <v>141465.43988375118</v>
      </c>
      <c r="AK184" s="762">
        <f t="shared" si="352"/>
        <v>2970774.2375587751</v>
      </c>
      <c r="AL184" s="762">
        <f t="shared" si="353"/>
        <v>29707.742375587753</v>
      </c>
      <c r="AM184" s="762">
        <f t="shared" si="354"/>
        <v>27537.409960060559</v>
      </c>
      <c r="AN184" s="762"/>
      <c r="AO184" s="763">
        <f t="shared" si="355"/>
        <v>3028019.3898944231</v>
      </c>
      <c r="AP184" s="763">
        <f t="shared" si="356"/>
        <v>499623.19933257985</v>
      </c>
      <c r="AQ184" s="763">
        <f t="shared" si="357"/>
        <v>3527642.589227003</v>
      </c>
      <c r="AR184" s="1178">
        <f t="shared" si="325"/>
        <v>3000000</v>
      </c>
      <c r="AS184" s="1178">
        <f t="shared" si="358"/>
        <v>23983.754055772864</v>
      </c>
      <c r="AT184" s="1178">
        <f t="shared" si="359"/>
        <v>527642.58922700305</v>
      </c>
      <c r="AU184" s="1178">
        <f t="shared" si="326"/>
        <v>63317.110707240361</v>
      </c>
      <c r="AV184" s="1178">
        <f t="shared" si="360"/>
        <v>590959.69993424346</v>
      </c>
      <c r="AW184" s="1178">
        <f t="shared" si="361"/>
        <v>3590959.6999342432</v>
      </c>
      <c r="AX184" s="762">
        <f t="shared" si="362"/>
        <v>44886.996249178046</v>
      </c>
      <c r="AY184" s="717" t="s">
        <v>231</v>
      </c>
      <c r="AZ184" s="717">
        <f t="shared" si="363"/>
        <v>3635846.6961834212</v>
      </c>
      <c r="BA184" s="717">
        <f t="shared" si="364"/>
        <v>136344.25110687828</v>
      </c>
      <c r="BB184" s="717"/>
      <c r="BC184" s="717">
        <f t="shared" si="327"/>
        <v>33600</v>
      </c>
      <c r="BD184" s="717">
        <f t="shared" si="365"/>
        <v>3805790.9472902995</v>
      </c>
      <c r="BE184" s="717"/>
      <c r="BF184" s="717">
        <f t="shared" si="366"/>
        <v>3805790.9472902995</v>
      </c>
      <c r="BG184" s="1209"/>
      <c r="BH184" s="717">
        <f t="shared" si="367"/>
        <v>3805790.9472902995</v>
      </c>
      <c r="BI184" s="717"/>
      <c r="BJ184" s="717">
        <f t="shared" si="368"/>
        <v>3805790.9472902995</v>
      </c>
      <c r="BK184" s="717"/>
      <c r="BL184" s="717">
        <f t="shared" si="369"/>
        <v>3805790.9472902995</v>
      </c>
      <c r="BM184" s="717"/>
      <c r="BN184" s="717">
        <f t="shared" si="370"/>
        <v>3805790.9472902995</v>
      </c>
      <c r="BO184" s="717"/>
      <c r="BP184" s="717">
        <f t="shared" si="328"/>
        <v>3805790.9472902995</v>
      </c>
      <c r="BQ184" s="717"/>
      <c r="BR184" s="717">
        <f t="shared" si="433"/>
        <v>3805790.9472902995</v>
      </c>
      <c r="BS184" s="717"/>
      <c r="BT184" s="717">
        <f t="shared" si="371"/>
        <v>3805790.9472902995</v>
      </c>
      <c r="BU184" s="717"/>
      <c r="BV184" s="1235">
        <f t="shared" si="434"/>
        <v>51400</v>
      </c>
      <c r="BW184" s="717">
        <f t="shared" si="372"/>
        <v>3857190.9472902995</v>
      </c>
      <c r="BX184" s="717"/>
      <c r="BY184" s="717">
        <f t="shared" si="373"/>
        <v>3857190.9472902995</v>
      </c>
      <c r="BZ184" s="1194">
        <f t="shared" si="374"/>
        <v>3857190.9472902995</v>
      </c>
      <c r="CA184" s="1194">
        <f t="shared" si="375"/>
        <v>3043190.9472902995</v>
      </c>
      <c r="CB184" s="1194">
        <v>37000</v>
      </c>
      <c r="CC184" s="1194">
        <f t="shared" si="376"/>
        <v>814000</v>
      </c>
      <c r="CD184" s="1194">
        <f t="shared" si="377"/>
        <v>97680</v>
      </c>
      <c r="CE184" s="1194">
        <f t="shared" si="378"/>
        <v>911680</v>
      </c>
      <c r="CF184" s="1200">
        <f t="shared" si="379"/>
        <v>3954870.9472902995</v>
      </c>
      <c r="CG184" s="757">
        <f t="shared" si="380"/>
        <v>3954870.9472902995</v>
      </c>
      <c r="CH184" s="758">
        <f t="shared" si="381"/>
        <v>0</v>
      </c>
      <c r="CI184" s="757">
        <f t="shared" si="329"/>
        <v>405374.27209725569</v>
      </c>
      <c r="CJ184" s="757">
        <f t="shared" si="330"/>
        <v>98871.773682257495</v>
      </c>
      <c r="CK184" s="759">
        <f t="shared" si="444"/>
        <v>4459116.9930698127</v>
      </c>
      <c r="CL184" s="764">
        <f t="shared" si="382"/>
        <v>0.125</v>
      </c>
      <c r="CM184" s="757">
        <f t="shared" si="383"/>
        <v>557389.62413372658</v>
      </c>
      <c r="CN184" s="757">
        <f t="shared" si="425"/>
        <v>30000</v>
      </c>
      <c r="CO184" s="757">
        <f t="shared" si="384"/>
        <v>527389.62413372658</v>
      </c>
      <c r="CP184" s="755">
        <f t="shared" si="385"/>
        <v>29</v>
      </c>
      <c r="CQ184" s="757">
        <f t="shared" si="427"/>
        <v>18185.849108059538</v>
      </c>
      <c r="CR184" s="764">
        <f t="shared" si="386"/>
        <v>0.875</v>
      </c>
      <c r="CS184" s="757">
        <f t="shared" si="387"/>
        <v>3901727.3689360861</v>
      </c>
      <c r="CT184" s="1101">
        <f t="shared" si="388"/>
        <v>30250.050762111794</v>
      </c>
      <c r="CU184" s="1101">
        <f t="shared" si="389"/>
        <v>35069.828643584122</v>
      </c>
      <c r="CV184" s="1101">
        <f t="shared" si="390"/>
        <v>45302.363113285224</v>
      </c>
      <c r="CW184" s="1141">
        <f t="shared" si="331"/>
        <v>77258.878282619058</v>
      </c>
      <c r="CX184" s="1152">
        <f t="shared" si="391"/>
        <v>316949.71587485942</v>
      </c>
      <c r="CY184" s="1152">
        <f t="shared" si="392"/>
        <v>125415.45862097293</v>
      </c>
      <c r="CZ184" s="1152">
        <f t="shared" si="393"/>
        <v>90585.809478382245</v>
      </c>
      <c r="DA184" s="1152">
        <f t="shared" si="394"/>
        <v>68939.971368327359</v>
      </c>
      <c r="DB184" s="1143">
        <f t="shared" si="332"/>
        <v>0.17588086307566769</v>
      </c>
      <c r="DC184" s="1143">
        <f t="shared" si="395"/>
        <v>0.29958028128723663</v>
      </c>
      <c r="DD184" s="1098" t="s">
        <v>232</v>
      </c>
      <c r="DE184" s="1144"/>
      <c r="DF184" s="705"/>
      <c r="DG184" s="765">
        <f t="shared" si="426"/>
        <v>46082</v>
      </c>
      <c r="DH184" s="1116">
        <f t="shared" si="333"/>
        <v>28</v>
      </c>
      <c r="DI184" s="497"/>
      <c r="DJ184" s="1117">
        <f t="shared" si="396"/>
        <v>46147</v>
      </c>
      <c r="DK184" s="1116">
        <f t="shared" si="397"/>
        <v>30</v>
      </c>
      <c r="DL184" s="766" t="s">
        <v>233</v>
      </c>
      <c r="DM184" s="766" t="s">
        <v>234</v>
      </c>
      <c r="DN184" s="767">
        <f t="shared" si="334"/>
        <v>26861.804542465612</v>
      </c>
      <c r="DO184" s="767">
        <f t="shared" si="335"/>
        <v>590959.69993424346</v>
      </c>
      <c r="DP184" s="768">
        <f t="shared" si="336"/>
        <v>0.19698656664474781</v>
      </c>
      <c r="DR184" s="767">
        <f t="shared" si="337"/>
        <v>3954870.9472902995</v>
      </c>
      <c r="DS184" s="767">
        <f>SUM('[6]INTERNAL PRICELIST'!M184)</f>
        <v>0</v>
      </c>
      <c r="DT184" s="767">
        <f t="shared" si="398"/>
        <v>3954870.9472902995</v>
      </c>
      <c r="DV184" s="951">
        <f t="shared" si="338"/>
        <v>179766.86124046816</v>
      </c>
      <c r="DX184" s="781"/>
      <c r="DY184" s="782"/>
      <c r="DZ184" s="781"/>
      <c r="EA184" s="775"/>
      <c r="ED184" s="755" t="s">
        <v>598</v>
      </c>
      <c r="EE184" s="777" t="b">
        <f t="shared" si="340"/>
        <v>1</v>
      </c>
      <c r="EF184" s="1123" t="s">
        <v>599</v>
      </c>
      <c r="EG184" s="1123" t="s">
        <v>567</v>
      </c>
      <c r="EH184" s="1203"/>
      <c r="EP184" s="1230" t="s">
        <v>236</v>
      </c>
      <c r="EQ184" s="1145" t="s">
        <v>236</v>
      </c>
      <c r="ER184" s="753" t="b">
        <f t="shared" si="399"/>
        <v>1</v>
      </c>
      <c r="EU184" s="770">
        <v>3166487.7924007284</v>
      </c>
      <c r="EV184" s="771" t="s">
        <v>258</v>
      </c>
      <c r="EW184" s="775">
        <f>EU184-CG184</f>
        <v>-788383.15488957101</v>
      </c>
      <c r="FJ184" s="994">
        <v>0.15</v>
      </c>
      <c r="FK184" s="993">
        <v>13630.985074573726</v>
      </c>
      <c r="FL184" s="993">
        <v>13999.390076589232</v>
      </c>
      <c r="FM184" s="497"/>
      <c r="FN184" s="993">
        <f t="shared" si="341"/>
        <v>4459116.9930698127</v>
      </c>
      <c r="FO184" s="994">
        <f t="shared" si="400"/>
        <v>0.15</v>
      </c>
      <c r="FP184" s="775">
        <f t="shared" si="342"/>
        <v>668867.54896047188</v>
      </c>
      <c r="FQ184" s="993">
        <f t="shared" si="343"/>
        <v>30000</v>
      </c>
      <c r="FR184" s="775">
        <f t="shared" si="401"/>
        <v>638867.54896047188</v>
      </c>
      <c r="FS184" s="497">
        <f t="shared" si="402"/>
        <v>40</v>
      </c>
      <c r="FT184" s="775">
        <f t="shared" si="403"/>
        <v>15971.688724011798</v>
      </c>
      <c r="FU184" s="497"/>
      <c r="FV184" s="993">
        <f t="shared" si="404"/>
        <v>4459116.9930698127</v>
      </c>
      <c r="FW184" s="705">
        <f t="shared" si="405"/>
        <v>445911.69930698129</v>
      </c>
      <c r="FX184" s="705">
        <f t="shared" si="406"/>
        <v>111477.92482674532</v>
      </c>
      <c r="FY184" s="705">
        <v>15000</v>
      </c>
      <c r="FZ184" s="705">
        <f t="shared" si="407"/>
        <v>430911.69930698129</v>
      </c>
      <c r="GA184" s="497">
        <f t="shared" si="408"/>
        <v>46</v>
      </c>
      <c r="GB184" s="775">
        <f t="shared" si="409"/>
        <v>9367.6456371082895</v>
      </c>
      <c r="GC184" s="497"/>
      <c r="GD184" s="497"/>
      <c r="GH184" s="1095">
        <f t="shared" si="307"/>
        <v>4459116.9930698127</v>
      </c>
      <c r="GI184" s="1098">
        <f t="shared" si="308"/>
        <v>0.125</v>
      </c>
      <c r="GJ184" s="1095">
        <f t="shared" si="309"/>
        <v>557389.62413372658</v>
      </c>
      <c r="GK184" s="1095">
        <f t="shared" si="310"/>
        <v>30000</v>
      </c>
      <c r="GL184" s="1095">
        <f t="shared" si="311"/>
        <v>527389.62413372658</v>
      </c>
      <c r="GM184" s="1095">
        <f t="shared" si="312"/>
        <v>29</v>
      </c>
      <c r="GN184" s="1095">
        <f t="shared" si="313"/>
        <v>18185.849108059538</v>
      </c>
      <c r="GO184" s="1098">
        <f t="shared" si="314"/>
        <v>0.875</v>
      </c>
      <c r="GP184" s="1095">
        <f t="shared" si="315"/>
        <v>3901727.3689360861</v>
      </c>
      <c r="GQ184" s="1095">
        <f t="shared" si="316"/>
        <v>30250.050762111794</v>
      </c>
      <c r="GR184" s="1095">
        <f t="shared" si="317"/>
        <v>35069.828643584122</v>
      </c>
      <c r="GS184" s="1095">
        <f t="shared" si="318"/>
        <v>45302.363113285224</v>
      </c>
      <c r="GT184" s="1095">
        <f t="shared" si="319"/>
        <v>77258.878282619058</v>
      </c>
      <c r="GU184" s="497"/>
      <c r="GV184" s="1095">
        <f t="shared" si="410"/>
        <v>4459116.9930698127</v>
      </c>
      <c r="GW184" s="1098">
        <f t="shared" si="411"/>
        <v>0.125</v>
      </c>
      <c r="GX184" s="1095">
        <f t="shared" si="412"/>
        <v>557389.62413372658</v>
      </c>
      <c r="GY184" s="1095">
        <f t="shared" si="413"/>
        <v>30000</v>
      </c>
      <c r="GZ184" s="1095">
        <f t="shared" si="414"/>
        <v>527389.62413372658</v>
      </c>
      <c r="HA184" s="1106">
        <f t="shared" si="415"/>
        <v>48</v>
      </c>
      <c r="HB184" s="770">
        <f t="shared" si="416"/>
        <v>10987.283836119304</v>
      </c>
      <c r="HC184" s="1098">
        <f t="shared" si="417"/>
        <v>0.875</v>
      </c>
      <c r="HD184" s="1102">
        <f t="shared" si="418"/>
        <v>3901727.3689360861</v>
      </c>
      <c r="HE184" s="1101">
        <f t="shared" si="419"/>
        <v>30250.050762111794</v>
      </c>
      <c r="HF184" s="1101">
        <f t="shared" si="420"/>
        <v>35069.828643584122</v>
      </c>
      <c r="HG184" s="1101">
        <f t="shared" si="421"/>
        <v>45302.363113285224</v>
      </c>
      <c r="HH184" s="1101">
        <f t="shared" si="422"/>
        <v>77258.878282619058</v>
      </c>
      <c r="HI184" s="497"/>
      <c r="HJ184" s="1102">
        <f t="shared" si="423"/>
        <v>-7198.5652719402333</v>
      </c>
      <c r="HL184" s="775"/>
      <c r="HN184" s="775"/>
      <c r="HO184" s="775"/>
      <c r="HQ184" s="702"/>
      <c r="HR184" s="1171"/>
      <c r="HS184" s="702"/>
      <c r="HT184" s="1171"/>
    </row>
    <row r="185" spans="1:228" ht="14.25" hidden="1" customHeight="1">
      <c r="A185" s="753">
        <f t="shared" si="424"/>
        <v>179</v>
      </c>
      <c r="B185" s="753"/>
      <c r="C185" s="753">
        <f t="shared" si="445"/>
        <v>24</v>
      </c>
      <c r="D185" s="753" t="s">
        <v>272</v>
      </c>
      <c r="E185" s="717" t="str">
        <f t="shared" si="344"/>
        <v>8th Floor</v>
      </c>
      <c r="F185" s="754"/>
      <c r="G185" s="756" t="s">
        <v>600</v>
      </c>
      <c r="H185" s="756"/>
      <c r="I185" s="755" t="s">
        <v>229</v>
      </c>
      <c r="J185" s="757">
        <v>22</v>
      </c>
      <c r="K185" s="758"/>
      <c r="L185" s="759" t="s">
        <v>69</v>
      </c>
      <c r="M185" s="760" t="s">
        <v>68</v>
      </c>
      <c r="N185" s="761">
        <f t="shared" si="345"/>
        <v>106005.26567735759</v>
      </c>
      <c r="O185" s="762">
        <f t="shared" si="346"/>
        <v>2332115.8449018667</v>
      </c>
      <c r="P185" s="762">
        <f t="shared" si="347"/>
        <v>22400</v>
      </c>
      <c r="Q185" s="762">
        <f t="shared" si="320"/>
        <v>50000</v>
      </c>
      <c r="R185" s="762"/>
      <c r="S185" s="762"/>
      <c r="T185" s="762">
        <f t="shared" si="443"/>
        <v>66000</v>
      </c>
      <c r="U185" s="762"/>
      <c r="V185" s="762"/>
      <c r="W185" s="762"/>
      <c r="X185" s="762"/>
      <c r="Y185" s="762">
        <f t="shared" si="446"/>
        <v>80000</v>
      </c>
      <c r="Z185" s="762">
        <f t="shared" si="321"/>
        <v>142461</v>
      </c>
      <c r="AA185" s="762"/>
      <c r="AB185" s="762"/>
      <c r="AC185" s="762"/>
      <c r="AD185" s="763">
        <f t="shared" si="348"/>
        <v>360861</v>
      </c>
      <c r="AE185" s="763">
        <f t="shared" si="322"/>
        <v>2692976.8449018667</v>
      </c>
      <c r="AF185" s="762">
        <f t="shared" si="323"/>
        <v>67324.421122546672</v>
      </c>
      <c r="AG185" s="762">
        <f t="shared" si="349"/>
        <v>2760301.2660244135</v>
      </c>
      <c r="AH185" s="762">
        <f t="shared" si="324"/>
        <v>69007.531650610341</v>
      </c>
      <c r="AI185" s="762">
        <f t="shared" si="350"/>
        <v>2829308.7976750238</v>
      </c>
      <c r="AJ185" s="762">
        <f t="shared" si="351"/>
        <v>141465.43988375118</v>
      </c>
      <c r="AK185" s="762">
        <f t="shared" si="352"/>
        <v>2970774.2375587751</v>
      </c>
      <c r="AL185" s="762">
        <f t="shared" si="353"/>
        <v>29707.742375587753</v>
      </c>
      <c r="AM185" s="762">
        <f t="shared" si="354"/>
        <v>27537.409960060559</v>
      </c>
      <c r="AN185" s="762"/>
      <c r="AO185" s="763">
        <f t="shared" si="355"/>
        <v>3028019.3898944231</v>
      </c>
      <c r="AP185" s="763">
        <f t="shared" si="356"/>
        <v>499623.19933257985</v>
      </c>
      <c r="AQ185" s="763">
        <f t="shared" si="357"/>
        <v>3527642.589227003</v>
      </c>
      <c r="AR185" s="1178">
        <f t="shared" si="325"/>
        <v>3000000</v>
      </c>
      <c r="AS185" s="1178">
        <f t="shared" si="358"/>
        <v>23983.754055772864</v>
      </c>
      <c r="AT185" s="1178">
        <f t="shared" si="359"/>
        <v>527642.58922700305</v>
      </c>
      <c r="AU185" s="1178">
        <f t="shared" si="326"/>
        <v>63317.110707240361</v>
      </c>
      <c r="AV185" s="1178">
        <f t="shared" si="360"/>
        <v>590959.69993424346</v>
      </c>
      <c r="AW185" s="1178">
        <f t="shared" si="361"/>
        <v>3590959.6999342432</v>
      </c>
      <c r="AX185" s="762">
        <f t="shared" si="362"/>
        <v>44886.996249178046</v>
      </c>
      <c r="AY185" s="717" t="s">
        <v>231</v>
      </c>
      <c r="AZ185" s="717">
        <f t="shared" si="363"/>
        <v>3635846.6961834212</v>
      </c>
      <c r="BA185" s="717">
        <f t="shared" si="364"/>
        <v>136344.25110687828</v>
      </c>
      <c r="BB185" s="717"/>
      <c r="BC185" s="717">
        <f t="shared" si="327"/>
        <v>33600</v>
      </c>
      <c r="BD185" s="717">
        <f t="shared" si="365"/>
        <v>3805790.9472902995</v>
      </c>
      <c r="BE185" s="717"/>
      <c r="BF185" s="717">
        <f t="shared" si="366"/>
        <v>3805790.9472902995</v>
      </c>
      <c r="BG185" s="1209"/>
      <c r="BH185" s="717">
        <f t="shared" si="367"/>
        <v>3805790.9472902995</v>
      </c>
      <c r="BI185" s="717"/>
      <c r="BJ185" s="717">
        <f t="shared" si="368"/>
        <v>3805790.9472902995</v>
      </c>
      <c r="BK185" s="717"/>
      <c r="BL185" s="717">
        <f t="shared" si="369"/>
        <v>3805790.9472902995</v>
      </c>
      <c r="BM185" s="717"/>
      <c r="BN185" s="717">
        <f t="shared" si="370"/>
        <v>3805790.9472902995</v>
      </c>
      <c r="BO185" s="717"/>
      <c r="BP185" s="717">
        <f t="shared" si="328"/>
        <v>3805790.9472902995</v>
      </c>
      <c r="BQ185" s="717"/>
      <c r="BR185" s="717">
        <f t="shared" si="433"/>
        <v>3805790.9472902995</v>
      </c>
      <c r="BS185" s="717"/>
      <c r="BT185" s="717">
        <f t="shared" si="371"/>
        <v>3805790.9472902995</v>
      </c>
      <c r="BU185" s="717"/>
      <c r="BV185" s="1235">
        <f t="shared" si="434"/>
        <v>51400</v>
      </c>
      <c r="BW185" s="717">
        <f t="shared" si="372"/>
        <v>3857190.9472902995</v>
      </c>
      <c r="BX185" s="717"/>
      <c r="BY185" s="717">
        <f t="shared" si="373"/>
        <v>3857190.9472902995</v>
      </c>
      <c r="BZ185" s="1194">
        <f t="shared" si="374"/>
        <v>3857190.9472902995</v>
      </c>
      <c r="CA185" s="1194">
        <f t="shared" si="375"/>
        <v>3043190.9472902995</v>
      </c>
      <c r="CB185" s="1194">
        <v>37000</v>
      </c>
      <c r="CC185" s="1194">
        <f t="shared" si="376"/>
        <v>814000</v>
      </c>
      <c r="CD185" s="1194">
        <f t="shared" si="377"/>
        <v>97680</v>
      </c>
      <c r="CE185" s="1194">
        <f t="shared" si="378"/>
        <v>911680</v>
      </c>
      <c r="CF185" s="1200">
        <f t="shared" si="379"/>
        <v>3954870.9472902995</v>
      </c>
      <c r="CG185" s="757">
        <f t="shared" si="380"/>
        <v>3954870.9472902995</v>
      </c>
      <c r="CH185" s="758">
        <f t="shared" si="381"/>
        <v>0</v>
      </c>
      <c r="CI185" s="757">
        <f t="shared" si="329"/>
        <v>405374.27209725569</v>
      </c>
      <c r="CJ185" s="757">
        <f t="shared" si="330"/>
        <v>98871.773682257495</v>
      </c>
      <c r="CK185" s="759">
        <f t="shared" si="444"/>
        <v>4459116.9930698127</v>
      </c>
      <c r="CL185" s="764">
        <f t="shared" si="382"/>
        <v>0.125</v>
      </c>
      <c r="CM185" s="757">
        <f t="shared" si="383"/>
        <v>557389.62413372658</v>
      </c>
      <c r="CN185" s="757">
        <f t="shared" si="425"/>
        <v>30000</v>
      </c>
      <c r="CO185" s="757">
        <f t="shared" si="384"/>
        <v>527389.62413372658</v>
      </c>
      <c r="CP185" s="755">
        <f t="shared" si="385"/>
        <v>29</v>
      </c>
      <c r="CQ185" s="757">
        <f t="shared" si="427"/>
        <v>18185.849108059538</v>
      </c>
      <c r="CR185" s="764">
        <f t="shared" si="386"/>
        <v>0.875</v>
      </c>
      <c r="CS185" s="757">
        <f t="shared" si="387"/>
        <v>3901727.3689360861</v>
      </c>
      <c r="CT185" s="1101">
        <f t="shared" si="388"/>
        <v>30250.050762111794</v>
      </c>
      <c r="CU185" s="1101">
        <f t="shared" si="389"/>
        <v>35069.828643584122</v>
      </c>
      <c r="CV185" s="1101">
        <f t="shared" si="390"/>
        <v>45302.363113285224</v>
      </c>
      <c r="CW185" s="1141">
        <f t="shared" si="331"/>
        <v>77258.878282619058</v>
      </c>
      <c r="CX185" s="1152">
        <f t="shared" si="391"/>
        <v>316949.71587485942</v>
      </c>
      <c r="CY185" s="1152">
        <f t="shared" si="392"/>
        <v>125415.45862097293</v>
      </c>
      <c r="CZ185" s="1152">
        <f t="shared" si="393"/>
        <v>90585.809478382245</v>
      </c>
      <c r="DA185" s="1152">
        <f t="shared" si="394"/>
        <v>68939.971368327359</v>
      </c>
      <c r="DB185" s="1143">
        <f t="shared" si="332"/>
        <v>0.17588086307566769</v>
      </c>
      <c r="DC185" s="1143">
        <f t="shared" si="395"/>
        <v>0.29958028128723663</v>
      </c>
      <c r="DD185" s="1098" t="s">
        <v>232</v>
      </c>
      <c r="DE185" s="1144"/>
      <c r="DF185" s="705"/>
      <c r="DG185" s="765">
        <f t="shared" si="426"/>
        <v>46082</v>
      </c>
      <c r="DH185" s="1116">
        <f t="shared" si="333"/>
        <v>28</v>
      </c>
      <c r="DI185" s="497"/>
      <c r="DJ185" s="1117">
        <f t="shared" si="396"/>
        <v>46147</v>
      </c>
      <c r="DK185" s="1116">
        <f t="shared" si="397"/>
        <v>30</v>
      </c>
      <c r="DL185" s="766" t="s">
        <v>233</v>
      </c>
      <c r="DM185" s="766" t="s">
        <v>234</v>
      </c>
      <c r="DN185" s="767">
        <f t="shared" si="334"/>
        <v>26861.804542465612</v>
      </c>
      <c r="DO185" s="767">
        <f t="shared" si="335"/>
        <v>590959.69993424346</v>
      </c>
      <c r="DP185" s="768">
        <f t="shared" si="336"/>
        <v>0.19698656664474781</v>
      </c>
      <c r="DR185" s="767">
        <f t="shared" si="337"/>
        <v>3954870.9472902995</v>
      </c>
      <c r="DS185" s="767">
        <f>SUM('[6]INTERNAL PRICELIST'!M185)</f>
        <v>0</v>
      </c>
      <c r="DT185" s="767">
        <f t="shared" si="398"/>
        <v>3954870.9472902995</v>
      </c>
      <c r="DV185" s="951">
        <f t="shared" si="338"/>
        <v>179766.86124046816</v>
      </c>
      <c r="DX185" s="781"/>
      <c r="DY185" s="782"/>
      <c r="DZ185" s="781"/>
      <c r="EA185" s="775"/>
      <c r="ED185" s="755" t="s">
        <v>600</v>
      </c>
      <c r="EE185" s="777" t="b">
        <f t="shared" si="340"/>
        <v>1</v>
      </c>
      <c r="EF185" s="777"/>
      <c r="EG185" s="777"/>
      <c r="EH185" s="1203"/>
      <c r="EP185" s="1230" t="s">
        <v>236</v>
      </c>
      <c r="EQ185" s="1145" t="s">
        <v>236</v>
      </c>
      <c r="ER185" s="753" t="b">
        <f t="shared" si="399"/>
        <v>1</v>
      </c>
      <c r="EU185" s="770">
        <v>3166487.7924007284</v>
      </c>
      <c r="EV185" s="771" t="s">
        <v>258</v>
      </c>
      <c r="EW185" s="775">
        <f>EU185-CG185</f>
        <v>-788383.15488957101</v>
      </c>
      <c r="FJ185" s="994">
        <v>0.15</v>
      </c>
      <c r="FK185" s="993">
        <v>13630.985074573726</v>
      </c>
      <c r="FL185" s="993">
        <v>13999.390076589232</v>
      </c>
      <c r="FM185" s="497"/>
      <c r="FN185" s="993">
        <f t="shared" si="341"/>
        <v>4459116.9930698127</v>
      </c>
      <c r="FO185" s="994">
        <f t="shared" si="400"/>
        <v>0.15</v>
      </c>
      <c r="FP185" s="775">
        <f t="shared" si="342"/>
        <v>668867.54896047188</v>
      </c>
      <c r="FQ185" s="993">
        <f t="shared" si="343"/>
        <v>30000</v>
      </c>
      <c r="FR185" s="775">
        <f t="shared" si="401"/>
        <v>638867.54896047188</v>
      </c>
      <c r="FS185" s="497">
        <f t="shared" si="402"/>
        <v>40</v>
      </c>
      <c r="FT185" s="775">
        <f t="shared" si="403"/>
        <v>15971.688724011798</v>
      </c>
      <c r="FU185" s="497"/>
      <c r="FV185" s="993">
        <f t="shared" si="404"/>
        <v>4459116.9930698127</v>
      </c>
      <c r="FW185" s="705">
        <f t="shared" si="405"/>
        <v>445911.69930698129</v>
      </c>
      <c r="FX185" s="705">
        <f t="shared" si="406"/>
        <v>111477.92482674532</v>
      </c>
      <c r="FY185" s="705">
        <v>15000</v>
      </c>
      <c r="FZ185" s="705">
        <f t="shared" si="407"/>
        <v>430911.69930698129</v>
      </c>
      <c r="GA185" s="497">
        <f t="shared" si="408"/>
        <v>46</v>
      </c>
      <c r="GB185" s="775">
        <f t="shared" si="409"/>
        <v>9367.6456371082895</v>
      </c>
      <c r="GC185" s="497"/>
      <c r="GD185" s="497"/>
      <c r="GH185" s="1095">
        <f t="shared" si="307"/>
        <v>4459116.9930698127</v>
      </c>
      <c r="GI185" s="1098">
        <f t="shared" si="308"/>
        <v>0.125</v>
      </c>
      <c r="GJ185" s="1095">
        <f t="shared" si="309"/>
        <v>557389.62413372658</v>
      </c>
      <c r="GK185" s="1095">
        <f t="shared" si="310"/>
        <v>30000</v>
      </c>
      <c r="GL185" s="1095">
        <f t="shared" si="311"/>
        <v>527389.62413372658</v>
      </c>
      <c r="GM185" s="1095">
        <f t="shared" si="312"/>
        <v>29</v>
      </c>
      <c r="GN185" s="1095">
        <f t="shared" si="313"/>
        <v>18185.849108059538</v>
      </c>
      <c r="GO185" s="1098">
        <f t="shared" si="314"/>
        <v>0.875</v>
      </c>
      <c r="GP185" s="1095">
        <f t="shared" si="315"/>
        <v>3901727.3689360861</v>
      </c>
      <c r="GQ185" s="1095">
        <f t="shared" si="316"/>
        <v>30250.050762111794</v>
      </c>
      <c r="GR185" s="1095">
        <f t="shared" si="317"/>
        <v>35069.828643584122</v>
      </c>
      <c r="GS185" s="1095">
        <f t="shared" si="318"/>
        <v>45302.363113285224</v>
      </c>
      <c r="GT185" s="1095">
        <f t="shared" si="319"/>
        <v>77258.878282619058</v>
      </c>
      <c r="GU185" s="497"/>
      <c r="GV185" s="1095">
        <f t="shared" si="410"/>
        <v>4459116.9930698127</v>
      </c>
      <c r="GW185" s="1098">
        <f t="shared" si="411"/>
        <v>0.125</v>
      </c>
      <c r="GX185" s="1095">
        <f t="shared" si="412"/>
        <v>557389.62413372658</v>
      </c>
      <c r="GY185" s="1095">
        <f t="shared" si="413"/>
        <v>30000</v>
      </c>
      <c r="GZ185" s="1095">
        <f t="shared" si="414"/>
        <v>527389.62413372658</v>
      </c>
      <c r="HA185" s="1106">
        <f t="shared" si="415"/>
        <v>48</v>
      </c>
      <c r="HB185" s="770">
        <f t="shared" si="416"/>
        <v>10987.283836119304</v>
      </c>
      <c r="HC185" s="1098">
        <f t="shared" si="417"/>
        <v>0.875</v>
      </c>
      <c r="HD185" s="1102">
        <f t="shared" si="418"/>
        <v>3901727.3689360861</v>
      </c>
      <c r="HE185" s="1101">
        <f t="shared" si="419"/>
        <v>30250.050762111794</v>
      </c>
      <c r="HF185" s="1101">
        <f t="shared" si="420"/>
        <v>35069.828643584122</v>
      </c>
      <c r="HG185" s="1101">
        <f t="shared" si="421"/>
        <v>45302.363113285224</v>
      </c>
      <c r="HH185" s="1101">
        <f t="shared" si="422"/>
        <v>77258.878282619058</v>
      </c>
      <c r="HI185" s="497"/>
      <c r="HJ185" s="1102">
        <f t="shared" si="423"/>
        <v>-7198.5652719402333</v>
      </c>
      <c r="HL185" s="775"/>
      <c r="HN185" s="775"/>
      <c r="HO185" s="775"/>
      <c r="HQ185" s="702"/>
      <c r="HR185" s="1171"/>
      <c r="HS185" s="702"/>
      <c r="HT185" s="1171"/>
    </row>
    <row r="186" spans="1:228" ht="14.25" hidden="1" customHeight="1">
      <c r="A186" s="753">
        <f t="shared" si="424"/>
        <v>180</v>
      </c>
      <c r="B186" s="753"/>
      <c r="C186" s="753">
        <f t="shared" si="445"/>
        <v>25</v>
      </c>
      <c r="D186" s="753" t="s">
        <v>272</v>
      </c>
      <c r="E186" s="717" t="str">
        <f t="shared" si="344"/>
        <v>8th Floor</v>
      </c>
      <c r="F186" s="754"/>
      <c r="G186" s="756" t="s">
        <v>601</v>
      </c>
      <c r="H186" s="756"/>
      <c r="I186" s="755" t="s">
        <v>229</v>
      </c>
      <c r="J186" s="757">
        <v>22</v>
      </c>
      <c r="K186" s="758"/>
      <c r="L186" s="759" t="s">
        <v>69</v>
      </c>
      <c r="M186" s="760" t="s">
        <v>230</v>
      </c>
      <c r="N186" s="761">
        <f t="shared" si="345"/>
        <v>106005.26567735759</v>
      </c>
      <c r="O186" s="762">
        <f t="shared" si="346"/>
        <v>2332115.8449018667</v>
      </c>
      <c r="P186" s="762">
        <f t="shared" si="347"/>
        <v>22400</v>
      </c>
      <c r="Q186" s="762">
        <f t="shared" si="320"/>
        <v>50000</v>
      </c>
      <c r="R186" s="762"/>
      <c r="S186" s="762"/>
      <c r="T186" s="762">
        <f t="shared" si="443"/>
        <v>66000</v>
      </c>
      <c r="U186" s="762"/>
      <c r="V186" s="762">
        <f t="shared" ref="V186:V187" si="456">J186*$V$5</f>
        <v>55000</v>
      </c>
      <c r="W186" s="762"/>
      <c r="X186" s="762"/>
      <c r="Y186" s="762">
        <f t="shared" si="446"/>
        <v>80000</v>
      </c>
      <c r="Z186" s="762">
        <f t="shared" si="321"/>
        <v>142461</v>
      </c>
      <c r="AA186" s="762"/>
      <c r="AB186" s="762"/>
      <c r="AC186" s="762"/>
      <c r="AD186" s="763">
        <f t="shared" si="348"/>
        <v>415861</v>
      </c>
      <c r="AE186" s="763">
        <f t="shared" si="322"/>
        <v>2747976.8449018667</v>
      </c>
      <c r="AF186" s="762">
        <f t="shared" si="323"/>
        <v>68699.421122546672</v>
      </c>
      <c r="AG186" s="762">
        <f t="shared" si="349"/>
        <v>2816676.2660244135</v>
      </c>
      <c r="AH186" s="762">
        <f t="shared" si="324"/>
        <v>70416.906650610341</v>
      </c>
      <c r="AI186" s="762">
        <f t="shared" si="350"/>
        <v>2887093.1726750238</v>
      </c>
      <c r="AJ186" s="762">
        <f t="shared" si="351"/>
        <v>144354.65863375118</v>
      </c>
      <c r="AK186" s="762">
        <f t="shared" si="352"/>
        <v>3031447.8313087751</v>
      </c>
      <c r="AL186" s="762">
        <f t="shared" si="353"/>
        <v>30314.478313087751</v>
      </c>
      <c r="AM186" s="762">
        <f t="shared" si="354"/>
        <v>27537.409960060559</v>
      </c>
      <c r="AN186" s="762"/>
      <c r="AO186" s="763">
        <f t="shared" si="355"/>
        <v>3089299.7195819234</v>
      </c>
      <c r="AP186" s="763">
        <f t="shared" si="356"/>
        <v>509734.45373101742</v>
      </c>
      <c r="AQ186" s="763">
        <f t="shared" si="357"/>
        <v>3599034.1733129406</v>
      </c>
      <c r="AR186" s="1178">
        <f t="shared" si="325"/>
        <v>3000000</v>
      </c>
      <c r="AS186" s="1178">
        <f t="shared" si="358"/>
        <v>27228.826059679119</v>
      </c>
      <c r="AT186" s="1178">
        <f t="shared" si="359"/>
        <v>599034.17331294063</v>
      </c>
      <c r="AU186" s="1178">
        <f t="shared" si="326"/>
        <v>71884.100797552877</v>
      </c>
      <c r="AV186" s="1178">
        <f t="shared" si="360"/>
        <v>670918.27411049348</v>
      </c>
      <c r="AW186" s="1178">
        <f t="shared" si="361"/>
        <v>3670918.2741104937</v>
      </c>
      <c r="AX186" s="762">
        <f t="shared" si="362"/>
        <v>45886.478426381174</v>
      </c>
      <c r="AY186" s="717" t="s">
        <v>231</v>
      </c>
      <c r="AZ186" s="717">
        <f t="shared" si="363"/>
        <v>3716804.7525368747</v>
      </c>
      <c r="BA186" s="717">
        <f t="shared" si="364"/>
        <v>139380.1782201328</v>
      </c>
      <c r="BB186" s="717"/>
      <c r="BC186" s="717">
        <f t="shared" si="327"/>
        <v>33600</v>
      </c>
      <c r="BD186" s="717">
        <f t="shared" si="365"/>
        <v>3889784.9307570076</v>
      </c>
      <c r="BE186" s="717"/>
      <c r="BF186" s="717">
        <f t="shared" si="366"/>
        <v>3889784.9307570076</v>
      </c>
      <c r="BG186" s="1209"/>
      <c r="BH186" s="717">
        <f t="shared" si="367"/>
        <v>3889784.9307570076</v>
      </c>
      <c r="BI186" s="717"/>
      <c r="BJ186" s="717">
        <f t="shared" si="368"/>
        <v>3889784.9307570076</v>
      </c>
      <c r="BK186" s="717"/>
      <c r="BL186" s="717">
        <f t="shared" si="369"/>
        <v>3889784.9307570076</v>
      </c>
      <c r="BM186" s="717"/>
      <c r="BN186" s="717">
        <f t="shared" si="370"/>
        <v>3889784.9307570076</v>
      </c>
      <c r="BO186" s="717"/>
      <c r="BP186" s="717">
        <f t="shared" si="328"/>
        <v>3889784.9307570076</v>
      </c>
      <c r="BQ186" s="717"/>
      <c r="BR186" s="717">
        <f t="shared" si="433"/>
        <v>3889784.9307570076</v>
      </c>
      <c r="BS186" s="717"/>
      <c r="BT186" s="717">
        <f t="shared" si="371"/>
        <v>3889784.9307570076</v>
      </c>
      <c r="BU186" s="717"/>
      <c r="BV186" s="1235">
        <f t="shared" si="434"/>
        <v>51400</v>
      </c>
      <c r="BW186" s="717">
        <f t="shared" si="372"/>
        <v>3941184.9307570076</v>
      </c>
      <c r="BX186" s="717"/>
      <c r="BY186" s="717">
        <f t="shared" si="373"/>
        <v>3941184.9307570076</v>
      </c>
      <c r="BZ186" s="1194">
        <f t="shared" si="374"/>
        <v>3941184.9307570076</v>
      </c>
      <c r="CA186" s="1194">
        <f t="shared" si="375"/>
        <v>3039184.9307570076</v>
      </c>
      <c r="CB186" s="1194">
        <v>41000</v>
      </c>
      <c r="CC186" s="1194">
        <f t="shared" si="376"/>
        <v>902000</v>
      </c>
      <c r="CD186" s="1194">
        <f t="shared" si="377"/>
        <v>108240</v>
      </c>
      <c r="CE186" s="1194">
        <f t="shared" si="378"/>
        <v>1010240</v>
      </c>
      <c r="CF186" s="1200">
        <f t="shared" si="379"/>
        <v>4049424.9307570076</v>
      </c>
      <c r="CG186" s="757">
        <f t="shared" si="380"/>
        <v>4049424.9307570076</v>
      </c>
      <c r="CH186" s="758">
        <f t="shared" si="381"/>
        <v>0</v>
      </c>
      <c r="CI186" s="757">
        <f t="shared" si="329"/>
        <v>415066.05540259322</v>
      </c>
      <c r="CJ186" s="757">
        <f t="shared" si="330"/>
        <v>101235.62326892519</v>
      </c>
      <c r="CK186" s="759">
        <f t="shared" si="444"/>
        <v>4565726.6094285259</v>
      </c>
      <c r="CL186" s="764">
        <f t="shared" si="382"/>
        <v>0.125</v>
      </c>
      <c r="CM186" s="757">
        <f t="shared" si="383"/>
        <v>570715.82617856574</v>
      </c>
      <c r="CN186" s="757">
        <f t="shared" si="425"/>
        <v>30000</v>
      </c>
      <c r="CO186" s="757">
        <f t="shared" si="384"/>
        <v>540715.82617856574</v>
      </c>
      <c r="CP186" s="755">
        <f t="shared" si="385"/>
        <v>29</v>
      </c>
      <c r="CQ186" s="757">
        <f t="shared" si="427"/>
        <v>18645.373316502268</v>
      </c>
      <c r="CR186" s="764">
        <f t="shared" si="386"/>
        <v>0.875</v>
      </c>
      <c r="CS186" s="757">
        <f t="shared" si="387"/>
        <v>3995010.7832499603</v>
      </c>
      <c r="CT186" s="1101">
        <f t="shared" si="388"/>
        <v>30973.276080396208</v>
      </c>
      <c r="CU186" s="1101">
        <f t="shared" si="389"/>
        <v>35908.286343453619</v>
      </c>
      <c r="CV186" s="1101">
        <f t="shared" si="390"/>
        <v>46385.462650515707</v>
      </c>
      <c r="CW186" s="1141">
        <f t="shared" si="331"/>
        <v>79106.001689969766</v>
      </c>
      <c r="CX186" s="1152">
        <f t="shared" si="391"/>
        <v>324527.42412224039</v>
      </c>
      <c r="CY186" s="1152">
        <f t="shared" si="392"/>
        <v>128413.92086132543</v>
      </c>
      <c r="CZ186" s="1152">
        <f t="shared" si="393"/>
        <v>92751.556286784631</v>
      </c>
      <c r="DA186" s="1152">
        <f t="shared" si="394"/>
        <v>70588.204395355046</v>
      </c>
      <c r="DB186" s="1143">
        <f t="shared" si="332"/>
        <v>0.19967805777098022</v>
      </c>
      <c r="DC186" s="1143">
        <f t="shared" si="395"/>
        <v>0.3324049121776762</v>
      </c>
      <c r="DD186" s="1098" t="s">
        <v>232</v>
      </c>
      <c r="DE186" s="1144"/>
      <c r="DF186" s="705"/>
      <c r="DG186" s="765">
        <f t="shared" si="426"/>
        <v>46082</v>
      </c>
      <c r="DH186" s="1116">
        <f t="shared" si="333"/>
        <v>28</v>
      </c>
      <c r="DI186" s="497"/>
      <c r="DJ186" s="1117">
        <f t="shared" si="396"/>
        <v>46147</v>
      </c>
      <c r="DK186" s="1116">
        <f t="shared" si="397"/>
        <v>30</v>
      </c>
      <c r="DL186" s="766" t="s">
        <v>233</v>
      </c>
      <c r="DM186" s="766" t="s">
        <v>234</v>
      </c>
      <c r="DN186" s="767">
        <f t="shared" si="334"/>
        <v>30496.285186840614</v>
      </c>
      <c r="DO186" s="767">
        <f t="shared" si="335"/>
        <v>670918.27411049348</v>
      </c>
      <c r="DP186" s="768">
        <f t="shared" si="336"/>
        <v>0.22363942470349782</v>
      </c>
      <c r="DR186" s="767">
        <f t="shared" si="337"/>
        <v>4049424.9307570076</v>
      </c>
      <c r="DS186" s="767">
        <f>SUM('[6]INTERNAL PRICELIST'!M186)</f>
        <v>0</v>
      </c>
      <c r="DT186" s="767">
        <f t="shared" si="398"/>
        <v>4049424.9307570076</v>
      </c>
      <c r="DV186" s="951">
        <f t="shared" si="338"/>
        <v>184064.76957986399</v>
      </c>
      <c r="DX186" s="781"/>
      <c r="DY186" s="782"/>
      <c r="DZ186" s="781"/>
      <c r="EA186" s="775"/>
      <c r="ED186" s="1133" t="s">
        <v>601</v>
      </c>
      <c r="EE186" s="777" t="b">
        <f t="shared" si="340"/>
        <v>1</v>
      </c>
      <c r="EF186" s="777"/>
      <c r="EG186" s="777"/>
      <c r="EH186" s="1203"/>
      <c r="EP186" s="1230" t="s">
        <v>236</v>
      </c>
      <c r="EQ186" s="1145" t="s">
        <v>236</v>
      </c>
      <c r="ER186" s="753" t="b">
        <f t="shared" si="399"/>
        <v>1</v>
      </c>
      <c r="EU186" s="770">
        <v>3295300.7030250588</v>
      </c>
      <c r="EV186" s="771" t="s">
        <v>258</v>
      </c>
      <c r="EW186" s="775">
        <f>EU186-CG186</f>
        <v>-754124.22773194872</v>
      </c>
      <c r="EY186" s="775">
        <v>3260477.402618058</v>
      </c>
      <c r="FJ186" s="994">
        <v>0.125</v>
      </c>
      <c r="FK186" s="993">
        <v>11764.672492003094</v>
      </c>
      <c r="FL186" s="993">
        <v>12082.636613408584</v>
      </c>
      <c r="FM186" s="497"/>
      <c r="FN186" s="993">
        <f t="shared" si="341"/>
        <v>4565726.6094285259</v>
      </c>
      <c r="FO186" s="994">
        <f t="shared" si="400"/>
        <v>0.15</v>
      </c>
      <c r="FP186" s="775">
        <f t="shared" si="342"/>
        <v>684858.99141427886</v>
      </c>
      <c r="FQ186" s="993">
        <f t="shared" si="343"/>
        <v>30000</v>
      </c>
      <c r="FR186" s="775">
        <f t="shared" si="401"/>
        <v>654858.99141427886</v>
      </c>
      <c r="FS186" s="497">
        <f t="shared" si="402"/>
        <v>40</v>
      </c>
      <c r="FT186" s="775">
        <f t="shared" si="403"/>
        <v>16371.474785356972</v>
      </c>
      <c r="FU186" s="497"/>
      <c r="FV186" s="993">
        <f t="shared" si="404"/>
        <v>4565726.6094285259</v>
      </c>
      <c r="FW186" s="705">
        <f t="shared" si="405"/>
        <v>456572.66094285261</v>
      </c>
      <c r="FX186" s="705">
        <f t="shared" si="406"/>
        <v>114143.16523571315</v>
      </c>
      <c r="FY186" s="705">
        <v>15000</v>
      </c>
      <c r="FZ186" s="705">
        <f t="shared" si="407"/>
        <v>441572.66094285261</v>
      </c>
      <c r="GA186" s="497">
        <f t="shared" si="408"/>
        <v>46</v>
      </c>
      <c r="GB186" s="775">
        <f t="shared" si="409"/>
        <v>9599.4056726707095</v>
      </c>
      <c r="GC186" s="497"/>
      <c r="GD186" s="497"/>
      <c r="GH186" s="1095">
        <f t="shared" si="307"/>
        <v>4565726.6094285259</v>
      </c>
      <c r="GI186" s="1098">
        <f t="shared" si="308"/>
        <v>0.125</v>
      </c>
      <c r="GJ186" s="1095">
        <f t="shared" si="309"/>
        <v>570715.82617856574</v>
      </c>
      <c r="GK186" s="1095">
        <f t="shared" si="310"/>
        <v>30000</v>
      </c>
      <c r="GL186" s="1095">
        <f t="shared" si="311"/>
        <v>540715.82617856574</v>
      </c>
      <c r="GM186" s="1095">
        <f t="shared" si="312"/>
        <v>29</v>
      </c>
      <c r="GN186" s="1095">
        <f t="shared" si="313"/>
        <v>18645.373316502268</v>
      </c>
      <c r="GO186" s="1098">
        <f t="shared" si="314"/>
        <v>0.875</v>
      </c>
      <c r="GP186" s="1095">
        <f t="shared" si="315"/>
        <v>3995010.7832499603</v>
      </c>
      <c r="GQ186" s="1095">
        <f t="shared" si="316"/>
        <v>30973.276080396208</v>
      </c>
      <c r="GR186" s="1095">
        <f t="shared" si="317"/>
        <v>35908.286343453619</v>
      </c>
      <c r="GS186" s="1095">
        <f t="shared" si="318"/>
        <v>46385.462650515707</v>
      </c>
      <c r="GT186" s="1095">
        <f t="shared" si="319"/>
        <v>79106.001689969766</v>
      </c>
      <c r="GU186" s="497"/>
      <c r="GV186" s="1095">
        <f t="shared" si="410"/>
        <v>4565726.6094285259</v>
      </c>
      <c r="GW186" s="1098">
        <f t="shared" si="411"/>
        <v>0.125</v>
      </c>
      <c r="GX186" s="1095">
        <f t="shared" si="412"/>
        <v>570715.82617856574</v>
      </c>
      <c r="GY186" s="1095">
        <f t="shared" si="413"/>
        <v>30000</v>
      </c>
      <c r="GZ186" s="1095">
        <f t="shared" si="414"/>
        <v>540715.82617856574</v>
      </c>
      <c r="HA186" s="1106">
        <f t="shared" si="415"/>
        <v>48</v>
      </c>
      <c r="HB186" s="770">
        <f t="shared" si="416"/>
        <v>11264.913045386786</v>
      </c>
      <c r="HC186" s="1098">
        <f t="shared" si="417"/>
        <v>0.875</v>
      </c>
      <c r="HD186" s="1102">
        <f t="shared" si="418"/>
        <v>3995010.7832499603</v>
      </c>
      <c r="HE186" s="1101">
        <f t="shared" si="419"/>
        <v>30973.276080396208</v>
      </c>
      <c r="HF186" s="1101">
        <f t="shared" si="420"/>
        <v>35908.286343453619</v>
      </c>
      <c r="HG186" s="1101">
        <f t="shared" si="421"/>
        <v>46385.462650515707</v>
      </c>
      <c r="HH186" s="1101">
        <f t="shared" si="422"/>
        <v>79106.001689969766</v>
      </c>
      <c r="HI186" s="497"/>
      <c r="HJ186" s="1102">
        <f t="shared" si="423"/>
        <v>-7380.4602711154821</v>
      </c>
      <c r="HL186" s="775"/>
      <c r="HN186" s="775"/>
      <c r="HO186" s="775"/>
      <c r="HQ186" s="702"/>
      <c r="HR186" s="1171"/>
      <c r="HS186" s="702"/>
      <c r="HT186" s="1171"/>
    </row>
    <row r="187" spans="1:228" ht="14.25" hidden="1" customHeight="1">
      <c r="A187" s="753">
        <f t="shared" si="424"/>
        <v>181</v>
      </c>
      <c r="B187" s="753"/>
      <c r="C187" s="753">
        <f t="shared" si="445"/>
        <v>26</v>
      </c>
      <c r="D187" s="753" t="s">
        <v>272</v>
      </c>
      <c r="E187" s="717" t="str">
        <f t="shared" si="344"/>
        <v>8th Floor</v>
      </c>
      <c r="F187" s="754"/>
      <c r="G187" s="756" t="s">
        <v>602</v>
      </c>
      <c r="H187" s="756"/>
      <c r="I187" s="755" t="s">
        <v>229</v>
      </c>
      <c r="J187" s="757">
        <v>22</v>
      </c>
      <c r="K187" s="758"/>
      <c r="L187" s="759" t="s">
        <v>277</v>
      </c>
      <c r="M187" s="760" t="s">
        <v>230</v>
      </c>
      <c r="N187" s="761">
        <f t="shared" si="345"/>
        <v>106005.26567735759</v>
      </c>
      <c r="O187" s="762">
        <f t="shared" si="346"/>
        <v>2332115.8449018667</v>
      </c>
      <c r="P187" s="762">
        <f t="shared" si="347"/>
        <v>22400</v>
      </c>
      <c r="Q187" s="762">
        <f t="shared" si="320"/>
        <v>50000</v>
      </c>
      <c r="R187" s="762"/>
      <c r="S187" s="762"/>
      <c r="T187" s="762">
        <f t="shared" si="443"/>
        <v>66000</v>
      </c>
      <c r="U187" s="762"/>
      <c r="V187" s="762">
        <f t="shared" si="456"/>
        <v>55000</v>
      </c>
      <c r="W187" s="762"/>
      <c r="X187" s="762"/>
      <c r="Y187" s="762">
        <f t="shared" si="446"/>
        <v>80000</v>
      </c>
      <c r="Z187" s="762">
        <f t="shared" si="321"/>
        <v>142461</v>
      </c>
      <c r="AA187" s="762"/>
      <c r="AB187" s="762"/>
      <c r="AC187" s="762"/>
      <c r="AD187" s="763">
        <f t="shared" si="348"/>
        <v>415861</v>
      </c>
      <c r="AE187" s="763">
        <f t="shared" si="322"/>
        <v>2747976.8449018667</v>
      </c>
      <c r="AF187" s="762">
        <f t="shared" si="323"/>
        <v>68699.421122546672</v>
      </c>
      <c r="AG187" s="762">
        <f t="shared" si="349"/>
        <v>2816676.2660244135</v>
      </c>
      <c r="AH187" s="762">
        <f t="shared" si="324"/>
        <v>70416.906650610341</v>
      </c>
      <c r="AI187" s="762">
        <f t="shared" si="350"/>
        <v>2887093.1726750238</v>
      </c>
      <c r="AJ187" s="762">
        <f t="shared" si="351"/>
        <v>144354.65863375118</v>
      </c>
      <c r="AK187" s="762">
        <f t="shared" si="352"/>
        <v>3031447.8313087751</v>
      </c>
      <c r="AL187" s="762">
        <f t="shared" si="353"/>
        <v>30314.478313087751</v>
      </c>
      <c r="AM187" s="762">
        <f t="shared" si="354"/>
        <v>27537.409960060559</v>
      </c>
      <c r="AN187" s="762"/>
      <c r="AO187" s="763">
        <f t="shared" si="355"/>
        <v>3089299.7195819234</v>
      </c>
      <c r="AP187" s="763">
        <f t="shared" si="356"/>
        <v>509734.45373101742</v>
      </c>
      <c r="AQ187" s="763">
        <f t="shared" si="357"/>
        <v>3599034.1733129406</v>
      </c>
      <c r="AR187" s="1178">
        <f t="shared" si="325"/>
        <v>3000000</v>
      </c>
      <c r="AS187" s="1178">
        <f t="shared" si="358"/>
        <v>27228.826059679119</v>
      </c>
      <c r="AT187" s="1178">
        <f t="shared" si="359"/>
        <v>599034.17331294063</v>
      </c>
      <c r="AU187" s="1178">
        <f t="shared" si="326"/>
        <v>71884.100797552877</v>
      </c>
      <c r="AV187" s="1178">
        <f t="shared" si="360"/>
        <v>670918.27411049348</v>
      </c>
      <c r="AW187" s="1178">
        <f t="shared" si="361"/>
        <v>3670918.2741104937</v>
      </c>
      <c r="AX187" s="762">
        <f t="shared" si="362"/>
        <v>45886.478426381174</v>
      </c>
      <c r="AY187" s="717" t="s">
        <v>231</v>
      </c>
      <c r="AZ187" s="717">
        <f t="shared" si="363"/>
        <v>3716804.7525368747</v>
      </c>
      <c r="BA187" s="717">
        <f t="shared" si="364"/>
        <v>139380.1782201328</v>
      </c>
      <c r="BB187" s="717"/>
      <c r="BC187" s="717">
        <f t="shared" si="327"/>
        <v>33600</v>
      </c>
      <c r="BD187" s="717">
        <f t="shared" si="365"/>
        <v>3889784.9307570076</v>
      </c>
      <c r="BE187" s="717"/>
      <c r="BF187" s="717">
        <f t="shared" si="366"/>
        <v>3889784.9307570076</v>
      </c>
      <c r="BG187" s="1209"/>
      <c r="BH187" s="717">
        <f t="shared" si="367"/>
        <v>3889784.9307570076</v>
      </c>
      <c r="BI187" s="717"/>
      <c r="BJ187" s="717">
        <f t="shared" si="368"/>
        <v>3889784.9307570076</v>
      </c>
      <c r="BK187" s="717"/>
      <c r="BL187" s="717">
        <f t="shared" si="369"/>
        <v>3889784.9307570076</v>
      </c>
      <c r="BM187" s="717"/>
      <c r="BN187" s="717">
        <f t="shared" si="370"/>
        <v>3889784.9307570076</v>
      </c>
      <c r="BO187" s="717"/>
      <c r="BP187" s="717">
        <f t="shared" si="328"/>
        <v>3889784.9307570076</v>
      </c>
      <c r="BQ187" s="717"/>
      <c r="BR187" s="717">
        <f t="shared" si="433"/>
        <v>3889784.9307570076</v>
      </c>
      <c r="BS187" s="717"/>
      <c r="BT187" s="717">
        <f t="shared" si="371"/>
        <v>3889784.9307570076</v>
      </c>
      <c r="BU187" s="717"/>
      <c r="BV187" s="1235">
        <f t="shared" si="434"/>
        <v>51400</v>
      </c>
      <c r="BW187" s="717">
        <f t="shared" si="372"/>
        <v>3941184.9307570076</v>
      </c>
      <c r="BX187" s="717"/>
      <c r="BY187" s="717">
        <f t="shared" si="373"/>
        <v>3941184.9307570076</v>
      </c>
      <c r="BZ187" s="1194">
        <f t="shared" si="374"/>
        <v>3941184.9307570076</v>
      </c>
      <c r="CA187" s="1194">
        <f t="shared" si="375"/>
        <v>3039184.9307570076</v>
      </c>
      <c r="CB187" s="1194">
        <v>41000</v>
      </c>
      <c r="CC187" s="1194">
        <f t="shared" si="376"/>
        <v>902000</v>
      </c>
      <c r="CD187" s="1194">
        <f t="shared" si="377"/>
        <v>108240</v>
      </c>
      <c r="CE187" s="1194">
        <f t="shared" si="378"/>
        <v>1010240</v>
      </c>
      <c r="CF187" s="1200">
        <f t="shared" si="379"/>
        <v>4049424.9307570076</v>
      </c>
      <c r="CG187" s="757">
        <f t="shared" si="380"/>
        <v>4049424.9307570076</v>
      </c>
      <c r="CH187" s="758">
        <f t="shared" si="381"/>
        <v>0</v>
      </c>
      <c r="CI187" s="757">
        <f t="shared" si="329"/>
        <v>415066.05540259322</v>
      </c>
      <c r="CJ187" s="757">
        <f t="shared" si="330"/>
        <v>101235.62326892519</v>
      </c>
      <c r="CK187" s="759">
        <f t="shared" si="444"/>
        <v>4565726.6094285259</v>
      </c>
      <c r="CL187" s="764">
        <f t="shared" si="382"/>
        <v>0.125</v>
      </c>
      <c r="CM187" s="757">
        <f t="shared" si="383"/>
        <v>570715.82617856574</v>
      </c>
      <c r="CN187" s="757">
        <f t="shared" si="425"/>
        <v>30000</v>
      </c>
      <c r="CO187" s="757">
        <f t="shared" si="384"/>
        <v>540715.82617856574</v>
      </c>
      <c r="CP187" s="755">
        <f t="shared" si="385"/>
        <v>29</v>
      </c>
      <c r="CQ187" s="757">
        <f t="shared" si="427"/>
        <v>18645.373316502268</v>
      </c>
      <c r="CR187" s="764">
        <f t="shared" si="386"/>
        <v>0.875</v>
      </c>
      <c r="CS187" s="757">
        <f t="shared" si="387"/>
        <v>3995010.7832499603</v>
      </c>
      <c r="CT187" s="1101">
        <f t="shared" si="388"/>
        <v>30973.276080396208</v>
      </c>
      <c r="CU187" s="1101">
        <f t="shared" si="389"/>
        <v>35908.286343453619</v>
      </c>
      <c r="CV187" s="1101">
        <f t="shared" si="390"/>
        <v>46385.462650515707</v>
      </c>
      <c r="CW187" s="1141">
        <f t="shared" si="331"/>
        <v>79106.001689969766</v>
      </c>
      <c r="CX187" s="1152">
        <f t="shared" si="391"/>
        <v>324527.42412224039</v>
      </c>
      <c r="CY187" s="1152">
        <f t="shared" si="392"/>
        <v>128413.92086132543</v>
      </c>
      <c r="CZ187" s="1152">
        <f t="shared" si="393"/>
        <v>92751.556286784631</v>
      </c>
      <c r="DA187" s="1152">
        <f t="shared" si="394"/>
        <v>70588.204395355046</v>
      </c>
      <c r="DB187" s="1143">
        <f t="shared" si="332"/>
        <v>0.19967805777098022</v>
      </c>
      <c r="DC187" s="1143">
        <f t="shared" si="395"/>
        <v>0.3324049121776762</v>
      </c>
      <c r="DD187" s="1098" t="s">
        <v>232</v>
      </c>
      <c r="DE187" s="1144"/>
      <c r="DF187" s="705"/>
      <c r="DG187" s="765">
        <f t="shared" si="426"/>
        <v>46082</v>
      </c>
      <c r="DH187" s="1116">
        <f t="shared" si="333"/>
        <v>28</v>
      </c>
      <c r="DI187" s="497"/>
      <c r="DJ187" s="1117">
        <f t="shared" si="396"/>
        <v>46147</v>
      </c>
      <c r="DK187" s="1116">
        <f t="shared" si="397"/>
        <v>30</v>
      </c>
      <c r="DL187" s="766" t="s">
        <v>233</v>
      </c>
      <c r="DM187" s="766" t="s">
        <v>234</v>
      </c>
      <c r="DN187" s="767">
        <f t="shared" si="334"/>
        <v>30496.285186840614</v>
      </c>
      <c r="DO187" s="767">
        <f t="shared" si="335"/>
        <v>670918.27411049348</v>
      </c>
      <c r="DP187" s="768">
        <f t="shared" si="336"/>
        <v>0.22363942470349782</v>
      </c>
      <c r="DR187" s="767">
        <f t="shared" si="337"/>
        <v>4049424.9307570076</v>
      </c>
      <c r="DS187" s="767">
        <f>SUM('[6]INTERNAL PRICELIST'!M187)</f>
        <v>0</v>
      </c>
      <c r="DT187" s="767">
        <f t="shared" si="398"/>
        <v>4049424.9307570076</v>
      </c>
      <c r="DV187" s="951">
        <f t="shared" si="338"/>
        <v>184064.76957986399</v>
      </c>
      <c r="DX187" s="781"/>
      <c r="DY187" s="782"/>
      <c r="DZ187" s="781"/>
      <c r="EA187" s="775"/>
      <c r="ED187" s="1133" t="s">
        <v>602</v>
      </c>
      <c r="EE187" s="777" t="b">
        <f t="shared" si="340"/>
        <v>1</v>
      </c>
      <c r="EF187" s="777"/>
      <c r="EG187" s="777"/>
      <c r="EH187" s="1203"/>
      <c r="EP187" s="1230" t="s">
        <v>236</v>
      </c>
      <c r="EQ187" s="1145" t="s">
        <v>236</v>
      </c>
      <c r="ER187" s="753" t="b">
        <f t="shared" si="399"/>
        <v>1</v>
      </c>
      <c r="EU187" s="770">
        <v>3048651.82</v>
      </c>
      <c r="EV187" s="771" t="s">
        <v>236</v>
      </c>
      <c r="FJ187" s="994">
        <v>0.15</v>
      </c>
      <c r="FK187" s="993">
        <v>14196.554358824766</v>
      </c>
      <c r="FL187" s="993">
        <v>14580.245017171381</v>
      </c>
      <c r="FM187" s="497"/>
      <c r="FN187" s="993">
        <f t="shared" si="341"/>
        <v>4565726.6094285259</v>
      </c>
      <c r="FO187" s="994">
        <f t="shared" si="400"/>
        <v>0.15</v>
      </c>
      <c r="FP187" s="775">
        <f t="shared" si="342"/>
        <v>684858.99141427886</v>
      </c>
      <c r="FQ187" s="993">
        <f t="shared" si="343"/>
        <v>30000</v>
      </c>
      <c r="FR187" s="775">
        <f t="shared" si="401"/>
        <v>654858.99141427886</v>
      </c>
      <c r="FS187" s="497">
        <f t="shared" si="402"/>
        <v>40</v>
      </c>
      <c r="FT187" s="775">
        <f t="shared" si="403"/>
        <v>16371.474785356972</v>
      </c>
      <c r="FU187" s="497"/>
      <c r="FV187" s="993">
        <f t="shared" si="404"/>
        <v>4565726.6094285259</v>
      </c>
      <c r="FW187" s="705">
        <f t="shared" si="405"/>
        <v>456572.66094285261</v>
      </c>
      <c r="FX187" s="705">
        <f t="shared" si="406"/>
        <v>114143.16523571315</v>
      </c>
      <c r="FY187" s="705">
        <v>15000</v>
      </c>
      <c r="FZ187" s="705">
        <f t="shared" si="407"/>
        <v>441572.66094285261</v>
      </c>
      <c r="GA187" s="497">
        <f t="shared" si="408"/>
        <v>46</v>
      </c>
      <c r="GB187" s="775">
        <f t="shared" si="409"/>
        <v>9599.4056726707095</v>
      </c>
      <c r="GC187" s="497"/>
      <c r="GD187" s="497"/>
      <c r="GH187" s="1095">
        <f t="shared" si="307"/>
        <v>4565726.6094285259</v>
      </c>
      <c r="GI187" s="1098">
        <f t="shared" si="308"/>
        <v>0.125</v>
      </c>
      <c r="GJ187" s="1095">
        <f t="shared" si="309"/>
        <v>570715.82617856574</v>
      </c>
      <c r="GK187" s="1095">
        <f t="shared" si="310"/>
        <v>30000</v>
      </c>
      <c r="GL187" s="1095">
        <f t="shared" si="311"/>
        <v>540715.82617856574</v>
      </c>
      <c r="GM187" s="1095">
        <f t="shared" si="312"/>
        <v>29</v>
      </c>
      <c r="GN187" s="1095">
        <f t="shared" si="313"/>
        <v>18645.373316502268</v>
      </c>
      <c r="GO187" s="1098">
        <f t="shared" si="314"/>
        <v>0.875</v>
      </c>
      <c r="GP187" s="1095">
        <f t="shared" si="315"/>
        <v>3995010.7832499603</v>
      </c>
      <c r="GQ187" s="1095">
        <f t="shared" si="316"/>
        <v>30973.276080396208</v>
      </c>
      <c r="GR187" s="1095">
        <f t="shared" si="317"/>
        <v>35908.286343453619</v>
      </c>
      <c r="GS187" s="1095">
        <f t="shared" si="318"/>
        <v>46385.462650515707</v>
      </c>
      <c r="GT187" s="1095">
        <f t="shared" si="319"/>
        <v>79106.001689969766</v>
      </c>
      <c r="GU187" s="497"/>
      <c r="GV187" s="1095">
        <f t="shared" si="410"/>
        <v>4565726.6094285259</v>
      </c>
      <c r="GW187" s="1098">
        <f t="shared" si="411"/>
        <v>0.125</v>
      </c>
      <c r="GX187" s="1095">
        <f t="shared" si="412"/>
        <v>570715.82617856574</v>
      </c>
      <c r="GY187" s="1095">
        <f t="shared" si="413"/>
        <v>30000</v>
      </c>
      <c r="GZ187" s="1095">
        <f t="shared" si="414"/>
        <v>540715.82617856574</v>
      </c>
      <c r="HA187" s="1106">
        <f t="shared" si="415"/>
        <v>48</v>
      </c>
      <c r="HB187" s="770">
        <f t="shared" si="416"/>
        <v>11264.913045386786</v>
      </c>
      <c r="HC187" s="1098">
        <f t="shared" si="417"/>
        <v>0.875</v>
      </c>
      <c r="HD187" s="1102">
        <f t="shared" si="418"/>
        <v>3995010.7832499603</v>
      </c>
      <c r="HE187" s="1101">
        <f t="shared" si="419"/>
        <v>30973.276080396208</v>
      </c>
      <c r="HF187" s="1101">
        <f t="shared" si="420"/>
        <v>35908.286343453619</v>
      </c>
      <c r="HG187" s="1101">
        <f t="shared" si="421"/>
        <v>46385.462650515707</v>
      </c>
      <c r="HH187" s="1101">
        <f t="shared" si="422"/>
        <v>79106.001689969766</v>
      </c>
      <c r="HI187" s="497"/>
      <c r="HJ187" s="1102">
        <f t="shared" si="423"/>
        <v>-7380.4602711154821</v>
      </c>
      <c r="HL187" s="775"/>
      <c r="HN187" s="775"/>
      <c r="HO187" s="775"/>
      <c r="HQ187" s="702"/>
      <c r="HR187" s="1171"/>
      <c r="HS187" s="702"/>
      <c r="HT187" s="1171"/>
    </row>
    <row r="188" spans="1:228" ht="14.25" hidden="1" customHeight="1">
      <c r="A188" s="753">
        <f t="shared" si="424"/>
        <v>182</v>
      </c>
      <c r="B188" s="753"/>
      <c r="C188" s="753">
        <f t="shared" si="445"/>
        <v>27</v>
      </c>
      <c r="D188" s="753" t="s">
        <v>272</v>
      </c>
      <c r="E188" s="717" t="str">
        <f t="shared" si="344"/>
        <v>8th Floor</v>
      </c>
      <c r="F188" s="754"/>
      <c r="G188" s="756" t="s">
        <v>603</v>
      </c>
      <c r="H188" s="756"/>
      <c r="I188" s="755" t="s">
        <v>229</v>
      </c>
      <c r="J188" s="757">
        <v>22</v>
      </c>
      <c r="K188" s="758"/>
      <c r="L188" s="759" t="s">
        <v>277</v>
      </c>
      <c r="M188" s="760" t="s">
        <v>278</v>
      </c>
      <c r="N188" s="761">
        <f t="shared" si="345"/>
        <v>106005.26567735759</v>
      </c>
      <c r="O188" s="762">
        <f t="shared" si="346"/>
        <v>2332115.8449018667</v>
      </c>
      <c r="P188" s="762">
        <f t="shared" si="347"/>
        <v>22400</v>
      </c>
      <c r="Q188" s="762">
        <f t="shared" si="320"/>
        <v>50000</v>
      </c>
      <c r="R188" s="762"/>
      <c r="S188" s="762"/>
      <c r="T188" s="762">
        <f t="shared" si="443"/>
        <v>66000</v>
      </c>
      <c r="U188" s="762"/>
      <c r="V188" s="762"/>
      <c r="W188" s="762">
        <f t="shared" ref="W188:W189" si="457">J188*$W$5</f>
        <v>22000</v>
      </c>
      <c r="X188" s="762"/>
      <c r="Y188" s="762">
        <f t="shared" si="446"/>
        <v>80000</v>
      </c>
      <c r="Z188" s="762">
        <f t="shared" si="321"/>
        <v>142461</v>
      </c>
      <c r="AA188" s="762"/>
      <c r="AB188" s="762"/>
      <c r="AC188" s="762"/>
      <c r="AD188" s="763">
        <f t="shared" si="348"/>
        <v>382861</v>
      </c>
      <c r="AE188" s="763">
        <f t="shared" si="322"/>
        <v>2714976.8449018667</v>
      </c>
      <c r="AF188" s="762">
        <f t="shared" si="323"/>
        <v>67874.421122546672</v>
      </c>
      <c r="AG188" s="762">
        <f t="shared" si="349"/>
        <v>2782851.2660244135</v>
      </c>
      <c r="AH188" s="762">
        <f t="shared" si="324"/>
        <v>69571.281650610341</v>
      </c>
      <c r="AI188" s="762">
        <f t="shared" si="350"/>
        <v>2852422.5476750238</v>
      </c>
      <c r="AJ188" s="762">
        <f t="shared" si="351"/>
        <v>142621.12738375118</v>
      </c>
      <c r="AK188" s="762">
        <f t="shared" si="352"/>
        <v>2995043.6750587751</v>
      </c>
      <c r="AL188" s="762">
        <f t="shared" si="353"/>
        <v>29950.436750587753</v>
      </c>
      <c r="AM188" s="762">
        <f t="shared" si="354"/>
        <v>27537.409960060559</v>
      </c>
      <c r="AN188" s="762"/>
      <c r="AO188" s="763">
        <f t="shared" si="355"/>
        <v>3052531.521769423</v>
      </c>
      <c r="AP188" s="763">
        <f t="shared" si="356"/>
        <v>503667.70109195483</v>
      </c>
      <c r="AQ188" s="763">
        <f t="shared" si="357"/>
        <v>3556199.222861378</v>
      </c>
      <c r="AR188" s="1178">
        <f t="shared" si="325"/>
        <v>3000000</v>
      </c>
      <c r="AS188" s="1178">
        <f t="shared" si="358"/>
        <v>25281.782857335362</v>
      </c>
      <c r="AT188" s="1178">
        <f t="shared" si="359"/>
        <v>556199.22286137799</v>
      </c>
      <c r="AU188" s="1178">
        <f t="shared" si="326"/>
        <v>66743.906743365354</v>
      </c>
      <c r="AV188" s="1178">
        <f t="shared" si="360"/>
        <v>622943.12960474333</v>
      </c>
      <c r="AW188" s="1178">
        <f t="shared" si="361"/>
        <v>3622943.1296047433</v>
      </c>
      <c r="AX188" s="762">
        <f t="shared" si="362"/>
        <v>45286.789120059293</v>
      </c>
      <c r="AY188" s="717" t="s">
        <v>231</v>
      </c>
      <c r="AZ188" s="717">
        <f t="shared" si="363"/>
        <v>3668229.9187248028</v>
      </c>
      <c r="BA188" s="717">
        <f t="shared" si="364"/>
        <v>137558.62195218011</v>
      </c>
      <c r="BB188" s="717"/>
      <c r="BC188" s="717">
        <f t="shared" si="327"/>
        <v>33600</v>
      </c>
      <c r="BD188" s="717">
        <f t="shared" si="365"/>
        <v>3839388.5406769831</v>
      </c>
      <c r="BE188" s="717"/>
      <c r="BF188" s="717">
        <f t="shared" si="366"/>
        <v>3839388.5406769831</v>
      </c>
      <c r="BG188" s="1209"/>
      <c r="BH188" s="717">
        <f t="shared" si="367"/>
        <v>3839388.5406769831</v>
      </c>
      <c r="BI188" s="717"/>
      <c r="BJ188" s="717">
        <f t="shared" si="368"/>
        <v>3839388.5406769831</v>
      </c>
      <c r="BK188" s="717"/>
      <c r="BL188" s="717">
        <f t="shared" si="369"/>
        <v>3839388.5406769831</v>
      </c>
      <c r="BM188" s="717"/>
      <c r="BN188" s="717">
        <f t="shared" si="370"/>
        <v>3839388.5406769831</v>
      </c>
      <c r="BO188" s="717"/>
      <c r="BP188" s="717">
        <f t="shared" si="328"/>
        <v>3839388.5406769831</v>
      </c>
      <c r="BQ188" s="717"/>
      <c r="BR188" s="717">
        <f t="shared" si="433"/>
        <v>3839388.5406769831</v>
      </c>
      <c r="BS188" s="717"/>
      <c r="BT188" s="717">
        <f t="shared" si="371"/>
        <v>3839388.5406769831</v>
      </c>
      <c r="BU188" s="717"/>
      <c r="BV188" s="1235">
        <f t="shared" si="434"/>
        <v>51400</v>
      </c>
      <c r="BW188" s="717">
        <f t="shared" si="372"/>
        <v>3890788.5406769831</v>
      </c>
      <c r="BX188" s="717"/>
      <c r="BY188" s="717">
        <f t="shared" si="373"/>
        <v>3890788.5406769831</v>
      </c>
      <c r="BZ188" s="1194">
        <f t="shared" si="374"/>
        <v>3890788.5406769831</v>
      </c>
      <c r="CA188" s="1194">
        <f t="shared" si="375"/>
        <v>3010788.5406769831</v>
      </c>
      <c r="CB188" s="1194">
        <v>40000</v>
      </c>
      <c r="CC188" s="1194">
        <f t="shared" si="376"/>
        <v>880000</v>
      </c>
      <c r="CD188" s="1194">
        <f t="shared" si="377"/>
        <v>105600</v>
      </c>
      <c r="CE188" s="1194">
        <f t="shared" si="378"/>
        <v>985600</v>
      </c>
      <c r="CF188" s="1200">
        <f t="shared" si="379"/>
        <v>3996388.5406769831</v>
      </c>
      <c r="CG188" s="757">
        <f t="shared" si="380"/>
        <v>3996388.5406769831</v>
      </c>
      <c r="CH188" s="758">
        <f t="shared" si="381"/>
        <v>0</v>
      </c>
      <c r="CI188" s="757">
        <f t="shared" si="329"/>
        <v>409629.82541939075</v>
      </c>
      <c r="CJ188" s="757">
        <f t="shared" si="330"/>
        <v>99909.713516924588</v>
      </c>
      <c r="CK188" s="759">
        <f t="shared" si="444"/>
        <v>4505928.0796132982</v>
      </c>
      <c r="CL188" s="764">
        <f t="shared" si="382"/>
        <v>0.125</v>
      </c>
      <c r="CM188" s="757">
        <f t="shared" si="383"/>
        <v>563241.00995166227</v>
      </c>
      <c r="CN188" s="757">
        <f t="shared" si="425"/>
        <v>30000</v>
      </c>
      <c r="CO188" s="757">
        <f t="shared" si="384"/>
        <v>533241.00995166227</v>
      </c>
      <c r="CP188" s="755">
        <f t="shared" si="385"/>
        <v>29</v>
      </c>
      <c r="CQ188" s="757">
        <f t="shared" si="427"/>
        <v>18387.62103281594</v>
      </c>
      <c r="CR188" s="764">
        <f t="shared" si="386"/>
        <v>0.875</v>
      </c>
      <c r="CS188" s="757">
        <f t="shared" si="387"/>
        <v>3942687.0696616359</v>
      </c>
      <c r="CT188" s="1101">
        <f t="shared" si="388"/>
        <v>30567.610885869661</v>
      </c>
      <c r="CU188" s="1101">
        <f t="shared" si="389"/>
        <v>35437.986013361908</v>
      </c>
      <c r="CV188" s="1101">
        <f t="shared" si="390"/>
        <v>45777.939969334584</v>
      </c>
      <c r="CW188" s="1141">
        <f t="shared" si="331"/>
        <v>78069.929448838971</v>
      </c>
      <c r="CX188" s="1152">
        <f t="shared" si="391"/>
        <v>320277.00255578972</v>
      </c>
      <c r="CY188" s="1152">
        <f t="shared" si="392"/>
        <v>126732.04975247307</v>
      </c>
      <c r="CZ188" s="1152">
        <f t="shared" si="393"/>
        <v>91536.764605528384</v>
      </c>
      <c r="DA188" s="1152">
        <f t="shared" si="394"/>
        <v>69663.691999798495</v>
      </c>
      <c r="DB188" s="1143">
        <f t="shared" si="332"/>
        <v>0.18539974095379266</v>
      </c>
      <c r="DC188" s="1143">
        <f t="shared" si="395"/>
        <v>0.32735610179331476</v>
      </c>
      <c r="DD188" s="1098" t="s">
        <v>232</v>
      </c>
      <c r="DE188" s="1144"/>
      <c r="DF188" s="705"/>
      <c r="DG188" s="765">
        <f t="shared" si="426"/>
        <v>46082</v>
      </c>
      <c r="DH188" s="1116">
        <f t="shared" si="333"/>
        <v>28</v>
      </c>
      <c r="DI188" s="497"/>
      <c r="DJ188" s="1117">
        <f t="shared" si="396"/>
        <v>46147</v>
      </c>
      <c r="DK188" s="1116">
        <f t="shared" si="397"/>
        <v>30</v>
      </c>
      <c r="DL188" s="766" t="s">
        <v>233</v>
      </c>
      <c r="DM188" s="766" t="s">
        <v>234</v>
      </c>
      <c r="DN188" s="767">
        <f t="shared" si="334"/>
        <v>28315.596800215604</v>
      </c>
      <c r="DO188" s="767">
        <f t="shared" si="335"/>
        <v>622943.12960474333</v>
      </c>
      <c r="DP188" s="768">
        <f t="shared" si="336"/>
        <v>0.20764770986824777</v>
      </c>
      <c r="DR188" s="767">
        <f t="shared" si="337"/>
        <v>3996388.5406769831</v>
      </c>
      <c r="DS188" s="767">
        <f>SUM('[6]INTERNAL PRICELIST'!M188)</f>
        <v>0</v>
      </c>
      <c r="DT188" s="767">
        <f t="shared" si="398"/>
        <v>3996388.5406769831</v>
      </c>
      <c r="DV188" s="951">
        <f t="shared" si="338"/>
        <v>181654.02457622651</v>
      </c>
      <c r="DX188" s="781"/>
      <c r="DY188" s="782"/>
      <c r="DZ188" s="781"/>
      <c r="EA188" s="775"/>
      <c r="ED188" s="755" t="s">
        <v>603</v>
      </c>
      <c r="EE188" s="777" t="b">
        <f t="shared" si="340"/>
        <v>1</v>
      </c>
      <c r="EF188" s="777"/>
      <c r="EG188" s="777"/>
      <c r="EH188" s="1203"/>
      <c r="EP188" s="1230" t="s">
        <v>236</v>
      </c>
      <c r="EQ188" s="1145" t="s">
        <v>236</v>
      </c>
      <c r="ER188" s="753" t="b">
        <f t="shared" si="399"/>
        <v>1</v>
      </c>
      <c r="EU188" s="770">
        <v>3194316.7474007285</v>
      </c>
      <c r="EV188" s="771" t="s">
        <v>258</v>
      </c>
      <c r="EW188" s="775">
        <f>EU188-CG188</f>
        <v>-802071.79327625455</v>
      </c>
      <c r="EY188" s="775">
        <v>3160387.0375777991</v>
      </c>
      <c r="FJ188" s="994">
        <v>0.125</v>
      </c>
      <c r="FK188" s="993">
        <v>11395.186860823775</v>
      </c>
      <c r="FL188" s="993">
        <v>11703.164884089281</v>
      </c>
      <c r="FM188" s="497"/>
      <c r="FN188" s="993">
        <f t="shared" si="341"/>
        <v>4505928.0796132982</v>
      </c>
      <c r="FO188" s="994">
        <f t="shared" si="400"/>
        <v>0.15</v>
      </c>
      <c r="FP188" s="775">
        <f t="shared" si="342"/>
        <v>675889.21194199473</v>
      </c>
      <c r="FQ188" s="993">
        <f t="shared" si="343"/>
        <v>30000</v>
      </c>
      <c r="FR188" s="775">
        <f t="shared" si="401"/>
        <v>645889.21194199473</v>
      </c>
      <c r="FS188" s="497">
        <f t="shared" si="402"/>
        <v>40</v>
      </c>
      <c r="FT188" s="775">
        <f t="shared" si="403"/>
        <v>16147.230298549868</v>
      </c>
      <c r="FU188" s="497"/>
      <c r="FV188" s="993">
        <f t="shared" si="404"/>
        <v>4505928.0796132982</v>
      </c>
      <c r="FW188" s="705">
        <f t="shared" si="405"/>
        <v>450592.80796132982</v>
      </c>
      <c r="FX188" s="705">
        <f t="shared" si="406"/>
        <v>112648.20199033245</v>
      </c>
      <c r="FY188" s="705">
        <v>15000</v>
      </c>
      <c r="FZ188" s="705">
        <f t="shared" si="407"/>
        <v>435592.80796132982</v>
      </c>
      <c r="GA188" s="497">
        <f t="shared" si="408"/>
        <v>46</v>
      </c>
      <c r="GB188" s="775">
        <f t="shared" si="409"/>
        <v>9469.4088687245621</v>
      </c>
      <c r="GC188" s="497"/>
      <c r="GD188" s="497"/>
      <c r="GH188" s="1095">
        <f t="shared" si="307"/>
        <v>4505928.0796132982</v>
      </c>
      <c r="GI188" s="1098">
        <f t="shared" si="308"/>
        <v>0.125</v>
      </c>
      <c r="GJ188" s="1095">
        <f t="shared" si="309"/>
        <v>563241.00995166227</v>
      </c>
      <c r="GK188" s="1095">
        <f t="shared" si="310"/>
        <v>30000</v>
      </c>
      <c r="GL188" s="1095">
        <f t="shared" si="311"/>
        <v>533241.00995166227</v>
      </c>
      <c r="GM188" s="1095">
        <f t="shared" si="312"/>
        <v>29</v>
      </c>
      <c r="GN188" s="1095">
        <f t="shared" si="313"/>
        <v>18387.62103281594</v>
      </c>
      <c r="GO188" s="1098">
        <f t="shared" si="314"/>
        <v>0.875</v>
      </c>
      <c r="GP188" s="1095">
        <f t="shared" si="315"/>
        <v>3942687.0696616359</v>
      </c>
      <c r="GQ188" s="1095">
        <f t="shared" si="316"/>
        <v>30567.610885869661</v>
      </c>
      <c r="GR188" s="1095">
        <f t="shared" si="317"/>
        <v>35437.986013361908</v>
      </c>
      <c r="GS188" s="1095">
        <f t="shared" si="318"/>
        <v>45777.939969334584</v>
      </c>
      <c r="GT188" s="1095">
        <f t="shared" si="319"/>
        <v>78069.929448838971</v>
      </c>
      <c r="GU188" s="497"/>
      <c r="GV188" s="1095">
        <f t="shared" si="410"/>
        <v>4505928.0796132982</v>
      </c>
      <c r="GW188" s="1098">
        <f t="shared" si="411"/>
        <v>0.125</v>
      </c>
      <c r="GX188" s="1095">
        <f t="shared" si="412"/>
        <v>563241.00995166227</v>
      </c>
      <c r="GY188" s="1095">
        <f t="shared" si="413"/>
        <v>30000</v>
      </c>
      <c r="GZ188" s="1095">
        <f t="shared" si="414"/>
        <v>533241.00995166227</v>
      </c>
      <c r="HA188" s="1106">
        <f t="shared" si="415"/>
        <v>48</v>
      </c>
      <c r="HB188" s="770">
        <f t="shared" si="416"/>
        <v>11109.187707326297</v>
      </c>
      <c r="HC188" s="1098">
        <f t="shared" si="417"/>
        <v>0.875</v>
      </c>
      <c r="HD188" s="1102">
        <f t="shared" si="418"/>
        <v>3942687.0696616359</v>
      </c>
      <c r="HE188" s="1101">
        <f t="shared" si="419"/>
        <v>30567.610885869661</v>
      </c>
      <c r="HF188" s="1101">
        <f t="shared" si="420"/>
        <v>35437.986013361908</v>
      </c>
      <c r="HG188" s="1101">
        <f t="shared" si="421"/>
        <v>45777.939969334584</v>
      </c>
      <c r="HH188" s="1101">
        <f t="shared" si="422"/>
        <v>78069.929448838971</v>
      </c>
      <c r="HI188" s="497"/>
      <c r="HJ188" s="1102">
        <f t="shared" si="423"/>
        <v>-7278.4333254896428</v>
      </c>
      <c r="HL188" s="775"/>
      <c r="HN188" s="775"/>
      <c r="HO188" s="775"/>
      <c r="HQ188" s="702"/>
      <c r="HR188" s="1171"/>
      <c r="HS188" s="702"/>
      <c r="HT188" s="1171"/>
    </row>
    <row r="189" spans="1:228" ht="14.25" hidden="1" customHeight="1">
      <c r="A189" s="753">
        <f t="shared" si="424"/>
        <v>183</v>
      </c>
      <c r="B189" s="753"/>
      <c r="C189" s="753">
        <f t="shared" si="445"/>
        <v>28</v>
      </c>
      <c r="D189" s="753" t="s">
        <v>272</v>
      </c>
      <c r="E189" s="717" t="str">
        <f t="shared" si="344"/>
        <v>8th Floor</v>
      </c>
      <c r="F189" s="754"/>
      <c r="G189" s="756" t="s">
        <v>604</v>
      </c>
      <c r="H189" s="756"/>
      <c r="I189" s="755" t="s">
        <v>229</v>
      </c>
      <c r="J189" s="757">
        <v>22</v>
      </c>
      <c r="K189" s="758"/>
      <c r="L189" s="759" t="s">
        <v>277</v>
      </c>
      <c r="M189" s="760" t="s">
        <v>278</v>
      </c>
      <c r="N189" s="761">
        <f t="shared" si="345"/>
        <v>106005.26567735759</v>
      </c>
      <c r="O189" s="762">
        <f t="shared" si="346"/>
        <v>2332115.8449018667</v>
      </c>
      <c r="P189" s="762">
        <f t="shared" si="347"/>
        <v>22400</v>
      </c>
      <c r="Q189" s="762">
        <f t="shared" si="320"/>
        <v>50000</v>
      </c>
      <c r="R189" s="762"/>
      <c r="S189" s="762"/>
      <c r="T189" s="762">
        <f t="shared" si="443"/>
        <v>66000</v>
      </c>
      <c r="U189" s="762"/>
      <c r="V189" s="762"/>
      <c r="W189" s="762">
        <f t="shared" si="457"/>
        <v>22000</v>
      </c>
      <c r="X189" s="762"/>
      <c r="Y189" s="762">
        <f t="shared" si="446"/>
        <v>80000</v>
      </c>
      <c r="Z189" s="762">
        <f t="shared" si="321"/>
        <v>142461</v>
      </c>
      <c r="AA189" s="762"/>
      <c r="AB189" s="762"/>
      <c r="AC189" s="762"/>
      <c r="AD189" s="763">
        <f t="shared" si="348"/>
        <v>382861</v>
      </c>
      <c r="AE189" s="763">
        <f t="shared" si="322"/>
        <v>2714976.8449018667</v>
      </c>
      <c r="AF189" s="762">
        <f t="shared" si="323"/>
        <v>67874.421122546672</v>
      </c>
      <c r="AG189" s="762">
        <f t="shared" si="349"/>
        <v>2782851.2660244135</v>
      </c>
      <c r="AH189" s="762">
        <f t="shared" si="324"/>
        <v>69571.281650610341</v>
      </c>
      <c r="AI189" s="762">
        <f t="shared" si="350"/>
        <v>2852422.5476750238</v>
      </c>
      <c r="AJ189" s="762">
        <f t="shared" si="351"/>
        <v>142621.12738375118</v>
      </c>
      <c r="AK189" s="762">
        <f t="shared" si="352"/>
        <v>2995043.6750587751</v>
      </c>
      <c r="AL189" s="762">
        <f t="shared" si="353"/>
        <v>29950.436750587753</v>
      </c>
      <c r="AM189" s="762">
        <f t="shared" si="354"/>
        <v>27537.409960060559</v>
      </c>
      <c r="AN189" s="762"/>
      <c r="AO189" s="763">
        <f t="shared" si="355"/>
        <v>3052531.521769423</v>
      </c>
      <c r="AP189" s="763">
        <f t="shared" si="356"/>
        <v>503667.70109195483</v>
      </c>
      <c r="AQ189" s="763">
        <f t="shared" si="357"/>
        <v>3556199.222861378</v>
      </c>
      <c r="AR189" s="1178">
        <f t="shared" si="325"/>
        <v>3000000</v>
      </c>
      <c r="AS189" s="1178">
        <f t="shared" si="358"/>
        <v>25281.782857335362</v>
      </c>
      <c r="AT189" s="1178">
        <f t="shared" si="359"/>
        <v>556199.22286137799</v>
      </c>
      <c r="AU189" s="1178">
        <f t="shared" si="326"/>
        <v>66743.906743365354</v>
      </c>
      <c r="AV189" s="1178">
        <f t="shared" si="360"/>
        <v>622943.12960474333</v>
      </c>
      <c r="AW189" s="1178">
        <f t="shared" si="361"/>
        <v>3622943.1296047433</v>
      </c>
      <c r="AX189" s="762">
        <f t="shared" si="362"/>
        <v>45286.789120059293</v>
      </c>
      <c r="AY189" s="717" t="s">
        <v>231</v>
      </c>
      <c r="AZ189" s="717">
        <f t="shared" si="363"/>
        <v>3668229.9187248028</v>
      </c>
      <c r="BA189" s="717">
        <f t="shared" si="364"/>
        <v>137558.62195218011</v>
      </c>
      <c r="BB189" s="717"/>
      <c r="BC189" s="717">
        <f t="shared" si="327"/>
        <v>33600</v>
      </c>
      <c r="BD189" s="717">
        <f t="shared" si="365"/>
        <v>3839388.5406769831</v>
      </c>
      <c r="BE189" s="717"/>
      <c r="BF189" s="717">
        <f t="shared" si="366"/>
        <v>3839388.5406769831</v>
      </c>
      <c r="BG189" s="1209"/>
      <c r="BH189" s="717">
        <f t="shared" si="367"/>
        <v>3839388.5406769831</v>
      </c>
      <c r="BI189" s="717"/>
      <c r="BJ189" s="717">
        <f t="shared" si="368"/>
        <v>3839388.5406769831</v>
      </c>
      <c r="BK189" s="717"/>
      <c r="BL189" s="717">
        <f t="shared" si="369"/>
        <v>3839388.5406769831</v>
      </c>
      <c r="BM189" s="717"/>
      <c r="BN189" s="717">
        <f t="shared" si="370"/>
        <v>3839388.5406769831</v>
      </c>
      <c r="BO189" s="717"/>
      <c r="BP189" s="717">
        <f t="shared" si="328"/>
        <v>3839388.5406769831</v>
      </c>
      <c r="BQ189" s="717"/>
      <c r="BR189" s="717">
        <f t="shared" si="433"/>
        <v>3839388.5406769831</v>
      </c>
      <c r="BS189" s="717"/>
      <c r="BT189" s="717">
        <f t="shared" si="371"/>
        <v>3839388.5406769831</v>
      </c>
      <c r="BU189" s="717"/>
      <c r="BV189" s="1235">
        <f t="shared" si="434"/>
        <v>51400</v>
      </c>
      <c r="BW189" s="717">
        <f t="shared" si="372"/>
        <v>3890788.5406769831</v>
      </c>
      <c r="BX189" s="717"/>
      <c r="BY189" s="717">
        <f t="shared" si="373"/>
        <v>3890788.5406769831</v>
      </c>
      <c r="BZ189" s="1194">
        <f t="shared" si="374"/>
        <v>3890788.5406769831</v>
      </c>
      <c r="CA189" s="1194">
        <f t="shared" si="375"/>
        <v>3010788.5406769831</v>
      </c>
      <c r="CB189" s="1194">
        <v>40000</v>
      </c>
      <c r="CC189" s="1194">
        <f t="shared" si="376"/>
        <v>880000</v>
      </c>
      <c r="CD189" s="1194">
        <f t="shared" si="377"/>
        <v>105600</v>
      </c>
      <c r="CE189" s="1194">
        <f t="shared" si="378"/>
        <v>985600</v>
      </c>
      <c r="CF189" s="1200">
        <f t="shared" si="379"/>
        <v>3996388.5406769831</v>
      </c>
      <c r="CG189" s="757">
        <f t="shared" si="380"/>
        <v>3996388.5406769831</v>
      </c>
      <c r="CH189" s="758">
        <f t="shared" si="381"/>
        <v>0</v>
      </c>
      <c r="CI189" s="757">
        <f t="shared" si="329"/>
        <v>409629.82541939075</v>
      </c>
      <c r="CJ189" s="757">
        <f t="shared" si="330"/>
        <v>99909.713516924588</v>
      </c>
      <c r="CK189" s="759">
        <f t="shared" si="444"/>
        <v>4505928.0796132982</v>
      </c>
      <c r="CL189" s="764">
        <f t="shared" si="382"/>
        <v>0.125</v>
      </c>
      <c r="CM189" s="757">
        <f t="shared" si="383"/>
        <v>563241.00995166227</v>
      </c>
      <c r="CN189" s="757">
        <f t="shared" si="425"/>
        <v>30000</v>
      </c>
      <c r="CO189" s="757">
        <f t="shared" si="384"/>
        <v>533241.00995166227</v>
      </c>
      <c r="CP189" s="755">
        <f t="shared" si="385"/>
        <v>29</v>
      </c>
      <c r="CQ189" s="757">
        <f t="shared" si="427"/>
        <v>18387.62103281594</v>
      </c>
      <c r="CR189" s="764">
        <f t="shared" si="386"/>
        <v>0.875</v>
      </c>
      <c r="CS189" s="757">
        <f t="shared" si="387"/>
        <v>3942687.0696616359</v>
      </c>
      <c r="CT189" s="1101">
        <f t="shared" si="388"/>
        <v>30567.610885869661</v>
      </c>
      <c r="CU189" s="1101">
        <f t="shared" si="389"/>
        <v>35437.986013361908</v>
      </c>
      <c r="CV189" s="1101">
        <f t="shared" si="390"/>
        <v>45777.939969334584</v>
      </c>
      <c r="CW189" s="1141">
        <f t="shared" si="331"/>
        <v>78069.929448838971</v>
      </c>
      <c r="CX189" s="1152">
        <f t="shared" si="391"/>
        <v>320277.00255578972</v>
      </c>
      <c r="CY189" s="1152">
        <f t="shared" si="392"/>
        <v>126732.04975247307</v>
      </c>
      <c r="CZ189" s="1152">
        <f t="shared" si="393"/>
        <v>91536.764605528384</v>
      </c>
      <c r="DA189" s="1152">
        <f t="shared" si="394"/>
        <v>69663.691999798495</v>
      </c>
      <c r="DB189" s="1143">
        <f t="shared" si="332"/>
        <v>0.18539974095379266</v>
      </c>
      <c r="DC189" s="1143">
        <f t="shared" si="395"/>
        <v>0.32735610179331476</v>
      </c>
      <c r="DD189" s="1098" t="s">
        <v>232</v>
      </c>
      <c r="DE189" s="1144"/>
      <c r="DF189" s="705"/>
      <c r="DG189" s="765">
        <f t="shared" si="426"/>
        <v>46082</v>
      </c>
      <c r="DH189" s="1116">
        <f t="shared" si="333"/>
        <v>28</v>
      </c>
      <c r="DI189" s="497"/>
      <c r="DJ189" s="1117">
        <f t="shared" si="396"/>
        <v>46147</v>
      </c>
      <c r="DK189" s="1116">
        <f t="shared" si="397"/>
        <v>30</v>
      </c>
      <c r="DL189" s="766" t="s">
        <v>233</v>
      </c>
      <c r="DM189" s="766" t="s">
        <v>234</v>
      </c>
      <c r="DN189" s="767">
        <f t="shared" si="334"/>
        <v>28315.596800215604</v>
      </c>
      <c r="DO189" s="767">
        <f t="shared" si="335"/>
        <v>622943.12960474333</v>
      </c>
      <c r="DP189" s="768">
        <f t="shared" si="336"/>
        <v>0.20764770986824777</v>
      </c>
      <c r="DR189" s="767">
        <f t="shared" si="337"/>
        <v>3996388.5406769831</v>
      </c>
      <c r="DS189" s="767">
        <f>SUM('[6]INTERNAL PRICELIST'!M189)</f>
        <v>0</v>
      </c>
      <c r="DT189" s="767">
        <f t="shared" si="398"/>
        <v>3996388.5406769831</v>
      </c>
      <c r="DV189" s="951">
        <f t="shared" si="338"/>
        <v>181654.02457622651</v>
      </c>
      <c r="DX189" s="781"/>
      <c r="DY189" s="782"/>
      <c r="DZ189" s="781"/>
      <c r="EA189" s="775"/>
      <c r="ED189" s="755" t="s">
        <v>604</v>
      </c>
      <c r="EE189" s="777" t="b">
        <f t="shared" si="340"/>
        <v>1</v>
      </c>
      <c r="EF189" s="777"/>
      <c r="EG189" s="777"/>
      <c r="EH189" s="1203"/>
      <c r="EP189" s="1230" t="s">
        <v>236</v>
      </c>
      <c r="EQ189" s="1145" t="s">
        <v>236</v>
      </c>
      <c r="ER189" s="753" t="b">
        <f t="shared" si="399"/>
        <v>1</v>
      </c>
      <c r="EU189" s="770">
        <v>2459020</v>
      </c>
      <c r="EV189" s="771" t="s">
        <v>236</v>
      </c>
      <c r="FJ189" s="994">
        <v>0.15</v>
      </c>
      <c r="FK189" s="993">
        <v>13753.17160140958</v>
      </c>
      <c r="FL189" s="993">
        <v>14124.878941988218</v>
      </c>
      <c r="FM189" s="497"/>
      <c r="FN189" s="993">
        <f t="shared" si="341"/>
        <v>4505928.0796132982</v>
      </c>
      <c r="FO189" s="994">
        <f t="shared" si="400"/>
        <v>0.15</v>
      </c>
      <c r="FP189" s="775">
        <f t="shared" si="342"/>
        <v>675889.21194199473</v>
      </c>
      <c r="FQ189" s="993">
        <f t="shared" si="343"/>
        <v>30000</v>
      </c>
      <c r="FR189" s="775">
        <f t="shared" si="401"/>
        <v>645889.21194199473</v>
      </c>
      <c r="FS189" s="497">
        <f t="shared" si="402"/>
        <v>40</v>
      </c>
      <c r="FT189" s="775">
        <f t="shared" si="403"/>
        <v>16147.230298549868</v>
      </c>
      <c r="FU189" s="497"/>
      <c r="FV189" s="993">
        <f t="shared" si="404"/>
        <v>4505928.0796132982</v>
      </c>
      <c r="FW189" s="705">
        <f t="shared" si="405"/>
        <v>450592.80796132982</v>
      </c>
      <c r="FX189" s="705">
        <f t="shared" si="406"/>
        <v>112648.20199033245</v>
      </c>
      <c r="FY189" s="705">
        <v>15000</v>
      </c>
      <c r="FZ189" s="705">
        <f t="shared" si="407"/>
        <v>435592.80796132982</v>
      </c>
      <c r="GA189" s="497">
        <f t="shared" si="408"/>
        <v>46</v>
      </c>
      <c r="GB189" s="775">
        <f t="shared" si="409"/>
        <v>9469.4088687245621</v>
      </c>
      <c r="GC189" s="497"/>
      <c r="GD189" s="497"/>
      <c r="GH189" s="1095">
        <f t="shared" si="307"/>
        <v>4505928.0796132982</v>
      </c>
      <c r="GI189" s="1098">
        <f t="shared" si="308"/>
        <v>0.125</v>
      </c>
      <c r="GJ189" s="1095">
        <f t="shared" si="309"/>
        <v>563241.00995166227</v>
      </c>
      <c r="GK189" s="1095">
        <f t="shared" si="310"/>
        <v>30000</v>
      </c>
      <c r="GL189" s="1095">
        <f t="shared" si="311"/>
        <v>533241.00995166227</v>
      </c>
      <c r="GM189" s="1095">
        <f t="shared" si="312"/>
        <v>29</v>
      </c>
      <c r="GN189" s="1095">
        <f t="shared" si="313"/>
        <v>18387.62103281594</v>
      </c>
      <c r="GO189" s="1098">
        <f t="shared" si="314"/>
        <v>0.875</v>
      </c>
      <c r="GP189" s="1095">
        <f t="shared" si="315"/>
        <v>3942687.0696616359</v>
      </c>
      <c r="GQ189" s="1095">
        <f t="shared" si="316"/>
        <v>30567.610885869661</v>
      </c>
      <c r="GR189" s="1095">
        <f t="shared" si="317"/>
        <v>35437.986013361908</v>
      </c>
      <c r="GS189" s="1095">
        <f t="shared" si="318"/>
        <v>45777.939969334584</v>
      </c>
      <c r="GT189" s="1095">
        <f t="shared" si="319"/>
        <v>78069.929448838971</v>
      </c>
      <c r="GU189" s="497"/>
      <c r="GV189" s="1095">
        <f t="shared" si="410"/>
        <v>4505928.0796132982</v>
      </c>
      <c r="GW189" s="1098">
        <f t="shared" si="411"/>
        <v>0.125</v>
      </c>
      <c r="GX189" s="1095">
        <f t="shared" si="412"/>
        <v>563241.00995166227</v>
      </c>
      <c r="GY189" s="1095">
        <f t="shared" si="413"/>
        <v>30000</v>
      </c>
      <c r="GZ189" s="1095">
        <f t="shared" si="414"/>
        <v>533241.00995166227</v>
      </c>
      <c r="HA189" s="1106">
        <f t="shared" si="415"/>
        <v>48</v>
      </c>
      <c r="HB189" s="770">
        <f t="shared" si="416"/>
        <v>11109.187707326297</v>
      </c>
      <c r="HC189" s="1098">
        <f t="shared" si="417"/>
        <v>0.875</v>
      </c>
      <c r="HD189" s="1102">
        <f t="shared" si="418"/>
        <v>3942687.0696616359</v>
      </c>
      <c r="HE189" s="1101">
        <f t="shared" si="419"/>
        <v>30567.610885869661</v>
      </c>
      <c r="HF189" s="1101">
        <f t="shared" si="420"/>
        <v>35437.986013361908</v>
      </c>
      <c r="HG189" s="1101">
        <f t="shared" si="421"/>
        <v>45777.939969334584</v>
      </c>
      <c r="HH189" s="1101">
        <f t="shared" si="422"/>
        <v>78069.929448838971</v>
      </c>
      <c r="HI189" s="497"/>
      <c r="HJ189" s="1102">
        <f t="shared" si="423"/>
        <v>-7278.4333254896428</v>
      </c>
      <c r="HL189" s="775"/>
      <c r="HN189" s="775"/>
      <c r="HO189" s="775"/>
      <c r="HQ189" s="702"/>
      <c r="HR189" s="1171"/>
      <c r="HS189" s="702"/>
      <c r="HT189" s="1171"/>
    </row>
    <row r="190" spans="1:228" ht="14.25" hidden="1" customHeight="1">
      <c r="A190" s="753">
        <f t="shared" si="424"/>
        <v>184</v>
      </c>
      <c r="B190" s="753"/>
      <c r="C190" s="753">
        <f t="shared" si="445"/>
        <v>29</v>
      </c>
      <c r="D190" s="753" t="s">
        <v>272</v>
      </c>
      <c r="E190" s="717" t="str">
        <f t="shared" si="344"/>
        <v>8th Floor</v>
      </c>
      <c r="F190" s="754"/>
      <c r="G190" s="756" t="s">
        <v>605</v>
      </c>
      <c r="H190" s="756"/>
      <c r="I190" s="755" t="s">
        <v>229</v>
      </c>
      <c r="J190" s="757">
        <v>22</v>
      </c>
      <c r="K190" s="758"/>
      <c r="L190" s="759" t="s">
        <v>277</v>
      </c>
      <c r="M190" s="760" t="s">
        <v>68</v>
      </c>
      <c r="N190" s="761">
        <f t="shared" si="345"/>
        <v>106005.26567735759</v>
      </c>
      <c r="O190" s="762">
        <f t="shared" si="346"/>
        <v>2332115.8449018667</v>
      </c>
      <c r="P190" s="762">
        <f t="shared" si="347"/>
        <v>22400</v>
      </c>
      <c r="Q190" s="762">
        <f t="shared" si="320"/>
        <v>50000</v>
      </c>
      <c r="R190" s="762"/>
      <c r="S190" s="762"/>
      <c r="T190" s="762">
        <f t="shared" si="443"/>
        <v>66000</v>
      </c>
      <c r="U190" s="762"/>
      <c r="V190" s="762"/>
      <c r="W190" s="762"/>
      <c r="X190" s="762"/>
      <c r="Y190" s="762">
        <f t="shared" si="446"/>
        <v>80000</v>
      </c>
      <c r="Z190" s="762">
        <f t="shared" si="321"/>
        <v>142461</v>
      </c>
      <c r="AA190" s="762"/>
      <c r="AB190" s="762"/>
      <c r="AC190" s="762"/>
      <c r="AD190" s="763">
        <f t="shared" si="348"/>
        <v>360861</v>
      </c>
      <c r="AE190" s="763">
        <f t="shared" si="322"/>
        <v>2692976.8449018667</v>
      </c>
      <c r="AF190" s="762">
        <f t="shared" si="323"/>
        <v>67324.421122546672</v>
      </c>
      <c r="AG190" s="762">
        <f t="shared" si="349"/>
        <v>2760301.2660244135</v>
      </c>
      <c r="AH190" s="762">
        <f t="shared" si="324"/>
        <v>69007.531650610341</v>
      </c>
      <c r="AI190" s="762">
        <f t="shared" si="350"/>
        <v>2829308.7976750238</v>
      </c>
      <c r="AJ190" s="762">
        <f t="shared" si="351"/>
        <v>141465.43988375118</v>
      </c>
      <c r="AK190" s="762">
        <f t="shared" si="352"/>
        <v>2970774.2375587751</v>
      </c>
      <c r="AL190" s="762">
        <f t="shared" si="353"/>
        <v>29707.742375587753</v>
      </c>
      <c r="AM190" s="762">
        <f t="shared" si="354"/>
        <v>27537.409960060559</v>
      </c>
      <c r="AN190" s="762"/>
      <c r="AO190" s="763">
        <f t="shared" si="355"/>
        <v>3028019.3898944231</v>
      </c>
      <c r="AP190" s="763">
        <f t="shared" si="356"/>
        <v>499623.19933257985</v>
      </c>
      <c r="AQ190" s="763">
        <f t="shared" si="357"/>
        <v>3527642.589227003</v>
      </c>
      <c r="AR190" s="1178">
        <f t="shared" si="325"/>
        <v>3000000</v>
      </c>
      <c r="AS190" s="1178">
        <f t="shared" si="358"/>
        <v>23983.754055772864</v>
      </c>
      <c r="AT190" s="1178">
        <f t="shared" si="359"/>
        <v>527642.58922700305</v>
      </c>
      <c r="AU190" s="1178">
        <f t="shared" si="326"/>
        <v>63317.110707240361</v>
      </c>
      <c r="AV190" s="1178">
        <f t="shared" si="360"/>
        <v>590959.69993424346</v>
      </c>
      <c r="AW190" s="1178">
        <f t="shared" si="361"/>
        <v>3590959.6999342432</v>
      </c>
      <c r="AX190" s="762">
        <f t="shared" si="362"/>
        <v>44886.996249178046</v>
      </c>
      <c r="AY190" s="717" t="s">
        <v>231</v>
      </c>
      <c r="AZ190" s="717">
        <f t="shared" si="363"/>
        <v>3635846.6961834212</v>
      </c>
      <c r="BA190" s="717">
        <f t="shared" si="364"/>
        <v>136344.25110687828</v>
      </c>
      <c r="BB190" s="717"/>
      <c r="BC190" s="717">
        <f t="shared" si="327"/>
        <v>33600</v>
      </c>
      <c r="BD190" s="717">
        <f t="shared" si="365"/>
        <v>3805790.9472902995</v>
      </c>
      <c r="BE190" s="717"/>
      <c r="BF190" s="717">
        <f t="shared" si="366"/>
        <v>3805790.9472902995</v>
      </c>
      <c r="BG190" s="1209"/>
      <c r="BH190" s="717">
        <f t="shared" si="367"/>
        <v>3805790.9472902995</v>
      </c>
      <c r="BI190" s="717"/>
      <c r="BJ190" s="717">
        <f t="shared" si="368"/>
        <v>3805790.9472902995</v>
      </c>
      <c r="BK190" s="717"/>
      <c r="BL190" s="717">
        <f t="shared" si="369"/>
        <v>3805790.9472902995</v>
      </c>
      <c r="BM190" s="717"/>
      <c r="BN190" s="717">
        <f t="shared" si="370"/>
        <v>3805790.9472902995</v>
      </c>
      <c r="BO190" s="717"/>
      <c r="BP190" s="717">
        <f t="shared" si="328"/>
        <v>3805790.9472902995</v>
      </c>
      <c r="BQ190" s="717"/>
      <c r="BR190" s="717">
        <f t="shared" si="433"/>
        <v>3805790.9472902995</v>
      </c>
      <c r="BS190" s="717"/>
      <c r="BT190" s="717">
        <f t="shared" si="371"/>
        <v>3805790.9472902995</v>
      </c>
      <c r="BU190" s="717"/>
      <c r="BV190" s="1235">
        <f t="shared" si="434"/>
        <v>51400</v>
      </c>
      <c r="BW190" s="717">
        <f t="shared" si="372"/>
        <v>3857190.9472902995</v>
      </c>
      <c r="BX190" s="717"/>
      <c r="BY190" s="717">
        <f t="shared" si="373"/>
        <v>3857190.9472902995</v>
      </c>
      <c r="BZ190" s="1194">
        <f t="shared" si="374"/>
        <v>3857190.9472902995</v>
      </c>
      <c r="CA190" s="1194">
        <f t="shared" si="375"/>
        <v>3043190.9472902995</v>
      </c>
      <c r="CB190" s="1194">
        <v>37000</v>
      </c>
      <c r="CC190" s="1194">
        <f t="shared" si="376"/>
        <v>814000</v>
      </c>
      <c r="CD190" s="1194">
        <f t="shared" si="377"/>
        <v>97680</v>
      </c>
      <c r="CE190" s="1194">
        <f t="shared" si="378"/>
        <v>911680</v>
      </c>
      <c r="CF190" s="1200">
        <f t="shared" si="379"/>
        <v>3954870.9472902995</v>
      </c>
      <c r="CG190" s="757">
        <f t="shared" si="380"/>
        <v>3954870.9472902995</v>
      </c>
      <c r="CH190" s="758">
        <f t="shared" si="381"/>
        <v>0</v>
      </c>
      <c r="CI190" s="757">
        <f t="shared" si="329"/>
        <v>405374.27209725569</v>
      </c>
      <c r="CJ190" s="757">
        <f t="shared" si="330"/>
        <v>98871.773682257495</v>
      </c>
      <c r="CK190" s="759">
        <f t="shared" si="444"/>
        <v>4459116.9930698127</v>
      </c>
      <c r="CL190" s="764">
        <f t="shared" si="382"/>
        <v>0.125</v>
      </c>
      <c r="CM190" s="757">
        <f t="shared" si="383"/>
        <v>557389.62413372658</v>
      </c>
      <c r="CN190" s="757">
        <f t="shared" si="425"/>
        <v>30000</v>
      </c>
      <c r="CO190" s="757">
        <f t="shared" si="384"/>
        <v>527389.62413372658</v>
      </c>
      <c r="CP190" s="755">
        <f t="shared" si="385"/>
        <v>29</v>
      </c>
      <c r="CQ190" s="757">
        <f t="shared" si="427"/>
        <v>18185.849108059538</v>
      </c>
      <c r="CR190" s="764">
        <f t="shared" si="386"/>
        <v>0.875</v>
      </c>
      <c r="CS190" s="757">
        <f t="shared" si="387"/>
        <v>3901727.3689360861</v>
      </c>
      <c r="CT190" s="1101">
        <f t="shared" si="388"/>
        <v>30250.050762111794</v>
      </c>
      <c r="CU190" s="1101">
        <f t="shared" si="389"/>
        <v>35069.828643584122</v>
      </c>
      <c r="CV190" s="1101">
        <f t="shared" si="390"/>
        <v>45302.363113285224</v>
      </c>
      <c r="CW190" s="1141">
        <f t="shared" si="331"/>
        <v>77258.878282619058</v>
      </c>
      <c r="CX190" s="1152">
        <f t="shared" si="391"/>
        <v>316949.71587485942</v>
      </c>
      <c r="CY190" s="1152">
        <f t="shared" si="392"/>
        <v>125415.45862097293</v>
      </c>
      <c r="CZ190" s="1152">
        <f t="shared" si="393"/>
        <v>90585.809478382245</v>
      </c>
      <c r="DA190" s="1152">
        <f t="shared" si="394"/>
        <v>68939.971368327359</v>
      </c>
      <c r="DB190" s="1143">
        <f t="shared" si="332"/>
        <v>0.17588086307566769</v>
      </c>
      <c r="DC190" s="1143">
        <f t="shared" si="395"/>
        <v>0.29958028128723663</v>
      </c>
      <c r="DD190" s="1098" t="s">
        <v>232</v>
      </c>
      <c r="DE190" s="1144"/>
      <c r="DF190" s="705"/>
      <c r="DG190" s="765">
        <f t="shared" si="426"/>
        <v>46082</v>
      </c>
      <c r="DH190" s="1116">
        <f t="shared" si="333"/>
        <v>28</v>
      </c>
      <c r="DI190" s="497"/>
      <c r="DJ190" s="1117">
        <f t="shared" si="396"/>
        <v>46147</v>
      </c>
      <c r="DK190" s="1116">
        <f t="shared" si="397"/>
        <v>30</v>
      </c>
      <c r="DL190" s="766" t="s">
        <v>233</v>
      </c>
      <c r="DM190" s="766" t="s">
        <v>234</v>
      </c>
      <c r="DN190" s="767">
        <f t="shared" si="334"/>
        <v>26861.804542465612</v>
      </c>
      <c r="DO190" s="767">
        <f t="shared" si="335"/>
        <v>590959.69993424346</v>
      </c>
      <c r="DP190" s="768">
        <f t="shared" si="336"/>
        <v>0.19698656664474781</v>
      </c>
      <c r="DR190" s="767">
        <f t="shared" si="337"/>
        <v>3954870.9472902995</v>
      </c>
      <c r="DS190" s="767">
        <f>SUM('[6]INTERNAL PRICELIST'!M190)</f>
        <v>0</v>
      </c>
      <c r="DT190" s="767">
        <f t="shared" si="398"/>
        <v>3954870.9472902995</v>
      </c>
      <c r="DV190" s="951">
        <f t="shared" si="338"/>
        <v>179766.86124046816</v>
      </c>
      <c r="DX190" s="781"/>
      <c r="DY190" s="782"/>
      <c r="DZ190" s="781"/>
      <c r="EA190" s="775"/>
      <c r="ED190" s="755" t="s">
        <v>605</v>
      </c>
      <c r="EE190" s="777" t="b">
        <f t="shared" si="340"/>
        <v>1</v>
      </c>
      <c r="EF190" s="777"/>
      <c r="EG190" s="777"/>
      <c r="EH190" s="1203"/>
      <c r="EP190" s="1230" t="s">
        <v>236</v>
      </c>
      <c r="EQ190" s="1145" t="s">
        <v>236</v>
      </c>
      <c r="ER190" s="753" t="b">
        <f t="shared" si="399"/>
        <v>1</v>
      </c>
      <c r="EU190" s="770">
        <v>3166487.7924007284</v>
      </c>
      <c r="EV190" s="771" t="s">
        <v>258</v>
      </c>
      <c r="EW190" s="775">
        <f>EU190-CG190</f>
        <v>-788383.15488957101</v>
      </c>
      <c r="EY190" s="775">
        <v>3132804.3364702989</v>
      </c>
      <c r="FJ190" s="994">
        <v>0.125</v>
      </c>
      <c r="FK190" s="993">
        <v>11293.364755127228</v>
      </c>
      <c r="FL190" s="993">
        <v>11598.590829590126</v>
      </c>
      <c r="FM190" s="497"/>
      <c r="FN190" s="993">
        <f t="shared" si="341"/>
        <v>4459116.9930698127</v>
      </c>
      <c r="FO190" s="994">
        <f t="shared" ref="FO190:FO192" si="458">FJ190</f>
        <v>0.125</v>
      </c>
      <c r="FP190" s="775">
        <f t="shared" si="342"/>
        <v>557389.62413372658</v>
      </c>
      <c r="FQ190" s="993">
        <f t="shared" si="343"/>
        <v>30000</v>
      </c>
      <c r="FR190" s="775">
        <f t="shared" si="401"/>
        <v>527389.62413372658</v>
      </c>
      <c r="FS190" s="497">
        <f t="shared" si="402"/>
        <v>40</v>
      </c>
      <c r="FT190" s="775">
        <f t="shared" si="403"/>
        <v>13184.740603343165</v>
      </c>
      <c r="FU190" s="497"/>
      <c r="FV190" s="993">
        <f t="shared" si="404"/>
        <v>4459116.9930698127</v>
      </c>
      <c r="FW190" s="705">
        <f t="shared" si="405"/>
        <v>445911.69930698129</v>
      </c>
      <c r="FX190" s="705">
        <f t="shared" si="406"/>
        <v>111477.92482674532</v>
      </c>
      <c r="FY190" s="705">
        <v>15000</v>
      </c>
      <c r="FZ190" s="705">
        <f t="shared" si="407"/>
        <v>430911.69930698129</v>
      </c>
      <c r="GA190" s="497">
        <f t="shared" si="408"/>
        <v>46</v>
      </c>
      <c r="GB190" s="775">
        <f t="shared" si="409"/>
        <v>9367.6456371082895</v>
      </c>
      <c r="GC190" s="497"/>
      <c r="GD190" s="497"/>
      <c r="GH190" s="1095">
        <f t="shared" si="307"/>
        <v>4459116.9930698127</v>
      </c>
      <c r="GI190" s="1098">
        <f t="shared" si="308"/>
        <v>0.125</v>
      </c>
      <c r="GJ190" s="1095">
        <f t="shared" si="309"/>
        <v>557389.62413372658</v>
      </c>
      <c r="GK190" s="1095">
        <f t="shared" si="310"/>
        <v>30000</v>
      </c>
      <c r="GL190" s="1095">
        <f t="shared" si="311"/>
        <v>527389.62413372658</v>
      </c>
      <c r="GM190" s="1095">
        <f t="shared" si="312"/>
        <v>29</v>
      </c>
      <c r="GN190" s="1095">
        <f t="shared" si="313"/>
        <v>18185.849108059538</v>
      </c>
      <c r="GO190" s="1098">
        <f t="shared" si="314"/>
        <v>0.875</v>
      </c>
      <c r="GP190" s="1095">
        <f t="shared" si="315"/>
        <v>3901727.3689360861</v>
      </c>
      <c r="GQ190" s="1095">
        <f t="shared" si="316"/>
        <v>30250.050762111794</v>
      </c>
      <c r="GR190" s="1095">
        <f t="shared" si="317"/>
        <v>35069.828643584122</v>
      </c>
      <c r="GS190" s="1095">
        <f t="shared" si="318"/>
        <v>45302.363113285224</v>
      </c>
      <c r="GT190" s="1095">
        <f t="shared" si="319"/>
        <v>77258.878282619058</v>
      </c>
      <c r="GU190" s="497"/>
      <c r="GV190" s="1095">
        <f t="shared" si="410"/>
        <v>4459116.9930698127</v>
      </c>
      <c r="GW190" s="1098">
        <f t="shared" si="411"/>
        <v>0.125</v>
      </c>
      <c r="GX190" s="1095">
        <f t="shared" si="412"/>
        <v>557389.62413372658</v>
      </c>
      <c r="GY190" s="1095">
        <f t="shared" si="413"/>
        <v>30000</v>
      </c>
      <c r="GZ190" s="1095">
        <f t="shared" si="414"/>
        <v>527389.62413372658</v>
      </c>
      <c r="HA190" s="1106">
        <f t="shared" si="415"/>
        <v>48</v>
      </c>
      <c r="HB190" s="770">
        <f t="shared" si="416"/>
        <v>10987.283836119304</v>
      </c>
      <c r="HC190" s="1098">
        <f t="shared" si="417"/>
        <v>0.875</v>
      </c>
      <c r="HD190" s="1102">
        <f t="shared" si="418"/>
        <v>3901727.3689360861</v>
      </c>
      <c r="HE190" s="1101">
        <f t="shared" si="419"/>
        <v>30250.050762111794</v>
      </c>
      <c r="HF190" s="1101">
        <f t="shared" si="420"/>
        <v>35069.828643584122</v>
      </c>
      <c r="HG190" s="1101">
        <f t="shared" si="421"/>
        <v>45302.363113285224</v>
      </c>
      <c r="HH190" s="1101">
        <f t="shared" si="422"/>
        <v>77258.878282619058</v>
      </c>
      <c r="HI190" s="497"/>
      <c r="HJ190" s="1102">
        <f t="shared" si="423"/>
        <v>-7198.5652719402333</v>
      </c>
      <c r="HL190" s="775"/>
      <c r="HN190" s="775"/>
      <c r="HO190" s="775"/>
      <c r="HQ190" s="702"/>
      <c r="HR190" s="1171"/>
      <c r="HS190" s="702"/>
      <c r="HT190" s="1171"/>
    </row>
    <row r="191" spans="1:228" ht="14.25" hidden="1" customHeight="1">
      <c r="A191" s="753">
        <f t="shared" si="424"/>
        <v>185</v>
      </c>
      <c r="B191" s="753"/>
      <c r="C191" s="753">
        <f t="shared" si="445"/>
        <v>30</v>
      </c>
      <c r="D191" s="753" t="s">
        <v>272</v>
      </c>
      <c r="E191" s="717" t="str">
        <f t="shared" si="344"/>
        <v>8th Floor</v>
      </c>
      <c r="F191" s="754"/>
      <c r="G191" s="756" t="s">
        <v>606</v>
      </c>
      <c r="H191" s="756"/>
      <c r="I191" s="755" t="s">
        <v>229</v>
      </c>
      <c r="J191" s="757">
        <v>22</v>
      </c>
      <c r="K191" s="758"/>
      <c r="L191" s="759" t="s">
        <v>277</v>
      </c>
      <c r="M191" s="760" t="s">
        <v>68</v>
      </c>
      <c r="N191" s="761">
        <f t="shared" si="345"/>
        <v>106005.26567735759</v>
      </c>
      <c r="O191" s="762">
        <f t="shared" si="346"/>
        <v>2332115.8449018667</v>
      </c>
      <c r="P191" s="762">
        <f t="shared" si="347"/>
        <v>22400</v>
      </c>
      <c r="Q191" s="762">
        <f t="shared" si="320"/>
        <v>50000</v>
      </c>
      <c r="R191" s="762"/>
      <c r="S191" s="762"/>
      <c r="T191" s="762">
        <f t="shared" si="443"/>
        <v>66000</v>
      </c>
      <c r="U191" s="762"/>
      <c r="V191" s="762"/>
      <c r="W191" s="762"/>
      <c r="X191" s="762"/>
      <c r="Y191" s="762">
        <f t="shared" si="446"/>
        <v>80000</v>
      </c>
      <c r="Z191" s="762">
        <f t="shared" si="321"/>
        <v>142461</v>
      </c>
      <c r="AA191" s="762"/>
      <c r="AB191" s="762"/>
      <c r="AC191" s="762"/>
      <c r="AD191" s="763">
        <f t="shared" si="348"/>
        <v>360861</v>
      </c>
      <c r="AE191" s="763">
        <f t="shared" si="322"/>
        <v>2692976.8449018667</v>
      </c>
      <c r="AF191" s="762">
        <f t="shared" si="323"/>
        <v>67324.421122546672</v>
      </c>
      <c r="AG191" s="762">
        <f t="shared" si="349"/>
        <v>2760301.2660244135</v>
      </c>
      <c r="AH191" s="762">
        <f t="shared" si="324"/>
        <v>69007.531650610341</v>
      </c>
      <c r="AI191" s="762">
        <f t="shared" si="350"/>
        <v>2829308.7976750238</v>
      </c>
      <c r="AJ191" s="762">
        <f t="shared" si="351"/>
        <v>141465.43988375118</v>
      </c>
      <c r="AK191" s="762">
        <f t="shared" si="352"/>
        <v>2970774.2375587751</v>
      </c>
      <c r="AL191" s="762">
        <f t="shared" si="353"/>
        <v>29707.742375587753</v>
      </c>
      <c r="AM191" s="762">
        <f t="shared" si="354"/>
        <v>27537.409960060559</v>
      </c>
      <c r="AN191" s="762"/>
      <c r="AO191" s="763">
        <f t="shared" si="355"/>
        <v>3028019.3898944231</v>
      </c>
      <c r="AP191" s="763">
        <f t="shared" si="356"/>
        <v>499623.19933257985</v>
      </c>
      <c r="AQ191" s="763">
        <f t="shared" si="357"/>
        <v>3527642.589227003</v>
      </c>
      <c r="AR191" s="1178">
        <f t="shared" si="325"/>
        <v>3000000</v>
      </c>
      <c r="AS191" s="1178">
        <f t="shared" si="358"/>
        <v>23983.754055772864</v>
      </c>
      <c r="AT191" s="1178">
        <f t="shared" si="359"/>
        <v>527642.58922700305</v>
      </c>
      <c r="AU191" s="1178">
        <f t="shared" si="326"/>
        <v>63317.110707240361</v>
      </c>
      <c r="AV191" s="1178">
        <f t="shared" si="360"/>
        <v>590959.69993424346</v>
      </c>
      <c r="AW191" s="1178">
        <f t="shared" si="361"/>
        <v>3590959.6999342432</v>
      </c>
      <c r="AX191" s="762">
        <f t="shared" si="362"/>
        <v>44886.996249178046</v>
      </c>
      <c r="AY191" s="717" t="s">
        <v>231</v>
      </c>
      <c r="AZ191" s="717">
        <f t="shared" si="363"/>
        <v>3635846.6961834212</v>
      </c>
      <c r="BA191" s="717">
        <f t="shared" si="364"/>
        <v>136344.25110687828</v>
      </c>
      <c r="BB191" s="717"/>
      <c r="BC191" s="717">
        <f t="shared" si="327"/>
        <v>33600</v>
      </c>
      <c r="BD191" s="717">
        <f t="shared" si="365"/>
        <v>3805790.9472902995</v>
      </c>
      <c r="BE191" s="717"/>
      <c r="BF191" s="717">
        <f t="shared" si="366"/>
        <v>3805790.9472902995</v>
      </c>
      <c r="BG191" s="1209"/>
      <c r="BH191" s="717">
        <f t="shared" si="367"/>
        <v>3805790.9472902995</v>
      </c>
      <c r="BI191" s="717"/>
      <c r="BJ191" s="717">
        <f t="shared" si="368"/>
        <v>3805790.9472902995</v>
      </c>
      <c r="BK191" s="717"/>
      <c r="BL191" s="717">
        <f t="shared" si="369"/>
        <v>3805790.9472902995</v>
      </c>
      <c r="BM191" s="717"/>
      <c r="BN191" s="717">
        <f t="shared" si="370"/>
        <v>3805790.9472902995</v>
      </c>
      <c r="BO191" s="717"/>
      <c r="BP191" s="717">
        <f t="shared" si="328"/>
        <v>3805790.9472902995</v>
      </c>
      <c r="BQ191" s="717"/>
      <c r="BR191" s="717">
        <f t="shared" si="433"/>
        <v>3805790.9472902995</v>
      </c>
      <c r="BS191" s="717"/>
      <c r="BT191" s="717">
        <f t="shared" si="371"/>
        <v>3805790.9472902995</v>
      </c>
      <c r="BU191" s="717"/>
      <c r="BV191" s="1235">
        <f t="shared" si="434"/>
        <v>51400</v>
      </c>
      <c r="BW191" s="717">
        <f t="shared" si="372"/>
        <v>3857190.9472902995</v>
      </c>
      <c r="BX191" s="717"/>
      <c r="BY191" s="717">
        <f t="shared" si="373"/>
        <v>3857190.9472902995</v>
      </c>
      <c r="BZ191" s="1194">
        <f t="shared" si="374"/>
        <v>3857190.9472902995</v>
      </c>
      <c r="CA191" s="1194">
        <f t="shared" si="375"/>
        <v>3043190.9472902995</v>
      </c>
      <c r="CB191" s="1194">
        <v>37000</v>
      </c>
      <c r="CC191" s="1194">
        <f t="shared" si="376"/>
        <v>814000</v>
      </c>
      <c r="CD191" s="1194">
        <f t="shared" si="377"/>
        <v>97680</v>
      </c>
      <c r="CE191" s="1194">
        <f t="shared" si="378"/>
        <v>911680</v>
      </c>
      <c r="CF191" s="1200">
        <f t="shared" si="379"/>
        <v>3954870.9472902995</v>
      </c>
      <c r="CG191" s="757">
        <f t="shared" si="380"/>
        <v>3954870.9472902995</v>
      </c>
      <c r="CH191" s="758">
        <f t="shared" si="381"/>
        <v>0</v>
      </c>
      <c r="CI191" s="757">
        <f t="shared" si="329"/>
        <v>405374.27209725569</v>
      </c>
      <c r="CJ191" s="757">
        <f t="shared" si="330"/>
        <v>98871.773682257495</v>
      </c>
      <c r="CK191" s="759">
        <f t="shared" si="444"/>
        <v>4459116.9930698127</v>
      </c>
      <c r="CL191" s="764">
        <f t="shared" si="382"/>
        <v>0.125</v>
      </c>
      <c r="CM191" s="757">
        <f t="shared" si="383"/>
        <v>557389.62413372658</v>
      </c>
      <c r="CN191" s="757">
        <f t="shared" si="425"/>
        <v>30000</v>
      </c>
      <c r="CO191" s="757">
        <f t="shared" si="384"/>
        <v>527389.62413372658</v>
      </c>
      <c r="CP191" s="755">
        <f t="shared" si="385"/>
        <v>29</v>
      </c>
      <c r="CQ191" s="757">
        <f t="shared" si="427"/>
        <v>18185.849108059538</v>
      </c>
      <c r="CR191" s="764">
        <f t="shared" si="386"/>
        <v>0.875</v>
      </c>
      <c r="CS191" s="757">
        <f t="shared" si="387"/>
        <v>3901727.3689360861</v>
      </c>
      <c r="CT191" s="1101">
        <f t="shared" si="388"/>
        <v>30250.050762111794</v>
      </c>
      <c r="CU191" s="1101">
        <f t="shared" si="389"/>
        <v>35069.828643584122</v>
      </c>
      <c r="CV191" s="1101">
        <f t="shared" si="390"/>
        <v>45302.363113285224</v>
      </c>
      <c r="CW191" s="1141">
        <f t="shared" si="331"/>
        <v>77258.878282619058</v>
      </c>
      <c r="CX191" s="1152">
        <f t="shared" si="391"/>
        <v>316949.71587485942</v>
      </c>
      <c r="CY191" s="1152">
        <f t="shared" si="392"/>
        <v>125415.45862097293</v>
      </c>
      <c r="CZ191" s="1152">
        <f t="shared" si="393"/>
        <v>90585.809478382245</v>
      </c>
      <c r="DA191" s="1152">
        <f t="shared" si="394"/>
        <v>68939.971368327359</v>
      </c>
      <c r="DB191" s="1143">
        <f t="shared" si="332"/>
        <v>0.17588086307566769</v>
      </c>
      <c r="DC191" s="1143">
        <f t="shared" si="395"/>
        <v>0.29958028128723663</v>
      </c>
      <c r="DD191" s="1098" t="s">
        <v>232</v>
      </c>
      <c r="DE191" s="1144"/>
      <c r="DF191" s="705"/>
      <c r="DG191" s="765">
        <f t="shared" si="426"/>
        <v>46082</v>
      </c>
      <c r="DH191" s="1116">
        <f t="shared" si="333"/>
        <v>28</v>
      </c>
      <c r="DI191" s="497"/>
      <c r="DJ191" s="1117">
        <f t="shared" si="396"/>
        <v>46147</v>
      </c>
      <c r="DK191" s="1116">
        <f t="shared" si="397"/>
        <v>30</v>
      </c>
      <c r="DL191" s="766" t="s">
        <v>233</v>
      </c>
      <c r="DM191" s="766" t="s">
        <v>234</v>
      </c>
      <c r="DN191" s="767">
        <f t="shared" si="334"/>
        <v>26861.804542465612</v>
      </c>
      <c r="DO191" s="767">
        <f t="shared" si="335"/>
        <v>590959.69993424346</v>
      </c>
      <c r="DP191" s="768">
        <f t="shared" si="336"/>
        <v>0.19698656664474781</v>
      </c>
      <c r="DR191" s="767">
        <f t="shared" si="337"/>
        <v>3954870.9472902995</v>
      </c>
      <c r="DS191" s="767">
        <f>SUM('[6]INTERNAL PRICELIST'!M191)</f>
        <v>0</v>
      </c>
      <c r="DT191" s="767">
        <f t="shared" si="398"/>
        <v>3954870.9472902995</v>
      </c>
      <c r="DV191" s="951">
        <f t="shared" si="338"/>
        <v>179766.86124046816</v>
      </c>
      <c r="DX191" s="781"/>
      <c r="DY191" s="782"/>
      <c r="DZ191" s="781"/>
      <c r="EA191" s="775"/>
      <c r="ED191" s="755" t="s">
        <v>606</v>
      </c>
      <c r="EE191" s="777" t="b">
        <f t="shared" si="340"/>
        <v>1</v>
      </c>
      <c r="EF191" s="777"/>
      <c r="EG191" s="777"/>
      <c r="EH191" s="1203"/>
      <c r="EP191" s="1230" t="s">
        <v>236</v>
      </c>
      <c r="EQ191" s="1145" t="s">
        <v>236</v>
      </c>
      <c r="ER191" s="753" t="b">
        <f t="shared" si="399"/>
        <v>1</v>
      </c>
      <c r="EU191" s="770">
        <v>3166487.7924007284</v>
      </c>
      <c r="EV191" s="771" t="s">
        <v>258</v>
      </c>
      <c r="EW191" s="775">
        <f>EU191-CG191</f>
        <v>-788383.15488957101</v>
      </c>
      <c r="EY191" s="775">
        <v>3132804.3364702989</v>
      </c>
      <c r="FJ191" s="994">
        <v>0.125</v>
      </c>
      <c r="FK191" s="993">
        <v>11293.364755127228</v>
      </c>
      <c r="FL191" s="993">
        <v>11598.590829590126</v>
      </c>
      <c r="FM191" s="497"/>
      <c r="FN191" s="993">
        <f t="shared" si="341"/>
        <v>4459116.9930698127</v>
      </c>
      <c r="FO191" s="994">
        <f t="shared" si="458"/>
        <v>0.125</v>
      </c>
      <c r="FP191" s="775">
        <f t="shared" si="342"/>
        <v>557389.62413372658</v>
      </c>
      <c r="FQ191" s="993">
        <f t="shared" si="343"/>
        <v>30000</v>
      </c>
      <c r="FR191" s="775">
        <f t="shared" si="401"/>
        <v>527389.62413372658</v>
      </c>
      <c r="FS191" s="497">
        <f t="shared" si="402"/>
        <v>40</v>
      </c>
      <c r="FT191" s="775">
        <f t="shared" si="403"/>
        <v>13184.740603343165</v>
      </c>
      <c r="FU191" s="497"/>
      <c r="FV191" s="993">
        <f t="shared" si="404"/>
        <v>4459116.9930698127</v>
      </c>
      <c r="FW191" s="705">
        <f t="shared" si="405"/>
        <v>445911.69930698129</v>
      </c>
      <c r="FX191" s="705">
        <f t="shared" si="406"/>
        <v>111477.92482674532</v>
      </c>
      <c r="FY191" s="705">
        <v>15000</v>
      </c>
      <c r="FZ191" s="705">
        <f t="shared" si="407"/>
        <v>430911.69930698129</v>
      </c>
      <c r="GA191" s="497">
        <f t="shared" si="408"/>
        <v>46</v>
      </c>
      <c r="GB191" s="775">
        <f t="shared" si="409"/>
        <v>9367.6456371082895</v>
      </c>
      <c r="GC191" s="497"/>
      <c r="GD191" s="497"/>
      <c r="GH191" s="1095">
        <f t="shared" si="307"/>
        <v>4459116.9930698127</v>
      </c>
      <c r="GI191" s="1098">
        <f t="shared" si="308"/>
        <v>0.125</v>
      </c>
      <c r="GJ191" s="1095">
        <f t="shared" si="309"/>
        <v>557389.62413372658</v>
      </c>
      <c r="GK191" s="1095">
        <f t="shared" si="310"/>
        <v>30000</v>
      </c>
      <c r="GL191" s="1095">
        <f t="shared" si="311"/>
        <v>527389.62413372658</v>
      </c>
      <c r="GM191" s="1095">
        <f t="shared" si="312"/>
        <v>29</v>
      </c>
      <c r="GN191" s="1095">
        <f t="shared" si="313"/>
        <v>18185.849108059538</v>
      </c>
      <c r="GO191" s="1098">
        <f t="shared" si="314"/>
        <v>0.875</v>
      </c>
      <c r="GP191" s="1095">
        <f t="shared" si="315"/>
        <v>3901727.3689360861</v>
      </c>
      <c r="GQ191" s="1095">
        <f t="shared" si="316"/>
        <v>30250.050762111794</v>
      </c>
      <c r="GR191" s="1095">
        <f t="shared" si="317"/>
        <v>35069.828643584122</v>
      </c>
      <c r="GS191" s="1095">
        <f t="shared" si="318"/>
        <v>45302.363113285224</v>
      </c>
      <c r="GT191" s="1095">
        <f t="shared" si="319"/>
        <v>77258.878282619058</v>
      </c>
      <c r="GU191" s="497"/>
      <c r="GV191" s="1095">
        <f t="shared" si="410"/>
        <v>4459116.9930698127</v>
      </c>
      <c r="GW191" s="1098">
        <f t="shared" si="411"/>
        <v>0.125</v>
      </c>
      <c r="GX191" s="1095">
        <f t="shared" si="412"/>
        <v>557389.62413372658</v>
      </c>
      <c r="GY191" s="1095">
        <f t="shared" si="413"/>
        <v>30000</v>
      </c>
      <c r="GZ191" s="1095">
        <f t="shared" si="414"/>
        <v>527389.62413372658</v>
      </c>
      <c r="HA191" s="1106">
        <f t="shared" si="415"/>
        <v>48</v>
      </c>
      <c r="HB191" s="770">
        <f t="shared" si="416"/>
        <v>10987.283836119304</v>
      </c>
      <c r="HC191" s="1098">
        <f t="shared" si="417"/>
        <v>0.875</v>
      </c>
      <c r="HD191" s="1102">
        <f t="shared" si="418"/>
        <v>3901727.3689360861</v>
      </c>
      <c r="HE191" s="1101">
        <f t="shared" si="419"/>
        <v>30250.050762111794</v>
      </c>
      <c r="HF191" s="1101">
        <f t="shared" si="420"/>
        <v>35069.828643584122</v>
      </c>
      <c r="HG191" s="1101">
        <f t="shared" si="421"/>
        <v>45302.363113285224</v>
      </c>
      <c r="HH191" s="1101">
        <f t="shared" si="422"/>
        <v>77258.878282619058</v>
      </c>
      <c r="HI191" s="497"/>
      <c r="HJ191" s="1102">
        <f t="shared" si="423"/>
        <v>-7198.5652719402333</v>
      </c>
      <c r="HL191" s="775"/>
      <c r="HN191" s="775"/>
      <c r="HO191" s="775"/>
      <c r="HQ191" s="702"/>
      <c r="HR191" s="1171"/>
      <c r="HS191" s="702"/>
      <c r="HT191" s="1171"/>
    </row>
    <row r="192" spans="1:228" ht="14.25" hidden="1" customHeight="1">
      <c r="A192" s="753">
        <f t="shared" si="424"/>
        <v>186</v>
      </c>
      <c r="B192" s="753"/>
      <c r="C192" s="753">
        <f t="shared" si="445"/>
        <v>31</v>
      </c>
      <c r="D192" s="753" t="s">
        <v>272</v>
      </c>
      <c r="E192" s="717" t="str">
        <f t="shared" si="344"/>
        <v>8th Floor</v>
      </c>
      <c r="F192" s="754"/>
      <c r="G192" s="756" t="s">
        <v>607</v>
      </c>
      <c r="H192" s="756"/>
      <c r="I192" s="755" t="s">
        <v>229</v>
      </c>
      <c r="J192" s="757">
        <v>22</v>
      </c>
      <c r="K192" s="758"/>
      <c r="L192" s="759" t="s">
        <v>277</v>
      </c>
      <c r="M192" s="760" t="s">
        <v>278</v>
      </c>
      <c r="N192" s="761">
        <f t="shared" si="345"/>
        <v>106005.26567735759</v>
      </c>
      <c r="O192" s="762">
        <f t="shared" si="346"/>
        <v>2332115.8449018667</v>
      </c>
      <c r="P192" s="762">
        <f t="shared" si="347"/>
        <v>22400</v>
      </c>
      <c r="Q192" s="762">
        <f t="shared" si="320"/>
        <v>50000</v>
      </c>
      <c r="R192" s="762"/>
      <c r="S192" s="762"/>
      <c r="T192" s="762">
        <f t="shared" si="443"/>
        <v>66000</v>
      </c>
      <c r="U192" s="762"/>
      <c r="V192" s="762"/>
      <c r="W192" s="762">
        <f>J192*$W$5</f>
        <v>22000</v>
      </c>
      <c r="X192" s="762"/>
      <c r="Y192" s="762">
        <f t="shared" si="446"/>
        <v>80000</v>
      </c>
      <c r="Z192" s="762">
        <f t="shared" si="321"/>
        <v>142461</v>
      </c>
      <c r="AA192" s="762"/>
      <c r="AB192" s="762"/>
      <c r="AC192" s="762"/>
      <c r="AD192" s="763">
        <f t="shared" si="348"/>
        <v>382861</v>
      </c>
      <c r="AE192" s="763">
        <f t="shared" si="322"/>
        <v>2714976.8449018667</v>
      </c>
      <c r="AF192" s="762">
        <f t="shared" si="323"/>
        <v>67874.421122546672</v>
      </c>
      <c r="AG192" s="762">
        <f t="shared" si="349"/>
        <v>2782851.2660244135</v>
      </c>
      <c r="AH192" s="762">
        <f t="shared" si="324"/>
        <v>69571.281650610341</v>
      </c>
      <c r="AI192" s="762">
        <f t="shared" si="350"/>
        <v>2852422.5476750238</v>
      </c>
      <c r="AJ192" s="762">
        <f t="shared" si="351"/>
        <v>142621.12738375118</v>
      </c>
      <c r="AK192" s="762">
        <f t="shared" si="352"/>
        <v>2995043.6750587751</v>
      </c>
      <c r="AL192" s="762">
        <f t="shared" si="353"/>
        <v>29950.436750587753</v>
      </c>
      <c r="AM192" s="762">
        <f t="shared" si="354"/>
        <v>27537.409960060559</v>
      </c>
      <c r="AN192" s="762"/>
      <c r="AO192" s="763">
        <f t="shared" si="355"/>
        <v>3052531.521769423</v>
      </c>
      <c r="AP192" s="763">
        <f t="shared" si="356"/>
        <v>503667.70109195483</v>
      </c>
      <c r="AQ192" s="763">
        <f t="shared" si="357"/>
        <v>3556199.222861378</v>
      </c>
      <c r="AR192" s="1178">
        <f t="shared" si="325"/>
        <v>3000000</v>
      </c>
      <c r="AS192" s="1178">
        <f t="shared" si="358"/>
        <v>25281.782857335362</v>
      </c>
      <c r="AT192" s="1178">
        <f t="shared" si="359"/>
        <v>556199.22286137799</v>
      </c>
      <c r="AU192" s="1178">
        <f t="shared" si="326"/>
        <v>66743.906743365354</v>
      </c>
      <c r="AV192" s="1178">
        <f t="shared" si="360"/>
        <v>622943.12960474333</v>
      </c>
      <c r="AW192" s="1178">
        <f t="shared" si="361"/>
        <v>3622943.1296047433</v>
      </c>
      <c r="AX192" s="762">
        <f t="shared" si="362"/>
        <v>45286.789120059293</v>
      </c>
      <c r="AY192" s="717" t="s">
        <v>231</v>
      </c>
      <c r="AZ192" s="717">
        <f t="shared" si="363"/>
        <v>3668229.9187248028</v>
      </c>
      <c r="BA192" s="717">
        <f t="shared" si="364"/>
        <v>137558.62195218011</v>
      </c>
      <c r="BB192" s="717"/>
      <c r="BC192" s="717">
        <f t="shared" si="327"/>
        <v>33600</v>
      </c>
      <c r="BD192" s="717">
        <f t="shared" si="365"/>
        <v>3839388.5406769831</v>
      </c>
      <c r="BE192" s="717"/>
      <c r="BF192" s="717">
        <f t="shared" si="366"/>
        <v>3839388.5406769831</v>
      </c>
      <c r="BG192" s="1209"/>
      <c r="BH192" s="717">
        <f t="shared" si="367"/>
        <v>3839388.5406769831</v>
      </c>
      <c r="BI192" s="717"/>
      <c r="BJ192" s="717">
        <f t="shared" si="368"/>
        <v>3839388.5406769831</v>
      </c>
      <c r="BK192" s="717"/>
      <c r="BL192" s="717">
        <f t="shared" si="369"/>
        <v>3839388.5406769831</v>
      </c>
      <c r="BM192" s="717"/>
      <c r="BN192" s="717">
        <f t="shared" si="370"/>
        <v>3839388.5406769831</v>
      </c>
      <c r="BO192" s="717"/>
      <c r="BP192" s="717">
        <f t="shared" si="328"/>
        <v>3839388.5406769831</v>
      </c>
      <c r="BQ192" s="717"/>
      <c r="BR192" s="717">
        <f t="shared" si="433"/>
        <v>3839388.5406769831</v>
      </c>
      <c r="BS192" s="717"/>
      <c r="BT192" s="717">
        <f t="shared" si="371"/>
        <v>3839388.5406769831</v>
      </c>
      <c r="BU192" s="717"/>
      <c r="BV192" s="1235">
        <f t="shared" si="434"/>
        <v>51400</v>
      </c>
      <c r="BW192" s="717">
        <f t="shared" si="372"/>
        <v>3890788.5406769831</v>
      </c>
      <c r="BX192" s="717"/>
      <c r="BY192" s="717">
        <f t="shared" si="373"/>
        <v>3890788.5406769831</v>
      </c>
      <c r="BZ192" s="1194">
        <f t="shared" si="374"/>
        <v>3890788.5406769831</v>
      </c>
      <c r="CA192" s="1194">
        <f t="shared" si="375"/>
        <v>3010788.5406769831</v>
      </c>
      <c r="CB192" s="1194">
        <v>40000</v>
      </c>
      <c r="CC192" s="1194">
        <f t="shared" si="376"/>
        <v>880000</v>
      </c>
      <c r="CD192" s="1194">
        <f t="shared" si="377"/>
        <v>105600</v>
      </c>
      <c r="CE192" s="1194">
        <f t="shared" si="378"/>
        <v>985600</v>
      </c>
      <c r="CF192" s="1200">
        <f t="shared" si="379"/>
        <v>3996388.5406769831</v>
      </c>
      <c r="CG192" s="757">
        <f t="shared" si="380"/>
        <v>3996388.5406769831</v>
      </c>
      <c r="CH192" s="758">
        <f t="shared" si="381"/>
        <v>0</v>
      </c>
      <c r="CI192" s="757">
        <f t="shared" si="329"/>
        <v>409629.82541939075</v>
      </c>
      <c r="CJ192" s="757">
        <f t="shared" si="330"/>
        <v>99909.713516924588</v>
      </c>
      <c r="CK192" s="759">
        <f t="shared" si="444"/>
        <v>4505928.0796132982</v>
      </c>
      <c r="CL192" s="764">
        <f t="shared" si="382"/>
        <v>0.125</v>
      </c>
      <c r="CM192" s="757">
        <f t="shared" si="383"/>
        <v>563241.00995166227</v>
      </c>
      <c r="CN192" s="757">
        <f t="shared" si="425"/>
        <v>30000</v>
      </c>
      <c r="CO192" s="757">
        <f t="shared" si="384"/>
        <v>533241.00995166227</v>
      </c>
      <c r="CP192" s="755">
        <f t="shared" si="385"/>
        <v>29</v>
      </c>
      <c r="CQ192" s="757">
        <f t="shared" si="427"/>
        <v>18387.62103281594</v>
      </c>
      <c r="CR192" s="764">
        <f t="shared" si="386"/>
        <v>0.875</v>
      </c>
      <c r="CS192" s="757">
        <f t="shared" si="387"/>
        <v>3942687.0696616359</v>
      </c>
      <c r="CT192" s="1101">
        <f t="shared" si="388"/>
        <v>30567.610885869661</v>
      </c>
      <c r="CU192" s="1101">
        <f t="shared" si="389"/>
        <v>35437.986013361908</v>
      </c>
      <c r="CV192" s="1101">
        <f t="shared" si="390"/>
        <v>45777.939969334584</v>
      </c>
      <c r="CW192" s="1141">
        <f t="shared" si="331"/>
        <v>78069.929448838971</v>
      </c>
      <c r="CX192" s="1152">
        <f t="shared" si="391"/>
        <v>320277.00255578972</v>
      </c>
      <c r="CY192" s="1152">
        <f t="shared" si="392"/>
        <v>126732.04975247307</v>
      </c>
      <c r="CZ192" s="1152">
        <f t="shared" si="393"/>
        <v>91536.764605528384</v>
      </c>
      <c r="DA192" s="1152">
        <f t="shared" si="394"/>
        <v>69663.691999798495</v>
      </c>
      <c r="DB192" s="1143">
        <f t="shared" si="332"/>
        <v>0.18539974095379266</v>
      </c>
      <c r="DC192" s="1143">
        <f t="shared" si="395"/>
        <v>0.32735610179331476</v>
      </c>
      <c r="DD192" s="1098" t="s">
        <v>232</v>
      </c>
      <c r="DE192" s="1144"/>
      <c r="DF192" s="705"/>
      <c r="DG192" s="765">
        <f t="shared" si="426"/>
        <v>46082</v>
      </c>
      <c r="DH192" s="1116">
        <f t="shared" si="333"/>
        <v>28</v>
      </c>
      <c r="DI192" s="497"/>
      <c r="DJ192" s="1117">
        <f t="shared" si="396"/>
        <v>46147</v>
      </c>
      <c r="DK192" s="1116">
        <f t="shared" si="397"/>
        <v>30</v>
      </c>
      <c r="DL192" s="766" t="s">
        <v>233</v>
      </c>
      <c r="DM192" s="766" t="s">
        <v>234</v>
      </c>
      <c r="DN192" s="767">
        <f t="shared" si="334"/>
        <v>28315.596800215604</v>
      </c>
      <c r="DO192" s="767">
        <f t="shared" si="335"/>
        <v>622943.12960474333</v>
      </c>
      <c r="DP192" s="768">
        <f t="shared" si="336"/>
        <v>0.20764770986824777</v>
      </c>
      <c r="DR192" s="767">
        <f t="shared" si="337"/>
        <v>3996388.5406769831</v>
      </c>
      <c r="DS192" s="767">
        <f>SUM('[6]INTERNAL PRICELIST'!M192)</f>
        <v>0</v>
      </c>
      <c r="DT192" s="767">
        <f t="shared" si="398"/>
        <v>3996388.5406769831</v>
      </c>
      <c r="DV192" s="951">
        <f t="shared" si="338"/>
        <v>181654.02457622651</v>
      </c>
      <c r="DX192" s="781"/>
      <c r="DY192" s="782"/>
      <c r="DZ192" s="781"/>
      <c r="EA192" s="775"/>
      <c r="ED192" s="755" t="s">
        <v>607</v>
      </c>
      <c r="EE192" s="777" t="b">
        <f t="shared" si="340"/>
        <v>1</v>
      </c>
      <c r="EF192" s="777"/>
      <c r="EG192" s="777"/>
      <c r="EH192" s="1203"/>
      <c r="EP192" s="1230" t="s">
        <v>236</v>
      </c>
      <c r="EQ192" s="1145" t="s">
        <v>236</v>
      </c>
      <c r="ER192" s="753" t="b">
        <f t="shared" si="399"/>
        <v>1</v>
      </c>
      <c r="EU192" s="770">
        <v>3194316.7474007285</v>
      </c>
      <c r="EV192" s="771" t="s">
        <v>258</v>
      </c>
      <c r="EW192" s="775">
        <f>EU192-CG192</f>
        <v>-802071.79327625455</v>
      </c>
      <c r="EY192" s="775">
        <v>3160387.0375777991</v>
      </c>
      <c r="FJ192" s="994">
        <v>0.125</v>
      </c>
      <c r="FK192" s="993">
        <v>11395.186860823775</v>
      </c>
      <c r="FL192" s="993">
        <v>11703.164884089281</v>
      </c>
      <c r="FM192" s="497"/>
      <c r="FN192" s="993">
        <f t="shared" si="341"/>
        <v>4505928.0796132982</v>
      </c>
      <c r="FO192" s="994">
        <f t="shared" si="458"/>
        <v>0.125</v>
      </c>
      <c r="FP192" s="775">
        <f t="shared" si="342"/>
        <v>563241.00995166227</v>
      </c>
      <c r="FQ192" s="993">
        <f t="shared" si="343"/>
        <v>30000</v>
      </c>
      <c r="FR192" s="775">
        <f t="shared" si="401"/>
        <v>533241.00995166227</v>
      </c>
      <c r="FS192" s="497">
        <f t="shared" si="402"/>
        <v>40</v>
      </c>
      <c r="FT192" s="775">
        <f t="shared" si="403"/>
        <v>13331.025248791557</v>
      </c>
      <c r="FU192" s="497"/>
      <c r="FV192" s="993">
        <f t="shared" si="404"/>
        <v>4505928.0796132982</v>
      </c>
      <c r="FW192" s="705">
        <f t="shared" si="405"/>
        <v>450592.80796132982</v>
      </c>
      <c r="FX192" s="705">
        <f t="shared" si="406"/>
        <v>112648.20199033245</v>
      </c>
      <c r="FY192" s="705">
        <v>15000</v>
      </c>
      <c r="FZ192" s="705">
        <f t="shared" si="407"/>
        <v>435592.80796132982</v>
      </c>
      <c r="GA192" s="497">
        <f t="shared" si="408"/>
        <v>46</v>
      </c>
      <c r="GB192" s="775">
        <f t="shared" si="409"/>
        <v>9469.4088687245621</v>
      </c>
      <c r="GC192" s="497"/>
      <c r="GD192" s="497"/>
      <c r="GH192" s="1095">
        <f t="shared" si="307"/>
        <v>4505928.0796132982</v>
      </c>
      <c r="GI192" s="1098">
        <f t="shared" si="308"/>
        <v>0.125</v>
      </c>
      <c r="GJ192" s="1095">
        <f t="shared" si="309"/>
        <v>563241.00995166227</v>
      </c>
      <c r="GK192" s="1095">
        <f t="shared" si="310"/>
        <v>30000</v>
      </c>
      <c r="GL192" s="1095">
        <f t="shared" si="311"/>
        <v>533241.00995166227</v>
      </c>
      <c r="GM192" s="1095">
        <f t="shared" si="312"/>
        <v>29</v>
      </c>
      <c r="GN192" s="1095">
        <f t="shared" si="313"/>
        <v>18387.62103281594</v>
      </c>
      <c r="GO192" s="1098">
        <f t="shared" si="314"/>
        <v>0.875</v>
      </c>
      <c r="GP192" s="1095">
        <f t="shared" si="315"/>
        <v>3942687.0696616359</v>
      </c>
      <c r="GQ192" s="1095">
        <f t="shared" si="316"/>
        <v>30567.610885869661</v>
      </c>
      <c r="GR192" s="1095">
        <f t="shared" si="317"/>
        <v>35437.986013361908</v>
      </c>
      <c r="GS192" s="1095">
        <f t="shared" si="318"/>
        <v>45777.939969334584</v>
      </c>
      <c r="GT192" s="1095">
        <f t="shared" si="319"/>
        <v>78069.929448838971</v>
      </c>
      <c r="GU192" s="497"/>
      <c r="GV192" s="1095">
        <f t="shared" si="410"/>
        <v>4505928.0796132982</v>
      </c>
      <c r="GW192" s="1098">
        <f t="shared" si="411"/>
        <v>0.125</v>
      </c>
      <c r="GX192" s="1095">
        <f t="shared" si="412"/>
        <v>563241.00995166227</v>
      </c>
      <c r="GY192" s="1095">
        <f t="shared" si="413"/>
        <v>30000</v>
      </c>
      <c r="GZ192" s="1095">
        <f t="shared" si="414"/>
        <v>533241.00995166227</v>
      </c>
      <c r="HA192" s="1106">
        <f t="shared" si="415"/>
        <v>48</v>
      </c>
      <c r="HB192" s="770">
        <f t="shared" si="416"/>
        <v>11109.187707326297</v>
      </c>
      <c r="HC192" s="1098">
        <f t="shared" si="417"/>
        <v>0.875</v>
      </c>
      <c r="HD192" s="1102">
        <f t="shared" si="418"/>
        <v>3942687.0696616359</v>
      </c>
      <c r="HE192" s="1101">
        <f t="shared" si="419"/>
        <v>30567.610885869661</v>
      </c>
      <c r="HF192" s="1101">
        <f t="shared" si="420"/>
        <v>35437.986013361908</v>
      </c>
      <c r="HG192" s="1101">
        <f t="shared" si="421"/>
        <v>45777.939969334584</v>
      </c>
      <c r="HH192" s="1101">
        <f t="shared" si="422"/>
        <v>78069.929448838971</v>
      </c>
      <c r="HI192" s="497"/>
      <c r="HJ192" s="1102">
        <f t="shared" si="423"/>
        <v>-7278.4333254896428</v>
      </c>
      <c r="HL192" s="775"/>
      <c r="HN192" s="775"/>
      <c r="HO192" s="775"/>
      <c r="HQ192" s="702"/>
      <c r="HR192" s="1171"/>
      <c r="HS192" s="702"/>
      <c r="HT192" s="1171"/>
    </row>
    <row r="193" spans="1:228" ht="14.25" hidden="1" customHeight="1">
      <c r="A193" s="753">
        <f t="shared" si="424"/>
        <v>187</v>
      </c>
      <c r="B193" s="753"/>
      <c r="C193" s="753">
        <v>1</v>
      </c>
      <c r="D193" s="753" t="s">
        <v>275</v>
      </c>
      <c r="E193" s="717" t="str">
        <f t="shared" si="344"/>
        <v>9th Floor</v>
      </c>
      <c r="F193" s="754"/>
      <c r="G193" s="756" t="s">
        <v>608</v>
      </c>
      <c r="H193" s="756"/>
      <c r="I193" s="755" t="s">
        <v>229</v>
      </c>
      <c r="J193" s="757">
        <v>22</v>
      </c>
      <c r="K193" s="758"/>
      <c r="L193" s="759" t="s">
        <v>69</v>
      </c>
      <c r="M193" s="760" t="s">
        <v>230</v>
      </c>
      <c r="N193" s="761">
        <f t="shared" si="345"/>
        <v>106005.26567735759</v>
      </c>
      <c r="O193" s="762">
        <f t="shared" si="346"/>
        <v>2332115.8449018667</v>
      </c>
      <c r="P193" s="762">
        <f t="shared" si="347"/>
        <v>22400</v>
      </c>
      <c r="Q193" s="762">
        <f t="shared" si="320"/>
        <v>50000</v>
      </c>
      <c r="R193" s="762"/>
      <c r="S193" s="762"/>
      <c r="T193" s="762"/>
      <c r="U193" s="762"/>
      <c r="V193" s="762">
        <f>J193*$V$5</f>
        <v>55000</v>
      </c>
      <c r="W193" s="762"/>
      <c r="X193" s="762"/>
      <c r="Y193" s="762">
        <f>Y192+Y5</f>
        <v>100000</v>
      </c>
      <c r="Z193" s="762">
        <f t="shared" si="321"/>
        <v>142461</v>
      </c>
      <c r="AA193" s="762"/>
      <c r="AB193" s="762"/>
      <c r="AC193" s="762"/>
      <c r="AD193" s="763">
        <f t="shared" si="348"/>
        <v>369861</v>
      </c>
      <c r="AE193" s="763">
        <f t="shared" si="322"/>
        <v>2701976.8449018667</v>
      </c>
      <c r="AF193" s="762">
        <f t="shared" si="323"/>
        <v>67549.421122546672</v>
      </c>
      <c r="AG193" s="762">
        <f t="shared" si="349"/>
        <v>2769526.2660244135</v>
      </c>
      <c r="AH193" s="762">
        <f t="shared" si="324"/>
        <v>69238.156650610341</v>
      </c>
      <c r="AI193" s="762">
        <f t="shared" si="350"/>
        <v>2838764.4226750238</v>
      </c>
      <c r="AJ193" s="762">
        <f t="shared" si="351"/>
        <v>141938.22113375118</v>
      </c>
      <c r="AK193" s="762">
        <f t="shared" si="352"/>
        <v>2980702.6438087751</v>
      </c>
      <c r="AL193" s="762">
        <f t="shared" si="353"/>
        <v>29807.026438087752</v>
      </c>
      <c r="AM193" s="762">
        <f t="shared" si="354"/>
        <v>27537.409960060559</v>
      </c>
      <c r="AN193" s="762"/>
      <c r="AO193" s="763">
        <f t="shared" si="355"/>
        <v>3038047.0802069232</v>
      </c>
      <c r="AP193" s="763">
        <f t="shared" si="356"/>
        <v>501277.76823414234</v>
      </c>
      <c r="AQ193" s="763">
        <f t="shared" si="357"/>
        <v>3539324.8484410653</v>
      </c>
      <c r="AR193" s="1178">
        <f t="shared" si="325"/>
        <v>3000000</v>
      </c>
      <c r="AS193" s="1178">
        <f t="shared" si="358"/>
        <v>24514.76583823024</v>
      </c>
      <c r="AT193" s="1178">
        <f t="shared" si="359"/>
        <v>539324.84844106529</v>
      </c>
      <c r="AU193" s="1178">
        <f t="shared" si="326"/>
        <v>64718.981812927836</v>
      </c>
      <c r="AV193" s="1178">
        <f t="shared" si="360"/>
        <v>604043.83025399316</v>
      </c>
      <c r="AW193" s="1178">
        <f t="shared" si="361"/>
        <v>3604043.8302539932</v>
      </c>
      <c r="AX193" s="762">
        <f t="shared" si="362"/>
        <v>45050.547878174919</v>
      </c>
      <c r="AY193" s="717" t="s">
        <v>231</v>
      </c>
      <c r="AZ193" s="717">
        <f t="shared" si="363"/>
        <v>3649094.3781321682</v>
      </c>
      <c r="BA193" s="717">
        <f t="shared" si="364"/>
        <v>136841.03917995631</v>
      </c>
      <c r="BB193" s="717"/>
      <c r="BC193" s="717">
        <f t="shared" si="327"/>
        <v>33600</v>
      </c>
      <c r="BD193" s="717">
        <f t="shared" si="365"/>
        <v>3819535.4173121247</v>
      </c>
      <c r="BE193" s="717"/>
      <c r="BF193" s="717">
        <f t="shared" si="366"/>
        <v>3819535.4173121247</v>
      </c>
      <c r="BG193" s="1209"/>
      <c r="BH193" s="717">
        <f t="shared" si="367"/>
        <v>3819535.4173121247</v>
      </c>
      <c r="BI193" s="717"/>
      <c r="BJ193" s="717">
        <f t="shared" si="368"/>
        <v>3819535.4173121247</v>
      </c>
      <c r="BK193" s="717"/>
      <c r="BL193" s="717">
        <f t="shared" si="369"/>
        <v>3819535.4173121247</v>
      </c>
      <c r="BM193" s="717"/>
      <c r="BN193" s="717">
        <f t="shared" si="370"/>
        <v>3819535.4173121247</v>
      </c>
      <c r="BO193" s="717"/>
      <c r="BP193" s="717">
        <f t="shared" si="328"/>
        <v>3819535.4173121247</v>
      </c>
      <c r="BQ193" s="717"/>
      <c r="BR193" s="717">
        <f t="shared" si="433"/>
        <v>3819535.4173121247</v>
      </c>
      <c r="BS193" s="717"/>
      <c r="BT193" s="717">
        <f t="shared" si="371"/>
        <v>3819535.4173121247</v>
      </c>
      <c r="BU193" s="717"/>
      <c r="BV193" s="1235">
        <f t="shared" si="434"/>
        <v>51400</v>
      </c>
      <c r="BW193" s="717">
        <f t="shared" si="372"/>
        <v>3870935.4173121247</v>
      </c>
      <c r="BX193" s="717"/>
      <c r="BY193" s="717">
        <f t="shared" si="373"/>
        <v>3870935.4173121247</v>
      </c>
      <c r="BZ193" s="1194">
        <f t="shared" si="374"/>
        <v>3870935.4173121247</v>
      </c>
      <c r="CA193" s="1194">
        <f t="shared" si="375"/>
        <v>3034935.4173121247</v>
      </c>
      <c r="CB193" s="1194">
        <v>38000</v>
      </c>
      <c r="CC193" s="1194">
        <f t="shared" si="376"/>
        <v>836000</v>
      </c>
      <c r="CD193" s="1194">
        <f t="shared" si="377"/>
        <v>100320</v>
      </c>
      <c r="CE193" s="1194">
        <f t="shared" si="378"/>
        <v>936320</v>
      </c>
      <c r="CF193" s="1200">
        <f t="shared" si="379"/>
        <v>3971255.4173121247</v>
      </c>
      <c r="CG193" s="757">
        <f t="shared" si="380"/>
        <v>3971255.4173121247</v>
      </c>
      <c r="CH193" s="758">
        <f t="shared" si="381"/>
        <v>0</v>
      </c>
      <c r="CI193" s="757">
        <f t="shared" si="329"/>
        <v>407053.68027449277</v>
      </c>
      <c r="CJ193" s="757">
        <f t="shared" si="330"/>
        <v>99281.38543280313</v>
      </c>
      <c r="CK193" s="759">
        <f t="shared" si="444"/>
        <v>4477590.4830194209</v>
      </c>
      <c r="CL193" s="764">
        <f t="shared" si="382"/>
        <v>0.125</v>
      </c>
      <c r="CM193" s="757">
        <f t="shared" si="383"/>
        <v>559698.81037742761</v>
      </c>
      <c r="CN193" s="757">
        <f t="shared" si="425"/>
        <v>30000</v>
      </c>
      <c r="CO193" s="757">
        <f t="shared" si="384"/>
        <v>529698.81037742761</v>
      </c>
      <c r="CP193" s="755">
        <f t="shared" si="385"/>
        <v>29</v>
      </c>
      <c r="CQ193" s="757">
        <f t="shared" si="427"/>
        <v>18265.476219911296</v>
      </c>
      <c r="CR193" s="764">
        <f t="shared" si="386"/>
        <v>0.875</v>
      </c>
      <c r="CS193" s="757">
        <f t="shared" si="387"/>
        <v>3917891.6726419935</v>
      </c>
      <c r="CT193" s="1101">
        <f t="shared" si="388"/>
        <v>30375.372436693899</v>
      </c>
      <c r="CU193" s="1101">
        <f t="shared" si="389"/>
        <v>35215.117975079258</v>
      </c>
      <c r="CV193" s="1101">
        <f t="shared" si="390"/>
        <v>45490.044385377318</v>
      </c>
      <c r="CW193" s="1141">
        <f t="shared" si="331"/>
        <v>77578.950869566252</v>
      </c>
      <c r="CX193" s="1152">
        <f t="shared" si="391"/>
        <v>318262.79364336049</v>
      </c>
      <c r="CY193" s="1152">
        <f t="shared" si="392"/>
        <v>125935.03709759978</v>
      </c>
      <c r="CZ193" s="1152">
        <f t="shared" si="393"/>
        <v>90961.093653158736</v>
      </c>
      <c r="DA193" s="1152">
        <f t="shared" si="394"/>
        <v>69225.579902523343</v>
      </c>
      <c r="DB193" s="1143">
        <f t="shared" si="332"/>
        <v>0.17977494948035511</v>
      </c>
      <c r="DC193" s="1143">
        <f t="shared" si="395"/>
        <v>0.30851397847182105</v>
      </c>
      <c r="DD193" s="1098" t="s">
        <v>232</v>
      </c>
      <c r="DE193" s="1144"/>
      <c r="DF193" s="705"/>
      <c r="DG193" s="765">
        <f t="shared" si="426"/>
        <v>46082</v>
      </c>
      <c r="DH193" s="1116">
        <f t="shared" si="333"/>
        <v>28</v>
      </c>
      <c r="DI193" s="497"/>
      <c r="DJ193" s="1117">
        <f t="shared" si="396"/>
        <v>46147</v>
      </c>
      <c r="DK193" s="1116">
        <f t="shared" si="397"/>
        <v>30</v>
      </c>
      <c r="DL193" s="766" t="s">
        <v>233</v>
      </c>
      <c r="DM193" s="766" t="s">
        <v>234</v>
      </c>
      <c r="DN193" s="767">
        <f t="shared" si="334"/>
        <v>27456.537738817871</v>
      </c>
      <c r="DO193" s="767">
        <f t="shared" si="335"/>
        <v>604043.83025399316</v>
      </c>
      <c r="DP193" s="768">
        <f t="shared" si="336"/>
        <v>0.20134794341799772</v>
      </c>
      <c r="DR193" s="767">
        <f t="shared" si="337"/>
        <v>3971255.4173121247</v>
      </c>
      <c r="DS193" s="767">
        <f>SUM('[6]INTERNAL PRICELIST'!M193)</f>
        <v>0</v>
      </c>
      <c r="DT193" s="767">
        <f t="shared" si="398"/>
        <v>3971255.4173121247</v>
      </c>
      <c r="DV193" s="951">
        <f t="shared" si="338"/>
        <v>180511.60987782385</v>
      </c>
      <c r="DX193" s="781"/>
      <c r="DY193" s="782"/>
      <c r="DZ193" s="781"/>
      <c r="EA193" s="775"/>
      <c r="ED193" s="1133" t="s">
        <v>608</v>
      </c>
      <c r="EE193" s="777" t="b">
        <f t="shared" si="340"/>
        <v>1</v>
      </c>
      <c r="EF193" s="777"/>
      <c r="EG193" s="777"/>
      <c r="EH193" s="1203"/>
      <c r="EP193" s="1230" t="s">
        <v>236</v>
      </c>
      <c r="EQ193" s="1145" t="s">
        <v>236</v>
      </c>
      <c r="ER193" s="823" t="b">
        <f t="shared" si="399"/>
        <v>1</v>
      </c>
      <c r="EU193" s="770">
        <v>3235519.0478750588</v>
      </c>
      <c r="EV193" s="771" t="s">
        <v>258</v>
      </c>
      <c r="EW193" s="775">
        <f>EU193-CG193</f>
        <v>-735736.36943706591</v>
      </c>
      <c r="FJ193" s="994">
        <v>0.15</v>
      </c>
      <c r="FK193" s="993">
        <v>13934.075483449196</v>
      </c>
      <c r="FL193" s="993">
        <v>14310.672118137012</v>
      </c>
      <c r="FM193" s="497"/>
      <c r="FN193" s="993">
        <f t="shared" si="341"/>
        <v>4477590.4830194209</v>
      </c>
      <c r="FO193" s="994">
        <f t="shared" si="400"/>
        <v>0.15</v>
      </c>
      <c r="FP193" s="775">
        <f t="shared" si="342"/>
        <v>671638.57245291315</v>
      </c>
      <c r="FQ193" s="993">
        <f t="shared" si="343"/>
        <v>30000</v>
      </c>
      <c r="FR193" s="775">
        <f t="shared" si="401"/>
        <v>641638.57245291315</v>
      </c>
      <c r="FS193" s="497">
        <f t="shared" si="402"/>
        <v>40</v>
      </c>
      <c r="FT193" s="775">
        <f t="shared" si="403"/>
        <v>16040.964311322829</v>
      </c>
      <c r="FU193" s="497"/>
      <c r="FV193" s="993">
        <f t="shared" si="404"/>
        <v>4477590.4830194209</v>
      </c>
      <c r="FW193" s="705">
        <f t="shared" si="405"/>
        <v>447759.04830194212</v>
      </c>
      <c r="FX193" s="705">
        <f t="shared" si="406"/>
        <v>111939.76207548553</v>
      </c>
      <c r="FY193" s="705">
        <v>15000</v>
      </c>
      <c r="FZ193" s="705">
        <f t="shared" si="407"/>
        <v>432759.04830194212</v>
      </c>
      <c r="GA193" s="497">
        <f t="shared" si="408"/>
        <v>46</v>
      </c>
      <c r="GB193" s="775">
        <f t="shared" si="409"/>
        <v>9407.8053978683074</v>
      </c>
      <c r="GC193" s="497"/>
      <c r="GD193" s="497"/>
      <c r="GH193" s="1095">
        <f t="shared" si="307"/>
        <v>4477590.4830194209</v>
      </c>
      <c r="GI193" s="1098">
        <f t="shared" si="308"/>
        <v>0.125</v>
      </c>
      <c r="GJ193" s="1095">
        <f t="shared" si="309"/>
        <v>559698.81037742761</v>
      </c>
      <c r="GK193" s="1095">
        <f t="shared" si="310"/>
        <v>30000</v>
      </c>
      <c r="GL193" s="1095">
        <f t="shared" si="311"/>
        <v>529698.81037742761</v>
      </c>
      <c r="GM193" s="1095">
        <f t="shared" si="312"/>
        <v>29</v>
      </c>
      <c r="GN193" s="1095">
        <f t="shared" si="313"/>
        <v>18265.476219911296</v>
      </c>
      <c r="GO193" s="1098">
        <f t="shared" si="314"/>
        <v>0.875</v>
      </c>
      <c r="GP193" s="1095">
        <f t="shared" si="315"/>
        <v>3917891.6726419935</v>
      </c>
      <c r="GQ193" s="1095">
        <f t="shared" si="316"/>
        <v>30375.372436693899</v>
      </c>
      <c r="GR193" s="1095">
        <f t="shared" si="317"/>
        <v>35215.117975079258</v>
      </c>
      <c r="GS193" s="1095">
        <f t="shared" si="318"/>
        <v>45490.044385377318</v>
      </c>
      <c r="GT193" s="1095">
        <f t="shared" si="319"/>
        <v>77578.950869566252</v>
      </c>
      <c r="GU193" s="497"/>
      <c r="GV193" s="1095">
        <f t="shared" si="410"/>
        <v>4477590.4830194209</v>
      </c>
      <c r="GW193" s="1098">
        <f t="shared" si="411"/>
        <v>0.125</v>
      </c>
      <c r="GX193" s="1095">
        <f t="shared" si="412"/>
        <v>559698.81037742761</v>
      </c>
      <c r="GY193" s="1095">
        <f t="shared" si="413"/>
        <v>30000</v>
      </c>
      <c r="GZ193" s="1095">
        <f t="shared" si="414"/>
        <v>529698.81037742761</v>
      </c>
      <c r="HA193" s="1106">
        <f t="shared" si="415"/>
        <v>48</v>
      </c>
      <c r="HB193" s="770">
        <f t="shared" si="416"/>
        <v>11035.391882863076</v>
      </c>
      <c r="HC193" s="1098">
        <f t="shared" si="417"/>
        <v>0.875</v>
      </c>
      <c r="HD193" s="1102">
        <f t="shared" si="418"/>
        <v>3917891.6726419935</v>
      </c>
      <c r="HE193" s="1101">
        <f t="shared" si="419"/>
        <v>30375.372436693899</v>
      </c>
      <c r="HF193" s="1101">
        <f t="shared" si="420"/>
        <v>35215.117975079258</v>
      </c>
      <c r="HG193" s="1101">
        <f t="shared" si="421"/>
        <v>45490.044385377318</v>
      </c>
      <c r="HH193" s="1101">
        <f t="shared" si="422"/>
        <v>77578.950869566252</v>
      </c>
      <c r="HI193" s="497"/>
      <c r="HJ193" s="1102">
        <f t="shared" si="423"/>
        <v>-7230.0843370482198</v>
      </c>
      <c r="HL193" s="775"/>
      <c r="HN193" s="775"/>
      <c r="HO193" s="775"/>
      <c r="HQ193" s="702"/>
      <c r="HR193" s="1171"/>
      <c r="HS193" s="702"/>
      <c r="HT193" s="1171"/>
    </row>
    <row r="194" spans="1:228" ht="14.25" hidden="1" customHeight="1">
      <c r="A194" s="753">
        <f t="shared" si="424"/>
        <v>188</v>
      </c>
      <c r="B194" s="753"/>
      <c r="C194" s="753">
        <f>C193+1</f>
        <v>2</v>
      </c>
      <c r="D194" s="753" t="s">
        <v>275</v>
      </c>
      <c r="E194" s="717" t="str">
        <f t="shared" si="344"/>
        <v>9th Floor</v>
      </c>
      <c r="F194" s="754"/>
      <c r="G194" s="756" t="s">
        <v>609</v>
      </c>
      <c r="H194" s="756"/>
      <c r="I194" s="755" t="s">
        <v>229</v>
      </c>
      <c r="J194" s="757">
        <v>22</v>
      </c>
      <c r="K194" s="758"/>
      <c r="L194" s="759" t="s">
        <v>69</v>
      </c>
      <c r="M194" s="760" t="s">
        <v>68</v>
      </c>
      <c r="N194" s="761">
        <f t="shared" si="345"/>
        <v>106005.26567735759</v>
      </c>
      <c r="O194" s="762">
        <f t="shared" si="346"/>
        <v>2332115.8449018667</v>
      </c>
      <c r="P194" s="762">
        <f t="shared" si="347"/>
        <v>22400</v>
      </c>
      <c r="Q194" s="762">
        <f t="shared" si="320"/>
        <v>50000</v>
      </c>
      <c r="R194" s="762"/>
      <c r="S194" s="762"/>
      <c r="T194" s="762"/>
      <c r="U194" s="762"/>
      <c r="V194" s="762"/>
      <c r="W194" s="762"/>
      <c r="X194" s="762"/>
      <c r="Y194" s="762">
        <f>$Y$193</f>
        <v>100000</v>
      </c>
      <c r="Z194" s="762">
        <f t="shared" si="321"/>
        <v>142461</v>
      </c>
      <c r="AA194" s="762"/>
      <c r="AB194" s="762"/>
      <c r="AC194" s="762"/>
      <c r="AD194" s="763">
        <f t="shared" si="348"/>
        <v>314861</v>
      </c>
      <c r="AE194" s="763">
        <f t="shared" si="322"/>
        <v>2646976.8449018667</v>
      </c>
      <c r="AF194" s="762">
        <f t="shared" si="323"/>
        <v>66174.421122546672</v>
      </c>
      <c r="AG194" s="762">
        <f t="shared" si="349"/>
        <v>2713151.2660244135</v>
      </c>
      <c r="AH194" s="762">
        <f t="shared" si="324"/>
        <v>67828.781650610341</v>
      </c>
      <c r="AI194" s="762">
        <f t="shared" si="350"/>
        <v>2780980.0476750238</v>
      </c>
      <c r="AJ194" s="762">
        <f t="shared" si="351"/>
        <v>139049.00238375118</v>
      </c>
      <c r="AK194" s="762">
        <f t="shared" si="352"/>
        <v>2920029.0500587751</v>
      </c>
      <c r="AL194" s="762">
        <f t="shared" si="353"/>
        <v>29200.290500587751</v>
      </c>
      <c r="AM194" s="762">
        <f t="shared" si="354"/>
        <v>27537.409960060559</v>
      </c>
      <c r="AN194" s="762"/>
      <c r="AO194" s="763">
        <f t="shared" si="355"/>
        <v>2976766.7505194233</v>
      </c>
      <c r="AP194" s="763">
        <f t="shared" si="356"/>
        <v>491166.51383570489</v>
      </c>
      <c r="AQ194" s="763">
        <f t="shared" si="357"/>
        <v>3467933.2643551282</v>
      </c>
      <c r="AR194" s="1178">
        <f t="shared" si="325"/>
        <v>3000000</v>
      </c>
      <c r="AS194" s="1178">
        <f t="shared" si="358"/>
        <v>21269.693834324007</v>
      </c>
      <c r="AT194" s="1178">
        <f t="shared" si="359"/>
        <v>467933.26435512817</v>
      </c>
      <c r="AU194" s="1178">
        <f t="shared" si="326"/>
        <v>56151.991722615378</v>
      </c>
      <c r="AV194" s="1178">
        <f t="shared" si="360"/>
        <v>524085.25607774354</v>
      </c>
      <c r="AW194" s="1178">
        <f t="shared" si="361"/>
        <v>3524085.2560777436</v>
      </c>
      <c r="AX194" s="762">
        <f t="shared" si="362"/>
        <v>44051.065700971798</v>
      </c>
      <c r="AY194" s="717" t="s">
        <v>231</v>
      </c>
      <c r="AZ194" s="717">
        <f t="shared" si="363"/>
        <v>3568136.3217787156</v>
      </c>
      <c r="BA194" s="717">
        <f t="shared" si="364"/>
        <v>133805.11206670184</v>
      </c>
      <c r="BB194" s="717"/>
      <c r="BC194" s="717">
        <f t="shared" si="327"/>
        <v>33600</v>
      </c>
      <c r="BD194" s="717">
        <f t="shared" si="365"/>
        <v>3735541.4338454176</v>
      </c>
      <c r="BE194" s="717"/>
      <c r="BF194" s="717">
        <f t="shared" si="366"/>
        <v>3735541.4338454176</v>
      </c>
      <c r="BG194" s="1209"/>
      <c r="BH194" s="717">
        <f t="shared" si="367"/>
        <v>3735541.4338454176</v>
      </c>
      <c r="BI194" s="717"/>
      <c r="BJ194" s="717">
        <f t="shared" si="368"/>
        <v>3735541.4338454176</v>
      </c>
      <c r="BK194" s="717"/>
      <c r="BL194" s="717">
        <f t="shared" si="369"/>
        <v>3735541.4338454176</v>
      </c>
      <c r="BM194" s="717"/>
      <c r="BN194" s="717">
        <f t="shared" si="370"/>
        <v>3735541.4338454176</v>
      </c>
      <c r="BO194" s="717"/>
      <c r="BP194" s="717">
        <f t="shared" si="328"/>
        <v>3735541.4338454176</v>
      </c>
      <c r="BQ194" s="717"/>
      <c r="BR194" s="717">
        <f t="shared" si="433"/>
        <v>3735541.4338454176</v>
      </c>
      <c r="BS194" s="717"/>
      <c r="BT194" s="717">
        <f t="shared" si="371"/>
        <v>3735541.4338454176</v>
      </c>
      <c r="BU194" s="717"/>
      <c r="BV194" s="1235">
        <f t="shared" si="434"/>
        <v>51400</v>
      </c>
      <c r="BW194" s="717">
        <f t="shared" si="372"/>
        <v>3786941.4338454176</v>
      </c>
      <c r="BX194" s="717"/>
      <c r="BY194" s="717">
        <f t="shared" si="373"/>
        <v>3786941.4338454176</v>
      </c>
      <c r="BZ194" s="1194">
        <f t="shared" si="374"/>
        <v>3786941.4338454176</v>
      </c>
      <c r="CA194" s="1194">
        <f t="shared" si="375"/>
        <v>3038941.4338454176</v>
      </c>
      <c r="CB194" s="1194">
        <v>34000</v>
      </c>
      <c r="CC194" s="1194">
        <f t="shared" si="376"/>
        <v>748000</v>
      </c>
      <c r="CD194" s="1194">
        <f t="shared" si="377"/>
        <v>89760</v>
      </c>
      <c r="CE194" s="1194">
        <f t="shared" si="378"/>
        <v>837760</v>
      </c>
      <c r="CF194" s="1200">
        <f t="shared" si="379"/>
        <v>3876701.4338454176</v>
      </c>
      <c r="CG194" s="757">
        <f t="shared" si="380"/>
        <v>3876701.4338454176</v>
      </c>
      <c r="CH194" s="758">
        <f t="shared" si="381"/>
        <v>0</v>
      </c>
      <c r="CI194" s="757">
        <f t="shared" si="329"/>
        <v>397361.89696915529</v>
      </c>
      <c r="CJ194" s="757">
        <f t="shared" si="330"/>
        <v>96917.535846135448</v>
      </c>
      <c r="CK194" s="759">
        <f t="shared" si="444"/>
        <v>4370980.8666607086</v>
      </c>
      <c r="CL194" s="764">
        <f t="shared" si="382"/>
        <v>0.125</v>
      </c>
      <c r="CM194" s="757">
        <f t="shared" si="383"/>
        <v>546372.60833258857</v>
      </c>
      <c r="CN194" s="757">
        <f t="shared" si="425"/>
        <v>30000</v>
      </c>
      <c r="CO194" s="757">
        <f t="shared" si="384"/>
        <v>516372.60833258857</v>
      </c>
      <c r="CP194" s="755">
        <f t="shared" si="385"/>
        <v>29</v>
      </c>
      <c r="CQ194" s="757">
        <f t="shared" si="427"/>
        <v>17805.952011468573</v>
      </c>
      <c r="CR194" s="764">
        <f t="shared" si="386"/>
        <v>0.875</v>
      </c>
      <c r="CS194" s="757">
        <f t="shared" si="387"/>
        <v>3824608.2583281202</v>
      </c>
      <c r="CT194" s="1101">
        <f t="shared" si="388"/>
        <v>29652.147118409492</v>
      </c>
      <c r="CU194" s="1101">
        <f t="shared" si="389"/>
        <v>34376.660275209768</v>
      </c>
      <c r="CV194" s="1101">
        <f t="shared" si="390"/>
        <v>44406.94484814685</v>
      </c>
      <c r="CW194" s="1141">
        <f t="shared" si="331"/>
        <v>75731.827462215559</v>
      </c>
      <c r="CX194" s="1152">
        <f t="shared" si="391"/>
        <v>310685.08539597952</v>
      </c>
      <c r="CY194" s="1152">
        <f t="shared" si="392"/>
        <v>122936.57485724729</v>
      </c>
      <c r="CZ194" s="1152">
        <f t="shared" si="393"/>
        <v>88795.34684475635</v>
      </c>
      <c r="DA194" s="1152">
        <f t="shared" si="394"/>
        <v>67577.34687549567</v>
      </c>
      <c r="DB194" s="1143">
        <f t="shared" si="332"/>
        <v>0.15597775478504272</v>
      </c>
      <c r="DC194" s="1143">
        <f t="shared" si="395"/>
        <v>0.27567494084277722</v>
      </c>
      <c r="DD194" s="1098" t="s">
        <v>232</v>
      </c>
      <c r="DE194" s="1144"/>
      <c r="DF194" s="705"/>
      <c r="DG194" s="765">
        <f t="shared" si="426"/>
        <v>46082</v>
      </c>
      <c r="DH194" s="1116">
        <f t="shared" si="333"/>
        <v>28</v>
      </c>
      <c r="DI194" s="497"/>
      <c r="DJ194" s="1117">
        <f t="shared" si="396"/>
        <v>46147</v>
      </c>
      <c r="DK194" s="1116">
        <f t="shared" si="397"/>
        <v>30</v>
      </c>
      <c r="DL194" s="766" t="s">
        <v>233</v>
      </c>
      <c r="DM194" s="766" t="s">
        <v>234</v>
      </c>
      <c r="DN194" s="767">
        <f t="shared" si="334"/>
        <v>23822.057094442887</v>
      </c>
      <c r="DO194" s="767">
        <f t="shared" si="335"/>
        <v>524085.25607774354</v>
      </c>
      <c r="DP194" s="768">
        <f t="shared" si="336"/>
        <v>0.17469508535924785</v>
      </c>
      <c r="DR194" s="767">
        <f t="shared" si="337"/>
        <v>3876701.4338454176</v>
      </c>
      <c r="DS194" s="767">
        <f>SUM('[6]INTERNAL PRICELIST'!M194)</f>
        <v>0</v>
      </c>
      <c r="DT194" s="767">
        <f t="shared" si="398"/>
        <v>3876701.4338454176</v>
      </c>
      <c r="DV194" s="951">
        <f t="shared" si="338"/>
        <v>176213.70153842808</v>
      </c>
      <c r="DX194" s="781"/>
      <c r="DY194" s="782"/>
      <c r="DZ194" s="781"/>
      <c r="EA194" s="775"/>
      <c r="ED194" s="755" t="s">
        <v>609</v>
      </c>
      <c r="EE194" s="777" t="b">
        <f t="shared" si="340"/>
        <v>1</v>
      </c>
      <c r="EF194" s="777"/>
      <c r="EG194" s="777"/>
      <c r="EH194" s="1203"/>
      <c r="EP194" s="1230" t="s">
        <v>236</v>
      </c>
      <c r="EQ194" s="1145" t="s">
        <v>236</v>
      </c>
      <c r="ER194" s="823" t="b">
        <f t="shared" si="399"/>
        <v>1</v>
      </c>
      <c r="EU194" s="770">
        <v>3108299.9774007285</v>
      </c>
      <c r="EV194" s="771" t="s">
        <v>258</v>
      </c>
      <c r="EW194" s="775">
        <f>EU194-CG194</f>
        <v>-768401.45644468907</v>
      </c>
      <c r="FJ194" s="994">
        <v>0.15</v>
      </c>
      <c r="FK194" s="993">
        <v>13375.504154826031</v>
      </c>
      <c r="FL194" s="993">
        <v>13737.004267118626</v>
      </c>
      <c r="FM194" s="497"/>
      <c r="FN194" s="993">
        <f t="shared" si="341"/>
        <v>4370980.8666607086</v>
      </c>
      <c r="FO194" s="994">
        <f t="shared" si="400"/>
        <v>0.15</v>
      </c>
      <c r="FP194" s="775">
        <f t="shared" si="342"/>
        <v>655647.12999910628</v>
      </c>
      <c r="FQ194" s="993">
        <f t="shared" si="343"/>
        <v>30000</v>
      </c>
      <c r="FR194" s="775">
        <f t="shared" si="401"/>
        <v>625647.12999910628</v>
      </c>
      <c r="FS194" s="497">
        <f t="shared" si="402"/>
        <v>40</v>
      </c>
      <c r="FT194" s="775">
        <f t="shared" si="403"/>
        <v>15641.178249977656</v>
      </c>
      <c r="FU194" s="497"/>
      <c r="FV194" s="993">
        <f t="shared" si="404"/>
        <v>4370980.8666607086</v>
      </c>
      <c r="FW194" s="705">
        <f t="shared" si="405"/>
        <v>437098.08666607086</v>
      </c>
      <c r="FX194" s="705">
        <f t="shared" si="406"/>
        <v>109274.52166651771</v>
      </c>
      <c r="FY194" s="705">
        <v>15000</v>
      </c>
      <c r="FZ194" s="705">
        <f t="shared" si="407"/>
        <v>422098.08666607086</v>
      </c>
      <c r="GA194" s="497">
        <f t="shared" si="408"/>
        <v>46</v>
      </c>
      <c r="GB194" s="775">
        <f t="shared" si="409"/>
        <v>9176.0453623058875</v>
      </c>
      <c r="GC194" s="497"/>
      <c r="GD194" s="497"/>
      <c r="GH194" s="1095">
        <f t="shared" si="307"/>
        <v>4370980.8666607086</v>
      </c>
      <c r="GI194" s="1098">
        <f t="shared" si="308"/>
        <v>0.125</v>
      </c>
      <c r="GJ194" s="1095">
        <f t="shared" si="309"/>
        <v>546372.60833258857</v>
      </c>
      <c r="GK194" s="1095">
        <f t="shared" si="310"/>
        <v>30000</v>
      </c>
      <c r="GL194" s="1095">
        <f t="shared" si="311"/>
        <v>516372.60833258857</v>
      </c>
      <c r="GM194" s="1095">
        <f t="shared" si="312"/>
        <v>29</v>
      </c>
      <c r="GN194" s="1095">
        <f t="shared" si="313"/>
        <v>17805.952011468573</v>
      </c>
      <c r="GO194" s="1098">
        <f t="shared" si="314"/>
        <v>0.875</v>
      </c>
      <c r="GP194" s="1095">
        <f t="shared" si="315"/>
        <v>3824608.2583281202</v>
      </c>
      <c r="GQ194" s="1095">
        <f t="shared" si="316"/>
        <v>29652.147118409492</v>
      </c>
      <c r="GR194" s="1095">
        <f t="shared" si="317"/>
        <v>34376.660275209768</v>
      </c>
      <c r="GS194" s="1095">
        <f t="shared" si="318"/>
        <v>44406.94484814685</v>
      </c>
      <c r="GT194" s="1095">
        <f t="shared" si="319"/>
        <v>75731.827462215559</v>
      </c>
      <c r="GU194" s="497"/>
      <c r="GV194" s="1095">
        <f t="shared" si="410"/>
        <v>4370980.8666607086</v>
      </c>
      <c r="GW194" s="1098">
        <f t="shared" si="411"/>
        <v>0.125</v>
      </c>
      <c r="GX194" s="1095">
        <f t="shared" si="412"/>
        <v>546372.60833258857</v>
      </c>
      <c r="GY194" s="1095">
        <f t="shared" si="413"/>
        <v>30000</v>
      </c>
      <c r="GZ194" s="1095">
        <f t="shared" si="414"/>
        <v>516372.60833258857</v>
      </c>
      <c r="HA194" s="1106">
        <f t="shared" si="415"/>
        <v>48</v>
      </c>
      <c r="HB194" s="770">
        <f t="shared" si="416"/>
        <v>10757.762673595595</v>
      </c>
      <c r="HC194" s="1098">
        <f t="shared" si="417"/>
        <v>0.875</v>
      </c>
      <c r="HD194" s="1102">
        <f t="shared" si="418"/>
        <v>3824608.2583281202</v>
      </c>
      <c r="HE194" s="1101">
        <f t="shared" si="419"/>
        <v>29652.147118409492</v>
      </c>
      <c r="HF194" s="1101">
        <f t="shared" si="420"/>
        <v>34376.660275209768</v>
      </c>
      <c r="HG194" s="1101">
        <f t="shared" si="421"/>
        <v>44406.94484814685</v>
      </c>
      <c r="HH194" s="1101">
        <f t="shared" si="422"/>
        <v>75731.827462215559</v>
      </c>
      <c r="HI194" s="497"/>
      <c r="HJ194" s="1102">
        <f t="shared" si="423"/>
        <v>-7048.1893378729783</v>
      </c>
      <c r="HL194" s="775"/>
      <c r="HN194" s="775"/>
      <c r="HO194" s="775"/>
      <c r="HQ194" s="702"/>
      <c r="HR194" s="1171"/>
      <c r="HS194" s="702"/>
      <c r="HT194" s="1171"/>
    </row>
    <row r="195" spans="1:228" ht="14.25" hidden="1" customHeight="1">
      <c r="A195" s="753">
        <f t="shared" si="424"/>
        <v>189</v>
      </c>
      <c r="B195" s="753" t="s">
        <v>236</v>
      </c>
      <c r="C195" s="753">
        <f t="shared" ref="C195:C223" si="459">C194+1</f>
        <v>3</v>
      </c>
      <c r="D195" s="753" t="s">
        <v>275</v>
      </c>
      <c r="E195" s="717" t="str">
        <f t="shared" si="344"/>
        <v>9th Floor</v>
      </c>
      <c r="F195" s="754"/>
      <c r="G195" s="756" t="s">
        <v>610</v>
      </c>
      <c r="H195" s="756"/>
      <c r="I195" s="755" t="s">
        <v>229</v>
      </c>
      <c r="J195" s="757">
        <v>22</v>
      </c>
      <c r="K195" s="758"/>
      <c r="L195" s="759" t="s">
        <v>69</v>
      </c>
      <c r="M195" s="760" t="s">
        <v>68</v>
      </c>
      <c r="N195" s="761">
        <f t="shared" si="345"/>
        <v>106005.26567735759</v>
      </c>
      <c r="O195" s="762">
        <f t="shared" si="346"/>
        <v>2332115.8449018667</v>
      </c>
      <c r="P195" s="762">
        <f t="shared" si="347"/>
        <v>22400</v>
      </c>
      <c r="Q195" s="762">
        <f t="shared" si="320"/>
        <v>50000</v>
      </c>
      <c r="R195" s="762"/>
      <c r="S195" s="762"/>
      <c r="T195" s="762"/>
      <c r="U195" s="762"/>
      <c r="V195" s="762"/>
      <c r="W195" s="762"/>
      <c r="X195" s="762"/>
      <c r="Y195" s="762">
        <f t="shared" ref="Y195:Y223" si="460">$Y$193</f>
        <v>100000</v>
      </c>
      <c r="Z195" s="762">
        <f t="shared" si="321"/>
        <v>142461</v>
      </c>
      <c r="AA195" s="762"/>
      <c r="AB195" s="762"/>
      <c r="AC195" s="762"/>
      <c r="AD195" s="763">
        <f t="shared" si="348"/>
        <v>314861</v>
      </c>
      <c r="AE195" s="763">
        <f t="shared" si="322"/>
        <v>2646976.8449018667</v>
      </c>
      <c r="AF195" s="762">
        <f t="shared" si="323"/>
        <v>66174.421122546672</v>
      </c>
      <c r="AG195" s="762">
        <f t="shared" si="349"/>
        <v>2713151.2660244135</v>
      </c>
      <c r="AH195" s="762">
        <f t="shared" si="324"/>
        <v>67828.781650610341</v>
      </c>
      <c r="AI195" s="762">
        <f t="shared" si="350"/>
        <v>2780980.0476750238</v>
      </c>
      <c r="AJ195" s="762">
        <f t="shared" si="351"/>
        <v>139049.00238375118</v>
      </c>
      <c r="AK195" s="762">
        <f t="shared" si="352"/>
        <v>2920029.0500587751</v>
      </c>
      <c r="AL195" s="762">
        <f t="shared" si="353"/>
        <v>29200.290500587751</v>
      </c>
      <c r="AM195" s="762">
        <f t="shared" si="354"/>
        <v>27537.409960060559</v>
      </c>
      <c r="AN195" s="762"/>
      <c r="AO195" s="763">
        <f t="shared" si="355"/>
        <v>2976766.7505194233</v>
      </c>
      <c r="AP195" s="763">
        <f t="shared" si="356"/>
        <v>491166.51383570489</v>
      </c>
      <c r="AQ195" s="763">
        <f t="shared" si="357"/>
        <v>3467933.2643551282</v>
      </c>
      <c r="AR195" s="1178">
        <f t="shared" si="325"/>
        <v>3000000</v>
      </c>
      <c r="AS195" s="1178">
        <f t="shared" si="358"/>
        <v>21269.693834324007</v>
      </c>
      <c r="AT195" s="1178">
        <f t="shared" si="359"/>
        <v>467933.26435512817</v>
      </c>
      <c r="AU195" s="1178">
        <f t="shared" si="326"/>
        <v>56151.991722615378</v>
      </c>
      <c r="AV195" s="1178">
        <f t="shared" si="360"/>
        <v>524085.25607774354</v>
      </c>
      <c r="AW195" s="1178">
        <f t="shared" si="361"/>
        <v>3524085.2560777436</v>
      </c>
      <c r="AX195" s="762">
        <f t="shared" si="362"/>
        <v>44051.065700971798</v>
      </c>
      <c r="AY195" s="717" t="s">
        <v>231</v>
      </c>
      <c r="AZ195" s="717">
        <f t="shared" si="363"/>
        <v>3568136.3217787156</v>
      </c>
      <c r="BA195" s="717">
        <f t="shared" si="364"/>
        <v>133805.11206670184</v>
      </c>
      <c r="BB195" s="717"/>
      <c r="BC195" s="717">
        <f t="shared" si="327"/>
        <v>33600</v>
      </c>
      <c r="BD195" s="717">
        <f t="shared" si="365"/>
        <v>3735541.4338454176</v>
      </c>
      <c r="BE195" s="717"/>
      <c r="BF195" s="717">
        <f t="shared" si="366"/>
        <v>3735541.4338454176</v>
      </c>
      <c r="BG195" s="1209"/>
      <c r="BH195" s="717">
        <f t="shared" si="367"/>
        <v>3735541.4338454176</v>
      </c>
      <c r="BI195" s="717"/>
      <c r="BJ195" s="717">
        <f t="shared" si="368"/>
        <v>3735541.4338454176</v>
      </c>
      <c r="BK195" s="717"/>
      <c r="BL195" s="717">
        <f t="shared" si="369"/>
        <v>3735541.4338454176</v>
      </c>
      <c r="BM195" s="717"/>
      <c r="BN195" s="717">
        <f t="shared" si="370"/>
        <v>3735541.4338454176</v>
      </c>
      <c r="BO195" s="717"/>
      <c r="BP195" s="717">
        <f t="shared" si="328"/>
        <v>3735541.4338454176</v>
      </c>
      <c r="BQ195" s="717"/>
      <c r="BR195" s="717">
        <f t="shared" si="433"/>
        <v>3735541.4338454176</v>
      </c>
      <c r="BS195" s="717"/>
      <c r="BT195" s="717">
        <f t="shared" si="371"/>
        <v>3735541.4338454176</v>
      </c>
      <c r="BU195" s="717"/>
      <c r="BV195" s="1235">
        <f t="shared" si="434"/>
        <v>51400</v>
      </c>
      <c r="BW195" s="717">
        <f t="shared" si="372"/>
        <v>3786941.4338454176</v>
      </c>
      <c r="BX195" s="717"/>
      <c r="BY195" s="717">
        <f t="shared" si="373"/>
        <v>3786941.4338454176</v>
      </c>
      <c r="BZ195" s="1194">
        <f t="shared" si="374"/>
        <v>3786941.4338454176</v>
      </c>
      <c r="CA195" s="1194">
        <f t="shared" si="375"/>
        <v>3038941.4338454176</v>
      </c>
      <c r="CB195" s="1194">
        <v>34000</v>
      </c>
      <c r="CC195" s="1194">
        <f t="shared" si="376"/>
        <v>748000</v>
      </c>
      <c r="CD195" s="1194">
        <f t="shared" si="377"/>
        <v>89760</v>
      </c>
      <c r="CE195" s="1194">
        <f t="shared" si="378"/>
        <v>837760</v>
      </c>
      <c r="CF195" s="1200">
        <f t="shared" si="379"/>
        <v>3876701.4338454176</v>
      </c>
      <c r="CG195" s="757">
        <f t="shared" si="380"/>
        <v>3876701.4338454176</v>
      </c>
      <c r="CH195" s="758">
        <f t="shared" si="381"/>
        <v>0</v>
      </c>
      <c r="CI195" s="757">
        <f t="shared" si="329"/>
        <v>397361.89696915529</v>
      </c>
      <c r="CJ195" s="757">
        <f t="shared" si="330"/>
        <v>96917.535846135448</v>
      </c>
      <c r="CK195" s="759">
        <f t="shared" si="444"/>
        <v>4370980.8666607086</v>
      </c>
      <c r="CL195" s="764">
        <f t="shared" si="382"/>
        <v>0.125</v>
      </c>
      <c r="CM195" s="757">
        <f t="shared" si="383"/>
        <v>546372.60833258857</v>
      </c>
      <c r="CN195" s="757">
        <f t="shared" si="425"/>
        <v>30000</v>
      </c>
      <c r="CO195" s="757">
        <f t="shared" si="384"/>
        <v>516372.60833258857</v>
      </c>
      <c r="CP195" s="755">
        <f t="shared" si="385"/>
        <v>29</v>
      </c>
      <c r="CQ195" s="757">
        <f t="shared" si="427"/>
        <v>17805.952011468573</v>
      </c>
      <c r="CR195" s="764">
        <f t="shared" si="386"/>
        <v>0.875</v>
      </c>
      <c r="CS195" s="757">
        <f t="shared" si="387"/>
        <v>3824608.2583281202</v>
      </c>
      <c r="CT195" s="1101">
        <f t="shared" si="388"/>
        <v>29652.147118409492</v>
      </c>
      <c r="CU195" s="1101">
        <f t="shared" si="389"/>
        <v>34376.660275209768</v>
      </c>
      <c r="CV195" s="1101">
        <f t="shared" si="390"/>
        <v>44406.94484814685</v>
      </c>
      <c r="CW195" s="1141">
        <f t="shared" si="331"/>
        <v>75731.827462215559</v>
      </c>
      <c r="CX195" s="1152">
        <f t="shared" si="391"/>
        <v>310685.08539597952</v>
      </c>
      <c r="CY195" s="1152">
        <f t="shared" si="392"/>
        <v>122936.57485724729</v>
      </c>
      <c r="CZ195" s="1152">
        <f t="shared" si="393"/>
        <v>88795.34684475635</v>
      </c>
      <c r="DA195" s="1152">
        <f t="shared" si="394"/>
        <v>67577.34687549567</v>
      </c>
      <c r="DB195" s="1143">
        <f t="shared" si="332"/>
        <v>0.15597775478504272</v>
      </c>
      <c r="DC195" s="1143">
        <f t="shared" si="395"/>
        <v>0.27567494084277722</v>
      </c>
      <c r="DD195" s="1098" t="s">
        <v>232</v>
      </c>
      <c r="DE195" s="1144"/>
      <c r="DF195" s="705"/>
      <c r="DG195" s="765">
        <f t="shared" si="426"/>
        <v>46082</v>
      </c>
      <c r="DH195" s="1116">
        <f t="shared" si="333"/>
        <v>28</v>
      </c>
      <c r="DI195" s="497"/>
      <c r="DJ195" s="1117">
        <f t="shared" si="396"/>
        <v>46147</v>
      </c>
      <c r="DK195" s="1116">
        <f t="shared" si="397"/>
        <v>30</v>
      </c>
      <c r="DL195" s="766" t="s">
        <v>233</v>
      </c>
      <c r="DM195" s="766" t="s">
        <v>234</v>
      </c>
      <c r="DN195" s="767">
        <f t="shared" si="334"/>
        <v>23822.057094442887</v>
      </c>
      <c r="DO195" s="767">
        <f t="shared" si="335"/>
        <v>524085.25607774354</v>
      </c>
      <c r="DP195" s="768">
        <f t="shared" si="336"/>
        <v>0.17469508535924785</v>
      </c>
      <c r="DR195" s="767">
        <f t="shared" si="337"/>
        <v>3876701.4338454176</v>
      </c>
      <c r="DS195" s="767">
        <f>SUM('[6]INTERNAL PRICELIST'!M195)</f>
        <v>0</v>
      </c>
      <c r="DT195" s="767">
        <f t="shared" si="398"/>
        <v>3876701.4338454176</v>
      </c>
      <c r="DV195" s="951">
        <f t="shared" si="338"/>
        <v>176213.70153842808</v>
      </c>
      <c r="DX195" s="781"/>
      <c r="DY195" s="782"/>
      <c r="DZ195" s="781"/>
      <c r="EA195" s="775"/>
      <c r="ED195" s="755" t="s">
        <v>610</v>
      </c>
      <c r="EE195" s="777" t="b">
        <f t="shared" si="340"/>
        <v>1</v>
      </c>
      <c r="EF195" s="1123" t="s">
        <v>611</v>
      </c>
      <c r="EG195" s="1123" t="s">
        <v>612</v>
      </c>
      <c r="EH195" s="1203"/>
      <c r="EP195" s="1230" t="s">
        <v>236</v>
      </c>
      <c r="EQ195" s="1145" t="s">
        <v>236</v>
      </c>
      <c r="ER195" s="753" t="b">
        <f t="shared" si="399"/>
        <v>1</v>
      </c>
      <c r="EU195" s="770">
        <v>2369600</v>
      </c>
      <c r="EV195" s="771" t="s">
        <v>236</v>
      </c>
      <c r="FJ195" s="994">
        <v>0.15</v>
      </c>
      <c r="FK195" s="993">
        <v>13375.504154826031</v>
      </c>
      <c r="FL195" s="993">
        <v>13737.004267118626</v>
      </c>
      <c r="FM195" s="497"/>
      <c r="FN195" s="993">
        <f t="shared" si="341"/>
        <v>4370980.8666607086</v>
      </c>
      <c r="FO195" s="994">
        <f t="shared" si="400"/>
        <v>0.15</v>
      </c>
      <c r="FP195" s="775">
        <f t="shared" si="342"/>
        <v>655647.12999910628</v>
      </c>
      <c r="FQ195" s="993">
        <f t="shared" si="343"/>
        <v>30000</v>
      </c>
      <c r="FR195" s="775">
        <f t="shared" si="401"/>
        <v>625647.12999910628</v>
      </c>
      <c r="FS195" s="497">
        <f t="shared" si="402"/>
        <v>40</v>
      </c>
      <c r="FT195" s="775">
        <f t="shared" si="403"/>
        <v>15641.178249977656</v>
      </c>
      <c r="FU195" s="497"/>
      <c r="FV195" s="993">
        <f t="shared" si="404"/>
        <v>4370980.8666607086</v>
      </c>
      <c r="FW195" s="705">
        <f t="shared" si="405"/>
        <v>437098.08666607086</v>
      </c>
      <c r="FX195" s="705">
        <f t="shared" si="406"/>
        <v>109274.52166651771</v>
      </c>
      <c r="FY195" s="705">
        <v>15000</v>
      </c>
      <c r="FZ195" s="705">
        <f t="shared" si="407"/>
        <v>422098.08666607086</v>
      </c>
      <c r="GA195" s="497">
        <f t="shared" si="408"/>
        <v>46</v>
      </c>
      <c r="GB195" s="775">
        <f t="shared" si="409"/>
        <v>9176.0453623058875</v>
      </c>
      <c r="GC195" s="497"/>
      <c r="GD195" s="497"/>
      <c r="GH195" s="1095">
        <f t="shared" si="307"/>
        <v>4370980.8666607086</v>
      </c>
      <c r="GI195" s="1098">
        <f t="shared" si="308"/>
        <v>0.125</v>
      </c>
      <c r="GJ195" s="1095">
        <f t="shared" si="309"/>
        <v>546372.60833258857</v>
      </c>
      <c r="GK195" s="1095">
        <f t="shared" si="310"/>
        <v>30000</v>
      </c>
      <c r="GL195" s="1095">
        <f t="shared" si="311"/>
        <v>516372.60833258857</v>
      </c>
      <c r="GM195" s="1095">
        <f t="shared" si="312"/>
        <v>29</v>
      </c>
      <c r="GN195" s="1095">
        <f t="shared" si="313"/>
        <v>17805.952011468573</v>
      </c>
      <c r="GO195" s="1098">
        <f t="shared" si="314"/>
        <v>0.875</v>
      </c>
      <c r="GP195" s="1095">
        <f t="shared" si="315"/>
        <v>3824608.2583281202</v>
      </c>
      <c r="GQ195" s="1095">
        <f t="shared" si="316"/>
        <v>29652.147118409492</v>
      </c>
      <c r="GR195" s="1095">
        <f t="shared" si="317"/>
        <v>34376.660275209768</v>
      </c>
      <c r="GS195" s="1095">
        <f t="shared" si="318"/>
        <v>44406.94484814685</v>
      </c>
      <c r="GT195" s="1095">
        <f t="shared" si="319"/>
        <v>75731.827462215559</v>
      </c>
      <c r="GU195" s="497"/>
      <c r="GV195" s="1095">
        <f t="shared" si="410"/>
        <v>4370980.8666607086</v>
      </c>
      <c r="GW195" s="1098">
        <f t="shared" si="411"/>
        <v>0.125</v>
      </c>
      <c r="GX195" s="1095">
        <f t="shared" si="412"/>
        <v>546372.60833258857</v>
      </c>
      <c r="GY195" s="1095">
        <f t="shared" si="413"/>
        <v>30000</v>
      </c>
      <c r="GZ195" s="1095">
        <f t="shared" si="414"/>
        <v>516372.60833258857</v>
      </c>
      <c r="HA195" s="1106">
        <f t="shared" si="415"/>
        <v>48</v>
      </c>
      <c r="HB195" s="770">
        <f t="shared" si="416"/>
        <v>10757.762673595595</v>
      </c>
      <c r="HC195" s="1098">
        <f t="shared" si="417"/>
        <v>0.875</v>
      </c>
      <c r="HD195" s="1102">
        <f t="shared" si="418"/>
        <v>3824608.2583281202</v>
      </c>
      <c r="HE195" s="1101">
        <f t="shared" si="419"/>
        <v>29652.147118409492</v>
      </c>
      <c r="HF195" s="1101">
        <f t="shared" si="420"/>
        <v>34376.660275209768</v>
      </c>
      <c r="HG195" s="1101">
        <f t="shared" si="421"/>
        <v>44406.94484814685</v>
      </c>
      <c r="HH195" s="1101">
        <f t="shared" si="422"/>
        <v>75731.827462215559</v>
      </c>
      <c r="HI195" s="497"/>
      <c r="HJ195" s="1102">
        <f t="shared" si="423"/>
        <v>-7048.1893378729783</v>
      </c>
      <c r="HL195" s="775"/>
      <c r="HN195" s="775"/>
      <c r="HO195" s="775"/>
      <c r="HQ195" s="702"/>
      <c r="HR195" s="1171"/>
      <c r="HS195" s="702"/>
      <c r="HT195" s="1171"/>
    </row>
    <row r="196" spans="1:228" ht="14.25" hidden="1" customHeight="1">
      <c r="A196" s="753">
        <f t="shared" si="424"/>
        <v>190</v>
      </c>
      <c r="B196" s="753" t="s">
        <v>236</v>
      </c>
      <c r="C196" s="753">
        <f t="shared" si="459"/>
        <v>4</v>
      </c>
      <c r="D196" s="753" t="s">
        <v>275</v>
      </c>
      <c r="E196" s="717" t="str">
        <f t="shared" si="344"/>
        <v>9th Floor</v>
      </c>
      <c r="F196" s="754"/>
      <c r="G196" s="756" t="s">
        <v>613</v>
      </c>
      <c r="H196" s="756"/>
      <c r="I196" s="755" t="s">
        <v>229</v>
      </c>
      <c r="J196" s="757">
        <v>22</v>
      </c>
      <c r="K196" s="758"/>
      <c r="L196" s="759" t="s">
        <v>69</v>
      </c>
      <c r="M196" s="760" t="s">
        <v>68</v>
      </c>
      <c r="N196" s="761">
        <f t="shared" si="345"/>
        <v>106005.26567735759</v>
      </c>
      <c r="O196" s="762">
        <f t="shared" si="346"/>
        <v>2332115.8449018667</v>
      </c>
      <c r="P196" s="762">
        <f t="shared" si="347"/>
        <v>22400</v>
      </c>
      <c r="Q196" s="762">
        <f t="shared" si="320"/>
        <v>50000</v>
      </c>
      <c r="R196" s="762"/>
      <c r="S196" s="762"/>
      <c r="T196" s="762"/>
      <c r="U196" s="762"/>
      <c r="V196" s="762"/>
      <c r="W196" s="762"/>
      <c r="X196" s="762"/>
      <c r="Y196" s="762">
        <f t="shared" si="460"/>
        <v>100000</v>
      </c>
      <c r="Z196" s="762">
        <f t="shared" si="321"/>
        <v>142461</v>
      </c>
      <c r="AA196" s="762"/>
      <c r="AB196" s="762"/>
      <c r="AC196" s="762"/>
      <c r="AD196" s="763">
        <f t="shared" si="348"/>
        <v>314861</v>
      </c>
      <c r="AE196" s="763">
        <f t="shared" si="322"/>
        <v>2646976.8449018667</v>
      </c>
      <c r="AF196" s="762">
        <f t="shared" si="323"/>
        <v>66174.421122546672</v>
      </c>
      <c r="AG196" s="762">
        <f t="shared" si="349"/>
        <v>2713151.2660244135</v>
      </c>
      <c r="AH196" s="762">
        <f t="shared" si="324"/>
        <v>67828.781650610341</v>
      </c>
      <c r="AI196" s="762">
        <f t="shared" si="350"/>
        <v>2780980.0476750238</v>
      </c>
      <c r="AJ196" s="762">
        <f t="shared" si="351"/>
        <v>139049.00238375118</v>
      </c>
      <c r="AK196" s="762">
        <f t="shared" si="352"/>
        <v>2920029.0500587751</v>
      </c>
      <c r="AL196" s="762">
        <f t="shared" si="353"/>
        <v>29200.290500587751</v>
      </c>
      <c r="AM196" s="762">
        <f t="shared" si="354"/>
        <v>27537.409960060559</v>
      </c>
      <c r="AN196" s="762"/>
      <c r="AO196" s="763">
        <f t="shared" si="355"/>
        <v>2976766.7505194233</v>
      </c>
      <c r="AP196" s="763">
        <f t="shared" si="356"/>
        <v>491166.51383570489</v>
      </c>
      <c r="AQ196" s="763">
        <f t="shared" si="357"/>
        <v>3467933.2643551282</v>
      </c>
      <c r="AR196" s="1178">
        <f t="shared" si="325"/>
        <v>3000000</v>
      </c>
      <c r="AS196" s="1178">
        <f t="shared" si="358"/>
        <v>21269.693834324007</v>
      </c>
      <c r="AT196" s="1178">
        <f t="shared" si="359"/>
        <v>467933.26435512817</v>
      </c>
      <c r="AU196" s="1178">
        <f t="shared" si="326"/>
        <v>56151.991722615378</v>
      </c>
      <c r="AV196" s="1178">
        <f t="shared" si="360"/>
        <v>524085.25607774354</v>
      </c>
      <c r="AW196" s="1178">
        <f t="shared" si="361"/>
        <v>3524085.2560777436</v>
      </c>
      <c r="AX196" s="762">
        <f t="shared" si="362"/>
        <v>44051.065700971798</v>
      </c>
      <c r="AY196" s="717" t="s">
        <v>231</v>
      </c>
      <c r="AZ196" s="717">
        <f t="shared" si="363"/>
        <v>3568136.3217787156</v>
      </c>
      <c r="BA196" s="717">
        <f t="shared" si="364"/>
        <v>133805.11206670184</v>
      </c>
      <c r="BB196" s="717"/>
      <c r="BC196" s="717">
        <f t="shared" si="327"/>
        <v>33600</v>
      </c>
      <c r="BD196" s="717">
        <f t="shared" si="365"/>
        <v>3735541.4338454176</v>
      </c>
      <c r="BE196" s="717"/>
      <c r="BF196" s="717">
        <f t="shared" si="366"/>
        <v>3735541.4338454176</v>
      </c>
      <c r="BG196" s="1209"/>
      <c r="BH196" s="717">
        <f t="shared" si="367"/>
        <v>3735541.4338454176</v>
      </c>
      <c r="BI196" s="717"/>
      <c r="BJ196" s="717">
        <f t="shared" si="368"/>
        <v>3735541.4338454176</v>
      </c>
      <c r="BK196" s="717"/>
      <c r="BL196" s="717">
        <f t="shared" si="369"/>
        <v>3735541.4338454176</v>
      </c>
      <c r="BM196" s="717"/>
      <c r="BN196" s="717">
        <f t="shared" si="370"/>
        <v>3735541.4338454176</v>
      </c>
      <c r="BO196" s="717"/>
      <c r="BP196" s="717">
        <f t="shared" si="328"/>
        <v>3735541.4338454176</v>
      </c>
      <c r="BQ196" s="717"/>
      <c r="BR196" s="717">
        <f t="shared" si="433"/>
        <v>3735541.4338454176</v>
      </c>
      <c r="BS196" s="717"/>
      <c r="BT196" s="717">
        <f t="shared" si="371"/>
        <v>3735541.4338454176</v>
      </c>
      <c r="BU196" s="717"/>
      <c r="BV196" s="1235">
        <f t="shared" si="434"/>
        <v>51400</v>
      </c>
      <c r="BW196" s="717">
        <f t="shared" si="372"/>
        <v>3786941.4338454176</v>
      </c>
      <c r="BX196" s="717"/>
      <c r="BY196" s="717">
        <f t="shared" si="373"/>
        <v>3786941.4338454176</v>
      </c>
      <c r="BZ196" s="1194">
        <f t="shared" si="374"/>
        <v>3786941.4338454176</v>
      </c>
      <c r="CA196" s="1194">
        <f t="shared" si="375"/>
        <v>3038941.4338454176</v>
      </c>
      <c r="CB196" s="1194">
        <v>34000</v>
      </c>
      <c r="CC196" s="1194">
        <f t="shared" si="376"/>
        <v>748000</v>
      </c>
      <c r="CD196" s="1194">
        <f t="shared" si="377"/>
        <v>89760</v>
      </c>
      <c r="CE196" s="1194">
        <f t="shared" si="378"/>
        <v>837760</v>
      </c>
      <c r="CF196" s="1200">
        <f t="shared" si="379"/>
        <v>3876701.4338454176</v>
      </c>
      <c r="CG196" s="757">
        <f t="shared" si="380"/>
        <v>3876701.4338454176</v>
      </c>
      <c r="CH196" s="758">
        <f t="shared" si="381"/>
        <v>0</v>
      </c>
      <c r="CI196" s="757">
        <f t="shared" si="329"/>
        <v>397361.89696915529</v>
      </c>
      <c r="CJ196" s="757">
        <f t="shared" si="330"/>
        <v>96917.535846135448</v>
      </c>
      <c r="CK196" s="759">
        <f t="shared" si="444"/>
        <v>4370980.8666607086</v>
      </c>
      <c r="CL196" s="764">
        <f t="shared" si="382"/>
        <v>0.125</v>
      </c>
      <c r="CM196" s="757">
        <f t="shared" si="383"/>
        <v>546372.60833258857</v>
      </c>
      <c r="CN196" s="757">
        <f t="shared" si="425"/>
        <v>30000</v>
      </c>
      <c r="CO196" s="757">
        <f t="shared" si="384"/>
        <v>516372.60833258857</v>
      </c>
      <c r="CP196" s="755">
        <f t="shared" si="385"/>
        <v>29</v>
      </c>
      <c r="CQ196" s="757">
        <f t="shared" si="427"/>
        <v>17805.952011468573</v>
      </c>
      <c r="CR196" s="764">
        <f t="shared" si="386"/>
        <v>0.875</v>
      </c>
      <c r="CS196" s="757">
        <f t="shared" si="387"/>
        <v>3824608.2583281202</v>
      </c>
      <c r="CT196" s="1101">
        <f t="shared" si="388"/>
        <v>29652.147118409492</v>
      </c>
      <c r="CU196" s="1101">
        <f t="shared" si="389"/>
        <v>34376.660275209768</v>
      </c>
      <c r="CV196" s="1101">
        <f t="shared" si="390"/>
        <v>44406.94484814685</v>
      </c>
      <c r="CW196" s="1141">
        <f t="shared" si="331"/>
        <v>75731.827462215559</v>
      </c>
      <c r="CX196" s="1152">
        <f t="shared" si="391"/>
        <v>310685.08539597952</v>
      </c>
      <c r="CY196" s="1152">
        <f t="shared" si="392"/>
        <v>122936.57485724729</v>
      </c>
      <c r="CZ196" s="1152">
        <f t="shared" si="393"/>
        <v>88795.34684475635</v>
      </c>
      <c r="DA196" s="1152">
        <f t="shared" si="394"/>
        <v>67577.34687549567</v>
      </c>
      <c r="DB196" s="1143">
        <f t="shared" si="332"/>
        <v>0.15597775478504272</v>
      </c>
      <c r="DC196" s="1143">
        <f t="shared" si="395"/>
        <v>0.27567494084277722</v>
      </c>
      <c r="DD196" s="1098" t="s">
        <v>232</v>
      </c>
      <c r="DE196" s="1144"/>
      <c r="DF196" s="705"/>
      <c r="DG196" s="765">
        <f t="shared" si="426"/>
        <v>46082</v>
      </c>
      <c r="DH196" s="1116">
        <f t="shared" si="333"/>
        <v>28</v>
      </c>
      <c r="DI196" s="497"/>
      <c r="DJ196" s="1117">
        <f t="shared" si="396"/>
        <v>46147</v>
      </c>
      <c r="DK196" s="1116">
        <f t="shared" si="397"/>
        <v>30</v>
      </c>
      <c r="DL196" s="766" t="s">
        <v>233</v>
      </c>
      <c r="DM196" s="766" t="s">
        <v>234</v>
      </c>
      <c r="DN196" s="767">
        <f t="shared" si="334"/>
        <v>23822.057094442887</v>
      </c>
      <c r="DO196" s="767">
        <f t="shared" si="335"/>
        <v>524085.25607774354</v>
      </c>
      <c r="DP196" s="768">
        <f t="shared" si="336"/>
        <v>0.17469508535924785</v>
      </c>
      <c r="DR196" s="767">
        <f t="shared" si="337"/>
        <v>3876701.4338454176</v>
      </c>
      <c r="DS196" s="767">
        <f>SUM('[6]INTERNAL PRICELIST'!M196)</f>
        <v>0</v>
      </c>
      <c r="DT196" s="767">
        <f t="shared" si="398"/>
        <v>3876701.4338454176</v>
      </c>
      <c r="DV196" s="951">
        <f t="shared" si="338"/>
        <v>176213.70153842808</v>
      </c>
      <c r="DX196" s="781"/>
      <c r="DY196" s="782"/>
      <c r="DZ196" s="781"/>
      <c r="EA196" s="775"/>
      <c r="ED196" s="755" t="s">
        <v>613</v>
      </c>
      <c r="EE196" s="777" t="b">
        <f t="shared" si="340"/>
        <v>1</v>
      </c>
      <c r="EF196" s="1123" t="s">
        <v>614</v>
      </c>
      <c r="EG196" s="1123" t="s">
        <v>612</v>
      </c>
      <c r="EH196" s="1203"/>
      <c r="EP196" s="1230" t="s">
        <v>236</v>
      </c>
      <c r="EQ196" s="1145" t="s">
        <v>236</v>
      </c>
      <c r="ER196" s="753" t="b">
        <f t="shared" si="399"/>
        <v>1</v>
      </c>
      <c r="EU196" s="770">
        <v>2369600</v>
      </c>
      <c r="EV196" s="771" t="s">
        <v>236</v>
      </c>
      <c r="FJ196" s="994">
        <v>0.15</v>
      </c>
      <c r="FK196" s="993">
        <v>13375.504154826031</v>
      </c>
      <c r="FL196" s="993">
        <v>13737.004267118626</v>
      </c>
      <c r="FM196" s="497"/>
      <c r="FN196" s="993">
        <f t="shared" si="341"/>
        <v>4370980.8666607086</v>
      </c>
      <c r="FO196" s="994">
        <f t="shared" si="400"/>
        <v>0.15</v>
      </c>
      <c r="FP196" s="775">
        <f t="shared" si="342"/>
        <v>655647.12999910628</v>
      </c>
      <c r="FQ196" s="993">
        <f t="shared" si="343"/>
        <v>30000</v>
      </c>
      <c r="FR196" s="775">
        <f t="shared" si="401"/>
        <v>625647.12999910628</v>
      </c>
      <c r="FS196" s="497">
        <f t="shared" si="402"/>
        <v>40</v>
      </c>
      <c r="FT196" s="775">
        <f t="shared" si="403"/>
        <v>15641.178249977656</v>
      </c>
      <c r="FU196" s="497"/>
      <c r="FV196" s="993">
        <f t="shared" si="404"/>
        <v>4370980.8666607086</v>
      </c>
      <c r="FW196" s="705">
        <f t="shared" si="405"/>
        <v>437098.08666607086</v>
      </c>
      <c r="FX196" s="705">
        <f t="shared" si="406"/>
        <v>109274.52166651771</v>
      </c>
      <c r="FY196" s="705">
        <v>15000</v>
      </c>
      <c r="FZ196" s="705">
        <f t="shared" si="407"/>
        <v>422098.08666607086</v>
      </c>
      <c r="GA196" s="497">
        <f t="shared" si="408"/>
        <v>46</v>
      </c>
      <c r="GB196" s="775">
        <f t="shared" si="409"/>
        <v>9176.0453623058875</v>
      </c>
      <c r="GC196" s="497"/>
      <c r="GD196" s="497"/>
      <c r="GH196" s="1095">
        <f t="shared" si="307"/>
        <v>4370980.8666607086</v>
      </c>
      <c r="GI196" s="1098">
        <f t="shared" si="308"/>
        <v>0.125</v>
      </c>
      <c r="GJ196" s="1095">
        <f t="shared" si="309"/>
        <v>546372.60833258857</v>
      </c>
      <c r="GK196" s="1095">
        <f t="shared" si="310"/>
        <v>30000</v>
      </c>
      <c r="GL196" s="1095">
        <f t="shared" si="311"/>
        <v>516372.60833258857</v>
      </c>
      <c r="GM196" s="1095">
        <f t="shared" si="312"/>
        <v>29</v>
      </c>
      <c r="GN196" s="1095">
        <f t="shared" si="313"/>
        <v>17805.952011468573</v>
      </c>
      <c r="GO196" s="1098">
        <f t="shared" si="314"/>
        <v>0.875</v>
      </c>
      <c r="GP196" s="1095">
        <f t="shared" si="315"/>
        <v>3824608.2583281202</v>
      </c>
      <c r="GQ196" s="1095">
        <f t="shared" si="316"/>
        <v>29652.147118409492</v>
      </c>
      <c r="GR196" s="1095">
        <f t="shared" si="317"/>
        <v>34376.660275209768</v>
      </c>
      <c r="GS196" s="1095">
        <f t="shared" si="318"/>
        <v>44406.94484814685</v>
      </c>
      <c r="GT196" s="1095">
        <f t="shared" si="319"/>
        <v>75731.827462215559</v>
      </c>
      <c r="GU196" s="497"/>
      <c r="GV196" s="1095">
        <f t="shared" si="410"/>
        <v>4370980.8666607086</v>
      </c>
      <c r="GW196" s="1098">
        <f t="shared" si="411"/>
        <v>0.125</v>
      </c>
      <c r="GX196" s="1095">
        <f t="shared" si="412"/>
        <v>546372.60833258857</v>
      </c>
      <c r="GY196" s="1095">
        <f t="shared" si="413"/>
        <v>30000</v>
      </c>
      <c r="GZ196" s="1095">
        <f t="shared" si="414"/>
        <v>516372.60833258857</v>
      </c>
      <c r="HA196" s="1106">
        <f t="shared" si="415"/>
        <v>48</v>
      </c>
      <c r="HB196" s="770">
        <f t="shared" si="416"/>
        <v>10757.762673595595</v>
      </c>
      <c r="HC196" s="1098">
        <f t="shared" si="417"/>
        <v>0.875</v>
      </c>
      <c r="HD196" s="1102">
        <f t="shared" si="418"/>
        <v>3824608.2583281202</v>
      </c>
      <c r="HE196" s="1101">
        <f t="shared" si="419"/>
        <v>29652.147118409492</v>
      </c>
      <c r="HF196" s="1101">
        <f t="shared" si="420"/>
        <v>34376.660275209768</v>
      </c>
      <c r="HG196" s="1101">
        <f t="shared" si="421"/>
        <v>44406.94484814685</v>
      </c>
      <c r="HH196" s="1101">
        <f t="shared" si="422"/>
        <v>75731.827462215559</v>
      </c>
      <c r="HI196" s="497"/>
      <c r="HJ196" s="1102">
        <f t="shared" si="423"/>
        <v>-7048.1893378729783</v>
      </c>
      <c r="HL196" s="775"/>
      <c r="HN196" s="775"/>
      <c r="HO196" s="775"/>
      <c r="HQ196" s="702"/>
      <c r="HR196" s="1171"/>
      <c r="HS196" s="702"/>
      <c r="HT196" s="1171"/>
    </row>
    <row r="197" spans="1:228" ht="14.25" hidden="1" customHeight="1">
      <c r="A197" s="753">
        <f t="shared" si="424"/>
        <v>191</v>
      </c>
      <c r="B197" s="753" t="s">
        <v>236</v>
      </c>
      <c r="C197" s="753">
        <f t="shared" si="459"/>
        <v>5</v>
      </c>
      <c r="D197" s="753" t="s">
        <v>275</v>
      </c>
      <c r="E197" s="717" t="str">
        <f t="shared" si="344"/>
        <v>9th Floor</v>
      </c>
      <c r="F197" s="754"/>
      <c r="G197" s="756" t="s">
        <v>615</v>
      </c>
      <c r="H197" s="756"/>
      <c r="I197" s="755" t="s">
        <v>229</v>
      </c>
      <c r="J197" s="757">
        <v>22</v>
      </c>
      <c r="K197" s="758"/>
      <c r="L197" s="759" t="s">
        <v>69</v>
      </c>
      <c r="M197" s="760" t="s">
        <v>68</v>
      </c>
      <c r="N197" s="761">
        <f t="shared" si="345"/>
        <v>106005.26567735759</v>
      </c>
      <c r="O197" s="762">
        <f t="shared" si="346"/>
        <v>2332115.8449018667</v>
      </c>
      <c r="P197" s="762">
        <f t="shared" si="347"/>
        <v>22400</v>
      </c>
      <c r="Q197" s="762">
        <f t="shared" si="320"/>
        <v>50000</v>
      </c>
      <c r="R197" s="762"/>
      <c r="S197" s="762"/>
      <c r="T197" s="762"/>
      <c r="U197" s="762"/>
      <c r="V197" s="762"/>
      <c r="W197" s="762"/>
      <c r="X197" s="762"/>
      <c r="Y197" s="762">
        <f t="shared" si="460"/>
        <v>100000</v>
      </c>
      <c r="Z197" s="762">
        <f t="shared" si="321"/>
        <v>142461</v>
      </c>
      <c r="AA197" s="762"/>
      <c r="AB197" s="762"/>
      <c r="AC197" s="762"/>
      <c r="AD197" s="763">
        <f t="shared" si="348"/>
        <v>314861</v>
      </c>
      <c r="AE197" s="763">
        <f t="shared" si="322"/>
        <v>2646976.8449018667</v>
      </c>
      <c r="AF197" s="762">
        <f t="shared" si="323"/>
        <v>66174.421122546672</v>
      </c>
      <c r="AG197" s="762">
        <f t="shared" si="349"/>
        <v>2713151.2660244135</v>
      </c>
      <c r="AH197" s="762">
        <f t="shared" si="324"/>
        <v>67828.781650610341</v>
      </c>
      <c r="AI197" s="762">
        <f t="shared" si="350"/>
        <v>2780980.0476750238</v>
      </c>
      <c r="AJ197" s="762">
        <f t="shared" si="351"/>
        <v>139049.00238375118</v>
      </c>
      <c r="AK197" s="762">
        <f t="shared" si="352"/>
        <v>2920029.0500587751</v>
      </c>
      <c r="AL197" s="762">
        <f t="shared" si="353"/>
        <v>29200.290500587751</v>
      </c>
      <c r="AM197" s="762">
        <f t="shared" si="354"/>
        <v>27537.409960060559</v>
      </c>
      <c r="AN197" s="762"/>
      <c r="AO197" s="763">
        <f t="shared" si="355"/>
        <v>2976766.7505194233</v>
      </c>
      <c r="AP197" s="763">
        <f t="shared" si="356"/>
        <v>491166.51383570489</v>
      </c>
      <c r="AQ197" s="763">
        <f t="shared" si="357"/>
        <v>3467933.2643551282</v>
      </c>
      <c r="AR197" s="1178">
        <f t="shared" si="325"/>
        <v>3000000</v>
      </c>
      <c r="AS197" s="1178">
        <f t="shared" si="358"/>
        <v>21269.693834324007</v>
      </c>
      <c r="AT197" s="1178">
        <f t="shared" si="359"/>
        <v>467933.26435512817</v>
      </c>
      <c r="AU197" s="1178">
        <f t="shared" si="326"/>
        <v>56151.991722615378</v>
      </c>
      <c r="AV197" s="1178">
        <f t="shared" si="360"/>
        <v>524085.25607774354</v>
      </c>
      <c r="AW197" s="1178">
        <f t="shared" si="361"/>
        <v>3524085.2560777436</v>
      </c>
      <c r="AX197" s="762">
        <f t="shared" si="362"/>
        <v>44051.065700971798</v>
      </c>
      <c r="AY197" s="717" t="s">
        <v>231</v>
      </c>
      <c r="AZ197" s="717">
        <f t="shared" si="363"/>
        <v>3568136.3217787156</v>
      </c>
      <c r="BA197" s="717">
        <f t="shared" si="364"/>
        <v>133805.11206670184</v>
      </c>
      <c r="BB197" s="717"/>
      <c r="BC197" s="717">
        <f t="shared" si="327"/>
        <v>33600</v>
      </c>
      <c r="BD197" s="717">
        <f t="shared" si="365"/>
        <v>3735541.4338454176</v>
      </c>
      <c r="BE197" s="717"/>
      <c r="BF197" s="717">
        <f t="shared" si="366"/>
        <v>3735541.4338454176</v>
      </c>
      <c r="BG197" s="1209"/>
      <c r="BH197" s="717">
        <f t="shared" si="367"/>
        <v>3735541.4338454176</v>
      </c>
      <c r="BI197" s="717"/>
      <c r="BJ197" s="717">
        <f t="shared" si="368"/>
        <v>3735541.4338454176</v>
      </c>
      <c r="BK197" s="717"/>
      <c r="BL197" s="717">
        <f t="shared" si="369"/>
        <v>3735541.4338454176</v>
      </c>
      <c r="BM197" s="717"/>
      <c r="BN197" s="717">
        <f t="shared" si="370"/>
        <v>3735541.4338454176</v>
      </c>
      <c r="BO197" s="717"/>
      <c r="BP197" s="717">
        <f t="shared" si="328"/>
        <v>3735541.4338454176</v>
      </c>
      <c r="BQ197" s="717"/>
      <c r="BR197" s="717">
        <f t="shared" si="433"/>
        <v>3735541.4338454176</v>
      </c>
      <c r="BS197" s="717"/>
      <c r="BT197" s="717">
        <f t="shared" si="371"/>
        <v>3735541.4338454176</v>
      </c>
      <c r="BU197" s="717"/>
      <c r="BV197" s="1235">
        <f t="shared" si="434"/>
        <v>51400</v>
      </c>
      <c r="BW197" s="717">
        <f t="shared" si="372"/>
        <v>3786941.4338454176</v>
      </c>
      <c r="BX197" s="717"/>
      <c r="BY197" s="717">
        <f t="shared" si="373"/>
        <v>3786941.4338454176</v>
      </c>
      <c r="BZ197" s="1194">
        <f t="shared" si="374"/>
        <v>3786941.4338454176</v>
      </c>
      <c r="CA197" s="1194">
        <f t="shared" si="375"/>
        <v>3038941.4338454176</v>
      </c>
      <c r="CB197" s="1194">
        <v>34000</v>
      </c>
      <c r="CC197" s="1194">
        <f t="shared" si="376"/>
        <v>748000</v>
      </c>
      <c r="CD197" s="1194">
        <f t="shared" si="377"/>
        <v>89760</v>
      </c>
      <c r="CE197" s="1194">
        <f t="shared" si="378"/>
        <v>837760</v>
      </c>
      <c r="CF197" s="1200">
        <f t="shared" si="379"/>
        <v>3876701.4338454176</v>
      </c>
      <c r="CG197" s="757">
        <f t="shared" si="380"/>
        <v>3876701.4338454176</v>
      </c>
      <c r="CH197" s="758">
        <f t="shared" si="381"/>
        <v>0</v>
      </c>
      <c r="CI197" s="757">
        <f t="shared" si="329"/>
        <v>397361.89696915529</v>
      </c>
      <c r="CJ197" s="757">
        <f t="shared" si="330"/>
        <v>96917.535846135448</v>
      </c>
      <c r="CK197" s="759">
        <f t="shared" si="444"/>
        <v>4370980.8666607086</v>
      </c>
      <c r="CL197" s="764">
        <f t="shared" si="382"/>
        <v>0.125</v>
      </c>
      <c r="CM197" s="757">
        <f t="shared" si="383"/>
        <v>546372.60833258857</v>
      </c>
      <c r="CN197" s="757">
        <f t="shared" si="425"/>
        <v>30000</v>
      </c>
      <c r="CO197" s="757">
        <f t="shared" si="384"/>
        <v>516372.60833258857</v>
      </c>
      <c r="CP197" s="755">
        <f t="shared" si="385"/>
        <v>29</v>
      </c>
      <c r="CQ197" s="757">
        <f t="shared" si="427"/>
        <v>17805.952011468573</v>
      </c>
      <c r="CR197" s="764">
        <f t="shared" si="386"/>
        <v>0.875</v>
      </c>
      <c r="CS197" s="757">
        <f t="shared" si="387"/>
        <v>3824608.2583281202</v>
      </c>
      <c r="CT197" s="1101">
        <f t="shared" si="388"/>
        <v>29652.147118409492</v>
      </c>
      <c r="CU197" s="1101">
        <f t="shared" si="389"/>
        <v>34376.660275209768</v>
      </c>
      <c r="CV197" s="1101">
        <f t="shared" si="390"/>
        <v>44406.94484814685</v>
      </c>
      <c r="CW197" s="1141">
        <f t="shared" si="331"/>
        <v>75731.827462215559</v>
      </c>
      <c r="CX197" s="1152">
        <f t="shared" si="391"/>
        <v>310685.08539597952</v>
      </c>
      <c r="CY197" s="1152">
        <f t="shared" si="392"/>
        <v>122936.57485724729</v>
      </c>
      <c r="CZ197" s="1152">
        <f t="shared" si="393"/>
        <v>88795.34684475635</v>
      </c>
      <c r="DA197" s="1152">
        <f t="shared" si="394"/>
        <v>67577.34687549567</v>
      </c>
      <c r="DB197" s="1143">
        <f t="shared" si="332"/>
        <v>0.15597775478504272</v>
      </c>
      <c r="DC197" s="1143">
        <f t="shared" si="395"/>
        <v>0.27567494084277722</v>
      </c>
      <c r="DD197" s="1098" t="s">
        <v>232</v>
      </c>
      <c r="DE197" s="1144"/>
      <c r="DF197" s="705"/>
      <c r="DG197" s="765">
        <f t="shared" si="426"/>
        <v>46082</v>
      </c>
      <c r="DH197" s="1116">
        <f t="shared" si="333"/>
        <v>28</v>
      </c>
      <c r="DI197" s="497"/>
      <c r="DJ197" s="1117">
        <f t="shared" si="396"/>
        <v>46147</v>
      </c>
      <c r="DK197" s="1116">
        <f t="shared" si="397"/>
        <v>30</v>
      </c>
      <c r="DL197" s="766" t="s">
        <v>233</v>
      </c>
      <c r="DM197" s="766" t="s">
        <v>234</v>
      </c>
      <c r="DN197" s="767">
        <f t="shared" si="334"/>
        <v>23822.057094442887</v>
      </c>
      <c r="DO197" s="767">
        <f t="shared" si="335"/>
        <v>524085.25607774354</v>
      </c>
      <c r="DP197" s="768">
        <f t="shared" si="336"/>
        <v>0.17469508535924785</v>
      </c>
      <c r="DR197" s="767">
        <f t="shared" si="337"/>
        <v>3876701.4338454176</v>
      </c>
      <c r="DS197" s="767">
        <f>SUM('[6]INTERNAL PRICELIST'!M197)</f>
        <v>0</v>
      </c>
      <c r="DT197" s="767">
        <f t="shared" si="398"/>
        <v>3876701.4338454176</v>
      </c>
      <c r="DV197" s="951">
        <f t="shared" si="338"/>
        <v>176213.70153842808</v>
      </c>
      <c r="DX197" s="781"/>
      <c r="DY197" s="782"/>
      <c r="DZ197" s="781"/>
      <c r="EA197" s="775"/>
      <c r="ED197" s="755" t="s">
        <v>615</v>
      </c>
      <c r="EE197" s="777" t="b">
        <f t="shared" si="340"/>
        <v>1</v>
      </c>
      <c r="EF197" s="1123" t="s">
        <v>616</v>
      </c>
      <c r="EG197" s="1123" t="s">
        <v>612</v>
      </c>
      <c r="EH197" s="1203"/>
      <c r="EP197" s="1230" t="s">
        <v>236</v>
      </c>
      <c r="EQ197" s="1145" t="s">
        <v>236</v>
      </c>
      <c r="ER197" s="753" t="b">
        <f t="shared" si="399"/>
        <v>1</v>
      </c>
      <c r="EU197" s="770">
        <v>2508300</v>
      </c>
      <c r="EV197" s="771" t="s">
        <v>236</v>
      </c>
      <c r="FJ197" s="994">
        <v>0.15</v>
      </c>
      <c r="FK197" s="993">
        <v>13375.504154826031</v>
      </c>
      <c r="FL197" s="993">
        <v>13737.004267118626</v>
      </c>
      <c r="FM197" s="497"/>
      <c r="FN197" s="993">
        <f t="shared" si="341"/>
        <v>4370980.8666607086</v>
      </c>
      <c r="FO197" s="994">
        <f t="shared" si="400"/>
        <v>0.15</v>
      </c>
      <c r="FP197" s="775">
        <f t="shared" si="342"/>
        <v>655647.12999910628</v>
      </c>
      <c r="FQ197" s="993">
        <f t="shared" si="343"/>
        <v>30000</v>
      </c>
      <c r="FR197" s="775">
        <f t="shared" si="401"/>
        <v>625647.12999910628</v>
      </c>
      <c r="FS197" s="497">
        <f t="shared" si="402"/>
        <v>40</v>
      </c>
      <c r="FT197" s="775">
        <f t="shared" si="403"/>
        <v>15641.178249977656</v>
      </c>
      <c r="FU197" s="497"/>
      <c r="FV197" s="993">
        <f t="shared" si="404"/>
        <v>4370980.8666607086</v>
      </c>
      <c r="FW197" s="705">
        <f t="shared" si="405"/>
        <v>437098.08666607086</v>
      </c>
      <c r="FX197" s="705">
        <f t="shared" si="406"/>
        <v>109274.52166651771</v>
      </c>
      <c r="FY197" s="705">
        <v>15000</v>
      </c>
      <c r="FZ197" s="705">
        <f t="shared" si="407"/>
        <v>422098.08666607086</v>
      </c>
      <c r="GA197" s="497">
        <f t="shared" si="408"/>
        <v>46</v>
      </c>
      <c r="GB197" s="775">
        <f t="shared" si="409"/>
        <v>9176.0453623058875</v>
      </c>
      <c r="GC197" s="497"/>
      <c r="GD197" s="497"/>
      <c r="GH197" s="1095">
        <f t="shared" si="307"/>
        <v>4370980.8666607086</v>
      </c>
      <c r="GI197" s="1098">
        <f t="shared" si="308"/>
        <v>0.125</v>
      </c>
      <c r="GJ197" s="1095">
        <f t="shared" si="309"/>
        <v>546372.60833258857</v>
      </c>
      <c r="GK197" s="1095">
        <f t="shared" si="310"/>
        <v>30000</v>
      </c>
      <c r="GL197" s="1095">
        <f t="shared" si="311"/>
        <v>516372.60833258857</v>
      </c>
      <c r="GM197" s="1095">
        <f t="shared" si="312"/>
        <v>29</v>
      </c>
      <c r="GN197" s="1095">
        <f t="shared" si="313"/>
        <v>17805.952011468573</v>
      </c>
      <c r="GO197" s="1098">
        <f t="shared" si="314"/>
        <v>0.875</v>
      </c>
      <c r="GP197" s="1095">
        <f t="shared" si="315"/>
        <v>3824608.2583281202</v>
      </c>
      <c r="GQ197" s="1095">
        <f t="shared" si="316"/>
        <v>29652.147118409492</v>
      </c>
      <c r="GR197" s="1095">
        <f t="shared" si="317"/>
        <v>34376.660275209768</v>
      </c>
      <c r="GS197" s="1095">
        <f t="shared" si="318"/>
        <v>44406.94484814685</v>
      </c>
      <c r="GT197" s="1095">
        <f t="shared" si="319"/>
        <v>75731.827462215559</v>
      </c>
      <c r="GU197" s="497"/>
      <c r="GV197" s="1095">
        <f t="shared" si="410"/>
        <v>4370980.8666607086</v>
      </c>
      <c r="GW197" s="1098">
        <f t="shared" si="411"/>
        <v>0.125</v>
      </c>
      <c r="GX197" s="1095">
        <f t="shared" si="412"/>
        <v>546372.60833258857</v>
      </c>
      <c r="GY197" s="1095">
        <f t="shared" si="413"/>
        <v>30000</v>
      </c>
      <c r="GZ197" s="1095">
        <f t="shared" si="414"/>
        <v>516372.60833258857</v>
      </c>
      <c r="HA197" s="1106">
        <f t="shared" si="415"/>
        <v>48</v>
      </c>
      <c r="HB197" s="770">
        <f t="shared" si="416"/>
        <v>10757.762673595595</v>
      </c>
      <c r="HC197" s="1098">
        <f t="shared" si="417"/>
        <v>0.875</v>
      </c>
      <c r="HD197" s="1102">
        <f t="shared" si="418"/>
        <v>3824608.2583281202</v>
      </c>
      <c r="HE197" s="1101">
        <f t="shared" si="419"/>
        <v>29652.147118409492</v>
      </c>
      <c r="HF197" s="1101">
        <f t="shared" si="420"/>
        <v>34376.660275209768</v>
      </c>
      <c r="HG197" s="1101">
        <f t="shared" si="421"/>
        <v>44406.94484814685</v>
      </c>
      <c r="HH197" s="1101">
        <f t="shared" si="422"/>
        <v>75731.827462215559</v>
      </c>
      <c r="HI197" s="497"/>
      <c r="HJ197" s="1102">
        <f t="shared" si="423"/>
        <v>-7048.1893378729783</v>
      </c>
      <c r="HL197" s="775"/>
      <c r="HN197" s="775"/>
      <c r="HO197" s="775"/>
      <c r="HQ197" s="702"/>
      <c r="HR197" s="1171"/>
      <c r="HS197" s="702"/>
      <c r="HT197" s="1171"/>
    </row>
    <row r="198" spans="1:228" ht="14.25" hidden="1" customHeight="1">
      <c r="A198" s="753">
        <f t="shared" si="424"/>
        <v>192</v>
      </c>
      <c r="B198" s="753" t="s">
        <v>236</v>
      </c>
      <c r="C198" s="753">
        <f t="shared" si="459"/>
        <v>6</v>
      </c>
      <c r="D198" s="753" t="s">
        <v>275</v>
      </c>
      <c r="E198" s="717" t="str">
        <f t="shared" si="344"/>
        <v>9th Floor</v>
      </c>
      <c r="F198" s="754"/>
      <c r="G198" s="756" t="s">
        <v>617</v>
      </c>
      <c r="H198" s="756"/>
      <c r="I198" s="755" t="s">
        <v>229</v>
      </c>
      <c r="J198" s="757">
        <v>22</v>
      </c>
      <c r="K198" s="758"/>
      <c r="L198" s="759" t="s">
        <v>69</v>
      </c>
      <c r="M198" s="760" t="s">
        <v>68</v>
      </c>
      <c r="N198" s="761">
        <f t="shared" si="345"/>
        <v>106005.26567735759</v>
      </c>
      <c r="O198" s="762">
        <f t="shared" si="346"/>
        <v>2332115.8449018667</v>
      </c>
      <c r="P198" s="762">
        <f t="shared" si="347"/>
        <v>22400</v>
      </c>
      <c r="Q198" s="762">
        <f t="shared" si="320"/>
        <v>50000</v>
      </c>
      <c r="R198" s="762"/>
      <c r="S198" s="762"/>
      <c r="T198" s="762"/>
      <c r="U198" s="762"/>
      <c r="V198" s="762"/>
      <c r="W198" s="762"/>
      <c r="X198" s="762"/>
      <c r="Y198" s="762">
        <f t="shared" si="460"/>
        <v>100000</v>
      </c>
      <c r="Z198" s="762">
        <f t="shared" si="321"/>
        <v>142461</v>
      </c>
      <c r="AA198" s="762"/>
      <c r="AB198" s="762"/>
      <c r="AC198" s="762"/>
      <c r="AD198" s="763">
        <f t="shared" si="348"/>
        <v>314861</v>
      </c>
      <c r="AE198" s="763">
        <f t="shared" si="322"/>
        <v>2646976.8449018667</v>
      </c>
      <c r="AF198" s="762">
        <f t="shared" si="323"/>
        <v>66174.421122546672</v>
      </c>
      <c r="AG198" s="762">
        <f t="shared" si="349"/>
        <v>2713151.2660244135</v>
      </c>
      <c r="AH198" s="762">
        <f t="shared" si="324"/>
        <v>67828.781650610341</v>
      </c>
      <c r="AI198" s="762">
        <f t="shared" si="350"/>
        <v>2780980.0476750238</v>
      </c>
      <c r="AJ198" s="762">
        <f t="shared" si="351"/>
        <v>139049.00238375118</v>
      </c>
      <c r="AK198" s="762">
        <f t="shared" si="352"/>
        <v>2920029.0500587751</v>
      </c>
      <c r="AL198" s="762">
        <f t="shared" si="353"/>
        <v>29200.290500587751</v>
      </c>
      <c r="AM198" s="762">
        <f t="shared" si="354"/>
        <v>27537.409960060559</v>
      </c>
      <c r="AN198" s="762"/>
      <c r="AO198" s="763">
        <f t="shared" si="355"/>
        <v>2976766.7505194233</v>
      </c>
      <c r="AP198" s="763">
        <f t="shared" si="356"/>
        <v>491166.51383570489</v>
      </c>
      <c r="AQ198" s="763">
        <f t="shared" si="357"/>
        <v>3467933.2643551282</v>
      </c>
      <c r="AR198" s="1178">
        <f t="shared" si="325"/>
        <v>3000000</v>
      </c>
      <c r="AS198" s="1178">
        <f t="shared" si="358"/>
        <v>21269.693834324007</v>
      </c>
      <c r="AT198" s="1178">
        <f t="shared" si="359"/>
        <v>467933.26435512817</v>
      </c>
      <c r="AU198" s="1178">
        <f t="shared" si="326"/>
        <v>56151.991722615378</v>
      </c>
      <c r="AV198" s="1178">
        <f t="shared" si="360"/>
        <v>524085.25607774354</v>
      </c>
      <c r="AW198" s="1178">
        <f t="shared" si="361"/>
        <v>3524085.2560777436</v>
      </c>
      <c r="AX198" s="762">
        <f t="shared" si="362"/>
        <v>44051.065700971798</v>
      </c>
      <c r="AY198" s="717" t="s">
        <v>231</v>
      </c>
      <c r="AZ198" s="717">
        <f t="shared" si="363"/>
        <v>3568136.3217787156</v>
      </c>
      <c r="BA198" s="717">
        <f t="shared" si="364"/>
        <v>133805.11206670184</v>
      </c>
      <c r="BB198" s="717"/>
      <c r="BC198" s="717">
        <f t="shared" si="327"/>
        <v>33600</v>
      </c>
      <c r="BD198" s="717">
        <f t="shared" si="365"/>
        <v>3735541.4338454176</v>
      </c>
      <c r="BE198" s="717"/>
      <c r="BF198" s="717">
        <f t="shared" si="366"/>
        <v>3735541.4338454176</v>
      </c>
      <c r="BG198" s="1209"/>
      <c r="BH198" s="717">
        <f t="shared" si="367"/>
        <v>3735541.4338454176</v>
      </c>
      <c r="BI198" s="717"/>
      <c r="BJ198" s="717">
        <f t="shared" si="368"/>
        <v>3735541.4338454176</v>
      </c>
      <c r="BK198" s="717"/>
      <c r="BL198" s="717">
        <f t="shared" si="369"/>
        <v>3735541.4338454176</v>
      </c>
      <c r="BM198" s="717"/>
      <c r="BN198" s="717">
        <f t="shared" si="370"/>
        <v>3735541.4338454176</v>
      </c>
      <c r="BO198" s="717"/>
      <c r="BP198" s="717">
        <f t="shared" si="328"/>
        <v>3735541.4338454176</v>
      </c>
      <c r="BQ198" s="717"/>
      <c r="BR198" s="717">
        <f t="shared" si="433"/>
        <v>3735541.4338454176</v>
      </c>
      <c r="BS198" s="717"/>
      <c r="BT198" s="717">
        <f t="shared" si="371"/>
        <v>3735541.4338454176</v>
      </c>
      <c r="BU198" s="717"/>
      <c r="BV198" s="1235">
        <f t="shared" si="434"/>
        <v>51400</v>
      </c>
      <c r="BW198" s="717">
        <f t="shared" si="372"/>
        <v>3786941.4338454176</v>
      </c>
      <c r="BX198" s="717"/>
      <c r="BY198" s="717">
        <f t="shared" si="373"/>
        <v>3786941.4338454176</v>
      </c>
      <c r="BZ198" s="1194">
        <f t="shared" si="374"/>
        <v>3786941.4338454176</v>
      </c>
      <c r="CA198" s="1194">
        <f t="shared" si="375"/>
        <v>3038941.4338454176</v>
      </c>
      <c r="CB198" s="1194">
        <v>34000</v>
      </c>
      <c r="CC198" s="1194">
        <f t="shared" si="376"/>
        <v>748000</v>
      </c>
      <c r="CD198" s="1194">
        <f t="shared" si="377"/>
        <v>89760</v>
      </c>
      <c r="CE198" s="1194">
        <f t="shared" si="378"/>
        <v>837760</v>
      </c>
      <c r="CF198" s="1200">
        <f t="shared" si="379"/>
        <v>3876701.4338454176</v>
      </c>
      <c r="CG198" s="757">
        <f t="shared" si="380"/>
        <v>3876701.4338454176</v>
      </c>
      <c r="CH198" s="758">
        <f t="shared" si="381"/>
        <v>0</v>
      </c>
      <c r="CI198" s="757">
        <f t="shared" si="329"/>
        <v>397361.89696915529</v>
      </c>
      <c r="CJ198" s="757">
        <f t="shared" si="330"/>
        <v>96917.535846135448</v>
      </c>
      <c r="CK198" s="759">
        <f t="shared" si="444"/>
        <v>4370980.8666607086</v>
      </c>
      <c r="CL198" s="764">
        <f t="shared" si="382"/>
        <v>0.125</v>
      </c>
      <c r="CM198" s="757">
        <f t="shared" si="383"/>
        <v>546372.60833258857</v>
      </c>
      <c r="CN198" s="757">
        <f t="shared" si="425"/>
        <v>30000</v>
      </c>
      <c r="CO198" s="757">
        <f t="shared" si="384"/>
        <v>516372.60833258857</v>
      </c>
      <c r="CP198" s="755">
        <f t="shared" si="385"/>
        <v>29</v>
      </c>
      <c r="CQ198" s="757">
        <f t="shared" si="427"/>
        <v>17805.952011468573</v>
      </c>
      <c r="CR198" s="764">
        <f t="shared" si="386"/>
        <v>0.875</v>
      </c>
      <c r="CS198" s="757">
        <f t="shared" si="387"/>
        <v>3824608.2583281202</v>
      </c>
      <c r="CT198" s="1101">
        <f t="shared" si="388"/>
        <v>29652.147118409492</v>
      </c>
      <c r="CU198" s="1101">
        <f t="shared" si="389"/>
        <v>34376.660275209768</v>
      </c>
      <c r="CV198" s="1101">
        <f t="shared" si="390"/>
        <v>44406.94484814685</v>
      </c>
      <c r="CW198" s="1141">
        <f t="shared" si="331"/>
        <v>75731.827462215559</v>
      </c>
      <c r="CX198" s="1152">
        <f t="shared" si="391"/>
        <v>310685.08539597952</v>
      </c>
      <c r="CY198" s="1152">
        <f t="shared" si="392"/>
        <v>122936.57485724729</v>
      </c>
      <c r="CZ198" s="1152">
        <f t="shared" si="393"/>
        <v>88795.34684475635</v>
      </c>
      <c r="DA198" s="1152">
        <f t="shared" si="394"/>
        <v>67577.34687549567</v>
      </c>
      <c r="DB198" s="1143">
        <f t="shared" si="332"/>
        <v>0.15597775478504272</v>
      </c>
      <c r="DC198" s="1143">
        <f t="shared" si="395"/>
        <v>0.27567494084277722</v>
      </c>
      <c r="DD198" s="1098" t="s">
        <v>232</v>
      </c>
      <c r="DE198" s="1144"/>
      <c r="DF198" s="705"/>
      <c r="DG198" s="765">
        <f t="shared" si="426"/>
        <v>46082</v>
      </c>
      <c r="DH198" s="1116">
        <f t="shared" si="333"/>
        <v>28</v>
      </c>
      <c r="DI198" s="497"/>
      <c r="DJ198" s="1117">
        <f t="shared" si="396"/>
        <v>46147</v>
      </c>
      <c r="DK198" s="1116">
        <f t="shared" si="397"/>
        <v>30</v>
      </c>
      <c r="DL198" s="766" t="s">
        <v>233</v>
      </c>
      <c r="DM198" s="766" t="s">
        <v>234</v>
      </c>
      <c r="DN198" s="767">
        <f t="shared" si="334"/>
        <v>23822.057094442887</v>
      </c>
      <c r="DO198" s="767">
        <f t="shared" si="335"/>
        <v>524085.25607774354</v>
      </c>
      <c r="DP198" s="768">
        <f t="shared" si="336"/>
        <v>0.17469508535924785</v>
      </c>
      <c r="DR198" s="767">
        <f t="shared" si="337"/>
        <v>3876701.4338454176</v>
      </c>
      <c r="DS198" s="767">
        <f>SUM('[6]INTERNAL PRICELIST'!M198)</f>
        <v>0</v>
      </c>
      <c r="DT198" s="767">
        <f t="shared" si="398"/>
        <v>3876701.4338454176</v>
      </c>
      <c r="DV198" s="951">
        <f t="shared" si="338"/>
        <v>176213.70153842808</v>
      </c>
      <c r="DX198" s="781"/>
      <c r="DY198" s="782"/>
      <c r="DZ198" s="781"/>
      <c r="EA198" s="775"/>
      <c r="ED198" s="755" t="s">
        <v>617</v>
      </c>
      <c r="EE198" s="777" t="b">
        <f t="shared" si="340"/>
        <v>1</v>
      </c>
      <c r="EF198" s="1123" t="s">
        <v>618</v>
      </c>
      <c r="EG198" s="1123" t="s">
        <v>612</v>
      </c>
      <c r="EH198" s="1203"/>
      <c r="EP198" s="1230" t="s">
        <v>236</v>
      </c>
      <c r="EQ198" s="1145" t="s">
        <v>236</v>
      </c>
      <c r="ER198" s="753" t="b">
        <f t="shared" si="399"/>
        <v>1</v>
      </c>
      <c r="EU198" s="770">
        <v>2582361</v>
      </c>
      <c r="EV198" s="771" t="s">
        <v>236</v>
      </c>
      <c r="FJ198" s="994">
        <v>0.15</v>
      </c>
      <c r="FK198" s="993">
        <v>13375.504154826031</v>
      </c>
      <c r="FL198" s="993">
        <v>13737.004267118626</v>
      </c>
      <c r="FM198" s="497"/>
      <c r="FN198" s="993">
        <f t="shared" si="341"/>
        <v>4370980.8666607086</v>
      </c>
      <c r="FO198" s="994">
        <f t="shared" si="400"/>
        <v>0.15</v>
      </c>
      <c r="FP198" s="775">
        <f t="shared" si="342"/>
        <v>655647.12999910628</v>
      </c>
      <c r="FQ198" s="993">
        <f t="shared" si="343"/>
        <v>30000</v>
      </c>
      <c r="FR198" s="775">
        <f t="shared" si="401"/>
        <v>625647.12999910628</v>
      </c>
      <c r="FS198" s="497">
        <f t="shared" si="402"/>
        <v>40</v>
      </c>
      <c r="FT198" s="775">
        <f t="shared" si="403"/>
        <v>15641.178249977656</v>
      </c>
      <c r="FU198" s="497"/>
      <c r="FV198" s="993">
        <f t="shared" si="404"/>
        <v>4370980.8666607086</v>
      </c>
      <c r="FW198" s="705">
        <f t="shared" si="405"/>
        <v>437098.08666607086</v>
      </c>
      <c r="FX198" s="705">
        <f t="shared" si="406"/>
        <v>109274.52166651771</v>
      </c>
      <c r="FY198" s="705">
        <v>15000</v>
      </c>
      <c r="FZ198" s="705">
        <f t="shared" si="407"/>
        <v>422098.08666607086</v>
      </c>
      <c r="GA198" s="497">
        <f t="shared" si="408"/>
        <v>46</v>
      </c>
      <c r="GB198" s="775">
        <f t="shared" si="409"/>
        <v>9176.0453623058875</v>
      </c>
      <c r="GC198" s="497"/>
      <c r="GD198" s="497"/>
      <c r="GH198" s="1095">
        <f t="shared" ref="GH198:GH261" si="461">CK198</f>
        <v>4370980.8666607086</v>
      </c>
      <c r="GI198" s="1098">
        <f t="shared" ref="GI198:GI261" si="462">CL198</f>
        <v>0.125</v>
      </c>
      <c r="GJ198" s="1095">
        <f t="shared" ref="GJ198:GJ261" si="463">CM198</f>
        <v>546372.60833258857</v>
      </c>
      <c r="GK198" s="1095">
        <f t="shared" ref="GK198:GK261" si="464">CN198</f>
        <v>30000</v>
      </c>
      <c r="GL198" s="1095">
        <f t="shared" ref="GL198:GL261" si="465">CO198</f>
        <v>516372.60833258857</v>
      </c>
      <c r="GM198" s="1095">
        <f t="shared" ref="GM198:GM261" si="466">CP198</f>
        <v>29</v>
      </c>
      <c r="GN198" s="1095">
        <f t="shared" ref="GN198:GN261" si="467">CQ198</f>
        <v>17805.952011468573</v>
      </c>
      <c r="GO198" s="1098">
        <f t="shared" ref="GO198:GO261" si="468">CR198</f>
        <v>0.875</v>
      </c>
      <c r="GP198" s="1095">
        <f t="shared" ref="GP198:GP261" si="469">CS198</f>
        <v>3824608.2583281202</v>
      </c>
      <c r="GQ198" s="1095">
        <f t="shared" ref="GQ198:GQ261" si="470">CT198</f>
        <v>29652.147118409492</v>
      </c>
      <c r="GR198" s="1095">
        <f t="shared" ref="GR198:GR261" si="471">CU198</f>
        <v>34376.660275209768</v>
      </c>
      <c r="GS198" s="1095">
        <f t="shared" ref="GS198:GS261" si="472">CV198</f>
        <v>44406.94484814685</v>
      </c>
      <c r="GT198" s="1095">
        <f t="shared" ref="GT198:GT261" si="473">CW198</f>
        <v>75731.827462215559</v>
      </c>
      <c r="GU198" s="497"/>
      <c r="GV198" s="1095">
        <f t="shared" si="410"/>
        <v>4370980.8666607086</v>
      </c>
      <c r="GW198" s="1098">
        <f t="shared" si="411"/>
        <v>0.125</v>
      </c>
      <c r="GX198" s="1095">
        <f t="shared" si="412"/>
        <v>546372.60833258857</v>
      </c>
      <c r="GY198" s="1095">
        <f t="shared" si="413"/>
        <v>30000</v>
      </c>
      <c r="GZ198" s="1095">
        <f t="shared" si="414"/>
        <v>516372.60833258857</v>
      </c>
      <c r="HA198" s="1106">
        <f t="shared" si="415"/>
        <v>48</v>
      </c>
      <c r="HB198" s="770">
        <f t="shared" si="416"/>
        <v>10757.762673595595</v>
      </c>
      <c r="HC198" s="1098">
        <f t="shared" si="417"/>
        <v>0.875</v>
      </c>
      <c r="HD198" s="1102">
        <f t="shared" si="418"/>
        <v>3824608.2583281202</v>
      </c>
      <c r="HE198" s="1101">
        <f t="shared" si="419"/>
        <v>29652.147118409492</v>
      </c>
      <c r="HF198" s="1101">
        <f t="shared" si="420"/>
        <v>34376.660275209768</v>
      </c>
      <c r="HG198" s="1101">
        <f t="shared" si="421"/>
        <v>44406.94484814685</v>
      </c>
      <c r="HH198" s="1101">
        <f t="shared" si="422"/>
        <v>75731.827462215559</v>
      </c>
      <c r="HI198" s="497"/>
      <c r="HJ198" s="1102">
        <f t="shared" si="423"/>
        <v>-7048.1893378729783</v>
      </c>
      <c r="HL198" s="775"/>
      <c r="HN198" s="775"/>
      <c r="HO198" s="775"/>
      <c r="HQ198" s="702"/>
      <c r="HR198" s="1171"/>
      <c r="HS198" s="702"/>
      <c r="HT198" s="1171"/>
    </row>
    <row r="199" spans="1:228" ht="14.25" hidden="1" customHeight="1">
      <c r="A199" s="753">
        <f t="shared" si="424"/>
        <v>193</v>
      </c>
      <c r="B199" s="753"/>
      <c r="C199" s="753">
        <f t="shared" si="459"/>
        <v>7</v>
      </c>
      <c r="D199" s="753" t="s">
        <v>275</v>
      </c>
      <c r="E199" s="717" t="str">
        <f t="shared" si="344"/>
        <v>9th Floor</v>
      </c>
      <c r="F199" s="754"/>
      <c r="G199" s="756" t="s">
        <v>619</v>
      </c>
      <c r="H199" s="756"/>
      <c r="I199" s="755" t="s">
        <v>229</v>
      </c>
      <c r="J199" s="757">
        <v>22</v>
      </c>
      <c r="K199" s="758"/>
      <c r="L199" s="759" t="s">
        <v>69</v>
      </c>
      <c r="M199" s="760" t="s">
        <v>68</v>
      </c>
      <c r="N199" s="761">
        <f t="shared" si="345"/>
        <v>106005.26567735759</v>
      </c>
      <c r="O199" s="762">
        <f t="shared" si="346"/>
        <v>2332115.8449018667</v>
      </c>
      <c r="P199" s="762">
        <f t="shared" si="347"/>
        <v>22400</v>
      </c>
      <c r="Q199" s="762">
        <f t="shared" ref="Q199:Q262" si="474">$Q$5</f>
        <v>50000</v>
      </c>
      <c r="R199" s="762"/>
      <c r="S199" s="762"/>
      <c r="T199" s="762"/>
      <c r="U199" s="762"/>
      <c r="V199" s="762"/>
      <c r="W199" s="762"/>
      <c r="X199" s="762"/>
      <c r="Y199" s="762">
        <f t="shared" si="460"/>
        <v>100000</v>
      </c>
      <c r="Z199" s="762">
        <f t="shared" ref="Z199:Z262" si="475">$Z$5</f>
        <v>142461</v>
      </c>
      <c r="AA199" s="762"/>
      <c r="AB199" s="762"/>
      <c r="AC199" s="762"/>
      <c r="AD199" s="763">
        <f t="shared" si="348"/>
        <v>314861</v>
      </c>
      <c r="AE199" s="763">
        <f t="shared" ref="AE199:AE262" si="476">O199+AD199</f>
        <v>2646976.8449018667</v>
      </c>
      <c r="AF199" s="762">
        <f t="shared" ref="AF199:AF262" si="477">AE199*$AF$5</f>
        <v>66174.421122546672</v>
      </c>
      <c r="AG199" s="762">
        <f t="shared" si="349"/>
        <v>2713151.2660244135</v>
      </c>
      <c r="AH199" s="762">
        <f t="shared" ref="AH199:AH262" si="478">AG199*$AH$5</f>
        <v>67828.781650610341</v>
      </c>
      <c r="AI199" s="762">
        <f t="shared" si="350"/>
        <v>2780980.0476750238</v>
      </c>
      <c r="AJ199" s="762">
        <f t="shared" si="351"/>
        <v>139049.00238375118</v>
      </c>
      <c r="AK199" s="762">
        <f t="shared" si="352"/>
        <v>2920029.0500587751</v>
      </c>
      <c r="AL199" s="762">
        <f t="shared" si="353"/>
        <v>29200.290500587751</v>
      </c>
      <c r="AM199" s="762">
        <f t="shared" si="354"/>
        <v>27537.409960060559</v>
      </c>
      <c r="AN199" s="762"/>
      <c r="AO199" s="763">
        <f t="shared" si="355"/>
        <v>2976766.7505194233</v>
      </c>
      <c r="AP199" s="763">
        <f t="shared" si="356"/>
        <v>491166.51383570489</v>
      </c>
      <c r="AQ199" s="763">
        <f t="shared" si="357"/>
        <v>3467933.2643551282</v>
      </c>
      <c r="AR199" s="1178">
        <f t="shared" ref="AR199:AR262" si="479">$AR$5</f>
        <v>3000000</v>
      </c>
      <c r="AS199" s="1178">
        <f t="shared" si="358"/>
        <v>21269.693834324007</v>
      </c>
      <c r="AT199" s="1178">
        <f t="shared" si="359"/>
        <v>467933.26435512817</v>
      </c>
      <c r="AU199" s="1178">
        <f t="shared" ref="AU199:AU262" si="480">AT199*$AU$5</f>
        <v>56151.991722615378</v>
      </c>
      <c r="AV199" s="1178">
        <f t="shared" si="360"/>
        <v>524085.25607774354</v>
      </c>
      <c r="AW199" s="1178">
        <f t="shared" si="361"/>
        <v>3524085.2560777436</v>
      </c>
      <c r="AX199" s="762">
        <f t="shared" si="362"/>
        <v>44051.065700971798</v>
      </c>
      <c r="AY199" s="717" t="s">
        <v>231</v>
      </c>
      <c r="AZ199" s="717">
        <f t="shared" si="363"/>
        <v>3568136.3217787156</v>
      </c>
      <c r="BA199" s="717">
        <f t="shared" si="364"/>
        <v>133805.11206670184</v>
      </c>
      <c r="BB199" s="717"/>
      <c r="BC199" s="717">
        <f t="shared" ref="BC199:BC262" si="481">$BC$5*1.12</f>
        <v>33600</v>
      </c>
      <c r="BD199" s="717">
        <f t="shared" si="365"/>
        <v>3735541.4338454176</v>
      </c>
      <c r="BE199" s="717"/>
      <c r="BF199" s="717">
        <f t="shared" si="366"/>
        <v>3735541.4338454176</v>
      </c>
      <c r="BG199" s="1209"/>
      <c r="BH199" s="717">
        <f t="shared" si="367"/>
        <v>3735541.4338454176</v>
      </c>
      <c r="BI199" s="717"/>
      <c r="BJ199" s="717">
        <f t="shared" si="368"/>
        <v>3735541.4338454176</v>
      </c>
      <c r="BK199" s="717"/>
      <c r="BL199" s="717">
        <f t="shared" si="369"/>
        <v>3735541.4338454176</v>
      </c>
      <c r="BM199" s="717"/>
      <c r="BN199" s="717">
        <f t="shared" si="370"/>
        <v>3735541.4338454176</v>
      </c>
      <c r="BO199" s="717"/>
      <c r="BP199" s="717">
        <f t="shared" ref="BP199:BP262" si="482">BN199+BO199</f>
        <v>3735541.4338454176</v>
      </c>
      <c r="BQ199" s="717"/>
      <c r="BR199" s="717">
        <f t="shared" si="433"/>
        <v>3735541.4338454176</v>
      </c>
      <c r="BS199" s="717"/>
      <c r="BT199" s="717">
        <f t="shared" si="371"/>
        <v>3735541.4338454176</v>
      </c>
      <c r="BU199" s="717"/>
      <c r="BV199" s="1235">
        <f t="shared" si="434"/>
        <v>51400</v>
      </c>
      <c r="BW199" s="717">
        <f t="shared" si="372"/>
        <v>3786941.4338454176</v>
      </c>
      <c r="BX199" s="717"/>
      <c r="BY199" s="717">
        <f t="shared" si="373"/>
        <v>3786941.4338454176</v>
      </c>
      <c r="BZ199" s="1194">
        <f t="shared" si="374"/>
        <v>3786941.4338454176</v>
      </c>
      <c r="CA199" s="1194">
        <f t="shared" si="375"/>
        <v>3038941.4338454176</v>
      </c>
      <c r="CB199" s="1194">
        <v>34000</v>
      </c>
      <c r="CC199" s="1194">
        <f t="shared" si="376"/>
        <v>748000</v>
      </c>
      <c r="CD199" s="1194">
        <f t="shared" si="377"/>
        <v>89760</v>
      </c>
      <c r="CE199" s="1194">
        <f t="shared" si="378"/>
        <v>837760</v>
      </c>
      <c r="CF199" s="1200">
        <f t="shared" si="379"/>
        <v>3876701.4338454176</v>
      </c>
      <c r="CG199" s="757">
        <f t="shared" si="380"/>
        <v>3876701.4338454176</v>
      </c>
      <c r="CH199" s="758">
        <f t="shared" si="381"/>
        <v>0</v>
      </c>
      <c r="CI199" s="757">
        <f t="shared" ref="CI199:CI262" si="483">CG199*CI$5</f>
        <v>397361.89696915529</v>
      </c>
      <c r="CJ199" s="757">
        <f t="shared" ref="CJ199:CJ262" si="484">CG199*CJ$5</f>
        <v>96917.535846135448</v>
      </c>
      <c r="CK199" s="759">
        <f t="shared" si="444"/>
        <v>4370980.8666607086</v>
      </c>
      <c r="CL199" s="764">
        <f t="shared" si="382"/>
        <v>0.125</v>
      </c>
      <c r="CM199" s="757">
        <f t="shared" si="383"/>
        <v>546372.60833258857</v>
      </c>
      <c r="CN199" s="757">
        <f t="shared" si="425"/>
        <v>30000</v>
      </c>
      <c r="CO199" s="757">
        <f t="shared" si="384"/>
        <v>516372.60833258857</v>
      </c>
      <c r="CP199" s="755">
        <f t="shared" si="385"/>
        <v>29</v>
      </c>
      <c r="CQ199" s="757">
        <f t="shared" si="427"/>
        <v>17805.952011468573</v>
      </c>
      <c r="CR199" s="764">
        <f t="shared" si="386"/>
        <v>0.875</v>
      </c>
      <c r="CS199" s="757">
        <f t="shared" si="387"/>
        <v>3824608.2583281202</v>
      </c>
      <c r="CT199" s="1101">
        <f t="shared" si="388"/>
        <v>29652.147118409492</v>
      </c>
      <c r="CU199" s="1101">
        <f t="shared" si="389"/>
        <v>34376.660275209768</v>
      </c>
      <c r="CV199" s="1101">
        <f t="shared" si="390"/>
        <v>44406.94484814685</v>
      </c>
      <c r="CW199" s="1141">
        <f t="shared" ref="CW199:CW262" si="485">-PMT($CT$5/12,60,CS199,0)</f>
        <v>75731.827462215559</v>
      </c>
      <c r="CX199" s="1152">
        <f t="shared" si="391"/>
        <v>310685.08539597952</v>
      </c>
      <c r="CY199" s="1152">
        <f t="shared" si="392"/>
        <v>122936.57485724729</v>
      </c>
      <c r="CZ199" s="1152">
        <f t="shared" si="393"/>
        <v>88795.34684475635</v>
      </c>
      <c r="DA199" s="1152">
        <f t="shared" si="394"/>
        <v>67577.34687549567</v>
      </c>
      <c r="DB199" s="1143">
        <f t="shared" ref="DB199:DB262" si="486">AT199/AR199</f>
        <v>0.15597775478504272</v>
      </c>
      <c r="DC199" s="1143">
        <f t="shared" si="395"/>
        <v>0.27567494084277722</v>
      </c>
      <c r="DD199" s="1098" t="s">
        <v>232</v>
      </c>
      <c r="DE199" s="1144"/>
      <c r="DF199" s="705"/>
      <c r="DG199" s="765">
        <f t="shared" si="426"/>
        <v>46082</v>
      </c>
      <c r="DH199" s="1116">
        <f t="shared" ref="DH199:DH262" si="487">(YEAR(DG199)-YEAR($DH$5))*12+MONTH(DG199)-MONTH($DH$5)</f>
        <v>28</v>
      </c>
      <c r="DI199" s="497"/>
      <c r="DJ199" s="1117">
        <f t="shared" si="396"/>
        <v>46147</v>
      </c>
      <c r="DK199" s="1116">
        <f t="shared" si="397"/>
        <v>30</v>
      </c>
      <c r="DL199" s="766" t="s">
        <v>233</v>
      </c>
      <c r="DM199" s="766" t="s">
        <v>234</v>
      </c>
      <c r="DN199" s="767">
        <f t="shared" ref="DN199:DN262" si="488">DO199/J199</f>
        <v>23822.057094442887</v>
      </c>
      <c r="DO199" s="767">
        <f t="shared" ref="DO199:DO262" si="489">AV199</f>
        <v>524085.25607774354</v>
      </c>
      <c r="DP199" s="768">
        <f t="shared" ref="DP199:DP262" si="490">AV199/AR199</f>
        <v>0.17469508535924785</v>
      </c>
      <c r="DR199" s="767">
        <f t="shared" ref="DR199:DR262" si="491">CG199</f>
        <v>3876701.4338454176</v>
      </c>
      <c r="DS199" s="767">
        <f>SUM('[6]INTERNAL PRICELIST'!M199)</f>
        <v>0</v>
      </c>
      <c r="DT199" s="767">
        <f t="shared" si="398"/>
        <v>3876701.4338454176</v>
      </c>
      <c r="DV199" s="951">
        <f t="shared" ref="DV199:DV262" si="492">DR199/J199</f>
        <v>176213.70153842808</v>
      </c>
      <c r="DX199" s="781"/>
      <c r="DY199" s="782"/>
      <c r="DZ199" s="781"/>
      <c r="EA199" s="775"/>
      <c r="ED199" s="755" t="s">
        <v>619</v>
      </c>
      <c r="EE199" s="777" t="b">
        <f t="shared" ref="EE199:EE262" si="493">G199=ED199</f>
        <v>1</v>
      </c>
      <c r="EF199" s="777"/>
      <c r="EG199" s="777"/>
      <c r="EH199" s="1203"/>
      <c r="EP199" s="1230" t="s">
        <v>236</v>
      </c>
      <c r="EQ199" s="1145" t="s">
        <v>236</v>
      </c>
      <c r="ER199" s="753" t="b">
        <f t="shared" si="399"/>
        <v>1</v>
      </c>
      <c r="EU199" s="770">
        <v>3108299.9774007285</v>
      </c>
      <c r="EV199" s="771" t="s">
        <v>258</v>
      </c>
      <c r="EW199" s="775">
        <f>EU199-CG199</f>
        <v>-768401.45644468907</v>
      </c>
      <c r="FJ199" s="994">
        <v>0.15</v>
      </c>
      <c r="FK199" s="993">
        <v>13375.504154826031</v>
      </c>
      <c r="FL199" s="993">
        <v>13737.004267118626</v>
      </c>
      <c r="FM199" s="497"/>
      <c r="FN199" s="993">
        <f t="shared" ref="FN199:FN262" si="494">CK199</f>
        <v>4370980.8666607086</v>
      </c>
      <c r="FO199" s="994">
        <f t="shared" si="400"/>
        <v>0.15</v>
      </c>
      <c r="FP199" s="775">
        <f t="shared" ref="FP199:FP262" si="495">FN199*FO199</f>
        <v>655647.12999910628</v>
      </c>
      <c r="FQ199" s="993">
        <f t="shared" ref="FQ199:FQ262" si="496">CN199</f>
        <v>30000</v>
      </c>
      <c r="FR199" s="775">
        <f t="shared" si="401"/>
        <v>625647.12999910628</v>
      </c>
      <c r="FS199" s="497">
        <f t="shared" si="402"/>
        <v>40</v>
      </c>
      <c r="FT199" s="775">
        <f t="shared" si="403"/>
        <v>15641.178249977656</v>
      </c>
      <c r="FU199" s="497"/>
      <c r="FV199" s="993">
        <f t="shared" si="404"/>
        <v>4370980.8666607086</v>
      </c>
      <c r="FW199" s="705">
        <f t="shared" si="405"/>
        <v>437098.08666607086</v>
      </c>
      <c r="FX199" s="705">
        <f t="shared" si="406"/>
        <v>109274.52166651771</v>
      </c>
      <c r="FY199" s="705">
        <v>15000</v>
      </c>
      <c r="FZ199" s="705">
        <f t="shared" si="407"/>
        <v>422098.08666607086</v>
      </c>
      <c r="GA199" s="497">
        <f t="shared" si="408"/>
        <v>46</v>
      </c>
      <c r="GB199" s="775">
        <f t="shared" si="409"/>
        <v>9176.0453623058875</v>
      </c>
      <c r="GC199" s="497"/>
      <c r="GD199" s="497"/>
      <c r="GH199" s="1095">
        <f t="shared" si="461"/>
        <v>4370980.8666607086</v>
      </c>
      <c r="GI199" s="1098">
        <f t="shared" si="462"/>
        <v>0.125</v>
      </c>
      <c r="GJ199" s="1095">
        <f t="shared" si="463"/>
        <v>546372.60833258857</v>
      </c>
      <c r="GK199" s="1095">
        <f t="shared" si="464"/>
        <v>30000</v>
      </c>
      <c r="GL199" s="1095">
        <f t="shared" si="465"/>
        <v>516372.60833258857</v>
      </c>
      <c r="GM199" s="1095">
        <f t="shared" si="466"/>
        <v>29</v>
      </c>
      <c r="GN199" s="1095">
        <f t="shared" si="467"/>
        <v>17805.952011468573</v>
      </c>
      <c r="GO199" s="1098">
        <f t="shared" si="468"/>
        <v>0.875</v>
      </c>
      <c r="GP199" s="1095">
        <f t="shared" si="469"/>
        <v>3824608.2583281202</v>
      </c>
      <c r="GQ199" s="1095">
        <f t="shared" si="470"/>
        <v>29652.147118409492</v>
      </c>
      <c r="GR199" s="1095">
        <f t="shared" si="471"/>
        <v>34376.660275209768</v>
      </c>
      <c r="GS199" s="1095">
        <f t="shared" si="472"/>
        <v>44406.94484814685</v>
      </c>
      <c r="GT199" s="1095">
        <f t="shared" si="473"/>
        <v>75731.827462215559</v>
      </c>
      <c r="GU199" s="497"/>
      <c r="GV199" s="1095">
        <f t="shared" si="410"/>
        <v>4370980.8666607086</v>
      </c>
      <c r="GW199" s="1098">
        <f t="shared" si="411"/>
        <v>0.125</v>
      </c>
      <c r="GX199" s="1095">
        <f t="shared" si="412"/>
        <v>546372.60833258857</v>
      </c>
      <c r="GY199" s="1095">
        <f t="shared" si="413"/>
        <v>30000</v>
      </c>
      <c r="GZ199" s="1095">
        <f t="shared" si="414"/>
        <v>516372.60833258857</v>
      </c>
      <c r="HA199" s="1106">
        <f t="shared" si="415"/>
        <v>48</v>
      </c>
      <c r="HB199" s="770">
        <f t="shared" si="416"/>
        <v>10757.762673595595</v>
      </c>
      <c r="HC199" s="1098">
        <f t="shared" si="417"/>
        <v>0.875</v>
      </c>
      <c r="HD199" s="1102">
        <f t="shared" si="418"/>
        <v>3824608.2583281202</v>
      </c>
      <c r="HE199" s="1101">
        <f t="shared" si="419"/>
        <v>29652.147118409492</v>
      </c>
      <c r="HF199" s="1101">
        <f t="shared" si="420"/>
        <v>34376.660275209768</v>
      </c>
      <c r="HG199" s="1101">
        <f t="shared" si="421"/>
        <v>44406.94484814685</v>
      </c>
      <c r="HH199" s="1101">
        <f t="shared" si="422"/>
        <v>75731.827462215559</v>
      </c>
      <c r="HI199" s="497"/>
      <c r="HJ199" s="1102">
        <f t="shared" si="423"/>
        <v>-7048.1893378729783</v>
      </c>
      <c r="HL199" s="775"/>
      <c r="HN199" s="775"/>
      <c r="HO199" s="775"/>
      <c r="HQ199" s="702"/>
      <c r="HR199" s="1171"/>
      <c r="HS199" s="702"/>
      <c r="HT199" s="1171"/>
    </row>
    <row r="200" spans="1:228" ht="14.25" hidden="1" customHeight="1">
      <c r="A200" s="753">
        <f t="shared" si="424"/>
        <v>194</v>
      </c>
      <c r="B200" s="753"/>
      <c r="C200" s="753">
        <f t="shared" si="459"/>
        <v>8</v>
      </c>
      <c r="D200" s="753" t="s">
        <v>275</v>
      </c>
      <c r="E200" s="717" t="str">
        <f t="shared" ref="E200:E263" si="497">D200</f>
        <v>9th Floor</v>
      </c>
      <c r="F200" s="754"/>
      <c r="G200" s="756" t="s">
        <v>620</v>
      </c>
      <c r="H200" s="756"/>
      <c r="I200" s="755" t="s">
        <v>229</v>
      </c>
      <c r="J200" s="757">
        <v>22</v>
      </c>
      <c r="K200" s="758"/>
      <c r="L200" s="759" t="s">
        <v>69</v>
      </c>
      <c r="M200" s="760" t="s">
        <v>68</v>
      </c>
      <c r="N200" s="761">
        <f t="shared" ref="N200:N263" si="498">$N$5</f>
        <v>106005.26567735759</v>
      </c>
      <c r="O200" s="762">
        <f t="shared" ref="O200:O263" si="499">J200*N200</f>
        <v>2332115.8449018667</v>
      </c>
      <c r="P200" s="762">
        <f t="shared" ref="P200:P263" si="500">$P$7</f>
        <v>22400</v>
      </c>
      <c r="Q200" s="762">
        <f t="shared" si="474"/>
        <v>50000</v>
      </c>
      <c r="R200" s="762"/>
      <c r="S200" s="762"/>
      <c r="T200" s="762"/>
      <c r="U200" s="762"/>
      <c r="V200" s="762"/>
      <c r="W200" s="762"/>
      <c r="X200" s="762"/>
      <c r="Y200" s="762">
        <f t="shared" si="460"/>
        <v>100000</v>
      </c>
      <c r="Z200" s="762">
        <f t="shared" si="475"/>
        <v>142461</v>
      </c>
      <c r="AA200" s="762"/>
      <c r="AB200" s="762"/>
      <c r="AC200" s="762"/>
      <c r="AD200" s="763">
        <f t="shared" ref="AD200:AD263" si="501">SUM(P200:AC200)</f>
        <v>314861</v>
      </c>
      <c r="AE200" s="763">
        <f t="shared" si="476"/>
        <v>2646976.8449018667</v>
      </c>
      <c r="AF200" s="762">
        <f t="shared" si="477"/>
        <v>66174.421122546672</v>
      </c>
      <c r="AG200" s="762">
        <f t="shared" ref="AG200:AG263" si="502">AE200+AF200</f>
        <v>2713151.2660244135</v>
      </c>
      <c r="AH200" s="762">
        <f t="shared" si="478"/>
        <v>67828.781650610341</v>
      </c>
      <c r="AI200" s="762">
        <f t="shared" ref="AI200:AI263" si="503">AG200+AH200</f>
        <v>2780980.0476750238</v>
      </c>
      <c r="AJ200" s="762">
        <f t="shared" ref="AJ200:AJ263" si="504">AI200*$AJ$5</f>
        <v>139049.00238375118</v>
      </c>
      <c r="AK200" s="762">
        <f t="shared" ref="AK200:AK263" si="505">AI200+AJ200</f>
        <v>2920029.0500587751</v>
      </c>
      <c r="AL200" s="762">
        <f t="shared" ref="AL200:AL263" si="506">AK200*AL$5</f>
        <v>29200.290500587751</v>
      </c>
      <c r="AM200" s="762">
        <f t="shared" ref="AM200:AM263" si="507">$AM$5</f>
        <v>27537.409960060559</v>
      </c>
      <c r="AN200" s="762"/>
      <c r="AO200" s="763">
        <f t="shared" ref="AO200:AO263" si="508">AK200+AL200+AM200+AN200</f>
        <v>2976766.7505194233</v>
      </c>
      <c r="AP200" s="763">
        <f t="shared" ref="AP200:AP263" si="509">AO200*$AP$5</f>
        <v>491166.51383570489</v>
      </c>
      <c r="AQ200" s="763">
        <f t="shared" ref="AQ200:AQ263" si="510">AO200+AP200</f>
        <v>3467933.2643551282</v>
      </c>
      <c r="AR200" s="1178">
        <f t="shared" si="479"/>
        <v>3000000</v>
      </c>
      <c r="AS200" s="1178">
        <f t="shared" ref="AS200:AS263" si="511">AT200/J200</f>
        <v>21269.693834324007</v>
      </c>
      <c r="AT200" s="1178">
        <f t="shared" ref="AT200:AT263" si="512">AQ200-AR200</f>
        <v>467933.26435512817</v>
      </c>
      <c r="AU200" s="1178">
        <f t="shared" si="480"/>
        <v>56151.991722615378</v>
      </c>
      <c r="AV200" s="1178">
        <f t="shared" ref="AV200:AV263" si="513">AT200+AU200</f>
        <v>524085.25607774354</v>
      </c>
      <c r="AW200" s="1178">
        <f t="shared" ref="AW200:AW263" si="514">AR200+AT200+AU200</f>
        <v>3524085.2560777436</v>
      </c>
      <c r="AX200" s="762">
        <f t="shared" ref="AX200:AX263" si="515">AW200*$AX$5</f>
        <v>44051.065700971798</v>
      </c>
      <c r="AY200" s="717" t="s">
        <v>231</v>
      </c>
      <c r="AZ200" s="717">
        <f t="shared" ref="AZ200:AZ263" si="516">AW200+AX200+AY200</f>
        <v>3568136.3217787156</v>
      </c>
      <c r="BA200" s="717">
        <f t="shared" ref="BA200:BA263" si="517">AZ200*$BA$5</f>
        <v>133805.11206670184</v>
      </c>
      <c r="BB200" s="717"/>
      <c r="BC200" s="717">
        <f t="shared" si="481"/>
        <v>33600</v>
      </c>
      <c r="BD200" s="717">
        <f t="shared" ref="BD200:BD263" si="518">AZ200+BA200+BB200+BC200</f>
        <v>3735541.4338454176</v>
      </c>
      <c r="BE200" s="717"/>
      <c r="BF200" s="717">
        <f t="shared" ref="BF200:BF263" si="519">BD200+BE200</f>
        <v>3735541.4338454176</v>
      </c>
      <c r="BG200" s="1209"/>
      <c r="BH200" s="717">
        <f t="shared" ref="BH200:BH263" si="520">BF200+BG200</f>
        <v>3735541.4338454176</v>
      </c>
      <c r="BI200" s="717"/>
      <c r="BJ200" s="717">
        <f t="shared" ref="BJ200:BJ263" si="521">BH200+BI200</f>
        <v>3735541.4338454176</v>
      </c>
      <c r="BK200" s="717"/>
      <c r="BL200" s="717">
        <f t="shared" ref="BL200:BL263" si="522">BJ200+BK200</f>
        <v>3735541.4338454176</v>
      </c>
      <c r="BM200" s="717"/>
      <c r="BN200" s="717">
        <f t="shared" ref="BN200:BN263" si="523">BL200+BM200</f>
        <v>3735541.4338454176</v>
      </c>
      <c r="BO200" s="717"/>
      <c r="BP200" s="717">
        <f t="shared" si="482"/>
        <v>3735541.4338454176</v>
      </c>
      <c r="BQ200" s="717"/>
      <c r="BR200" s="717">
        <f t="shared" si="433"/>
        <v>3735541.4338454176</v>
      </c>
      <c r="BS200" s="717"/>
      <c r="BT200" s="717">
        <f t="shared" ref="BT200:BT263" si="524">BS200+BR200</f>
        <v>3735541.4338454176</v>
      </c>
      <c r="BU200" s="717"/>
      <c r="BV200" s="1235">
        <f t="shared" si="434"/>
        <v>51400</v>
      </c>
      <c r="BW200" s="717">
        <f t="shared" ref="BW200:BW263" si="525">SUM(BT200:BV200)</f>
        <v>3786941.4338454176</v>
      </c>
      <c r="BX200" s="717"/>
      <c r="BY200" s="717">
        <f t="shared" ref="BY200:BY263" si="526">BW200+BX200</f>
        <v>3786941.4338454176</v>
      </c>
      <c r="BZ200" s="1194">
        <f t="shared" ref="BZ200:BZ263" si="527">BY200</f>
        <v>3786941.4338454176</v>
      </c>
      <c r="CA200" s="1194">
        <f t="shared" ref="CA200:CA263" si="528">BZ200-CC200</f>
        <v>3038941.4338454176</v>
      </c>
      <c r="CB200" s="1194">
        <v>34000</v>
      </c>
      <c r="CC200" s="1194">
        <f t="shared" ref="CC200:CC263" si="529">CB200*J200</f>
        <v>748000</v>
      </c>
      <c r="CD200" s="1194">
        <f t="shared" ref="CD200:CD263" si="530">CC200*$CD$5</f>
        <v>89760</v>
      </c>
      <c r="CE200" s="1194">
        <f t="shared" ref="CE200:CE263" si="531">SUM(CC200:CD200)</f>
        <v>837760</v>
      </c>
      <c r="CF200" s="1200">
        <f t="shared" ref="CF200:CF263" si="532">BZ200+CD200</f>
        <v>3876701.4338454176</v>
      </c>
      <c r="CG200" s="757">
        <f t="shared" ref="CG200:CG263" si="533">CF200</f>
        <v>3876701.4338454176</v>
      </c>
      <c r="CH200" s="758">
        <f t="shared" ref="CH200:CH263" si="534">IF(CA200&lt;=$CA$3,0,12%*CA200)</f>
        <v>0</v>
      </c>
      <c r="CI200" s="757">
        <f t="shared" si="483"/>
        <v>397361.89696915529</v>
      </c>
      <c r="CJ200" s="757">
        <f t="shared" si="484"/>
        <v>96917.535846135448</v>
      </c>
      <c r="CK200" s="759">
        <f t="shared" si="444"/>
        <v>4370980.8666607086</v>
      </c>
      <c r="CL200" s="764">
        <f t="shared" ref="CL200:CL263" si="535">$CL$5</f>
        <v>0.125</v>
      </c>
      <c r="CM200" s="757">
        <f t="shared" ref="CM200:CM263" si="536">CK200*CL200</f>
        <v>546372.60833258857</v>
      </c>
      <c r="CN200" s="757">
        <f t="shared" si="425"/>
        <v>30000</v>
      </c>
      <c r="CO200" s="757">
        <f t="shared" ref="CO200:CO263" si="537">CM200-CN200</f>
        <v>516372.60833258857</v>
      </c>
      <c r="CP200" s="755">
        <f t="shared" ref="CP200:CP263" si="538">VLOOKUP(E200,$ID$6:$IF$20,3,FALSE)</f>
        <v>29</v>
      </c>
      <c r="CQ200" s="757">
        <f t="shared" si="427"/>
        <v>17805.952011468573</v>
      </c>
      <c r="CR200" s="764">
        <f t="shared" ref="CR200:CR263" si="539">100%-CL200</f>
        <v>0.875</v>
      </c>
      <c r="CS200" s="757">
        <f t="shared" ref="CS200:CS263" si="540">CK200*CR200</f>
        <v>3824608.2583281202</v>
      </c>
      <c r="CT200" s="1101">
        <f t="shared" ref="CT200:CT263" si="541">-PMT($CT$5/12,240,CS200,0)</f>
        <v>29652.147118409492</v>
      </c>
      <c r="CU200" s="1101">
        <f t="shared" ref="CU200:CU263" si="542">-PMT($CT$5/12,180,CS200,0)</f>
        <v>34376.660275209768</v>
      </c>
      <c r="CV200" s="1101">
        <f t="shared" ref="CV200:CV263" si="543">-PMT($CT$5/12,120,CS200,0)</f>
        <v>44406.94484814685</v>
      </c>
      <c r="CW200" s="1141">
        <f t="shared" si="485"/>
        <v>75731.827462215559</v>
      </c>
      <c r="CX200" s="1152">
        <f t="shared" ref="CX200:CX263" si="544">(CK200*80%)*$CX$5</f>
        <v>310685.08539597952</v>
      </c>
      <c r="CY200" s="1152">
        <f t="shared" ref="CY200:CY263" si="545">(CK200*80%)*$CY$5</f>
        <v>122936.57485724729</v>
      </c>
      <c r="CZ200" s="1152">
        <f t="shared" ref="CZ200:CZ263" si="546">(CK200*80%)*$CZ$5</f>
        <v>88795.34684475635</v>
      </c>
      <c r="DA200" s="1152">
        <f t="shared" ref="DA200:DA263" si="547">(CK200*80%)*$DA$5</f>
        <v>67577.34687549567</v>
      </c>
      <c r="DB200" s="1143">
        <f t="shared" si="486"/>
        <v>0.15597775478504272</v>
      </c>
      <c r="DC200" s="1143">
        <f t="shared" ref="DC200:DC263" si="548">CE200/CA200</f>
        <v>0.27567494084277722</v>
      </c>
      <c r="DD200" s="1098" t="s">
        <v>232</v>
      </c>
      <c r="DE200" s="1144"/>
      <c r="DF200" s="705"/>
      <c r="DG200" s="765">
        <f t="shared" si="426"/>
        <v>46082</v>
      </c>
      <c r="DH200" s="1116">
        <f t="shared" si="487"/>
        <v>28</v>
      </c>
      <c r="DI200" s="497"/>
      <c r="DJ200" s="1117">
        <f t="shared" ref="DJ200:DJ263" si="549">DG200+65</f>
        <v>46147</v>
      </c>
      <c r="DK200" s="1116">
        <f t="shared" ref="DK200:DK263" si="550">(YEAR(DJ200)-YEAR($DK$5))*12+MONTH(DJ200)-MONTH($DK$5)+$DK$4+$DK$3</f>
        <v>30</v>
      </c>
      <c r="DL200" s="766" t="s">
        <v>233</v>
      </c>
      <c r="DM200" s="766" t="s">
        <v>234</v>
      </c>
      <c r="DN200" s="767">
        <f t="shared" si="488"/>
        <v>23822.057094442887</v>
      </c>
      <c r="DO200" s="767">
        <f t="shared" si="489"/>
        <v>524085.25607774354</v>
      </c>
      <c r="DP200" s="768">
        <f t="shared" si="490"/>
        <v>0.17469508535924785</v>
      </c>
      <c r="DR200" s="767">
        <f t="shared" si="491"/>
        <v>3876701.4338454176</v>
      </c>
      <c r="DS200" s="767">
        <f>SUM('[6]INTERNAL PRICELIST'!M200)</f>
        <v>0</v>
      </c>
      <c r="DT200" s="767">
        <f t="shared" ref="DT200:DT263" si="551">DR200-DS200</f>
        <v>3876701.4338454176</v>
      </c>
      <c r="DV200" s="951">
        <f t="shared" si="492"/>
        <v>176213.70153842808</v>
      </c>
      <c r="DX200" s="781"/>
      <c r="DY200" s="782"/>
      <c r="DZ200" s="781"/>
      <c r="EA200" s="775"/>
      <c r="ED200" s="755" t="s">
        <v>620</v>
      </c>
      <c r="EE200" s="777" t="b">
        <f t="shared" si="493"/>
        <v>1</v>
      </c>
      <c r="EF200" s="777"/>
      <c r="EG200" s="777"/>
      <c r="EH200" s="1203"/>
      <c r="EP200" s="1230" t="s">
        <v>236</v>
      </c>
      <c r="EQ200" s="1145" t="s">
        <v>236</v>
      </c>
      <c r="ER200" s="753" t="b">
        <f t="shared" ref="ER200:ER263" si="552">EP200=EQ200</f>
        <v>1</v>
      </c>
      <c r="EU200" s="770">
        <v>3108299.9774007285</v>
      </c>
      <c r="EV200" s="771" t="s">
        <v>258</v>
      </c>
      <c r="EW200" s="775">
        <f>EU200-CG200</f>
        <v>-768401.45644468907</v>
      </c>
      <c r="EY200" s="775">
        <v>3075131.4159727991</v>
      </c>
      <c r="FJ200" s="994">
        <v>0.15</v>
      </c>
      <c r="FK200" s="993">
        <v>13375.504154826031</v>
      </c>
      <c r="FL200" s="993">
        <v>13737.004267118626</v>
      </c>
      <c r="FM200" s="497"/>
      <c r="FN200" s="993">
        <f t="shared" si="494"/>
        <v>4370980.8666607086</v>
      </c>
      <c r="FO200" s="994">
        <f t="shared" ref="FO200:FO263" si="553">$FO$5</f>
        <v>0.15</v>
      </c>
      <c r="FP200" s="775">
        <f t="shared" si="495"/>
        <v>655647.12999910628</v>
      </c>
      <c r="FQ200" s="993">
        <f t="shared" si="496"/>
        <v>30000</v>
      </c>
      <c r="FR200" s="775">
        <f t="shared" ref="FR200:FR263" si="554">FP200-FQ200</f>
        <v>625647.12999910628</v>
      </c>
      <c r="FS200" s="497">
        <f t="shared" ref="FS200:FS263" si="555">$FS$5</f>
        <v>40</v>
      </c>
      <c r="FT200" s="775">
        <f t="shared" ref="FT200:FT263" si="556">FR200/FS200</f>
        <v>15641.178249977656</v>
      </c>
      <c r="FU200" s="497"/>
      <c r="FV200" s="993">
        <f t="shared" ref="FV200:FV263" si="557">FN200</f>
        <v>4370980.8666607086</v>
      </c>
      <c r="FW200" s="705">
        <f t="shared" ref="FW200:FW263" si="558">FV200*$FW$5</f>
        <v>437098.08666607086</v>
      </c>
      <c r="FX200" s="705">
        <f t="shared" ref="FX200:FX263" si="559">FV200*$FX$5</f>
        <v>109274.52166651771</v>
      </c>
      <c r="FY200" s="705">
        <v>15000</v>
      </c>
      <c r="FZ200" s="705">
        <f t="shared" ref="FZ200:FZ263" si="560">FW200-FY200</f>
        <v>422098.08666607086</v>
      </c>
      <c r="GA200" s="497">
        <f t="shared" ref="GA200:GA263" si="561">$GA$5</f>
        <v>46</v>
      </c>
      <c r="GB200" s="775">
        <f t="shared" ref="GB200:GB263" si="562">FZ200/GA200</f>
        <v>9176.0453623058875</v>
      </c>
      <c r="GC200" s="497"/>
      <c r="GD200" s="497"/>
      <c r="GH200" s="1095">
        <f t="shared" si="461"/>
        <v>4370980.8666607086</v>
      </c>
      <c r="GI200" s="1098">
        <f t="shared" si="462"/>
        <v>0.125</v>
      </c>
      <c r="GJ200" s="1095">
        <f t="shared" si="463"/>
        <v>546372.60833258857</v>
      </c>
      <c r="GK200" s="1095">
        <f t="shared" si="464"/>
        <v>30000</v>
      </c>
      <c r="GL200" s="1095">
        <f t="shared" si="465"/>
        <v>516372.60833258857</v>
      </c>
      <c r="GM200" s="1095">
        <f t="shared" si="466"/>
        <v>29</v>
      </c>
      <c r="GN200" s="1095">
        <f t="shared" si="467"/>
        <v>17805.952011468573</v>
      </c>
      <c r="GO200" s="1098">
        <f t="shared" si="468"/>
        <v>0.875</v>
      </c>
      <c r="GP200" s="1095">
        <f t="shared" si="469"/>
        <v>3824608.2583281202</v>
      </c>
      <c r="GQ200" s="1095">
        <f t="shared" si="470"/>
        <v>29652.147118409492</v>
      </c>
      <c r="GR200" s="1095">
        <f t="shared" si="471"/>
        <v>34376.660275209768</v>
      </c>
      <c r="GS200" s="1095">
        <f t="shared" si="472"/>
        <v>44406.94484814685</v>
      </c>
      <c r="GT200" s="1095">
        <f t="shared" si="473"/>
        <v>75731.827462215559</v>
      </c>
      <c r="GU200" s="497"/>
      <c r="GV200" s="1095">
        <f t="shared" ref="GV200:GV263" si="563">GH200</f>
        <v>4370980.8666607086</v>
      </c>
      <c r="GW200" s="1098">
        <f t="shared" ref="GW200:GW263" si="564">GI200</f>
        <v>0.125</v>
      </c>
      <c r="GX200" s="1095">
        <f t="shared" ref="GX200:GX263" si="565">GJ200</f>
        <v>546372.60833258857</v>
      </c>
      <c r="GY200" s="1095">
        <f t="shared" ref="GY200:GY263" si="566">GK200</f>
        <v>30000</v>
      </c>
      <c r="GZ200" s="1095">
        <f t="shared" ref="GZ200:GZ263" si="567">GL200</f>
        <v>516372.60833258857</v>
      </c>
      <c r="HA200" s="1106">
        <f t="shared" ref="HA200:HA263" si="568">$HA$5</f>
        <v>48</v>
      </c>
      <c r="HB200" s="770">
        <f t="shared" ref="HB200:HB263" si="569">GZ200/HA200</f>
        <v>10757.762673595595</v>
      </c>
      <c r="HC200" s="1098">
        <f t="shared" ref="HC200:HC263" si="570">100%-GW200</f>
        <v>0.875</v>
      </c>
      <c r="HD200" s="1102">
        <f t="shared" ref="HD200:HD263" si="571">GV200*HC200</f>
        <v>3824608.2583281202</v>
      </c>
      <c r="HE200" s="1101">
        <f t="shared" ref="HE200:HE263" si="572">-PMT(7%/12,240,HD200,0)</f>
        <v>29652.147118409492</v>
      </c>
      <c r="HF200" s="1101">
        <f t="shared" ref="HF200:HF263" si="573">-PMT(7%/12,180,HD200,0)</f>
        <v>34376.660275209768</v>
      </c>
      <c r="HG200" s="1101">
        <f t="shared" ref="HG200:HG263" si="574">-PMT(7%/12,120,HD200,0)</f>
        <v>44406.94484814685</v>
      </c>
      <c r="HH200" s="1101">
        <f t="shared" ref="HH200:HH263" si="575">-PMT(7%/12,60,HD200,0)</f>
        <v>75731.827462215559</v>
      </c>
      <c r="HI200" s="497"/>
      <c r="HJ200" s="1102">
        <f t="shared" ref="HJ200:HJ263" si="576">HB200-GN200</f>
        <v>-7048.1893378729783</v>
      </c>
      <c r="HL200" s="775"/>
      <c r="HN200" s="775"/>
      <c r="HO200" s="775"/>
      <c r="HQ200" s="702"/>
      <c r="HR200" s="1171"/>
      <c r="HS200" s="702"/>
      <c r="HT200" s="1171"/>
    </row>
    <row r="201" spans="1:228" ht="14.25" hidden="1" customHeight="1">
      <c r="A201" s="753">
        <f t="shared" ref="A201:A264" si="577">A200+1</f>
        <v>195</v>
      </c>
      <c r="B201" s="753"/>
      <c r="C201" s="753">
        <f t="shared" si="459"/>
        <v>9</v>
      </c>
      <c r="D201" s="753" t="s">
        <v>275</v>
      </c>
      <c r="E201" s="717" t="str">
        <f t="shared" si="497"/>
        <v>9th Floor</v>
      </c>
      <c r="F201" s="754"/>
      <c r="G201" s="756" t="s">
        <v>621</v>
      </c>
      <c r="H201" s="756"/>
      <c r="I201" s="755" t="s">
        <v>229</v>
      </c>
      <c r="J201" s="757">
        <v>22</v>
      </c>
      <c r="K201" s="758"/>
      <c r="L201" s="759" t="s">
        <v>69</v>
      </c>
      <c r="M201" s="760" t="s">
        <v>68</v>
      </c>
      <c r="N201" s="761">
        <f t="shared" si="498"/>
        <v>106005.26567735759</v>
      </c>
      <c r="O201" s="762">
        <f t="shared" si="499"/>
        <v>2332115.8449018667</v>
      </c>
      <c r="P201" s="762">
        <f t="shared" si="500"/>
        <v>22400</v>
      </c>
      <c r="Q201" s="762">
        <f t="shared" si="474"/>
        <v>50000</v>
      </c>
      <c r="R201" s="762"/>
      <c r="S201" s="762"/>
      <c r="T201" s="762"/>
      <c r="U201" s="762"/>
      <c r="V201" s="762"/>
      <c r="W201" s="762"/>
      <c r="X201" s="762"/>
      <c r="Y201" s="762">
        <f t="shared" si="460"/>
        <v>100000</v>
      </c>
      <c r="Z201" s="762">
        <f t="shared" si="475"/>
        <v>142461</v>
      </c>
      <c r="AA201" s="762"/>
      <c r="AB201" s="762"/>
      <c r="AC201" s="762"/>
      <c r="AD201" s="763">
        <f t="shared" si="501"/>
        <v>314861</v>
      </c>
      <c r="AE201" s="763">
        <f t="shared" si="476"/>
        <v>2646976.8449018667</v>
      </c>
      <c r="AF201" s="762">
        <f t="shared" si="477"/>
        <v>66174.421122546672</v>
      </c>
      <c r="AG201" s="762">
        <f t="shared" si="502"/>
        <v>2713151.2660244135</v>
      </c>
      <c r="AH201" s="762">
        <f t="shared" si="478"/>
        <v>67828.781650610341</v>
      </c>
      <c r="AI201" s="762">
        <f t="shared" si="503"/>
        <v>2780980.0476750238</v>
      </c>
      <c r="AJ201" s="762">
        <f t="shared" si="504"/>
        <v>139049.00238375118</v>
      </c>
      <c r="AK201" s="762">
        <f t="shared" si="505"/>
        <v>2920029.0500587751</v>
      </c>
      <c r="AL201" s="762">
        <f t="shared" si="506"/>
        <v>29200.290500587751</v>
      </c>
      <c r="AM201" s="762">
        <f t="shared" si="507"/>
        <v>27537.409960060559</v>
      </c>
      <c r="AN201" s="762"/>
      <c r="AO201" s="763">
        <f t="shared" si="508"/>
        <v>2976766.7505194233</v>
      </c>
      <c r="AP201" s="763">
        <f t="shared" si="509"/>
        <v>491166.51383570489</v>
      </c>
      <c r="AQ201" s="763">
        <f t="shared" si="510"/>
        <v>3467933.2643551282</v>
      </c>
      <c r="AR201" s="1178">
        <f t="shared" si="479"/>
        <v>3000000</v>
      </c>
      <c r="AS201" s="1178">
        <f t="shared" si="511"/>
        <v>21269.693834324007</v>
      </c>
      <c r="AT201" s="1178">
        <f t="shared" si="512"/>
        <v>467933.26435512817</v>
      </c>
      <c r="AU201" s="1178">
        <f t="shared" si="480"/>
        <v>56151.991722615378</v>
      </c>
      <c r="AV201" s="1178">
        <f t="shared" si="513"/>
        <v>524085.25607774354</v>
      </c>
      <c r="AW201" s="1178">
        <f t="shared" si="514"/>
        <v>3524085.2560777436</v>
      </c>
      <c r="AX201" s="762">
        <f t="shared" si="515"/>
        <v>44051.065700971798</v>
      </c>
      <c r="AY201" s="717" t="s">
        <v>231</v>
      </c>
      <c r="AZ201" s="717">
        <f t="shared" si="516"/>
        <v>3568136.3217787156</v>
      </c>
      <c r="BA201" s="717">
        <f t="shared" si="517"/>
        <v>133805.11206670184</v>
      </c>
      <c r="BB201" s="717"/>
      <c r="BC201" s="717">
        <f t="shared" si="481"/>
        <v>33600</v>
      </c>
      <c r="BD201" s="717">
        <f t="shared" si="518"/>
        <v>3735541.4338454176</v>
      </c>
      <c r="BE201" s="717"/>
      <c r="BF201" s="717">
        <f t="shared" si="519"/>
        <v>3735541.4338454176</v>
      </c>
      <c r="BG201" s="1209"/>
      <c r="BH201" s="717">
        <f t="shared" si="520"/>
        <v>3735541.4338454176</v>
      </c>
      <c r="BI201" s="717"/>
      <c r="BJ201" s="717">
        <f t="shared" si="521"/>
        <v>3735541.4338454176</v>
      </c>
      <c r="BK201" s="717"/>
      <c r="BL201" s="717">
        <f t="shared" si="522"/>
        <v>3735541.4338454176</v>
      </c>
      <c r="BM201" s="717"/>
      <c r="BN201" s="717">
        <f t="shared" si="523"/>
        <v>3735541.4338454176</v>
      </c>
      <c r="BO201" s="717"/>
      <c r="BP201" s="717">
        <f t="shared" si="482"/>
        <v>3735541.4338454176</v>
      </c>
      <c r="BQ201" s="717"/>
      <c r="BR201" s="717">
        <f t="shared" si="433"/>
        <v>3735541.4338454176</v>
      </c>
      <c r="BS201" s="717"/>
      <c r="BT201" s="717">
        <f t="shared" si="524"/>
        <v>3735541.4338454176</v>
      </c>
      <c r="BU201" s="717"/>
      <c r="BV201" s="1235">
        <f t="shared" si="434"/>
        <v>51400</v>
      </c>
      <c r="BW201" s="717">
        <f t="shared" si="525"/>
        <v>3786941.4338454176</v>
      </c>
      <c r="BX201" s="717"/>
      <c r="BY201" s="717">
        <f t="shared" si="526"/>
        <v>3786941.4338454176</v>
      </c>
      <c r="BZ201" s="1194">
        <f t="shared" si="527"/>
        <v>3786941.4338454176</v>
      </c>
      <c r="CA201" s="1194">
        <f t="shared" si="528"/>
        <v>3038941.4338454176</v>
      </c>
      <c r="CB201" s="1194">
        <v>34000</v>
      </c>
      <c r="CC201" s="1194">
        <f t="shared" si="529"/>
        <v>748000</v>
      </c>
      <c r="CD201" s="1194">
        <f t="shared" si="530"/>
        <v>89760</v>
      </c>
      <c r="CE201" s="1194">
        <f t="shared" si="531"/>
        <v>837760</v>
      </c>
      <c r="CF201" s="1200">
        <f t="shared" si="532"/>
        <v>3876701.4338454176</v>
      </c>
      <c r="CG201" s="757">
        <f t="shared" si="533"/>
        <v>3876701.4338454176</v>
      </c>
      <c r="CH201" s="758">
        <f t="shared" si="534"/>
        <v>0</v>
      </c>
      <c r="CI201" s="757">
        <f t="shared" si="483"/>
        <v>397361.89696915529</v>
      </c>
      <c r="CJ201" s="757">
        <f t="shared" si="484"/>
        <v>96917.535846135448</v>
      </c>
      <c r="CK201" s="759">
        <f t="shared" si="444"/>
        <v>4370980.8666607086</v>
      </c>
      <c r="CL201" s="764">
        <f t="shared" si="535"/>
        <v>0.125</v>
      </c>
      <c r="CM201" s="757">
        <f t="shared" si="536"/>
        <v>546372.60833258857</v>
      </c>
      <c r="CN201" s="757">
        <f t="shared" ref="CN201:CN264" si="578">CN$5</f>
        <v>30000</v>
      </c>
      <c r="CO201" s="757">
        <f t="shared" si="537"/>
        <v>516372.60833258857</v>
      </c>
      <c r="CP201" s="755">
        <f t="shared" si="538"/>
        <v>29</v>
      </c>
      <c r="CQ201" s="757">
        <f t="shared" si="427"/>
        <v>17805.952011468573</v>
      </c>
      <c r="CR201" s="764">
        <f t="shared" si="539"/>
        <v>0.875</v>
      </c>
      <c r="CS201" s="757">
        <f t="shared" si="540"/>
        <v>3824608.2583281202</v>
      </c>
      <c r="CT201" s="1101">
        <f t="shared" si="541"/>
        <v>29652.147118409492</v>
      </c>
      <c r="CU201" s="1101">
        <f t="shared" si="542"/>
        <v>34376.660275209768</v>
      </c>
      <c r="CV201" s="1101">
        <f t="shared" si="543"/>
        <v>44406.94484814685</v>
      </c>
      <c r="CW201" s="1141">
        <f t="shared" si="485"/>
        <v>75731.827462215559</v>
      </c>
      <c r="CX201" s="1152">
        <f t="shared" si="544"/>
        <v>310685.08539597952</v>
      </c>
      <c r="CY201" s="1152">
        <f t="shared" si="545"/>
        <v>122936.57485724729</v>
      </c>
      <c r="CZ201" s="1152">
        <f t="shared" si="546"/>
        <v>88795.34684475635</v>
      </c>
      <c r="DA201" s="1152">
        <f t="shared" si="547"/>
        <v>67577.34687549567</v>
      </c>
      <c r="DB201" s="1143">
        <f t="shared" si="486"/>
        <v>0.15597775478504272</v>
      </c>
      <c r="DC201" s="1143">
        <f t="shared" si="548"/>
        <v>0.27567494084277722</v>
      </c>
      <c r="DD201" s="1098" t="s">
        <v>232</v>
      </c>
      <c r="DE201" s="1144"/>
      <c r="DF201" s="705"/>
      <c r="DG201" s="765">
        <f t="shared" ref="DG201:DG264" si="579">$DG$7</f>
        <v>46082</v>
      </c>
      <c r="DH201" s="1116">
        <f t="shared" si="487"/>
        <v>28</v>
      </c>
      <c r="DI201" s="497"/>
      <c r="DJ201" s="1117">
        <f t="shared" si="549"/>
        <v>46147</v>
      </c>
      <c r="DK201" s="1116">
        <f t="shared" si="550"/>
        <v>30</v>
      </c>
      <c r="DL201" s="766" t="s">
        <v>233</v>
      </c>
      <c r="DM201" s="766" t="s">
        <v>234</v>
      </c>
      <c r="DN201" s="767">
        <f t="shared" si="488"/>
        <v>23822.057094442887</v>
      </c>
      <c r="DO201" s="767">
        <f t="shared" si="489"/>
        <v>524085.25607774354</v>
      </c>
      <c r="DP201" s="768">
        <f t="shared" si="490"/>
        <v>0.17469508535924785</v>
      </c>
      <c r="DR201" s="767">
        <f t="shared" si="491"/>
        <v>3876701.4338454176</v>
      </c>
      <c r="DS201" s="767">
        <f>SUM('[6]INTERNAL PRICELIST'!M201)</f>
        <v>0</v>
      </c>
      <c r="DT201" s="767">
        <f t="shared" si="551"/>
        <v>3876701.4338454176</v>
      </c>
      <c r="DV201" s="951">
        <f t="shared" si="492"/>
        <v>176213.70153842808</v>
      </c>
      <c r="DX201" s="781"/>
      <c r="DY201" s="782"/>
      <c r="DZ201" s="781"/>
      <c r="EA201" s="775"/>
      <c r="ED201" s="755" t="s">
        <v>621</v>
      </c>
      <c r="EE201" s="777" t="b">
        <f t="shared" si="493"/>
        <v>1</v>
      </c>
      <c r="EF201" s="777"/>
      <c r="EG201" s="777"/>
      <c r="EH201" s="1203"/>
      <c r="EP201" s="1230" t="s">
        <v>236</v>
      </c>
      <c r="EQ201" s="1145" t="s">
        <v>236</v>
      </c>
      <c r="ER201" s="753" t="b">
        <f t="shared" si="552"/>
        <v>1</v>
      </c>
      <c r="EU201" s="770">
        <v>2683561</v>
      </c>
      <c r="EV201" s="771" t="s">
        <v>236</v>
      </c>
      <c r="FJ201" s="994">
        <v>0.15</v>
      </c>
      <c r="FK201" s="993">
        <v>13375.504154826031</v>
      </c>
      <c r="FL201" s="993">
        <v>13737.004267118626</v>
      </c>
      <c r="FM201" s="497"/>
      <c r="FN201" s="993">
        <f t="shared" si="494"/>
        <v>4370980.8666607086</v>
      </c>
      <c r="FO201" s="994">
        <f t="shared" si="553"/>
        <v>0.15</v>
      </c>
      <c r="FP201" s="775">
        <f t="shared" si="495"/>
        <v>655647.12999910628</v>
      </c>
      <c r="FQ201" s="993">
        <f t="shared" si="496"/>
        <v>30000</v>
      </c>
      <c r="FR201" s="775">
        <f t="shared" si="554"/>
        <v>625647.12999910628</v>
      </c>
      <c r="FS201" s="497">
        <f t="shared" si="555"/>
        <v>40</v>
      </c>
      <c r="FT201" s="775">
        <f t="shared" si="556"/>
        <v>15641.178249977656</v>
      </c>
      <c r="FU201" s="497"/>
      <c r="FV201" s="993">
        <f t="shared" si="557"/>
        <v>4370980.8666607086</v>
      </c>
      <c r="FW201" s="705">
        <f t="shared" si="558"/>
        <v>437098.08666607086</v>
      </c>
      <c r="FX201" s="705">
        <f t="shared" si="559"/>
        <v>109274.52166651771</v>
      </c>
      <c r="FY201" s="705">
        <v>15000</v>
      </c>
      <c r="FZ201" s="705">
        <f t="shared" si="560"/>
        <v>422098.08666607086</v>
      </c>
      <c r="GA201" s="497">
        <f t="shared" si="561"/>
        <v>46</v>
      </c>
      <c r="GB201" s="775">
        <f t="shared" si="562"/>
        <v>9176.0453623058875</v>
      </c>
      <c r="GC201" s="497"/>
      <c r="GD201" s="497"/>
      <c r="GH201" s="1095">
        <f t="shared" si="461"/>
        <v>4370980.8666607086</v>
      </c>
      <c r="GI201" s="1098">
        <f t="shared" si="462"/>
        <v>0.125</v>
      </c>
      <c r="GJ201" s="1095">
        <f t="shared" si="463"/>
        <v>546372.60833258857</v>
      </c>
      <c r="GK201" s="1095">
        <f t="shared" si="464"/>
        <v>30000</v>
      </c>
      <c r="GL201" s="1095">
        <f t="shared" si="465"/>
        <v>516372.60833258857</v>
      </c>
      <c r="GM201" s="1095">
        <f t="shared" si="466"/>
        <v>29</v>
      </c>
      <c r="GN201" s="1095">
        <f t="shared" si="467"/>
        <v>17805.952011468573</v>
      </c>
      <c r="GO201" s="1098">
        <f t="shared" si="468"/>
        <v>0.875</v>
      </c>
      <c r="GP201" s="1095">
        <f t="shared" si="469"/>
        <v>3824608.2583281202</v>
      </c>
      <c r="GQ201" s="1095">
        <f t="shared" si="470"/>
        <v>29652.147118409492</v>
      </c>
      <c r="GR201" s="1095">
        <f t="shared" si="471"/>
        <v>34376.660275209768</v>
      </c>
      <c r="GS201" s="1095">
        <f t="shared" si="472"/>
        <v>44406.94484814685</v>
      </c>
      <c r="GT201" s="1095">
        <f t="shared" si="473"/>
        <v>75731.827462215559</v>
      </c>
      <c r="GU201" s="497"/>
      <c r="GV201" s="1095">
        <f t="shared" si="563"/>
        <v>4370980.8666607086</v>
      </c>
      <c r="GW201" s="1098">
        <f t="shared" si="564"/>
        <v>0.125</v>
      </c>
      <c r="GX201" s="1095">
        <f t="shared" si="565"/>
        <v>546372.60833258857</v>
      </c>
      <c r="GY201" s="1095">
        <f t="shared" si="566"/>
        <v>30000</v>
      </c>
      <c r="GZ201" s="1095">
        <f t="shared" si="567"/>
        <v>516372.60833258857</v>
      </c>
      <c r="HA201" s="1106">
        <f t="shared" si="568"/>
        <v>48</v>
      </c>
      <c r="HB201" s="770">
        <f t="shared" si="569"/>
        <v>10757.762673595595</v>
      </c>
      <c r="HC201" s="1098">
        <f t="shared" si="570"/>
        <v>0.875</v>
      </c>
      <c r="HD201" s="1102">
        <f t="shared" si="571"/>
        <v>3824608.2583281202</v>
      </c>
      <c r="HE201" s="1101">
        <f t="shared" si="572"/>
        <v>29652.147118409492</v>
      </c>
      <c r="HF201" s="1101">
        <f t="shared" si="573"/>
        <v>34376.660275209768</v>
      </c>
      <c r="HG201" s="1101">
        <f t="shared" si="574"/>
        <v>44406.94484814685</v>
      </c>
      <c r="HH201" s="1101">
        <f t="shared" si="575"/>
        <v>75731.827462215559</v>
      </c>
      <c r="HI201" s="497"/>
      <c r="HJ201" s="1102">
        <f t="shared" si="576"/>
        <v>-7048.1893378729783</v>
      </c>
      <c r="HL201" s="775"/>
      <c r="HN201" s="775"/>
      <c r="HO201" s="775"/>
      <c r="HQ201" s="702"/>
      <c r="HR201" s="1171"/>
      <c r="HS201" s="702"/>
      <c r="HT201" s="1171"/>
    </row>
    <row r="202" spans="1:228" ht="14.25" hidden="1" customHeight="1">
      <c r="A202" s="753">
        <f t="shared" si="577"/>
        <v>196</v>
      </c>
      <c r="B202" s="753" t="s">
        <v>236</v>
      </c>
      <c r="C202" s="753">
        <f t="shared" si="459"/>
        <v>10</v>
      </c>
      <c r="D202" s="753" t="s">
        <v>275</v>
      </c>
      <c r="E202" s="717" t="str">
        <f t="shared" si="497"/>
        <v>9th Floor</v>
      </c>
      <c r="F202" s="754"/>
      <c r="G202" s="756" t="s">
        <v>622</v>
      </c>
      <c r="H202" s="756"/>
      <c r="I202" s="755" t="s">
        <v>229</v>
      </c>
      <c r="J202" s="757">
        <v>22</v>
      </c>
      <c r="K202" s="758"/>
      <c r="L202" s="759" t="s">
        <v>277</v>
      </c>
      <c r="M202" s="760" t="s">
        <v>278</v>
      </c>
      <c r="N202" s="761">
        <f t="shared" si="498"/>
        <v>106005.26567735759</v>
      </c>
      <c r="O202" s="762">
        <f t="shared" si="499"/>
        <v>2332115.8449018667</v>
      </c>
      <c r="P202" s="762">
        <f t="shared" si="500"/>
        <v>22400</v>
      </c>
      <c r="Q202" s="762">
        <f t="shared" si="474"/>
        <v>50000</v>
      </c>
      <c r="R202" s="762"/>
      <c r="S202" s="762"/>
      <c r="T202" s="762"/>
      <c r="U202" s="762"/>
      <c r="V202" s="762"/>
      <c r="W202" s="762">
        <f>J202*$W$5</f>
        <v>22000</v>
      </c>
      <c r="X202" s="762"/>
      <c r="Y202" s="762">
        <f t="shared" si="460"/>
        <v>100000</v>
      </c>
      <c r="Z202" s="762">
        <f t="shared" si="475"/>
        <v>142461</v>
      </c>
      <c r="AA202" s="762"/>
      <c r="AB202" s="762"/>
      <c r="AC202" s="762"/>
      <c r="AD202" s="763">
        <f t="shared" si="501"/>
        <v>336861</v>
      </c>
      <c r="AE202" s="763">
        <f t="shared" si="476"/>
        <v>2668976.8449018667</v>
      </c>
      <c r="AF202" s="762">
        <f t="shared" si="477"/>
        <v>66724.421122546672</v>
      </c>
      <c r="AG202" s="762">
        <f t="shared" si="502"/>
        <v>2735701.2660244135</v>
      </c>
      <c r="AH202" s="762">
        <f t="shared" si="478"/>
        <v>68392.531650610341</v>
      </c>
      <c r="AI202" s="762">
        <f t="shared" si="503"/>
        <v>2804093.7976750238</v>
      </c>
      <c r="AJ202" s="762">
        <f t="shared" si="504"/>
        <v>140204.68988375118</v>
      </c>
      <c r="AK202" s="762">
        <f t="shared" si="505"/>
        <v>2944298.4875587751</v>
      </c>
      <c r="AL202" s="762">
        <f t="shared" si="506"/>
        <v>29442.98487558775</v>
      </c>
      <c r="AM202" s="762">
        <f t="shared" si="507"/>
        <v>27537.409960060559</v>
      </c>
      <c r="AN202" s="762"/>
      <c r="AO202" s="763">
        <f t="shared" si="508"/>
        <v>3001278.8823944232</v>
      </c>
      <c r="AP202" s="763">
        <f t="shared" si="509"/>
        <v>495211.01559507987</v>
      </c>
      <c r="AQ202" s="763">
        <f t="shared" si="510"/>
        <v>3496489.8979895031</v>
      </c>
      <c r="AR202" s="1178">
        <f t="shared" si="479"/>
        <v>3000000</v>
      </c>
      <c r="AS202" s="1178">
        <f t="shared" si="511"/>
        <v>22567.722635886505</v>
      </c>
      <c r="AT202" s="1178">
        <f t="shared" si="512"/>
        <v>496489.89798950311</v>
      </c>
      <c r="AU202" s="1178">
        <f t="shared" si="480"/>
        <v>59578.787758740371</v>
      </c>
      <c r="AV202" s="1178">
        <f t="shared" si="513"/>
        <v>556068.68574824347</v>
      </c>
      <c r="AW202" s="1178">
        <f t="shared" si="514"/>
        <v>3556068.6857482437</v>
      </c>
      <c r="AX202" s="762">
        <f t="shared" si="515"/>
        <v>44450.858571853052</v>
      </c>
      <c r="AY202" s="717" t="s">
        <v>231</v>
      </c>
      <c r="AZ202" s="717">
        <f t="shared" si="516"/>
        <v>3600519.5443200967</v>
      </c>
      <c r="BA202" s="717">
        <f t="shared" si="517"/>
        <v>135019.48291200362</v>
      </c>
      <c r="BB202" s="717"/>
      <c r="BC202" s="717">
        <f t="shared" si="481"/>
        <v>33600</v>
      </c>
      <c r="BD202" s="717">
        <f t="shared" si="518"/>
        <v>3769139.0272321003</v>
      </c>
      <c r="BE202" s="717"/>
      <c r="BF202" s="717">
        <f t="shared" si="519"/>
        <v>3769139.0272321003</v>
      </c>
      <c r="BG202" s="1209"/>
      <c r="BH202" s="717">
        <f t="shared" si="520"/>
        <v>3769139.0272321003</v>
      </c>
      <c r="BI202" s="717"/>
      <c r="BJ202" s="717">
        <f t="shared" si="521"/>
        <v>3769139.0272321003</v>
      </c>
      <c r="BK202" s="717"/>
      <c r="BL202" s="717">
        <f t="shared" si="522"/>
        <v>3769139.0272321003</v>
      </c>
      <c r="BM202" s="717"/>
      <c r="BN202" s="717">
        <f t="shared" si="523"/>
        <v>3769139.0272321003</v>
      </c>
      <c r="BO202" s="717"/>
      <c r="BP202" s="717">
        <f t="shared" si="482"/>
        <v>3769139.0272321003</v>
      </c>
      <c r="BQ202" s="717"/>
      <c r="BR202" s="717">
        <f t="shared" si="433"/>
        <v>3769139.0272321003</v>
      </c>
      <c r="BS202" s="717"/>
      <c r="BT202" s="717">
        <f t="shared" si="524"/>
        <v>3769139.0272321003</v>
      </c>
      <c r="BU202" s="717"/>
      <c r="BV202" s="1235">
        <f t="shared" si="434"/>
        <v>51400</v>
      </c>
      <c r="BW202" s="717">
        <f t="shared" si="525"/>
        <v>3820539.0272321003</v>
      </c>
      <c r="BX202" s="717"/>
      <c r="BY202" s="717">
        <f t="shared" si="526"/>
        <v>3820539.0272321003</v>
      </c>
      <c r="BZ202" s="1194">
        <f t="shared" si="527"/>
        <v>3820539.0272321003</v>
      </c>
      <c r="CA202" s="1194">
        <f t="shared" si="528"/>
        <v>3039539.0272321003</v>
      </c>
      <c r="CB202" s="1194">
        <v>35500</v>
      </c>
      <c r="CC202" s="1194">
        <f t="shared" si="529"/>
        <v>781000</v>
      </c>
      <c r="CD202" s="1194">
        <f t="shared" si="530"/>
        <v>93720</v>
      </c>
      <c r="CE202" s="1194">
        <f t="shared" si="531"/>
        <v>874720</v>
      </c>
      <c r="CF202" s="1200">
        <f t="shared" si="532"/>
        <v>3914259.0272321003</v>
      </c>
      <c r="CG202" s="757">
        <f t="shared" si="533"/>
        <v>3914259.0272321003</v>
      </c>
      <c r="CH202" s="758">
        <f t="shared" si="534"/>
        <v>0</v>
      </c>
      <c r="CI202" s="757">
        <f t="shared" si="483"/>
        <v>401211.55029129027</v>
      </c>
      <c r="CJ202" s="757">
        <f t="shared" si="484"/>
        <v>97856.475680802512</v>
      </c>
      <c r="CK202" s="759">
        <f t="shared" si="444"/>
        <v>4413327.0532041937</v>
      </c>
      <c r="CL202" s="764">
        <f t="shared" si="535"/>
        <v>0.125</v>
      </c>
      <c r="CM202" s="757">
        <f t="shared" si="536"/>
        <v>551665.88165052421</v>
      </c>
      <c r="CN202" s="757">
        <f t="shared" si="578"/>
        <v>30000</v>
      </c>
      <c r="CO202" s="757">
        <f t="shared" si="537"/>
        <v>521665.88165052421</v>
      </c>
      <c r="CP202" s="755">
        <f t="shared" si="538"/>
        <v>29</v>
      </c>
      <c r="CQ202" s="757">
        <f t="shared" si="427"/>
        <v>17988.478677604282</v>
      </c>
      <c r="CR202" s="764">
        <f t="shared" si="539"/>
        <v>0.875</v>
      </c>
      <c r="CS202" s="757">
        <f t="shared" si="540"/>
        <v>3861661.1715536695</v>
      </c>
      <c r="CT202" s="1101">
        <f t="shared" si="541"/>
        <v>29939.417960262963</v>
      </c>
      <c r="CU202" s="1101">
        <f t="shared" si="542"/>
        <v>34709.702334455425</v>
      </c>
      <c r="CV202" s="1101">
        <f t="shared" si="543"/>
        <v>44837.160588670667</v>
      </c>
      <c r="CW202" s="1141">
        <f t="shared" si="485"/>
        <v>76465.519553492995</v>
      </c>
      <c r="CX202" s="1152">
        <f t="shared" si="544"/>
        <v>313695.01131050492</v>
      </c>
      <c r="CY202" s="1152">
        <f t="shared" si="545"/>
        <v>124127.58787943407</v>
      </c>
      <c r="CZ202" s="1152">
        <f t="shared" si="546"/>
        <v>89655.598682132651</v>
      </c>
      <c r="DA202" s="1152">
        <f t="shared" si="547"/>
        <v>68232.038127688167</v>
      </c>
      <c r="DB202" s="1143">
        <f t="shared" si="486"/>
        <v>0.16549663266316769</v>
      </c>
      <c r="DC202" s="1143">
        <f t="shared" si="548"/>
        <v>0.28778047992249256</v>
      </c>
      <c r="DD202" s="1098" t="s">
        <v>232</v>
      </c>
      <c r="DE202" s="1144"/>
      <c r="DF202" s="705"/>
      <c r="DG202" s="765">
        <f t="shared" si="579"/>
        <v>46082</v>
      </c>
      <c r="DH202" s="1116">
        <f t="shared" si="487"/>
        <v>28</v>
      </c>
      <c r="DI202" s="497"/>
      <c r="DJ202" s="1117">
        <f t="shared" si="549"/>
        <v>46147</v>
      </c>
      <c r="DK202" s="1116">
        <f t="shared" si="550"/>
        <v>30</v>
      </c>
      <c r="DL202" s="766" t="s">
        <v>233</v>
      </c>
      <c r="DM202" s="766" t="s">
        <v>234</v>
      </c>
      <c r="DN202" s="767">
        <f t="shared" si="488"/>
        <v>25275.849352192887</v>
      </c>
      <c r="DO202" s="767">
        <f t="shared" si="489"/>
        <v>556068.68574824347</v>
      </c>
      <c r="DP202" s="768">
        <f t="shared" si="490"/>
        <v>0.18535622858274783</v>
      </c>
      <c r="DR202" s="767">
        <f t="shared" si="491"/>
        <v>3914259.0272321003</v>
      </c>
      <c r="DS202" s="767">
        <f>SUM('[6]INTERNAL PRICELIST'!M202)</f>
        <v>0</v>
      </c>
      <c r="DT202" s="767">
        <f t="shared" si="551"/>
        <v>3914259.0272321003</v>
      </c>
      <c r="DV202" s="951">
        <f t="shared" si="492"/>
        <v>177920.86487418637</v>
      </c>
      <c r="DX202" s="781"/>
      <c r="DY202" s="782"/>
      <c r="DZ202" s="781"/>
      <c r="EA202" s="775"/>
      <c r="ED202" s="755" t="s">
        <v>622</v>
      </c>
      <c r="EE202" s="777" t="b">
        <f t="shared" si="493"/>
        <v>1</v>
      </c>
      <c r="EF202" s="1123" t="s">
        <v>623</v>
      </c>
      <c r="EG202" s="1123" t="s">
        <v>612</v>
      </c>
      <c r="EH202" s="1203"/>
      <c r="EP202" s="1230" t="s">
        <v>236</v>
      </c>
      <c r="EQ202" s="1145" t="s">
        <v>236</v>
      </c>
      <c r="ER202" s="753" t="b">
        <f t="shared" si="552"/>
        <v>1</v>
      </c>
      <c r="EU202" s="770">
        <v>2459020</v>
      </c>
      <c r="EV202" s="771" t="s">
        <v>236</v>
      </c>
      <c r="EY202" s="775">
        <v>3102714.1170802992</v>
      </c>
      <c r="FJ202" s="994">
        <v>0.125</v>
      </c>
      <c r="FK202" s="993">
        <v>11182.286094367362</v>
      </c>
      <c r="FL202" s="993">
        <v>11484.510042863776</v>
      </c>
      <c r="FM202" s="497"/>
      <c r="FN202" s="993">
        <f t="shared" si="494"/>
        <v>4413327.0532041937</v>
      </c>
      <c r="FO202" s="994">
        <f t="shared" ref="FO202:FO208" si="580">FJ202</f>
        <v>0.125</v>
      </c>
      <c r="FP202" s="775">
        <f t="shared" si="495"/>
        <v>551665.88165052421</v>
      </c>
      <c r="FQ202" s="993">
        <f t="shared" si="496"/>
        <v>30000</v>
      </c>
      <c r="FR202" s="775">
        <f t="shared" si="554"/>
        <v>521665.88165052421</v>
      </c>
      <c r="FS202" s="497">
        <f t="shared" si="555"/>
        <v>40</v>
      </c>
      <c r="FT202" s="775">
        <f t="shared" si="556"/>
        <v>13041.647041263106</v>
      </c>
      <c r="FU202" s="497"/>
      <c r="FV202" s="993">
        <f t="shared" si="557"/>
        <v>4413327.0532041937</v>
      </c>
      <c r="FW202" s="705">
        <f t="shared" si="558"/>
        <v>441332.70532041939</v>
      </c>
      <c r="FX202" s="705">
        <f t="shared" si="559"/>
        <v>110333.17633010485</v>
      </c>
      <c r="FY202" s="705">
        <v>15000</v>
      </c>
      <c r="FZ202" s="705">
        <f t="shared" si="560"/>
        <v>426332.70532041939</v>
      </c>
      <c r="GA202" s="497">
        <f t="shared" si="561"/>
        <v>46</v>
      </c>
      <c r="GB202" s="775">
        <f t="shared" si="562"/>
        <v>9268.1022895743354</v>
      </c>
      <c r="GC202" s="497"/>
      <c r="GD202" s="497"/>
      <c r="GH202" s="1095">
        <f t="shared" si="461"/>
        <v>4413327.0532041937</v>
      </c>
      <c r="GI202" s="1098">
        <f t="shared" si="462"/>
        <v>0.125</v>
      </c>
      <c r="GJ202" s="1095">
        <f t="shared" si="463"/>
        <v>551665.88165052421</v>
      </c>
      <c r="GK202" s="1095">
        <f t="shared" si="464"/>
        <v>30000</v>
      </c>
      <c r="GL202" s="1095">
        <f t="shared" si="465"/>
        <v>521665.88165052421</v>
      </c>
      <c r="GM202" s="1095">
        <f t="shared" si="466"/>
        <v>29</v>
      </c>
      <c r="GN202" s="1095">
        <f t="shared" si="467"/>
        <v>17988.478677604282</v>
      </c>
      <c r="GO202" s="1098">
        <f t="shared" si="468"/>
        <v>0.875</v>
      </c>
      <c r="GP202" s="1095">
        <f t="shared" si="469"/>
        <v>3861661.1715536695</v>
      </c>
      <c r="GQ202" s="1095">
        <f t="shared" si="470"/>
        <v>29939.417960262963</v>
      </c>
      <c r="GR202" s="1095">
        <f t="shared" si="471"/>
        <v>34709.702334455425</v>
      </c>
      <c r="GS202" s="1095">
        <f t="shared" si="472"/>
        <v>44837.160588670667</v>
      </c>
      <c r="GT202" s="1095">
        <f t="shared" si="473"/>
        <v>76465.519553492995</v>
      </c>
      <c r="GU202" s="497"/>
      <c r="GV202" s="1095">
        <f t="shared" si="563"/>
        <v>4413327.0532041937</v>
      </c>
      <c r="GW202" s="1098">
        <f t="shared" si="564"/>
        <v>0.125</v>
      </c>
      <c r="GX202" s="1095">
        <f t="shared" si="565"/>
        <v>551665.88165052421</v>
      </c>
      <c r="GY202" s="1095">
        <f t="shared" si="566"/>
        <v>30000</v>
      </c>
      <c r="GZ202" s="1095">
        <f t="shared" si="567"/>
        <v>521665.88165052421</v>
      </c>
      <c r="HA202" s="1106">
        <f t="shared" si="568"/>
        <v>48</v>
      </c>
      <c r="HB202" s="770">
        <f t="shared" si="569"/>
        <v>10868.039201052588</v>
      </c>
      <c r="HC202" s="1098">
        <f t="shared" si="570"/>
        <v>0.875</v>
      </c>
      <c r="HD202" s="1102">
        <f t="shared" si="571"/>
        <v>3861661.1715536695</v>
      </c>
      <c r="HE202" s="1101">
        <f t="shared" si="572"/>
        <v>29939.417960262963</v>
      </c>
      <c r="HF202" s="1101">
        <f t="shared" si="573"/>
        <v>34709.702334455425</v>
      </c>
      <c r="HG202" s="1101">
        <f t="shared" si="574"/>
        <v>44837.160588670667</v>
      </c>
      <c r="HH202" s="1101">
        <f t="shared" si="575"/>
        <v>76465.519553492995</v>
      </c>
      <c r="HI202" s="497"/>
      <c r="HJ202" s="1102">
        <f t="shared" si="576"/>
        <v>-7120.4394765516936</v>
      </c>
      <c r="HL202" s="775"/>
      <c r="HN202" s="775"/>
      <c r="HO202" s="775"/>
      <c r="HQ202" s="702"/>
      <c r="HR202" s="1171"/>
      <c r="HS202" s="702"/>
      <c r="HT202" s="1171"/>
    </row>
    <row r="203" spans="1:228" ht="14.25" hidden="1" customHeight="1">
      <c r="A203" s="753">
        <f t="shared" si="577"/>
        <v>197</v>
      </c>
      <c r="B203" s="753"/>
      <c r="C203" s="753">
        <f t="shared" si="459"/>
        <v>11</v>
      </c>
      <c r="D203" s="753" t="s">
        <v>275</v>
      </c>
      <c r="E203" s="717" t="str">
        <f t="shared" si="497"/>
        <v>9th Floor</v>
      </c>
      <c r="F203" s="754"/>
      <c r="G203" s="756" t="s">
        <v>624</v>
      </c>
      <c r="H203" s="756"/>
      <c r="I203" s="755" t="s">
        <v>229</v>
      </c>
      <c r="J203" s="757">
        <v>22</v>
      </c>
      <c r="K203" s="758"/>
      <c r="L203" s="759" t="s">
        <v>277</v>
      </c>
      <c r="M203" s="760" t="s">
        <v>68</v>
      </c>
      <c r="N203" s="761">
        <f t="shared" si="498"/>
        <v>106005.26567735759</v>
      </c>
      <c r="O203" s="762">
        <f t="shared" si="499"/>
        <v>2332115.8449018667</v>
      </c>
      <c r="P203" s="762">
        <f t="shared" si="500"/>
        <v>22400</v>
      </c>
      <c r="Q203" s="762">
        <f t="shared" si="474"/>
        <v>50000</v>
      </c>
      <c r="R203" s="762"/>
      <c r="S203" s="762"/>
      <c r="T203" s="762"/>
      <c r="U203" s="762"/>
      <c r="V203" s="762"/>
      <c r="W203" s="762"/>
      <c r="X203" s="762"/>
      <c r="Y203" s="762">
        <f t="shared" si="460"/>
        <v>100000</v>
      </c>
      <c r="Z203" s="762">
        <f t="shared" si="475"/>
        <v>142461</v>
      </c>
      <c r="AA203" s="762"/>
      <c r="AB203" s="762"/>
      <c r="AC203" s="762"/>
      <c r="AD203" s="763">
        <f t="shared" si="501"/>
        <v>314861</v>
      </c>
      <c r="AE203" s="763">
        <f t="shared" si="476"/>
        <v>2646976.8449018667</v>
      </c>
      <c r="AF203" s="762">
        <f t="shared" si="477"/>
        <v>66174.421122546672</v>
      </c>
      <c r="AG203" s="762">
        <f t="shared" si="502"/>
        <v>2713151.2660244135</v>
      </c>
      <c r="AH203" s="762">
        <f t="shared" si="478"/>
        <v>67828.781650610341</v>
      </c>
      <c r="AI203" s="762">
        <f t="shared" si="503"/>
        <v>2780980.0476750238</v>
      </c>
      <c r="AJ203" s="762">
        <f t="shared" si="504"/>
        <v>139049.00238375118</v>
      </c>
      <c r="AK203" s="762">
        <f t="shared" si="505"/>
        <v>2920029.0500587751</v>
      </c>
      <c r="AL203" s="762">
        <f t="shared" si="506"/>
        <v>29200.290500587751</v>
      </c>
      <c r="AM203" s="762">
        <f t="shared" si="507"/>
        <v>27537.409960060559</v>
      </c>
      <c r="AN203" s="762"/>
      <c r="AO203" s="763">
        <f t="shared" si="508"/>
        <v>2976766.7505194233</v>
      </c>
      <c r="AP203" s="763">
        <f t="shared" si="509"/>
        <v>491166.51383570489</v>
      </c>
      <c r="AQ203" s="763">
        <f t="shared" si="510"/>
        <v>3467933.2643551282</v>
      </c>
      <c r="AR203" s="1178">
        <f t="shared" si="479"/>
        <v>3000000</v>
      </c>
      <c r="AS203" s="1178">
        <f t="shared" si="511"/>
        <v>21269.693834324007</v>
      </c>
      <c r="AT203" s="1178">
        <f t="shared" si="512"/>
        <v>467933.26435512817</v>
      </c>
      <c r="AU203" s="1178">
        <f t="shared" si="480"/>
        <v>56151.991722615378</v>
      </c>
      <c r="AV203" s="1178">
        <f t="shared" si="513"/>
        <v>524085.25607774354</v>
      </c>
      <c r="AW203" s="1178">
        <f t="shared" si="514"/>
        <v>3524085.2560777436</v>
      </c>
      <c r="AX203" s="762">
        <f t="shared" si="515"/>
        <v>44051.065700971798</v>
      </c>
      <c r="AY203" s="717" t="s">
        <v>231</v>
      </c>
      <c r="AZ203" s="717">
        <f t="shared" si="516"/>
        <v>3568136.3217787156</v>
      </c>
      <c r="BA203" s="717">
        <f t="shared" si="517"/>
        <v>133805.11206670184</v>
      </c>
      <c r="BB203" s="717"/>
      <c r="BC203" s="717">
        <f t="shared" si="481"/>
        <v>33600</v>
      </c>
      <c r="BD203" s="717">
        <f t="shared" si="518"/>
        <v>3735541.4338454176</v>
      </c>
      <c r="BE203" s="717"/>
      <c r="BF203" s="717">
        <f t="shared" si="519"/>
        <v>3735541.4338454176</v>
      </c>
      <c r="BG203" s="1209"/>
      <c r="BH203" s="717">
        <f t="shared" si="520"/>
        <v>3735541.4338454176</v>
      </c>
      <c r="BI203" s="717"/>
      <c r="BJ203" s="717">
        <f t="shared" si="521"/>
        <v>3735541.4338454176</v>
      </c>
      <c r="BK203" s="717"/>
      <c r="BL203" s="717">
        <f t="shared" si="522"/>
        <v>3735541.4338454176</v>
      </c>
      <c r="BM203" s="717"/>
      <c r="BN203" s="717">
        <f t="shared" si="523"/>
        <v>3735541.4338454176</v>
      </c>
      <c r="BO203" s="717"/>
      <c r="BP203" s="717">
        <f t="shared" si="482"/>
        <v>3735541.4338454176</v>
      </c>
      <c r="BQ203" s="717"/>
      <c r="BR203" s="717">
        <f t="shared" si="433"/>
        <v>3735541.4338454176</v>
      </c>
      <c r="BS203" s="717"/>
      <c r="BT203" s="717">
        <f t="shared" si="524"/>
        <v>3735541.4338454176</v>
      </c>
      <c r="BU203" s="717"/>
      <c r="BV203" s="1235">
        <f t="shared" si="434"/>
        <v>51400</v>
      </c>
      <c r="BW203" s="717">
        <f t="shared" si="525"/>
        <v>3786941.4338454176</v>
      </c>
      <c r="BX203" s="717"/>
      <c r="BY203" s="717">
        <f t="shared" si="526"/>
        <v>3786941.4338454176</v>
      </c>
      <c r="BZ203" s="1194">
        <f t="shared" si="527"/>
        <v>3786941.4338454176</v>
      </c>
      <c r="CA203" s="1194">
        <f t="shared" si="528"/>
        <v>3038941.4338454176</v>
      </c>
      <c r="CB203" s="1194">
        <v>34000</v>
      </c>
      <c r="CC203" s="1194">
        <f t="shared" si="529"/>
        <v>748000</v>
      </c>
      <c r="CD203" s="1194">
        <f t="shared" si="530"/>
        <v>89760</v>
      </c>
      <c r="CE203" s="1194">
        <f t="shared" si="531"/>
        <v>837760</v>
      </c>
      <c r="CF203" s="1200">
        <f t="shared" si="532"/>
        <v>3876701.4338454176</v>
      </c>
      <c r="CG203" s="757">
        <f t="shared" si="533"/>
        <v>3876701.4338454176</v>
      </c>
      <c r="CH203" s="758">
        <f t="shared" si="534"/>
        <v>0</v>
      </c>
      <c r="CI203" s="757">
        <f t="shared" si="483"/>
        <v>397361.89696915529</v>
      </c>
      <c r="CJ203" s="757">
        <f t="shared" si="484"/>
        <v>96917.535846135448</v>
      </c>
      <c r="CK203" s="759">
        <f t="shared" si="444"/>
        <v>4370980.8666607086</v>
      </c>
      <c r="CL203" s="764">
        <f t="shared" si="535"/>
        <v>0.125</v>
      </c>
      <c r="CM203" s="757">
        <f t="shared" si="536"/>
        <v>546372.60833258857</v>
      </c>
      <c r="CN203" s="757">
        <f t="shared" si="578"/>
        <v>30000</v>
      </c>
      <c r="CO203" s="757">
        <f t="shared" si="537"/>
        <v>516372.60833258857</v>
      </c>
      <c r="CP203" s="755">
        <f t="shared" si="538"/>
        <v>29</v>
      </c>
      <c r="CQ203" s="757">
        <f t="shared" ref="CQ203:CQ266" si="581">CO203/CP203</f>
        <v>17805.952011468573</v>
      </c>
      <c r="CR203" s="764">
        <f t="shared" si="539"/>
        <v>0.875</v>
      </c>
      <c r="CS203" s="757">
        <f t="shared" si="540"/>
        <v>3824608.2583281202</v>
      </c>
      <c r="CT203" s="1101">
        <f t="shared" si="541"/>
        <v>29652.147118409492</v>
      </c>
      <c r="CU203" s="1101">
        <f t="shared" si="542"/>
        <v>34376.660275209768</v>
      </c>
      <c r="CV203" s="1101">
        <f t="shared" si="543"/>
        <v>44406.94484814685</v>
      </c>
      <c r="CW203" s="1141">
        <f t="shared" si="485"/>
        <v>75731.827462215559</v>
      </c>
      <c r="CX203" s="1152">
        <f t="shared" si="544"/>
        <v>310685.08539597952</v>
      </c>
      <c r="CY203" s="1152">
        <f t="shared" si="545"/>
        <v>122936.57485724729</v>
      </c>
      <c r="CZ203" s="1152">
        <f t="shared" si="546"/>
        <v>88795.34684475635</v>
      </c>
      <c r="DA203" s="1152">
        <f t="shared" si="547"/>
        <v>67577.34687549567</v>
      </c>
      <c r="DB203" s="1143">
        <f t="shared" si="486"/>
        <v>0.15597775478504272</v>
      </c>
      <c r="DC203" s="1143">
        <f t="shared" si="548"/>
        <v>0.27567494084277722</v>
      </c>
      <c r="DD203" s="1098" t="s">
        <v>232</v>
      </c>
      <c r="DE203" s="1144"/>
      <c r="DF203" s="705"/>
      <c r="DG203" s="765">
        <f t="shared" si="579"/>
        <v>46082</v>
      </c>
      <c r="DH203" s="1116">
        <f t="shared" si="487"/>
        <v>28</v>
      </c>
      <c r="DI203" s="497"/>
      <c r="DJ203" s="1117">
        <f t="shared" si="549"/>
        <v>46147</v>
      </c>
      <c r="DK203" s="1116">
        <f t="shared" si="550"/>
        <v>30</v>
      </c>
      <c r="DL203" s="766" t="s">
        <v>233</v>
      </c>
      <c r="DM203" s="766" t="s">
        <v>234</v>
      </c>
      <c r="DN203" s="767">
        <f t="shared" si="488"/>
        <v>23822.057094442887</v>
      </c>
      <c r="DO203" s="767">
        <f t="shared" si="489"/>
        <v>524085.25607774354</v>
      </c>
      <c r="DP203" s="768">
        <f t="shared" si="490"/>
        <v>0.17469508535924785</v>
      </c>
      <c r="DR203" s="767">
        <f t="shared" si="491"/>
        <v>3876701.4338454176</v>
      </c>
      <c r="DS203" s="767">
        <f>SUM('[6]INTERNAL PRICELIST'!M203)</f>
        <v>0</v>
      </c>
      <c r="DT203" s="767">
        <f t="shared" si="551"/>
        <v>3876701.4338454176</v>
      </c>
      <c r="DV203" s="951">
        <f t="shared" si="492"/>
        <v>176213.70153842808</v>
      </c>
      <c r="DX203" s="781"/>
      <c r="DY203" s="782"/>
      <c r="DZ203" s="781"/>
      <c r="EA203" s="775"/>
      <c r="ED203" s="755" t="s">
        <v>624</v>
      </c>
      <c r="EE203" s="777" t="b">
        <f t="shared" si="493"/>
        <v>1</v>
      </c>
      <c r="EF203" s="777"/>
      <c r="EG203" s="777"/>
      <c r="EH203" s="1203"/>
      <c r="EP203" s="1230" t="s">
        <v>236</v>
      </c>
      <c r="EQ203" s="1145" t="s">
        <v>236</v>
      </c>
      <c r="ER203" s="753" t="b">
        <f t="shared" si="552"/>
        <v>1</v>
      </c>
      <c r="EU203" s="770">
        <v>3108299.9774007285</v>
      </c>
      <c r="EV203" s="771" t="s">
        <v>258</v>
      </c>
      <c r="EW203" s="775">
        <f t="shared" ref="EW203:EW208" si="582">EU203-CG203</f>
        <v>-768401.45644468907</v>
      </c>
      <c r="EY203" s="775">
        <v>3075131.4159727991</v>
      </c>
      <c r="FJ203" s="994">
        <v>0.125</v>
      </c>
      <c r="FK203" s="993">
        <v>11080.463988670816</v>
      </c>
      <c r="FL203" s="993">
        <v>11379.935988364621</v>
      </c>
      <c r="FM203" s="497"/>
      <c r="FN203" s="993">
        <f t="shared" si="494"/>
        <v>4370980.8666607086</v>
      </c>
      <c r="FO203" s="994">
        <f t="shared" si="580"/>
        <v>0.125</v>
      </c>
      <c r="FP203" s="775">
        <f t="shared" si="495"/>
        <v>546372.60833258857</v>
      </c>
      <c r="FQ203" s="993">
        <f t="shared" si="496"/>
        <v>30000</v>
      </c>
      <c r="FR203" s="775">
        <f t="shared" si="554"/>
        <v>516372.60833258857</v>
      </c>
      <c r="FS203" s="497">
        <f t="shared" si="555"/>
        <v>40</v>
      </c>
      <c r="FT203" s="775">
        <f t="shared" si="556"/>
        <v>12909.315208314714</v>
      </c>
      <c r="FU203" s="497"/>
      <c r="FV203" s="993">
        <f t="shared" si="557"/>
        <v>4370980.8666607086</v>
      </c>
      <c r="FW203" s="705">
        <f t="shared" si="558"/>
        <v>437098.08666607086</v>
      </c>
      <c r="FX203" s="705">
        <f t="shared" si="559"/>
        <v>109274.52166651771</v>
      </c>
      <c r="FY203" s="705">
        <v>15000</v>
      </c>
      <c r="FZ203" s="705">
        <f t="shared" si="560"/>
        <v>422098.08666607086</v>
      </c>
      <c r="GA203" s="497">
        <f t="shared" si="561"/>
        <v>46</v>
      </c>
      <c r="GB203" s="775">
        <f t="shared" si="562"/>
        <v>9176.0453623058875</v>
      </c>
      <c r="GC203" s="497"/>
      <c r="GD203" s="497"/>
      <c r="GH203" s="1095">
        <f t="shared" si="461"/>
        <v>4370980.8666607086</v>
      </c>
      <c r="GI203" s="1098">
        <f t="shared" si="462"/>
        <v>0.125</v>
      </c>
      <c r="GJ203" s="1095">
        <f t="shared" si="463"/>
        <v>546372.60833258857</v>
      </c>
      <c r="GK203" s="1095">
        <f t="shared" si="464"/>
        <v>30000</v>
      </c>
      <c r="GL203" s="1095">
        <f t="shared" si="465"/>
        <v>516372.60833258857</v>
      </c>
      <c r="GM203" s="1095">
        <f t="shared" si="466"/>
        <v>29</v>
      </c>
      <c r="GN203" s="1095">
        <f t="shared" si="467"/>
        <v>17805.952011468573</v>
      </c>
      <c r="GO203" s="1098">
        <f t="shared" si="468"/>
        <v>0.875</v>
      </c>
      <c r="GP203" s="1095">
        <f t="shared" si="469"/>
        <v>3824608.2583281202</v>
      </c>
      <c r="GQ203" s="1095">
        <f t="shared" si="470"/>
        <v>29652.147118409492</v>
      </c>
      <c r="GR203" s="1095">
        <f t="shared" si="471"/>
        <v>34376.660275209768</v>
      </c>
      <c r="GS203" s="1095">
        <f t="shared" si="472"/>
        <v>44406.94484814685</v>
      </c>
      <c r="GT203" s="1095">
        <f t="shared" si="473"/>
        <v>75731.827462215559</v>
      </c>
      <c r="GU203" s="497"/>
      <c r="GV203" s="1095">
        <f t="shared" si="563"/>
        <v>4370980.8666607086</v>
      </c>
      <c r="GW203" s="1098">
        <f t="shared" si="564"/>
        <v>0.125</v>
      </c>
      <c r="GX203" s="1095">
        <f t="shared" si="565"/>
        <v>546372.60833258857</v>
      </c>
      <c r="GY203" s="1095">
        <f t="shared" si="566"/>
        <v>30000</v>
      </c>
      <c r="GZ203" s="1095">
        <f t="shared" si="567"/>
        <v>516372.60833258857</v>
      </c>
      <c r="HA203" s="1106">
        <f t="shared" si="568"/>
        <v>48</v>
      </c>
      <c r="HB203" s="770">
        <f t="shared" si="569"/>
        <v>10757.762673595595</v>
      </c>
      <c r="HC203" s="1098">
        <f t="shared" si="570"/>
        <v>0.875</v>
      </c>
      <c r="HD203" s="1102">
        <f t="shared" si="571"/>
        <v>3824608.2583281202</v>
      </c>
      <c r="HE203" s="1101">
        <f t="shared" si="572"/>
        <v>29652.147118409492</v>
      </c>
      <c r="HF203" s="1101">
        <f t="shared" si="573"/>
        <v>34376.660275209768</v>
      </c>
      <c r="HG203" s="1101">
        <f t="shared" si="574"/>
        <v>44406.94484814685</v>
      </c>
      <c r="HH203" s="1101">
        <f t="shared" si="575"/>
        <v>75731.827462215559</v>
      </c>
      <c r="HI203" s="497"/>
      <c r="HJ203" s="1102">
        <f t="shared" si="576"/>
        <v>-7048.1893378729783</v>
      </c>
      <c r="HL203" s="775"/>
      <c r="HN203" s="775"/>
      <c r="HO203" s="775"/>
      <c r="HQ203" s="702"/>
      <c r="HR203" s="1171"/>
      <c r="HS203" s="702"/>
      <c r="HT203" s="1171"/>
    </row>
    <row r="204" spans="1:228" ht="14.25" hidden="1" customHeight="1">
      <c r="A204" s="753">
        <f t="shared" si="577"/>
        <v>198</v>
      </c>
      <c r="B204" s="753"/>
      <c r="C204" s="753">
        <f t="shared" si="459"/>
        <v>12</v>
      </c>
      <c r="D204" s="753" t="s">
        <v>275</v>
      </c>
      <c r="E204" s="717" t="str">
        <f t="shared" si="497"/>
        <v>9th Floor</v>
      </c>
      <c r="F204" s="754"/>
      <c r="G204" s="756" t="s">
        <v>625</v>
      </c>
      <c r="H204" s="756"/>
      <c r="I204" s="755" t="s">
        <v>229</v>
      </c>
      <c r="J204" s="757">
        <v>22</v>
      </c>
      <c r="K204" s="758"/>
      <c r="L204" s="759" t="s">
        <v>277</v>
      </c>
      <c r="M204" s="760" t="s">
        <v>68</v>
      </c>
      <c r="N204" s="761">
        <f t="shared" si="498"/>
        <v>106005.26567735759</v>
      </c>
      <c r="O204" s="762">
        <f t="shared" si="499"/>
        <v>2332115.8449018667</v>
      </c>
      <c r="P204" s="762">
        <f t="shared" si="500"/>
        <v>22400</v>
      </c>
      <c r="Q204" s="762">
        <f t="shared" si="474"/>
        <v>50000</v>
      </c>
      <c r="R204" s="762"/>
      <c r="S204" s="762"/>
      <c r="T204" s="762"/>
      <c r="U204" s="762"/>
      <c r="V204" s="762"/>
      <c r="W204" s="762"/>
      <c r="X204" s="762"/>
      <c r="Y204" s="762">
        <f t="shared" si="460"/>
        <v>100000</v>
      </c>
      <c r="Z204" s="762">
        <f t="shared" si="475"/>
        <v>142461</v>
      </c>
      <c r="AA204" s="762"/>
      <c r="AB204" s="762"/>
      <c r="AC204" s="762"/>
      <c r="AD204" s="763">
        <f t="shared" si="501"/>
        <v>314861</v>
      </c>
      <c r="AE204" s="763">
        <f t="shared" si="476"/>
        <v>2646976.8449018667</v>
      </c>
      <c r="AF204" s="762">
        <f t="shared" si="477"/>
        <v>66174.421122546672</v>
      </c>
      <c r="AG204" s="762">
        <f t="shared" si="502"/>
        <v>2713151.2660244135</v>
      </c>
      <c r="AH204" s="762">
        <f t="shared" si="478"/>
        <v>67828.781650610341</v>
      </c>
      <c r="AI204" s="762">
        <f t="shared" si="503"/>
        <v>2780980.0476750238</v>
      </c>
      <c r="AJ204" s="762">
        <f t="shared" si="504"/>
        <v>139049.00238375118</v>
      </c>
      <c r="AK204" s="762">
        <f t="shared" si="505"/>
        <v>2920029.0500587751</v>
      </c>
      <c r="AL204" s="762">
        <f t="shared" si="506"/>
        <v>29200.290500587751</v>
      </c>
      <c r="AM204" s="762">
        <f t="shared" si="507"/>
        <v>27537.409960060559</v>
      </c>
      <c r="AN204" s="762"/>
      <c r="AO204" s="763">
        <f t="shared" si="508"/>
        <v>2976766.7505194233</v>
      </c>
      <c r="AP204" s="763">
        <f t="shared" si="509"/>
        <v>491166.51383570489</v>
      </c>
      <c r="AQ204" s="763">
        <f t="shared" si="510"/>
        <v>3467933.2643551282</v>
      </c>
      <c r="AR204" s="1178">
        <f t="shared" si="479"/>
        <v>3000000</v>
      </c>
      <c r="AS204" s="1178">
        <f t="shared" si="511"/>
        <v>21269.693834324007</v>
      </c>
      <c r="AT204" s="1178">
        <f t="shared" si="512"/>
        <v>467933.26435512817</v>
      </c>
      <c r="AU204" s="1178">
        <f t="shared" si="480"/>
        <v>56151.991722615378</v>
      </c>
      <c r="AV204" s="1178">
        <f t="shared" si="513"/>
        <v>524085.25607774354</v>
      </c>
      <c r="AW204" s="1178">
        <f t="shared" si="514"/>
        <v>3524085.2560777436</v>
      </c>
      <c r="AX204" s="762">
        <f t="shared" si="515"/>
        <v>44051.065700971798</v>
      </c>
      <c r="AY204" s="717" t="s">
        <v>231</v>
      </c>
      <c r="AZ204" s="717">
        <f t="shared" si="516"/>
        <v>3568136.3217787156</v>
      </c>
      <c r="BA204" s="717">
        <f t="shared" si="517"/>
        <v>133805.11206670184</v>
      </c>
      <c r="BB204" s="717"/>
      <c r="BC204" s="717">
        <f t="shared" si="481"/>
        <v>33600</v>
      </c>
      <c r="BD204" s="717">
        <f t="shared" si="518"/>
        <v>3735541.4338454176</v>
      </c>
      <c r="BE204" s="717"/>
      <c r="BF204" s="717">
        <f t="shared" si="519"/>
        <v>3735541.4338454176</v>
      </c>
      <c r="BG204" s="1209"/>
      <c r="BH204" s="717">
        <f t="shared" si="520"/>
        <v>3735541.4338454176</v>
      </c>
      <c r="BI204" s="717"/>
      <c r="BJ204" s="717">
        <f t="shared" si="521"/>
        <v>3735541.4338454176</v>
      </c>
      <c r="BK204" s="717"/>
      <c r="BL204" s="717">
        <f t="shared" si="522"/>
        <v>3735541.4338454176</v>
      </c>
      <c r="BM204" s="717"/>
      <c r="BN204" s="717">
        <f t="shared" si="523"/>
        <v>3735541.4338454176</v>
      </c>
      <c r="BO204" s="717"/>
      <c r="BP204" s="717">
        <f t="shared" si="482"/>
        <v>3735541.4338454176</v>
      </c>
      <c r="BQ204" s="717"/>
      <c r="BR204" s="717">
        <f t="shared" si="433"/>
        <v>3735541.4338454176</v>
      </c>
      <c r="BS204" s="717"/>
      <c r="BT204" s="717">
        <f t="shared" si="524"/>
        <v>3735541.4338454176</v>
      </c>
      <c r="BU204" s="717"/>
      <c r="BV204" s="1235">
        <f t="shared" si="434"/>
        <v>51400</v>
      </c>
      <c r="BW204" s="717">
        <f t="shared" si="525"/>
        <v>3786941.4338454176</v>
      </c>
      <c r="BX204" s="717"/>
      <c r="BY204" s="717">
        <f t="shared" si="526"/>
        <v>3786941.4338454176</v>
      </c>
      <c r="BZ204" s="1194">
        <f t="shared" si="527"/>
        <v>3786941.4338454176</v>
      </c>
      <c r="CA204" s="1194">
        <f t="shared" si="528"/>
        <v>3038941.4338454176</v>
      </c>
      <c r="CB204" s="1194">
        <v>34000</v>
      </c>
      <c r="CC204" s="1194">
        <f t="shared" si="529"/>
        <v>748000</v>
      </c>
      <c r="CD204" s="1194">
        <f t="shared" si="530"/>
        <v>89760</v>
      </c>
      <c r="CE204" s="1194">
        <f t="shared" si="531"/>
        <v>837760</v>
      </c>
      <c r="CF204" s="1200">
        <f t="shared" si="532"/>
        <v>3876701.4338454176</v>
      </c>
      <c r="CG204" s="757">
        <f t="shared" si="533"/>
        <v>3876701.4338454176</v>
      </c>
      <c r="CH204" s="758">
        <f t="shared" si="534"/>
        <v>0</v>
      </c>
      <c r="CI204" s="757">
        <f t="shared" si="483"/>
        <v>397361.89696915529</v>
      </c>
      <c r="CJ204" s="757">
        <f t="shared" si="484"/>
        <v>96917.535846135448</v>
      </c>
      <c r="CK204" s="759">
        <f t="shared" si="444"/>
        <v>4370980.8666607086</v>
      </c>
      <c r="CL204" s="764">
        <f t="shared" si="535"/>
        <v>0.125</v>
      </c>
      <c r="CM204" s="757">
        <f t="shared" si="536"/>
        <v>546372.60833258857</v>
      </c>
      <c r="CN204" s="757">
        <f t="shared" si="578"/>
        <v>30000</v>
      </c>
      <c r="CO204" s="757">
        <f t="shared" si="537"/>
        <v>516372.60833258857</v>
      </c>
      <c r="CP204" s="755">
        <f t="shared" si="538"/>
        <v>29</v>
      </c>
      <c r="CQ204" s="757">
        <f t="shared" si="581"/>
        <v>17805.952011468573</v>
      </c>
      <c r="CR204" s="764">
        <f t="shared" si="539"/>
        <v>0.875</v>
      </c>
      <c r="CS204" s="757">
        <f t="shared" si="540"/>
        <v>3824608.2583281202</v>
      </c>
      <c r="CT204" s="1101">
        <f t="shared" si="541"/>
        <v>29652.147118409492</v>
      </c>
      <c r="CU204" s="1101">
        <f t="shared" si="542"/>
        <v>34376.660275209768</v>
      </c>
      <c r="CV204" s="1101">
        <f t="shared" si="543"/>
        <v>44406.94484814685</v>
      </c>
      <c r="CW204" s="1141">
        <f t="shared" si="485"/>
        <v>75731.827462215559</v>
      </c>
      <c r="CX204" s="1152">
        <f t="shared" si="544"/>
        <v>310685.08539597952</v>
      </c>
      <c r="CY204" s="1152">
        <f t="shared" si="545"/>
        <v>122936.57485724729</v>
      </c>
      <c r="CZ204" s="1152">
        <f t="shared" si="546"/>
        <v>88795.34684475635</v>
      </c>
      <c r="DA204" s="1152">
        <f t="shared" si="547"/>
        <v>67577.34687549567</v>
      </c>
      <c r="DB204" s="1143">
        <f t="shared" si="486"/>
        <v>0.15597775478504272</v>
      </c>
      <c r="DC204" s="1143">
        <f t="shared" si="548"/>
        <v>0.27567494084277722</v>
      </c>
      <c r="DD204" s="1098" t="s">
        <v>232</v>
      </c>
      <c r="DE204" s="1144"/>
      <c r="DF204" s="705"/>
      <c r="DG204" s="765">
        <f t="shared" si="579"/>
        <v>46082</v>
      </c>
      <c r="DH204" s="1116">
        <f t="shared" si="487"/>
        <v>28</v>
      </c>
      <c r="DI204" s="497"/>
      <c r="DJ204" s="1117">
        <f t="shared" si="549"/>
        <v>46147</v>
      </c>
      <c r="DK204" s="1116">
        <f t="shared" si="550"/>
        <v>30</v>
      </c>
      <c r="DL204" s="766" t="s">
        <v>233</v>
      </c>
      <c r="DM204" s="766" t="s">
        <v>234</v>
      </c>
      <c r="DN204" s="767">
        <f t="shared" si="488"/>
        <v>23822.057094442887</v>
      </c>
      <c r="DO204" s="767">
        <f t="shared" si="489"/>
        <v>524085.25607774354</v>
      </c>
      <c r="DP204" s="768">
        <f t="shared" si="490"/>
        <v>0.17469508535924785</v>
      </c>
      <c r="DR204" s="767">
        <f t="shared" si="491"/>
        <v>3876701.4338454176</v>
      </c>
      <c r="DS204" s="767">
        <f>SUM('[6]INTERNAL PRICELIST'!M204)</f>
        <v>0</v>
      </c>
      <c r="DT204" s="767">
        <f t="shared" si="551"/>
        <v>3876701.4338454176</v>
      </c>
      <c r="DV204" s="951">
        <f t="shared" si="492"/>
        <v>176213.70153842808</v>
      </c>
      <c r="DX204" s="781"/>
      <c r="DY204" s="782"/>
      <c r="DZ204" s="781"/>
      <c r="EA204" s="775"/>
      <c r="ED204" s="755" t="s">
        <v>625</v>
      </c>
      <c r="EE204" s="777" t="b">
        <f t="shared" si="493"/>
        <v>1</v>
      </c>
      <c r="EF204" s="777"/>
      <c r="EG204" s="777"/>
      <c r="EH204" s="1203"/>
      <c r="EP204" s="1230" t="s">
        <v>236</v>
      </c>
      <c r="EQ204" s="1145" t="s">
        <v>236</v>
      </c>
      <c r="ER204" s="753" t="b">
        <f t="shared" si="552"/>
        <v>1</v>
      </c>
      <c r="EU204" s="770">
        <v>3108299.9774007285</v>
      </c>
      <c r="EV204" s="771" t="s">
        <v>258</v>
      </c>
      <c r="EW204" s="775">
        <f t="shared" si="582"/>
        <v>-768401.45644468907</v>
      </c>
      <c r="EY204" s="775">
        <v>3075131.4159727991</v>
      </c>
      <c r="FJ204" s="994">
        <v>0.125</v>
      </c>
      <c r="FK204" s="993">
        <v>11080.463988670816</v>
      </c>
      <c r="FL204" s="993">
        <v>11379.935988364621</v>
      </c>
      <c r="FM204" s="497"/>
      <c r="FN204" s="993">
        <f t="shared" si="494"/>
        <v>4370980.8666607086</v>
      </c>
      <c r="FO204" s="994">
        <f t="shared" si="580"/>
        <v>0.125</v>
      </c>
      <c r="FP204" s="775">
        <f t="shared" si="495"/>
        <v>546372.60833258857</v>
      </c>
      <c r="FQ204" s="993">
        <f t="shared" si="496"/>
        <v>30000</v>
      </c>
      <c r="FR204" s="775">
        <f t="shared" si="554"/>
        <v>516372.60833258857</v>
      </c>
      <c r="FS204" s="497">
        <f t="shared" si="555"/>
        <v>40</v>
      </c>
      <c r="FT204" s="775">
        <f t="shared" si="556"/>
        <v>12909.315208314714</v>
      </c>
      <c r="FU204" s="497"/>
      <c r="FV204" s="993">
        <f t="shared" si="557"/>
        <v>4370980.8666607086</v>
      </c>
      <c r="FW204" s="705">
        <f t="shared" si="558"/>
        <v>437098.08666607086</v>
      </c>
      <c r="FX204" s="705">
        <f t="shared" si="559"/>
        <v>109274.52166651771</v>
      </c>
      <c r="FY204" s="705">
        <v>15000</v>
      </c>
      <c r="FZ204" s="705">
        <f t="shared" si="560"/>
        <v>422098.08666607086</v>
      </c>
      <c r="GA204" s="497">
        <f t="shared" si="561"/>
        <v>46</v>
      </c>
      <c r="GB204" s="775">
        <f t="shared" si="562"/>
        <v>9176.0453623058875</v>
      </c>
      <c r="GC204" s="497"/>
      <c r="GD204" s="497"/>
      <c r="GH204" s="1095">
        <f t="shared" si="461"/>
        <v>4370980.8666607086</v>
      </c>
      <c r="GI204" s="1098">
        <f t="shared" si="462"/>
        <v>0.125</v>
      </c>
      <c r="GJ204" s="1095">
        <f t="shared" si="463"/>
        <v>546372.60833258857</v>
      </c>
      <c r="GK204" s="1095">
        <f t="shared" si="464"/>
        <v>30000</v>
      </c>
      <c r="GL204" s="1095">
        <f t="shared" si="465"/>
        <v>516372.60833258857</v>
      </c>
      <c r="GM204" s="1095">
        <f t="shared" si="466"/>
        <v>29</v>
      </c>
      <c r="GN204" s="1095">
        <f t="shared" si="467"/>
        <v>17805.952011468573</v>
      </c>
      <c r="GO204" s="1098">
        <f t="shared" si="468"/>
        <v>0.875</v>
      </c>
      <c r="GP204" s="1095">
        <f t="shared" si="469"/>
        <v>3824608.2583281202</v>
      </c>
      <c r="GQ204" s="1095">
        <f t="shared" si="470"/>
        <v>29652.147118409492</v>
      </c>
      <c r="GR204" s="1095">
        <f t="shared" si="471"/>
        <v>34376.660275209768</v>
      </c>
      <c r="GS204" s="1095">
        <f t="shared" si="472"/>
        <v>44406.94484814685</v>
      </c>
      <c r="GT204" s="1095">
        <f t="shared" si="473"/>
        <v>75731.827462215559</v>
      </c>
      <c r="GU204" s="497"/>
      <c r="GV204" s="1095">
        <f t="shared" si="563"/>
        <v>4370980.8666607086</v>
      </c>
      <c r="GW204" s="1098">
        <f t="shared" si="564"/>
        <v>0.125</v>
      </c>
      <c r="GX204" s="1095">
        <f t="shared" si="565"/>
        <v>546372.60833258857</v>
      </c>
      <c r="GY204" s="1095">
        <f t="shared" si="566"/>
        <v>30000</v>
      </c>
      <c r="GZ204" s="1095">
        <f t="shared" si="567"/>
        <v>516372.60833258857</v>
      </c>
      <c r="HA204" s="1106">
        <f t="shared" si="568"/>
        <v>48</v>
      </c>
      <c r="HB204" s="770">
        <f t="shared" si="569"/>
        <v>10757.762673595595</v>
      </c>
      <c r="HC204" s="1098">
        <f t="shared" si="570"/>
        <v>0.875</v>
      </c>
      <c r="HD204" s="1102">
        <f t="shared" si="571"/>
        <v>3824608.2583281202</v>
      </c>
      <c r="HE204" s="1101">
        <f t="shared" si="572"/>
        <v>29652.147118409492</v>
      </c>
      <c r="HF204" s="1101">
        <f t="shared" si="573"/>
        <v>34376.660275209768</v>
      </c>
      <c r="HG204" s="1101">
        <f t="shared" si="574"/>
        <v>44406.94484814685</v>
      </c>
      <c r="HH204" s="1101">
        <f t="shared" si="575"/>
        <v>75731.827462215559</v>
      </c>
      <c r="HI204" s="497"/>
      <c r="HJ204" s="1102">
        <f t="shared" si="576"/>
        <v>-7048.1893378729783</v>
      </c>
      <c r="HL204" s="775"/>
      <c r="HN204" s="775"/>
      <c r="HO204" s="775"/>
      <c r="HQ204" s="702"/>
      <c r="HR204" s="1171"/>
      <c r="HS204" s="702"/>
      <c r="HT204" s="1171"/>
    </row>
    <row r="205" spans="1:228" ht="14.25" customHeight="1">
      <c r="A205" s="753">
        <f t="shared" si="577"/>
        <v>199</v>
      </c>
      <c r="B205" s="753"/>
      <c r="C205" s="753">
        <f t="shared" si="459"/>
        <v>13</v>
      </c>
      <c r="D205" s="753" t="s">
        <v>275</v>
      </c>
      <c r="E205" s="717" t="str">
        <f t="shared" si="497"/>
        <v>9th Floor</v>
      </c>
      <c r="F205" s="754"/>
      <c r="G205" s="756" t="s">
        <v>626</v>
      </c>
      <c r="H205" s="756"/>
      <c r="I205" s="755" t="s">
        <v>229</v>
      </c>
      <c r="J205" s="757">
        <v>22</v>
      </c>
      <c r="K205" s="758"/>
      <c r="L205" s="759" t="s">
        <v>277</v>
      </c>
      <c r="M205" s="760" t="s">
        <v>68</v>
      </c>
      <c r="N205" s="761">
        <f t="shared" si="498"/>
        <v>106005.26567735759</v>
      </c>
      <c r="O205" s="762">
        <f t="shared" si="499"/>
        <v>2332115.8449018667</v>
      </c>
      <c r="P205" s="762">
        <f t="shared" si="500"/>
        <v>22400</v>
      </c>
      <c r="Q205" s="762">
        <f t="shared" si="474"/>
        <v>50000</v>
      </c>
      <c r="R205" s="762"/>
      <c r="S205" s="762"/>
      <c r="T205" s="762"/>
      <c r="U205" s="762"/>
      <c r="V205" s="762"/>
      <c r="W205" s="762"/>
      <c r="X205" s="762"/>
      <c r="Y205" s="762">
        <f t="shared" si="460"/>
        <v>100000</v>
      </c>
      <c r="Z205" s="762">
        <f t="shared" si="475"/>
        <v>142461</v>
      </c>
      <c r="AA205" s="762"/>
      <c r="AB205" s="762"/>
      <c r="AC205" s="762"/>
      <c r="AD205" s="763">
        <f t="shared" si="501"/>
        <v>314861</v>
      </c>
      <c r="AE205" s="763">
        <f t="shared" si="476"/>
        <v>2646976.8449018667</v>
      </c>
      <c r="AF205" s="762">
        <f t="shared" si="477"/>
        <v>66174.421122546672</v>
      </c>
      <c r="AG205" s="762">
        <f t="shared" si="502"/>
        <v>2713151.2660244135</v>
      </c>
      <c r="AH205" s="762">
        <f t="shared" si="478"/>
        <v>67828.781650610341</v>
      </c>
      <c r="AI205" s="762">
        <f t="shared" si="503"/>
        <v>2780980.0476750238</v>
      </c>
      <c r="AJ205" s="762">
        <f t="shared" si="504"/>
        <v>139049.00238375118</v>
      </c>
      <c r="AK205" s="762">
        <f t="shared" si="505"/>
        <v>2920029.0500587751</v>
      </c>
      <c r="AL205" s="762">
        <f t="shared" si="506"/>
        <v>29200.290500587751</v>
      </c>
      <c r="AM205" s="762">
        <f t="shared" si="507"/>
        <v>27537.409960060559</v>
      </c>
      <c r="AN205" s="762"/>
      <c r="AO205" s="763">
        <f t="shared" si="508"/>
        <v>2976766.7505194233</v>
      </c>
      <c r="AP205" s="763">
        <f t="shared" si="509"/>
        <v>491166.51383570489</v>
      </c>
      <c r="AQ205" s="763">
        <f t="shared" si="510"/>
        <v>3467933.2643551282</v>
      </c>
      <c r="AR205" s="1178">
        <f t="shared" si="479"/>
        <v>3000000</v>
      </c>
      <c r="AS205" s="1178">
        <f t="shared" si="511"/>
        <v>21269.693834324007</v>
      </c>
      <c r="AT205" s="1178">
        <f t="shared" si="512"/>
        <v>467933.26435512817</v>
      </c>
      <c r="AU205" s="1178">
        <f t="shared" si="480"/>
        <v>56151.991722615378</v>
      </c>
      <c r="AV205" s="1178">
        <f t="shared" si="513"/>
        <v>524085.25607774354</v>
      </c>
      <c r="AW205" s="1178">
        <f t="shared" si="514"/>
        <v>3524085.2560777436</v>
      </c>
      <c r="AX205" s="762">
        <f t="shared" si="515"/>
        <v>44051.065700971798</v>
      </c>
      <c r="AY205" s="717" t="s">
        <v>231</v>
      </c>
      <c r="AZ205" s="717">
        <f t="shared" si="516"/>
        <v>3568136.3217787156</v>
      </c>
      <c r="BA205" s="717">
        <f t="shared" si="517"/>
        <v>133805.11206670184</v>
      </c>
      <c r="BB205" s="717"/>
      <c r="BC205" s="717">
        <f t="shared" si="481"/>
        <v>33600</v>
      </c>
      <c r="BD205" s="717">
        <f t="shared" si="518"/>
        <v>3735541.4338454176</v>
      </c>
      <c r="BE205" s="717"/>
      <c r="BF205" s="717">
        <f t="shared" si="519"/>
        <v>3735541.4338454176</v>
      </c>
      <c r="BG205" s="1209">
        <v>14728.000000000002</v>
      </c>
      <c r="BH205" s="717">
        <f t="shared" si="520"/>
        <v>3750269.4338454176</v>
      </c>
      <c r="BI205" s="717">
        <v>718.43902439024396</v>
      </c>
      <c r="BJ205" s="717">
        <f t="shared" si="521"/>
        <v>3750987.8728698078</v>
      </c>
      <c r="BK205" s="717"/>
      <c r="BL205" s="717">
        <f t="shared" si="522"/>
        <v>3750987.8728698078</v>
      </c>
      <c r="BM205" s="717">
        <f>$BM$5/41</f>
        <v>1038.0487804878051</v>
      </c>
      <c r="BN205" s="717">
        <f t="shared" si="523"/>
        <v>3752025.9216502956</v>
      </c>
      <c r="BO205" s="717">
        <f>$BO$5/51</f>
        <v>7289.0781490196077</v>
      </c>
      <c r="BP205" s="717">
        <f t="shared" si="482"/>
        <v>3759314.9997993154</v>
      </c>
      <c r="BQ205" s="717">
        <f>$BQ$5/56</f>
        <v>4468.4242000000004</v>
      </c>
      <c r="BR205" s="717">
        <f t="shared" si="433"/>
        <v>3763783.4239993151</v>
      </c>
      <c r="BS205" s="1234">
        <f>$BS$5/64</f>
        <v>2651.4786794501206</v>
      </c>
      <c r="BT205" s="1235">
        <f t="shared" si="524"/>
        <v>3766434.9026787654</v>
      </c>
      <c r="BU205" s="1235">
        <f>$BU$5/65</f>
        <v>211.07692307692309</v>
      </c>
      <c r="BV205" s="1235">
        <f t="shared" si="434"/>
        <v>51400</v>
      </c>
      <c r="BW205" s="717">
        <f t="shared" si="525"/>
        <v>3818045.9796018424</v>
      </c>
      <c r="BX205" s="1234">
        <f t="shared" si="435"/>
        <v>27651.078536278128</v>
      </c>
      <c r="BY205" s="717">
        <f t="shared" si="526"/>
        <v>3845697.0581381205</v>
      </c>
      <c r="BZ205" s="1194">
        <f t="shared" si="527"/>
        <v>3845697.0581381205</v>
      </c>
      <c r="CA205" s="1194">
        <f t="shared" si="528"/>
        <v>2965697.0581381205</v>
      </c>
      <c r="CB205" s="1194">
        <f>$CB$5</f>
        <v>40000</v>
      </c>
      <c r="CC205" s="1194">
        <f t="shared" si="529"/>
        <v>880000</v>
      </c>
      <c r="CD205" s="1194">
        <f t="shared" si="530"/>
        <v>105600</v>
      </c>
      <c r="CE205" s="1194">
        <f t="shared" si="531"/>
        <v>985600</v>
      </c>
      <c r="CF205" s="1200">
        <f t="shared" si="532"/>
        <v>3951297.0581381205</v>
      </c>
      <c r="CG205" s="757">
        <f t="shared" si="533"/>
        <v>3951297.0581381205</v>
      </c>
      <c r="CH205" s="758">
        <f t="shared" si="534"/>
        <v>0</v>
      </c>
      <c r="CI205" s="757">
        <f t="shared" si="483"/>
        <v>405007.94845915731</v>
      </c>
      <c r="CJ205" s="757">
        <f t="shared" si="484"/>
        <v>98782.426453453023</v>
      </c>
      <c r="CK205" s="759">
        <f t="shared" si="444"/>
        <v>4455087.4330507312</v>
      </c>
      <c r="CL205" s="764">
        <f t="shared" si="535"/>
        <v>0.125</v>
      </c>
      <c r="CM205" s="757">
        <f t="shared" si="536"/>
        <v>556885.9291313414</v>
      </c>
      <c r="CN205" s="757">
        <f t="shared" si="578"/>
        <v>30000</v>
      </c>
      <c r="CO205" s="757">
        <f t="shared" si="537"/>
        <v>526885.9291313414</v>
      </c>
      <c r="CP205" s="755">
        <f t="shared" si="538"/>
        <v>29</v>
      </c>
      <c r="CQ205" s="757">
        <f t="shared" si="581"/>
        <v>18168.480314873843</v>
      </c>
      <c r="CR205" s="764">
        <f t="shared" si="539"/>
        <v>0.875</v>
      </c>
      <c r="CS205" s="757">
        <f t="shared" si="540"/>
        <v>3898201.50391939</v>
      </c>
      <c r="CT205" s="1101">
        <f t="shared" si="541"/>
        <v>30222.714768165995</v>
      </c>
      <c r="CU205" s="1101">
        <f t="shared" si="542"/>
        <v>35038.137172021961</v>
      </c>
      <c r="CV205" s="1101">
        <f t="shared" si="543"/>
        <v>45261.424830783355</v>
      </c>
      <c r="CW205" s="1141">
        <f t="shared" si="485"/>
        <v>77189.061929396994</v>
      </c>
      <c r="CX205" s="1152">
        <f t="shared" si="544"/>
        <v>316663.29865254083</v>
      </c>
      <c r="CY205" s="1152">
        <f t="shared" si="545"/>
        <v>125302.12472131987</v>
      </c>
      <c r="CZ205" s="1152">
        <f t="shared" si="546"/>
        <v>90503.9500078329</v>
      </c>
      <c r="DA205" s="1152">
        <f t="shared" si="547"/>
        <v>68877.672542623928</v>
      </c>
      <c r="DB205" s="1143">
        <f t="shared" si="486"/>
        <v>0.15597775478504272</v>
      </c>
      <c r="DC205" s="1143">
        <f t="shared" si="548"/>
        <v>0.33233333704649004</v>
      </c>
      <c r="DD205" s="1098" t="s">
        <v>232</v>
      </c>
      <c r="DE205" s="1144"/>
      <c r="DF205" s="705"/>
      <c r="DG205" s="765">
        <f t="shared" si="579"/>
        <v>46082</v>
      </c>
      <c r="DH205" s="1116">
        <f t="shared" si="487"/>
        <v>28</v>
      </c>
      <c r="DI205" s="497"/>
      <c r="DJ205" s="1117">
        <f t="shared" si="549"/>
        <v>46147</v>
      </c>
      <c r="DK205" s="1116">
        <f t="shared" si="550"/>
        <v>30</v>
      </c>
      <c r="DL205" s="766" t="s">
        <v>233</v>
      </c>
      <c r="DM205" s="766" t="s">
        <v>234</v>
      </c>
      <c r="DN205" s="767">
        <f t="shared" si="488"/>
        <v>23822.057094442887</v>
      </c>
      <c r="DO205" s="767">
        <f t="shared" si="489"/>
        <v>524085.25607774354</v>
      </c>
      <c r="DP205" s="768">
        <f t="shared" si="490"/>
        <v>0.17469508535924785</v>
      </c>
      <c r="DR205" s="767">
        <f t="shared" si="491"/>
        <v>3951297.0581381205</v>
      </c>
      <c r="DS205" s="767">
        <f>SUM('[6]INTERNAL PRICELIST'!M205)</f>
        <v>0</v>
      </c>
      <c r="DT205" s="767">
        <f t="shared" si="551"/>
        <v>3951297.0581381205</v>
      </c>
      <c r="DV205" s="951">
        <f t="shared" si="492"/>
        <v>179604.41173355092</v>
      </c>
      <c r="DX205" s="781"/>
      <c r="DY205" s="782"/>
      <c r="DZ205" s="781"/>
      <c r="EA205" s="775"/>
      <c r="ED205" s="755" t="s">
        <v>626</v>
      </c>
      <c r="EE205" s="777" t="b">
        <f t="shared" si="493"/>
        <v>1</v>
      </c>
      <c r="EF205" s="777"/>
      <c r="EG205" s="777"/>
      <c r="EH205" s="1203"/>
      <c r="EP205" s="1230" t="s">
        <v>258</v>
      </c>
      <c r="EQ205" s="1145" t="s">
        <v>258</v>
      </c>
      <c r="ER205" s="753" t="b">
        <f t="shared" si="552"/>
        <v>1</v>
      </c>
      <c r="EU205" s="770">
        <v>3108299.9774007285</v>
      </c>
      <c r="EV205" s="771" t="s">
        <v>258</v>
      </c>
      <c r="EW205" s="775">
        <f t="shared" si="582"/>
        <v>-842997.08073739195</v>
      </c>
      <c r="EY205" s="775">
        <v>3075131.4159727991</v>
      </c>
      <c r="FJ205" s="994">
        <v>0.125</v>
      </c>
      <c r="FK205" s="993">
        <v>11080.463988670816</v>
      </c>
      <c r="FL205" s="993">
        <v>11379.935988364621</v>
      </c>
      <c r="FM205" s="497"/>
      <c r="FN205" s="993">
        <f t="shared" si="494"/>
        <v>4455087.4330507312</v>
      </c>
      <c r="FO205" s="994">
        <f t="shared" si="580"/>
        <v>0.125</v>
      </c>
      <c r="FP205" s="775">
        <f t="shared" si="495"/>
        <v>556885.9291313414</v>
      </c>
      <c r="FQ205" s="993">
        <f t="shared" si="496"/>
        <v>30000</v>
      </c>
      <c r="FR205" s="775">
        <f t="shared" si="554"/>
        <v>526885.9291313414</v>
      </c>
      <c r="FS205" s="497">
        <f t="shared" si="555"/>
        <v>40</v>
      </c>
      <c r="FT205" s="775">
        <f t="shared" si="556"/>
        <v>13172.148228283535</v>
      </c>
      <c r="FU205" s="497"/>
      <c r="FV205" s="993">
        <f t="shared" si="557"/>
        <v>4455087.4330507312</v>
      </c>
      <c r="FW205" s="705">
        <f t="shared" si="558"/>
        <v>445508.74330507312</v>
      </c>
      <c r="FX205" s="705">
        <f t="shared" si="559"/>
        <v>111377.18582626828</v>
      </c>
      <c r="FY205" s="705">
        <v>15000</v>
      </c>
      <c r="FZ205" s="705">
        <f t="shared" si="560"/>
        <v>430508.74330507312</v>
      </c>
      <c r="GA205" s="497">
        <f t="shared" si="561"/>
        <v>46</v>
      </c>
      <c r="GB205" s="775">
        <f t="shared" si="562"/>
        <v>9358.8857240233283</v>
      </c>
      <c r="GC205" s="497"/>
      <c r="GD205" s="497"/>
      <c r="GH205" s="1095">
        <f t="shared" si="461"/>
        <v>4455087.4330507312</v>
      </c>
      <c r="GI205" s="1098">
        <f t="shared" si="462"/>
        <v>0.125</v>
      </c>
      <c r="GJ205" s="1095">
        <f t="shared" si="463"/>
        <v>556885.9291313414</v>
      </c>
      <c r="GK205" s="1095">
        <f t="shared" si="464"/>
        <v>30000</v>
      </c>
      <c r="GL205" s="1095">
        <f t="shared" si="465"/>
        <v>526885.9291313414</v>
      </c>
      <c r="GM205" s="1095">
        <f t="shared" si="466"/>
        <v>29</v>
      </c>
      <c r="GN205" s="1095">
        <f t="shared" si="467"/>
        <v>18168.480314873843</v>
      </c>
      <c r="GO205" s="1098">
        <f t="shared" si="468"/>
        <v>0.875</v>
      </c>
      <c r="GP205" s="1095">
        <f t="shared" si="469"/>
        <v>3898201.50391939</v>
      </c>
      <c r="GQ205" s="1095">
        <f t="shared" si="470"/>
        <v>30222.714768165995</v>
      </c>
      <c r="GR205" s="1095">
        <f t="shared" si="471"/>
        <v>35038.137172021961</v>
      </c>
      <c r="GS205" s="1095">
        <f t="shared" si="472"/>
        <v>45261.424830783355</v>
      </c>
      <c r="GT205" s="1095">
        <f t="shared" si="473"/>
        <v>77189.061929396994</v>
      </c>
      <c r="GU205" s="497"/>
      <c r="GV205" s="1095">
        <f t="shared" si="563"/>
        <v>4455087.4330507312</v>
      </c>
      <c r="GW205" s="1098">
        <f t="shared" si="564"/>
        <v>0.125</v>
      </c>
      <c r="GX205" s="1095">
        <f t="shared" si="565"/>
        <v>556885.9291313414</v>
      </c>
      <c r="GY205" s="1095">
        <f t="shared" si="566"/>
        <v>30000</v>
      </c>
      <c r="GZ205" s="1095">
        <f t="shared" si="567"/>
        <v>526885.9291313414</v>
      </c>
      <c r="HA205" s="1106">
        <f t="shared" si="568"/>
        <v>48</v>
      </c>
      <c r="HB205" s="770">
        <f t="shared" si="569"/>
        <v>10976.790190236279</v>
      </c>
      <c r="HC205" s="1098">
        <f t="shared" si="570"/>
        <v>0.875</v>
      </c>
      <c r="HD205" s="1102">
        <f t="shared" si="571"/>
        <v>3898201.50391939</v>
      </c>
      <c r="HE205" s="1101">
        <f t="shared" si="572"/>
        <v>30222.714768165995</v>
      </c>
      <c r="HF205" s="1101">
        <f t="shared" si="573"/>
        <v>35038.137172021961</v>
      </c>
      <c r="HG205" s="1101">
        <f t="shared" si="574"/>
        <v>45261.424830783355</v>
      </c>
      <c r="HH205" s="1101">
        <f t="shared" si="575"/>
        <v>77189.061929396994</v>
      </c>
      <c r="HI205" s="497"/>
      <c r="HJ205" s="1102">
        <f t="shared" si="576"/>
        <v>-7191.6901246375637</v>
      </c>
      <c r="HL205" s="775"/>
      <c r="HN205" s="775"/>
      <c r="HO205" s="775"/>
      <c r="HQ205" s="702"/>
      <c r="HR205" s="1171"/>
      <c r="HS205" s="702"/>
      <c r="HT205" s="1171"/>
    </row>
    <row r="206" spans="1:228" ht="14.25" hidden="1" customHeight="1">
      <c r="A206" s="753">
        <f t="shared" si="577"/>
        <v>200</v>
      </c>
      <c r="B206" s="753"/>
      <c r="C206" s="753">
        <f t="shared" si="459"/>
        <v>14</v>
      </c>
      <c r="D206" s="753" t="s">
        <v>275</v>
      </c>
      <c r="E206" s="717" t="str">
        <f t="shared" si="497"/>
        <v>9th Floor</v>
      </c>
      <c r="F206" s="754"/>
      <c r="G206" s="756" t="s">
        <v>627</v>
      </c>
      <c r="H206" s="756"/>
      <c r="I206" s="755" t="s">
        <v>229</v>
      </c>
      <c r="J206" s="757">
        <v>22</v>
      </c>
      <c r="K206" s="758"/>
      <c r="L206" s="759" t="s">
        <v>277</v>
      </c>
      <c r="M206" s="760" t="s">
        <v>278</v>
      </c>
      <c r="N206" s="761">
        <f t="shared" si="498"/>
        <v>106005.26567735759</v>
      </c>
      <c r="O206" s="762">
        <f t="shared" si="499"/>
        <v>2332115.8449018667</v>
      </c>
      <c r="P206" s="762">
        <f t="shared" si="500"/>
        <v>22400</v>
      </c>
      <c r="Q206" s="762">
        <f t="shared" si="474"/>
        <v>50000</v>
      </c>
      <c r="R206" s="762"/>
      <c r="S206" s="762"/>
      <c r="T206" s="762"/>
      <c r="U206" s="762"/>
      <c r="V206" s="762"/>
      <c r="W206" s="762">
        <f t="shared" ref="W206:W207" si="583">J206*$W$5</f>
        <v>22000</v>
      </c>
      <c r="X206" s="762"/>
      <c r="Y206" s="762">
        <f t="shared" si="460"/>
        <v>100000</v>
      </c>
      <c r="Z206" s="762">
        <f t="shared" si="475"/>
        <v>142461</v>
      </c>
      <c r="AA206" s="762"/>
      <c r="AB206" s="762"/>
      <c r="AC206" s="762"/>
      <c r="AD206" s="763">
        <f t="shared" si="501"/>
        <v>336861</v>
      </c>
      <c r="AE206" s="763">
        <f t="shared" si="476"/>
        <v>2668976.8449018667</v>
      </c>
      <c r="AF206" s="762">
        <f t="shared" si="477"/>
        <v>66724.421122546672</v>
      </c>
      <c r="AG206" s="762">
        <f t="shared" si="502"/>
        <v>2735701.2660244135</v>
      </c>
      <c r="AH206" s="762">
        <f t="shared" si="478"/>
        <v>68392.531650610341</v>
      </c>
      <c r="AI206" s="762">
        <f t="shared" si="503"/>
        <v>2804093.7976750238</v>
      </c>
      <c r="AJ206" s="762">
        <f t="shared" si="504"/>
        <v>140204.68988375118</v>
      </c>
      <c r="AK206" s="762">
        <f t="shared" si="505"/>
        <v>2944298.4875587751</v>
      </c>
      <c r="AL206" s="762">
        <f t="shared" si="506"/>
        <v>29442.98487558775</v>
      </c>
      <c r="AM206" s="762">
        <f t="shared" si="507"/>
        <v>27537.409960060559</v>
      </c>
      <c r="AN206" s="762"/>
      <c r="AO206" s="763">
        <f t="shared" si="508"/>
        <v>3001278.8823944232</v>
      </c>
      <c r="AP206" s="763">
        <f t="shared" si="509"/>
        <v>495211.01559507987</v>
      </c>
      <c r="AQ206" s="763">
        <f t="shared" si="510"/>
        <v>3496489.8979895031</v>
      </c>
      <c r="AR206" s="1178">
        <f t="shared" si="479"/>
        <v>3000000</v>
      </c>
      <c r="AS206" s="1178">
        <f t="shared" si="511"/>
        <v>22567.722635886505</v>
      </c>
      <c r="AT206" s="1178">
        <f t="shared" si="512"/>
        <v>496489.89798950311</v>
      </c>
      <c r="AU206" s="1178">
        <f t="shared" si="480"/>
        <v>59578.787758740371</v>
      </c>
      <c r="AV206" s="1178">
        <f t="shared" si="513"/>
        <v>556068.68574824347</v>
      </c>
      <c r="AW206" s="1178">
        <f t="shared" si="514"/>
        <v>3556068.6857482437</v>
      </c>
      <c r="AX206" s="762">
        <f t="shared" si="515"/>
        <v>44450.858571853052</v>
      </c>
      <c r="AY206" s="717" t="s">
        <v>231</v>
      </c>
      <c r="AZ206" s="717">
        <f t="shared" si="516"/>
        <v>3600519.5443200967</v>
      </c>
      <c r="BA206" s="717">
        <f t="shared" si="517"/>
        <v>135019.48291200362</v>
      </c>
      <c r="BB206" s="717"/>
      <c r="BC206" s="717">
        <f t="shared" si="481"/>
        <v>33600</v>
      </c>
      <c r="BD206" s="717">
        <f t="shared" si="518"/>
        <v>3769139.0272321003</v>
      </c>
      <c r="BE206" s="717"/>
      <c r="BF206" s="717">
        <f t="shared" si="519"/>
        <v>3769139.0272321003</v>
      </c>
      <c r="BG206" s="1209"/>
      <c r="BH206" s="717">
        <f t="shared" si="520"/>
        <v>3769139.0272321003</v>
      </c>
      <c r="BI206" s="717"/>
      <c r="BJ206" s="717">
        <f t="shared" si="521"/>
        <v>3769139.0272321003</v>
      </c>
      <c r="BK206" s="717"/>
      <c r="BL206" s="717">
        <f t="shared" si="522"/>
        <v>3769139.0272321003</v>
      </c>
      <c r="BM206" s="717"/>
      <c r="BN206" s="717">
        <f t="shared" si="523"/>
        <v>3769139.0272321003</v>
      </c>
      <c r="BO206" s="717"/>
      <c r="BP206" s="717">
        <f t="shared" si="482"/>
        <v>3769139.0272321003</v>
      </c>
      <c r="BQ206" s="717"/>
      <c r="BR206" s="717">
        <f t="shared" si="433"/>
        <v>3769139.0272321003</v>
      </c>
      <c r="BS206" s="717"/>
      <c r="BT206" s="717">
        <f t="shared" si="524"/>
        <v>3769139.0272321003</v>
      </c>
      <c r="BU206" s="717"/>
      <c r="BV206" s="1235">
        <f t="shared" si="434"/>
        <v>51400</v>
      </c>
      <c r="BW206" s="717">
        <f t="shared" si="525"/>
        <v>3820539.0272321003</v>
      </c>
      <c r="BX206" s="717"/>
      <c r="BY206" s="717">
        <f t="shared" si="526"/>
        <v>3820539.0272321003</v>
      </c>
      <c r="BZ206" s="1194">
        <f t="shared" si="527"/>
        <v>3820539.0272321003</v>
      </c>
      <c r="CA206" s="1194">
        <f t="shared" si="528"/>
        <v>3039539.0272321003</v>
      </c>
      <c r="CB206" s="1194">
        <v>35500</v>
      </c>
      <c r="CC206" s="1194">
        <f t="shared" si="529"/>
        <v>781000</v>
      </c>
      <c r="CD206" s="1194">
        <f t="shared" si="530"/>
        <v>93720</v>
      </c>
      <c r="CE206" s="1194">
        <f t="shared" si="531"/>
        <v>874720</v>
      </c>
      <c r="CF206" s="1200">
        <f t="shared" si="532"/>
        <v>3914259.0272321003</v>
      </c>
      <c r="CG206" s="757">
        <f t="shared" si="533"/>
        <v>3914259.0272321003</v>
      </c>
      <c r="CH206" s="758">
        <f t="shared" si="534"/>
        <v>0</v>
      </c>
      <c r="CI206" s="757">
        <f t="shared" si="483"/>
        <v>401211.55029129027</v>
      </c>
      <c r="CJ206" s="757">
        <f t="shared" si="484"/>
        <v>97856.475680802512</v>
      </c>
      <c r="CK206" s="759">
        <f t="shared" si="444"/>
        <v>4413327.0532041937</v>
      </c>
      <c r="CL206" s="764">
        <f t="shared" si="535"/>
        <v>0.125</v>
      </c>
      <c r="CM206" s="757">
        <f t="shared" si="536"/>
        <v>551665.88165052421</v>
      </c>
      <c r="CN206" s="757">
        <f t="shared" si="578"/>
        <v>30000</v>
      </c>
      <c r="CO206" s="757">
        <f t="shared" si="537"/>
        <v>521665.88165052421</v>
      </c>
      <c r="CP206" s="755">
        <f t="shared" si="538"/>
        <v>29</v>
      </c>
      <c r="CQ206" s="757">
        <f t="shared" si="581"/>
        <v>17988.478677604282</v>
      </c>
      <c r="CR206" s="764">
        <f t="shared" si="539"/>
        <v>0.875</v>
      </c>
      <c r="CS206" s="757">
        <f t="shared" si="540"/>
        <v>3861661.1715536695</v>
      </c>
      <c r="CT206" s="1101">
        <f t="shared" si="541"/>
        <v>29939.417960262963</v>
      </c>
      <c r="CU206" s="1101">
        <f t="shared" si="542"/>
        <v>34709.702334455425</v>
      </c>
      <c r="CV206" s="1101">
        <f t="shared" si="543"/>
        <v>44837.160588670667</v>
      </c>
      <c r="CW206" s="1141">
        <f t="shared" si="485"/>
        <v>76465.519553492995</v>
      </c>
      <c r="CX206" s="1152">
        <f t="shared" si="544"/>
        <v>313695.01131050492</v>
      </c>
      <c r="CY206" s="1152">
        <f t="shared" si="545"/>
        <v>124127.58787943407</v>
      </c>
      <c r="CZ206" s="1152">
        <f t="shared" si="546"/>
        <v>89655.598682132651</v>
      </c>
      <c r="DA206" s="1152">
        <f t="shared" si="547"/>
        <v>68232.038127688167</v>
      </c>
      <c r="DB206" s="1143">
        <f t="shared" si="486"/>
        <v>0.16549663266316769</v>
      </c>
      <c r="DC206" s="1143">
        <f t="shared" si="548"/>
        <v>0.28778047992249256</v>
      </c>
      <c r="DD206" s="1098" t="s">
        <v>232</v>
      </c>
      <c r="DE206" s="1144"/>
      <c r="DF206" s="705"/>
      <c r="DG206" s="765">
        <f t="shared" si="579"/>
        <v>46082</v>
      </c>
      <c r="DH206" s="1116">
        <f t="shared" si="487"/>
        <v>28</v>
      </c>
      <c r="DI206" s="497"/>
      <c r="DJ206" s="1117">
        <f t="shared" si="549"/>
        <v>46147</v>
      </c>
      <c r="DK206" s="1116">
        <f t="shared" si="550"/>
        <v>30</v>
      </c>
      <c r="DL206" s="766" t="s">
        <v>233</v>
      </c>
      <c r="DM206" s="766" t="s">
        <v>234</v>
      </c>
      <c r="DN206" s="767">
        <f t="shared" si="488"/>
        <v>25275.849352192887</v>
      </c>
      <c r="DO206" s="767">
        <f t="shared" si="489"/>
        <v>556068.68574824347</v>
      </c>
      <c r="DP206" s="768">
        <f t="shared" si="490"/>
        <v>0.18535622858274783</v>
      </c>
      <c r="DR206" s="767">
        <f t="shared" si="491"/>
        <v>3914259.0272321003</v>
      </c>
      <c r="DS206" s="767">
        <f>SUM('[6]INTERNAL PRICELIST'!M206)</f>
        <v>0</v>
      </c>
      <c r="DT206" s="767">
        <f t="shared" si="551"/>
        <v>3914259.0272321003</v>
      </c>
      <c r="DV206" s="951">
        <f t="shared" si="492"/>
        <v>177920.86487418637</v>
      </c>
      <c r="DX206" s="781"/>
      <c r="DY206" s="782"/>
      <c r="DZ206" s="781"/>
      <c r="EA206" s="775"/>
      <c r="ED206" s="755" t="s">
        <v>627</v>
      </c>
      <c r="EE206" s="777" t="b">
        <f t="shared" si="493"/>
        <v>1</v>
      </c>
      <c r="EF206" s="777"/>
      <c r="EG206" s="777"/>
      <c r="EH206" s="1203"/>
      <c r="EP206" s="1230" t="s">
        <v>236</v>
      </c>
      <c r="EQ206" s="1145" t="s">
        <v>236</v>
      </c>
      <c r="ER206" s="753" t="b">
        <f t="shared" si="552"/>
        <v>1</v>
      </c>
      <c r="EU206" s="770">
        <v>3136128.9324007286</v>
      </c>
      <c r="EV206" s="771" t="s">
        <v>258</v>
      </c>
      <c r="EW206" s="775">
        <f t="shared" si="582"/>
        <v>-778130.09483137168</v>
      </c>
      <c r="EY206" s="775">
        <v>3102714.1170802992</v>
      </c>
      <c r="FJ206" s="994">
        <v>0.15</v>
      </c>
      <c r="FK206" s="993">
        <v>13497.690681661887</v>
      </c>
      <c r="FL206" s="993">
        <v>13862.493132517613</v>
      </c>
      <c r="FM206" s="497"/>
      <c r="FN206" s="993">
        <f t="shared" si="494"/>
        <v>4413327.0532041937</v>
      </c>
      <c r="FO206" s="994">
        <f t="shared" si="580"/>
        <v>0.15</v>
      </c>
      <c r="FP206" s="775">
        <f t="shared" si="495"/>
        <v>661999.05798062903</v>
      </c>
      <c r="FQ206" s="993">
        <f t="shared" si="496"/>
        <v>30000</v>
      </c>
      <c r="FR206" s="775">
        <f t="shared" si="554"/>
        <v>631999.05798062903</v>
      </c>
      <c r="FS206" s="497">
        <f t="shared" si="555"/>
        <v>40</v>
      </c>
      <c r="FT206" s="775">
        <f t="shared" si="556"/>
        <v>15799.976449515725</v>
      </c>
      <c r="FU206" s="497"/>
      <c r="FV206" s="993">
        <f t="shared" si="557"/>
        <v>4413327.0532041937</v>
      </c>
      <c r="FW206" s="705">
        <f t="shared" si="558"/>
        <v>441332.70532041939</v>
      </c>
      <c r="FX206" s="705">
        <f t="shared" si="559"/>
        <v>110333.17633010485</v>
      </c>
      <c r="FY206" s="705">
        <v>15000</v>
      </c>
      <c r="FZ206" s="705">
        <f t="shared" si="560"/>
        <v>426332.70532041939</v>
      </c>
      <c r="GA206" s="497">
        <f t="shared" si="561"/>
        <v>46</v>
      </c>
      <c r="GB206" s="775">
        <f t="shared" si="562"/>
        <v>9268.1022895743354</v>
      </c>
      <c r="GC206" s="497"/>
      <c r="GD206" s="497"/>
      <c r="GH206" s="1095">
        <f t="shared" si="461"/>
        <v>4413327.0532041937</v>
      </c>
      <c r="GI206" s="1098">
        <f t="shared" si="462"/>
        <v>0.125</v>
      </c>
      <c r="GJ206" s="1095">
        <f t="shared" si="463"/>
        <v>551665.88165052421</v>
      </c>
      <c r="GK206" s="1095">
        <f t="shared" si="464"/>
        <v>30000</v>
      </c>
      <c r="GL206" s="1095">
        <f t="shared" si="465"/>
        <v>521665.88165052421</v>
      </c>
      <c r="GM206" s="1095">
        <f t="shared" si="466"/>
        <v>29</v>
      </c>
      <c r="GN206" s="1095">
        <f t="shared" si="467"/>
        <v>17988.478677604282</v>
      </c>
      <c r="GO206" s="1098">
        <f t="shared" si="468"/>
        <v>0.875</v>
      </c>
      <c r="GP206" s="1095">
        <f t="shared" si="469"/>
        <v>3861661.1715536695</v>
      </c>
      <c r="GQ206" s="1095">
        <f t="shared" si="470"/>
        <v>29939.417960262963</v>
      </c>
      <c r="GR206" s="1095">
        <f t="shared" si="471"/>
        <v>34709.702334455425</v>
      </c>
      <c r="GS206" s="1095">
        <f t="shared" si="472"/>
        <v>44837.160588670667</v>
      </c>
      <c r="GT206" s="1095">
        <f t="shared" si="473"/>
        <v>76465.519553492995</v>
      </c>
      <c r="GU206" s="497"/>
      <c r="GV206" s="1095">
        <f t="shared" si="563"/>
        <v>4413327.0532041937</v>
      </c>
      <c r="GW206" s="1098">
        <f t="shared" si="564"/>
        <v>0.125</v>
      </c>
      <c r="GX206" s="1095">
        <f t="shared" si="565"/>
        <v>551665.88165052421</v>
      </c>
      <c r="GY206" s="1095">
        <f t="shared" si="566"/>
        <v>30000</v>
      </c>
      <c r="GZ206" s="1095">
        <f t="shared" si="567"/>
        <v>521665.88165052421</v>
      </c>
      <c r="HA206" s="1106">
        <f t="shared" si="568"/>
        <v>48</v>
      </c>
      <c r="HB206" s="770">
        <f t="shared" si="569"/>
        <v>10868.039201052588</v>
      </c>
      <c r="HC206" s="1098">
        <f t="shared" si="570"/>
        <v>0.875</v>
      </c>
      <c r="HD206" s="1102">
        <f t="shared" si="571"/>
        <v>3861661.1715536695</v>
      </c>
      <c r="HE206" s="1101">
        <f t="shared" si="572"/>
        <v>29939.417960262963</v>
      </c>
      <c r="HF206" s="1101">
        <f t="shared" si="573"/>
        <v>34709.702334455425</v>
      </c>
      <c r="HG206" s="1101">
        <f t="shared" si="574"/>
        <v>44837.160588670667</v>
      </c>
      <c r="HH206" s="1101">
        <f t="shared" si="575"/>
        <v>76465.519553492995</v>
      </c>
      <c r="HI206" s="497"/>
      <c r="HJ206" s="1102">
        <f t="shared" si="576"/>
        <v>-7120.4394765516936</v>
      </c>
      <c r="HL206" s="775"/>
      <c r="HN206" s="775"/>
      <c r="HO206" s="775"/>
      <c r="HQ206" s="702"/>
      <c r="HR206" s="1171"/>
      <c r="HS206" s="702"/>
      <c r="HT206" s="1171"/>
    </row>
    <row r="207" spans="1:228" ht="14.25" hidden="1" customHeight="1">
      <c r="A207" s="753">
        <f t="shared" si="577"/>
        <v>201</v>
      </c>
      <c r="B207" s="753"/>
      <c r="C207" s="753">
        <f t="shared" si="459"/>
        <v>15</v>
      </c>
      <c r="D207" s="753" t="s">
        <v>275</v>
      </c>
      <c r="E207" s="717" t="str">
        <f t="shared" si="497"/>
        <v>9th Floor</v>
      </c>
      <c r="F207" s="754"/>
      <c r="G207" s="756" t="s">
        <v>628</v>
      </c>
      <c r="H207" s="756"/>
      <c r="I207" s="755" t="s">
        <v>229</v>
      </c>
      <c r="J207" s="757">
        <v>22</v>
      </c>
      <c r="K207" s="758"/>
      <c r="L207" s="759" t="s">
        <v>277</v>
      </c>
      <c r="M207" s="760" t="s">
        <v>278</v>
      </c>
      <c r="N207" s="761">
        <f t="shared" si="498"/>
        <v>106005.26567735759</v>
      </c>
      <c r="O207" s="762">
        <f t="shared" si="499"/>
        <v>2332115.8449018667</v>
      </c>
      <c r="P207" s="762">
        <f t="shared" si="500"/>
        <v>22400</v>
      </c>
      <c r="Q207" s="762">
        <f t="shared" si="474"/>
        <v>50000</v>
      </c>
      <c r="R207" s="762"/>
      <c r="S207" s="762"/>
      <c r="T207" s="762"/>
      <c r="U207" s="762"/>
      <c r="V207" s="762"/>
      <c r="W207" s="762">
        <f t="shared" si="583"/>
        <v>22000</v>
      </c>
      <c r="X207" s="762"/>
      <c r="Y207" s="762">
        <f t="shared" si="460"/>
        <v>100000</v>
      </c>
      <c r="Z207" s="762">
        <f t="shared" si="475"/>
        <v>142461</v>
      </c>
      <c r="AA207" s="762"/>
      <c r="AB207" s="762"/>
      <c r="AC207" s="762"/>
      <c r="AD207" s="763">
        <f t="shared" si="501"/>
        <v>336861</v>
      </c>
      <c r="AE207" s="763">
        <f t="shared" si="476"/>
        <v>2668976.8449018667</v>
      </c>
      <c r="AF207" s="762">
        <f t="shared" si="477"/>
        <v>66724.421122546672</v>
      </c>
      <c r="AG207" s="762">
        <f t="shared" si="502"/>
        <v>2735701.2660244135</v>
      </c>
      <c r="AH207" s="762">
        <f t="shared" si="478"/>
        <v>68392.531650610341</v>
      </c>
      <c r="AI207" s="762">
        <f t="shared" si="503"/>
        <v>2804093.7976750238</v>
      </c>
      <c r="AJ207" s="762">
        <f t="shared" si="504"/>
        <v>140204.68988375118</v>
      </c>
      <c r="AK207" s="762">
        <f t="shared" si="505"/>
        <v>2944298.4875587751</v>
      </c>
      <c r="AL207" s="762">
        <f t="shared" si="506"/>
        <v>29442.98487558775</v>
      </c>
      <c r="AM207" s="762">
        <f t="shared" si="507"/>
        <v>27537.409960060559</v>
      </c>
      <c r="AN207" s="762"/>
      <c r="AO207" s="763">
        <f t="shared" si="508"/>
        <v>3001278.8823944232</v>
      </c>
      <c r="AP207" s="763">
        <f t="shared" si="509"/>
        <v>495211.01559507987</v>
      </c>
      <c r="AQ207" s="763">
        <f t="shared" si="510"/>
        <v>3496489.8979895031</v>
      </c>
      <c r="AR207" s="1178">
        <f t="shared" si="479"/>
        <v>3000000</v>
      </c>
      <c r="AS207" s="1178">
        <f t="shared" si="511"/>
        <v>22567.722635886505</v>
      </c>
      <c r="AT207" s="1178">
        <f t="shared" si="512"/>
        <v>496489.89798950311</v>
      </c>
      <c r="AU207" s="1178">
        <f t="shared" si="480"/>
        <v>59578.787758740371</v>
      </c>
      <c r="AV207" s="1178">
        <f t="shared" si="513"/>
        <v>556068.68574824347</v>
      </c>
      <c r="AW207" s="1178">
        <f t="shared" si="514"/>
        <v>3556068.6857482437</v>
      </c>
      <c r="AX207" s="762">
        <f t="shared" si="515"/>
        <v>44450.858571853052</v>
      </c>
      <c r="AY207" s="717" t="s">
        <v>231</v>
      </c>
      <c r="AZ207" s="717">
        <f t="shared" si="516"/>
        <v>3600519.5443200967</v>
      </c>
      <c r="BA207" s="717">
        <f t="shared" si="517"/>
        <v>135019.48291200362</v>
      </c>
      <c r="BB207" s="717"/>
      <c r="BC207" s="717">
        <f t="shared" si="481"/>
        <v>33600</v>
      </c>
      <c r="BD207" s="717">
        <f t="shared" si="518"/>
        <v>3769139.0272321003</v>
      </c>
      <c r="BE207" s="717"/>
      <c r="BF207" s="717">
        <f t="shared" si="519"/>
        <v>3769139.0272321003</v>
      </c>
      <c r="BG207" s="1209"/>
      <c r="BH207" s="717">
        <f t="shared" si="520"/>
        <v>3769139.0272321003</v>
      </c>
      <c r="BI207" s="717"/>
      <c r="BJ207" s="717">
        <f t="shared" si="521"/>
        <v>3769139.0272321003</v>
      </c>
      <c r="BK207" s="717"/>
      <c r="BL207" s="717">
        <f t="shared" si="522"/>
        <v>3769139.0272321003</v>
      </c>
      <c r="BM207" s="717"/>
      <c r="BN207" s="717">
        <f t="shared" si="523"/>
        <v>3769139.0272321003</v>
      </c>
      <c r="BO207" s="717"/>
      <c r="BP207" s="717">
        <f t="shared" si="482"/>
        <v>3769139.0272321003</v>
      </c>
      <c r="BQ207" s="717"/>
      <c r="BR207" s="717">
        <f t="shared" si="433"/>
        <v>3769139.0272321003</v>
      </c>
      <c r="BS207" s="717"/>
      <c r="BT207" s="717">
        <f t="shared" si="524"/>
        <v>3769139.0272321003</v>
      </c>
      <c r="BU207" s="717"/>
      <c r="BV207" s="1235">
        <f t="shared" si="434"/>
        <v>51400</v>
      </c>
      <c r="BW207" s="717">
        <f t="shared" si="525"/>
        <v>3820539.0272321003</v>
      </c>
      <c r="BX207" s="717"/>
      <c r="BY207" s="717">
        <f t="shared" si="526"/>
        <v>3820539.0272321003</v>
      </c>
      <c r="BZ207" s="1194">
        <f t="shared" si="527"/>
        <v>3820539.0272321003</v>
      </c>
      <c r="CA207" s="1194">
        <f t="shared" si="528"/>
        <v>3039539.0272321003</v>
      </c>
      <c r="CB207" s="1194">
        <v>35500</v>
      </c>
      <c r="CC207" s="1194">
        <f t="shared" si="529"/>
        <v>781000</v>
      </c>
      <c r="CD207" s="1194">
        <f t="shared" si="530"/>
        <v>93720</v>
      </c>
      <c r="CE207" s="1194">
        <f t="shared" si="531"/>
        <v>874720</v>
      </c>
      <c r="CF207" s="1200">
        <f t="shared" si="532"/>
        <v>3914259.0272321003</v>
      </c>
      <c r="CG207" s="757">
        <f t="shared" si="533"/>
        <v>3914259.0272321003</v>
      </c>
      <c r="CH207" s="758">
        <f t="shared" si="534"/>
        <v>0</v>
      </c>
      <c r="CI207" s="757">
        <f t="shared" si="483"/>
        <v>401211.55029129027</v>
      </c>
      <c r="CJ207" s="757">
        <f t="shared" si="484"/>
        <v>97856.475680802512</v>
      </c>
      <c r="CK207" s="759">
        <f t="shared" si="444"/>
        <v>4413327.0532041937</v>
      </c>
      <c r="CL207" s="764">
        <f t="shared" si="535"/>
        <v>0.125</v>
      </c>
      <c r="CM207" s="757">
        <f t="shared" si="536"/>
        <v>551665.88165052421</v>
      </c>
      <c r="CN207" s="757">
        <f t="shared" si="578"/>
        <v>30000</v>
      </c>
      <c r="CO207" s="757">
        <f t="shared" si="537"/>
        <v>521665.88165052421</v>
      </c>
      <c r="CP207" s="755">
        <f t="shared" si="538"/>
        <v>29</v>
      </c>
      <c r="CQ207" s="757">
        <f t="shared" si="581"/>
        <v>17988.478677604282</v>
      </c>
      <c r="CR207" s="764">
        <f t="shared" si="539"/>
        <v>0.875</v>
      </c>
      <c r="CS207" s="757">
        <f t="shared" si="540"/>
        <v>3861661.1715536695</v>
      </c>
      <c r="CT207" s="1101">
        <f t="shared" si="541"/>
        <v>29939.417960262963</v>
      </c>
      <c r="CU207" s="1101">
        <f t="shared" si="542"/>
        <v>34709.702334455425</v>
      </c>
      <c r="CV207" s="1101">
        <f t="shared" si="543"/>
        <v>44837.160588670667</v>
      </c>
      <c r="CW207" s="1141">
        <f t="shared" si="485"/>
        <v>76465.519553492995</v>
      </c>
      <c r="CX207" s="1152">
        <f t="shared" si="544"/>
        <v>313695.01131050492</v>
      </c>
      <c r="CY207" s="1152">
        <f t="shared" si="545"/>
        <v>124127.58787943407</v>
      </c>
      <c r="CZ207" s="1152">
        <f t="shared" si="546"/>
        <v>89655.598682132651</v>
      </c>
      <c r="DA207" s="1152">
        <f t="shared" si="547"/>
        <v>68232.038127688167</v>
      </c>
      <c r="DB207" s="1143">
        <f t="shared" si="486"/>
        <v>0.16549663266316769</v>
      </c>
      <c r="DC207" s="1143">
        <f t="shared" si="548"/>
        <v>0.28778047992249256</v>
      </c>
      <c r="DD207" s="1098" t="s">
        <v>232</v>
      </c>
      <c r="DE207" s="1144"/>
      <c r="DF207" s="705"/>
      <c r="DG207" s="765">
        <f t="shared" si="579"/>
        <v>46082</v>
      </c>
      <c r="DH207" s="1116">
        <f t="shared" si="487"/>
        <v>28</v>
      </c>
      <c r="DI207" s="497"/>
      <c r="DJ207" s="1117">
        <f t="shared" si="549"/>
        <v>46147</v>
      </c>
      <c r="DK207" s="1116">
        <f t="shared" si="550"/>
        <v>30</v>
      </c>
      <c r="DL207" s="766" t="s">
        <v>233</v>
      </c>
      <c r="DM207" s="766" t="s">
        <v>234</v>
      </c>
      <c r="DN207" s="767">
        <f t="shared" si="488"/>
        <v>25275.849352192887</v>
      </c>
      <c r="DO207" s="767">
        <f t="shared" si="489"/>
        <v>556068.68574824347</v>
      </c>
      <c r="DP207" s="768">
        <f t="shared" si="490"/>
        <v>0.18535622858274783</v>
      </c>
      <c r="DR207" s="767">
        <f t="shared" si="491"/>
        <v>3914259.0272321003</v>
      </c>
      <c r="DS207" s="767">
        <f>SUM('[6]INTERNAL PRICELIST'!M207)</f>
        <v>0</v>
      </c>
      <c r="DT207" s="767">
        <f t="shared" si="551"/>
        <v>3914259.0272321003</v>
      </c>
      <c r="DV207" s="951">
        <f t="shared" si="492"/>
        <v>177920.86487418637</v>
      </c>
      <c r="DX207" s="781"/>
      <c r="DY207" s="782"/>
      <c r="DZ207" s="781"/>
      <c r="EA207" s="775"/>
      <c r="ED207" s="755" t="s">
        <v>628</v>
      </c>
      <c r="EE207" s="777" t="b">
        <f t="shared" si="493"/>
        <v>1</v>
      </c>
      <c r="EF207" s="777"/>
      <c r="EG207" s="777"/>
      <c r="EH207" s="1203"/>
      <c r="EP207" s="1230" t="s">
        <v>236</v>
      </c>
      <c r="EQ207" s="1145" t="s">
        <v>236</v>
      </c>
      <c r="ER207" s="753" t="b">
        <f t="shared" si="552"/>
        <v>1</v>
      </c>
      <c r="EU207" s="770">
        <v>3136128.9324007286</v>
      </c>
      <c r="EV207" s="771" t="s">
        <v>258</v>
      </c>
      <c r="EW207" s="775">
        <f t="shared" si="582"/>
        <v>-778130.09483137168</v>
      </c>
      <c r="EY207" s="775">
        <v>3102714.1170802992</v>
      </c>
      <c r="FJ207" s="994">
        <v>0.15</v>
      </c>
      <c r="FK207" s="993">
        <v>13497.690681661887</v>
      </c>
      <c r="FL207" s="993">
        <v>13862.493132517613</v>
      </c>
      <c r="FM207" s="497"/>
      <c r="FN207" s="993">
        <f t="shared" si="494"/>
        <v>4413327.0532041937</v>
      </c>
      <c r="FO207" s="994">
        <f t="shared" si="580"/>
        <v>0.15</v>
      </c>
      <c r="FP207" s="775">
        <f t="shared" si="495"/>
        <v>661999.05798062903</v>
      </c>
      <c r="FQ207" s="993">
        <f t="shared" si="496"/>
        <v>30000</v>
      </c>
      <c r="FR207" s="775">
        <f t="shared" si="554"/>
        <v>631999.05798062903</v>
      </c>
      <c r="FS207" s="497">
        <f t="shared" si="555"/>
        <v>40</v>
      </c>
      <c r="FT207" s="775">
        <f t="shared" si="556"/>
        <v>15799.976449515725</v>
      </c>
      <c r="FU207" s="497"/>
      <c r="FV207" s="993">
        <f t="shared" si="557"/>
        <v>4413327.0532041937</v>
      </c>
      <c r="FW207" s="705">
        <f t="shared" si="558"/>
        <v>441332.70532041939</v>
      </c>
      <c r="FX207" s="705">
        <f t="shared" si="559"/>
        <v>110333.17633010485</v>
      </c>
      <c r="FY207" s="705">
        <v>15000</v>
      </c>
      <c r="FZ207" s="705">
        <f t="shared" si="560"/>
        <v>426332.70532041939</v>
      </c>
      <c r="GA207" s="497">
        <f t="shared" si="561"/>
        <v>46</v>
      </c>
      <c r="GB207" s="775">
        <f t="shared" si="562"/>
        <v>9268.1022895743354</v>
      </c>
      <c r="GC207" s="497"/>
      <c r="GD207" s="497"/>
      <c r="GH207" s="1095">
        <f t="shared" si="461"/>
        <v>4413327.0532041937</v>
      </c>
      <c r="GI207" s="1098">
        <f t="shared" si="462"/>
        <v>0.125</v>
      </c>
      <c r="GJ207" s="1095">
        <f t="shared" si="463"/>
        <v>551665.88165052421</v>
      </c>
      <c r="GK207" s="1095">
        <f t="shared" si="464"/>
        <v>30000</v>
      </c>
      <c r="GL207" s="1095">
        <f t="shared" si="465"/>
        <v>521665.88165052421</v>
      </c>
      <c r="GM207" s="1095">
        <f t="shared" si="466"/>
        <v>29</v>
      </c>
      <c r="GN207" s="1095">
        <f t="shared" si="467"/>
        <v>17988.478677604282</v>
      </c>
      <c r="GO207" s="1098">
        <f t="shared" si="468"/>
        <v>0.875</v>
      </c>
      <c r="GP207" s="1095">
        <f t="shared" si="469"/>
        <v>3861661.1715536695</v>
      </c>
      <c r="GQ207" s="1095">
        <f t="shared" si="470"/>
        <v>29939.417960262963</v>
      </c>
      <c r="GR207" s="1095">
        <f t="shared" si="471"/>
        <v>34709.702334455425</v>
      </c>
      <c r="GS207" s="1095">
        <f t="shared" si="472"/>
        <v>44837.160588670667</v>
      </c>
      <c r="GT207" s="1095">
        <f t="shared" si="473"/>
        <v>76465.519553492995</v>
      </c>
      <c r="GU207" s="497"/>
      <c r="GV207" s="1095">
        <f t="shared" si="563"/>
        <v>4413327.0532041937</v>
      </c>
      <c r="GW207" s="1098">
        <f t="shared" si="564"/>
        <v>0.125</v>
      </c>
      <c r="GX207" s="1095">
        <f t="shared" si="565"/>
        <v>551665.88165052421</v>
      </c>
      <c r="GY207" s="1095">
        <f t="shared" si="566"/>
        <v>30000</v>
      </c>
      <c r="GZ207" s="1095">
        <f t="shared" si="567"/>
        <v>521665.88165052421</v>
      </c>
      <c r="HA207" s="1106">
        <f t="shared" si="568"/>
        <v>48</v>
      </c>
      <c r="HB207" s="770">
        <f t="shared" si="569"/>
        <v>10868.039201052588</v>
      </c>
      <c r="HC207" s="1098">
        <f t="shared" si="570"/>
        <v>0.875</v>
      </c>
      <c r="HD207" s="1102">
        <f t="shared" si="571"/>
        <v>3861661.1715536695</v>
      </c>
      <c r="HE207" s="1101">
        <f t="shared" si="572"/>
        <v>29939.417960262963</v>
      </c>
      <c r="HF207" s="1101">
        <f t="shared" si="573"/>
        <v>34709.702334455425</v>
      </c>
      <c r="HG207" s="1101">
        <f t="shared" si="574"/>
        <v>44837.160588670667</v>
      </c>
      <c r="HH207" s="1101">
        <f t="shared" si="575"/>
        <v>76465.519553492995</v>
      </c>
      <c r="HI207" s="497"/>
      <c r="HJ207" s="1102">
        <f t="shared" si="576"/>
        <v>-7120.4394765516936</v>
      </c>
      <c r="HL207" s="775"/>
      <c r="HN207" s="775"/>
      <c r="HO207" s="775"/>
      <c r="HQ207" s="702"/>
      <c r="HR207" s="1171"/>
      <c r="HS207" s="702"/>
      <c r="HT207" s="1171"/>
    </row>
    <row r="208" spans="1:228" ht="14.25" hidden="1" customHeight="1">
      <c r="A208" s="753">
        <f t="shared" si="577"/>
        <v>202</v>
      </c>
      <c r="B208" s="753"/>
      <c r="C208" s="753">
        <f t="shared" si="459"/>
        <v>16</v>
      </c>
      <c r="D208" s="753" t="s">
        <v>275</v>
      </c>
      <c r="E208" s="717" t="str">
        <f t="shared" si="497"/>
        <v>9th Floor</v>
      </c>
      <c r="F208" s="754"/>
      <c r="G208" s="756" t="s">
        <v>629</v>
      </c>
      <c r="H208" s="756"/>
      <c r="I208" s="755" t="s">
        <v>229</v>
      </c>
      <c r="J208" s="757">
        <v>22</v>
      </c>
      <c r="K208" s="758"/>
      <c r="L208" s="759" t="s">
        <v>277</v>
      </c>
      <c r="M208" s="760" t="s">
        <v>230</v>
      </c>
      <c r="N208" s="761">
        <f t="shared" si="498"/>
        <v>106005.26567735759</v>
      </c>
      <c r="O208" s="762">
        <f t="shared" si="499"/>
        <v>2332115.8449018667</v>
      </c>
      <c r="P208" s="762">
        <f t="shared" si="500"/>
        <v>22400</v>
      </c>
      <c r="Q208" s="762">
        <f t="shared" si="474"/>
        <v>50000</v>
      </c>
      <c r="R208" s="762"/>
      <c r="S208" s="762"/>
      <c r="T208" s="762"/>
      <c r="U208" s="762"/>
      <c r="V208" s="762">
        <f>J208*$V$5</f>
        <v>55000</v>
      </c>
      <c r="W208" s="762"/>
      <c r="X208" s="762"/>
      <c r="Y208" s="762">
        <f t="shared" si="460"/>
        <v>100000</v>
      </c>
      <c r="Z208" s="762">
        <f t="shared" si="475"/>
        <v>142461</v>
      </c>
      <c r="AA208" s="762"/>
      <c r="AB208" s="762"/>
      <c r="AC208" s="762"/>
      <c r="AD208" s="763">
        <f t="shared" si="501"/>
        <v>369861</v>
      </c>
      <c r="AE208" s="763">
        <f t="shared" si="476"/>
        <v>2701976.8449018667</v>
      </c>
      <c r="AF208" s="762">
        <f t="shared" si="477"/>
        <v>67549.421122546672</v>
      </c>
      <c r="AG208" s="762">
        <f t="shared" si="502"/>
        <v>2769526.2660244135</v>
      </c>
      <c r="AH208" s="762">
        <f t="shared" si="478"/>
        <v>69238.156650610341</v>
      </c>
      <c r="AI208" s="762">
        <f t="shared" si="503"/>
        <v>2838764.4226750238</v>
      </c>
      <c r="AJ208" s="762">
        <f t="shared" si="504"/>
        <v>141938.22113375118</v>
      </c>
      <c r="AK208" s="762">
        <f t="shared" si="505"/>
        <v>2980702.6438087751</v>
      </c>
      <c r="AL208" s="762">
        <f t="shared" si="506"/>
        <v>29807.026438087752</v>
      </c>
      <c r="AM208" s="762">
        <f t="shared" si="507"/>
        <v>27537.409960060559</v>
      </c>
      <c r="AN208" s="762"/>
      <c r="AO208" s="763">
        <f t="shared" si="508"/>
        <v>3038047.0802069232</v>
      </c>
      <c r="AP208" s="763">
        <f t="shared" si="509"/>
        <v>501277.76823414234</v>
      </c>
      <c r="AQ208" s="763">
        <f t="shared" si="510"/>
        <v>3539324.8484410653</v>
      </c>
      <c r="AR208" s="1178">
        <f t="shared" si="479"/>
        <v>3000000</v>
      </c>
      <c r="AS208" s="1178">
        <f t="shared" si="511"/>
        <v>24514.76583823024</v>
      </c>
      <c r="AT208" s="1178">
        <f t="shared" si="512"/>
        <v>539324.84844106529</v>
      </c>
      <c r="AU208" s="1178">
        <f t="shared" si="480"/>
        <v>64718.981812927836</v>
      </c>
      <c r="AV208" s="1178">
        <f t="shared" si="513"/>
        <v>604043.83025399316</v>
      </c>
      <c r="AW208" s="1178">
        <f t="shared" si="514"/>
        <v>3604043.8302539932</v>
      </c>
      <c r="AX208" s="762">
        <f t="shared" si="515"/>
        <v>45050.547878174919</v>
      </c>
      <c r="AY208" s="717" t="s">
        <v>231</v>
      </c>
      <c r="AZ208" s="717">
        <f t="shared" si="516"/>
        <v>3649094.3781321682</v>
      </c>
      <c r="BA208" s="717">
        <f t="shared" si="517"/>
        <v>136841.03917995631</v>
      </c>
      <c r="BB208" s="717"/>
      <c r="BC208" s="717">
        <f t="shared" si="481"/>
        <v>33600</v>
      </c>
      <c r="BD208" s="717">
        <f t="shared" si="518"/>
        <v>3819535.4173121247</v>
      </c>
      <c r="BE208" s="717"/>
      <c r="BF208" s="717">
        <f t="shared" si="519"/>
        <v>3819535.4173121247</v>
      </c>
      <c r="BG208" s="1209"/>
      <c r="BH208" s="717">
        <f t="shared" si="520"/>
        <v>3819535.4173121247</v>
      </c>
      <c r="BI208" s="717"/>
      <c r="BJ208" s="717">
        <f t="shared" si="521"/>
        <v>3819535.4173121247</v>
      </c>
      <c r="BK208" s="717"/>
      <c r="BL208" s="717">
        <f t="shared" si="522"/>
        <v>3819535.4173121247</v>
      </c>
      <c r="BM208" s="717"/>
      <c r="BN208" s="717">
        <f t="shared" si="523"/>
        <v>3819535.4173121247</v>
      </c>
      <c r="BO208" s="717"/>
      <c r="BP208" s="717">
        <f t="shared" si="482"/>
        <v>3819535.4173121247</v>
      </c>
      <c r="BQ208" s="717"/>
      <c r="BR208" s="717">
        <f t="shared" si="433"/>
        <v>3819535.4173121247</v>
      </c>
      <c r="BS208" s="717"/>
      <c r="BT208" s="717">
        <f t="shared" si="524"/>
        <v>3819535.4173121247</v>
      </c>
      <c r="BU208" s="717"/>
      <c r="BV208" s="1235">
        <f t="shared" si="434"/>
        <v>51400</v>
      </c>
      <c r="BW208" s="717">
        <f t="shared" si="525"/>
        <v>3870935.4173121247</v>
      </c>
      <c r="BX208" s="717"/>
      <c r="BY208" s="717">
        <f t="shared" si="526"/>
        <v>3870935.4173121247</v>
      </c>
      <c r="BZ208" s="1194">
        <f t="shared" si="527"/>
        <v>3870935.4173121247</v>
      </c>
      <c r="CA208" s="1194">
        <f t="shared" si="528"/>
        <v>3034935.4173121247</v>
      </c>
      <c r="CB208" s="1194">
        <v>38000</v>
      </c>
      <c r="CC208" s="1194">
        <f t="shared" si="529"/>
        <v>836000</v>
      </c>
      <c r="CD208" s="1194">
        <f t="shared" si="530"/>
        <v>100320</v>
      </c>
      <c r="CE208" s="1194">
        <f t="shared" si="531"/>
        <v>936320</v>
      </c>
      <c r="CF208" s="1200">
        <f t="shared" si="532"/>
        <v>3971255.4173121247</v>
      </c>
      <c r="CG208" s="757">
        <f t="shared" si="533"/>
        <v>3971255.4173121247</v>
      </c>
      <c r="CH208" s="758">
        <f t="shared" si="534"/>
        <v>0</v>
      </c>
      <c r="CI208" s="757">
        <f t="shared" si="483"/>
        <v>407053.68027449277</v>
      </c>
      <c r="CJ208" s="757">
        <f t="shared" si="484"/>
        <v>99281.38543280313</v>
      </c>
      <c r="CK208" s="759">
        <f t="shared" si="444"/>
        <v>4477590.4830194209</v>
      </c>
      <c r="CL208" s="764">
        <f t="shared" si="535"/>
        <v>0.125</v>
      </c>
      <c r="CM208" s="757">
        <f t="shared" si="536"/>
        <v>559698.81037742761</v>
      </c>
      <c r="CN208" s="757">
        <f t="shared" si="578"/>
        <v>30000</v>
      </c>
      <c r="CO208" s="757">
        <f t="shared" si="537"/>
        <v>529698.81037742761</v>
      </c>
      <c r="CP208" s="755">
        <f t="shared" si="538"/>
        <v>29</v>
      </c>
      <c r="CQ208" s="757">
        <f t="shared" si="581"/>
        <v>18265.476219911296</v>
      </c>
      <c r="CR208" s="764">
        <f t="shared" si="539"/>
        <v>0.875</v>
      </c>
      <c r="CS208" s="757">
        <f t="shared" si="540"/>
        <v>3917891.6726419935</v>
      </c>
      <c r="CT208" s="1101">
        <f t="shared" si="541"/>
        <v>30375.372436693899</v>
      </c>
      <c r="CU208" s="1101">
        <f t="shared" si="542"/>
        <v>35215.117975079258</v>
      </c>
      <c r="CV208" s="1101">
        <f t="shared" si="543"/>
        <v>45490.044385377318</v>
      </c>
      <c r="CW208" s="1141">
        <f t="shared" si="485"/>
        <v>77578.950869566252</v>
      </c>
      <c r="CX208" s="1152">
        <f t="shared" si="544"/>
        <v>318262.79364336049</v>
      </c>
      <c r="CY208" s="1152">
        <f t="shared" si="545"/>
        <v>125935.03709759978</v>
      </c>
      <c r="CZ208" s="1152">
        <f t="shared" si="546"/>
        <v>90961.093653158736</v>
      </c>
      <c r="DA208" s="1152">
        <f t="shared" si="547"/>
        <v>69225.579902523343</v>
      </c>
      <c r="DB208" s="1143">
        <f t="shared" si="486"/>
        <v>0.17977494948035511</v>
      </c>
      <c r="DC208" s="1143">
        <f t="shared" si="548"/>
        <v>0.30851397847182105</v>
      </c>
      <c r="DD208" s="1098" t="s">
        <v>232</v>
      </c>
      <c r="DE208" s="1144"/>
      <c r="DF208" s="705"/>
      <c r="DG208" s="765">
        <f t="shared" si="579"/>
        <v>46082</v>
      </c>
      <c r="DH208" s="1116">
        <f t="shared" si="487"/>
        <v>28</v>
      </c>
      <c r="DI208" s="497"/>
      <c r="DJ208" s="1117">
        <f t="shared" si="549"/>
        <v>46147</v>
      </c>
      <c r="DK208" s="1116">
        <f t="shared" si="550"/>
        <v>30</v>
      </c>
      <c r="DL208" s="766" t="s">
        <v>233</v>
      </c>
      <c r="DM208" s="766" t="s">
        <v>234</v>
      </c>
      <c r="DN208" s="767">
        <f t="shared" si="488"/>
        <v>27456.537738817871</v>
      </c>
      <c r="DO208" s="767">
        <f t="shared" si="489"/>
        <v>604043.83025399316</v>
      </c>
      <c r="DP208" s="768">
        <f t="shared" si="490"/>
        <v>0.20134794341799772</v>
      </c>
      <c r="DR208" s="767">
        <f t="shared" si="491"/>
        <v>3971255.4173121247</v>
      </c>
      <c r="DS208" s="767">
        <f>SUM('[6]INTERNAL PRICELIST'!M208)</f>
        <v>0</v>
      </c>
      <c r="DT208" s="767">
        <f t="shared" si="551"/>
        <v>3971255.4173121247</v>
      </c>
      <c r="DV208" s="951">
        <f t="shared" si="492"/>
        <v>180511.60987782385</v>
      </c>
      <c r="DX208" s="781"/>
      <c r="DY208" s="782"/>
      <c r="DZ208" s="781"/>
      <c r="EA208" s="775"/>
      <c r="ED208" s="1133" t="s">
        <v>629</v>
      </c>
      <c r="EE208" s="777" t="b">
        <f t="shared" si="493"/>
        <v>1</v>
      </c>
      <c r="EF208" s="777"/>
      <c r="EG208" s="777"/>
      <c r="EH208" s="1203"/>
      <c r="EP208" s="1230" t="s">
        <v>236</v>
      </c>
      <c r="EQ208" s="1145" t="s">
        <v>236</v>
      </c>
      <c r="ER208" s="753" t="b">
        <f t="shared" si="552"/>
        <v>1</v>
      </c>
      <c r="EU208" s="770">
        <v>3235519.0478750588</v>
      </c>
      <c r="EV208" s="771" t="s">
        <v>258</v>
      </c>
      <c r="EW208" s="775">
        <f t="shared" si="582"/>
        <v>-735736.36943706591</v>
      </c>
      <c r="EY208" s="775">
        <v>3201224.745602583</v>
      </c>
      <c r="FJ208" s="994">
        <v>0.15</v>
      </c>
      <c r="FK208" s="993">
        <v>13934.075483449196</v>
      </c>
      <c r="FL208" s="993">
        <v>14310.672118137012</v>
      </c>
      <c r="FM208" s="497"/>
      <c r="FN208" s="993">
        <f t="shared" si="494"/>
        <v>4477590.4830194209</v>
      </c>
      <c r="FO208" s="994">
        <f t="shared" si="580"/>
        <v>0.15</v>
      </c>
      <c r="FP208" s="775">
        <f t="shared" si="495"/>
        <v>671638.57245291315</v>
      </c>
      <c r="FQ208" s="993">
        <f t="shared" si="496"/>
        <v>30000</v>
      </c>
      <c r="FR208" s="775">
        <f t="shared" si="554"/>
        <v>641638.57245291315</v>
      </c>
      <c r="FS208" s="497">
        <f t="shared" si="555"/>
        <v>40</v>
      </c>
      <c r="FT208" s="775">
        <f t="shared" si="556"/>
        <v>16040.964311322829</v>
      </c>
      <c r="FU208" s="497"/>
      <c r="FV208" s="993">
        <f t="shared" si="557"/>
        <v>4477590.4830194209</v>
      </c>
      <c r="FW208" s="705">
        <f t="shared" si="558"/>
        <v>447759.04830194212</v>
      </c>
      <c r="FX208" s="705">
        <f t="shared" si="559"/>
        <v>111939.76207548553</v>
      </c>
      <c r="FY208" s="705">
        <v>15000</v>
      </c>
      <c r="FZ208" s="705">
        <f t="shared" si="560"/>
        <v>432759.04830194212</v>
      </c>
      <c r="GA208" s="497">
        <f t="shared" si="561"/>
        <v>46</v>
      </c>
      <c r="GB208" s="775">
        <f t="shared" si="562"/>
        <v>9407.8053978683074</v>
      </c>
      <c r="GC208" s="497"/>
      <c r="GD208" s="497"/>
      <c r="GH208" s="1095">
        <f t="shared" si="461"/>
        <v>4477590.4830194209</v>
      </c>
      <c r="GI208" s="1098">
        <f t="shared" si="462"/>
        <v>0.125</v>
      </c>
      <c r="GJ208" s="1095">
        <f t="shared" si="463"/>
        <v>559698.81037742761</v>
      </c>
      <c r="GK208" s="1095">
        <f t="shared" si="464"/>
        <v>30000</v>
      </c>
      <c r="GL208" s="1095">
        <f t="shared" si="465"/>
        <v>529698.81037742761</v>
      </c>
      <c r="GM208" s="1095">
        <f t="shared" si="466"/>
        <v>29</v>
      </c>
      <c r="GN208" s="1095">
        <f t="shared" si="467"/>
        <v>18265.476219911296</v>
      </c>
      <c r="GO208" s="1098">
        <f t="shared" si="468"/>
        <v>0.875</v>
      </c>
      <c r="GP208" s="1095">
        <f t="shared" si="469"/>
        <v>3917891.6726419935</v>
      </c>
      <c r="GQ208" s="1095">
        <f t="shared" si="470"/>
        <v>30375.372436693899</v>
      </c>
      <c r="GR208" s="1095">
        <f t="shared" si="471"/>
        <v>35215.117975079258</v>
      </c>
      <c r="GS208" s="1095">
        <f t="shared" si="472"/>
        <v>45490.044385377318</v>
      </c>
      <c r="GT208" s="1095">
        <f t="shared" si="473"/>
        <v>77578.950869566252</v>
      </c>
      <c r="GU208" s="497"/>
      <c r="GV208" s="1095">
        <f t="shared" si="563"/>
        <v>4477590.4830194209</v>
      </c>
      <c r="GW208" s="1098">
        <f t="shared" si="564"/>
        <v>0.125</v>
      </c>
      <c r="GX208" s="1095">
        <f t="shared" si="565"/>
        <v>559698.81037742761</v>
      </c>
      <c r="GY208" s="1095">
        <f t="shared" si="566"/>
        <v>30000</v>
      </c>
      <c r="GZ208" s="1095">
        <f t="shared" si="567"/>
        <v>529698.81037742761</v>
      </c>
      <c r="HA208" s="1106">
        <f t="shared" si="568"/>
        <v>48</v>
      </c>
      <c r="HB208" s="770">
        <f t="shared" si="569"/>
        <v>11035.391882863076</v>
      </c>
      <c r="HC208" s="1098">
        <f t="shared" si="570"/>
        <v>0.875</v>
      </c>
      <c r="HD208" s="1102">
        <f t="shared" si="571"/>
        <v>3917891.6726419935</v>
      </c>
      <c r="HE208" s="1101">
        <f t="shared" si="572"/>
        <v>30375.372436693899</v>
      </c>
      <c r="HF208" s="1101">
        <f t="shared" si="573"/>
        <v>35215.117975079258</v>
      </c>
      <c r="HG208" s="1101">
        <f t="shared" si="574"/>
        <v>45490.044385377318</v>
      </c>
      <c r="HH208" s="1101">
        <f t="shared" si="575"/>
        <v>77578.950869566252</v>
      </c>
      <c r="HI208" s="497"/>
      <c r="HJ208" s="1102">
        <f t="shared" si="576"/>
        <v>-7230.0843370482198</v>
      </c>
      <c r="HL208" s="775"/>
      <c r="HN208" s="775"/>
      <c r="HO208" s="775"/>
      <c r="HQ208" s="702"/>
      <c r="HR208" s="1171"/>
      <c r="HS208" s="702"/>
      <c r="HT208" s="1171"/>
    </row>
    <row r="209" spans="1:228" ht="14.25" hidden="1" customHeight="1">
      <c r="A209" s="753">
        <f t="shared" si="577"/>
        <v>203</v>
      </c>
      <c r="B209" s="753"/>
      <c r="C209" s="753">
        <f t="shared" si="459"/>
        <v>17</v>
      </c>
      <c r="D209" s="753" t="s">
        <v>275</v>
      </c>
      <c r="E209" s="717" t="str">
        <f t="shared" si="497"/>
        <v>9th Floor</v>
      </c>
      <c r="F209" s="754"/>
      <c r="G209" s="756" t="s">
        <v>630</v>
      </c>
      <c r="H209" s="756"/>
      <c r="I209" s="755" t="s">
        <v>229</v>
      </c>
      <c r="J209" s="757">
        <v>22</v>
      </c>
      <c r="K209" s="758"/>
      <c r="L209" s="759" t="s">
        <v>69</v>
      </c>
      <c r="M209" s="760" t="s">
        <v>68</v>
      </c>
      <c r="N209" s="761">
        <f t="shared" si="498"/>
        <v>106005.26567735759</v>
      </c>
      <c r="O209" s="762">
        <f t="shared" si="499"/>
        <v>2332115.8449018667</v>
      </c>
      <c r="P209" s="762">
        <f t="shared" si="500"/>
        <v>22400</v>
      </c>
      <c r="Q209" s="762">
        <f t="shared" si="474"/>
        <v>50000</v>
      </c>
      <c r="R209" s="762"/>
      <c r="S209" s="762"/>
      <c r="T209" s="762"/>
      <c r="U209" s="762"/>
      <c r="V209" s="762"/>
      <c r="W209" s="762"/>
      <c r="X209" s="762"/>
      <c r="Y209" s="762">
        <f t="shared" si="460"/>
        <v>100000</v>
      </c>
      <c r="Z209" s="762">
        <f t="shared" si="475"/>
        <v>142461</v>
      </c>
      <c r="AA209" s="762"/>
      <c r="AB209" s="762"/>
      <c r="AC209" s="762"/>
      <c r="AD209" s="763">
        <f t="shared" si="501"/>
        <v>314861</v>
      </c>
      <c r="AE209" s="763">
        <f t="shared" si="476"/>
        <v>2646976.8449018667</v>
      </c>
      <c r="AF209" s="762">
        <f t="shared" si="477"/>
        <v>66174.421122546672</v>
      </c>
      <c r="AG209" s="762">
        <f t="shared" si="502"/>
        <v>2713151.2660244135</v>
      </c>
      <c r="AH209" s="762">
        <f t="shared" si="478"/>
        <v>67828.781650610341</v>
      </c>
      <c r="AI209" s="762">
        <f t="shared" si="503"/>
        <v>2780980.0476750238</v>
      </c>
      <c r="AJ209" s="762">
        <f t="shared" si="504"/>
        <v>139049.00238375118</v>
      </c>
      <c r="AK209" s="762">
        <f t="shared" si="505"/>
        <v>2920029.0500587751</v>
      </c>
      <c r="AL209" s="762">
        <f t="shared" si="506"/>
        <v>29200.290500587751</v>
      </c>
      <c r="AM209" s="762">
        <f t="shared" si="507"/>
        <v>27537.409960060559</v>
      </c>
      <c r="AN209" s="762"/>
      <c r="AO209" s="763">
        <f t="shared" si="508"/>
        <v>2976766.7505194233</v>
      </c>
      <c r="AP209" s="763">
        <f t="shared" si="509"/>
        <v>491166.51383570489</v>
      </c>
      <c r="AQ209" s="763">
        <f t="shared" si="510"/>
        <v>3467933.2643551282</v>
      </c>
      <c r="AR209" s="1178">
        <f t="shared" si="479"/>
        <v>3000000</v>
      </c>
      <c r="AS209" s="1178">
        <f t="shared" si="511"/>
        <v>21269.693834324007</v>
      </c>
      <c r="AT209" s="1178">
        <f t="shared" si="512"/>
        <v>467933.26435512817</v>
      </c>
      <c r="AU209" s="1178">
        <f t="shared" si="480"/>
        <v>56151.991722615378</v>
      </c>
      <c r="AV209" s="1178">
        <f t="shared" si="513"/>
        <v>524085.25607774354</v>
      </c>
      <c r="AW209" s="1178">
        <f t="shared" si="514"/>
        <v>3524085.2560777436</v>
      </c>
      <c r="AX209" s="762">
        <f t="shared" si="515"/>
        <v>44051.065700971798</v>
      </c>
      <c r="AY209" s="717" t="s">
        <v>231</v>
      </c>
      <c r="AZ209" s="717">
        <f t="shared" si="516"/>
        <v>3568136.3217787156</v>
      </c>
      <c r="BA209" s="717">
        <f t="shared" si="517"/>
        <v>133805.11206670184</v>
      </c>
      <c r="BB209" s="717"/>
      <c r="BC209" s="717">
        <f t="shared" si="481"/>
        <v>33600</v>
      </c>
      <c r="BD209" s="717">
        <f t="shared" si="518"/>
        <v>3735541.4338454176</v>
      </c>
      <c r="BE209" s="717"/>
      <c r="BF209" s="717">
        <f t="shared" si="519"/>
        <v>3735541.4338454176</v>
      </c>
      <c r="BG209" s="1209"/>
      <c r="BH209" s="717">
        <f t="shared" si="520"/>
        <v>3735541.4338454176</v>
      </c>
      <c r="BI209" s="717"/>
      <c r="BJ209" s="717">
        <f t="shared" si="521"/>
        <v>3735541.4338454176</v>
      </c>
      <c r="BK209" s="717"/>
      <c r="BL209" s="717">
        <f t="shared" si="522"/>
        <v>3735541.4338454176</v>
      </c>
      <c r="BM209" s="717"/>
      <c r="BN209" s="717">
        <f t="shared" si="523"/>
        <v>3735541.4338454176</v>
      </c>
      <c r="BO209" s="717"/>
      <c r="BP209" s="717">
        <f t="shared" si="482"/>
        <v>3735541.4338454176</v>
      </c>
      <c r="BQ209" s="717"/>
      <c r="BR209" s="717">
        <f t="shared" si="433"/>
        <v>3735541.4338454176</v>
      </c>
      <c r="BS209" s="717"/>
      <c r="BT209" s="717">
        <f t="shared" si="524"/>
        <v>3735541.4338454176</v>
      </c>
      <c r="BU209" s="717"/>
      <c r="BV209" s="1235">
        <f t="shared" si="434"/>
        <v>51400</v>
      </c>
      <c r="BW209" s="717">
        <f t="shared" si="525"/>
        <v>3786941.4338454176</v>
      </c>
      <c r="BX209" s="717"/>
      <c r="BY209" s="717">
        <f t="shared" si="526"/>
        <v>3786941.4338454176</v>
      </c>
      <c r="BZ209" s="1194">
        <f t="shared" si="527"/>
        <v>3786941.4338454176</v>
      </c>
      <c r="CA209" s="1194">
        <f t="shared" si="528"/>
        <v>3038941.4338454176</v>
      </c>
      <c r="CB209" s="1194">
        <v>34000</v>
      </c>
      <c r="CC209" s="1194">
        <f t="shared" si="529"/>
        <v>748000</v>
      </c>
      <c r="CD209" s="1194">
        <f t="shared" si="530"/>
        <v>89760</v>
      </c>
      <c r="CE209" s="1194">
        <f t="shared" si="531"/>
        <v>837760</v>
      </c>
      <c r="CF209" s="1200">
        <f t="shared" si="532"/>
        <v>3876701.4338454176</v>
      </c>
      <c r="CG209" s="757">
        <f t="shared" si="533"/>
        <v>3876701.4338454176</v>
      </c>
      <c r="CH209" s="758">
        <f t="shared" si="534"/>
        <v>0</v>
      </c>
      <c r="CI209" s="757">
        <f t="shared" si="483"/>
        <v>397361.89696915529</v>
      </c>
      <c r="CJ209" s="757">
        <f t="shared" si="484"/>
        <v>96917.535846135448</v>
      </c>
      <c r="CK209" s="759">
        <f t="shared" si="444"/>
        <v>4370980.8666607086</v>
      </c>
      <c r="CL209" s="764">
        <f t="shared" si="535"/>
        <v>0.125</v>
      </c>
      <c r="CM209" s="757">
        <f t="shared" si="536"/>
        <v>546372.60833258857</v>
      </c>
      <c r="CN209" s="757">
        <f t="shared" si="578"/>
        <v>30000</v>
      </c>
      <c r="CO209" s="757">
        <f t="shared" si="537"/>
        <v>516372.60833258857</v>
      </c>
      <c r="CP209" s="755">
        <f t="shared" si="538"/>
        <v>29</v>
      </c>
      <c r="CQ209" s="757">
        <f t="shared" si="581"/>
        <v>17805.952011468573</v>
      </c>
      <c r="CR209" s="764">
        <f t="shared" si="539"/>
        <v>0.875</v>
      </c>
      <c r="CS209" s="757">
        <f t="shared" si="540"/>
        <v>3824608.2583281202</v>
      </c>
      <c r="CT209" s="1101">
        <f t="shared" si="541"/>
        <v>29652.147118409492</v>
      </c>
      <c r="CU209" s="1101">
        <f t="shared" si="542"/>
        <v>34376.660275209768</v>
      </c>
      <c r="CV209" s="1101">
        <f t="shared" si="543"/>
        <v>44406.94484814685</v>
      </c>
      <c r="CW209" s="1141">
        <f t="shared" si="485"/>
        <v>75731.827462215559</v>
      </c>
      <c r="CX209" s="1152">
        <f t="shared" si="544"/>
        <v>310685.08539597952</v>
      </c>
      <c r="CY209" s="1152">
        <f t="shared" si="545"/>
        <v>122936.57485724729</v>
      </c>
      <c r="CZ209" s="1152">
        <f t="shared" si="546"/>
        <v>88795.34684475635</v>
      </c>
      <c r="DA209" s="1152">
        <f t="shared" si="547"/>
        <v>67577.34687549567</v>
      </c>
      <c r="DB209" s="1143">
        <f t="shared" si="486"/>
        <v>0.15597775478504272</v>
      </c>
      <c r="DC209" s="1143">
        <f t="shared" si="548"/>
        <v>0.27567494084277722</v>
      </c>
      <c r="DD209" s="1098" t="s">
        <v>232</v>
      </c>
      <c r="DE209" s="1144"/>
      <c r="DF209" s="705"/>
      <c r="DG209" s="765">
        <f t="shared" si="579"/>
        <v>46082</v>
      </c>
      <c r="DH209" s="1116">
        <f t="shared" si="487"/>
        <v>28</v>
      </c>
      <c r="DI209" s="497"/>
      <c r="DJ209" s="1117">
        <f t="shared" si="549"/>
        <v>46147</v>
      </c>
      <c r="DK209" s="1116">
        <f t="shared" si="550"/>
        <v>30</v>
      </c>
      <c r="DL209" s="766" t="s">
        <v>233</v>
      </c>
      <c r="DM209" s="766" t="s">
        <v>234</v>
      </c>
      <c r="DN209" s="767">
        <f t="shared" si="488"/>
        <v>23822.057094442887</v>
      </c>
      <c r="DO209" s="767">
        <f t="shared" si="489"/>
        <v>524085.25607774354</v>
      </c>
      <c r="DP209" s="768">
        <f t="shared" si="490"/>
        <v>0.17469508535924785</v>
      </c>
      <c r="DR209" s="767">
        <f t="shared" si="491"/>
        <v>3876701.4338454176</v>
      </c>
      <c r="DS209" s="767">
        <f>SUM('[6]INTERNAL PRICELIST'!M209)</f>
        <v>0</v>
      </c>
      <c r="DT209" s="767">
        <f t="shared" si="551"/>
        <v>3876701.4338454176</v>
      </c>
      <c r="DV209" s="951">
        <f t="shared" si="492"/>
        <v>176213.70153842808</v>
      </c>
      <c r="DX209" s="781"/>
      <c r="DY209" s="782"/>
      <c r="DZ209" s="781"/>
      <c r="EA209" s="775"/>
      <c r="ED209" s="755" t="s">
        <v>630</v>
      </c>
      <c r="EE209" s="777" t="b">
        <f t="shared" si="493"/>
        <v>1</v>
      </c>
      <c r="EF209" s="777"/>
      <c r="EG209" s="777"/>
      <c r="EH209" s="1203"/>
      <c r="EP209" s="1230" t="s">
        <v>236</v>
      </c>
      <c r="EQ209" s="1145" t="s">
        <v>236</v>
      </c>
      <c r="ER209" s="753" t="b">
        <f t="shared" si="552"/>
        <v>1</v>
      </c>
      <c r="EU209" s="770">
        <v>2468160</v>
      </c>
      <c r="EV209" s="771" t="s">
        <v>236</v>
      </c>
      <c r="FJ209" s="994">
        <v>0.15</v>
      </c>
      <c r="FK209" s="993">
        <v>13375.504154826031</v>
      </c>
      <c r="FL209" s="993">
        <v>13737.004267118626</v>
      </c>
      <c r="FM209" s="497"/>
      <c r="FN209" s="993">
        <f t="shared" si="494"/>
        <v>4370980.8666607086</v>
      </c>
      <c r="FO209" s="994">
        <f t="shared" si="553"/>
        <v>0.15</v>
      </c>
      <c r="FP209" s="775">
        <f t="shared" si="495"/>
        <v>655647.12999910628</v>
      </c>
      <c r="FQ209" s="993">
        <f t="shared" si="496"/>
        <v>30000</v>
      </c>
      <c r="FR209" s="775">
        <f t="shared" si="554"/>
        <v>625647.12999910628</v>
      </c>
      <c r="FS209" s="497">
        <f t="shared" si="555"/>
        <v>40</v>
      </c>
      <c r="FT209" s="775">
        <f t="shared" si="556"/>
        <v>15641.178249977656</v>
      </c>
      <c r="FU209" s="497"/>
      <c r="FV209" s="993">
        <f t="shared" si="557"/>
        <v>4370980.8666607086</v>
      </c>
      <c r="FW209" s="705">
        <f t="shared" si="558"/>
        <v>437098.08666607086</v>
      </c>
      <c r="FX209" s="705">
        <f t="shared" si="559"/>
        <v>109274.52166651771</v>
      </c>
      <c r="FY209" s="705">
        <v>15000</v>
      </c>
      <c r="FZ209" s="705">
        <f t="shared" si="560"/>
        <v>422098.08666607086</v>
      </c>
      <c r="GA209" s="497">
        <f t="shared" si="561"/>
        <v>46</v>
      </c>
      <c r="GB209" s="775">
        <f t="shared" si="562"/>
        <v>9176.0453623058875</v>
      </c>
      <c r="GC209" s="497"/>
      <c r="GD209" s="497"/>
      <c r="GH209" s="1095">
        <f t="shared" si="461"/>
        <v>4370980.8666607086</v>
      </c>
      <c r="GI209" s="1098">
        <f t="shared" si="462"/>
        <v>0.125</v>
      </c>
      <c r="GJ209" s="1095">
        <f t="shared" si="463"/>
        <v>546372.60833258857</v>
      </c>
      <c r="GK209" s="1095">
        <f t="shared" si="464"/>
        <v>30000</v>
      </c>
      <c r="GL209" s="1095">
        <f t="shared" si="465"/>
        <v>516372.60833258857</v>
      </c>
      <c r="GM209" s="1095">
        <f t="shared" si="466"/>
        <v>29</v>
      </c>
      <c r="GN209" s="1095">
        <f t="shared" si="467"/>
        <v>17805.952011468573</v>
      </c>
      <c r="GO209" s="1098">
        <f t="shared" si="468"/>
        <v>0.875</v>
      </c>
      <c r="GP209" s="1095">
        <f t="shared" si="469"/>
        <v>3824608.2583281202</v>
      </c>
      <c r="GQ209" s="1095">
        <f t="shared" si="470"/>
        <v>29652.147118409492</v>
      </c>
      <c r="GR209" s="1095">
        <f t="shared" si="471"/>
        <v>34376.660275209768</v>
      </c>
      <c r="GS209" s="1095">
        <f t="shared" si="472"/>
        <v>44406.94484814685</v>
      </c>
      <c r="GT209" s="1095">
        <f t="shared" si="473"/>
        <v>75731.827462215559</v>
      </c>
      <c r="GU209" s="497"/>
      <c r="GV209" s="1095">
        <f t="shared" si="563"/>
        <v>4370980.8666607086</v>
      </c>
      <c r="GW209" s="1098">
        <f t="shared" si="564"/>
        <v>0.125</v>
      </c>
      <c r="GX209" s="1095">
        <f t="shared" si="565"/>
        <v>546372.60833258857</v>
      </c>
      <c r="GY209" s="1095">
        <f t="shared" si="566"/>
        <v>30000</v>
      </c>
      <c r="GZ209" s="1095">
        <f t="shared" si="567"/>
        <v>516372.60833258857</v>
      </c>
      <c r="HA209" s="1106">
        <f t="shared" si="568"/>
        <v>48</v>
      </c>
      <c r="HB209" s="770">
        <f t="shared" si="569"/>
        <v>10757.762673595595</v>
      </c>
      <c r="HC209" s="1098">
        <f t="shared" si="570"/>
        <v>0.875</v>
      </c>
      <c r="HD209" s="1102">
        <f t="shared" si="571"/>
        <v>3824608.2583281202</v>
      </c>
      <c r="HE209" s="1101">
        <f t="shared" si="572"/>
        <v>29652.147118409492</v>
      </c>
      <c r="HF209" s="1101">
        <f t="shared" si="573"/>
        <v>34376.660275209768</v>
      </c>
      <c r="HG209" s="1101">
        <f t="shared" si="574"/>
        <v>44406.94484814685</v>
      </c>
      <c r="HH209" s="1101">
        <f t="shared" si="575"/>
        <v>75731.827462215559</v>
      </c>
      <c r="HI209" s="497"/>
      <c r="HJ209" s="1102">
        <f t="shared" si="576"/>
        <v>-7048.1893378729783</v>
      </c>
      <c r="HL209" s="775"/>
      <c r="HN209" s="775"/>
      <c r="HO209" s="775"/>
      <c r="HQ209" s="702"/>
      <c r="HR209" s="1171"/>
      <c r="HS209" s="702"/>
      <c r="HT209" s="1171"/>
    </row>
    <row r="210" spans="1:228" ht="14.25" hidden="1" customHeight="1">
      <c r="A210" s="753">
        <f t="shared" si="577"/>
        <v>204</v>
      </c>
      <c r="B210" s="753"/>
      <c r="C210" s="753">
        <f t="shared" si="459"/>
        <v>18</v>
      </c>
      <c r="D210" s="753" t="s">
        <v>275</v>
      </c>
      <c r="E210" s="717" t="str">
        <f t="shared" si="497"/>
        <v>9th Floor</v>
      </c>
      <c r="F210" s="754"/>
      <c r="G210" s="756" t="s">
        <v>631</v>
      </c>
      <c r="H210" s="756"/>
      <c r="I210" s="755" t="s">
        <v>229</v>
      </c>
      <c r="J210" s="757">
        <v>22</v>
      </c>
      <c r="K210" s="758"/>
      <c r="L210" s="759" t="s">
        <v>69</v>
      </c>
      <c r="M210" s="760" t="s">
        <v>68</v>
      </c>
      <c r="N210" s="761">
        <f t="shared" si="498"/>
        <v>106005.26567735759</v>
      </c>
      <c r="O210" s="762">
        <f t="shared" si="499"/>
        <v>2332115.8449018667</v>
      </c>
      <c r="P210" s="762">
        <f t="shared" si="500"/>
        <v>22400</v>
      </c>
      <c r="Q210" s="762">
        <f t="shared" si="474"/>
        <v>50000</v>
      </c>
      <c r="R210" s="762"/>
      <c r="S210" s="762"/>
      <c r="T210" s="762"/>
      <c r="U210" s="762"/>
      <c r="V210" s="762"/>
      <c r="W210" s="762"/>
      <c r="X210" s="762"/>
      <c r="Y210" s="762">
        <f t="shared" si="460"/>
        <v>100000</v>
      </c>
      <c r="Z210" s="762">
        <f t="shared" si="475"/>
        <v>142461</v>
      </c>
      <c r="AA210" s="762"/>
      <c r="AB210" s="762"/>
      <c r="AC210" s="762"/>
      <c r="AD210" s="763">
        <f t="shared" si="501"/>
        <v>314861</v>
      </c>
      <c r="AE210" s="763">
        <f t="shared" si="476"/>
        <v>2646976.8449018667</v>
      </c>
      <c r="AF210" s="762">
        <f t="shared" si="477"/>
        <v>66174.421122546672</v>
      </c>
      <c r="AG210" s="762">
        <f t="shared" si="502"/>
        <v>2713151.2660244135</v>
      </c>
      <c r="AH210" s="762">
        <f t="shared" si="478"/>
        <v>67828.781650610341</v>
      </c>
      <c r="AI210" s="762">
        <f t="shared" si="503"/>
        <v>2780980.0476750238</v>
      </c>
      <c r="AJ210" s="762">
        <f t="shared" si="504"/>
        <v>139049.00238375118</v>
      </c>
      <c r="AK210" s="762">
        <f t="shared" si="505"/>
        <v>2920029.0500587751</v>
      </c>
      <c r="AL210" s="762">
        <f t="shared" si="506"/>
        <v>29200.290500587751</v>
      </c>
      <c r="AM210" s="762">
        <f t="shared" si="507"/>
        <v>27537.409960060559</v>
      </c>
      <c r="AN210" s="762"/>
      <c r="AO210" s="763">
        <f t="shared" si="508"/>
        <v>2976766.7505194233</v>
      </c>
      <c r="AP210" s="763">
        <f t="shared" si="509"/>
        <v>491166.51383570489</v>
      </c>
      <c r="AQ210" s="763">
        <f t="shared" si="510"/>
        <v>3467933.2643551282</v>
      </c>
      <c r="AR210" s="1178">
        <f t="shared" si="479"/>
        <v>3000000</v>
      </c>
      <c r="AS210" s="1178">
        <f t="shared" si="511"/>
        <v>21269.693834324007</v>
      </c>
      <c r="AT210" s="1178">
        <f t="shared" si="512"/>
        <v>467933.26435512817</v>
      </c>
      <c r="AU210" s="1178">
        <f t="shared" si="480"/>
        <v>56151.991722615378</v>
      </c>
      <c r="AV210" s="1178">
        <f t="shared" si="513"/>
        <v>524085.25607774354</v>
      </c>
      <c r="AW210" s="1178">
        <f t="shared" si="514"/>
        <v>3524085.2560777436</v>
      </c>
      <c r="AX210" s="762">
        <f t="shared" si="515"/>
        <v>44051.065700971798</v>
      </c>
      <c r="AY210" s="717" t="s">
        <v>231</v>
      </c>
      <c r="AZ210" s="717">
        <f t="shared" si="516"/>
        <v>3568136.3217787156</v>
      </c>
      <c r="BA210" s="717">
        <f t="shared" si="517"/>
        <v>133805.11206670184</v>
      </c>
      <c r="BB210" s="717"/>
      <c r="BC210" s="717">
        <f t="shared" si="481"/>
        <v>33600</v>
      </c>
      <c r="BD210" s="717">
        <f t="shared" si="518"/>
        <v>3735541.4338454176</v>
      </c>
      <c r="BE210" s="717"/>
      <c r="BF210" s="717">
        <f t="shared" si="519"/>
        <v>3735541.4338454176</v>
      </c>
      <c r="BG210" s="1209"/>
      <c r="BH210" s="717">
        <f t="shared" si="520"/>
        <v>3735541.4338454176</v>
      </c>
      <c r="BI210" s="717"/>
      <c r="BJ210" s="717">
        <f t="shared" si="521"/>
        <v>3735541.4338454176</v>
      </c>
      <c r="BK210" s="717"/>
      <c r="BL210" s="717">
        <f t="shared" si="522"/>
        <v>3735541.4338454176</v>
      </c>
      <c r="BM210" s="717"/>
      <c r="BN210" s="717">
        <f t="shared" si="523"/>
        <v>3735541.4338454176</v>
      </c>
      <c r="BO210" s="717"/>
      <c r="BP210" s="717">
        <f t="shared" si="482"/>
        <v>3735541.4338454176</v>
      </c>
      <c r="BQ210" s="717"/>
      <c r="BR210" s="717">
        <f t="shared" ref="BR210:BR273" si="584">BP210+BQ210</f>
        <v>3735541.4338454176</v>
      </c>
      <c r="BS210" s="717"/>
      <c r="BT210" s="717">
        <f t="shared" si="524"/>
        <v>3735541.4338454176</v>
      </c>
      <c r="BU210" s="717"/>
      <c r="BV210" s="1235">
        <f t="shared" ref="BV210:BV273" si="585">$BV$2+$BV$3-BC210</f>
        <v>51400</v>
      </c>
      <c r="BW210" s="717">
        <f t="shared" si="525"/>
        <v>3786941.4338454176</v>
      </c>
      <c r="BX210" s="717"/>
      <c r="BY210" s="717">
        <f t="shared" si="526"/>
        <v>3786941.4338454176</v>
      </c>
      <c r="BZ210" s="1194">
        <f t="shared" si="527"/>
        <v>3786941.4338454176</v>
      </c>
      <c r="CA210" s="1194">
        <f t="shared" si="528"/>
        <v>3038941.4338454176</v>
      </c>
      <c r="CB210" s="1194">
        <v>34000</v>
      </c>
      <c r="CC210" s="1194">
        <f t="shared" si="529"/>
        <v>748000</v>
      </c>
      <c r="CD210" s="1194">
        <f t="shared" si="530"/>
        <v>89760</v>
      </c>
      <c r="CE210" s="1194">
        <f t="shared" si="531"/>
        <v>837760</v>
      </c>
      <c r="CF210" s="1200">
        <f t="shared" si="532"/>
        <v>3876701.4338454176</v>
      </c>
      <c r="CG210" s="757">
        <f t="shared" si="533"/>
        <v>3876701.4338454176</v>
      </c>
      <c r="CH210" s="758">
        <f t="shared" si="534"/>
        <v>0</v>
      </c>
      <c r="CI210" s="757">
        <f t="shared" si="483"/>
        <v>397361.89696915529</v>
      </c>
      <c r="CJ210" s="757">
        <f t="shared" si="484"/>
        <v>96917.535846135448</v>
      </c>
      <c r="CK210" s="759">
        <f t="shared" si="444"/>
        <v>4370980.8666607086</v>
      </c>
      <c r="CL210" s="764">
        <f t="shared" si="535"/>
        <v>0.125</v>
      </c>
      <c r="CM210" s="757">
        <f t="shared" si="536"/>
        <v>546372.60833258857</v>
      </c>
      <c r="CN210" s="757">
        <f t="shared" si="578"/>
        <v>30000</v>
      </c>
      <c r="CO210" s="757">
        <f t="shared" si="537"/>
        <v>516372.60833258857</v>
      </c>
      <c r="CP210" s="755">
        <f t="shared" si="538"/>
        <v>29</v>
      </c>
      <c r="CQ210" s="757">
        <f t="shared" si="581"/>
        <v>17805.952011468573</v>
      </c>
      <c r="CR210" s="764">
        <f t="shared" si="539"/>
        <v>0.875</v>
      </c>
      <c r="CS210" s="757">
        <f t="shared" si="540"/>
        <v>3824608.2583281202</v>
      </c>
      <c r="CT210" s="1101">
        <f t="shared" si="541"/>
        <v>29652.147118409492</v>
      </c>
      <c r="CU210" s="1101">
        <f t="shared" si="542"/>
        <v>34376.660275209768</v>
      </c>
      <c r="CV210" s="1101">
        <f t="shared" si="543"/>
        <v>44406.94484814685</v>
      </c>
      <c r="CW210" s="1141">
        <f t="shared" si="485"/>
        <v>75731.827462215559</v>
      </c>
      <c r="CX210" s="1152">
        <f t="shared" si="544"/>
        <v>310685.08539597952</v>
      </c>
      <c r="CY210" s="1152">
        <f t="shared" si="545"/>
        <v>122936.57485724729</v>
      </c>
      <c r="CZ210" s="1152">
        <f t="shared" si="546"/>
        <v>88795.34684475635</v>
      </c>
      <c r="DA210" s="1152">
        <f t="shared" si="547"/>
        <v>67577.34687549567</v>
      </c>
      <c r="DB210" s="1143">
        <f t="shared" si="486"/>
        <v>0.15597775478504272</v>
      </c>
      <c r="DC210" s="1143">
        <f t="shared" si="548"/>
        <v>0.27567494084277722</v>
      </c>
      <c r="DD210" s="1098" t="s">
        <v>232</v>
      </c>
      <c r="DE210" s="1144"/>
      <c r="DF210" s="705"/>
      <c r="DG210" s="765">
        <f t="shared" si="579"/>
        <v>46082</v>
      </c>
      <c r="DH210" s="1116">
        <f t="shared" si="487"/>
        <v>28</v>
      </c>
      <c r="DI210" s="497"/>
      <c r="DJ210" s="1117">
        <f t="shared" si="549"/>
        <v>46147</v>
      </c>
      <c r="DK210" s="1116">
        <f t="shared" si="550"/>
        <v>30</v>
      </c>
      <c r="DL210" s="766" t="s">
        <v>233</v>
      </c>
      <c r="DM210" s="766" t="s">
        <v>234</v>
      </c>
      <c r="DN210" s="767">
        <f t="shared" si="488"/>
        <v>23822.057094442887</v>
      </c>
      <c r="DO210" s="767">
        <f t="shared" si="489"/>
        <v>524085.25607774354</v>
      </c>
      <c r="DP210" s="768">
        <f t="shared" si="490"/>
        <v>0.17469508535924785</v>
      </c>
      <c r="DR210" s="767">
        <f t="shared" si="491"/>
        <v>3876701.4338454176</v>
      </c>
      <c r="DS210" s="767">
        <f>SUM('[6]INTERNAL PRICELIST'!M210)</f>
        <v>0</v>
      </c>
      <c r="DT210" s="767">
        <f t="shared" si="551"/>
        <v>3876701.4338454176</v>
      </c>
      <c r="DV210" s="951">
        <f t="shared" si="492"/>
        <v>176213.70153842808</v>
      </c>
      <c r="DX210" s="781"/>
      <c r="DY210" s="782"/>
      <c r="DZ210" s="781"/>
      <c r="EA210" s="775"/>
      <c r="ED210" s="755" t="s">
        <v>631</v>
      </c>
      <c r="EE210" s="777" t="b">
        <f t="shared" si="493"/>
        <v>1</v>
      </c>
      <c r="EF210" s="777"/>
      <c r="EG210" s="777"/>
      <c r="EH210" s="1203"/>
      <c r="EP210" s="1230" t="s">
        <v>236</v>
      </c>
      <c r="EQ210" s="1145" t="s">
        <v>236</v>
      </c>
      <c r="ER210" s="753" t="b">
        <f t="shared" si="552"/>
        <v>1</v>
      </c>
      <c r="EU210" s="770">
        <v>2468160</v>
      </c>
      <c r="EV210" s="771" t="s">
        <v>236</v>
      </c>
      <c r="FJ210" s="994">
        <v>0.15</v>
      </c>
      <c r="FK210" s="993">
        <v>13375.504154826031</v>
      </c>
      <c r="FL210" s="993">
        <v>13737.004267118626</v>
      </c>
      <c r="FM210" s="497"/>
      <c r="FN210" s="993">
        <f t="shared" si="494"/>
        <v>4370980.8666607086</v>
      </c>
      <c r="FO210" s="994">
        <f t="shared" si="553"/>
        <v>0.15</v>
      </c>
      <c r="FP210" s="775">
        <f t="shared" si="495"/>
        <v>655647.12999910628</v>
      </c>
      <c r="FQ210" s="993">
        <f t="shared" si="496"/>
        <v>30000</v>
      </c>
      <c r="FR210" s="775">
        <f t="shared" si="554"/>
        <v>625647.12999910628</v>
      </c>
      <c r="FS210" s="497">
        <f t="shared" si="555"/>
        <v>40</v>
      </c>
      <c r="FT210" s="775">
        <f t="shared" si="556"/>
        <v>15641.178249977656</v>
      </c>
      <c r="FU210" s="497"/>
      <c r="FV210" s="993">
        <f t="shared" si="557"/>
        <v>4370980.8666607086</v>
      </c>
      <c r="FW210" s="705">
        <f t="shared" si="558"/>
        <v>437098.08666607086</v>
      </c>
      <c r="FX210" s="705">
        <f t="shared" si="559"/>
        <v>109274.52166651771</v>
      </c>
      <c r="FY210" s="705">
        <v>15000</v>
      </c>
      <c r="FZ210" s="705">
        <f t="shared" si="560"/>
        <v>422098.08666607086</v>
      </c>
      <c r="GA210" s="497">
        <f t="shared" si="561"/>
        <v>46</v>
      </c>
      <c r="GB210" s="775">
        <f t="shared" si="562"/>
        <v>9176.0453623058875</v>
      </c>
      <c r="GC210" s="497"/>
      <c r="GD210" s="497"/>
      <c r="GH210" s="1095">
        <f t="shared" si="461"/>
        <v>4370980.8666607086</v>
      </c>
      <c r="GI210" s="1098">
        <f t="shared" si="462"/>
        <v>0.125</v>
      </c>
      <c r="GJ210" s="1095">
        <f t="shared" si="463"/>
        <v>546372.60833258857</v>
      </c>
      <c r="GK210" s="1095">
        <f t="shared" si="464"/>
        <v>30000</v>
      </c>
      <c r="GL210" s="1095">
        <f t="shared" si="465"/>
        <v>516372.60833258857</v>
      </c>
      <c r="GM210" s="1095">
        <f t="shared" si="466"/>
        <v>29</v>
      </c>
      <c r="GN210" s="1095">
        <f t="shared" si="467"/>
        <v>17805.952011468573</v>
      </c>
      <c r="GO210" s="1098">
        <f t="shared" si="468"/>
        <v>0.875</v>
      </c>
      <c r="GP210" s="1095">
        <f t="shared" si="469"/>
        <v>3824608.2583281202</v>
      </c>
      <c r="GQ210" s="1095">
        <f t="shared" si="470"/>
        <v>29652.147118409492</v>
      </c>
      <c r="GR210" s="1095">
        <f t="shared" si="471"/>
        <v>34376.660275209768</v>
      </c>
      <c r="GS210" s="1095">
        <f t="shared" si="472"/>
        <v>44406.94484814685</v>
      </c>
      <c r="GT210" s="1095">
        <f t="shared" si="473"/>
        <v>75731.827462215559</v>
      </c>
      <c r="GU210" s="497"/>
      <c r="GV210" s="1095">
        <f t="shared" si="563"/>
        <v>4370980.8666607086</v>
      </c>
      <c r="GW210" s="1098">
        <f t="shared" si="564"/>
        <v>0.125</v>
      </c>
      <c r="GX210" s="1095">
        <f t="shared" si="565"/>
        <v>546372.60833258857</v>
      </c>
      <c r="GY210" s="1095">
        <f t="shared" si="566"/>
        <v>30000</v>
      </c>
      <c r="GZ210" s="1095">
        <f t="shared" si="567"/>
        <v>516372.60833258857</v>
      </c>
      <c r="HA210" s="1106">
        <f t="shared" si="568"/>
        <v>48</v>
      </c>
      <c r="HB210" s="770">
        <f t="shared" si="569"/>
        <v>10757.762673595595</v>
      </c>
      <c r="HC210" s="1098">
        <f t="shared" si="570"/>
        <v>0.875</v>
      </c>
      <c r="HD210" s="1102">
        <f t="shared" si="571"/>
        <v>3824608.2583281202</v>
      </c>
      <c r="HE210" s="1101">
        <f t="shared" si="572"/>
        <v>29652.147118409492</v>
      </c>
      <c r="HF210" s="1101">
        <f t="shared" si="573"/>
        <v>34376.660275209768</v>
      </c>
      <c r="HG210" s="1101">
        <f t="shared" si="574"/>
        <v>44406.94484814685</v>
      </c>
      <c r="HH210" s="1101">
        <f t="shared" si="575"/>
        <v>75731.827462215559</v>
      </c>
      <c r="HI210" s="497"/>
      <c r="HJ210" s="1102">
        <f t="shared" si="576"/>
        <v>-7048.1893378729783</v>
      </c>
      <c r="HL210" s="775"/>
      <c r="HN210" s="775"/>
      <c r="HO210" s="775"/>
      <c r="HQ210" s="702"/>
      <c r="HR210" s="1171"/>
      <c r="HS210" s="702"/>
      <c r="HT210" s="1171"/>
    </row>
    <row r="211" spans="1:228" ht="14.25" hidden="1" customHeight="1">
      <c r="A211" s="753">
        <f t="shared" si="577"/>
        <v>205</v>
      </c>
      <c r="B211" s="753" t="s">
        <v>236</v>
      </c>
      <c r="C211" s="753">
        <f t="shared" si="459"/>
        <v>19</v>
      </c>
      <c r="D211" s="753" t="s">
        <v>275</v>
      </c>
      <c r="E211" s="717" t="str">
        <f t="shared" si="497"/>
        <v>9th Floor</v>
      </c>
      <c r="F211" s="754"/>
      <c r="G211" s="756" t="s">
        <v>632</v>
      </c>
      <c r="H211" s="756"/>
      <c r="I211" s="755" t="s">
        <v>229</v>
      </c>
      <c r="J211" s="757">
        <v>22</v>
      </c>
      <c r="K211" s="758"/>
      <c r="L211" s="759" t="s">
        <v>69</v>
      </c>
      <c r="M211" s="760" t="s">
        <v>68</v>
      </c>
      <c r="N211" s="761">
        <f t="shared" si="498"/>
        <v>106005.26567735759</v>
      </c>
      <c r="O211" s="762">
        <f t="shared" si="499"/>
        <v>2332115.8449018667</v>
      </c>
      <c r="P211" s="762">
        <f t="shared" si="500"/>
        <v>22400</v>
      </c>
      <c r="Q211" s="762">
        <f t="shared" si="474"/>
        <v>50000</v>
      </c>
      <c r="R211" s="762"/>
      <c r="S211" s="762"/>
      <c r="T211" s="762"/>
      <c r="U211" s="762"/>
      <c r="V211" s="762"/>
      <c r="W211" s="762"/>
      <c r="X211" s="762"/>
      <c r="Y211" s="762">
        <f t="shared" si="460"/>
        <v>100000</v>
      </c>
      <c r="Z211" s="762">
        <f t="shared" si="475"/>
        <v>142461</v>
      </c>
      <c r="AA211" s="762"/>
      <c r="AB211" s="762"/>
      <c r="AC211" s="762"/>
      <c r="AD211" s="763">
        <f t="shared" si="501"/>
        <v>314861</v>
      </c>
      <c r="AE211" s="763">
        <f t="shared" si="476"/>
        <v>2646976.8449018667</v>
      </c>
      <c r="AF211" s="762">
        <f t="shared" si="477"/>
        <v>66174.421122546672</v>
      </c>
      <c r="AG211" s="762">
        <f t="shared" si="502"/>
        <v>2713151.2660244135</v>
      </c>
      <c r="AH211" s="762">
        <f t="shared" si="478"/>
        <v>67828.781650610341</v>
      </c>
      <c r="AI211" s="762">
        <f t="shared" si="503"/>
        <v>2780980.0476750238</v>
      </c>
      <c r="AJ211" s="762">
        <f t="shared" si="504"/>
        <v>139049.00238375118</v>
      </c>
      <c r="AK211" s="762">
        <f t="shared" si="505"/>
        <v>2920029.0500587751</v>
      </c>
      <c r="AL211" s="762">
        <f t="shared" si="506"/>
        <v>29200.290500587751</v>
      </c>
      <c r="AM211" s="762">
        <f t="shared" si="507"/>
        <v>27537.409960060559</v>
      </c>
      <c r="AN211" s="762"/>
      <c r="AO211" s="763">
        <f t="shared" si="508"/>
        <v>2976766.7505194233</v>
      </c>
      <c r="AP211" s="763">
        <f t="shared" si="509"/>
        <v>491166.51383570489</v>
      </c>
      <c r="AQ211" s="763">
        <f t="shared" si="510"/>
        <v>3467933.2643551282</v>
      </c>
      <c r="AR211" s="1178">
        <f t="shared" si="479"/>
        <v>3000000</v>
      </c>
      <c r="AS211" s="1178">
        <f t="shared" si="511"/>
        <v>21269.693834324007</v>
      </c>
      <c r="AT211" s="1178">
        <f t="shared" si="512"/>
        <v>467933.26435512817</v>
      </c>
      <c r="AU211" s="1178">
        <f t="shared" si="480"/>
        <v>56151.991722615378</v>
      </c>
      <c r="AV211" s="1178">
        <f t="shared" si="513"/>
        <v>524085.25607774354</v>
      </c>
      <c r="AW211" s="1178">
        <f t="shared" si="514"/>
        <v>3524085.2560777436</v>
      </c>
      <c r="AX211" s="762">
        <f t="shared" si="515"/>
        <v>44051.065700971798</v>
      </c>
      <c r="AY211" s="717" t="s">
        <v>231</v>
      </c>
      <c r="AZ211" s="717">
        <f t="shared" si="516"/>
        <v>3568136.3217787156</v>
      </c>
      <c r="BA211" s="717">
        <f t="shared" si="517"/>
        <v>133805.11206670184</v>
      </c>
      <c r="BB211" s="717"/>
      <c r="BC211" s="717">
        <f t="shared" si="481"/>
        <v>33600</v>
      </c>
      <c r="BD211" s="717">
        <f t="shared" si="518"/>
        <v>3735541.4338454176</v>
      </c>
      <c r="BE211" s="717"/>
      <c r="BF211" s="717">
        <f t="shared" si="519"/>
        <v>3735541.4338454176</v>
      </c>
      <c r="BG211" s="1209"/>
      <c r="BH211" s="717">
        <f t="shared" si="520"/>
        <v>3735541.4338454176</v>
      </c>
      <c r="BI211" s="717"/>
      <c r="BJ211" s="717">
        <f t="shared" si="521"/>
        <v>3735541.4338454176</v>
      </c>
      <c r="BK211" s="717"/>
      <c r="BL211" s="717">
        <f t="shared" si="522"/>
        <v>3735541.4338454176</v>
      </c>
      <c r="BM211" s="717"/>
      <c r="BN211" s="717">
        <f t="shared" si="523"/>
        <v>3735541.4338454176</v>
      </c>
      <c r="BO211" s="717"/>
      <c r="BP211" s="717">
        <f t="shared" si="482"/>
        <v>3735541.4338454176</v>
      </c>
      <c r="BQ211" s="717"/>
      <c r="BR211" s="717">
        <f t="shared" si="584"/>
        <v>3735541.4338454176</v>
      </c>
      <c r="BS211" s="717"/>
      <c r="BT211" s="717">
        <f t="shared" si="524"/>
        <v>3735541.4338454176</v>
      </c>
      <c r="BU211" s="717"/>
      <c r="BV211" s="1235">
        <f t="shared" si="585"/>
        <v>51400</v>
      </c>
      <c r="BW211" s="717">
        <f t="shared" si="525"/>
        <v>3786941.4338454176</v>
      </c>
      <c r="BX211" s="717"/>
      <c r="BY211" s="717">
        <f t="shared" si="526"/>
        <v>3786941.4338454176</v>
      </c>
      <c r="BZ211" s="1194">
        <f t="shared" si="527"/>
        <v>3786941.4338454176</v>
      </c>
      <c r="CA211" s="1194">
        <f t="shared" si="528"/>
        <v>3038941.4338454176</v>
      </c>
      <c r="CB211" s="1194">
        <v>34000</v>
      </c>
      <c r="CC211" s="1194">
        <f t="shared" si="529"/>
        <v>748000</v>
      </c>
      <c r="CD211" s="1194">
        <f t="shared" si="530"/>
        <v>89760</v>
      </c>
      <c r="CE211" s="1194">
        <f t="shared" si="531"/>
        <v>837760</v>
      </c>
      <c r="CF211" s="1200">
        <f t="shared" si="532"/>
        <v>3876701.4338454176</v>
      </c>
      <c r="CG211" s="757">
        <f t="shared" si="533"/>
        <v>3876701.4338454176</v>
      </c>
      <c r="CH211" s="758">
        <f t="shared" si="534"/>
        <v>0</v>
      </c>
      <c r="CI211" s="757">
        <f t="shared" si="483"/>
        <v>397361.89696915529</v>
      </c>
      <c r="CJ211" s="757">
        <f t="shared" si="484"/>
        <v>96917.535846135448</v>
      </c>
      <c r="CK211" s="759">
        <f t="shared" si="444"/>
        <v>4370980.8666607086</v>
      </c>
      <c r="CL211" s="764">
        <f t="shared" si="535"/>
        <v>0.125</v>
      </c>
      <c r="CM211" s="757">
        <f t="shared" si="536"/>
        <v>546372.60833258857</v>
      </c>
      <c r="CN211" s="757">
        <f t="shared" si="578"/>
        <v>30000</v>
      </c>
      <c r="CO211" s="757">
        <f t="shared" si="537"/>
        <v>516372.60833258857</v>
      </c>
      <c r="CP211" s="755">
        <f t="shared" si="538"/>
        <v>29</v>
      </c>
      <c r="CQ211" s="757">
        <f t="shared" si="581"/>
        <v>17805.952011468573</v>
      </c>
      <c r="CR211" s="764">
        <f t="shared" si="539"/>
        <v>0.875</v>
      </c>
      <c r="CS211" s="757">
        <f t="shared" si="540"/>
        <v>3824608.2583281202</v>
      </c>
      <c r="CT211" s="1101">
        <f t="shared" si="541"/>
        <v>29652.147118409492</v>
      </c>
      <c r="CU211" s="1101">
        <f t="shared" si="542"/>
        <v>34376.660275209768</v>
      </c>
      <c r="CV211" s="1101">
        <f t="shared" si="543"/>
        <v>44406.94484814685</v>
      </c>
      <c r="CW211" s="1141">
        <f t="shared" si="485"/>
        <v>75731.827462215559</v>
      </c>
      <c r="CX211" s="1152">
        <f t="shared" si="544"/>
        <v>310685.08539597952</v>
      </c>
      <c r="CY211" s="1152">
        <f t="shared" si="545"/>
        <v>122936.57485724729</v>
      </c>
      <c r="CZ211" s="1152">
        <f t="shared" si="546"/>
        <v>88795.34684475635</v>
      </c>
      <c r="DA211" s="1152">
        <f t="shared" si="547"/>
        <v>67577.34687549567</v>
      </c>
      <c r="DB211" s="1143">
        <f t="shared" si="486"/>
        <v>0.15597775478504272</v>
      </c>
      <c r="DC211" s="1143">
        <f t="shared" si="548"/>
        <v>0.27567494084277722</v>
      </c>
      <c r="DD211" s="1098" t="s">
        <v>232</v>
      </c>
      <c r="DE211" s="1144"/>
      <c r="DF211" s="705"/>
      <c r="DG211" s="765">
        <f t="shared" si="579"/>
        <v>46082</v>
      </c>
      <c r="DH211" s="1116">
        <f t="shared" si="487"/>
        <v>28</v>
      </c>
      <c r="DI211" s="497"/>
      <c r="DJ211" s="1117">
        <f t="shared" si="549"/>
        <v>46147</v>
      </c>
      <c r="DK211" s="1116">
        <f t="shared" si="550"/>
        <v>30</v>
      </c>
      <c r="DL211" s="766" t="s">
        <v>233</v>
      </c>
      <c r="DM211" s="766" t="s">
        <v>234</v>
      </c>
      <c r="DN211" s="767">
        <f t="shared" si="488"/>
        <v>23822.057094442887</v>
      </c>
      <c r="DO211" s="767">
        <f t="shared" si="489"/>
        <v>524085.25607774354</v>
      </c>
      <c r="DP211" s="768">
        <f t="shared" si="490"/>
        <v>0.17469508535924785</v>
      </c>
      <c r="DR211" s="767">
        <f t="shared" si="491"/>
        <v>3876701.4338454176</v>
      </c>
      <c r="DS211" s="767">
        <f>SUM('[6]INTERNAL PRICELIST'!M211)</f>
        <v>0</v>
      </c>
      <c r="DT211" s="767">
        <f t="shared" si="551"/>
        <v>3876701.4338454176</v>
      </c>
      <c r="DV211" s="951">
        <f t="shared" si="492"/>
        <v>176213.70153842808</v>
      </c>
      <c r="DX211" s="781"/>
      <c r="DY211" s="782"/>
      <c r="DZ211" s="781"/>
      <c r="EA211" s="775"/>
      <c r="ED211" s="755" t="s">
        <v>632</v>
      </c>
      <c r="EE211" s="777" t="b">
        <f t="shared" si="493"/>
        <v>1</v>
      </c>
      <c r="EF211" s="1123" t="s">
        <v>633</v>
      </c>
      <c r="EG211" s="1123" t="s">
        <v>612</v>
      </c>
      <c r="EH211" s="1203"/>
      <c r="EP211" s="1230" t="s">
        <v>236</v>
      </c>
      <c r="EQ211" s="1145" t="s">
        <v>236</v>
      </c>
      <c r="ER211" s="753" t="b">
        <f t="shared" si="552"/>
        <v>1</v>
      </c>
      <c r="EU211" s="770">
        <v>2221760</v>
      </c>
      <c r="EV211" s="771" t="s">
        <v>236</v>
      </c>
      <c r="EY211" s="775">
        <v>3075131.4159727991</v>
      </c>
      <c r="FJ211" s="994">
        <v>0.125</v>
      </c>
      <c r="FK211" s="993">
        <v>11080.463988670816</v>
      </c>
      <c r="FL211" s="993">
        <v>11379.935988364621</v>
      </c>
      <c r="FM211" s="497"/>
      <c r="FN211" s="993">
        <f t="shared" si="494"/>
        <v>4370980.8666607086</v>
      </c>
      <c r="FO211" s="994">
        <f t="shared" si="553"/>
        <v>0.15</v>
      </c>
      <c r="FP211" s="775">
        <f t="shared" si="495"/>
        <v>655647.12999910628</v>
      </c>
      <c r="FQ211" s="993">
        <f t="shared" si="496"/>
        <v>30000</v>
      </c>
      <c r="FR211" s="775">
        <f t="shared" si="554"/>
        <v>625647.12999910628</v>
      </c>
      <c r="FS211" s="497">
        <f t="shared" si="555"/>
        <v>40</v>
      </c>
      <c r="FT211" s="775">
        <f t="shared" si="556"/>
        <v>15641.178249977656</v>
      </c>
      <c r="FU211" s="497"/>
      <c r="FV211" s="993">
        <f t="shared" si="557"/>
        <v>4370980.8666607086</v>
      </c>
      <c r="FW211" s="705">
        <f t="shared" si="558"/>
        <v>437098.08666607086</v>
      </c>
      <c r="FX211" s="705">
        <f t="shared" si="559"/>
        <v>109274.52166651771</v>
      </c>
      <c r="FY211" s="705">
        <v>15000</v>
      </c>
      <c r="FZ211" s="705">
        <f t="shared" si="560"/>
        <v>422098.08666607086</v>
      </c>
      <c r="GA211" s="497">
        <f t="shared" si="561"/>
        <v>46</v>
      </c>
      <c r="GB211" s="775">
        <f t="shared" si="562"/>
        <v>9176.0453623058875</v>
      </c>
      <c r="GC211" s="497"/>
      <c r="GD211" s="497"/>
      <c r="GH211" s="1095">
        <f t="shared" si="461"/>
        <v>4370980.8666607086</v>
      </c>
      <c r="GI211" s="1098">
        <f t="shared" si="462"/>
        <v>0.125</v>
      </c>
      <c r="GJ211" s="1095">
        <f t="shared" si="463"/>
        <v>546372.60833258857</v>
      </c>
      <c r="GK211" s="1095">
        <f t="shared" si="464"/>
        <v>30000</v>
      </c>
      <c r="GL211" s="1095">
        <f t="shared" si="465"/>
        <v>516372.60833258857</v>
      </c>
      <c r="GM211" s="1095">
        <f t="shared" si="466"/>
        <v>29</v>
      </c>
      <c r="GN211" s="1095">
        <f t="shared" si="467"/>
        <v>17805.952011468573</v>
      </c>
      <c r="GO211" s="1098">
        <f t="shared" si="468"/>
        <v>0.875</v>
      </c>
      <c r="GP211" s="1095">
        <f t="shared" si="469"/>
        <v>3824608.2583281202</v>
      </c>
      <c r="GQ211" s="1095">
        <f t="shared" si="470"/>
        <v>29652.147118409492</v>
      </c>
      <c r="GR211" s="1095">
        <f t="shared" si="471"/>
        <v>34376.660275209768</v>
      </c>
      <c r="GS211" s="1095">
        <f t="shared" si="472"/>
        <v>44406.94484814685</v>
      </c>
      <c r="GT211" s="1095">
        <f t="shared" si="473"/>
        <v>75731.827462215559</v>
      </c>
      <c r="GU211" s="497"/>
      <c r="GV211" s="1095">
        <f t="shared" si="563"/>
        <v>4370980.8666607086</v>
      </c>
      <c r="GW211" s="1098">
        <f t="shared" si="564"/>
        <v>0.125</v>
      </c>
      <c r="GX211" s="1095">
        <f t="shared" si="565"/>
        <v>546372.60833258857</v>
      </c>
      <c r="GY211" s="1095">
        <f t="shared" si="566"/>
        <v>30000</v>
      </c>
      <c r="GZ211" s="1095">
        <f t="shared" si="567"/>
        <v>516372.60833258857</v>
      </c>
      <c r="HA211" s="1106">
        <f t="shared" si="568"/>
        <v>48</v>
      </c>
      <c r="HB211" s="770">
        <f t="shared" si="569"/>
        <v>10757.762673595595</v>
      </c>
      <c r="HC211" s="1098">
        <f t="shared" si="570"/>
        <v>0.875</v>
      </c>
      <c r="HD211" s="1102">
        <f t="shared" si="571"/>
        <v>3824608.2583281202</v>
      </c>
      <c r="HE211" s="1101">
        <f t="shared" si="572"/>
        <v>29652.147118409492</v>
      </c>
      <c r="HF211" s="1101">
        <f t="shared" si="573"/>
        <v>34376.660275209768</v>
      </c>
      <c r="HG211" s="1101">
        <f t="shared" si="574"/>
        <v>44406.94484814685</v>
      </c>
      <c r="HH211" s="1101">
        <f t="shared" si="575"/>
        <v>75731.827462215559</v>
      </c>
      <c r="HI211" s="497"/>
      <c r="HJ211" s="1102">
        <f t="shared" si="576"/>
        <v>-7048.1893378729783</v>
      </c>
      <c r="HL211" s="775"/>
      <c r="HN211" s="775"/>
      <c r="HO211" s="775"/>
      <c r="HQ211" s="702"/>
      <c r="HR211" s="1171"/>
      <c r="HS211" s="702"/>
      <c r="HT211" s="1171"/>
    </row>
    <row r="212" spans="1:228" ht="14.25" hidden="1" customHeight="1">
      <c r="A212" s="753">
        <f t="shared" si="577"/>
        <v>206</v>
      </c>
      <c r="B212" s="753"/>
      <c r="C212" s="753">
        <f t="shared" si="459"/>
        <v>20</v>
      </c>
      <c r="D212" s="753" t="s">
        <v>275</v>
      </c>
      <c r="E212" s="717" t="str">
        <f t="shared" si="497"/>
        <v>9th Floor</v>
      </c>
      <c r="F212" s="754"/>
      <c r="G212" s="756" t="s">
        <v>634</v>
      </c>
      <c r="H212" s="756"/>
      <c r="I212" s="755" t="s">
        <v>229</v>
      </c>
      <c r="J212" s="757">
        <v>22</v>
      </c>
      <c r="K212" s="758"/>
      <c r="L212" s="759" t="s">
        <v>69</v>
      </c>
      <c r="M212" s="760" t="s">
        <v>68</v>
      </c>
      <c r="N212" s="761">
        <f t="shared" si="498"/>
        <v>106005.26567735759</v>
      </c>
      <c r="O212" s="762">
        <f t="shared" si="499"/>
        <v>2332115.8449018667</v>
      </c>
      <c r="P212" s="762">
        <f t="shared" si="500"/>
        <v>22400</v>
      </c>
      <c r="Q212" s="762">
        <f t="shared" si="474"/>
        <v>50000</v>
      </c>
      <c r="R212" s="762"/>
      <c r="S212" s="762"/>
      <c r="T212" s="762"/>
      <c r="U212" s="762"/>
      <c r="V212" s="762"/>
      <c r="W212" s="762"/>
      <c r="X212" s="762"/>
      <c r="Y212" s="762">
        <f t="shared" si="460"/>
        <v>100000</v>
      </c>
      <c r="Z212" s="762">
        <f t="shared" si="475"/>
        <v>142461</v>
      </c>
      <c r="AA212" s="762"/>
      <c r="AB212" s="762"/>
      <c r="AC212" s="762"/>
      <c r="AD212" s="763">
        <f t="shared" si="501"/>
        <v>314861</v>
      </c>
      <c r="AE212" s="763">
        <f t="shared" si="476"/>
        <v>2646976.8449018667</v>
      </c>
      <c r="AF212" s="762">
        <f t="shared" si="477"/>
        <v>66174.421122546672</v>
      </c>
      <c r="AG212" s="762">
        <f t="shared" si="502"/>
        <v>2713151.2660244135</v>
      </c>
      <c r="AH212" s="762">
        <f t="shared" si="478"/>
        <v>67828.781650610341</v>
      </c>
      <c r="AI212" s="762">
        <f t="shared" si="503"/>
        <v>2780980.0476750238</v>
      </c>
      <c r="AJ212" s="762">
        <f t="shared" si="504"/>
        <v>139049.00238375118</v>
      </c>
      <c r="AK212" s="762">
        <f t="shared" si="505"/>
        <v>2920029.0500587751</v>
      </c>
      <c r="AL212" s="762">
        <f t="shared" si="506"/>
        <v>29200.290500587751</v>
      </c>
      <c r="AM212" s="762">
        <f t="shared" si="507"/>
        <v>27537.409960060559</v>
      </c>
      <c r="AN212" s="762"/>
      <c r="AO212" s="763">
        <f t="shared" si="508"/>
        <v>2976766.7505194233</v>
      </c>
      <c r="AP212" s="763">
        <f t="shared" si="509"/>
        <v>491166.51383570489</v>
      </c>
      <c r="AQ212" s="763">
        <f t="shared" si="510"/>
        <v>3467933.2643551282</v>
      </c>
      <c r="AR212" s="1178">
        <f t="shared" si="479"/>
        <v>3000000</v>
      </c>
      <c r="AS212" s="1178">
        <f t="shared" si="511"/>
        <v>21269.693834324007</v>
      </c>
      <c r="AT212" s="1178">
        <f t="shared" si="512"/>
        <v>467933.26435512817</v>
      </c>
      <c r="AU212" s="1178">
        <f t="shared" si="480"/>
        <v>56151.991722615378</v>
      </c>
      <c r="AV212" s="1178">
        <f t="shared" si="513"/>
        <v>524085.25607774354</v>
      </c>
      <c r="AW212" s="1178">
        <f t="shared" si="514"/>
        <v>3524085.2560777436</v>
      </c>
      <c r="AX212" s="762">
        <f t="shared" si="515"/>
        <v>44051.065700971798</v>
      </c>
      <c r="AY212" s="717" t="s">
        <v>231</v>
      </c>
      <c r="AZ212" s="717">
        <f t="shared" si="516"/>
        <v>3568136.3217787156</v>
      </c>
      <c r="BA212" s="717">
        <f t="shared" si="517"/>
        <v>133805.11206670184</v>
      </c>
      <c r="BB212" s="717"/>
      <c r="BC212" s="717">
        <f t="shared" si="481"/>
        <v>33600</v>
      </c>
      <c r="BD212" s="717">
        <f t="shared" si="518"/>
        <v>3735541.4338454176</v>
      </c>
      <c r="BE212" s="717"/>
      <c r="BF212" s="717">
        <f t="shared" si="519"/>
        <v>3735541.4338454176</v>
      </c>
      <c r="BG212" s="1209"/>
      <c r="BH212" s="717">
        <f t="shared" si="520"/>
        <v>3735541.4338454176</v>
      </c>
      <c r="BI212" s="717"/>
      <c r="BJ212" s="717">
        <f t="shared" si="521"/>
        <v>3735541.4338454176</v>
      </c>
      <c r="BK212" s="717"/>
      <c r="BL212" s="717">
        <f t="shared" si="522"/>
        <v>3735541.4338454176</v>
      </c>
      <c r="BM212" s="717"/>
      <c r="BN212" s="717">
        <f t="shared" si="523"/>
        <v>3735541.4338454176</v>
      </c>
      <c r="BO212" s="717"/>
      <c r="BP212" s="717">
        <f t="shared" si="482"/>
        <v>3735541.4338454176</v>
      </c>
      <c r="BQ212" s="717"/>
      <c r="BR212" s="717">
        <f t="shared" si="584"/>
        <v>3735541.4338454176</v>
      </c>
      <c r="BS212" s="717"/>
      <c r="BT212" s="717">
        <f t="shared" si="524"/>
        <v>3735541.4338454176</v>
      </c>
      <c r="BU212" s="717"/>
      <c r="BV212" s="1235">
        <f t="shared" si="585"/>
        <v>51400</v>
      </c>
      <c r="BW212" s="717">
        <f t="shared" si="525"/>
        <v>3786941.4338454176</v>
      </c>
      <c r="BX212" s="717"/>
      <c r="BY212" s="717">
        <f t="shared" si="526"/>
        <v>3786941.4338454176</v>
      </c>
      <c r="BZ212" s="1194">
        <f t="shared" si="527"/>
        <v>3786941.4338454176</v>
      </c>
      <c r="CA212" s="1194">
        <f t="shared" si="528"/>
        <v>3038941.4338454176</v>
      </c>
      <c r="CB212" s="1194">
        <v>34000</v>
      </c>
      <c r="CC212" s="1194">
        <f t="shared" si="529"/>
        <v>748000</v>
      </c>
      <c r="CD212" s="1194">
        <f t="shared" si="530"/>
        <v>89760</v>
      </c>
      <c r="CE212" s="1194">
        <f t="shared" si="531"/>
        <v>837760</v>
      </c>
      <c r="CF212" s="1200">
        <f t="shared" si="532"/>
        <v>3876701.4338454176</v>
      </c>
      <c r="CG212" s="757">
        <f t="shared" si="533"/>
        <v>3876701.4338454176</v>
      </c>
      <c r="CH212" s="758">
        <f t="shared" si="534"/>
        <v>0</v>
      </c>
      <c r="CI212" s="757">
        <f t="shared" si="483"/>
        <v>397361.89696915529</v>
      </c>
      <c r="CJ212" s="757">
        <f t="shared" si="484"/>
        <v>96917.535846135448</v>
      </c>
      <c r="CK212" s="759">
        <f t="shared" si="444"/>
        <v>4370980.8666607086</v>
      </c>
      <c r="CL212" s="764">
        <f t="shared" si="535"/>
        <v>0.125</v>
      </c>
      <c r="CM212" s="757">
        <f t="shared" si="536"/>
        <v>546372.60833258857</v>
      </c>
      <c r="CN212" s="757">
        <f t="shared" si="578"/>
        <v>30000</v>
      </c>
      <c r="CO212" s="757">
        <f t="shared" si="537"/>
        <v>516372.60833258857</v>
      </c>
      <c r="CP212" s="755">
        <f t="shared" si="538"/>
        <v>29</v>
      </c>
      <c r="CQ212" s="757">
        <f t="shared" si="581"/>
        <v>17805.952011468573</v>
      </c>
      <c r="CR212" s="764">
        <f t="shared" si="539"/>
        <v>0.875</v>
      </c>
      <c r="CS212" s="757">
        <f t="shared" si="540"/>
        <v>3824608.2583281202</v>
      </c>
      <c r="CT212" s="1101">
        <f t="shared" si="541"/>
        <v>29652.147118409492</v>
      </c>
      <c r="CU212" s="1101">
        <f t="shared" si="542"/>
        <v>34376.660275209768</v>
      </c>
      <c r="CV212" s="1101">
        <f t="shared" si="543"/>
        <v>44406.94484814685</v>
      </c>
      <c r="CW212" s="1141">
        <f t="shared" si="485"/>
        <v>75731.827462215559</v>
      </c>
      <c r="CX212" s="1152">
        <f t="shared" si="544"/>
        <v>310685.08539597952</v>
      </c>
      <c r="CY212" s="1152">
        <f t="shared" si="545"/>
        <v>122936.57485724729</v>
      </c>
      <c r="CZ212" s="1152">
        <f t="shared" si="546"/>
        <v>88795.34684475635</v>
      </c>
      <c r="DA212" s="1152">
        <f t="shared" si="547"/>
        <v>67577.34687549567</v>
      </c>
      <c r="DB212" s="1143">
        <f t="shared" si="486"/>
        <v>0.15597775478504272</v>
      </c>
      <c r="DC212" s="1143">
        <f t="shared" si="548"/>
        <v>0.27567494084277722</v>
      </c>
      <c r="DD212" s="1098" t="s">
        <v>232</v>
      </c>
      <c r="DE212" s="1144"/>
      <c r="DF212" s="705"/>
      <c r="DG212" s="765">
        <f t="shared" si="579"/>
        <v>46082</v>
      </c>
      <c r="DH212" s="1116">
        <f t="shared" si="487"/>
        <v>28</v>
      </c>
      <c r="DI212" s="497"/>
      <c r="DJ212" s="1117">
        <f t="shared" si="549"/>
        <v>46147</v>
      </c>
      <c r="DK212" s="1116">
        <f t="shared" si="550"/>
        <v>30</v>
      </c>
      <c r="DL212" s="766" t="s">
        <v>233</v>
      </c>
      <c r="DM212" s="766" t="s">
        <v>234</v>
      </c>
      <c r="DN212" s="767">
        <f t="shared" si="488"/>
        <v>23822.057094442887</v>
      </c>
      <c r="DO212" s="767">
        <f t="shared" si="489"/>
        <v>524085.25607774354</v>
      </c>
      <c r="DP212" s="768">
        <f t="shared" si="490"/>
        <v>0.17469508535924785</v>
      </c>
      <c r="DR212" s="767">
        <f t="shared" si="491"/>
        <v>3876701.4338454176</v>
      </c>
      <c r="DS212" s="767">
        <f>SUM('[6]INTERNAL PRICELIST'!M212)</f>
        <v>0</v>
      </c>
      <c r="DT212" s="767">
        <f t="shared" si="551"/>
        <v>3876701.4338454176</v>
      </c>
      <c r="DV212" s="951">
        <f t="shared" si="492"/>
        <v>176213.70153842808</v>
      </c>
      <c r="DX212" s="781"/>
      <c r="DY212" s="782"/>
      <c r="DZ212" s="781"/>
      <c r="EA212" s="775"/>
      <c r="ED212" s="755" t="s">
        <v>634</v>
      </c>
      <c r="EE212" s="777" t="b">
        <f t="shared" si="493"/>
        <v>1</v>
      </c>
      <c r="EF212" s="777"/>
      <c r="EG212" s="777"/>
      <c r="EH212" s="1203"/>
      <c r="EP212" s="1230" t="s">
        <v>236</v>
      </c>
      <c r="EQ212" s="1145" t="s">
        <v>236</v>
      </c>
      <c r="ER212" s="753" t="b">
        <f t="shared" si="552"/>
        <v>1</v>
      </c>
      <c r="EU212" s="770">
        <v>2683561</v>
      </c>
      <c r="EV212" s="771" t="s">
        <v>236</v>
      </c>
      <c r="FJ212" s="994">
        <v>0.15</v>
      </c>
      <c r="FK212" s="993">
        <v>13375.504154826031</v>
      </c>
      <c r="FL212" s="993">
        <v>13737.004267118626</v>
      </c>
      <c r="FM212" s="497"/>
      <c r="FN212" s="993">
        <f t="shared" si="494"/>
        <v>4370980.8666607086</v>
      </c>
      <c r="FO212" s="994">
        <f t="shared" si="553"/>
        <v>0.15</v>
      </c>
      <c r="FP212" s="775">
        <f t="shared" si="495"/>
        <v>655647.12999910628</v>
      </c>
      <c r="FQ212" s="993">
        <f t="shared" si="496"/>
        <v>30000</v>
      </c>
      <c r="FR212" s="775">
        <f t="shared" si="554"/>
        <v>625647.12999910628</v>
      </c>
      <c r="FS212" s="497">
        <f t="shared" si="555"/>
        <v>40</v>
      </c>
      <c r="FT212" s="775">
        <f t="shared" si="556"/>
        <v>15641.178249977656</v>
      </c>
      <c r="FU212" s="497"/>
      <c r="FV212" s="993">
        <f t="shared" si="557"/>
        <v>4370980.8666607086</v>
      </c>
      <c r="FW212" s="705">
        <f t="shared" si="558"/>
        <v>437098.08666607086</v>
      </c>
      <c r="FX212" s="705">
        <f t="shared" si="559"/>
        <v>109274.52166651771</v>
      </c>
      <c r="FY212" s="705">
        <v>15000</v>
      </c>
      <c r="FZ212" s="705">
        <f t="shared" si="560"/>
        <v>422098.08666607086</v>
      </c>
      <c r="GA212" s="497">
        <f t="shared" si="561"/>
        <v>46</v>
      </c>
      <c r="GB212" s="775">
        <f t="shared" si="562"/>
        <v>9176.0453623058875</v>
      </c>
      <c r="GC212" s="497"/>
      <c r="GD212" s="497"/>
      <c r="GH212" s="1095">
        <f t="shared" si="461"/>
        <v>4370980.8666607086</v>
      </c>
      <c r="GI212" s="1098">
        <f t="shared" si="462"/>
        <v>0.125</v>
      </c>
      <c r="GJ212" s="1095">
        <f t="shared" si="463"/>
        <v>546372.60833258857</v>
      </c>
      <c r="GK212" s="1095">
        <f t="shared" si="464"/>
        <v>30000</v>
      </c>
      <c r="GL212" s="1095">
        <f t="shared" si="465"/>
        <v>516372.60833258857</v>
      </c>
      <c r="GM212" s="1095">
        <f t="shared" si="466"/>
        <v>29</v>
      </c>
      <c r="GN212" s="1095">
        <f t="shared" si="467"/>
        <v>17805.952011468573</v>
      </c>
      <c r="GO212" s="1098">
        <f t="shared" si="468"/>
        <v>0.875</v>
      </c>
      <c r="GP212" s="1095">
        <f t="shared" si="469"/>
        <v>3824608.2583281202</v>
      </c>
      <c r="GQ212" s="1095">
        <f t="shared" si="470"/>
        <v>29652.147118409492</v>
      </c>
      <c r="GR212" s="1095">
        <f t="shared" si="471"/>
        <v>34376.660275209768</v>
      </c>
      <c r="GS212" s="1095">
        <f t="shared" si="472"/>
        <v>44406.94484814685</v>
      </c>
      <c r="GT212" s="1095">
        <f t="shared" si="473"/>
        <v>75731.827462215559</v>
      </c>
      <c r="GU212" s="497"/>
      <c r="GV212" s="1095">
        <f t="shared" si="563"/>
        <v>4370980.8666607086</v>
      </c>
      <c r="GW212" s="1098">
        <f t="shared" si="564"/>
        <v>0.125</v>
      </c>
      <c r="GX212" s="1095">
        <f t="shared" si="565"/>
        <v>546372.60833258857</v>
      </c>
      <c r="GY212" s="1095">
        <f t="shared" si="566"/>
        <v>30000</v>
      </c>
      <c r="GZ212" s="1095">
        <f t="shared" si="567"/>
        <v>516372.60833258857</v>
      </c>
      <c r="HA212" s="1106">
        <f t="shared" si="568"/>
        <v>48</v>
      </c>
      <c r="HB212" s="770">
        <f t="shared" si="569"/>
        <v>10757.762673595595</v>
      </c>
      <c r="HC212" s="1098">
        <f t="shared" si="570"/>
        <v>0.875</v>
      </c>
      <c r="HD212" s="1102">
        <f t="shared" si="571"/>
        <v>3824608.2583281202</v>
      </c>
      <c r="HE212" s="1101">
        <f t="shared" si="572"/>
        <v>29652.147118409492</v>
      </c>
      <c r="HF212" s="1101">
        <f t="shared" si="573"/>
        <v>34376.660275209768</v>
      </c>
      <c r="HG212" s="1101">
        <f t="shared" si="574"/>
        <v>44406.94484814685</v>
      </c>
      <c r="HH212" s="1101">
        <f t="shared" si="575"/>
        <v>75731.827462215559</v>
      </c>
      <c r="HI212" s="497"/>
      <c r="HJ212" s="1102">
        <f t="shared" si="576"/>
        <v>-7048.1893378729783</v>
      </c>
      <c r="HL212" s="775"/>
      <c r="HN212" s="775"/>
      <c r="HO212" s="775"/>
      <c r="HQ212" s="702"/>
      <c r="HR212" s="1171"/>
      <c r="HS212" s="702"/>
      <c r="HT212" s="1171"/>
    </row>
    <row r="213" spans="1:228" ht="14.25" hidden="1" customHeight="1">
      <c r="A213" s="753">
        <f t="shared" si="577"/>
        <v>207</v>
      </c>
      <c r="B213" s="753" t="s">
        <v>236</v>
      </c>
      <c r="C213" s="753">
        <f t="shared" si="459"/>
        <v>21</v>
      </c>
      <c r="D213" s="753" t="s">
        <v>275</v>
      </c>
      <c r="E213" s="717" t="str">
        <f t="shared" si="497"/>
        <v>9th Floor</v>
      </c>
      <c r="F213" s="754"/>
      <c r="G213" s="756" t="s">
        <v>635</v>
      </c>
      <c r="H213" s="756"/>
      <c r="I213" s="755" t="s">
        <v>229</v>
      </c>
      <c r="J213" s="757">
        <v>22</v>
      </c>
      <c r="K213" s="758"/>
      <c r="L213" s="759" t="s">
        <v>69</v>
      </c>
      <c r="M213" s="760" t="s">
        <v>68</v>
      </c>
      <c r="N213" s="761">
        <f t="shared" si="498"/>
        <v>106005.26567735759</v>
      </c>
      <c r="O213" s="762">
        <f t="shared" si="499"/>
        <v>2332115.8449018667</v>
      </c>
      <c r="P213" s="762">
        <f t="shared" si="500"/>
        <v>22400</v>
      </c>
      <c r="Q213" s="762">
        <f t="shared" si="474"/>
        <v>50000</v>
      </c>
      <c r="R213" s="762"/>
      <c r="S213" s="762"/>
      <c r="T213" s="762"/>
      <c r="U213" s="762"/>
      <c r="V213" s="762"/>
      <c r="W213" s="762"/>
      <c r="X213" s="762"/>
      <c r="Y213" s="762">
        <f t="shared" si="460"/>
        <v>100000</v>
      </c>
      <c r="Z213" s="762">
        <f t="shared" si="475"/>
        <v>142461</v>
      </c>
      <c r="AA213" s="762"/>
      <c r="AB213" s="762"/>
      <c r="AC213" s="762"/>
      <c r="AD213" s="763">
        <f t="shared" si="501"/>
        <v>314861</v>
      </c>
      <c r="AE213" s="763">
        <f t="shared" si="476"/>
        <v>2646976.8449018667</v>
      </c>
      <c r="AF213" s="762">
        <f t="shared" si="477"/>
        <v>66174.421122546672</v>
      </c>
      <c r="AG213" s="762">
        <f t="shared" si="502"/>
        <v>2713151.2660244135</v>
      </c>
      <c r="AH213" s="762">
        <f t="shared" si="478"/>
        <v>67828.781650610341</v>
      </c>
      <c r="AI213" s="762">
        <f t="shared" si="503"/>
        <v>2780980.0476750238</v>
      </c>
      <c r="AJ213" s="762">
        <f t="shared" si="504"/>
        <v>139049.00238375118</v>
      </c>
      <c r="AK213" s="762">
        <f t="shared" si="505"/>
        <v>2920029.0500587751</v>
      </c>
      <c r="AL213" s="762">
        <f t="shared" si="506"/>
        <v>29200.290500587751</v>
      </c>
      <c r="AM213" s="762">
        <f t="shared" si="507"/>
        <v>27537.409960060559</v>
      </c>
      <c r="AN213" s="762"/>
      <c r="AO213" s="763">
        <f t="shared" si="508"/>
        <v>2976766.7505194233</v>
      </c>
      <c r="AP213" s="763">
        <f t="shared" si="509"/>
        <v>491166.51383570489</v>
      </c>
      <c r="AQ213" s="763">
        <f t="shared" si="510"/>
        <v>3467933.2643551282</v>
      </c>
      <c r="AR213" s="1178">
        <f t="shared" si="479"/>
        <v>3000000</v>
      </c>
      <c r="AS213" s="1178">
        <f t="shared" si="511"/>
        <v>21269.693834324007</v>
      </c>
      <c r="AT213" s="1178">
        <f t="shared" si="512"/>
        <v>467933.26435512817</v>
      </c>
      <c r="AU213" s="1178">
        <f t="shared" si="480"/>
        <v>56151.991722615378</v>
      </c>
      <c r="AV213" s="1178">
        <f t="shared" si="513"/>
        <v>524085.25607774354</v>
      </c>
      <c r="AW213" s="1178">
        <f t="shared" si="514"/>
        <v>3524085.2560777436</v>
      </c>
      <c r="AX213" s="762">
        <f t="shared" si="515"/>
        <v>44051.065700971798</v>
      </c>
      <c r="AY213" s="717" t="s">
        <v>231</v>
      </c>
      <c r="AZ213" s="717">
        <f t="shared" si="516"/>
        <v>3568136.3217787156</v>
      </c>
      <c r="BA213" s="717">
        <f t="shared" si="517"/>
        <v>133805.11206670184</v>
      </c>
      <c r="BB213" s="717"/>
      <c r="BC213" s="717">
        <f t="shared" si="481"/>
        <v>33600</v>
      </c>
      <c r="BD213" s="717">
        <f t="shared" si="518"/>
        <v>3735541.4338454176</v>
      </c>
      <c r="BE213" s="717"/>
      <c r="BF213" s="717">
        <f t="shared" si="519"/>
        <v>3735541.4338454176</v>
      </c>
      <c r="BG213" s="1209"/>
      <c r="BH213" s="717">
        <f t="shared" si="520"/>
        <v>3735541.4338454176</v>
      </c>
      <c r="BI213" s="717"/>
      <c r="BJ213" s="717">
        <f t="shared" si="521"/>
        <v>3735541.4338454176</v>
      </c>
      <c r="BK213" s="717"/>
      <c r="BL213" s="717">
        <f t="shared" si="522"/>
        <v>3735541.4338454176</v>
      </c>
      <c r="BM213" s="717"/>
      <c r="BN213" s="717">
        <f t="shared" si="523"/>
        <v>3735541.4338454176</v>
      </c>
      <c r="BO213" s="717"/>
      <c r="BP213" s="717">
        <f t="shared" si="482"/>
        <v>3735541.4338454176</v>
      </c>
      <c r="BQ213" s="717"/>
      <c r="BR213" s="717">
        <f t="shared" si="584"/>
        <v>3735541.4338454176</v>
      </c>
      <c r="BS213" s="717"/>
      <c r="BT213" s="717">
        <f t="shared" si="524"/>
        <v>3735541.4338454176</v>
      </c>
      <c r="BU213" s="717"/>
      <c r="BV213" s="1235">
        <f t="shared" si="585"/>
        <v>51400</v>
      </c>
      <c r="BW213" s="717">
        <f t="shared" si="525"/>
        <v>3786941.4338454176</v>
      </c>
      <c r="BX213" s="717"/>
      <c r="BY213" s="717">
        <f t="shared" si="526"/>
        <v>3786941.4338454176</v>
      </c>
      <c r="BZ213" s="1194">
        <f t="shared" si="527"/>
        <v>3786941.4338454176</v>
      </c>
      <c r="CA213" s="1194">
        <f t="shared" si="528"/>
        <v>3038941.4338454176</v>
      </c>
      <c r="CB213" s="1194">
        <v>34000</v>
      </c>
      <c r="CC213" s="1194">
        <f t="shared" si="529"/>
        <v>748000</v>
      </c>
      <c r="CD213" s="1194">
        <f t="shared" si="530"/>
        <v>89760</v>
      </c>
      <c r="CE213" s="1194">
        <f t="shared" si="531"/>
        <v>837760</v>
      </c>
      <c r="CF213" s="1200">
        <f t="shared" si="532"/>
        <v>3876701.4338454176</v>
      </c>
      <c r="CG213" s="757">
        <f t="shared" si="533"/>
        <v>3876701.4338454176</v>
      </c>
      <c r="CH213" s="758">
        <f t="shared" si="534"/>
        <v>0</v>
      </c>
      <c r="CI213" s="757">
        <f t="shared" si="483"/>
        <v>397361.89696915529</v>
      </c>
      <c r="CJ213" s="757">
        <f t="shared" si="484"/>
        <v>96917.535846135448</v>
      </c>
      <c r="CK213" s="759">
        <f t="shared" si="444"/>
        <v>4370980.8666607086</v>
      </c>
      <c r="CL213" s="764">
        <f t="shared" si="535"/>
        <v>0.125</v>
      </c>
      <c r="CM213" s="757">
        <f t="shared" si="536"/>
        <v>546372.60833258857</v>
      </c>
      <c r="CN213" s="757">
        <f t="shared" si="578"/>
        <v>30000</v>
      </c>
      <c r="CO213" s="757">
        <f t="shared" si="537"/>
        <v>516372.60833258857</v>
      </c>
      <c r="CP213" s="755">
        <f t="shared" si="538"/>
        <v>29</v>
      </c>
      <c r="CQ213" s="757">
        <f t="shared" si="581"/>
        <v>17805.952011468573</v>
      </c>
      <c r="CR213" s="764">
        <f t="shared" si="539"/>
        <v>0.875</v>
      </c>
      <c r="CS213" s="757">
        <f t="shared" si="540"/>
        <v>3824608.2583281202</v>
      </c>
      <c r="CT213" s="1101">
        <f t="shared" si="541"/>
        <v>29652.147118409492</v>
      </c>
      <c r="CU213" s="1101">
        <f t="shared" si="542"/>
        <v>34376.660275209768</v>
      </c>
      <c r="CV213" s="1101">
        <f t="shared" si="543"/>
        <v>44406.94484814685</v>
      </c>
      <c r="CW213" s="1141">
        <f t="shared" si="485"/>
        <v>75731.827462215559</v>
      </c>
      <c r="CX213" s="1152">
        <f t="shared" si="544"/>
        <v>310685.08539597952</v>
      </c>
      <c r="CY213" s="1152">
        <f t="shared" si="545"/>
        <v>122936.57485724729</v>
      </c>
      <c r="CZ213" s="1152">
        <f t="shared" si="546"/>
        <v>88795.34684475635</v>
      </c>
      <c r="DA213" s="1152">
        <f t="shared" si="547"/>
        <v>67577.34687549567</v>
      </c>
      <c r="DB213" s="1143">
        <f t="shared" si="486"/>
        <v>0.15597775478504272</v>
      </c>
      <c r="DC213" s="1143">
        <f t="shared" si="548"/>
        <v>0.27567494084277722</v>
      </c>
      <c r="DD213" s="1098" t="s">
        <v>232</v>
      </c>
      <c r="DE213" s="1144"/>
      <c r="DF213" s="705"/>
      <c r="DG213" s="765">
        <f t="shared" si="579"/>
        <v>46082</v>
      </c>
      <c r="DH213" s="1116">
        <f t="shared" si="487"/>
        <v>28</v>
      </c>
      <c r="DI213" s="497"/>
      <c r="DJ213" s="1117">
        <f t="shared" si="549"/>
        <v>46147</v>
      </c>
      <c r="DK213" s="1116">
        <f t="shared" si="550"/>
        <v>30</v>
      </c>
      <c r="DL213" s="766" t="s">
        <v>233</v>
      </c>
      <c r="DM213" s="766" t="s">
        <v>234</v>
      </c>
      <c r="DN213" s="767">
        <f t="shared" si="488"/>
        <v>23822.057094442887</v>
      </c>
      <c r="DO213" s="767">
        <f t="shared" si="489"/>
        <v>524085.25607774354</v>
      </c>
      <c r="DP213" s="768">
        <f t="shared" si="490"/>
        <v>0.17469508535924785</v>
      </c>
      <c r="DR213" s="767">
        <f t="shared" si="491"/>
        <v>3876701.4338454176</v>
      </c>
      <c r="DS213" s="767">
        <f>SUM('[6]INTERNAL PRICELIST'!M213)</f>
        <v>0</v>
      </c>
      <c r="DT213" s="767">
        <f t="shared" si="551"/>
        <v>3876701.4338454176</v>
      </c>
      <c r="DV213" s="951">
        <f t="shared" si="492"/>
        <v>176213.70153842808</v>
      </c>
      <c r="DX213" s="781"/>
      <c r="DY213" s="782"/>
      <c r="DZ213" s="781"/>
      <c r="EA213" s="775"/>
      <c r="ED213" s="755" t="s">
        <v>635</v>
      </c>
      <c r="EE213" s="777" t="b">
        <f t="shared" si="493"/>
        <v>1</v>
      </c>
      <c r="EF213" s="1123" t="s">
        <v>636</v>
      </c>
      <c r="EG213" s="1123" t="s">
        <v>612</v>
      </c>
      <c r="EH213" s="1203"/>
      <c r="EP213" s="1230" t="s">
        <v>236</v>
      </c>
      <c r="EQ213" s="1145" t="s">
        <v>236</v>
      </c>
      <c r="ER213" s="753" t="b">
        <f t="shared" si="552"/>
        <v>1</v>
      </c>
      <c r="EU213" s="770">
        <v>2582361</v>
      </c>
      <c r="EV213" s="771" t="s">
        <v>236</v>
      </c>
      <c r="FJ213" s="994">
        <v>0.15</v>
      </c>
      <c r="FK213" s="993">
        <v>13375.504154826031</v>
      </c>
      <c r="FL213" s="993">
        <v>13737.004267118626</v>
      </c>
      <c r="FM213" s="497"/>
      <c r="FN213" s="993">
        <f t="shared" si="494"/>
        <v>4370980.8666607086</v>
      </c>
      <c r="FO213" s="994">
        <f t="shared" si="553"/>
        <v>0.15</v>
      </c>
      <c r="FP213" s="775">
        <f t="shared" si="495"/>
        <v>655647.12999910628</v>
      </c>
      <c r="FQ213" s="993">
        <f t="shared" si="496"/>
        <v>30000</v>
      </c>
      <c r="FR213" s="775">
        <f t="shared" si="554"/>
        <v>625647.12999910628</v>
      </c>
      <c r="FS213" s="497">
        <f t="shared" si="555"/>
        <v>40</v>
      </c>
      <c r="FT213" s="775">
        <f t="shared" si="556"/>
        <v>15641.178249977656</v>
      </c>
      <c r="FU213" s="497"/>
      <c r="FV213" s="993">
        <f t="shared" si="557"/>
        <v>4370980.8666607086</v>
      </c>
      <c r="FW213" s="705">
        <f t="shared" si="558"/>
        <v>437098.08666607086</v>
      </c>
      <c r="FX213" s="705">
        <f t="shared" si="559"/>
        <v>109274.52166651771</v>
      </c>
      <c r="FY213" s="705">
        <v>15000</v>
      </c>
      <c r="FZ213" s="705">
        <f t="shared" si="560"/>
        <v>422098.08666607086</v>
      </c>
      <c r="GA213" s="497">
        <f t="shared" si="561"/>
        <v>46</v>
      </c>
      <c r="GB213" s="775">
        <f t="shared" si="562"/>
        <v>9176.0453623058875</v>
      </c>
      <c r="GC213" s="497"/>
      <c r="GD213" s="497"/>
      <c r="GH213" s="1095">
        <f t="shared" si="461"/>
        <v>4370980.8666607086</v>
      </c>
      <c r="GI213" s="1098">
        <f t="shared" si="462"/>
        <v>0.125</v>
      </c>
      <c r="GJ213" s="1095">
        <f t="shared" si="463"/>
        <v>546372.60833258857</v>
      </c>
      <c r="GK213" s="1095">
        <f t="shared" si="464"/>
        <v>30000</v>
      </c>
      <c r="GL213" s="1095">
        <f t="shared" si="465"/>
        <v>516372.60833258857</v>
      </c>
      <c r="GM213" s="1095">
        <f t="shared" si="466"/>
        <v>29</v>
      </c>
      <c r="GN213" s="1095">
        <f t="shared" si="467"/>
        <v>17805.952011468573</v>
      </c>
      <c r="GO213" s="1098">
        <f t="shared" si="468"/>
        <v>0.875</v>
      </c>
      <c r="GP213" s="1095">
        <f t="shared" si="469"/>
        <v>3824608.2583281202</v>
      </c>
      <c r="GQ213" s="1095">
        <f t="shared" si="470"/>
        <v>29652.147118409492</v>
      </c>
      <c r="GR213" s="1095">
        <f t="shared" si="471"/>
        <v>34376.660275209768</v>
      </c>
      <c r="GS213" s="1095">
        <f t="shared" si="472"/>
        <v>44406.94484814685</v>
      </c>
      <c r="GT213" s="1095">
        <f t="shared" si="473"/>
        <v>75731.827462215559</v>
      </c>
      <c r="GU213" s="497"/>
      <c r="GV213" s="1095">
        <f t="shared" si="563"/>
        <v>4370980.8666607086</v>
      </c>
      <c r="GW213" s="1098">
        <f t="shared" si="564"/>
        <v>0.125</v>
      </c>
      <c r="GX213" s="1095">
        <f t="shared" si="565"/>
        <v>546372.60833258857</v>
      </c>
      <c r="GY213" s="1095">
        <f t="shared" si="566"/>
        <v>30000</v>
      </c>
      <c r="GZ213" s="1095">
        <f t="shared" si="567"/>
        <v>516372.60833258857</v>
      </c>
      <c r="HA213" s="1106">
        <f t="shared" si="568"/>
        <v>48</v>
      </c>
      <c r="HB213" s="770">
        <f t="shared" si="569"/>
        <v>10757.762673595595</v>
      </c>
      <c r="HC213" s="1098">
        <f t="shared" si="570"/>
        <v>0.875</v>
      </c>
      <c r="HD213" s="1102">
        <f t="shared" si="571"/>
        <v>3824608.2583281202</v>
      </c>
      <c r="HE213" s="1101">
        <f t="shared" si="572"/>
        <v>29652.147118409492</v>
      </c>
      <c r="HF213" s="1101">
        <f t="shared" si="573"/>
        <v>34376.660275209768</v>
      </c>
      <c r="HG213" s="1101">
        <f t="shared" si="574"/>
        <v>44406.94484814685</v>
      </c>
      <c r="HH213" s="1101">
        <f t="shared" si="575"/>
        <v>75731.827462215559</v>
      </c>
      <c r="HI213" s="497"/>
      <c r="HJ213" s="1102">
        <f t="shared" si="576"/>
        <v>-7048.1893378729783</v>
      </c>
      <c r="HL213" s="775"/>
      <c r="HN213" s="775"/>
      <c r="HO213" s="775"/>
      <c r="HQ213" s="702"/>
      <c r="HR213" s="1171"/>
      <c r="HS213" s="702"/>
      <c r="HT213" s="1171"/>
    </row>
    <row r="214" spans="1:228" ht="14.25" hidden="1" customHeight="1">
      <c r="A214" s="753">
        <f t="shared" si="577"/>
        <v>208</v>
      </c>
      <c r="B214" s="753" t="s">
        <v>236</v>
      </c>
      <c r="C214" s="753">
        <f t="shared" si="459"/>
        <v>22</v>
      </c>
      <c r="D214" s="753" t="s">
        <v>275</v>
      </c>
      <c r="E214" s="717" t="str">
        <f t="shared" si="497"/>
        <v>9th Floor</v>
      </c>
      <c r="F214" s="754"/>
      <c r="G214" s="756" t="s">
        <v>637</v>
      </c>
      <c r="H214" s="756"/>
      <c r="I214" s="755" t="s">
        <v>229</v>
      </c>
      <c r="J214" s="757">
        <v>22</v>
      </c>
      <c r="K214" s="758"/>
      <c r="L214" s="759" t="s">
        <v>69</v>
      </c>
      <c r="M214" s="760" t="s">
        <v>68</v>
      </c>
      <c r="N214" s="761">
        <f t="shared" si="498"/>
        <v>106005.26567735759</v>
      </c>
      <c r="O214" s="762">
        <f t="shared" si="499"/>
        <v>2332115.8449018667</v>
      </c>
      <c r="P214" s="762">
        <f t="shared" si="500"/>
        <v>22400</v>
      </c>
      <c r="Q214" s="762">
        <f t="shared" si="474"/>
        <v>50000</v>
      </c>
      <c r="R214" s="762"/>
      <c r="S214" s="762"/>
      <c r="T214" s="762"/>
      <c r="U214" s="762"/>
      <c r="V214" s="762"/>
      <c r="W214" s="762"/>
      <c r="X214" s="762"/>
      <c r="Y214" s="762">
        <f t="shared" si="460"/>
        <v>100000</v>
      </c>
      <c r="Z214" s="762">
        <f t="shared" si="475"/>
        <v>142461</v>
      </c>
      <c r="AA214" s="762"/>
      <c r="AB214" s="762"/>
      <c r="AC214" s="762"/>
      <c r="AD214" s="763">
        <f t="shared" si="501"/>
        <v>314861</v>
      </c>
      <c r="AE214" s="763">
        <f t="shared" si="476"/>
        <v>2646976.8449018667</v>
      </c>
      <c r="AF214" s="762">
        <f t="shared" si="477"/>
        <v>66174.421122546672</v>
      </c>
      <c r="AG214" s="762">
        <f t="shared" si="502"/>
        <v>2713151.2660244135</v>
      </c>
      <c r="AH214" s="762">
        <f t="shared" si="478"/>
        <v>67828.781650610341</v>
      </c>
      <c r="AI214" s="762">
        <f t="shared" si="503"/>
        <v>2780980.0476750238</v>
      </c>
      <c r="AJ214" s="762">
        <f t="shared" si="504"/>
        <v>139049.00238375118</v>
      </c>
      <c r="AK214" s="762">
        <f t="shared" si="505"/>
        <v>2920029.0500587751</v>
      </c>
      <c r="AL214" s="762">
        <f t="shared" si="506"/>
        <v>29200.290500587751</v>
      </c>
      <c r="AM214" s="762">
        <f t="shared" si="507"/>
        <v>27537.409960060559</v>
      </c>
      <c r="AN214" s="762"/>
      <c r="AO214" s="763">
        <f t="shared" si="508"/>
        <v>2976766.7505194233</v>
      </c>
      <c r="AP214" s="763">
        <f t="shared" si="509"/>
        <v>491166.51383570489</v>
      </c>
      <c r="AQ214" s="763">
        <f t="shared" si="510"/>
        <v>3467933.2643551282</v>
      </c>
      <c r="AR214" s="1178">
        <f t="shared" si="479"/>
        <v>3000000</v>
      </c>
      <c r="AS214" s="1178">
        <f t="shared" si="511"/>
        <v>21269.693834324007</v>
      </c>
      <c r="AT214" s="1178">
        <f t="shared" si="512"/>
        <v>467933.26435512817</v>
      </c>
      <c r="AU214" s="1178">
        <f t="shared" si="480"/>
        <v>56151.991722615378</v>
      </c>
      <c r="AV214" s="1178">
        <f t="shared" si="513"/>
        <v>524085.25607774354</v>
      </c>
      <c r="AW214" s="1178">
        <f t="shared" si="514"/>
        <v>3524085.2560777436</v>
      </c>
      <c r="AX214" s="762">
        <f t="shared" si="515"/>
        <v>44051.065700971798</v>
      </c>
      <c r="AY214" s="717" t="s">
        <v>231</v>
      </c>
      <c r="AZ214" s="717">
        <f t="shared" si="516"/>
        <v>3568136.3217787156</v>
      </c>
      <c r="BA214" s="717">
        <f t="shared" si="517"/>
        <v>133805.11206670184</v>
      </c>
      <c r="BB214" s="717"/>
      <c r="BC214" s="717">
        <f t="shared" si="481"/>
        <v>33600</v>
      </c>
      <c r="BD214" s="717">
        <f t="shared" si="518"/>
        <v>3735541.4338454176</v>
      </c>
      <c r="BE214" s="717"/>
      <c r="BF214" s="717">
        <f t="shared" si="519"/>
        <v>3735541.4338454176</v>
      </c>
      <c r="BG214" s="1209"/>
      <c r="BH214" s="717">
        <f t="shared" si="520"/>
        <v>3735541.4338454176</v>
      </c>
      <c r="BI214" s="717"/>
      <c r="BJ214" s="717">
        <f t="shared" si="521"/>
        <v>3735541.4338454176</v>
      </c>
      <c r="BK214" s="717"/>
      <c r="BL214" s="717">
        <f t="shared" si="522"/>
        <v>3735541.4338454176</v>
      </c>
      <c r="BM214" s="717"/>
      <c r="BN214" s="717">
        <f t="shared" si="523"/>
        <v>3735541.4338454176</v>
      </c>
      <c r="BO214" s="717"/>
      <c r="BP214" s="717">
        <f t="shared" si="482"/>
        <v>3735541.4338454176</v>
      </c>
      <c r="BQ214" s="717"/>
      <c r="BR214" s="717">
        <f t="shared" si="584"/>
        <v>3735541.4338454176</v>
      </c>
      <c r="BS214" s="717"/>
      <c r="BT214" s="717">
        <f t="shared" si="524"/>
        <v>3735541.4338454176</v>
      </c>
      <c r="BU214" s="717"/>
      <c r="BV214" s="1235">
        <f t="shared" si="585"/>
        <v>51400</v>
      </c>
      <c r="BW214" s="717">
        <f t="shared" si="525"/>
        <v>3786941.4338454176</v>
      </c>
      <c r="BX214" s="717"/>
      <c r="BY214" s="717">
        <f t="shared" si="526"/>
        <v>3786941.4338454176</v>
      </c>
      <c r="BZ214" s="1194">
        <f t="shared" si="527"/>
        <v>3786941.4338454176</v>
      </c>
      <c r="CA214" s="1194">
        <f t="shared" si="528"/>
        <v>3038941.4338454176</v>
      </c>
      <c r="CB214" s="1194">
        <v>34000</v>
      </c>
      <c r="CC214" s="1194">
        <f t="shared" si="529"/>
        <v>748000</v>
      </c>
      <c r="CD214" s="1194">
        <f t="shared" si="530"/>
        <v>89760</v>
      </c>
      <c r="CE214" s="1194">
        <f t="shared" si="531"/>
        <v>837760</v>
      </c>
      <c r="CF214" s="1200">
        <f t="shared" si="532"/>
        <v>3876701.4338454176</v>
      </c>
      <c r="CG214" s="757">
        <f t="shared" si="533"/>
        <v>3876701.4338454176</v>
      </c>
      <c r="CH214" s="758">
        <f t="shared" si="534"/>
        <v>0</v>
      </c>
      <c r="CI214" s="757">
        <f t="shared" si="483"/>
        <v>397361.89696915529</v>
      </c>
      <c r="CJ214" s="757">
        <f t="shared" si="484"/>
        <v>96917.535846135448</v>
      </c>
      <c r="CK214" s="759">
        <f t="shared" si="444"/>
        <v>4370980.8666607086</v>
      </c>
      <c r="CL214" s="764">
        <f t="shared" si="535"/>
        <v>0.125</v>
      </c>
      <c r="CM214" s="757">
        <f t="shared" si="536"/>
        <v>546372.60833258857</v>
      </c>
      <c r="CN214" s="757">
        <f t="shared" si="578"/>
        <v>30000</v>
      </c>
      <c r="CO214" s="757">
        <f t="shared" si="537"/>
        <v>516372.60833258857</v>
      </c>
      <c r="CP214" s="755">
        <f t="shared" si="538"/>
        <v>29</v>
      </c>
      <c r="CQ214" s="757">
        <f t="shared" si="581"/>
        <v>17805.952011468573</v>
      </c>
      <c r="CR214" s="764">
        <f t="shared" si="539"/>
        <v>0.875</v>
      </c>
      <c r="CS214" s="757">
        <f t="shared" si="540"/>
        <v>3824608.2583281202</v>
      </c>
      <c r="CT214" s="1101">
        <f t="shared" si="541"/>
        <v>29652.147118409492</v>
      </c>
      <c r="CU214" s="1101">
        <f t="shared" si="542"/>
        <v>34376.660275209768</v>
      </c>
      <c r="CV214" s="1101">
        <f t="shared" si="543"/>
        <v>44406.94484814685</v>
      </c>
      <c r="CW214" s="1141">
        <f t="shared" si="485"/>
        <v>75731.827462215559</v>
      </c>
      <c r="CX214" s="1152">
        <f t="shared" si="544"/>
        <v>310685.08539597952</v>
      </c>
      <c r="CY214" s="1152">
        <f t="shared" si="545"/>
        <v>122936.57485724729</v>
      </c>
      <c r="CZ214" s="1152">
        <f t="shared" si="546"/>
        <v>88795.34684475635</v>
      </c>
      <c r="DA214" s="1152">
        <f t="shared" si="547"/>
        <v>67577.34687549567</v>
      </c>
      <c r="DB214" s="1143">
        <f t="shared" si="486"/>
        <v>0.15597775478504272</v>
      </c>
      <c r="DC214" s="1143">
        <f t="shared" si="548"/>
        <v>0.27567494084277722</v>
      </c>
      <c r="DD214" s="1098" t="s">
        <v>232</v>
      </c>
      <c r="DE214" s="1144"/>
      <c r="DF214" s="705"/>
      <c r="DG214" s="765">
        <f t="shared" si="579"/>
        <v>46082</v>
      </c>
      <c r="DH214" s="1116">
        <f t="shared" si="487"/>
        <v>28</v>
      </c>
      <c r="DI214" s="497"/>
      <c r="DJ214" s="1117">
        <f t="shared" si="549"/>
        <v>46147</v>
      </c>
      <c r="DK214" s="1116">
        <f t="shared" si="550"/>
        <v>30</v>
      </c>
      <c r="DL214" s="766" t="s">
        <v>233</v>
      </c>
      <c r="DM214" s="766" t="s">
        <v>234</v>
      </c>
      <c r="DN214" s="767">
        <f t="shared" si="488"/>
        <v>23822.057094442887</v>
      </c>
      <c r="DO214" s="767">
        <f t="shared" si="489"/>
        <v>524085.25607774354</v>
      </c>
      <c r="DP214" s="768">
        <f t="shared" si="490"/>
        <v>0.17469508535924785</v>
      </c>
      <c r="DR214" s="767">
        <f t="shared" si="491"/>
        <v>3876701.4338454176</v>
      </c>
      <c r="DS214" s="767">
        <f>SUM('[6]INTERNAL PRICELIST'!M214)</f>
        <v>0</v>
      </c>
      <c r="DT214" s="767">
        <f t="shared" si="551"/>
        <v>3876701.4338454176</v>
      </c>
      <c r="DV214" s="951">
        <f t="shared" si="492"/>
        <v>176213.70153842808</v>
      </c>
      <c r="DX214" s="781"/>
      <c r="DY214" s="782"/>
      <c r="DZ214" s="781"/>
      <c r="EA214" s="775"/>
      <c r="ED214" s="755" t="s">
        <v>637</v>
      </c>
      <c r="EE214" s="777" t="b">
        <f t="shared" si="493"/>
        <v>1</v>
      </c>
      <c r="EF214" s="1123" t="s">
        <v>638</v>
      </c>
      <c r="EG214" s="1123" t="s">
        <v>612</v>
      </c>
      <c r="EH214" s="1203"/>
      <c r="EP214" s="1230" t="s">
        <v>236</v>
      </c>
      <c r="EQ214" s="1145" t="s">
        <v>236</v>
      </c>
      <c r="ER214" s="753" t="b">
        <f t="shared" si="552"/>
        <v>1</v>
      </c>
      <c r="EU214" s="770">
        <v>2582361</v>
      </c>
      <c r="EV214" s="771" t="s">
        <v>236</v>
      </c>
      <c r="FJ214" s="994">
        <v>0.15</v>
      </c>
      <c r="FK214" s="993">
        <v>13375.504154826031</v>
      </c>
      <c r="FL214" s="993">
        <v>13737.004267118626</v>
      </c>
      <c r="FM214" s="497"/>
      <c r="FN214" s="993">
        <f t="shared" si="494"/>
        <v>4370980.8666607086</v>
      </c>
      <c r="FO214" s="994">
        <f t="shared" si="553"/>
        <v>0.15</v>
      </c>
      <c r="FP214" s="775">
        <f t="shared" si="495"/>
        <v>655647.12999910628</v>
      </c>
      <c r="FQ214" s="993">
        <f t="shared" si="496"/>
        <v>30000</v>
      </c>
      <c r="FR214" s="775">
        <f t="shared" si="554"/>
        <v>625647.12999910628</v>
      </c>
      <c r="FS214" s="497">
        <f t="shared" si="555"/>
        <v>40</v>
      </c>
      <c r="FT214" s="775">
        <f t="shared" si="556"/>
        <v>15641.178249977656</v>
      </c>
      <c r="FU214" s="497"/>
      <c r="FV214" s="993">
        <f t="shared" si="557"/>
        <v>4370980.8666607086</v>
      </c>
      <c r="FW214" s="705">
        <f t="shared" si="558"/>
        <v>437098.08666607086</v>
      </c>
      <c r="FX214" s="705">
        <f t="shared" si="559"/>
        <v>109274.52166651771</v>
      </c>
      <c r="FY214" s="705">
        <v>15000</v>
      </c>
      <c r="FZ214" s="705">
        <f t="shared" si="560"/>
        <v>422098.08666607086</v>
      </c>
      <c r="GA214" s="497">
        <f t="shared" si="561"/>
        <v>46</v>
      </c>
      <c r="GB214" s="775">
        <f t="shared" si="562"/>
        <v>9176.0453623058875</v>
      </c>
      <c r="GC214" s="497"/>
      <c r="GD214" s="497"/>
      <c r="GH214" s="1095">
        <f t="shared" si="461"/>
        <v>4370980.8666607086</v>
      </c>
      <c r="GI214" s="1098">
        <f t="shared" si="462"/>
        <v>0.125</v>
      </c>
      <c r="GJ214" s="1095">
        <f t="shared" si="463"/>
        <v>546372.60833258857</v>
      </c>
      <c r="GK214" s="1095">
        <f t="shared" si="464"/>
        <v>30000</v>
      </c>
      <c r="GL214" s="1095">
        <f t="shared" si="465"/>
        <v>516372.60833258857</v>
      </c>
      <c r="GM214" s="1095">
        <f t="shared" si="466"/>
        <v>29</v>
      </c>
      <c r="GN214" s="1095">
        <f t="shared" si="467"/>
        <v>17805.952011468573</v>
      </c>
      <c r="GO214" s="1098">
        <f t="shared" si="468"/>
        <v>0.875</v>
      </c>
      <c r="GP214" s="1095">
        <f t="shared" si="469"/>
        <v>3824608.2583281202</v>
      </c>
      <c r="GQ214" s="1095">
        <f t="shared" si="470"/>
        <v>29652.147118409492</v>
      </c>
      <c r="GR214" s="1095">
        <f t="shared" si="471"/>
        <v>34376.660275209768</v>
      </c>
      <c r="GS214" s="1095">
        <f t="shared" si="472"/>
        <v>44406.94484814685</v>
      </c>
      <c r="GT214" s="1095">
        <f t="shared" si="473"/>
        <v>75731.827462215559</v>
      </c>
      <c r="GU214" s="497"/>
      <c r="GV214" s="1095">
        <f t="shared" si="563"/>
        <v>4370980.8666607086</v>
      </c>
      <c r="GW214" s="1098">
        <f t="shared" si="564"/>
        <v>0.125</v>
      </c>
      <c r="GX214" s="1095">
        <f t="shared" si="565"/>
        <v>546372.60833258857</v>
      </c>
      <c r="GY214" s="1095">
        <f t="shared" si="566"/>
        <v>30000</v>
      </c>
      <c r="GZ214" s="1095">
        <f t="shared" si="567"/>
        <v>516372.60833258857</v>
      </c>
      <c r="HA214" s="1106">
        <f t="shared" si="568"/>
        <v>48</v>
      </c>
      <c r="HB214" s="770">
        <f t="shared" si="569"/>
        <v>10757.762673595595</v>
      </c>
      <c r="HC214" s="1098">
        <f t="shared" si="570"/>
        <v>0.875</v>
      </c>
      <c r="HD214" s="1102">
        <f t="shared" si="571"/>
        <v>3824608.2583281202</v>
      </c>
      <c r="HE214" s="1101">
        <f t="shared" si="572"/>
        <v>29652.147118409492</v>
      </c>
      <c r="HF214" s="1101">
        <f t="shared" si="573"/>
        <v>34376.660275209768</v>
      </c>
      <c r="HG214" s="1101">
        <f t="shared" si="574"/>
        <v>44406.94484814685</v>
      </c>
      <c r="HH214" s="1101">
        <f t="shared" si="575"/>
        <v>75731.827462215559</v>
      </c>
      <c r="HI214" s="497"/>
      <c r="HJ214" s="1102">
        <f t="shared" si="576"/>
        <v>-7048.1893378729783</v>
      </c>
      <c r="HL214" s="775"/>
      <c r="HN214" s="775"/>
      <c r="HO214" s="775"/>
      <c r="HQ214" s="702"/>
      <c r="HR214" s="1171"/>
      <c r="HS214" s="702"/>
      <c r="HT214" s="1171"/>
    </row>
    <row r="215" spans="1:228" ht="14.25" hidden="1" customHeight="1">
      <c r="A215" s="753">
        <f t="shared" si="577"/>
        <v>209</v>
      </c>
      <c r="B215" s="753" t="s">
        <v>236</v>
      </c>
      <c r="C215" s="753">
        <f t="shared" si="459"/>
        <v>23</v>
      </c>
      <c r="D215" s="753" t="s">
        <v>275</v>
      </c>
      <c r="E215" s="717" t="str">
        <f t="shared" si="497"/>
        <v>9th Floor</v>
      </c>
      <c r="F215" s="754"/>
      <c r="G215" s="756" t="s">
        <v>639</v>
      </c>
      <c r="H215" s="756"/>
      <c r="I215" s="755" t="s">
        <v>229</v>
      </c>
      <c r="J215" s="757">
        <v>22</v>
      </c>
      <c r="K215" s="758"/>
      <c r="L215" s="759" t="s">
        <v>69</v>
      </c>
      <c r="M215" s="760" t="s">
        <v>68</v>
      </c>
      <c r="N215" s="761">
        <f t="shared" si="498"/>
        <v>106005.26567735759</v>
      </c>
      <c r="O215" s="762">
        <f t="shared" si="499"/>
        <v>2332115.8449018667</v>
      </c>
      <c r="P215" s="762">
        <f t="shared" si="500"/>
        <v>22400</v>
      </c>
      <c r="Q215" s="762">
        <f t="shared" si="474"/>
        <v>50000</v>
      </c>
      <c r="R215" s="762"/>
      <c r="S215" s="762"/>
      <c r="T215" s="762"/>
      <c r="U215" s="762"/>
      <c r="V215" s="762"/>
      <c r="W215" s="762"/>
      <c r="X215" s="762"/>
      <c r="Y215" s="762">
        <f t="shared" si="460"/>
        <v>100000</v>
      </c>
      <c r="Z215" s="762">
        <f t="shared" si="475"/>
        <v>142461</v>
      </c>
      <c r="AA215" s="762"/>
      <c r="AB215" s="762"/>
      <c r="AC215" s="762"/>
      <c r="AD215" s="763">
        <f t="shared" si="501"/>
        <v>314861</v>
      </c>
      <c r="AE215" s="763">
        <f t="shared" si="476"/>
        <v>2646976.8449018667</v>
      </c>
      <c r="AF215" s="762">
        <f t="shared" si="477"/>
        <v>66174.421122546672</v>
      </c>
      <c r="AG215" s="762">
        <f t="shared" si="502"/>
        <v>2713151.2660244135</v>
      </c>
      <c r="AH215" s="762">
        <f t="shared" si="478"/>
        <v>67828.781650610341</v>
      </c>
      <c r="AI215" s="762">
        <f t="shared" si="503"/>
        <v>2780980.0476750238</v>
      </c>
      <c r="AJ215" s="762">
        <f t="shared" si="504"/>
        <v>139049.00238375118</v>
      </c>
      <c r="AK215" s="762">
        <f t="shared" si="505"/>
        <v>2920029.0500587751</v>
      </c>
      <c r="AL215" s="762">
        <f t="shared" si="506"/>
        <v>29200.290500587751</v>
      </c>
      <c r="AM215" s="762">
        <f t="shared" si="507"/>
        <v>27537.409960060559</v>
      </c>
      <c r="AN215" s="762"/>
      <c r="AO215" s="763">
        <f t="shared" si="508"/>
        <v>2976766.7505194233</v>
      </c>
      <c r="AP215" s="763">
        <f t="shared" si="509"/>
        <v>491166.51383570489</v>
      </c>
      <c r="AQ215" s="763">
        <f t="shared" si="510"/>
        <v>3467933.2643551282</v>
      </c>
      <c r="AR215" s="1178">
        <f t="shared" si="479"/>
        <v>3000000</v>
      </c>
      <c r="AS215" s="1178">
        <f t="shared" si="511"/>
        <v>21269.693834324007</v>
      </c>
      <c r="AT215" s="1178">
        <f t="shared" si="512"/>
        <v>467933.26435512817</v>
      </c>
      <c r="AU215" s="1178">
        <f t="shared" si="480"/>
        <v>56151.991722615378</v>
      </c>
      <c r="AV215" s="1178">
        <f t="shared" si="513"/>
        <v>524085.25607774354</v>
      </c>
      <c r="AW215" s="1178">
        <f t="shared" si="514"/>
        <v>3524085.2560777436</v>
      </c>
      <c r="AX215" s="762">
        <f t="shared" si="515"/>
        <v>44051.065700971798</v>
      </c>
      <c r="AY215" s="717" t="s">
        <v>231</v>
      </c>
      <c r="AZ215" s="717">
        <f t="shared" si="516"/>
        <v>3568136.3217787156</v>
      </c>
      <c r="BA215" s="717">
        <f t="shared" si="517"/>
        <v>133805.11206670184</v>
      </c>
      <c r="BB215" s="717"/>
      <c r="BC215" s="717">
        <f t="shared" si="481"/>
        <v>33600</v>
      </c>
      <c r="BD215" s="717">
        <f t="shared" si="518"/>
        <v>3735541.4338454176</v>
      </c>
      <c r="BE215" s="717"/>
      <c r="BF215" s="717">
        <f t="shared" si="519"/>
        <v>3735541.4338454176</v>
      </c>
      <c r="BG215" s="1209"/>
      <c r="BH215" s="717">
        <f t="shared" si="520"/>
        <v>3735541.4338454176</v>
      </c>
      <c r="BI215" s="717"/>
      <c r="BJ215" s="717">
        <f t="shared" si="521"/>
        <v>3735541.4338454176</v>
      </c>
      <c r="BK215" s="717"/>
      <c r="BL215" s="717">
        <f t="shared" si="522"/>
        <v>3735541.4338454176</v>
      </c>
      <c r="BM215" s="717"/>
      <c r="BN215" s="717">
        <f t="shared" si="523"/>
        <v>3735541.4338454176</v>
      </c>
      <c r="BO215" s="717"/>
      <c r="BP215" s="717">
        <f t="shared" si="482"/>
        <v>3735541.4338454176</v>
      </c>
      <c r="BQ215" s="717"/>
      <c r="BR215" s="717">
        <f t="shared" si="584"/>
        <v>3735541.4338454176</v>
      </c>
      <c r="BS215" s="717"/>
      <c r="BT215" s="717">
        <f t="shared" si="524"/>
        <v>3735541.4338454176</v>
      </c>
      <c r="BU215" s="717"/>
      <c r="BV215" s="1235">
        <f t="shared" si="585"/>
        <v>51400</v>
      </c>
      <c r="BW215" s="717">
        <f t="shared" si="525"/>
        <v>3786941.4338454176</v>
      </c>
      <c r="BX215" s="717"/>
      <c r="BY215" s="717">
        <f t="shared" si="526"/>
        <v>3786941.4338454176</v>
      </c>
      <c r="BZ215" s="1194">
        <f t="shared" si="527"/>
        <v>3786941.4338454176</v>
      </c>
      <c r="CA215" s="1194">
        <f t="shared" si="528"/>
        <v>3038941.4338454176</v>
      </c>
      <c r="CB215" s="1194">
        <v>34000</v>
      </c>
      <c r="CC215" s="1194">
        <f t="shared" si="529"/>
        <v>748000</v>
      </c>
      <c r="CD215" s="1194">
        <f t="shared" si="530"/>
        <v>89760</v>
      </c>
      <c r="CE215" s="1194">
        <f t="shared" si="531"/>
        <v>837760</v>
      </c>
      <c r="CF215" s="1200">
        <f t="shared" si="532"/>
        <v>3876701.4338454176</v>
      </c>
      <c r="CG215" s="757">
        <f t="shared" si="533"/>
        <v>3876701.4338454176</v>
      </c>
      <c r="CH215" s="758">
        <f t="shared" si="534"/>
        <v>0</v>
      </c>
      <c r="CI215" s="757">
        <f t="shared" si="483"/>
        <v>397361.89696915529</v>
      </c>
      <c r="CJ215" s="757">
        <f t="shared" si="484"/>
        <v>96917.535846135448</v>
      </c>
      <c r="CK215" s="759">
        <f t="shared" si="444"/>
        <v>4370980.8666607086</v>
      </c>
      <c r="CL215" s="764">
        <f t="shared" si="535"/>
        <v>0.125</v>
      </c>
      <c r="CM215" s="757">
        <f t="shared" si="536"/>
        <v>546372.60833258857</v>
      </c>
      <c r="CN215" s="757">
        <f t="shared" si="578"/>
        <v>30000</v>
      </c>
      <c r="CO215" s="757">
        <f t="shared" si="537"/>
        <v>516372.60833258857</v>
      </c>
      <c r="CP215" s="755">
        <f t="shared" si="538"/>
        <v>29</v>
      </c>
      <c r="CQ215" s="757">
        <f t="shared" si="581"/>
        <v>17805.952011468573</v>
      </c>
      <c r="CR215" s="764">
        <f t="shared" si="539"/>
        <v>0.875</v>
      </c>
      <c r="CS215" s="757">
        <f t="shared" si="540"/>
        <v>3824608.2583281202</v>
      </c>
      <c r="CT215" s="1101">
        <f t="shared" si="541"/>
        <v>29652.147118409492</v>
      </c>
      <c r="CU215" s="1101">
        <f t="shared" si="542"/>
        <v>34376.660275209768</v>
      </c>
      <c r="CV215" s="1101">
        <f t="shared" si="543"/>
        <v>44406.94484814685</v>
      </c>
      <c r="CW215" s="1141">
        <f t="shared" si="485"/>
        <v>75731.827462215559</v>
      </c>
      <c r="CX215" s="1152">
        <f t="shared" si="544"/>
        <v>310685.08539597952</v>
      </c>
      <c r="CY215" s="1152">
        <f t="shared" si="545"/>
        <v>122936.57485724729</v>
      </c>
      <c r="CZ215" s="1152">
        <f t="shared" si="546"/>
        <v>88795.34684475635</v>
      </c>
      <c r="DA215" s="1152">
        <f t="shared" si="547"/>
        <v>67577.34687549567</v>
      </c>
      <c r="DB215" s="1143">
        <f t="shared" si="486"/>
        <v>0.15597775478504272</v>
      </c>
      <c r="DC215" s="1143">
        <f t="shared" si="548"/>
        <v>0.27567494084277722</v>
      </c>
      <c r="DD215" s="1098" t="s">
        <v>232</v>
      </c>
      <c r="DE215" s="1144"/>
      <c r="DF215" s="705"/>
      <c r="DG215" s="765">
        <f t="shared" si="579"/>
        <v>46082</v>
      </c>
      <c r="DH215" s="1116">
        <f t="shared" si="487"/>
        <v>28</v>
      </c>
      <c r="DI215" s="497"/>
      <c r="DJ215" s="1117">
        <f t="shared" si="549"/>
        <v>46147</v>
      </c>
      <c r="DK215" s="1116">
        <f t="shared" si="550"/>
        <v>30</v>
      </c>
      <c r="DL215" s="766" t="s">
        <v>233</v>
      </c>
      <c r="DM215" s="766" t="s">
        <v>234</v>
      </c>
      <c r="DN215" s="767">
        <f t="shared" si="488"/>
        <v>23822.057094442887</v>
      </c>
      <c r="DO215" s="767">
        <f t="shared" si="489"/>
        <v>524085.25607774354</v>
      </c>
      <c r="DP215" s="768">
        <f t="shared" si="490"/>
        <v>0.17469508535924785</v>
      </c>
      <c r="DR215" s="767">
        <f t="shared" si="491"/>
        <v>3876701.4338454176</v>
      </c>
      <c r="DS215" s="767">
        <f>SUM('[6]INTERNAL PRICELIST'!M215)</f>
        <v>0</v>
      </c>
      <c r="DT215" s="767">
        <f t="shared" si="551"/>
        <v>3876701.4338454176</v>
      </c>
      <c r="DV215" s="951">
        <f t="shared" si="492"/>
        <v>176213.70153842808</v>
      </c>
      <c r="DX215" s="781"/>
      <c r="DY215" s="782"/>
      <c r="DZ215" s="781"/>
      <c r="EA215" s="775"/>
      <c r="ED215" s="755" t="s">
        <v>639</v>
      </c>
      <c r="EE215" s="777" t="b">
        <f t="shared" si="493"/>
        <v>1</v>
      </c>
      <c r="EF215" s="1123" t="s">
        <v>640</v>
      </c>
      <c r="EG215" s="1123" t="s">
        <v>612</v>
      </c>
      <c r="EH215" s="1203"/>
      <c r="EP215" s="1230" t="s">
        <v>236</v>
      </c>
      <c r="EQ215" s="1145" t="s">
        <v>236</v>
      </c>
      <c r="ER215" s="753" t="b">
        <f t="shared" si="552"/>
        <v>1</v>
      </c>
      <c r="EU215" s="770">
        <v>2468160</v>
      </c>
      <c r="EV215" s="771" t="s">
        <v>236</v>
      </c>
      <c r="FJ215" s="994">
        <v>0.15</v>
      </c>
      <c r="FK215" s="993">
        <v>13375.504154826031</v>
      </c>
      <c r="FL215" s="993">
        <v>13737.004267118626</v>
      </c>
      <c r="FM215" s="497"/>
      <c r="FN215" s="993">
        <f t="shared" si="494"/>
        <v>4370980.8666607086</v>
      </c>
      <c r="FO215" s="994">
        <f t="shared" si="553"/>
        <v>0.15</v>
      </c>
      <c r="FP215" s="775">
        <f t="shared" si="495"/>
        <v>655647.12999910628</v>
      </c>
      <c r="FQ215" s="993">
        <f t="shared" si="496"/>
        <v>30000</v>
      </c>
      <c r="FR215" s="775">
        <f t="shared" si="554"/>
        <v>625647.12999910628</v>
      </c>
      <c r="FS215" s="497">
        <f t="shared" si="555"/>
        <v>40</v>
      </c>
      <c r="FT215" s="775">
        <f t="shared" si="556"/>
        <v>15641.178249977656</v>
      </c>
      <c r="FU215" s="497"/>
      <c r="FV215" s="993">
        <f t="shared" si="557"/>
        <v>4370980.8666607086</v>
      </c>
      <c r="FW215" s="705">
        <f t="shared" si="558"/>
        <v>437098.08666607086</v>
      </c>
      <c r="FX215" s="705">
        <f t="shared" si="559"/>
        <v>109274.52166651771</v>
      </c>
      <c r="FY215" s="705">
        <v>15000</v>
      </c>
      <c r="FZ215" s="705">
        <f t="shared" si="560"/>
        <v>422098.08666607086</v>
      </c>
      <c r="GA215" s="497">
        <f t="shared" si="561"/>
        <v>46</v>
      </c>
      <c r="GB215" s="775">
        <f t="shared" si="562"/>
        <v>9176.0453623058875</v>
      </c>
      <c r="GC215" s="497"/>
      <c r="GD215" s="497"/>
      <c r="GH215" s="1095">
        <f t="shared" si="461"/>
        <v>4370980.8666607086</v>
      </c>
      <c r="GI215" s="1098">
        <f t="shared" si="462"/>
        <v>0.125</v>
      </c>
      <c r="GJ215" s="1095">
        <f t="shared" si="463"/>
        <v>546372.60833258857</v>
      </c>
      <c r="GK215" s="1095">
        <f t="shared" si="464"/>
        <v>30000</v>
      </c>
      <c r="GL215" s="1095">
        <f t="shared" si="465"/>
        <v>516372.60833258857</v>
      </c>
      <c r="GM215" s="1095">
        <f t="shared" si="466"/>
        <v>29</v>
      </c>
      <c r="GN215" s="1095">
        <f t="shared" si="467"/>
        <v>17805.952011468573</v>
      </c>
      <c r="GO215" s="1098">
        <f t="shared" si="468"/>
        <v>0.875</v>
      </c>
      <c r="GP215" s="1095">
        <f t="shared" si="469"/>
        <v>3824608.2583281202</v>
      </c>
      <c r="GQ215" s="1095">
        <f t="shared" si="470"/>
        <v>29652.147118409492</v>
      </c>
      <c r="GR215" s="1095">
        <f t="shared" si="471"/>
        <v>34376.660275209768</v>
      </c>
      <c r="GS215" s="1095">
        <f t="shared" si="472"/>
        <v>44406.94484814685</v>
      </c>
      <c r="GT215" s="1095">
        <f t="shared" si="473"/>
        <v>75731.827462215559</v>
      </c>
      <c r="GU215" s="497"/>
      <c r="GV215" s="1095">
        <f t="shared" si="563"/>
        <v>4370980.8666607086</v>
      </c>
      <c r="GW215" s="1098">
        <f t="shared" si="564"/>
        <v>0.125</v>
      </c>
      <c r="GX215" s="1095">
        <f t="shared" si="565"/>
        <v>546372.60833258857</v>
      </c>
      <c r="GY215" s="1095">
        <f t="shared" si="566"/>
        <v>30000</v>
      </c>
      <c r="GZ215" s="1095">
        <f t="shared" si="567"/>
        <v>516372.60833258857</v>
      </c>
      <c r="HA215" s="1106">
        <f t="shared" si="568"/>
        <v>48</v>
      </c>
      <c r="HB215" s="770">
        <f t="shared" si="569"/>
        <v>10757.762673595595</v>
      </c>
      <c r="HC215" s="1098">
        <f t="shared" si="570"/>
        <v>0.875</v>
      </c>
      <c r="HD215" s="1102">
        <f t="shared" si="571"/>
        <v>3824608.2583281202</v>
      </c>
      <c r="HE215" s="1101">
        <f t="shared" si="572"/>
        <v>29652.147118409492</v>
      </c>
      <c r="HF215" s="1101">
        <f t="shared" si="573"/>
        <v>34376.660275209768</v>
      </c>
      <c r="HG215" s="1101">
        <f t="shared" si="574"/>
        <v>44406.94484814685</v>
      </c>
      <c r="HH215" s="1101">
        <f t="shared" si="575"/>
        <v>75731.827462215559</v>
      </c>
      <c r="HI215" s="497"/>
      <c r="HJ215" s="1102">
        <f t="shared" si="576"/>
        <v>-7048.1893378729783</v>
      </c>
      <c r="HL215" s="775"/>
      <c r="HN215" s="775"/>
      <c r="HO215" s="775"/>
      <c r="HQ215" s="702"/>
      <c r="HR215" s="1171"/>
      <c r="HS215" s="702"/>
      <c r="HT215" s="1171"/>
    </row>
    <row r="216" spans="1:228" ht="14.25" hidden="1" customHeight="1">
      <c r="A216" s="753">
        <f t="shared" si="577"/>
        <v>210</v>
      </c>
      <c r="B216" s="753"/>
      <c r="C216" s="753">
        <f t="shared" si="459"/>
        <v>24</v>
      </c>
      <c r="D216" s="753" t="s">
        <v>275</v>
      </c>
      <c r="E216" s="717" t="str">
        <f t="shared" si="497"/>
        <v>9th Floor</v>
      </c>
      <c r="F216" s="754"/>
      <c r="G216" s="756" t="s">
        <v>641</v>
      </c>
      <c r="H216" s="756"/>
      <c r="I216" s="755" t="s">
        <v>229</v>
      </c>
      <c r="J216" s="757">
        <v>22</v>
      </c>
      <c r="K216" s="758"/>
      <c r="L216" s="759" t="s">
        <v>69</v>
      </c>
      <c r="M216" s="760" t="s">
        <v>68</v>
      </c>
      <c r="N216" s="761">
        <f t="shared" si="498"/>
        <v>106005.26567735759</v>
      </c>
      <c r="O216" s="762">
        <f t="shared" si="499"/>
        <v>2332115.8449018667</v>
      </c>
      <c r="P216" s="762">
        <f t="shared" si="500"/>
        <v>22400</v>
      </c>
      <c r="Q216" s="762">
        <f t="shared" si="474"/>
        <v>50000</v>
      </c>
      <c r="R216" s="762"/>
      <c r="S216" s="762"/>
      <c r="T216" s="762"/>
      <c r="U216" s="762"/>
      <c r="V216" s="762"/>
      <c r="W216" s="762"/>
      <c r="X216" s="762"/>
      <c r="Y216" s="762">
        <f t="shared" si="460"/>
        <v>100000</v>
      </c>
      <c r="Z216" s="762">
        <f t="shared" si="475"/>
        <v>142461</v>
      </c>
      <c r="AA216" s="762"/>
      <c r="AB216" s="762"/>
      <c r="AC216" s="762"/>
      <c r="AD216" s="763">
        <f t="shared" si="501"/>
        <v>314861</v>
      </c>
      <c r="AE216" s="763">
        <f t="shared" si="476"/>
        <v>2646976.8449018667</v>
      </c>
      <c r="AF216" s="762">
        <f t="shared" si="477"/>
        <v>66174.421122546672</v>
      </c>
      <c r="AG216" s="762">
        <f t="shared" si="502"/>
        <v>2713151.2660244135</v>
      </c>
      <c r="AH216" s="762">
        <f t="shared" si="478"/>
        <v>67828.781650610341</v>
      </c>
      <c r="AI216" s="762">
        <f t="shared" si="503"/>
        <v>2780980.0476750238</v>
      </c>
      <c r="AJ216" s="762">
        <f t="shared" si="504"/>
        <v>139049.00238375118</v>
      </c>
      <c r="AK216" s="762">
        <f t="shared" si="505"/>
        <v>2920029.0500587751</v>
      </c>
      <c r="AL216" s="762">
        <f t="shared" si="506"/>
        <v>29200.290500587751</v>
      </c>
      <c r="AM216" s="762">
        <f t="shared" si="507"/>
        <v>27537.409960060559</v>
      </c>
      <c r="AN216" s="762"/>
      <c r="AO216" s="763">
        <f t="shared" si="508"/>
        <v>2976766.7505194233</v>
      </c>
      <c r="AP216" s="763">
        <f t="shared" si="509"/>
        <v>491166.51383570489</v>
      </c>
      <c r="AQ216" s="763">
        <f t="shared" si="510"/>
        <v>3467933.2643551282</v>
      </c>
      <c r="AR216" s="1178">
        <f t="shared" si="479"/>
        <v>3000000</v>
      </c>
      <c r="AS216" s="1178">
        <f t="shared" si="511"/>
        <v>21269.693834324007</v>
      </c>
      <c r="AT216" s="1178">
        <f t="shared" si="512"/>
        <v>467933.26435512817</v>
      </c>
      <c r="AU216" s="1178">
        <f t="shared" si="480"/>
        <v>56151.991722615378</v>
      </c>
      <c r="AV216" s="1178">
        <f t="shared" si="513"/>
        <v>524085.25607774354</v>
      </c>
      <c r="AW216" s="1178">
        <f t="shared" si="514"/>
        <v>3524085.2560777436</v>
      </c>
      <c r="AX216" s="762">
        <f t="shared" si="515"/>
        <v>44051.065700971798</v>
      </c>
      <c r="AY216" s="717" t="s">
        <v>231</v>
      </c>
      <c r="AZ216" s="717">
        <f t="shared" si="516"/>
        <v>3568136.3217787156</v>
      </c>
      <c r="BA216" s="717">
        <f t="shared" si="517"/>
        <v>133805.11206670184</v>
      </c>
      <c r="BB216" s="717"/>
      <c r="BC216" s="717">
        <f t="shared" si="481"/>
        <v>33600</v>
      </c>
      <c r="BD216" s="717">
        <f t="shared" si="518"/>
        <v>3735541.4338454176</v>
      </c>
      <c r="BE216" s="717"/>
      <c r="BF216" s="717">
        <f t="shared" si="519"/>
        <v>3735541.4338454176</v>
      </c>
      <c r="BG216" s="1209"/>
      <c r="BH216" s="717">
        <f t="shared" si="520"/>
        <v>3735541.4338454176</v>
      </c>
      <c r="BI216" s="717"/>
      <c r="BJ216" s="717">
        <f t="shared" si="521"/>
        <v>3735541.4338454176</v>
      </c>
      <c r="BK216" s="717"/>
      <c r="BL216" s="717">
        <f t="shared" si="522"/>
        <v>3735541.4338454176</v>
      </c>
      <c r="BM216" s="717"/>
      <c r="BN216" s="717">
        <f t="shared" si="523"/>
        <v>3735541.4338454176</v>
      </c>
      <c r="BO216" s="717"/>
      <c r="BP216" s="717">
        <f t="shared" si="482"/>
        <v>3735541.4338454176</v>
      </c>
      <c r="BQ216" s="717"/>
      <c r="BR216" s="717">
        <f t="shared" si="584"/>
        <v>3735541.4338454176</v>
      </c>
      <c r="BS216" s="717"/>
      <c r="BT216" s="717">
        <f t="shared" si="524"/>
        <v>3735541.4338454176</v>
      </c>
      <c r="BU216" s="717"/>
      <c r="BV216" s="1235">
        <f t="shared" si="585"/>
        <v>51400</v>
      </c>
      <c r="BW216" s="717">
        <f t="shared" si="525"/>
        <v>3786941.4338454176</v>
      </c>
      <c r="BX216" s="717"/>
      <c r="BY216" s="717">
        <f t="shared" si="526"/>
        <v>3786941.4338454176</v>
      </c>
      <c r="BZ216" s="1194">
        <f t="shared" si="527"/>
        <v>3786941.4338454176</v>
      </c>
      <c r="CA216" s="1194">
        <f t="shared" si="528"/>
        <v>3038941.4338454176</v>
      </c>
      <c r="CB216" s="1194">
        <v>34000</v>
      </c>
      <c r="CC216" s="1194">
        <f t="shared" si="529"/>
        <v>748000</v>
      </c>
      <c r="CD216" s="1194">
        <f t="shared" si="530"/>
        <v>89760</v>
      </c>
      <c r="CE216" s="1194">
        <f t="shared" si="531"/>
        <v>837760</v>
      </c>
      <c r="CF216" s="1200">
        <f t="shared" si="532"/>
        <v>3876701.4338454176</v>
      </c>
      <c r="CG216" s="757">
        <f t="shared" si="533"/>
        <v>3876701.4338454176</v>
      </c>
      <c r="CH216" s="758">
        <f t="shared" si="534"/>
        <v>0</v>
      </c>
      <c r="CI216" s="757">
        <f t="shared" si="483"/>
        <v>397361.89696915529</v>
      </c>
      <c r="CJ216" s="757">
        <f t="shared" si="484"/>
        <v>96917.535846135448</v>
      </c>
      <c r="CK216" s="759">
        <f t="shared" si="444"/>
        <v>4370980.8666607086</v>
      </c>
      <c r="CL216" s="764">
        <f t="shared" si="535"/>
        <v>0.125</v>
      </c>
      <c r="CM216" s="757">
        <f t="shared" si="536"/>
        <v>546372.60833258857</v>
      </c>
      <c r="CN216" s="757">
        <f t="shared" si="578"/>
        <v>30000</v>
      </c>
      <c r="CO216" s="757">
        <f t="shared" si="537"/>
        <v>516372.60833258857</v>
      </c>
      <c r="CP216" s="755">
        <f t="shared" si="538"/>
        <v>29</v>
      </c>
      <c r="CQ216" s="757">
        <f t="shared" si="581"/>
        <v>17805.952011468573</v>
      </c>
      <c r="CR216" s="764">
        <f t="shared" si="539"/>
        <v>0.875</v>
      </c>
      <c r="CS216" s="757">
        <f t="shared" si="540"/>
        <v>3824608.2583281202</v>
      </c>
      <c r="CT216" s="1101">
        <f t="shared" si="541"/>
        <v>29652.147118409492</v>
      </c>
      <c r="CU216" s="1101">
        <f t="shared" si="542"/>
        <v>34376.660275209768</v>
      </c>
      <c r="CV216" s="1101">
        <f t="shared" si="543"/>
        <v>44406.94484814685</v>
      </c>
      <c r="CW216" s="1141">
        <f t="shared" si="485"/>
        <v>75731.827462215559</v>
      </c>
      <c r="CX216" s="1152">
        <f t="shared" si="544"/>
        <v>310685.08539597952</v>
      </c>
      <c r="CY216" s="1152">
        <f t="shared" si="545"/>
        <v>122936.57485724729</v>
      </c>
      <c r="CZ216" s="1152">
        <f t="shared" si="546"/>
        <v>88795.34684475635</v>
      </c>
      <c r="DA216" s="1152">
        <f t="shared" si="547"/>
        <v>67577.34687549567</v>
      </c>
      <c r="DB216" s="1143">
        <f t="shared" si="486"/>
        <v>0.15597775478504272</v>
      </c>
      <c r="DC216" s="1143">
        <f t="shared" si="548"/>
        <v>0.27567494084277722</v>
      </c>
      <c r="DD216" s="1098" t="s">
        <v>232</v>
      </c>
      <c r="DE216" s="1144"/>
      <c r="DF216" s="705"/>
      <c r="DG216" s="765">
        <f t="shared" si="579"/>
        <v>46082</v>
      </c>
      <c r="DH216" s="1116">
        <f t="shared" si="487"/>
        <v>28</v>
      </c>
      <c r="DI216" s="497"/>
      <c r="DJ216" s="1117">
        <f t="shared" si="549"/>
        <v>46147</v>
      </c>
      <c r="DK216" s="1116">
        <f t="shared" si="550"/>
        <v>30</v>
      </c>
      <c r="DL216" s="766" t="s">
        <v>233</v>
      </c>
      <c r="DM216" s="766" t="s">
        <v>234</v>
      </c>
      <c r="DN216" s="767">
        <f t="shared" si="488"/>
        <v>23822.057094442887</v>
      </c>
      <c r="DO216" s="767">
        <f t="shared" si="489"/>
        <v>524085.25607774354</v>
      </c>
      <c r="DP216" s="768">
        <f t="shared" si="490"/>
        <v>0.17469508535924785</v>
      </c>
      <c r="DR216" s="767">
        <f t="shared" si="491"/>
        <v>3876701.4338454176</v>
      </c>
      <c r="DS216" s="767">
        <f>SUM('[6]INTERNAL PRICELIST'!M216)</f>
        <v>0</v>
      </c>
      <c r="DT216" s="767">
        <f t="shared" si="551"/>
        <v>3876701.4338454176</v>
      </c>
      <c r="DV216" s="951">
        <f t="shared" si="492"/>
        <v>176213.70153842808</v>
      </c>
      <c r="DX216" s="781"/>
      <c r="DY216" s="782"/>
      <c r="DZ216" s="781"/>
      <c r="EA216" s="775"/>
      <c r="ED216" s="755" t="s">
        <v>641</v>
      </c>
      <c r="EE216" s="777" t="b">
        <f t="shared" si="493"/>
        <v>1</v>
      </c>
      <c r="EF216" s="777"/>
      <c r="EG216" s="777"/>
      <c r="EH216" s="1203"/>
      <c r="EP216" s="1230" t="s">
        <v>236</v>
      </c>
      <c r="EQ216" s="1145" t="s">
        <v>236</v>
      </c>
      <c r="ER216" s="753" t="b">
        <f t="shared" si="552"/>
        <v>1</v>
      </c>
      <c r="EU216" s="770">
        <v>3108299.9774007285</v>
      </c>
      <c r="EV216" s="771" t="s">
        <v>258</v>
      </c>
      <c r="EW216" s="775">
        <f t="shared" ref="EW216:EW225" si="586">EU216-CG216</f>
        <v>-768401.45644468907</v>
      </c>
      <c r="FJ216" s="994">
        <v>0.15</v>
      </c>
      <c r="FK216" s="993">
        <v>13375.504154826031</v>
      </c>
      <c r="FL216" s="993">
        <v>13737.004267118626</v>
      </c>
      <c r="FM216" s="497"/>
      <c r="FN216" s="993">
        <f t="shared" si="494"/>
        <v>4370980.8666607086</v>
      </c>
      <c r="FO216" s="994">
        <f t="shared" si="553"/>
        <v>0.15</v>
      </c>
      <c r="FP216" s="775">
        <f t="shared" si="495"/>
        <v>655647.12999910628</v>
      </c>
      <c r="FQ216" s="993">
        <f t="shared" si="496"/>
        <v>30000</v>
      </c>
      <c r="FR216" s="775">
        <f t="shared" si="554"/>
        <v>625647.12999910628</v>
      </c>
      <c r="FS216" s="497">
        <f t="shared" si="555"/>
        <v>40</v>
      </c>
      <c r="FT216" s="775">
        <f t="shared" si="556"/>
        <v>15641.178249977656</v>
      </c>
      <c r="FU216" s="497"/>
      <c r="FV216" s="993">
        <f t="shared" si="557"/>
        <v>4370980.8666607086</v>
      </c>
      <c r="FW216" s="705">
        <f t="shared" si="558"/>
        <v>437098.08666607086</v>
      </c>
      <c r="FX216" s="705">
        <f t="shared" si="559"/>
        <v>109274.52166651771</v>
      </c>
      <c r="FY216" s="705">
        <v>15000</v>
      </c>
      <c r="FZ216" s="705">
        <f t="shared" si="560"/>
        <v>422098.08666607086</v>
      </c>
      <c r="GA216" s="497">
        <f t="shared" si="561"/>
        <v>46</v>
      </c>
      <c r="GB216" s="775">
        <f t="shared" si="562"/>
        <v>9176.0453623058875</v>
      </c>
      <c r="GC216" s="497"/>
      <c r="GD216" s="497"/>
      <c r="GH216" s="1095">
        <f t="shared" si="461"/>
        <v>4370980.8666607086</v>
      </c>
      <c r="GI216" s="1098">
        <f t="shared" si="462"/>
        <v>0.125</v>
      </c>
      <c r="GJ216" s="1095">
        <f t="shared" si="463"/>
        <v>546372.60833258857</v>
      </c>
      <c r="GK216" s="1095">
        <f t="shared" si="464"/>
        <v>30000</v>
      </c>
      <c r="GL216" s="1095">
        <f t="shared" si="465"/>
        <v>516372.60833258857</v>
      </c>
      <c r="GM216" s="1095">
        <f t="shared" si="466"/>
        <v>29</v>
      </c>
      <c r="GN216" s="1095">
        <f t="shared" si="467"/>
        <v>17805.952011468573</v>
      </c>
      <c r="GO216" s="1098">
        <f t="shared" si="468"/>
        <v>0.875</v>
      </c>
      <c r="GP216" s="1095">
        <f t="shared" si="469"/>
        <v>3824608.2583281202</v>
      </c>
      <c r="GQ216" s="1095">
        <f t="shared" si="470"/>
        <v>29652.147118409492</v>
      </c>
      <c r="GR216" s="1095">
        <f t="shared" si="471"/>
        <v>34376.660275209768</v>
      </c>
      <c r="GS216" s="1095">
        <f t="shared" si="472"/>
        <v>44406.94484814685</v>
      </c>
      <c r="GT216" s="1095">
        <f t="shared" si="473"/>
        <v>75731.827462215559</v>
      </c>
      <c r="GU216" s="497"/>
      <c r="GV216" s="1095">
        <f t="shared" si="563"/>
        <v>4370980.8666607086</v>
      </c>
      <c r="GW216" s="1098">
        <f t="shared" si="564"/>
        <v>0.125</v>
      </c>
      <c r="GX216" s="1095">
        <f t="shared" si="565"/>
        <v>546372.60833258857</v>
      </c>
      <c r="GY216" s="1095">
        <f t="shared" si="566"/>
        <v>30000</v>
      </c>
      <c r="GZ216" s="1095">
        <f t="shared" si="567"/>
        <v>516372.60833258857</v>
      </c>
      <c r="HA216" s="1106">
        <f t="shared" si="568"/>
        <v>48</v>
      </c>
      <c r="HB216" s="770">
        <f t="shared" si="569"/>
        <v>10757.762673595595</v>
      </c>
      <c r="HC216" s="1098">
        <f t="shared" si="570"/>
        <v>0.875</v>
      </c>
      <c r="HD216" s="1102">
        <f t="shared" si="571"/>
        <v>3824608.2583281202</v>
      </c>
      <c r="HE216" s="1101">
        <f t="shared" si="572"/>
        <v>29652.147118409492</v>
      </c>
      <c r="HF216" s="1101">
        <f t="shared" si="573"/>
        <v>34376.660275209768</v>
      </c>
      <c r="HG216" s="1101">
        <f t="shared" si="574"/>
        <v>44406.94484814685</v>
      </c>
      <c r="HH216" s="1101">
        <f t="shared" si="575"/>
        <v>75731.827462215559</v>
      </c>
      <c r="HI216" s="497"/>
      <c r="HJ216" s="1102">
        <f t="shared" si="576"/>
        <v>-7048.1893378729783</v>
      </c>
      <c r="HL216" s="775"/>
      <c r="HN216" s="775"/>
      <c r="HO216" s="775"/>
      <c r="HQ216" s="702"/>
      <c r="HR216" s="1171"/>
      <c r="HS216" s="702"/>
      <c r="HT216" s="1171"/>
    </row>
    <row r="217" spans="1:228" ht="14.25" hidden="1" customHeight="1">
      <c r="A217" s="753">
        <f t="shared" si="577"/>
        <v>211</v>
      </c>
      <c r="B217" s="753"/>
      <c r="C217" s="753">
        <f t="shared" si="459"/>
        <v>25</v>
      </c>
      <c r="D217" s="753" t="s">
        <v>275</v>
      </c>
      <c r="E217" s="717" t="str">
        <f t="shared" si="497"/>
        <v>9th Floor</v>
      </c>
      <c r="F217" s="754"/>
      <c r="G217" s="756" t="s">
        <v>642</v>
      </c>
      <c r="H217" s="756"/>
      <c r="I217" s="755" t="s">
        <v>229</v>
      </c>
      <c r="J217" s="757">
        <v>22</v>
      </c>
      <c r="K217" s="758"/>
      <c r="L217" s="759" t="s">
        <v>69</v>
      </c>
      <c r="M217" s="760" t="s">
        <v>230</v>
      </c>
      <c r="N217" s="761">
        <f t="shared" si="498"/>
        <v>106005.26567735759</v>
      </c>
      <c r="O217" s="762">
        <f t="shared" si="499"/>
        <v>2332115.8449018667</v>
      </c>
      <c r="P217" s="762">
        <f t="shared" si="500"/>
        <v>22400</v>
      </c>
      <c r="Q217" s="762">
        <f t="shared" si="474"/>
        <v>50000</v>
      </c>
      <c r="R217" s="762"/>
      <c r="S217" s="762"/>
      <c r="T217" s="762"/>
      <c r="U217" s="762"/>
      <c r="V217" s="762">
        <f t="shared" ref="V217:V218" si="587">J217*$V$5</f>
        <v>55000</v>
      </c>
      <c r="W217" s="762"/>
      <c r="X217" s="762"/>
      <c r="Y217" s="762">
        <f t="shared" si="460"/>
        <v>100000</v>
      </c>
      <c r="Z217" s="762">
        <f t="shared" si="475"/>
        <v>142461</v>
      </c>
      <c r="AA217" s="762"/>
      <c r="AB217" s="762"/>
      <c r="AC217" s="762"/>
      <c r="AD217" s="763">
        <f t="shared" si="501"/>
        <v>369861</v>
      </c>
      <c r="AE217" s="763">
        <f t="shared" si="476"/>
        <v>2701976.8449018667</v>
      </c>
      <c r="AF217" s="762">
        <f t="shared" si="477"/>
        <v>67549.421122546672</v>
      </c>
      <c r="AG217" s="762">
        <f t="shared" si="502"/>
        <v>2769526.2660244135</v>
      </c>
      <c r="AH217" s="762">
        <f t="shared" si="478"/>
        <v>69238.156650610341</v>
      </c>
      <c r="AI217" s="762">
        <f t="shared" si="503"/>
        <v>2838764.4226750238</v>
      </c>
      <c r="AJ217" s="762">
        <f t="shared" si="504"/>
        <v>141938.22113375118</v>
      </c>
      <c r="AK217" s="762">
        <f t="shared" si="505"/>
        <v>2980702.6438087751</v>
      </c>
      <c r="AL217" s="762">
        <f t="shared" si="506"/>
        <v>29807.026438087752</v>
      </c>
      <c r="AM217" s="762">
        <f t="shared" si="507"/>
        <v>27537.409960060559</v>
      </c>
      <c r="AN217" s="762"/>
      <c r="AO217" s="763">
        <f t="shared" si="508"/>
        <v>3038047.0802069232</v>
      </c>
      <c r="AP217" s="763">
        <f t="shared" si="509"/>
        <v>501277.76823414234</v>
      </c>
      <c r="AQ217" s="763">
        <f t="shared" si="510"/>
        <v>3539324.8484410653</v>
      </c>
      <c r="AR217" s="1178">
        <f t="shared" si="479"/>
        <v>3000000</v>
      </c>
      <c r="AS217" s="1178">
        <f t="shared" si="511"/>
        <v>24514.76583823024</v>
      </c>
      <c r="AT217" s="1178">
        <f t="shared" si="512"/>
        <v>539324.84844106529</v>
      </c>
      <c r="AU217" s="1178">
        <f t="shared" si="480"/>
        <v>64718.981812927836</v>
      </c>
      <c r="AV217" s="1178">
        <f t="shared" si="513"/>
        <v>604043.83025399316</v>
      </c>
      <c r="AW217" s="1178">
        <f t="shared" si="514"/>
        <v>3604043.8302539932</v>
      </c>
      <c r="AX217" s="762">
        <f t="shared" si="515"/>
        <v>45050.547878174919</v>
      </c>
      <c r="AY217" s="717" t="s">
        <v>231</v>
      </c>
      <c r="AZ217" s="717">
        <f t="shared" si="516"/>
        <v>3649094.3781321682</v>
      </c>
      <c r="BA217" s="717">
        <f t="shared" si="517"/>
        <v>136841.03917995631</v>
      </c>
      <c r="BB217" s="717"/>
      <c r="BC217" s="717">
        <f t="shared" si="481"/>
        <v>33600</v>
      </c>
      <c r="BD217" s="717">
        <f t="shared" si="518"/>
        <v>3819535.4173121247</v>
      </c>
      <c r="BE217" s="717"/>
      <c r="BF217" s="717">
        <f t="shared" si="519"/>
        <v>3819535.4173121247</v>
      </c>
      <c r="BG217" s="1209"/>
      <c r="BH217" s="717">
        <f t="shared" si="520"/>
        <v>3819535.4173121247</v>
      </c>
      <c r="BI217" s="717"/>
      <c r="BJ217" s="717">
        <f t="shared" si="521"/>
        <v>3819535.4173121247</v>
      </c>
      <c r="BK217" s="717"/>
      <c r="BL217" s="717">
        <f t="shared" si="522"/>
        <v>3819535.4173121247</v>
      </c>
      <c r="BM217" s="717"/>
      <c r="BN217" s="717">
        <f t="shared" si="523"/>
        <v>3819535.4173121247</v>
      </c>
      <c r="BO217" s="717"/>
      <c r="BP217" s="717">
        <f t="shared" si="482"/>
        <v>3819535.4173121247</v>
      </c>
      <c r="BQ217" s="717"/>
      <c r="BR217" s="717">
        <f t="shared" si="584"/>
        <v>3819535.4173121247</v>
      </c>
      <c r="BS217" s="717"/>
      <c r="BT217" s="717">
        <f t="shared" si="524"/>
        <v>3819535.4173121247</v>
      </c>
      <c r="BU217" s="717"/>
      <c r="BV217" s="1235">
        <f t="shared" si="585"/>
        <v>51400</v>
      </c>
      <c r="BW217" s="717">
        <f t="shared" si="525"/>
        <v>3870935.4173121247</v>
      </c>
      <c r="BX217" s="717"/>
      <c r="BY217" s="717">
        <f t="shared" si="526"/>
        <v>3870935.4173121247</v>
      </c>
      <c r="BZ217" s="1194">
        <f t="shared" si="527"/>
        <v>3870935.4173121247</v>
      </c>
      <c r="CA217" s="1194">
        <f t="shared" si="528"/>
        <v>3034935.4173121247</v>
      </c>
      <c r="CB217" s="1194">
        <v>38000</v>
      </c>
      <c r="CC217" s="1194">
        <f t="shared" si="529"/>
        <v>836000</v>
      </c>
      <c r="CD217" s="1194">
        <f t="shared" si="530"/>
        <v>100320</v>
      </c>
      <c r="CE217" s="1194">
        <f t="shared" si="531"/>
        <v>936320</v>
      </c>
      <c r="CF217" s="1200">
        <f t="shared" si="532"/>
        <v>3971255.4173121247</v>
      </c>
      <c r="CG217" s="757">
        <f t="shared" si="533"/>
        <v>3971255.4173121247</v>
      </c>
      <c r="CH217" s="758">
        <f t="shared" si="534"/>
        <v>0</v>
      </c>
      <c r="CI217" s="757">
        <f t="shared" si="483"/>
        <v>407053.68027449277</v>
      </c>
      <c r="CJ217" s="757">
        <f t="shared" si="484"/>
        <v>99281.38543280313</v>
      </c>
      <c r="CK217" s="759">
        <f t="shared" si="444"/>
        <v>4477590.4830194209</v>
      </c>
      <c r="CL217" s="764">
        <f t="shared" si="535"/>
        <v>0.125</v>
      </c>
      <c r="CM217" s="757">
        <f t="shared" si="536"/>
        <v>559698.81037742761</v>
      </c>
      <c r="CN217" s="757">
        <f t="shared" si="578"/>
        <v>30000</v>
      </c>
      <c r="CO217" s="757">
        <f t="shared" si="537"/>
        <v>529698.81037742761</v>
      </c>
      <c r="CP217" s="755">
        <f t="shared" si="538"/>
        <v>29</v>
      </c>
      <c r="CQ217" s="757">
        <f t="shared" si="581"/>
        <v>18265.476219911296</v>
      </c>
      <c r="CR217" s="764">
        <f t="shared" si="539"/>
        <v>0.875</v>
      </c>
      <c r="CS217" s="757">
        <f t="shared" si="540"/>
        <v>3917891.6726419935</v>
      </c>
      <c r="CT217" s="1101">
        <f t="shared" si="541"/>
        <v>30375.372436693899</v>
      </c>
      <c r="CU217" s="1101">
        <f t="shared" si="542"/>
        <v>35215.117975079258</v>
      </c>
      <c r="CV217" s="1101">
        <f t="shared" si="543"/>
        <v>45490.044385377318</v>
      </c>
      <c r="CW217" s="1141">
        <f t="shared" si="485"/>
        <v>77578.950869566252</v>
      </c>
      <c r="CX217" s="1152">
        <f t="shared" si="544"/>
        <v>318262.79364336049</v>
      </c>
      <c r="CY217" s="1152">
        <f t="shared" si="545"/>
        <v>125935.03709759978</v>
      </c>
      <c r="CZ217" s="1152">
        <f t="shared" si="546"/>
        <v>90961.093653158736</v>
      </c>
      <c r="DA217" s="1152">
        <f t="shared" si="547"/>
        <v>69225.579902523343</v>
      </c>
      <c r="DB217" s="1143">
        <f t="shared" si="486"/>
        <v>0.17977494948035511</v>
      </c>
      <c r="DC217" s="1143">
        <f t="shared" si="548"/>
        <v>0.30851397847182105</v>
      </c>
      <c r="DD217" s="1098" t="s">
        <v>232</v>
      </c>
      <c r="DE217" s="1144"/>
      <c r="DF217" s="705"/>
      <c r="DG217" s="765">
        <f t="shared" si="579"/>
        <v>46082</v>
      </c>
      <c r="DH217" s="1116">
        <f t="shared" si="487"/>
        <v>28</v>
      </c>
      <c r="DI217" s="497"/>
      <c r="DJ217" s="1117">
        <f t="shared" si="549"/>
        <v>46147</v>
      </c>
      <c r="DK217" s="1116">
        <f t="shared" si="550"/>
        <v>30</v>
      </c>
      <c r="DL217" s="766" t="s">
        <v>233</v>
      </c>
      <c r="DM217" s="766" t="s">
        <v>234</v>
      </c>
      <c r="DN217" s="767">
        <f t="shared" si="488"/>
        <v>27456.537738817871</v>
      </c>
      <c r="DO217" s="767">
        <f t="shared" si="489"/>
        <v>604043.83025399316</v>
      </c>
      <c r="DP217" s="768">
        <f t="shared" si="490"/>
        <v>0.20134794341799772</v>
      </c>
      <c r="DR217" s="767">
        <f t="shared" si="491"/>
        <v>3971255.4173121247</v>
      </c>
      <c r="DS217" s="767">
        <f>SUM('[6]INTERNAL PRICELIST'!M217)</f>
        <v>0</v>
      </c>
      <c r="DT217" s="767">
        <f t="shared" si="551"/>
        <v>3971255.4173121247</v>
      </c>
      <c r="DV217" s="951">
        <f t="shared" si="492"/>
        <v>180511.60987782385</v>
      </c>
      <c r="DX217" s="781"/>
      <c r="DY217" s="782"/>
      <c r="DZ217" s="781"/>
      <c r="EA217" s="775"/>
      <c r="ED217" s="1133" t="s">
        <v>642</v>
      </c>
      <c r="EE217" s="777" t="b">
        <f t="shared" si="493"/>
        <v>1</v>
      </c>
      <c r="EF217" s="777"/>
      <c r="EG217" s="777"/>
      <c r="EH217" s="1203"/>
      <c r="EP217" s="1230" t="s">
        <v>236</v>
      </c>
      <c r="EQ217" s="1145" t="s">
        <v>236</v>
      </c>
      <c r="ER217" s="753" t="b">
        <f t="shared" si="552"/>
        <v>1</v>
      </c>
      <c r="EU217" s="770">
        <v>3235519.0478750588</v>
      </c>
      <c r="EV217" s="771" t="s">
        <v>258</v>
      </c>
      <c r="EW217" s="775">
        <f t="shared" si="586"/>
        <v>-735736.36943706591</v>
      </c>
      <c r="FJ217" s="994">
        <v>0.15</v>
      </c>
      <c r="FK217" s="993">
        <v>13934.075483449196</v>
      </c>
      <c r="FL217" s="993">
        <v>14310.672118137012</v>
      </c>
      <c r="FM217" s="497"/>
      <c r="FN217" s="993">
        <f t="shared" si="494"/>
        <v>4477590.4830194209</v>
      </c>
      <c r="FO217" s="994">
        <f t="shared" si="553"/>
        <v>0.15</v>
      </c>
      <c r="FP217" s="775">
        <f t="shared" si="495"/>
        <v>671638.57245291315</v>
      </c>
      <c r="FQ217" s="993">
        <f t="shared" si="496"/>
        <v>30000</v>
      </c>
      <c r="FR217" s="775">
        <f t="shared" si="554"/>
        <v>641638.57245291315</v>
      </c>
      <c r="FS217" s="497">
        <f t="shared" si="555"/>
        <v>40</v>
      </c>
      <c r="FT217" s="775">
        <f t="shared" si="556"/>
        <v>16040.964311322829</v>
      </c>
      <c r="FU217" s="497"/>
      <c r="FV217" s="993">
        <f t="shared" si="557"/>
        <v>4477590.4830194209</v>
      </c>
      <c r="FW217" s="705">
        <f t="shared" si="558"/>
        <v>447759.04830194212</v>
      </c>
      <c r="FX217" s="705">
        <f t="shared" si="559"/>
        <v>111939.76207548553</v>
      </c>
      <c r="FY217" s="705">
        <v>15000</v>
      </c>
      <c r="FZ217" s="705">
        <f t="shared" si="560"/>
        <v>432759.04830194212</v>
      </c>
      <c r="GA217" s="497">
        <f t="shared" si="561"/>
        <v>46</v>
      </c>
      <c r="GB217" s="775">
        <f t="shared" si="562"/>
        <v>9407.8053978683074</v>
      </c>
      <c r="GC217" s="497"/>
      <c r="GD217" s="497"/>
      <c r="GH217" s="1095">
        <f t="shared" si="461"/>
        <v>4477590.4830194209</v>
      </c>
      <c r="GI217" s="1098">
        <f t="shared" si="462"/>
        <v>0.125</v>
      </c>
      <c r="GJ217" s="1095">
        <f t="shared" si="463"/>
        <v>559698.81037742761</v>
      </c>
      <c r="GK217" s="1095">
        <f t="shared" si="464"/>
        <v>30000</v>
      </c>
      <c r="GL217" s="1095">
        <f t="shared" si="465"/>
        <v>529698.81037742761</v>
      </c>
      <c r="GM217" s="1095">
        <f t="shared" si="466"/>
        <v>29</v>
      </c>
      <c r="GN217" s="1095">
        <f t="shared" si="467"/>
        <v>18265.476219911296</v>
      </c>
      <c r="GO217" s="1098">
        <f t="shared" si="468"/>
        <v>0.875</v>
      </c>
      <c r="GP217" s="1095">
        <f t="shared" si="469"/>
        <v>3917891.6726419935</v>
      </c>
      <c r="GQ217" s="1095">
        <f t="shared" si="470"/>
        <v>30375.372436693899</v>
      </c>
      <c r="GR217" s="1095">
        <f t="shared" si="471"/>
        <v>35215.117975079258</v>
      </c>
      <c r="GS217" s="1095">
        <f t="shared" si="472"/>
        <v>45490.044385377318</v>
      </c>
      <c r="GT217" s="1095">
        <f t="shared" si="473"/>
        <v>77578.950869566252</v>
      </c>
      <c r="GU217" s="497"/>
      <c r="GV217" s="1095">
        <f t="shared" si="563"/>
        <v>4477590.4830194209</v>
      </c>
      <c r="GW217" s="1098">
        <f t="shared" si="564"/>
        <v>0.125</v>
      </c>
      <c r="GX217" s="1095">
        <f t="shared" si="565"/>
        <v>559698.81037742761</v>
      </c>
      <c r="GY217" s="1095">
        <f t="shared" si="566"/>
        <v>30000</v>
      </c>
      <c r="GZ217" s="1095">
        <f t="shared" si="567"/>
        <v>529698.81037742761</v>
      </c>
      <c r="HA217" s="1106">
        <f t="shared" si="568"/>
        <v>48</v>
      </c>
      <c r="HB217" s="770">
        <f t="shared" si="569"/>
        <v>11035.391882863076</v>
      </c>
      <c r="HC217" s="1098">
        <f t="shared" si="570"/>
        <v>0.875</v>
      </c>
      <c r="HD217" s="1102">
        <f t="shared" si="571"/>
        <v>3917891.6726419935</v>
      </c>
      <c r="HE217" s="1101">
        <f t="shared" si="572"/>
        <v>30375.372436693899</v>
      </c>
      <c r="HF217" s="1101">
        <f t="shared" si="573"/>
        <v>35215.117975079258</v>
      </c>
      <c r="HG217" s="1101">
        <f t="shared" si="574"/>
        <v>45490.044385377318</v>
      </c>
      <c r="HH217" s="1101">
        <f t="shared" si="575"/>
        <v>77578.950869566252</v>
      </c>
      <c r="HI217" s="497"/>
      <c r="HJ217" s="1102">
        <f t="shared" si="576"/>
        <v>-7230.0843370482198</v>
      </c>
      <c r="HL217" s="775"/>
      <c r="HN217" s="775"/>
      <c r="HO217" s="775"/>
      <c r="HQ217" s="702"/>
      <c r="HR217" s="1171"/>
      <c r="HS217" s="702"/>
      <c r="HT217" s="1171"/>
    </row>
    <row r="218" spans="1:228" ht="14.25" hidden="1" customHeight="1">
      <c r="A218" s="753">
        <f t="shared" si="577"/>
        <v>212</v>
      </c>
      <c r="B218" s="753"/>
      <c r="C218" s="753">
        <f t="shared" si="459"/>
        <v>26</v>
      </c>
      <c r="D218" s="753" t="s">
        <v>275</v>
      </c>
      <c r="E218" s="717" t="str">
        <f t="shared" si="497"/>
        <v>9th Floor</v>
      </c>
      <c r="F218" s="754"/>
      <c r="G218" s="756" t="s">
        <v>643</v>
      </c>
      <c r="H218" s="756"/>
      <c r="I218" s="755" t="s">
        <v>229</v>
      </c>
      <c r="J218" s="757">
        <v>22</v>
      </c>
      <c r="K218" s="758"/>
      <c r="L218" s="759" t="s">
        <v>277</v>
      </c>
      <c r="M218" s="760" t="s">
        <v>230</v>
      </c>
      <c r="N218" s="761">
        <f t="shared" si="498"/>
        <v>106005.26567735759</v>
      </c>
      <c r="O218" s="762">
        <f t="shared" si="499"/>
        <v>2332115.8449018667</v>
      </c>
      <c r="P218" s="762">
        <f t="shared" si="500"/>
        <v>22400</v>
      </c>
      <c r="Q218" s="762">
        <f t="shared" si="474"/>
        <v>50000</v>
      </c>
      <c r="R218" s="762"/>
      <c r="S218" s="762"/>
      <c r="T218" s="762"/>
      <c r="U218" s="762"/>
      <c r="V218" s="762">
        <f t="shared" si="587"/>
        <v>55000</v>
      </c>
      <c r="W218" s="762"/>
      <c r="X218" s="762"/>
      <c r="Y218" s="762">
        <f t="shared" si="460"/>
        <v>100000</v>
      </c>
      <c r="Z218" s="762">
        <f t="shared" si="475"/>
        <v>142461</v>
      </c>
      <c r="AA218" s="762"/>
      <c r="AB218" s="762"/>
      <c r="AC218" s="762"/>
      <c r="AD218" s="763">
        <f t="shared" si="501"/>
        <v>369861</v>
      </c>
      <c r="AE218" s="763">
        <f t="shared" si="476"/>
        <v>2701976.8449018667</v>
      </c>
      <c r="AF218" s="762">
        <f t="shared" si="477"/>
        <v>67549.421122546672</v>
      </c>
      <c r="AG218" s="762">
        <f t="shared" si="502"/>
        <v>2769526.2660244135</v>
      </c>
      <c r="AH218" s="762">
        <f t="shared" si="478"/>
        <v>69238.156650610341</v>
      </c>
      <c r="AI218" s="762">
        <f t="shared" si="503"/>
        <v>2838764.4226750238</v>
      </c>
      <c r="AJ218" s="762">
        <f t="shared" si="504"/>
        <v>141938.22113375118</v>
      </c>
      <c r="AK218" s="762">
        <f t="shared" si="505"/>
        <v>2980702.6438087751</v>
      </c>
      <c r="AL218" s="762">
        <f t="shared" si="506"/>
        <v>29807.026438087752</v>
      </c>
      <c r="AM218" s="762">
        <f t="shared" si="507"/>
        <v>27537.409960060559</v>
      </c>
      <c r="AN218" s="762"/>
      <c r="AO218" s="763">
        <f t="shared" si="508"/>
        <v>3038047.0802069232</v>
      </c>
      <c r="AP218" s="763">
        <f t="shared" si="509"/>
        <v>501277.76823414234</v>
      </c>
      <c r="AQ218" s="763">
        <f t="shared" si="510"/>
        <v>3539324.8484410653</v>
      </c>
      <c r="AR218" s="1178">
        <f t="shared" si="479"/>
        <v>3000000</v>
      </c>
      <c r="AS218" s="1178">
        <f t="shared" si="511"/>
        <v>24514.76583823024</v>
      </c>
      <c r="AT218" s="1178">
        <f t="shared" si="512"/>
        <v>539324.84844106529</v>
      </c>
      <c r="AU218" s="1178">
        <f t="shared" si="480"/>
        <v>64718.981812927836</v>
      </c>
      <c r="AV218" s="1178">
        <f t="shared" si="513"/>
        <v>604043.83025399316</v>
      </c>
      <c r="AW218" s="1178">
        <f t="shared" si="514"/>
        <v>3604043.8302539932</v>
      </c>
      <c r="AX218" s="762">
        <f t="shared" si="515"/>
        <v>45050.547878174919</v>
      </c>
      <c r="AY218" s="717" t="s">
        <v>231</v>
      </c>
      <c r="AZ218" s="717">
        <f t="shared" si="516"/>
        <v>3649094.3781321682</v>
      </c>
      <c r="BA218" s="717">
        <f t="shared" si="517"/>
        <v>136841.03917995631</v>
      </c>
      <c r="BB218" s="717"/>
      <c r="BC218" s="717">
        <f t="shared" si="481"/>
        <v>33600</v>
      </c>
      <c r="BD218" s="717">
        <f t="shared" si="518"/>
        <v>3819535.4173121247</v>
      </c>
      <c r="BE218" s="717"/>
      <c r="BF218" s="717">
        <f t="shared" si="519"/>
        <v>3819535.4173121247</v>
      </c>
      <c r="BG218" s="1209"/>
      <c r="BH218" s="717">
        <f t="shared" si="520"/>
        <v>3819535.4173121247</v>
      </c>
      <c r="BI218" s="717"/>
      <c r="BJ218" s="717">
        <f t="shared" si="521"/>
        <v>3819535.4173121247</v>
      </c>
      <c r="BK218" s="717"/>
      <c r="BL218" s="717">
        <f t="shared" si="522"/>
        <v>3819535.4173121247</v>
      </c>
      <c r="BM218" s="717"/>
      <c r="BN218" s="717">
        <f t="shared" si="523"/>
        <v>3819535.4173121247</v>
      </c>
      <c r="BO218" s="717"/>
      <c r="BP218" s="717">
        <f t="shared" si="482"/>
        <v>3819535.4173121247</v>
      </c>
      <c r="BQ218" s="717"/>
      <c r="BR218" s="717">
        <f t="shared" si="584"/>
        <v>3819535.4173121247</v>
      </c>
      <c r="BS218" s="717"/>
      <c r="BT218" s="717">
        <f t="shared" si="524"/>
        <v>3819535.4173121247</v>
      </c>
      <c r="BU218" s="717"/>
      <c r="BV218" s="1235">
        <f t="shared" si="585"/>
        <v>51400</v>
      </c>
      <c r="BW218" s="717">
        <f t="shared" si="525"/>
        <v>3870935.4173121247</v>
      </c>
      <c r="BX218" s="717"/>
      <c r="BY218" s="717">
        <f t="shared" si="526"/>
        <v>3870935.4173121247</v>
      </c>
      <c r="BZ218" s="1194">
        <f t="shared" si="527"/>
        <v>3870935.4173121247</v>
      </c>
      <c r="CA218" s="1194">
        <f t="shared" si="528"/>
        <v>3034935.4173121247</v>
      </c>
      <c r="CB218" s="1194">
        <v>38000</v>
      </c>
      <c r="CC218" s="1194">
        <f t="shared" si="529"/>
        <v>836000</v>
      </c>
      <c r="CD218" s="1194">
        <f t="shared" si="530"/>
        <v>100320</v>
      </c>
      <c r="CE218" s="1194">
        <f t="shared" si="531"/>
        <v>936320</v>
      </c>
      <c r="CF218" s="1200">
        <f t="shared" si="532"/>
        <v>3971255.4173121247</v>
      </c>
      <c r="CG218" s="757">
        <f t="shared" si="533"/>
        <v>3971255.4173121247</v>
      </c>
      <c r="CH218" s="758">
        <f t="shared" si="534"/>
        <v>0</v>
      </c>
      <c r="CI218" s="757">
        <f t="shared" si="483"/>
        <v>407053.68027449277</v>
      </c>
      <c r="CJ218" s="757">
        <f t="shared" si="484"/>
        <v>99281.38543280313</v>
      </c>
      <c r="CK218" s="759">
        <f t="shared" si="444"/>
        <v>4477590.4830194209</v>
      </c>
      <c r="CL218" s="764">
        <f t="shared" si="535"/>
        <v>0.125</v>
      </c>
      <c r="CM218" s="757">
        <f t="shared" si="536"/>
        <v>559698.81037742761</v>
      </c>
      <c r="CN218" s="757">
        <f t="shared" si="578"/>
        <v>30000</v>
      </c>
      <c r="CO218" s="757">
        <f t="shared" si="537"/>
        <v>529698.81037742761</v>
      </c>
      <c r="CP218" s="755">
        <f t="shared" si="538"/>
        <v>29</v>
      </c>
      <c r="CQ218" s="757">
        <f t="shared" si="581"/>
        <v>18265.476219911296</v>
      </c>
      <c r="CR218" s="764">
        <f t="shared" si="539"/>
        <v>0.875</v>
      </c>
      <c r="CS218" s="757">
        <f t="shared" si="540"/>
        <v>3917891.6726419935</v>
      </c>
      <c r="CT218" s="1101">
        <f t="shared" si="541"/>
        <v>30375.372436693899</v>
      </c>
      <c r="CU218" s="1101">
        <f t="shared" si="542"/>
        <v>35215.117975079258</v>
      </c>
      <c r="CV218" s="1101">
        <f t="shared" si="543"/>
        <v>45490.044385377318</v>
      </c>
      <c r="CW218" s="1141">
        <f t="shared" si="485"/>
        <v>77578.950869566252</v>
      </c>
      <c r="CX218" s="1152">
        <f t="shared" si="544"/>
        <v>318262.79364336049</v>
      </c>
      <c r="CY218" s="1152">
        <f t="shared" si="545"/>
        <v>125935.03709759978</v>
      </c>
      <c r="CZ218" s="1152">
        <f t="shared" si="546"/>
        <v>90961.093653158736</v>
      </c>
      <c r="DA218" s="1152">
        <f t="shared" si="547"/>
        <v>69225.579902523343</v>
      </c>
      <c r="DB218" s="1143">
        <f t="shared" si="486"/>
        <v>0.17977494948035511</v>
      </c>
      <c r="DC218" s="1143">
        <f t="shared" si="548"/>
        <v>0.30851397847182105</v>
      </c>
      <c r="DD218" s="1098" t="s">
        <v>232</v>
      </c>
      <c r="DE218" s="1144"/>
      <c r="DF218" s="705"/>
      <c r="DG218" s="765">
        <f t="shared" si="579"/>
        <v>46082</v>
      </c>
      <c r="DH218" s="1116">
        <f t="shared" si="487"/>
        <v>28</v>
      </c>
      <c r="DI218" s="497"/>
      <c r="DJ218" s="1117">
        <f t="shared" si="549"/>
        <v>46147</v>
      </c>
      <c r="DK218" s="1116">
        <f t="shared" si="550"/>
        <v>30</v>
      </c>
      <c r="DL218" s="766" t="s">
        <v>233</v>
      </c>
      <c r="DM218" s="766" t="s">
        <v>234</v>
      </c>
      <c r="DN218" s="767">
        <f t="shared" si="488"/>
        <v>27456.537738817871</v>
      </c>
      <c r="DO218" s="767">
        <f t="shared" si="489"/>
        <v>604043.83025399316</v>
      </c>
      <c r="DP218" s="768">
        <f t="shared" si="490"/>
        <v>0.20134794341799772</v>
      </c>
      <c r="DR218" s="767">
        <f t="shared" si="491"/>
        <v>3971255.4173121247</v>
      </c>
      <c r="DS218" s="767">
        <f>SUM('[6]INTERNAL PRICELIST'!M218)</f>
        <v>0</v>
      </c>
      <c r="DT218" s="767">
        <f t="shared" si="551"/>
        <v>3971255.4173121247</v>
      </c>
      <c r="DV218" s="951">
        <f t="shared" si="492"/>
        <v>180511.60987782385</v>
      </c>
      <c r="DX218" s="781"/>
      <c r="DY218" s="782"/>
      <c r="DZ218" s="781"/>
      <c r="EA218" s="775"/>
      <c r="ED218" s="1133" t="s">
        <v>643</v>
      </c>
      <c r="EE218" s="777" t="b">
        <f t="shared" si="493"/>
        <v>1</v>
      </c>
      <c r="EF218" s="777"/>
      <c r="EG218" s="777"/>
      <c r="EH218" s="1203"/>
      <c r="EP218" s="1230" t="s">
        <v>236</v>
      </c>
      <c r="EQ218" s="1145" t="s">
        <v>236</v>
      </c>
      <c r="ER218" s="753" t="b">
        <f t="shared" si="552"/>
        <v>1</v>
      </c>
      <c r="EU218" s="770">
        <v>3235519.0478750588</v>
      </c>
      <c r="EV218" s="771" t="s">
        <v>258</v>
      </c>
      <c r="EW218" s="775">
        <f t="shared" si="586"/>
        <v>-735736.36943706591</v>
      </c>
      <c r="EY218" s="775">
        <v>3201224.745602583</v>
      </c>
      <c r="FJ218" s="994">
        <v>0.15</v>
      </c>
      <c r="FK218" s="993">
        <v>13934.075483449196</v>
      </c>
      <c r="FL218" s="993">
        <v>14310.672118137012</v>
      </c>
      <c r="FM218" s="497"/>
      <c r="FN218" s="993">
        <f t="shared" si="494"/>
        <v>4477590.4830194209</v>
      </c>
      <c r="FO218" s="994">
        <f t="shared" si="553"/>
        <v>0.15</v>
      </c>
      <c r="FP218" s="775">
        <f t="shared" si="495"/>
        <v>671638.57245291315</v>
      </c>
      <c r="FQ218" s="993">
        <f t="shared" si="496"/>
        <v>30000</v>
      </c>
      <c r="FR218" s="775">
        <f t="shared" si="554"/>
        <v>641638.57245291315</v>
      </c>
      <c r="FS218" s="497">
        <f t="shared" si="555"/>
        <v>40</v>
      </c>
      <c r="FT218" s="775">
        <f t="shared" si="556"/>
        <v>16040.964311322829</v>
      </c>
      <c r="FU218" s="497"/>
      <c r="FV218" s="993">
        <f t="shared" si="557"/>
        <v>4477590.4830194209</v>
      </c>
      <c r="FW218" s="705">
        <f t="shared" si="558"/>
        <v>447759.04830194212</v>
      </c>
      <c r="FX218" s="705">
        <f t="shared" si="559"/>
        <v>111939.76207548553</v>
      </c>
      <c r="FY218" s="705">
        <v>15000</v>
      </c>
      <c r="FZ218" s="705">
        <f t="shared" si="560"/>
        <v>432759.04830194212</v>
      </c>
      <c r="GA218" s="497">
        <f t="shared" si="561"/>
        <v>46</v>
      </c>
      <c r="GB218" s="775">
        <f t="shared" si="562"/>
        <v>9407.8053978683074</v>
      </c>
      <c r="GC218" s="497"/>
      <c r="GD218" s="497"/>
      <c r="GH218" s="1095">
        <f t="shared" si="461"/>
        <v>4477590.4830194209</v>
      </c>
      <c r="GI218" s="1098">
        <f t="shared" si="462"/>
        <v>0.125</v>
      </c>
      <c r="GJ218" s="1095">
        <f t="shared" si="463"/>
        <v>559698.81037742761</v>
      </c>
      <c r="GK218" s="1095">
        <f t="shared" si="464"/>
        <v>30000</v>
      </c>
      <c r="GL218" s="1095">
        <f t="shared" si="465"/>
        <v>529698.81037742761</v>
      </c>
      <c r="GM218" s="1095">
        <f t="shared" si="466"/>
        <v>29</v>
      </c>
      <c r="GN218" s="1095">
        <f t="shared" si="467"/>
        <v>18265.476219911296</v>
      </c>
      <c r="GO218" s="1098">
        <f t="shared" si="468"/>
        <v>0.875</v>
      </c>
      <c r="GP218" s="1095">
        <f t="shared" si="469"/>
        <v>3917891.6726419935</v>
      </c>
      <c r="GQ218" s="1095">
        <f t="shared" si="470"/>
        <v>30375.372436693899</v>
      </c>
      <c r="GR218" s="1095">
        <f t="shared" si="471"/>
        <v>35215.117975079258</v>
      </c>
      <c r="GS218" s="1095">
        <f t="shared" si="472"/>
        <v>45490.044385377318</v>
      </c>
      <c r="GT218" s="1095">
        <f t="shared" si="473"/>
        <v>77578.950869566252</v>
      </c>
      <c r="GU218" s="497"/>
      <c r="GV218" s="1095">
        <f t="shared" si="563"/>
        <v>4477590.4830194209</v>
      </c>
      <c r="GW218" s="1098">
        <f t="shared" si="564"/>
        <v>0.125</v>
      </c>
      <c r="GX218" s="1095">
        <f t="shared" si="565"/>
        <v>559698.81037742761</v>
      </c>
      <c r="GY218" s="1095">
        <f t="shared" si="566"/>
        <v>30000</v>
      </c>
      <c r="GZ218" s="1095">
        <f t="shared" si="567"/>
        <v>529698.81037742761</v>
      </c>
      <c r="HA218" s="1106">
        <f t="shared" si="568"/>
        <v>48</v>
      </c>
      <c r="HB218" s="770">
        <f t="shared" si="569"/>
        <v>11035.391882863076</v>
      </c>
      <c r="HC218" s="1098">
        <f t="shared" si="570"/>
        <v>0.875</v>
      </c>
      <c r="HD218" s="1102">
        <f t="shared" si="571"/>
        <v>3917891.6726419935</v>
      </c>
      <c r="HE218" s="1101">
        <f t="shared" si="572"/>
        <v>30375.372436693899</v>
      </c>
      <c r="HF218" s="1101">
        <f t="shared" si="573"/>
        <v>35215.117975079258</v>
      </c>
      <c r="HG218" s="1101">
        <f t="shared" si="574"/>
        <v>45490.044385377318</v>
      </c>
      <c r="HH218" s="1101">
        <f t="shared" si="575"/>
        <v>77578.950869566252</v>
      </c>
      <c r="HI218" s="497"/>
      <c r="HJ218" s="1102">
        <f t="shared" si="576"/>
        <v>-7230.0843370482198</v>
      </c>
      <c r="HL218" s="775"/>
      <c r="HN218" s="775"/>
      <c r="HO218" s="775"/>
      <c r="HQ218" s="702"/>
      <c r="HR218" s="1171"/>
      <c r="HS218" s="702"/>
      <c r="HT218" s="1171"/>
    </row>
    <row r="219" spans="1:228" ht="14.25" hidden="1" customHeight="1">
      <c r="A219" s="753">
        <f t="shared" si="577"/>
        <v>213</v>
      </c>
      <c r="B219" s="753"/>
      <c r="C219" s="753">
        <f t="shared" si="459"/>
        <v>27</v>
      </c>
      <c r="D219" s="753" t="s">
        <v>275</v>
      </c>
      <c r="E219" s="717" t="str">
        <f t="shared" si="497"/>
        <v>9th Floor</v>
      </c>
      <c r="F219" s="754"/>
      <c r="G219" s="756" t="s">
        <v>644</v>
      </c>
      <c r="H219" s="756"/>
      <c r="I219" s="755" t="s">
        <v>229</v>
      </c>
      <c r="J219" s="757">
        <v>22</v>
      </c>
      <c r="K219" s="758"/>
      <c r="L219" s="759" t="s">
        <v>277</v>
      </c>
      <c r="M219" s="760" t="s">
        <v>278</v>
      </c>
      <c r="N219" s="761">
        <f t="shared" si="498"/>
        <v>106005.26567735759</v>
      </c>
      <c r="O219" s="762">
        <f t="shared" si="499"/>
        <v>2332115.8449018667</v>
      </c>
      <c r="P219" s="762">
        <f t="shared" si="500"/>
        <v>22400</v>
      </c>
      <c r="Q219" s="762">
        <f t="shared" si="474"/>
        <v>50000</v>
      </c>
      <c r="R219" s="762"/>
      <c r="S219" s="762"/>
      <c r="T219" s="762"/>
      <c r="U219" s="762"/>
      <c r="V219" s="762"/>
      <c r="W219" s="762">
        <f t="shared" ref="W219:W220" si="588">J219*$W$5</f>
        <v>22000</v>
      </c>
      <c r="X219" s="762"/>
      <c r="Y219" s="762">
        <f t="shared" si="460"/>
        <v>100000</v>
      </c>
      <c r="Z219" s="762">
        <f t="shared" si="475"/>
        <v>142461</v>
      </c>
      <c r="AA219" s="762"/>
      <c r="AB219" s="762"/>
      <c r="AC219" s="762"/>
      <c r="AD219" s="763">
        <f t="shared" si="501"/>
        <v>336861</v>
      </c>
      <c r="AE219" s="763">
        <f t="shared" si="476"/>
        <v>2668976.8449018667</v>
      </c>
      <c r="AF219" s="762">
        <f t="shared" si="477"/>
        <v>66724.421122546672</v>
      </c>
      <c r="AG219" s="762">
        <f t="shared" si="502"/>
        <v>2735701.2660244135</v>
      </c>
      <c r="AH219" s="762">
        <f t="shared" si="478"/>
        <v>68392.531650610341</v>
      </c>
      <c r="AI219" s="762">
        <f t="shared" si="503"/>
        <v>2804093.7976750238</v>
      </c>
      <c r="AJ219" s="762">
        <f t="shared" si="504"/>
        <v>140204.68988375118</v>
      </c>
      <c r="AK219" s="762">
        <f t="shared" si="505"/>
        <v>2944298.4875587751</v>
      </c>
      <c r="AL219" s="762">
        <f t="shared" si="506"/>
        <v>29442.98487558775</v>
      </c>
      <c r="AM219" s="762">
        <f t="shared" si="507"/>
        <v>27537.409960060559</v>
      </c>
      <c r="AN219" s="762"/>
      <c r="AO219" s="763">
        <f t="shared" si="508"/>
        <v>3001278.8823944232</v>
      </c>
      <c r="AP219" s="763">
        <f t="shared" si="509"/>
        <v>495211.01559507987</v>
      </c>
      <c r="AQ219" s="763">
        <f t="shared" si="510"/>
        <v>3496489.8979895031</v>
      </c>
      <c r="AR219" s="1178">
        <f t="shared" si="479"/>
        <v>3000000</v>
      </c>
      <c r="AS219" s="1178">
        <f t="shared" si="511"/>
        <v>22567.722635886505</v>
      </c>
      <c r="AT219" s="1178">
        <f t="shared" si="512"/>
        <v>496489.89798950311</v>
      </c>
      <c r="AU219" s="1178">
        <f t="shared" si="480"/>
        <v>59578.787758740371</v>
      </c>
      <c r="AV219" s="1178">
        <f t="shared" si="513"/>
        <v>556068.68574824347</v>
      </c>
      <c r="AW219" s="1178">
        <f t="shared" si="514"/>
        <v>3556068.6857482437</v>
      </c>
      <c r="AX219" s="762">
        <f t="shared" si="515"/>
        <v>44450.858571853052</v>
      </c>
      <c r="AY219" s="717" t="s">
        <v>231</v>
      </c>
      <c r="AZ219" s="717">
        <f t="shared" si="516"/>
        <v>3600519.5443200967</v>
      </c>
      <c r="BA219" s="717">
        <f t="shared" si="517"/>
        <v>135019.48291200362</v>
      </c>
      <c r="BB219" s="717"/>
      <c r="BC219" s="717">
        <f t="shared" si="481"/>
        <v>33600</v>
      </c>
      <c r="BD219" s="717">
        <f t="shared" si="518"/>
        <v>3769139.0272321003</v>
      </c>
      <c r="BE219" s="717"/>
      <c r="BF219" s="717">
        <f t="shared" si="519"/>
        <v>3769139.0272321003</v>
      </c>
      <c r="BG219" s="1209"/>
      <c r="BH219" s="717">
        <f t="shared" si="520"/>
        <v>3769139.0272321003</v>
      </c>
      <c r="BI219" s="717"/>
      <c r="BJ219" s="717">
        <f t="shared" si="521"/>
        <v>3769139.0272321003</v>
      </c>
      <c r="BK219" s="717"/>
      <c r="BL219" s="717">
        <f t="shared" si="522"/>
        <v>3769139.0272321003</v>
      </c>
      <c r="BM219" s="717"/>
      <c r="BN219" s="717">
        <f t="shared" si="523"/>
        <v>3769139.0272321003</v>
      </c>
      <c r="BO219" s="717"/>
      <c r="BP219" s="717">
        <f t="shared" si="482"/>
        <v>3769139.0272321003</v>
      </c>
      <c r="BQ219" s="717"/>
      <c r="BR219" s="717">
        <f t="shared" si="584"/>
        <v>3769139.0272321003</v>
      </c>
      <c r="BS219" s="717"/>
      <c r="BT219" s="717">
        <f t="shared" si="524"/>
        <v>3769139.0272321003</v>
      </c>
      <c r="BU219" s="717"/>
      <c r="BV219" s="1235">
        <f t="shared" si="585"/>
        <v>51400</v>
      </c>
      <c r="BW219" s="717">
        <f t="shared" si="525"/>
        <v>3820539.0272321003</v>
      </c>
      <c r="BX219" s="717"/>
      <c r="BY219" s="717">
        <f t="shared" si="526"/>
        <v>3820539.0272321003</v>
      </c>
      <c r="BZ219" s="1194">
        <f t="shared" si="527"/>
        <v>3820539.0272321003</v>
      </c>
      <c r="CA219" s="1194">
        <f t="shared" si="528"/>
        <v>3039539.0272321003</v>
      </c>
      <c r="CB219" s="1194">
        <v>35500</v>
      </c>
      <c r="CC219" s="1194">
        <f t="shared" si="529"/>
        <v>781000</v>
      </c>
      <c r="CD219" s="1194">
        <f t="shared" si="530"/>
        <v>93720</v>
      </c>
      <c r="CE219" s="1194">
        <f t="shared" si="531"/>
        <v>874720</v>
      </c>
      <c r="CF219" s="1200">
        <f t="shared" si="532"/>
        <v>3914259.0272321003</v>
      </c>
      <c r="CG219" s="757">
        <f t="shared" si="533"/>
        <v>3914259.0272321003</v>
      </c>
      <c r="CH219" s="758">
        <f t="shared" si="534"/>
        <v>0</v>
      </c>
      <c r="CI219" s="757">
        <f t="shared" si="483"/>
        <v>401211.55029129027</v>
      </c>
      <c r="CJ219" s="757">
        <f t="shared" si="484"/>
        <v>97856.475680802512</v>
      </c>
      <c r="CK219" s="759">
        <f t="shared" si="444"/>
        <v>4413327.0532041937</v>
      </c>
      <c r="CL219" s="764">
        <f t="shared" si="535"/>
        <v>0.125</v>
      </c>
      <c r="CM219" s="757">
        <f t="shared" si="536"/>
        <v>551665.88165052421</v>
      </c>
      <c r="CN219" s="757">
        <f t="shared" si="578"/>
        <v>30000</v>
      </c>
      <c r="CO219" s="757">
        <f t="shared" si="537"/>
        <v>521665.88165052421</v>
      </c>
      <c r="CP219" s="755">
        <f t="shared" si="538"/>
        <v>29</v>
      </c>
      <c r="CQ219" s="757">
        <f t="shared" si="581"/>
        <v>17988.478677604282</v>
      </c>
      <c r="CR219" s="764">
        <f t="shared" si="539"/>
        <v>0.875</v>
      </c>
      <c r="CS219" s="757">
        <f t="shared" si="540"/>
        <v>3861661.1715536695</v>
      </c>
      <c r="CT219" s="1101">
        <f t="shared" si="541"/>
        <v>29939.417960262963</v>
      </c>
      <c r="CU219" s="1101">
        <f t="shared" si="542"/>
        <v>34709.702334455425</v>
      </c>
      <c r="CV219" s="1101">
        <f t="shared" si="543"/>
        <v>44837.160588670667</v>
      </c>
      <c r="CW219" s="1141">
        <f t="shared" si="485"/>
        <v>76465.519553492995</v>
      </c>
      <c r="CX219" s="1152">
        <f t="shared" si="544"/>
        <v>313695.01131050492</v>
      </c>
      <c r="CY219" s="1152">
        <f t="shared" si="545"/>
        <v>124127.58787943407</v>
      </c>
      <c r="CZ219" s="1152">
        <f t="shared" si="546"/>
        <v>89655.598682132651</v>
      </c>
      <c r="DA219" s="1152">
        <f t="shared" si="547"/>
        <v>68232.038127688167</v>
      </c>
      <c r="DB219" s="1143">
        <f t="shared" si="486"/>
        <v>0.16549663266316769</v>
      </c>
      <c r="DC219" s="1143">
        <f t="shared" si="548"/>
        <v>0.28778047992249256</v>
      </c>
      <c r="DD219" s="1098" t="s">
        <v>232</v>
      </c>
      <c r="DE219" s="1144"/>
      <c r="DF219" s="705"/>
      <c r="DG219" s="765">
        <f t="shared" si="579"/>
        <v>46082</v>
      </c>
      <c r="DH219" s="1116">
        <f t="shared" si="487"/>
        <v>28</v>
      </c>
      <c r="DI219" s="497"/>
      <c r="DJ219" s="1117">
        <f t="shared" si="549"/>
        <v>46147</v>
      </c>
      <c r="DK219" s="1116">
        <f t="shared" si="550"/>
        <v>30</v>
      </c>
      <c r="DL219" s="766" t="s">
        <v>233</v>
      </c>
      <c r="DM219" s="766" t="s">
        <v>234</v>
      </c>
      <c r="DN219" s="767">
        <f t="shared" si="488"/>
        <v>25275.849352192887</v>
      </c>
      <c r="DO219" s="767">
        <f t="shared" si="489"/>
        <v>556068.68574824347</v>
      </c>
      <c r="DP219" s="768">
        <f t="shared" si="490"/>
        <v>0.18535622858274783</v>
      </c>
      <c r="DR219" s="767">
        <f t="shared" si="491"/>
        <v>3914259.0272321003</v>
      </c>
      <c r="DS219" s="767">
        <f>SUM('[6]INTERNAL PRICELIST'!M219)</f>
        <v>0</v>
      </c>
      <c r="DT219" s="767">
        <f t="shared" si="551"/>
        <v>3914259.0272321003</v>
      </c>
      <c r="DV219" s="951">
        <f t="shared" si="492"/>
        <v>177920.86487418637</v>
      </c>
      <c r="DX219" s="781"/>
      <c r="DY219" s="782"/>
      <c r="DZ219" s="781"/>
      <c r="EA219" s="775"/>
      <c r="ED219" s="755" t="s">
        <v>644</v>
      </c>
      <c r="EE219" s="777" t="b">
        <f t="shared" si="493"/>
        <v>1</v>
      </c>
      <c r="EF219" s="777"/>
      <c r="EG219" s="777"/>
      <c r="EH219" s="1203"/>
      <c r="EP219" s="1230" t="s">
        <v>236</v>
      </c>
      <c r="EQ219" s="1145" t="s">
        <v>236</v>
      </c>
      <c r="ER219" s="753" t="b">
        <f t="shared" si="552"/>
        <v>1</v>
      </c>
      <c r="EU219" s="770">
        <v>3136128.9324007286</v>
      </c>
      <c r="EV219" s="771" t="s">
        <v>258</v>
      </c>
      <c r="EW219" s="775">
        <f t="shared" si="586"/>
        <v>-778130.09483137168</v>
      </c>
      <c r="EY219" s="775">
        <v>3102714.1170802992</v>
      </c>
      <c r="FJ219" s="994">
        <v>0.15</v>
      </c>
      <c r="FK219" s="993">
        <v>13497.690681661887</v>
      </c>
      <c r="FL219" s="993">
        <v>13862.493132517613</v>
      </c>
      <c r="FM219" s="497"/>
      <c r="FN219" s="993">
        <f t="shared" si="494"/>
        <v>4413327.0532041937</v>
      </c>
      <c r="FO219" s="994">
        <f t="shared" si="553"/>
        <v>0.15</v>
      </c>
      <c r="FP219" s="775">
        <f t="shared" si="495"/>
        <v>661999.05798062903</v>
      </c>
      <c r="FQ219" s="993">
        <f t="shared" si="496"/>
        <v>30000</v>
      </c>
      <c r="FR219" s="775">
        <f t="shared" si="554"/>
        <v>631999.05798062903</v>
      </c>
      <c r="FS219" s="497">
        <f t="shared" si="555"/>
        <v>40</v>
      </c>
      <c r="FT219" s="775">
        <f t="shared" si="556"/>
        <v>15799.976449515725</v>
      </c>
      <c r="FU219" s="497"/>
      <c r="FV219" s="993">
        <f t="shared" si="557"/>
        <v>4413327.0532041937</v>
      </c>
      <c r="FW219" s="705">
        <f t="shared" si="558"/>
        <v>441332.70532041939</v>
      </c>
      <c r="FX219" s="705">
        <f t="shared" si="559"/>
        <v>110333.17633010485</v>
      </c>
      <c r="FY219" s="705">
        <v>15000</v>
      </c>
      <c r="FZ219" s="705">
        <f t="shared" si="560"/>
        <v>426332.70532041939</v>
      </c>
      <c r="GA219" s="497">
        <f t="shared" si="561"/>
        <v>46</v>
      </c>
      <c r="GB219" s="775">
        <f t="shared" si="562"/>
        <v>9268.1022895743354</v>
      </c>
      <c r="GC219" s="497"/>
      <c r="GD219" s="497"/>
      <c r="GH219" s="1095">
        <f t="shared" si="461"/>
        <v>4413327.0532041937</v>
      </c>
      <c r="GI219" s="1098">
        <f t="shared" si="462"/>
        <v>0.125</v>
      </c>
      <c r="GJ219" s="1095">
        <f t="shared" si="463"/>
        <v>551665.88165052421</v>
      </c>
      <c r="GK219" s="1095">
        <f t="shared" si="464"/>
        <v>30000</v>
      </c>
      <c r="GL219" s="1095">
        <f t="shared" si="465"/>
        <v>521665.88165052421</v>
      </c>
      <c r="GM219" s="1095">
        <f t="shared" si="466"/>
        <v>29</v>
      </c>
      <c r="GN219" s="1095">
        <f t="shared" si="467"/>
        <v>17988.478677604282</v>
      </c>
      <c r="GO219" s="1098">
        <f t="shared" si="468"/>
        <v>0.875</v>
      </c>
      <c r="GP219" s="1095">
        <f t="shared" si="469"/>
        <v>3861661.1715536695</v>
      </c>
      <c r="GQ219" s="1095">
        <f t="shared" si="470"/>
        <v>29939.417960262963</v>
      </c>
      <c r="GR219" s="1095">
        <f t="shared" si="471"/>
        <v>34709.702334455425</v>
      </c>
      <c r="GS219" s="1095">
        <f t="shared" si="472"/>
        <v>44837.160588670667</v>
      </c>
      <c r="GT219" s="1095">
        <f t="shared" si="473"/>
        <v>76465.519553492995</v>
      </c>
      <c r="GU219" s="497"/>
      <c r="GV219" s="1095">
        <f t="shared" si="563"/>
        <v>4413327.0532041937</v>
      </c>
      <c r="GW219" s="1098">
        <f t="shared" si="564"/>
        <v>0.125</v>
      </c>
      <c r="GX219" s="1095">
        <f t="shared" si="565"/>
        <v>551665.88165052421</v>
      </c>
      <c r="GY219" s="1095">
        <f t="shared" si="566"/>
        <v>30000</v>
      </c>
      <c r="GZ219" s="1095">
        <f t="shared" si="567"/>
        <v>521665.88165052421</v>
      </c>
      <c r="HA219" s="1106">
        <f t="shared" si="568"/>
        <v>48</v>
      </c>
      <c r="HB219" s="770">
        <f t="shared" si="569"/>
        <v>10868.039201052588</v>
      </c>
      <c r="HC219" s="1098">
        <f t="shared" si="570"/>
        <v>0.875</v>
      </c>
      <c r="HD219" s="1102">
        <f t="shared" si="571"/>
        <v>3861661.1715536695</v>
      </c>
      <c r="HE219" s="1101">
        <f t="shared" si="572"/>
        <v>29939.417960262963</v>
      </c>
      <c r="HF219" s="1101">
        <f t="shared" si="573"/>
        <v>34709.702334455425</v>
      </c>
      <c r="HG219" s="1101">
        <f t="shared" si="574"/>
        <v>44837.160588670667</v>
      </c>
      <c r="HH219" s="1101">
        <f t="shared" si="575"/>
        <v>76465.519553492995</v>
      </c>
      <c r="HI219" s="497"/>
      <c r="HJ219" s="1102">
        <f t="shared" si="576"/>
        <v>-7120.4394765516936</v>
      </c>
      <c r="HL219" s="775"/>
      <c r="HN219" s="775"/>
      <c r="HO219" s="775"/>
      <c r="HQ219" s="702"/>
      <c r="HR219" s="1171"/>
      <c r="HS219" s="702"/>
      <c r="HT219" s="1171"/>
    </row>
    <row r="220" spans="1:228" ht="14.25" customHeight="1">
      <c r="A220" s="753">
        <f t="shared" si="577"/>
        <v>214</v>
      </c>
      <c r="B220" s="753"/>
      <c r="C220" s="753">
        <f t="shared" si="459"/>
        <v>28</v>
      </c>
      <c r="D220" s="753" t="s">
        <v>275</v>
      </c>
      <c r="E220" s="717" t="str">
        <f t="shared" si="497"/>
        <v>9th Floor</v>
      </c>
      <c r="F220" s="754"/>
      <c r="G220" s="756" t="s">
        <v>645</v>
      </c>
      <c r="H220" s="756"/>
      <c r="I220" s="755" t="s">
        <v>229</v>
      </c>
      <c r="J220" s="757">
        <v>22</v>
      </c>
      <c r="K220" s="758"/>
      <c r="L220" s="759" t="s">
        <v>277</v>
      </c>
      <c r="M220" s="760" t="s">
        <v>278</v>
      </c>
      <c r="N220" s="761">
        <f t="shared" si="498"/>
        <v>106005.26567735759</v>
      </c>
      <c r="O220" s="762">
        <f t="shared" si="499"/>
        <v>2332115.8449018667</v>
      </c>
      <c r="P220" s="762">
        <f t="shared" si="500"/>
        <v>22400</v>
      </c>
      <c r="Q220" s="762">
        <f t="shared" si="474"/>
        <v>50000</v>
      </c>
      <c r="R220" s="762"/>
      <c r="S220" s="762"/>
      <c r="T220" s="762"/>
      <c r="U220" s="762"/>
      <c r="V220" s="762"/>
      <c r="W220" s="762">
        <f t="shared" si="588"/>
        <v>22000</v>
      </c>
      <c r="X220" s="762"/>
      <c r="Y220" s="762">
        <f t="shared" si="460"/>
        <v>100000</v>
      </c>
      <c r="Z220" s="762">
        <f t="shared" si="475"/>
        <v>142461</v>
      </c>
      <c r="AA220" s="762"/>
      <c r="AB220" s="762"/>
      <c r="AC220" s="762"/>
      <c r="AD220" s="763">
        <f t="shared" si="501"/>
        <v>336861</v>
      </c>
      <c r="AE220" s="763">
        <f t="shared" si="476"/>
        <v>2668976.8449018667</v>
      </c>
      <c r="AF220" s="762">
        <f t="shared" si="477"/>
        <v>66724.421122546672</v>
      </c>
      <c r="AG220" s="762">
        <f t="shared" si="502"/>
        <v>2735701.2660244135</v>
      </c>
      <c r="AH220" s="762">
        <f t="shared" si="478"/>
        <v>68392.531650610341</v>
      </c>
      <c r="AI220" s="762">
        <f t="shared" si="503"/>
        <v>2804093.7976750238</v>
      </c>
      <c r="AJ220" s="762">
        <f t="shared" si="504"/>
        <v>140204.68988375118</v>
      </c>
      <c r="AK220" s="762">
        <f t="shared" si="505"/>
        <v>2944298.4875587751</v>
      </c>
      <c r="AL220" s="762">
        <f t="shared" si="506"/>
        <v>29442.98487558775</v>
      </c>
      <c r="AM220" s="762">
        <f t="shared" si="507"/>
        <v>27537.409960060559</v>
      </c>
      <c r="AN220" s="762"/>
      <c r="AO220" s="763">
        <f t="shared" si="508"/>
        <v>3001278.8823944232</v>
      </c>
      <c r="AP220" s="763">
        <f t="shared" si="509"/>
        <v>495211.01559507987</v>
      </c>
      <c r="AQ220" s="763">
        <f t="shared" si="510"/>
        <v>3496489.8979895031</v>
      </c>
      <c r="AR220" s="1178">
        <f t="shared" si="479"/>
        <v>3000000</v>
      </c>
      <c r="AS220" s="1178">
        <f t="shared" si="511"/>
        <v>22567.722635886505</v>
      </c>
      <c r="AT220" s="1178">
        <f t="shared" si="512"/>
        <v>496489.89798950311</v>
      </c>
      <c r="AU220" s="1178">
        <f t="shared" si="480"/>
        <v>59578.787758740371</v>
      </c>
      <c r="AV220" s="1178">
        <f t="shared" si="513"/>
        <v>556068.68574824347</v>
      </c>
      <c r="AW220" s="1178">
        <f t="shared" si="514"/>
        <v>3556068.6857482437</v>
      </c>
      <c r="AX220" s="762">
        <f t="shared" si="515"/>
        <v>44450.858571853052</v>
      </c>
      <c r="AY220" s="717" t="s">
        <v>231</v>
      </c>
      <c r="AZ220" s="717">
        <f t="shared" si="516"/>
        <v>3600519.5443200967</v>
      </c>
      <c r="BA220" s="717">
        <f t="shared" si="517"/>
        <v>135019.48291200362</v>
      </c>
      <c r="BB220" s="717"/>
      <c r="BC220" s="717">
        <f t="shared" si="481"/>
        <v>33600</v>
      </c>
      <c r="BD220" s="717">
        <f t="shared" si="518"/>
        <v>3769139.0272321003</v>
      </c>
      <c r="BE220" s="717"/>
      <c r="BF220" s="717">
        <f t="shared" si="519"/>
        <v>3769139.0272321003</v>
      </c>
      <c r="BG220" s="1209"/>
      <c r="BH220" s="717">
        <f t="shared" si="520"/>
        <v>3769139.0272321003</v>
      </c>
      <c r="BI220" s="717"/>
      <c r="BJ220" s="717">
        <f t="shared" si="521"/>
        <v>3769139.0272321003</v>
      </c>
      <c r="BK220" s="717"/>
      <c r="BL220" s="717">
        <f t="shared" si="522"/>
        <v>3769139.0272321003</v>
      </c>
      <c r="BM220" s="717"/>
      <c r="BN220" s="717">
        <f t="shared" si="523"/>
        <v>3769139.0272321003</v>
      </c>
      <c r="BO220" s="717">
        <f>$BO$5/51</f>
        <v>7289.0781490196077</v>
      </c>
      <c r="BP220" s="717">
        <f t="shared" si="482"/>
        <v>3776428.10538112</v>
      </c>
      <c r="BQ220" s="717">
        <f>$BQ$5/56</f>
        <v>4468.4242000000004</v>
      </c>
      <c r="BR220" s="717">
        <f t="shared" si="584"/>
        <v>3780896.5295811198</v>
      </c>
      <c r="BS220" s="1234">
        <f>$BS$5/64</f>
        <v>2651.4786794501206</v>
      </c>
      <c r="BT220" s="1235">
        <f t="shared" si="524"/>
        <v>3783548.00826057</v>
      </c>
      <c r="BU220" s="1235">
        <f>$BU$5/65</f>
        <v>211.07692307692309</v>
      </c>
      <c r="BV220" s="1235">
        <f t="shared" si="585"/>
        <v>51400</v>
      </c>
      <c r="BW220" s="717">
        <f t="shared" si="525"/>
        <v>3835159.085183647</v>
      </c>
      <c r="BX220" s="1234">
        <f t="shared" ref="BX210:BX273" si="589">$BX$5/68</f>
        <v>27651.078536278128</v>
      </c>
      <c r="BY220" s="717">
        <f t="shared" si="526"/>
        <v>3862810.1637199251</v>
      </c>
      <c r="BZ220" s="1194">
        <f t="shared" si="527"/>
        <v>3862810.1637199251</v>
      </c>
      <c r="CA220" s="1194">
        <f t="shared" si="528"/>
        <v>2982810.1637199251</v>
      </c>
      <c r="CB220" s="1194">
        <f>$CB$5</f>
        <v>40000</v>
      </c>
      <c r="CC220" s="1194">
        <f t="shared" si="529"/>
        <v>880000</v>
      </c>
      <c r="CD220" s="1194">
        <f t="shared" si="530"/>
        <v>105600</v>
      </c>
      <c r="CE220" s="1194">
        <f t="shared" si="531"/>
        <v>985600</v>
      </c>
      <c r="CF220" s="1200">
        <f t="shared" si="532"/>
        <v>3968410.1637199251</v>
      </c>
      <c r="CG220" s="757">
        <f t="shared" si="533"/>
        <v>3968410.1637199251</v>
      </c>
      <c r="CH220" s="758">
        <f t="shared" si="534"/>
        <v>0</v>
      </c>
      <c r="CI220" s="757">
        <f t="shared" si="483"/>
        <v>406762.0417812923</v>
      </c>
      <c r="CJ220" s="757">
        <f t="shared" si="484"/>
        <v>99210.254092998133</v>
      </c>
      <c r="CK220" s="759">
        <f t="shared" si="444"/>
        <v>4474382.4595942153</v>
      </c>
      <c r="CL220" s="764">
        <f t="shared" si="535"/>
        <v>0.125</v>
      </c>
      <c r="CM220" s="757">
        <f t="shared" si="536"/>
        <v>559297.80744927691</v>
      </c>
      <c r="CN220" s="757">
        <f t="shared" si="578"/>
        <v>30000</v>
      </c>
      <c r="CO220" s="757">
        <f t="shared" si="537"/>
        <v>529297.80744927691</v>
      </c>
      <c r="CP220" s="755">
        <f t="shared" si="538"/>
        <v>29</v>
      </c>
      <c r="CQ220" s="757">
        <f t="shared" si="581"/>
        <v>18251.648532733685</v>
      </c>
      <c r="CR220" s="764">
        <f t="shared" si="539"/>
        <v>0.875</v>
      </c>
      <c r="CS220" s="757">
        <f t="shared" si="540"/>
        <v>3915084.6521449382</v>
      </c>
      <c r="CT220" s="1101">
        <f t="shared" si="541"/>
        <v>30353.609636657624</v>
      </c>
      <c r="CU220" s="1101">
        <f t="shared" si="542"/>
        <v>35189.887681283108</v>
      </c>
      <c r="CV220" s="1101">
        <f t="shared" si="543"/>
        <v>45457.452497272461</v>
      </c>
      <c r="CW220" s="1141">
        <f t="shared" si="485"/>
        <v>77523.368499397227</v>
      </c>
      <c r="CX220" s="1152">
        <f t="shared" si="544"/>
        <v>318034.77044622996</v>
      </c>
      <c r="CY220" s="1152">
        <f t="shared" si="545"/>
        <v>125844.80942926</v>
      </c>
      <c r="CZ220" s="1152">
        <f t="shared" si="546"/>
        <v>90895.92348622893</v>
      </c>
      <c r="DA220" s="1152">
        <f t="shared" si="547"/>
        <v>69175.982405210234</v>
      </c>
      <c r="DB220" s="1143">
        <f t="shared" si="486"/>
        <v>0.16549663266316769</v>
      </c>
      <c r="DC220" s="1143">
        <f t="shared" si="548"/>
        <v>0.33042666006301841</v>
      </c>
      <c r="DD220" s="1098" t="s">
        <v>232</v>
      </c>
      <c r="DE220" s="1144"/>
      <c r="DF220" s="705"/>
      <c r="DG220" s="765">
        <f t="shared" si="579"/>
        <v>46082</v>
      </c>
      <c r="DH220" s="1116">
        <f t="shared" si="487"/>
        <v>28</v>
      </c>
      <c r="DI220" s="497"/>
      <c r="DJ220" s="1117">
        <f t="shared" si="549"/>
        <v>46147</v>
      </c>
      <c r="DK220" s="1116">
        <f t="shared" si="550"/>
        <v>30</v>
      </c>
      <c r="DL220" s="766" t="s">
        <v>233</v>
      </c>
      <c r="DM220" s="766" t="s">
        <v>234</v>
      </c>
      <c r="DN220" s="767">
        <f t="shared" si="488"/>
        <v>25275.849352192887</v>
      </c>
      <c r="DO220" s="767">
        <f t="shared" si="489"/>
        <v>556068.68574824347</v>
      </c>
      <c r="DP220" s="768">
        <f t="shared" si="490"/>
        <v>0.18535622858274783</v>
      </c>
      <c r="DR220" s="767">
        <f t="shared" si="491"/>
        <v>3968410.1637199251</v>
      </c>
      <c r="DS220" s="767">
        <f>SUM('[6]INTERNAL PRICELIST'!M220)</f>
        <v>0</v>
      </c>
      <c r="DT220" s="767">
        <f t="shared" si="551"/>
        <v>3968410.1637199251</v>
      </c>
      <c r="DV220" s="951">
        <f t="shared" si="492"/>
        <v>180382.28016908749</v>
      </c>
      <c r="DX220" s="781"/>
      <c r="DY220" s="782"/>
      <c r="DZ220" s="781"/>
      <c r="EA220" s="775"/>
      <c r="ED220" s="755" t="s">
        <v>645</v>
      </c>
      <c r="EE220" s="777" t="b">
        <f t="shared" si="493"/>
        <v>1</v>
      </c>
      <c r="EF220" s="777"/>
      <c r="EG220" s="777"/>
      <c r="EH220" s="1203"/>
      <c r="EP220" s="1230" t="s">
        <v>258</v>
      </c>
      <c r="EQ220" s="1145" t="s">
        <v>258</v>
      </c>
      <c r="ER220" s="753" t="b">
        <f t="shared" si="552"/>
        <v>1</v>
      </c>
      <c r="EU220" s="770">
        <v>3136128.9324007286</v>
      </c>
      <c r="EV220" s="771" t="s">
        <v>258</v>
      </c>
      <c r="EW220" s="775">
        <f t="shared" si="586"/>
        <v>-832281.23131919652</v>
      </c>
      <c r="EY220" s="775">
        <v>3102714.1170802992</v>
      </c>
      <c r="FJ220" s="994">
        <v>0.15</v>
      </c>
      <c r="FK220" s="993">
        <v>13497.690681661887</v>
      </c>
      <c r="FL220" s="993">
        <v>13862.493132517613</v>
      </c>
      <c r="FM220" s="497"/>
      <c r="FN220" s="993">
        <f t="shared" si="494"/>
        <v>4474382.4595942153</v>
      </c>
      <c r="FO220" s="994">
        <f t="shared" ref="FO220:FO223" si="590">FJ220</f>
        <v>0.15</v>
      </c>
      <c r="FP220" s="775">
        <f t="shared" si="495"/>
        <v>671157.36893913231</v>
      </c>
      <c r="FQ220" s="993">
        <f t="shared" si="496"/>
        <v>30000</v>
      </c>
      <c r="FR220" s="775">
        <f t="shared" si="554"/>
        <v>641157.36893913231</v>
      </c>
      <c r="FS220" s="497">
        <f t="shared" si="555"/>
        <v>40</v>
      </c>
      <c r="FT220" s="775">
        <f t="shared" si="556"/>
        <v>16028.934223478307</v>
      </c>
      <c r="FU220" s="497"/>
      <c r="FV220" s="993">
        <f t="shared" si="557"/>
        <v>4474382.4595942153</v>
      </c>
      <c r="FW220" s="705">
        <f t="shared" si="558"/>
        <v>447438.24595942156</v>
      </c>
      <c r="FX220" s="705">
        <f t="shared" si="559"/>
        <v>111859.56148985539</v>
      </c>
      <c r="FY220" s="705">
        <v>15000</v>
      </c>
      <c r="FZ220" s="705">
        <f t="shared" si="560"/>
        <v>432438.24595942156</v>
      </c>
      <c r="GA220" s="497">
        <f t="shared" si="561"/>
        <v>46</v>
      </c>
      <c r="GB220" s="775">
        <f t="shared" si="562"/>
        <v>9400.8314339004683</v>
      </c>
      <c r="GC220" s="497"/>
      <c r="GD220" s="497"/>
      <c r="GH220" s="1095">
        <f t="shared" si="461"/>
        <v>4474382.4595942153</v>
      </c>
      <c r="GI220" s="1098">
        <f t="shared" si="462"/>
        <v>0.125</v>
      </c>
      <c r="GJ220" s="1095">
        <f t="shared" si="463"/>
        <v>559297.80744927691</v>
      </c>
      <c r="GK220" s="1095">
        <f t="shared" si="464"/>
        <v>30000</v>
      </c>
      <c r="GL220" s="1095">
        <f t="shared" si="465"/>
        <v>529297.80744927691</v>
      </c>
      <c r="GM220" s="1095">
        <f t="shared" si="466"/>
        <v>29</v>
      </c>
      <c r="GN220" s="1095">
        <f t="shared" si="467"/>
        <v>18251.648532733685</v>
      </c>
      <c r="GO220" s="1098">
        <f t="shared" si="468"/>
        <v>0.875</v>
      </c>
      <c r="GP220" s="1095">
        <f t="shared" si="469"/>
        <v>3915084.6521449382</v>
      </c>
      <c r="GQ220" s="1095">
        <f t="shared" si="470"/>
        <v>30353.609636657624</v>
      </c>
      <c r="GR220" s="1095">
        <f t="shared" si="471"/>
        <v>35189.887681283108</v>
      </c>
      <c r="GS220" s="1095">
        <f t="shared" si="472"/>
        <v>45457.452497272461</v>
      </c>
      <c r="GT220" s="1095">
        <f t="shared" si="473"/>
        <v>77523.368499397227</v>
      </c>
      <c r="GU220" s="497"/>
      <c r="GV220" s="1095">
        <f t="shared" si="563"/>
        <v>4474382.4595942153</v>
      </c>
      <c r="GW220" s="1098">
        <f t="shared" si="564"/>
        <v>0.125</v>
      </c>
      <c r="GX220" s="1095">
        <f t="shared" si="565"/>
        <v>559297.80744927691</v>
      </c>
      <c r="GY220" s="1095">
        <f t="shared" si="566"/>
        <v>30000</v>
      </c>
      <c r="GZ220" s="1095">
        <f t="shared" si="567"/>
        <v>529297.80744927691</v>
      </c>
      <c r="HA220" s="1106">
        <f t="shared" si="568"/>
        <v>48</v>
      </c>
      <c r="HB220" s="770">
        <f t="shared" si="569"/>
        <v>11027.03765519327</v>
      </c>
      <c r="HC220" s="1098">
        <f t="shared" si="570"/>
        <v>0.875</v>
      </c>
      <c r="HD220" s="1102">
        <f t="shared" si="571"/>
        <v>3915084.6521449382</v>
      </c>
      <c r="HE220" s="1101">
        <f t="shared" si="572"/>
        <v>30353.609636657624</v>
      </c>
      <c r="HF220" s="1101">
        <f t="shared" si="573"/>
        <v>35189.887681283108</v>
      </c>
      <c r="HG220" s="1101">
        <f t="shared" si="574"/>
        <v>45457.452497272461</v>
      </c>
      <c r="HH220" s="1101">
        <f t="shared" si="575"/>
        <v>77523.368499397227</v>
      </c>
      <c r="HI220" s="497"/>
      <c r="HJ220" s="1102">
        <f t="shared" si="576"/>
        <v>-7224.6108775404155</v>
      </c>
      <c r="HL220" s="775"/>
      <c r="HN220" s="775"/>
      <c r="HO220" s="775"/>
      <c r="HQ220" s="702"/>
      <c r="HR220" s="1171"/>
      <c r="HS220" s="702"/>
      <c r="HT220" s="1171"/>
    </row>
    <row r="221" spans="1:228" ht="14.25" hidden="1" customHeight="1">
      <c r="A221" s="753">
        <f t="shared" si="577"/>
        <v>215</v>
      </c>
      <c r="B221" s="753"/>
      <c r="C221" s="753">
        <f t="shared" si="459"/>
        <v>29</v>
      </c>
      <c r="D221" s="753" t="s">
        <v>275</v>
      </c>
      <c r="E221" s="717" t="str">
        <f t="shared" si="497"/>
        <v>9th Floor</v>
      </c>
      <c r="F221" s="754"/>
      <c r="G221" s="756" t="s">
        <v>646</v>
      </c>
      <c r="H221" s="756"/>
      <c r="I221" s="755" t="s">
        <v>229</v>
      </c>
      <c r="J221" s="757">
        <v>22</v>
      </c>
      <c r="K221" s="758"/>
      <c r="L221" s="759" t="s">
        <v>277</v>
      </c>
      <c r="M221" s="760" t="s">
        <v>68</v>
      </c>
      <c r="N221" s="761">
        <f t="shared" si="498"/>
        <v>106005.26567735759</v>
      </c>
      <c r="O221" s="762">
        <f t="shared" si="499"/>
        <v>2332115.8449018667</v>
      </c>
      <c r="P221" s="762">
        <f t="shared" si="500"/>
        <v>22400</v>
      </c>
      <c r="Q221" s="762">
        <f t="shared" si="474"/>
        <v>50000</v>
      </c>
      <c r="R221" s="762"/>
      <c r="S221" s="762"/>
      <c r="T221" s="762"/>
      <c r="U221" s="762"/>
      <c r="V221" s="762"/>
      <c r="W221" s="762"/>
      <c r="X221" s="762"/>
      <c r="Y221" s="762">
        <f t="shared" si="460"/>
        <v>100000</v>
      </c>
      <c r="Z221" s="762">
        <f t="shared" si="475"/>
        <v>142461</v>
      </c>
      <c r="AA221" s="762"/>
      <c r="AB221" s="762"/>
      <c r="AC221" s="762"/>
      <c r="AD221" s="763">
        <f t="shared" si="501"/>
        <v>314861</v>
      </c>
      <c r="AE221" s="763">
        <f t="shared" si="476"/>
        <v>2646976.8449018667</v>
      </c>
      <c r="AF221" s="762">
        <f t="shared" si="477"/>
        <v>66174.421122546672</v>
      </c>
      <c r="AG221" s="762">
        <f t="shared" si="502"/>
        <v>2713151.2660244135</v>
      </c>
      <c r="AH221" s="762">
        <f t="shared" si="478"/>
        <v>67828.781650610341</v>
      </c>
      <c r="AI221" s="762">
        <f t="shared" si="503"/>
        <v>2780980.0476750238</v>
      </c>
      <c r="AJ221" s="762">
        <f t="shared" si="504"/>
        <v>139049.00238375118</v>
      </c>
      <c r="AK221" s="762">
        <f t="shared" si="505"/>
        <v>2920029.0500587751</v>
      </c>
      <c r="AL221" s="762">
        <f t="shared" si="506"/>
        <v>29200.290500587751</v>
      </c>
      <c r="AM221" s="762">
        <f t="shared" si="507"/>
        <v>27537.409960060559</v>
      </c>
      <c r="AN221" s="762"/>
      <c r="AO221" s="763">
        <f t="shared" si="508"/>
        <v>2976766.7505194233</v>
      </c>
      <c r="AP221" s="763">
        <f t="shared" si="509"/>
        <v>491166.51383570489</v>
      </c>
      <c r="AQ221" s="763">
        <f t="shared" si="510"/>
        <v>3467933.2643551282</v>
      </c>
      <c r="AR221" s="1178">
        <f t="shared" si="479"/>
        <v>3000000</v>
      </c>
      <c r="AS221" s="1178">
        <f t="shared" si="511"/>
        <v>21269.693834324007</v>
      </c>
      <c r="AT221" s="1178">
        <f t="shared" si="512"/>
        <v>467933.26435512817</v>
      </c>
      <c r="AU221" s="1178">
        <f t="shared" si="480"/>
        <v>56151.991722615378</v>
      </c>
      <c r="AV221" s="1178">
        <f t="shared" si="513"/>
        <v>524085.25607774354</v>
      </c>
      <c r="AW221" s="1178">
        <f t="shared" si="514"/>
        <v>3524085.2560777436</v>
      </c>
      <c r="AX221" s="762">
        <f t="shared" si="515"/>
        <v>44051.065700971798</v>
      </c>
      <c r="AY221" s="717" t="s">
        <v>231</v>
      </c>
      <c r="AZ221" s="717">
        <f t="shared" si="516"/>
        <v>3568136.3217787156</v>
      </c>
      <c r="BA221" s="717">
        <f t="shared" si="517"/>
        <v>133805.11206670184</v>
      </c>
      <c r="BB221" s="717"/>
      <c r="BC221" s="717">
        <f t="shared" si="481"/>
        <v>33600</v>
      </c>
      <c r="BD221" s="717">
        <f t="shared" si="518"/>
        <v>3735541.4338454176</v>
      </c>
      <c r="BE221" s="717"/>
      <c r="BF221" s="717">
        <f t="shared" si="519"/>
        <v>3735541.4338454176</v>
      </c>
      <c r="BG221" s="1209"/>
      <c r="BH221" s="717">
        <f t="shared" si="520"/>
        <v>3735541.4338454176</v>
      </c>
      <c r="BI221" s="717"/>
      <c r="BJ221" s="717">
        <f t="shared" si="521"/>
        <v>3735541.4338454176</v>
      </c>
      <c r="BK221" s="717"/>
      <c r="BL221" s="717">
        <f t="shared" si="522"/>
        <v>3735541.4338454176</v>
      </c>
      <c r="BM221" s="717"/>
      <c r="BN221" s="717">
        <f t="shared" si="523"/>
        <v>3735541.4338454176</v>
      </c>
      <c r="BO221" s="717"/>
      <c r="BP221" s="717">
        <f t="shared" si="482"/>
        <v>3735541.4338454176</v>
      </c>
      <c r="BQ221" s="717"/>
      <c r="BR221" s="717">
        <f t="shared" si="584"/>
        <v>3735541.4338454176</v>
      </c>
      <c r="BS221" s="717"/>
      <c r="BT221" s="717">
        <f t="shared" si="524"/>
        <v>3735541.4338454176</v>
      </c>
      <c r="BU221" s="717"/>
      <c r="BV221" s="1235">
        <f t="shared" si="585"/>
        <v>51400</v>
      </c>
      <c r="BW221" s="717">
        <f t="shared" si="525"/>
        <v>3786941.4338454176</v>
      </c>
      <c r="BX221" s="717"/>
      <c r="BY221" s="717">
        <f t="shared" si="526"/>
        <v>3786941.4338454176</v>
      </c>
      <c r="BZ221" s="1194">
        <f t="shared" si="527"/>
        <v>3786941.4338454176</v>
      </c>
      <c r="CA221" s="1194">
        <f t="shared" si="528"/>
        <v>3038941.4338454176</v>
      </c>
      <c r="CB221" s="1194">
        <v>34000</v>
      </c>
      <c r="CC221" s="1194">
        <f t="shared" si="529"/>
        <v>748000</v>
      </c>
      <c r="CD221" s="1194">
        <f t="shared" si="530"/>
        <v>89760</v>
      </c>
      <c r="CE221" s="1194">
        <f t="shared" si="531"/>
        <v>837760</v>
      </c>
      <c r="CF221" s="1200">
        <f t="shared" si="532"/>
        <v>3876701.4338454176</v>
      </c>
      <c r="CG221" s="757">
        <f t="shared" si="533"/>
        <v>3876701.4338454176</v>
      </c>
      <c r="CH221" s="758">
        <f t="shared" si="534"/>
        <v>0</v>
      </c>
      <c r="CI221" s="757">
        <f t="shared" si="483"/>
        <v>397361.89696915529</v>
      </c>
      <c r="CJ221" s="757">
        <f t="shared" si="484"/>
        <v>96917.535846135448</v>
      </c>
      <c r="CK221" s="759">
        <f t="shared" si="444"/>
        <v>4370980.8666607086</v>
      </c>
      <c r="CL221" s="764">
        <f t="shared" si="535"/>
        <v>0.125</v>
      </c>
      <c r="CM221" s="757">
        <f t="shared" si="536"/>
        <v>546372.60833258857</v>
      </c>
      <c r="CN221" s="757">
        <f t="shared" si="578"/>
        <v>30000</v>
      </c>
      <c r="CO221" s="757">
        <f t="shared" si="537"/>
        <v>516372.60833258857</v>
      </c>
      <c r="CP221" s="755">
        <f t="shared" si="538"/>
        <v>29</v>
      </c>
      <c r="CQ221" s="757">
        <f t="shared" si="581"/>
        <v>17805.952011468573</v>
      </c>
      <c r="CR221" s="764">
        <f t="shared" si="539"/>
        <v>0.875</v>
      </c>
      <c r="CS221" s="757">
        <f t="shared" si="540"/>
        <v>3824608.2583281202</v>
      </c>
      <c r="CT221" s="1101">
        <f t="shared" si="541"/>
        <v>29652.147118409492</v>
      </c>
      <c r="CU221" s="1101">
        <f t="shared" si="542"/>
        <v>34376.660275209768</v>
      </c>
      <c r="CV221" s="1101">
        <f t="shared" si="543"/>
        <v>44406.94484814685</v>
      </c>
      <c r="CW221" s="1141">
        <f t="shared" si="485"/>
        <v>75731.827462215559</v>
      </c>
      <c r="CX221" s="1152">
        <f t="shared" si="544"/>
        <v>310685.08539597952</v>
      </c>
      <c r="CY221" s="1152">
        <f t="shared" si="545"/>
        <v>122936.57485724729</v>
      </c>
      <c r="CZ221" s="1152">
        <f t="shared" si="546"/>
        <v>88795.34684475635</v>
      </c>
      <c r="DA221" s="1152">
        <f t="shared" si="547"/>
        <v>67577.34687549567</v>
      </c>
      <c r="DB221" s="1143">
        <f t="shared" si="486"/>
        <v>0.15597775478504272</v>
      </c>
      <c r="DC221" s="1143">
        <f t="shared" si="548"/>
        <v>0.27567494084277722</v>
      </c>
      <c r="DD221" s="1098" t="s">
        <v>232</v>
      </c>
      <c r="DE221" s="1144"/>
      <c r="DF221" s="705"/>
      <c r="DG221" s="765">
        <f t="shared" si="579"/>
        <v>46082</v>
      </c>
      <c r="DH221" s="1116">
        <f t="shared" si="487"/>
        <v>28</v>
      </c>
      <c r="DI221" s="497"/>
      <c r="DJ221" s="1117">
        <f t="shared" si="549"/>
        <v>46147</v>
      </c>
      <c r="DK221" s="1116">
        <f t="shared" si="550"/>
        <v>30</v>
      </c>
      <c r="DL221" s="766" t="s">
        <v>233</v>
      </c>
      <c r="DM221" s="766" t="s">
        <v>234</v>
      </c>
      <c r="DN221" s="767">
        <f t="shared" si="488"/>
        <v>23822.057094442887</v>
      </c>
      <c r="DO221" s="767">
        <f t="shared" si="489"/>
        <v>524085.25607774354</v>
      </c>
      <c r="DP221" s="768">
        <f t="shared" si="490"/>
        <v>0.17469508535924785</v>
      </c>
      <c r="DR221" s="767">
        <f t="shared" si="491"/>
        <v>3876701.4338454176</v>
      </c>
      <c r="DS221" s="767">
        <f>SUM('[6]INTERNAL PRICELIST'!M221)</f>
        <v>0</v>
      </c>
      <c r="DT221" s="767">
        <f t="shared" si="551"/>
        <v>3876701.4338454176</v>
      </c>
      <c r="DV221" s="951">
        <f t="shared" si="492"/>
        <v>176213.70153842808</v>
      </c>
      <c r="DX221" s="781"/>
      <c r="DY221" s="782"/>
      <c r="DZ221" s="781"/>
      <c r="EA221" s="775"/>
      <c r="ED221" s="755" t="s">
        <v>646</v>
      </c>
      <c r="EE221" s="777" t="b">
        <f t="shared" si="493"/>
        <v>1</v>
      </c>
      <c r="EF221" s="777"/>
      <c r="EG221" s="777"/>
      <c r="EH221" s="1203"/>
      <c r="EP221" s="1230" t="s">
        <v>236</v>
      </c>
      <c r="EQ221" s="1145" t="s">
        <v>236</v>
      </c>
      <c r="ER221" s="753" t="b">
        <f t="shared" si="552"/>
        <v>1</v>
      </c>
      <c r="EU221" s="770">
        <v>3108299.9774007285</v>
      </c>
      <c r="EV221" s="771" t="s">
        <v>258</v>
      </c>
      <c r="EW221" s="775">
        <f t="shared" si="586"/>
        <v>-768401.45644468907</v>
      </c>
      <c r="EY221" s="775">
        <v>3075131.4159727991</v>
      </c>
      <c r="FJ221" s="994">
        <v>0.125</v>
      </c>
      <c r="FK221" s="993">
        <v>11080.463988670816</v>
      </c>
      <c r="FL221" s="993">
        <v>11379.935988364621</v>
      </c>
      <c r="FM221" s="497"/>
      <c r="FN221" s="993">
        <f t="shared" si="494"/>
        <v>4370980.8666607086</v>
      </c>
      <c r="FO221" s="994">
        <f t="shared" si="590"/>
        <v>0.125</v>
      </c>
      <c r="FP221" s="775">
        <f t="shared" si="495"/>
        <v>546372.60833258857</v>
      </c>
      <c r="FQ221" s="993">
        <f t="shared" si="496"/>
        <v>30000</v>
      </c>
      <c r="FR221" s="775">
        <f t="shared" si="554"/>
        <v>516372.60833258857</v>
      </c>
      <c r="FS221" s="497">
        <f t="shared" si="555"/>
        <v>40</v>
      </c>
      <c r="FT221" s="775">
        <f t="shared" si="556"/>
        <v>12909.315208314714</v>
      </c>
      <c r="FU221" s="497"/>
      <c r="FV221" s="993">
        <f t="shared" si="557"/>
        <v>4370980.8666607086</v>
      </c>
      <c r="FW221" s="705">
        <f t="shared" si="558"/>
        <v>437098.08666607086</v>
      </c>
      <c r="FX221" s="705">
        <f t="shared" si="559"/>
        <v>109274.52166651771</v>
      </c>
      <c r="FY221" s="705">
        <v>15000</v>
      </c>
      <c r="FZ221" s="705">
        <f t="shared" si="560"/>
        <v>422098.08666607086</v>
      </c>
      <c r="GA221" s="497">
        <f t="shared" si="561"/>
        <v>46</v>
      </c>
      <c r="GB221" s="775">
        <f t="shared" si="562"/>
        <v>9176.0453623058875</v>
      </c>
      <c r="GC221" s="497"/>
      <c r="GD221" s="497"/>
      <c r="GH221" s="1095">
        <f t="shared" si="461"/>
        <v>4370980.8666607086</v>
      </c>
      <c r="GI221" s="1098">
        <f t="shared" si="462"/>
        <v>0.125</v>
      </c>
      <c r="GJ221" s="1095">
        <f t="shared" si="463"/>
        <v>546372.60833258857</v>
      </c>
      <c r="GK221" s="1095">
        <f t="shared" si="464"/>
        <v>30000</v>
      </c>
      <c r="GL221" s="1095">
        <f t="shared" si="465"/>
        <v>516372.60833258857</v>
      </c>
      <c r="GM221" s="1095">
        <f t="shared" si="466"/>
        <v>29</v>
      </c>
      <c r="GN221" s="1095">
        <f t="shared" si="467"/>
        <v>17805.952011468573</v>
      </c>
      <c r="GO221" s="1098">
        <f t="shared" si="468"/>
        <v>0.875</v>
      </c>
      <c r="GP221" s="1095">
        <f t="shared" si="469"/>
        <v>3824608.2583281202</v>
      </c>
      <c r="GQ221" s="1095">
        <f t="shared" si="470"/>
        <v>29652.147118409492</v>
      </c>
      <c r="GR221" s="1095">
        <f t="shared" si="471"/>
        <v>34376.660275209768</v>
      </c>
      <c r="GS221" s="1095">
        <f t="shared" si="472"/>
        <v>44406.94484814685</v>
      </c>
      <c r="GT221" s="1095">
        <f t="shared" si="473"/>
        <v>75731.827462215559</v>
      </c>
      <c r="GU221" s="497"/>
      <c r="GV221" s="1095">
        <f t="shared" si="563"/>
        <v>4370980.8666607086</v>
      </c>
      <c r="GW221" s="1098">
        <f t="shared" si="564"/>
        <v>0.125</v>
      </c>
      <c r="GX221" s="1095">
        <f t="shared" si="565"/>
        <v>546372.60833258857</v>
      </c>
      <c r="GY221" s="1095">
        <f t="shared" si="566"/>
        <v>30000</v>
      </c>
      <c r="GZ221" s="1095">
        <f t="shared" si="567"/>
        <v>516372.60833258857</v>
      </c>
      <c r="HA221" s="1106">
        <f t="shared" si="568"/>
        <v>48</v>
      </c>
      <c r="HB221" s="770">
        <f t="shared" si="569"/>
        <v>10757.762673595595</v>
      </c>
      <c r="HC221" s="1098">
        <f t="shared" si="570"/>
        <v>0.875</v>
      </c>
      <c r="HD221" s="1102">
        <f t="shared" si="571"/>
        <v>3824608.2583281202</v>
      </c>
      <c r="HE221" s="1101">
        <f t="shared" si="572"/>
        <v>29652.147118409492</v>
      </c>
      <c r="HF221" s="1101">
        <f t="shared" si="573"/>
        <v>34376.660275209768</v>
      </c>
      <c r="HG221" s="1101">
        <f t="shared" si="574"/>
        <v>44406.94484814685</v>
      </c>
      <c r="HH221" s="1101">
        <f t="shared" si="575"/>
        <v>75731.827462215559</v>
      </c>
      <c r="HI221" s="497"/>
      <c r="HJ221" s="1102">
        <f t="shared" si="576"/>
        <v>-7048.1893378729783</v>
      </c>
      <c r="HL221" s="775"/>
      <c r="HN221" s="775"/>
      <c r="HO221" s="775"/>
      <c r="HQ221" s="702"/>
      <c r="HR221" s="1171"/>
      <c r="HS221" s="702"/>
      <c r="HT221" s="1171"/>
    </row>
    <row r="222" spans="1:228" ht="14.25" hidden="1" customHeight="1">
      <c r="A222" s="753">
        <f t="shared" si="577"/>
        <v>216</v>
      </c>
      <c r="B222" s="753"/>
      <c r="C222" s="753">
        <f t="shared" si="459"/>
        <v>30</v>
      </c>
      <c r="D222" s="753" t="s">
        <v>275</v>
      </c>
      <c r="E222" s="717" t="str">
        <f t="shared" si="497"/>
        <v>9th Floor</v>
      </c>
      <c r="F222" s="754"/>
      <c r="G222" s="756" t="s">
        <v>647</v>
      </c>
      <c r="H222" s="756"/>
      <c r="I222" s="755" t="s">
        <v>229</v>
      </c>
      <c r="J222" s="757">
        <v>22</v>
      </c>
      <c r="K222" s="758"/>
      <c r="L222" s="759" t="s">
        <v>277</v>
      </c>
      <c r="M222" s="760" t="s">
        <v>68</v>
      </c>
      <c r="N222" s="761">
        <f t="shared" si="498"/>
        <v>106005.26567735759</v>
      </c>
      <c r="O222" s="762">
        <f t="shared" si="499"/>
        <v>2332115.8449018667</v>
      </c>
      <c r="P222" s="762">
        <f t="shared" si="500"/>
        <v>22400</v>
      </c>
      <c r="Q222" s="762">
        <f t="shared" si="474"/>
        <v>50000</v>
      </c>
      <c r="R222" s="762"/>
      <c r="S222" s="762"/>
      <c r="T222" s="762"/>
      <c r="U222" s="762"/>
      <c r="V222" s="762"/>
      <c r="W222" s="762"/>
      <c r="X222" s="762"/>
      <c r="Y222" s="762">
        <f t="shared" si="460"/>
        <v>100000</v>
      </c>
      <c r="Z222" s="762">
        <f t="shared" si="475"/>
        <v>142461</v>
      </c>
      <c r="AA222" s="762"/>
      <c r="AB222" s="762"/>
      <c r="AC222" s="762"/>
      <c r="AD222" s="763">
        <f t="shared" si="501"/>
        <v>314861</v>
      </c>
      <c r="AE222" s="763">
        <f t="shared" si="476"/>
        <v>2646976.8449018667</v>
      </c>
      <c r="AF222" s="762">
        <f t="shared" si="477"/>
        <v>66174.421122546672</v>
      </c>
      <c r="AG222" s="762">
        <f t="shared" si="502"/>
        <v>2713151.2660244135</v>
      </c>
      <c r="AH222" s="762">
        <f t="shared" si="478"/>
        <v>67828.781650610341</v>
      </c>
      <c r="AI222" s="762">
        <f t="shared" si="503"/>
        <v>2780980.0476750238</v>
      </c>
      <c r="AJ222" s="762">
        <f t="shared" si="504"/>
        <v>139049.00238375118</v>
      </c>
      <c r="AK222" s="762">
        <f t="shared" si="505"/>
        <v>2920029.0500587751</v>
      </c>
      <c r="AL222" s="762">
        <f t="shared" si="506"/>
        <v>29200.290500587751</v>
      </c>
      <c r="AM222" s="762">
        <f t="shared" si="507"/>
        <v>27537.409960060559</v>
      </c>
      <c r="AN222" s="762"/>
      <c r="AO222" s="763">
        <f t="shared" si="508"/>
        <v>2976766.7505194233</v>
      </c>
      <c r="AP222" s="763">
        <f t="shared" si="509"/>
        <v>491166.51383570489</v>
      </c>
      <c r="AQ222" s="763">
        <f t="shared" si="510"/>
        <v>3467933.2643551282</v>
      </c>
      <c r="AR222" s="1178">
        <f t="shared" si="479"/>
        <v>3000000</v>
      </c>
      <c r="AS222" s="1178">
        <f t="shared" si="511"/>
        <v>21269.693834324007</v>
      </c>
      <c r="AT222" s="1178">
        <f t="shared" si="512"/>
        <v>467933.26435512817</v>
      </c>
      <c r="AU222" s="1178">
        <f t="shared" si="480"/>
        <v>56151.991722615378</v>
      </c>
      <c r="AV222" s="1178">
        <f t="shared" si="513"/>
        <v>524085.25607774354</v>
      </c>
      <c r="AW222" s="1178">
        <f t="shared" si="514"/>
        <v>3524085.2560777436</v>
      </c>
      <c r="AX222" s="762">
        <f t="shared" si="515"/>
        <v>44051.065700971798</v>
      </c>
      <c r="AY222" s="717" t="s">
        <v>231</v>
      </c>
      <c r="AZ222" s="717">
        <f t="shared" si="516"/>
        <v>3568136.3217787156</v>
      </c>
      <c r="BA222" s="717">
        <f t="shared" si="517"/>
        <v>133805.11206670184</v>
      </c>
      <c r="BB222" s="717"/>
      <c r="BC222" s="717">
        <f t="shared" si="481"/>
        <v>33600</v>
      </c>
      <c r="BD222" s="717">
        <f t="shared" si="518"/>
        <v>3735541.4338454176</v>
      </c>
      <c r="BE222" s="717"/>
      <c r="BF222" s="717">
        <f t="shared" si="519"/>
        <v>3735541.4338454176</v>
      </c>
      <c r="BG222" s="1209"/>
      <c r="BH222" s="717">
        <f t="shared" si="520"/>
        <v>3735541.4338454176</v>
      </c>
      <c r="BI222" s="717"/>
      <c r="BJ222" s="717">
        <f t="shared" si="521"/>
        <v>3735541.4338454176</v>
      </c>
      <c r="BK222" s="717"/>
      <c r="BL222" s="717">
        <f t="shared" si="522"/>
        <v>3735541.4338454176</v>
      </c>
      <c r="BM222" s="717"/>
      <c r="BN222" s="717">
        <f t="shared" si="523"/>
        <v>3735541.4338454176</v>
      </c>
      <c r="BO222" s="717"/>
      <c r="BP222" s="717">
        <f t="shared" si="482"/>
        <v>3735541.4338454176</v>
      </c>
      <c r="BQ222" s="717"/>
      <c r="BR222" s="717">
        <f t="shared" si="584"/>
        <v>3735541.4338454176</v>
      </c>
      <c r="BS222" s="717"/>
      <c r="BT222" s="717">
        <f t="shared" si="524"/>
        <v>3735541.4338454176</v>
      </c>
      <c r="BU222" s="717"/>
      <c r="BV222" s="1235">
        <f t="shared" si="585"/>
        <v>51400</v>
      </c>
      <c r="BW222" s="717">
        <f t="shared" si="525"/>
        <v>3786941.4338454176</v>
      </c>
      <c r="BX222" s="717"/>
      <c r="BY222" s="717">
        <f t="shared" si="526"/>
        <v>3786941.4338454176</v>
      </c>
      <c r="BZ222" s="1194">
        <f t="shared" si="527"/>
        <v>3786941.4338454176</v>
      </c>
      <c r="CA222" s="1194">
        <f t="shared" si="528"/>
        <v>3038941.4338454176</v>
      </c>
      <c r="CB222" s="1194">
        <v>34000</v>
      </c>
      <c r="CC222" s="1194">
        <f t="shared" si="529"/>
        <v>748000</v>
      </c>
      <c r="CD222" s="1194">
        <f t="shared" si="530"/>
        <v>89760</v>
      </c>
      <c r="CE222" s="1194">
        <f t="shared" si="531"/>
        <v>837760</v>
      </c>
      <c r="CF222" s="1200">
        <f t="shared" si="532"/>
        <v>3876701.4338454176</v>
      </c>
      <c r="CG222" s="757">
        <f t="shared" si="533"/>
        <v>3876701.4338454176</v>
      </c>
      <c r="CH222" s="758">
        <f t="shared" si="534"/>
        <v>0</v>
      </c>
      <c r="CI222" s="757">
        <f t="shared" si="483"/>
        <v>397361.89696915529</v>
      </c>
      <c r="CJ222" s="757">
        <f t="shared" si="484"/>
        <v>96917.535846135448</v>
      </c>
      <c r="CK222" s="759">
        <f t="shared" si="444"/>
        <v>4370980.8666607086</v>
      </c>
      <c r="CL222" s="764">
        <f t="shared" si="535"/>
        <v>0.125</v>
      </c>
      <c r="CM222" s="757">
        <f t="shared" si="536"/>
        <v>546372.60833258857</v>
      </c>
      <c r="CN222" s="757">
        <f t="shared" si="578"/>
        <v>30000</v>
      </c>
      <c r="CO222" s="757">
        <f t="shared" si="537"/>
        <v>516372.60833258857</v>
      </c>
      <c r="CP222" s="755">
        <f t="shared" si="538"/>
        <v>29</v>
      </c>
      <c r="CQ222" s="757">
        <f t="shared" si="581"/>
        <v>17805.952011468573</v>
      </c>
      <c r="CR222" s="764">
        <f t="shared" si="539"/>
        <v>0.875</v>
      </c>
      <c r="CS222" s="757">
        <f t="shared" si="540"/>
        <v>3824608.2583281202</v>
      </c>
      <c r="CT222" s="1101">
        <f t="shared" si="541"/>
        <v>29652.147118409492</v>
      </c>
      <c r="CU222" s="1101">
        <f t="shared" si="542"/>
        <v>34376.660275209768</v>
      </c>
      <c r="CV222" s="1101">
        <f t="shared" si="543"/>
        <v>44406.94484814685</v>
      </c>
      <c r="CW222" s="1141">
        <f t="shared" si="485"/>
        <v>75731.827462215559</v>
      </c>
      <c r="CX222" s="1152">
        <f t="shared" si="544"/>
        <v>310685.08539597952</v>
      </c>
      <c r="CY222" s="1152">
        <f t="shared" si="545"/>
        <v>122936.57485724729</v>
      </c>
      <c r="CZ222" s="1152">
        <f t="shared" si="546"/>
        <v>88795.34684475635</v>
      </c>
      <c r="DA222" s="1152">
        <f t="shared" si="547"/>
        <v>67577.34687549567</v>
      </c>
      <c r="DB222" s="1143">
        <f t="shared" si="486"/>
        <v>0.15597775478504272</v>
      </c>
      <c r="DC222" s="1143">
        <f t="shared" si="548"/>
        <v>0.27567494084277722</v>
      </c>
      <c r="DD222" s="1098" t="s">
        <v>232</v>
      </c>
      <c r="DE222" s="1144"/>
      <c r="DF222" s="705"/>
      <c r="DG222" s="765">
        <f t="shared" si="579"/>
        <v>46082</v>
      </c>
      <c r="DH222" s="1116">
        <f t="shared" si="487"/>
        <v>28</v>
      </c>
      <c r="DI222" s="497"/>
      <c r="DJ222" s="1117">
        <f t="shared" si="549"/>
        <v>46147</v>
      </c>
      <c r="DK222" s="1116">
        <f t="shared" si="550"/>
        <v>30</v>
      </c>
      <c r="DL222" s="766" t="s">
        <v>233</v>
      </c>
      <c r="DM222" s="766" t="s">
        <v>234</v>
      </c>
      <c r="DN222" s="767">
        <f t="shared" si="488"/>
        <v>23822.057094442887</v>
      </c>
      <c r="DO222" s="767">
        <f t="shared" si="489"/>
        <v>524085.25607774354</v>
      </c>
      <c r="DP222" s="768">
        <f t="shared" si="490"/>
        <v>0.17469508535924785</v>
      </c>
      <c r="DR222" s="767">
        <f t="shared" si="491"/>
        <v>3876701.4338454176</v>
      </c>
      <c r="DS222" s="767">
        <f>SUM('[6]INTERNAL PRICELIST'!M222)</f>
        <v>0</v>
      </c>
      <c r="DT222" s="767">
        <f t="shared" si="551"/>
        <v>3876701.4338454176</v>
      </c>
      <c r="DV222" s="951">
        <f t="shared" si="492"/>
        <v>176213.70153842808</v>
      </c>
      <c r="DX222" s="781"/>
      <c r="DY222" s="782"/>
      <c r="DZ222" s="781"/>
      <c r="EA222" s="775"/>
      <c r="ED222" s="755" t="s">
        <v>647</v>
      </c>
      <c r="EE222" s="777" t="b">
        <f t="shared" si="493"/>
        <v>1</v>
      </c>
      <c r="EF222" s="777"/>
      <c r="EG222" s="777"/>
      <c r="EH222" s="1203"/>
      <c r="EP222" s="1230" t="s">
        <v>236</v>
      </c>
      <c r="EQ222" s="1145" t="s">
        <v>236</v>
      </c>
      <c r="ER222" s="753" t="b">
        <f t="shared" si="552"/>
        <v>1</v>
      </c>
      <c r="EU222" s="770">
        <v>3108299.9774007285</v>
      </c>
      <c r="EV222" s="771" t="s">
        <v>258</v>
      </c>
      <c r="EW222" s="775">
        <f t="shared" si="586"/>
        <v>-768401.45644468907</v>
      </c>
      <c r="EY222" s="775">
        <v>3075131.4159727991</v>
      </c>
      <c r="FJ222" s="994">
        <v>0.125</v>
      </c>
      <c r="FK222" s="993">
        <v>11080.463988670816</v>
      </c>
      <c r="FL222" s="993">
        <v>11379.935988364621</v>
      </c>
      <c r="FM222" s="497"/>
      <c r="FN222" s="993">
        <f t="shared" si="494"/>
        <v>4370980.8666607086</v>
      </c>
      <c r="FO222" s="994">
        <f t="shared" si="590"/>
        <v>0.125</v>
      </c>
      <c r="FP222" s="775">
        <f t="shared" si="495"/>
        <v>546372.60833258857</v>
      </c>
      <c r="FQ222" s="993">
        <f t="shared" si="496"/>
        <v>30000</v>
      </c>
      <c r="FR222" s="775">
        <f t="shared" si="554"/>
        <v>516372.60833258857</v>
      </c>
      <c r="FS222" s="497">
        <f t="shared" si="555"/>
        <v>40</v>
      </c>
      <c r="FT222" s="775">
        <f t="shared" si="556"/>
        <v>12909.315208314714</v>
      </c>
      <c r="FU222" s="497"/>
      <c r="FV222" s="993">
        <f t="shared" si="557"/>
        <v>4370980.8666607086</v>
      </c>
      <c r="FW222" s="705">
        <f t="shared" si="558"/>
        <v>437098.08666607086</v>
      </c>
      <c r="FX222" s="705">
        <f t="shared" si="559"/>
        <v>109274.52166651771</v>
      </c>
      <c r="FY222" s="705">
        <v>15000</v>
      </c>
      <c r="FZ222" s="705">
        <f t="shared" si="560"/>
        <v>422098.08666607086</v>
      </c>
      <c r="GA222" s="497">
        <f t="shared" si="561"/>
        <v>46</v>
      </c>
      <c r="GB222" s="775">
        <f t="shared" si="562"/>
        <v>9176.0453623058875</v>
      </c>
      <c r="GC222" s="497"/>
      <c r="GD222" s="497"/>
      <c r="GH222" s="1095">
        <f t="shared" si="461"/>
        <v>4370980.8666607086</v>
      </c>
      <c r="GI222" s="1098">
        <f t="shared" si="462"/>
        <v>0.125</v>
      </c>
      <c r="GJ222" s="1095">
        <f t="shared" si="463"/>
        <v>546372.60833258857</v>
      </c>
      <c r="GK222" s="1095">
        <f t="shared" si="464"/>
        <v>30000</v>
      </c>
      <c r="GL222" s="1095">
        <f t="shared" si="465"/>
        <v>516372.60833258857</v>
      </c>
      <c r="GM222" s="1095">
        <f t="shared" si="466"/>
        <v>29</v>
      </c>
      <c r="GN222" s="1095">
        <f t="shared" si="467"/>
        <v>17805.952011468573</v>
      </c>
      <c r="GO222" s="1098">
        <f t="shared" si="468"/>
        <v>0.875</v>
      </c>
      <c r="GP222" s="1095">
        <f t="shared" si="469"/>
        <v>3824608.2583281202</v>
      </c>
      <c r="GQ222" s="1095">
        <f t="shared" si="470"/>
        <v>29652.147118409492</v>
      </c>
      <c r="GR222" s="1095">
        <f t="shared" si="471"/>
        <v>34376.660275209768</v>
      </c>
      <c r="GS222" s="1095">
        <f t="shared" si="472"/>
        <v>44406.94484814685</v>
      </c>
      <c r="GT222" s="1095">
        <f t="shared" si="473"/>
        <v>75731.827462215559</v>
      </c>
      <c r="GU222" s="497"/>
      <c r="GV222" s="1095">
        <f t="shared" si="563"/>
        <v>4370980.8666607086</v>
      </c>
      <c r="GW222" s="1098">
        <f t="shared" si="564"/>
        <v>0.125</v>
      </c>
      <c r="GX222" s="1095">
        <f t="shared" si="565"/>
        <v>546372.60833258857</v>
      </c>
      <c r="GY222" s="1095">
        <f t="shared" si="566"/>
        <v>30000</v>
      </c>
      <c r="GZ222" s="1095">
        <f t="shared" si="567"/>
        <v>516372.60833258857</v>
      </c>
      <c r="HA222" s="1106">
        <f t="shared" si="568"/>
        <v>48</v>
      </c>
      <c r="HB222" s="770">
        <f t="shared" si="569"/>
        <v>10757.762673595595</v>
      </c>
      <c r="HC222" s="1098">
        <f t="shared" si="570"/>
        <v>0.875</v>
      </c>
      <c r="HD222" s="1102">
        <f t="shared" si="571"/>
        <v>3824608.2583281202</v>
      </c>
      <c r="HE222" s="1101">
        <f t="shared" si="572"/>
        <v>29652.147118409492</v>
      </c>
      <c r="HF222" s="1101">
        <f t="shared" si="573"/>
        <v>34376.660275209768</v>
      </c>
      <c r="HG222" s="1101">
        <f t="shared" si="574"/>
        <v>44406.94484814685</v>
      </c>
      <c r="HH222" s="1101">
        <f t="shared" si="575"/>
        <v>75731.827462215559</v>
      </c>
      <c r="HI222" s="497"/>
      <c r="HJ222" s="1102">
        <f t="shared" si="576"/>
        <v>-7048.1893378729783</v>
      </c>
      <c r="HL222" s="775"/>
      <c r="HN222" s="775"/>
      <c r="HO222" s="775"/>
      <c r="HQ222" s="702"/>
      <c r="HR222" s="1171"/>
      <c r="HS222" s="702"/>
      <c r="HT222" s="1171"/>
    </row>
    <row r="223" spans="1:228" ht="14.25" hidden="1" customHeight="1">
      <c r="A223" s="753">
        <f t="shared" si="577"/>
        <v>217</v>
      </c>
      <c r="B223" s="753"/>
      <c r="C223" s="753">
        <f t="shared" si="459"/>
        <v>31</v>
      </c>
      <c r="D223" s="753" t="s">
        <v>275</v>
      </c>
      <c r="E223" s="717" t="str">
        <f t="shared" si="497"/>
        <v>9th Floor</v>
      </c>
      <c r="F223" s="754"/>
      <c r="G223" s="756" t="s">
        <v>648</v>
      </c>
      <c r="H223" s="756"/>
      <c r="I223" s="755" t="s">
        <v>229</v>
      </c>
      <c r="J223" s="757">
        <v>22</v>
      </c>
      <c r="K223" s="758"/>
      <c r="L223" s="759" t="s">
        <v>277</v>
      </c>
      <c r="M223" s="760" t="s">
        <v>278</v>
      </c>
      <c r="N223" s="761">
        <f t="shared" si="498"/>
        <v>106005.26567735759</v>
      </c>
      <c r="O223" s="762">
        <f t="shared" si="499"/>
        <v>2332115.8449018667</v>
      </c>
      <c r="P223" s="762">
        <f t="shared" si="500"/>
        <v>22400</v>
      </c>
      <c r="Q223" s="762">
        <f t="shared" si="474"/>
        <v>50000</v>
      </c>
      <c r="R223" s="762"/>
      <c r="S223" s="762"/>
      <c r="T223" s="762"/>
      <c r="U223" s="762"/>
      <c r="V223" s="762"/>
      <c r="W223" s="762">
        <f>J223*$W$5</f>
        <v>22000</v>
      </c>
      <c r="X223" s="762"/>
      <c r="Y223" s="762">
        <f t="shared" si="460"/>
        <v>100000</v>
      </c>
      <c r="Z223" s="762">
        <f t="shared" si="475"/>
        <v>142461</v>
      </c>
      <c r="AA223" s="762"/>
      <c r="AB223" s="762"/>
      <c r="AC223" s="762"/>
      <c r="AD223" s="763">
        <f t="shared" si="501"/>
        <v>336861</v>
      </c>
      <c r="AE223" s="763">
        <f t="shared" si="476"/>
        <v>2668976.8449018667</v>
      </c>
      <c r="AF223" s="762">
        <f t="shared" si="477"/>
        <v>66724.421122546672</v>
      </c>
      <c r="AG223" s="762">
        <f t="shared" si="502"/>
        <v>2735701.2660244135</v>
      </c>
      <c r="AH223" s="762">
        <f t="shared" si="478"/>
        <v>68392.531650610341</v>
      </c>
      <c r="AI223" s="762">
        <f t="shared" si="503"/>
        <v>2804093.7976750238</v>
      </c>
      <c r="AJ223" s="762">
        <f t="shared" si="504"/>
        <v>140204.68988375118</v>
      </c>
      <c r="AK223" s="762">
        <f t="shared" si="505"/>
        <v>2944298.4875587751</v>
      </c>
      <c r="AL223" s="762">
        <f t="shared" si="506"/>
        <v>29442.98487558775</v>
      </c>
      <c r="AM223" s="762">
        <f t="shared" si="507"/>
        <v>27537.409960060559</v>
      </c>
      <c r="AN223" s="762"/>
      <c r="AO223" s="763">
        <f t="shared" si="508"/>
        <v>3001278.8823944232</v>
      </c>
      <c r="AP223" s="763">
        <f t="shared" si="509"/>
        <v>495211.01559507987</v>
      </c>
      <c r="AQ223" s="763">
        <f t="shared" si="510"/>
        <v>3496489.8979895031</v>
      </c>
      <c r="AR223" s="1178">
        <f t="shared" si="479"/>
        <v>3000000</v>
      </c>
      <c r="AS223" s="1178">
        <f t="shared" si="511"/>
        <v>22567.722635886505</v>
      </c>
      <c r="AT223" s="1178">
        <f t="shared" si="512"/>
        <v>496489.89798950311</v>
      </c>
      <c r="AU223" s="1178">
        <f t="shared" si="480"/>
        <v>59578.787758740371</v>
      </c>
      <c r="AV223" s="1178">
        <f t="shared" si="513"/>
        <v>556068.68574824347</v>
      </c>
      <c r="AW223" s="1178">
        <f t="shared" si="514"/>
        <v>3556068.6857482437</v>
      </c>
      <c r="AX223" s="762">
        <f t="shared" si="515"/>
        <v>44450.858571853052</v>
      </c>
      <c r="AY223" s="717" t="s">
        <v>231</v>
      </c>
      <c r="AZ223" s="717">
        <f t="shared" si="516"/>
        <v>3600519.5443200967</v>
      </c>
      <c r="BA223" s="717">
        <f t="shared" si="517"/>
        <v>135019.48291200362</v>
      </c>
      <c r="BB223" s="717"/>
      <c r="BC223" s="717">
        <f t="shared" si="481"/>
        <v>33600</v>
      </c>
      <c r="BD223" s="717">
        <f t="shared" si="518"/>
        <v>3769139.0272321003</v>
      </c>
      <c r="BE223" s="717"/>
      <c r="BF223" s="717">
        <f t="shared" si="519"/>
        <v>3769139.0272321003</v>
      </c>
      <c r="BG223" s="1209"/>
      <c r="BH223" s="717">
        <f t="shared" si="520"/>
        <v>3769139.0272321003</v>
      </c>
      <c r="BI223" s="717"/>
      <c r="BJ223" s="717">
        <f t="shared" si="521"/>
        <v>3769139.0272321003</v>
      </c>
      <c r="BK223" s="717"/>
      <c r="BL223" s="717">
        <f t="shared" si="522"/>
        <v>3769139.0272321003</v>
      </c>
      <c r="BM223" s="717"/>
      <c r="BN223" s="717">
        <f t="shared" si="523"/>
        <v>3769139.0272321003</v>
      </c>
      <c r="BO223" s="717"/>
      <c r="BP223" s="717">
        <f t="shared" si="482"/>
        <v>3769139.0272321003</v>
      </c>
      <c r="BQ223" s="717"/>
      <c r="BR223" s="717">
        <f t="shared" si="584"/>
        <v>3769139.0272321003</v>
      </c>
      <c r="BS223" s="717"/>
      <c r="BT223" s="717">
        <f t="shared" si="524"/>
        <v>3769139.0272321003</v>
      </c>
      <c r="BU223" s="717"/>
      <c r="BV223" s="1235">
        <f t="shared" si="585"/>
        <v>51400</v>
      </c>
      <c r="BW223" s="717">
        <f t="shared" si="525"/>
        <v>3820539.0272321003</v>
      </c>
      <c r="BX223" s="717"/>
      <c r="BY223" s="717">
        <f t="shared" si="526"/>
        <v>3820539.0272321003</v>
      </c>
      <c r="BZ223" s="1194">
        <f t="shared" si="527"/>
        <v>3820539.0272321003</v>
      </c>
      <c r="CA223" s="1194">
        <f t="shared" si="528"/>
        <v>3039539.0272321003</v>
      </c>
      <c r="CB223" s="1194">
        <v>35500</v>
      </c>
      <c r="CC223" s="1194">
        <f t="shared" si="529"/>
        <v>781000</v>
      </c>
      <c r="CD223" s="1194">
        <f t="shared" si="530"/>
        <v>93720</v>
      </c>
      <c r="CE223" s="1194">
        <f t="shared" si="531"/>
        <v>874720</v>
      </c>
      <c r="CF223" s="1200">
        <f t="shared" si="532"/>
        <v>3914259.0272321003</v>
      </c>
      <c r="CG223" s="757">
        <f t="shared" si="533"/>
        <v>3914259.0272321003</v>
      </c>
      <c r="CH223" s="758">
        <f t="shared" si="534"/>
        <v>0</v>
      </c>
      <c r="CI223" s="757">
        <f t="shared" si="483"/>
        <v>401211.55029129027</v>
      </c>
      <c r="CJ223" s="757">
        <f t="shared" si="484"/>
        <v>97856.475680802512</v>
      </c>
      <c r="CK223" s="759">
        <f t="shared" si="444"/>
        <v>4413327.0532041937</v>
      </c>
      <c r="CL223" s="764">
        <f t="shared" si="535"/>
        <v>0.125</v>
      </c>
      <c r="CM223" s="757">
        <f t="shared" si="536"/>
        <v>551665.88165052421</v>
      </c>
      <c r="CN223" s="757">
        <f t="shared" si="578"/>
        <v>30000</v>
      </c>
      <c r="CO223" s="757">
        <f t="shared" si="537"/>
        <v>521665.88165052421</v>
      </c>
      <c r="CP223" s="755">
        <f t="shared" si="538"/>
        <v>29</v>
      </c>
      <c r="CQ223" s="757">
        <f t="shared" si="581"/>
        <v>17988.478677604282</v>
      </c>
      <c r="CR223" s="764">
        <f t="shared" si="539"/>
        <v>0.875</v>
      </c>
      <c r="CS223" s="757">
        <f t="shared" si="540"/>
        <v>3861661.1715536695</v>
      </c>
      <c r="CT223" s="1101">
        <f t="shared" si="541"/>
        <v>29939.417960262963</v>
      </c>
      <c r="CU223" s="1101">
        <f t="shared" si="542"/>
        <v>34709.702334455425</v>
      </c>
      <c r="CV223" s="1101">
        <f t="shared" si="543"/>
        <v>44837.160588670667</v>
      </c>
      <c r="CW223" s="1141">
        <f t="shared" si="485"/>
        <v>76465.519553492995</v>
      </c>
      <c r="CX223" s="1152">
        <f t="shared" si="544"/>
        <v>313695.01131050492</v>
      </c>
      <c r="CY223" s="1152">
        <f t="shared" si="545"/>
        <v>124127.58787943407</v>
      </c>
      <c r="CZ223" s="1152">
        <f t="shared" si="546"/>
        <v>89655.598682132651</v>
      </c>
      <c r="DA223" s="1152">
        <f t="shared" si="547"/>
        <v>68232.038127688167</v>
      </c>
      <c r="DB223" s="1143">
        <f t="shared" si="486"/>
        <v>0.16549663266316769</v>
      </c>
      <c r="DC223" s="1143">
        <f t="shared" si="548"/>
        <v>0.28778047992249256</v>
      </c>
      <c r="DD223" s="1098" t="s">
        <v>232</v>
      </c>
      <c r="DE223" s="1144"/>
      <c r="DF223" s="705"/>
      <c r="DG223" s="765">
        <f t="shared" si="579"/>
        <v>46082</v>
      </c>
      <c r="DH223" s="1116">
        <f t="shared" si="487"/>
        <v>28</v>
      </c>
      <c r="DI223" s="497"/>
      <c r="DJ223" s="1117">
        <f t="shared" si="549"/>
        <v>46147</v>
      </c>
      <c r="DK223" s="1116">
        <f t="shared" si="550"/>
        <v>30</v>
      </c>
      <c r="DL223" s="766" t="s">
        <v>233</v>
      </c>
      <c r="DM223" s="766" t="s">
        <v>234</v>
      </c>
      <c r="DN223" s="767">
        <f t="shared" si="488"/>
        <v>25275.849352192887</v>
      </c>
      <c r="DO223" s="767">
        <f t="shared" si="489"/>
        <v>556068.68574824347</v>
      </c>
      <c r="DP223" s="768">
        <f t="shared" si="490"/>
        <v>0.18535622858274783</v>
      </c>
      <c r="DR223" s="767">
        <f t="shared" si="491"/>
        <v>3914259.0272321003</v>
      </c>
      <c r="DS223" s="767">
        <f>SUM('[6]INTERNAL PRICELIST'!M223)</f>
        <v>0</v>
      </c>
      <c r="DT223" s="767">
        <f t="shared" si="551"/>
        <v>3914259.0272321003</v>
      </c>
      <c r="DV223" s="951">
        <f t="shared" si="492"/>
        <v>177920.86487418637</v>
      </c>
      <c r="DX223" s="781"/>
      <c r="DY223" s="782"/>
      <c r="DZ223" s="781"/>
      <c r="EA223" s="775"/>
      <c r="ED223" s="755" t="s">
        <v>648</v>
      </c>
      <c r="EE223" s="777" t="b">
        <f t="shared" si="493"/>
        <v>1</v>
      </c>
      <c r="EF223" s="777"/>
      <c r="EG223" s="777"/>
      <c r="EH223" s="1203"/>
      <c r="EP223" s="1230" t="s">
        <v>236</v>
      </c>
      <c r="EQ223" s="1145" t="s">
        <v>236</v>
      </c>
      <c r="ER223" s="753" t="b">
        <f t="shared" si="552"/>
        <v>1</v>
      </c>
      <c r="EU223" s="770">
        <v>3136128.9324007286</v>
      </c>
      <c r="EV223" s="771" t="s">
        <v>258</v>
      </c>
      <c r="EW223" s="775">
        <f t="shared" si="586"/>
        <v>-778130.09483137168</v>
      </c>
      <c r="EY223" s="775">
        <v>3102714.1170802992</v>
      </c>
      <c r="FJ223" s="994">
        <v>0.15</v>
      </c>
      <c r="FK223" s="993">
        <v>13497.690681661887</v>
      </c>
      <c r="FL223" s="993">
        <v>13862.493132517613</v>
      </c>
      <c r="FM223" s="497"/>
      <c r="FN223" s="993">
        <f t="shared" si="494"/>
        <v>4413327.0532041937</v>
      </c>
      <c r="FO223" s="994">
        <f t="shared" si="590"/>
        <v>0.15</v>
      </c>
      <c r="FP223" s="775">
        <f t="shared" si="495"/>
        <v>661999.05798062903</v>
      </c>
      <c r="FQ223" s="993">
        <f t="shared" si="496"/>
        <v>30000</v>
      </c>
      <c r="FR223" s="775">
        <f t="shared" si="554"/>
        <v>631999.05798062903</v>
      </c>
      <c r="FS223" s="497">
        <f t="shared" si="555"/>
        <v>40</v>
      </c>
      <c r="FT223" s="775">
        <f t="shared" si="556"/>
        <v>15799.976449515725</v>
      </c>
      <c r="FU223" s="497"/>
      <c r="FV223" s="993">
        <f t="shared" si="557"/>
        <v>4413327.0532041937</v>
      </c>
      <c r="FW223" s="705">
        <f t="shared" si="558"/>
        <v>441332.70532041939</v>
      </c>
      <c r="FX223" s="705">
        <f t="shared" si="559"/>
        <v>110333.17633010485</v>
      </c>
      <c r="FY223" s="705">
        <v>15000</v>
      </c>
      <c r="FZ223" s="705">
        <f t="shared" si="560"/>
        <v>426332.70532041939</v>
      </c>
      <c r="GA223" s="497">
        <f t="shared" si="561"/>
        <v>46</v>
      </c>
      <c r="GB223" s="775">
        <f t="shared" si="562"/>
        <v>9268.1022895743354</v>
      </c>
      <c r="GC223" s="497"/>
      <c r="GD223" s="497"/>
      <c r="GH223" s="1095">
        <f t="shared" si="461"/>
        <v>4413327.0532041937</v>
      </c>
      <c r="GI223" s="1098">
        <f t="shared" si="462"/>
        <v>0.125</v>
      </c>
      <c r="GJ223" s="1095">
        <f t="shared" si="463"/>
        <v>551665.88165052421</v>
      </c>
      <c r="GK223" s="1095">
        <f t="shared" si="464"/>
        <v>30000</v>
      </c>
      <c r="GL223" s="1095">
        <f t="shared" si="465"/>
        <v>521665.88165052421</v>
      </c>
      <c r="GM223" s="1095">
        <f t="shared" si="466"/>
        <v>29</v>
      </c>
      <c r="GN223" s="1095">
        <f t="shared" si="467"/>
        <v>17988.478677604282</v>
      </c>
      <c r="GO223" s="1098">
        <f t="shared" si="468"/>
        <v>0.875</v>
      </c>
      <c r="GP223" s="1095">
        <f t="shared" si="469"/>
        <v>3861661.1715536695</v>
      </c>
      <c r="GQ223" s="1095">
        <f t="shared" si="470"/>
        <v>29939.417960262963</v>
      </c>
      <c r="GR223" s="1095">
        <f t="shared" si="471"/>
        <v>34709.702334455425</v>
      </c>
      <c r="GS223" s="1095">
        <f t="shared" si="472"/>
        <v>44837.160588670667</v>
      </c>
      <c r="GT223" s="1095">
        <f t="shared" si="473"/>
        <v>76465.519553492995</v>
      </c>
      <c r="GU223" s="497"/>
      <c r="GV223" s="1095">
        <f t="shared" si="563"/>
        <v>4413327.0532041937</v>
      </c>
      <c r="GW223" s="1098">
        <f t="shared" si="564"/>
        <v>0.125</v>
      </c>
      <c r="GX223" s="1095">
        <f t="shared" si="565"/>
        <v>551665.88165052421</v>
      </c>
      <c r="GY223" s="1095">
        <f t="shared" si="566"/>
        <v>30000</v>
      </c>
      <c r="GZ223" s="1095">
        <f t="shared" si="567"/>
        <v>521665.88165052421</v>
      </c>
      <c r="HA223" s="1106">
        <f t="shared" si="568"/>
        <v>48</v>
      </c>
      <c r="HB223" s="770">
        <f t="shared" si="569"/>
        <v>10868.039201052588</v>
      </c>
      <c r="HC223" s="1098">
        <f t="shared" si="570"/>
        <v>0.875</v>
      </c>
      <c r="HD223" s="1102">
        <f t="shared" si="571"/>
        <v>3861661.1715536695</v>
      </c>
      <c r="HE223" s="1101">
        <f t="shared" si="572"/>
        <v>29939.417960262963</v>
      </c>
      <c r="HF223" s="1101">
        <f t="shared" si="573"/>
        <v>34709.702334455425</v>
      </c>
      <c r="HG223" s="1101">
        <f t="shared" si="574"/>
        <v>44837.160588670667</v>
      </c>
      <c r="HH223" s="1101">
        <f t="shared" si="575"/>
        <v>76465.519553492995</v>
      </c>
      <c r="HI223" s="497"/>
      <c r="HJ223" s="1102">
        <f t="shared" si="576"/>
        <v>-7120.4394765516936</v>
      </c>
      <c r="HL223" s="775"/>
      <c r="HN223" s="775"/>
      <c r="HO223" s="775"/>
      <c r="HQ223" s="702"/>
      <c r="HR223" s="1171"/>
      <c r="HS223" s="702"/>
      <c r="HT223" s="1171"/>
    </row>
    <row r="224" spans="1:228" ht="14.25" hidden="1" customHeight="1">
      <c r="A224" s="753">
        <f t="shared" si="577"/>
        <v>218</v>
      </c>
      <c r="B224" s="753"/>
      <c r="C224" s="753">
        <v>1</v>
      </c>
      <c r="D224" s="753" t="s">
        <v>281</v>
      </c>
      <c r="E224" s="717" t="str">
        <f t="shared" si="497"/>
        <v>10th Floor</v>
      </c>
      <c r="F224" s="754"/>
      <c r="G224" s="756" t="s">
        <v>649</v>
      </c>
      <c r="H224" s="756"/>
      <c r="I224" s="755" t="s">
        <v>229</v>
      </c>
      <c r="J224" s="757">
        <v>22</v>
      </c>
      <c r="K224" s="758"/>
      <c r="L224" s="759" t="s">
        <v>69</v>
      </c>
      <c r="M224" s="760" t="s">
        <v>230</v>
      </c>
      <c r="N224" s="761">
        <f t="shared" si="498"/>
        <v>106005.26567735759</v>
      </c>
      <c r="O224" s="762">
        <f t="shared" si="499"/>
        <v>2332115.8449018667</v>
      </c>
      <c r="P224" s="762">
        <f t="shared" si="500"/>
        <v>22400</v>
      </c>
      <c r="Q224" s="762">
        <f t="shared" si="474"/>
        <v>50000</v>
      </c>
      <c r="R224" s="762"/>
      <c r="S224" s="762"/>
      <c r="T224" s="762"/>
      <c r="U224" s="762"/>
      <c r="V224" s="762">
        <f>J224*$V$5</f>
        <v>55000</v>
      </c>
      <c r="W224" s="762"/>
      <c r="X224" s="762"/>
      <c r="Y224" s="762">
        <f>Y223+Y5</f>
        <v>120000</v>
      </c>
      <c r="Z224" s="762">
        <f t="shared" si="475"/>
        <v>142461</v>
      </c>
      <c r="AA224" s="762"/>
      <c r="AB224" s="762"/>
      <c r="AC224" s="762"/>
      <c r="AD224" s="763">
        <f t="shared" si="501"/>
        <v>389861</v>
      </c>
      <c r="AE224" s="763">
        <f t="shared" si="476"/>
        <v>2721976.8449018667</v>
      </c>
      <c r="AF224" s="762">
        <f t="shared" si="477"/>
        <v>68049.421122546672</v>
      </c>
      <c r="AG224" s="762">
        <f t="shared" si="502"/>
        <v>2790026.2660244135</v>
      </c>
      <c r="AH224" s="762">
        <f t="shared" si="478"/>
        <v>69750.656650610341</v>
      </c>
      <c r="AI224" s="762">
        <f t="shared" si="503"/>
        <v>2859776.9226750238</v>
      </c>
      <c r="AJ224" s="762">
        <f t="shared" si="504"/>
        <v>142988.84613375118</v>
      </c>
      <c r="AK224" s="762">
        <f t="shared" si="505"/>
        <v>3002765.7688087751</v>
      </c>
      <c r="AL224" s="762">
        <f t="shared" si="506"/>
        <v>30027.657688087751</v>
      </c>
      <c r="AM224" s="762">
        <f t="shared" si="507"/>
        <v>27537.409960060559</v>
      </c>
      <c r="AN224" s="762"/>
      <c r="AO224" s="763">
        <f t="shared" si="508"/>
        <v>3060330.8364569233</v>
      </c>
      <c r="AP224" s="763">
        <f t="shared" si="509"/>
        <v>504954.58801539236</v>
      </c>
      <c r="AQ224" s="763">
        <f t="shared" si="510"/>
        <v>3565285.4244723157</v>
      </c>
      <c r="AR224" s="1178">
        <f t="shared" si="479"/>
        <v>3000000</v>
      </c>
      <c r="AS224" s="1178">
        <f t="shared" si="511"/>
        <v>25694.792021468897</v>
      </c>
      <c r="AT224" s="1178">
        <f t="shared" si="512"/>
        <v>565285.4244723157</v>
      </c>
      <c r="AU224" s="1178">
        <f t="shared" si="480"/>
        <v>67834.250936677883</v>
      </c>
      <c r="AV224" s="1178">
        <f t="shared" si="513"/>
        <v>633119.67540899361</v>
      </c>
      <c r="AW224" s="1178">
        <f t="shared" si="514"/>
        <v>3633119.6754089934</v>
      </c>
      <c r="AX224" s="762">
        <f t="shared" si="515"/>
        <v>45413.995942612419</v>
      </c>
      <c r="AY224" s="717" t="s">
        <v>231</v>
      </c>
      <c r="AZ224" s="717">
        <f t="shared" si="516"/>
        <v>3678533.671351606</v>
      </c>
      <c r="BA224" s="717">
        <f t="shared" si="517"/>
        <v>137945.01267568523</v>
      </c>
      <c r="BB224" s="717"/>
      <c r="BC224" s="717">
        <f t="shared" si="481"/>
        <v>33600</v>
      </c>
      <c r="BD224" s="717">
        <f t="shared" si="518"/>
        <v>3850078.6840272914</v>
      </c>
      <c r="BE224" s="717"/>
      <c r="BF224" s="717">
        <f t="shared" si="519"/>
        <v>3850078.6840272914</v>
      </c>
      <c r="BG224" s="1209"/>
      <c r="BH224" s="717">
        <f t="shared" si="520"/>
        <v>3850078.6840272914</v>
      </c>
      <c r="BI224" s="717"/>
      <c r="BJ224" s="717">
        <f t="shared" si="521"/>
        <v>3850078.6840272914</v>
      </c>
      <c r="BK224" s="717"/>
      <c r="BL224" s="717">
        <f t="shared" si="522"/>
        <v>3850078.6840272914</v>
      </c>
      <c r="BM224" s="717"/>
      <c r="BN224" s="717">
        <f t="shared" si="523"/>
        <v>3850078.6840272914</v>
      </c>
      <c r="BO224" s="717"/>
      <c r="BP224" s="717">
        <f t="shared" si="482"/>
        <v>3850078.6840272914</v>
      </c>
      <c r="BQ224" s="717"/>
      <c r="BR224" s="717">
        <f t="shared" si="584"/>
        <v>3850078.6840272914</v>
      </c>
      <c r="BS224" s="717"/>
      <c r="BT224" s="717">
        <f t="shared" si="524"/>
        <v>3850078.6840272914</v>
      </c>
      <c r="BU224" s="717"/>
      <c r="BV224" s="1235">
        <f t="shared" si="585"/>
        <v>51400</v>
      </c>
      <c r="BW224" s="717">
        <f t="shared" si="525"/>
        <v>3901478.6840272914</v>
      </c>
      <c r="BX224" s="717"/>
      <c r="BY224" s="717">
        <f t="shared" si="526"/>
        <v>3901478.6840272914</v>
      </c>
      <c r="BZ224" s="1194">
        <f t="shared" si="527"/>
        <v>3901478.6840272914</v>
      </c>
      <c r="CA224" s="1194">
        <f t="shared" si="528"/>
        <v>3021478.6840272914</v>
      </c>
      <c r="CB224" s="1194">
        <v>40000</v>
      </c>
      <c r="CC224" s="1194">
        <f t="shared" si="529"/>
        <v>880000</v>
      </c>
      <c r="CD224" s="1194">
        <f t="shared" si="530"/>
        <v>105600</v>
      </c>
      <c r="CE224" s="1194">
        <f t="shared" si="531"/>
        <v>985600</v>
      </c>
      <c r="CF224" s="1200">
        <f t="shared" si="532"/>
        <v>4007078.6840272914</v>
      </c>
      <c r="CG224" s="757">
        <f t="shared" si="533"/>
        <v>4007078.6840272914</v>
      </c>
      <c r="CH224" s="758">
        <f t="shared" si="534"/>
        <v>0</v>
      </c>
      <c r="CI224" s="757">
        <f t="shared" si="483"/>
        <v>410725.56511279737</v>
      </c>
      <c r="CJ224" s="757">
        <f t="shared" si="484"/>
        <v>100176.96710068229</v>
      </c>
      <c r="CK224" s="759">
        <f t="shared" si="444"/>
        <v>4517981.2162407711</v>
      </c>
      <c r="CL224" s="764">
        <f t="shared" si="535"/>
        <v>0.125</v>
      </c>
      <c r="CM224" s="757">
        <f t="shared" si="536"/>
        <v>564747.65203009639</v>
      </c>
      <c r="CN224" s="757">
        <f t="shared" si="578"/>
        <v>30000</v>
      </c>
      <c r="CO224" s="757">
        <f t="shared" si="537"/>
        <v>534747.65203009639</v>
      </c>
      <c r="CP224" s="755">
        <f t="shared" si="538"/>
        <v>29</v>
      </c>
      <c r="CQ224" s="757">
        <f t="shared" si="581"/>
        <v>18439.574207934358</v>
      </c>
      <c r="CR224" s="764">
        <f t="shared" si="539"/>
        <v>0.875</v>
      </c>
      <c r="CS224" s="757">
        <f t="shared" si="540"/>
        <v>3953233.5642106747</v>
      </c>
      <c r="CT224" s="1101">
        <f t="shared" si="541"/>
        <v>30649.377745853461</v>
      </c>
      <c r="CU224" s="1101">
        <f t="shared" si="542"/>
        <v>35532.780887952576</v>
      </c>
      <c r="CV224" s="1101">
        <f t="shared" si="543"/>
        <v>45900.393713652222</v>
      </c>
      <c r="CW224" s="1141">
        <f t="shared" si="485"/>
        <v>78278.762681309207</v>
      </c>
      <c r="CX224" s="1152">
        <f t="shared" si="544"/>
        <v>321133.72783019172</v>
      </c>
      <c r="CY224" s="1152">
        <f t="shared" si="545"/>
        <v>127071.05177020554</v>
      </c>
      <c r="CZ224" s="1152">
        <f t="shared" si="546"/>
        <v>91781.620961584995</v>
      </c>
      <c r="DA224" s="1152">
        <f t="shared" si="547"/>
        <v>69850.038959362006</v>
      </c>
      <c r="DB224" s="1143">
        <f t="shared" si="486"/>
        <v>0.18842847482410524</v>
      </c>
      <c r="DC224" s="1143">
        <f t="shared" si="548"/>
        <v>0.32619789946236061</v>
      </c>
      <c r="DD224" s="1098" t="s">
        <v>232</v>
      </c>
      <c r="DE224" s="1144"/>
      <c r="DF224" s="705"/>
      <c r="DG224" s="765">
        <f t="shared" si="579"/>
        <v>46082</v>
      </c>
      <c r="DH224" s="1116">
        <f t="shared" si="487"/>
        <v>28</v>
      </c>
      <c r="DI224" s="497"/>
      <c r="DJ224" s="1117">
        <f t="shared" si="549"/>
        <v>46147</v>
      </c>
      <c r="DK224" s="1116">
        <f t="shared" si="550"/>
        <v>30</v>
      </c>
      <c r="DL224" s="766" t="s">
        <v>233</v>
      </c>
      <c r="DM224" s="766" t="s">
        <v>234</v>
      </c>
      <c r="DN224" s="767">
        <f t="shared" si="488"/>
        <v>28778.167064045163</v>
      </c>
      <c r="DO224" s="767">
        <f t="shared" si="489"/>
        <v>633119.67540899361</v>
      </c>
      <c r="DP224" s="768">
        <f t="shared" si="490"/>
        <v>0.21103989180299787</v>
      </c>
      <c r="DR224" s="767">
        <f t="shared" si="491"/>
        <v>4007078.6840272914</v>
      </c>
      <c r="DS224" s="767">
        <f>SUM('[6]INTERNAL PRICELIST'!M224)</f>
        <v>0</v>
      </c>
      <c r="DT224" s="767">
        <f t="shared" si="551"/>
        <v>4007078.6840272914</v>
      </c>
      <c r="DV224" s="951">
        <f t="shared" si="492"/>
        <v>182139.9401830587</v>
      </c>
      <c r="DX224" s="781"/>
      <c r="DY224" s="782"/>
      <c r="DZ224" s="781"/>
      <c r="EA224" s="775"/>
      <c r="ED224" s="1133" t="s">
        <v>649</v>
      </c>
      <c r="EE224" s="777" t="b">
        <f t="shared" si="493"/>
        <v>1</v>
      </c>
      <c r="EF224" s="777"/>
      <c r="EG224" s="777"/>
      <c r="EH224" s="1203"/>
      <c r="EP224" s="1230" t="s">
        <v>236</v>
      </c>
      <c r="EQ224" s="1145" t="s">
        <v>236</v>
      </c>
      <c r="ER224" s="753" t="b">
        <f t="shared" si="552"/>
        <v>1</v>
      </c>
      <c r="EU224" s="770">
        <v>3260818.0978750587</v>
      </c>
      <c r="EV224" s="771" t="s">
        <v>258</v>
      </c>
      <c r="EW224" s="775">
        <f t="shared" si="586"/>
        <v>-746260.58615223272</v>
      </c>
      <c r="EY224" s="775">
        <v>3226299.9284275831</v>
      </c>
      <c r="FJ224" s="994">
        <v>0.15</v>
      </c>
      <c r="FK224" s="993">
        <v>14045.154144209066</v>
      </c>
      <c r="FL224" s="993">
        <v>14424.752904863364</v>
      </c>
      <c r="FM224" s="497"/>
      <c r="FN224" s="993">
        <f t="shared" si="494"/>
        <v>4517981.2162407711</v>
      </c>
      <c r="FO224" s="994">
        <f t="shared" si="553"/>
        <v>0.15</v>
      </c>
      <c r="FP224" s="775">
        <f t="shared" si="495"/>
        <v>677697.18243611569</v>
      </c>
      <c r="FQ224" s="993">
        <f t="shared" si="496"/>
        <v>30000</v>
      </c>
      <c r="FR224" s="775">
        <f t="shared" si="554"/>
        <v>647697.18243611569</v>
      </c>
      <c r="FS224" s="497">
        <f t="shared" si="555"/>
        <v>40</v>
      </c>
      <c r="FT224" s="775">
        <f t="shared" si="556"/>
        <v>16192.429560902892</v>
      </c>
      <c r="FU224" s="497"/>
      <c r="FV224" s="993">
        <f t="shared" si="557"/>
        <v>4517981.2162407711</v>
      </c>
      <c r="FW224" s="705">
        <f t="shared" si="558"/>
        <v>451798.12162407715</v>
      </c>
      <c r="FX224" s="705">
        <f t="shared" si="559"/>
        <v>112949.53040601929</v>
      </c>
      <c r="FY224" s="705">
        <v>15000</v>
      </c>
      <c r="FZ224" s="705">
        <f t="shared" si="560"/>
        <v>436798.12162407715</v>
      </c>
      <c r="GA224" s="497">
        <f t="shared" si="561"/>
        <v>46</v>
      </c>
      <c r="GB224" s="775">
        <f t="shared" si="562"/>
        <v>9495.6113396538512</v>
      </c>
      <c r="GC224" s="497"/>
      <c r="GD224" s="497"/>
      <c r="GH224" s="1095">
        <f t="shared" si="461"/>
        <v>4517981.2162407711</v>
      </c>
      <c r="GI224" s="1098">
        <f t="shared" si="462"/>
        <v>0.125</v>
      </c>
      <c r="GJ224" s="1095">
        <f t="shared" si="463"/>
        <v>564747.65203009639</v>
      </c>
      <c r="GK224" s="1095">
        <f t="shared" si="464"/>
        <v>30000</v>
      </c>
      <c r="GL224" s="1095">
        <f t="shared" si="465"/>
        <v>534747.65203009639</v>
      </c>
      <c r="GM224" s="1095">
        <f t="shared" si="466"/>
        <v>29</v>
      </c>
      <c r="GN224" s="1095">
        <f t="shared" si="467"/>
        <v>18439.574207934358</v>
      </c>
      <c r="GO224" s="1098">
        <f t="shared" si="468"/>
        <v>0.875</v>
      </c>
      <c r="GP224" s="1095">
        <f t="shared" si="469"/>
        <v>3953233.5642106747</v>
      </c>
      <c r="GQ224" s="1095">
        <f t="shared" si="470"/>
        <v>30649.377745853461</v>
      </c>
      <c r="GR224" s="1095">
        <f t="shared" si="471"/>
        <v>35532.780887952576</v>
      </c>
      <c r="GS224" s="1095">
        <f t="shared" si="472"/>
        <v>45900.393713652222</v>
      </c>
      <c r="GT224" s="1095">
        <f t="shared" si="473"/>
        <v>78278.762681309207</v>
      </c>
      <c r="GU224" s="497"/>
      <c r="GV224" s="1095">
        <f t="shared" si="563"/>
        <v>4517981.2162407711</v>
      </c>
      <c r="GW224" s="1098">
        <f t="shared" si="564"/>
        <v>0.125</v>
      </c>
      <c r="GX224" s="1095">
        <f t="shared" si="565"/>
        <v>564747.65203009639</v>
      </c>
      <c r="GY224" s="1095">
        <f t="shared" si="566"/>
        <v>30000</v>
      </c>
      <c r="GZ224" s="1095">
        <f t="shared" si="567"/>
        <v>534747.65203009639</v>
      </c>
      <c r="HA224" s="1106">
        <f t="shared" si="568"/>
        <v>48</v>
      </c>
      <c r="HB224" s="770">
        <f t="shared" si="569"/>
        <v>11140.576083960341</v>
      </c>
      <c r="HC224" s="1098">
        <f t="shared" si="570"/>
        <v>0.875</v>
      </c>
      <c r="HD224" s="1102">
        <f t="shared" si="571"/>
        <v>3953233.5642106747</v>
      </c>
      <c r="HE224" s="1101">
        <f t="shared" si="572"/>
        <v>30649.377745853461</v>
      </c>
      <c r="HF224" s="1101">
        <f t="shared" si="573"/>
        <v>35532.780887952576</v>
      </c>
      <c r="HG224" s="1101">
        <f t="shared" si="574"/>
        <v>45900.393713652222</v>
      </c>
      <c r="HH224" s="1101">
        <f t="shared" si="575"/>
        <v>78278.762681309207</v>
      </c>
      <c r="HI224" s="497"/>
      <c r="HJ224" s="1102">
        <f t="shared" si="576"/>
        <v>-7298.9981239740173</v>
      </c>
      <c r="HL224" s="775"/>
      <c r="HN224" s="775"/>
      <c r="HO224" s="775"/>
      <c r="HQ224" s="702"/>
      <c r="HR224" s="1171"/>
      <c r="HS224" s="702"/>
      <c r="HT224" s="1171"/>
    </row>
    <row r="225" spans="1:228" ht="14.25" hidden="1" customHeight="1">
      <c r="A225" s="753">
        <f t="shared" si="577"/>
        <v>219</v>
      </c>
      <c r="B225" s="753"/>
      <c r="C225" s="753">
        <f>C224+1</f>
        <v>2</v>
      </c>
      <c r="D225" s="753" t="s">
        <v>281</v>
      </c>
      <c r="E225" s="717" t="str">
        <f t="shared" si="497"/>
        <v>10th Floor</v>
      </c>
      <c r="F225" s="754"/>
      <c r="G225" s="756" t="s">
        <v>650</v>
      </c>
      <c r="H225" s="756"/>
      <c r="I225" s="755" t="s">
        <v>229</v>
      </c>
      <c r="J225" s="757">
        <v>22</v>
      </c>
      <c r="K225" s="758"/>
      <c r="L225" s="759" t="s">
        <v>69</v>
      </c>
      <c r="M225" s="760" t="s">
        <v>68</v>
      </c>
      <c r="N225" s="761">
        <f t="shared" si="498"/>
        <v>106005.26567735759</v>
      </c>
      <c r="O225" s="762">
        <f t="shared" si="499"/>
        <v>2332115.8449018667</v>
      </c>
      <c r="P225" s="762">
        <f t="shared" si="500"/>
        <v>22400</v>
      </c>
      <c r="Q225" s="762">
        <f t="shared" si="474"/>
        <v>50000</v>
      </c>
      <c r="R225" s="762"/>
      <c r="S225" s="762"/>
      <c r="T225" s="762"/>
      <c r="U225" s="762"/>
      <c r="V225" s="762"/>
      <c r="W225" s="762"/>
      <c r="X225" s="762"/>
      <c r="Y225" s="762">
        <f>$Y$224</f>
        <v>120000</v>
      </c>
      <c r="Z225" s="762">
        <f t="shared" si="475"/>
        <v>142461</v>
      </c>
      <c r="AA225" s="762"/>
      <c r="AB225" s="762"/>
      <c r="AC225" s="762"/>
      <c r="AD225" s="763">
        <f t="shared" si="501"/>
        <v>334861</v>
      </c>
      <c r="AE225" s="763">
        <f t="shared" si="476"/>
        <v>2666976.8449018667</v>
      </c>
      <c r="AF225" s="762">
        <f t="shared" si="477"/>
        <v>66674.421122546672</v>
      </c>
      <c r="AG225" s="762">
        <f t="shared" si="502"/>
        <v>2733651.2660244135</v>
      </c>
      <c r="AH225" s="762">
        <f t="shared" si="478"/>
        <v>68341.281650610341</v>
      </c>
      <c r="AI225" s="762">
        <f t="shared" si="503"/>
        <v>2801992.5476750238</v>
      </c>
      <c r="AJ225" s="762">
        <f t="shared" si="504"/>
        <v>140099.62738375118</v>
      </c>
      <c r="AK225" s="762">
        <f t="shared" si="505"/>
        <v>2942092.1750587751</v>
      </c>
      <c r="AL225" s="762">
        <f t="shared" si="506"/>
        <v>29420.921750587753</v>
      </c>
      <c r="AM225" s="762">
        <f t="shared" si="507"/>
        <v>27537.409960060559</v>
      </c>
      <c r="AN225" s="762"/>
      <c r="AO225" s="763">
        <f t="shared" si="508"/>
        <v>2999050.5067694234</v>
      </c>
      <c r="AP225" s="763">
        <f t="shared" si="509"/>
        <v>494843.33361695486</v>
      </c>
      <c r="AQ225" s="763">
        <f t="shared" si="510"/>
        <v>3493893.8403863781</v>
      </c>
      <c r="AR225" s="1178">
        <f t="shared" si="479"/>
        <v>3000000</v>
      </c>
      <c r="AS225" s="1178">
        <f t="shared" si="511"/>
        <v>22449.720017562642</v>
      </c>
      <c r="AT225" s="1178">
        <f t="shared" si="512"/>
        <v>493893.84038637811</v>
      </c>
      <c r="AU225" s="1178">
        <f t="shared" si="480"/>
        <v>59267.260846365374</v>
      </c>
      <c r="AV225" s="1178">
        <f t="shared" si="513"/>
        <v>553161.10123274347</v>
      </c>
      <c r="AW225" s="1178">
        <f t="shared" si="514"/>
        <v>3553161.1012327434</v>
      </c>
      <c r="AX225" s="762">
        <f t="shared" si="515"/>
        <v>44414.513765409298</v>
      </c>
      <c r="AY225" s="717" t="s">
        <v>231</v>
      </c>
      <c r="AZ225" s="717">
        <f t="shared" si="516"/>
        <v>3597575.6149981525</v>
      </c>
      <c r="BA225" s="717">
        <f t="shared" si="517"/>
        <v>134909.0855624307</v>
      </c>
      <c r="BB225" s="717"/>
      <c r="BC225" s="717">
        <f t="shared" si="481"/>
        <v>33600</v>
      </c>
      <c r="BD225" s="717">
        <f t="shared" si="518"/>
        <v>3766084.7005605833</v>
      </c>
      <c r="BE225" s="717"/>
      <c r="BF225" s="717">
        <f t="shared" si="519"/>
        <v>3766084.7005605833</v>
      </c>
      <c r="BG225" s="1209"/>
      <c r="BH225" s="717">
        <f t="shared" si="520"/>
        <v>3766084.7005605833</v>
      </c>
      <c r="BI225" s="717"/>
      <c r="BJ225" s="717">
        <f t="shared" si="521"/>
        <v>3766084.7005605833</v>
      </c>
      <c r="BK225" s="717"/>
      <c r="BL225" s="717">
        <f t="shared" si="522"/>
        <v>3766084.7005605833</v>
      </c>
      <c r="BM225" s="717"/>
      <c r="BN225" s="717">
        <f t="shared" si="523"/>
        <v>3766084.7005605833</v>
      </c>
      <c r="BO225" s="717"/>
      <c r="BP225" s="717">
        <f t="shared" si="482"/>
        <v>3766084.7005605833</v>
      </c>
      <c r="BQ225" s="717"/>
      <c r="BR225" s="717">
        <f t="shared" si="584"/>
        <v>3766084.7005605833</v>
      </c>
      <c r="BS225" s="717"/>
      <c r="BT225" s="717">
        <f t="shared" si="524"/>
        <v>3766084.7005605833</v>
      </c>
      <c r="BU225" s="717"/>
      <c r="BV225" s="1235">
        <f t="shared" si="585"/>
        <v>51400</v>
      </c>
      <c r="BW225" s="717">
        <f t="shared" si="525"/>
        <v>3817484.7005605833</v>
      </c>
      <c r="BX225" s="717"/>
      <c r="BY225" s="717">
        <f t="shared" si="526"/>
        <v>3817484.7005605833</v>
      </c>
      <c r="BZ225" s="1194">
        <f t="shared" si="527"/>
        <v>3817484.7005605833</v>
      </c>
      <c r="CA225" s="1194">
        <f t="shared" si="528"/>
        <v>3036484.7005605833</v>
      </c>
      <c r="CB225" s="1194">
        <v>35500</v>
      </c>
      <c r="CC225" s="1194">
        <f t="shared" si="529"/>
        <v>781000</v>
      </c>
      <c r="CD225" s="1194">
        <f t="shared" si="530"/>
        <v>93720</v>
      </c>
      <c r="CE225" s="1194">
        <f t="shared" si="531"/>
        <v>874720</v>
      </c>
      <c r="CF225" s="1200">
        <f t="shared" si="532"/>
        <v>3911204.7005605833</v>
      </c>
      <c r="CG225" s="757">
        <f t="shared" si="533"/>
        <v>3911204.7005605833</v>
      </c>
      <c r="CH225" s="758">
        <f t="shared" si="534"/>
        <v>0</v>
      </c>
      <c r="CI225" s="757">
        <f t="shared" si="483"/>
        <v>400898.48180745979</v>
      </c>
      <c r="CJ225" s="757">
        <f t="shared" si="484"/>
        <v>97780.117514014593</v>
      </c>
      <c r="CK225" s="759">
        <f t="shared" si="444"/>
        <v>4409883.2998820571</v>
      </c>
      <c r="CL225" s="764">
        <f t="shared" si="535"/>
        <v>0.125</v>
      </c>
      <c r="CM225" s="757">
        <f t="shared" si="536"/>
        <v>551235.41248525714</v>
      </c>
      <c r="CN225" s="757">
        <f t="shared" si="578"/>
        <v>30000</v>
      </c>
      <c r="CO225" s="757">
        <f t="shared" si="537"/>
        <v>521235.41248525714</v>
      </c>
      <c r="CP225" s="755">
        <f t="shared" si="538"/>
        <v>29</v>
      </c>
      <c r="CQ225" s="757">
        <f t="shared" si="581"/>
        <v>17973.634913284728</v>
      </c>
      <c r="CR225" s="764">
        <f t="shared" si="539"/>
        <v>0.875</v>
      </c>
      <c r="CS225" s="757">
        <f t="shared" si="540"/>
        <v>3858647.8873967999</v>
      </c>
      <c r="CT225" s="1101">
        <f t="shared" si="541"/>
        <v>29916.056000267581</v>
      </c>
      <c r="CU225" s="1101">
        <f t="shared" si="542"/>
        <v>34682.618084572365</v>
      </c>
      <c r="CV225" s="1101">
        <f t="shared" si="543"/>
        <v>44802.173804579899</v>
      </c>
      <c r="CW225" s="1141">
        <f t="shared" si="485"/>
        <v>76405.852915644326</v>
      </c>
      <c r="CX225" s="1152">
        <f t="shared" si="544"/>
        <v>313450.23266067571</v>
      </c>
      <c r="CY225" s="1152">
        <f t="shared" si="545"/>
        <v>124030.7301600819</v>
      </c>
      <c r="CZ225" s="1152">
        <f t="shared" si="546"/>
        <v>89585.639723259301</v>
      </c>
      <c r="DA225" s="1152">
        <f t="shared" si="547"/>
        <v>68178.796139241429</v>
      </c>
      <c r="DB225" s="1143">
        <f t="shared" si="486"/>
        <v>0.16463128012879272</v>
      </c>
      <c r="DC225" s="1143">
        <f t="shared" si="548"/>
        <v>0.28806995136135966</v>
      </c>
      <c r="DD225" s="1098" t="s">
        <v>232</v>
      </c>
      <c r="DE225" s="1144"/>
      <c r="DF225" s="705"/>
      <c r="DG225" s="765">
        <f t="shared" si="579"/>
        <v>46082</v>
      </c>
      <c r="DH225" s="1116">
        <f t="shared" si="487"/>
        <v>28</v>
      </c>
      <c r="DI225" s="497"/>
      <c r="DJ225" s="1117">
        <f t="shared" si="549"/>
        <v>46147</v>
      </c>
      <c r="DK225" s="1116">
        <f t="shared" si="550"/>
        <v>30</v>
      </c>
      <c r="DL225" s="766" t="s">
        <v>233</v>
      </c>
      <c r="DM225" s="766" t="s">
        <v>234</v>
      </c>
      <c r="DN225" s="767">
        <f t="shared" si="488"/>
        <v>25143.686419670157</v>
      </c>
      <c r="DO225" s="767">
        <f t="shared" si="489"/>
        <v>553161.10123274347</v>
      </c>
      <c r="DP225" s="768">
        <f t="shared" si="490"/>
        <v>0.18438703374424784</v>
      </c>
      <c r="DR225" s="767">
        <f t="shared" si="491"/>
        <v>3911204.7005605833</v>
      </c>
      <c r="DS225" s="767">
        <f>SUM('[6]INTERNAL PRICELIST'!M225)</f>
        <v>0</v>
      </c>
      <c r="DT225" s="767">
        <f t="shared" si="551"/>
        <v>3911204.7005605833</v>
      </c>
      <c r="DV225" s="951">
        <f t="shared" si="492"/>
        <v>177782.03184366287</v>
      </c>
      <c r="DX225" s="781"/>
      <c r="DY225" s="782"/>
      <c r="DZ225" s="781"/>
      <c r="EA225" s="775"/>
      <c r="ED225" s="755" t="s">
        <v>650</v>
      </c>
      <c r="EE225" s="777" t="b">
        <f t="shared" si="493"/>
        <v>1</v>
      </c>
      <c r="EF225" s="777"/>
      <c r="EG225" s="777"/>
      <c r="EH225" s="1203"/>
      <c r="EP225" s="1230" t="s">
        <v>236</v>
      </c>
      <c r="EQ225" s="1145" t="s">
        <v>236</v>
      </c>
      <c r="ER225" s="753" t="b">
        <f t="shared" si="552"/>
        <v>1</v>
      </c>
      <c r="EU225" s="770">
        <v>3133599.0274007288</v>
      </c>
      <c r="EV225" s="771" t="s">
        <v>258</v>
      </c>
      <c r="EW225" s="775">
        <f t="shared" si="586"/>
        <v>-777605.67315985449</v>
      </c>
      <c r="EY225" s="775">
        <v>3100206.5987977991</v>
      </c>
      <c r="FJ225" s="994">
        <v>0.125</v>
      </c>
      <c r="FK225" s="993">
        <v>11173.02953930404</v>
      </c>
      <c r="FL225" s="993">
        <v>11475.003310636581</v>
      </c>
      <c r="FM225" s="497"/>
      <c r="FN225" s="993">
        <f t="shared" si="494"/>
        <v>4409883.2998820571</v>
      </c>
      <c r="FO225" s="994">
        <f t="shared" si="553"/>
        <v>0.15</v>
      </c>
      <c r="FP225" s="775">
        <f t="shared" si="495"/>
        <v>661482.49498230859</v>
      </c>
      <c r="FQ225" s="993">
        <f t="shared" si="496"/>
        <v>30000</v>
      </c>
      <c r="FR225" s="775">
        <f t="shared" si="554"/>
        <v>631482.49498230859</v>
      </c>
      <c r="FS225" s="497">
        <f t="shared" si="555"/>
        <v>40</v>
      </c>
      <c r="FT225" s="775">
        <f t="shared" si="556"/>
        <v>15787.062374557714</v>
      </c>
      <c r="FU225" s="497"/>
      <c r="FV225" s="993">
        <f t="shared" si="557"/>
        <v>4409883.2998820571</v>
      </c>
      <c r="FW225" s="705">
        <f t="shared" si="558"/>
        <v>440988.32998820575</v>
      </c>
      <c r="FX225" s="705">
        <f t="shared" si="559"/>
        <v>110247.08249705144</v>
      </c>
      <c r="FY225" s="705">
        <v>15000</v>
      </c>
      <c r="FZ225" s="705">
        <f t="shared" si="560"/>
        <v>425988.32998820575</v>
      </c>
      <c r="GA225" s="497">
        <f t="shared" si="561"/>
        <v>46</v>
      </c>
      <c r="GB225" s="775">
        <f t="shared" si="562"/>
        <v>9260.61586930882</v>
      </c>
      <c r="GC225" s="497"/>
      <c r="GD225" s="497"/>
      <c r="GH225" s="1095">
        <f t="shared" si="461"/>
        <v>4409883.2998820571</v>
      </c>
      <c r="GI225" s="1098">
        <f t="shared" si="462"/>
        <v>0.125</v>
      </c>
      <c r="GJ225" s="1095">
        <f t="shared" si="463"/>
        <v>551235.41248525714</v>
      </c>
      <c r="GK225" s="1095">
        <f t="shared" si="464"/>
        <v>30000</v>
      </c>
      <c r="GL225" s="1095">
        <f t="shared" si="465"/>
        <v>521235.41248525714</v>
      </c>
      <c r="GM225" s="1095">
        <f t="shared" si="466"/>
        <v>29</v>
      </c>
      <c r="GN225" s="1095">
        <f t="shared" si="467"/>
        <v>17973.634913284728</v>
      </c>
      <c r="GO225" s="1098">
        <f t="shared" si="468"/>
        <v>0.875</v>
      </c>
      <c r="GP225" s="1095">
        <f t="shared" si="469"/>
        <v>3858647.8873967999</v>
      </c>
      <c r="GQ225" s="1095">
        <f t="shared" si="470"/>
        <v>29916.056000267581</v>
      </c>
      <c r="GR225" s="1095">
        <f t="shared" si="471"/>
        <v>34682.618084572365</v>
      </c>
      <c r="GS225" s="1095">
        <f t="shared" si="472"/>
        <v>44802.173804579899</v>
      </c>
      <c r="GT225" s="1095">
        <f t="shared" si="473"/>
        <v>76405.852915644326</v>
      </c>
      <c r="GU225" s="497"/>
      <c r="GV225" s="1095">
        <f t="shared" si="563"/>
        <v>4409883.2998820571</v>
      </c>
      <c r="GW225" s="1098">
        <f t="shared" si="564"/>
        <v>0.125</v>
      </c>
      <c r="GX225" s="1095">
        <f t="shared" si="565"/>
        <v>551235.41248525714</v>
      </c>
      <c r="GY225" s="1095">
        <f t="shared" si="566"/>
        <v>30000</v>
      </c>
      <c r="GZ225" s="1095">
        <f t="shared" si="567"/>
        <v>521235.41248525714</v>
      </c>
      <c r="HA225" s="1106">
        <f t="shared" si="568"/>
        <v>48</v>
      </c>
      <c r="HB225" s="770">
        <f t="shared" si="569"/>
        <v>10859.071093442857</v>
      </c>
      <c r="HC225" s="1098">
        <f t="shared" si="570"/>
        <v>0.875</v>
      </c>
      <c r="HD225" s="1102">
        <f t="shared" si="571"/>
        <v>3858647.8873967999</v>
      </c>
      <c r="HE225" s="1101">
        <f t="shared" si="572"/>
        <v>29916.056000267581</v>
      </c>
      <c r="HF225" s="1101">
        <f t="shared" si="573"/>
        <v>34682.618084572365</v>
      </c>
      <c r="HG225" s="1101">
        <f t="shared" si="574"/>
        <v>44802.173804579899</v>
      </c>
      <c r="HH225" s="1101">
        <f t="shared" si="575"/>
        <v>76405.852915644326</v>
      </c>
      <c r="HI225" s="497"/>
      <c r="HJ225" s="1102">
        <f t="shared" si="576"/>
        <v>-7114.563819841871</v>
      </c>
      <c r="HL225" s="775"/>
      <c r="HN225" s="775"/>
      <c r="HO225" s="775"/>
      <c r="HQ225" s="702"/>
      <c r="HR225" s="1171"/>
      <c r="HS225" s="702"/>
      <c r="HT225" s="1171"/>
    </row>
    <row r="226" spans="1:228" ht="14.25" hidden="1" customHeight="1">
      <c r="A226" s="753">
        <f t="shared" si="577"/>
        <v>220</v>
      </c>
      <c r="B226" s="753"/>
      <c r="C226" s="753">
        <f t="shared" ref="C226:C254" si="591">C225+1</f>
        <v>3</v>
      </c>
      <c r="D226" s="753" t="s">
        <v>281</v>
      </c>
      <c r="E226" s="717" t="str">
        <f t="shared" si="497"/>
        <v>10th Floor</v>
      </c>
      <c r="F226" s="754"/>
      <c r="G226" s="756" t="s">
        <v>651</v>
      </c>
      <c r="H226" s="756"/>
      <c r="I226" s="755" t="s">
        <v>229</v>
      </c>
      <c r="J226" s="757">
        <v>22</v>
      </c>
      <c r="K226" s="758"/>
      <c r="L226" s="759" t="s">
        <v>69</v>
      </c>
      <c r="M226" s="760" t="s">
        <v>68</v>
      </c>
      <c r="N226" s="761">
        <f t="shared" si="498"/>
        <v>106005.26567735759</v>
      </c>
      <c r="O226" s="762">
        <f t="shared" si="499"/>
        <v>2332115.8449018667</v>
      </c>
      <c r="P226" s="762">
        <f t="shared" si="500"/>
        <v>22400</v>
      </c>
      <c r="Q226" s="762">
        <f t="shared" si="474"/>
        <v>50000</v>
      </c>
      <c r="R226" s="762"/>
      <c r="S226" s="762"/>
      <c r="T226" s="762"/>
      <c r="U226" s="762"/>
      <c r="V226" s="762"/>
      <c r="W226" s="762"/>
      <c r="X226" s="762"/>
      <c r="Y226" s="762">
        <f t="shared" ref="Y226:Y254" si="592">$Y$224</f>
        <v>120000</v>
      </c>
      <c r="Z226" s="762">
        <f t="shared" si="475"/>
        <v>142461</v>
      </c>
      <c r="AA226" s="762"/>
      <c r="AB226" s="762"/>
      <c r="AC226" s="762"/>
      <c r="AD226" s="763">
        <f t="shared" si="501"/>
        <v>334861</v>
      </c>
      <c r="AE226" s="763">
        <f t="shared" si="476"/>
        <v>2666976.8449018667</v>
      </c>
      <c r="AF226" s="762">
        <f t="shared" si="477"/>
        <v>66674.421122546672</v>
      </c>
      <c r="AG226" s="762">
        <f t="shared" si="502"/>
        <v>2733651.2660244135</v>
      </c>
      <c r="AH226" s="762">
        <f t="shared" si="478"/>
        <v>68341.281650610341</v>
      </c>
      <c r="AI226" s="762">
        <f t="shared" si="503"/>
        <v>2801992.5476750238</v>
      </c>
      <c r="AJ226" s="762">
        <f t="shared" si="504"/>
        <v>140099.62738375118</v>
      </c>
      <c r="AK226" s="762">
        <f t="shared" si="505"/>
        <v>2942092.1750587751</v>
      </c>
      <c r="AL226" s="762">
        <f t="shared" si="506"/>
        <v>29420.921750587753</v>
      </c>
      <c r="AM226" s="762">
        <f t="shared" si="507"/>
        <v>27537.409960060559</v>
      </c>
      <c r="AN226" s="762"/>
      <c r="AO226" s="763">
        <f t="shared" si="508"/>
        <v>2999050.5067694234</v>
      </c>
      <c r="AP226" s="763">
        <f t="shared" si="509"/>
        <v>494843.33361695486</v>
      </c>
      <c r="AQ226" s="763">
        <f t="shared" si="510"/>
        <v>3493893.8403863781</v>
      </c>
      <c r="AR226" s="1178">
        <f t="shared" si="479"/>
        <v>3000000</v>
      </c>
      <c r="AS226" s="1178">
        <f t="shared" si="511"/>
        <v>22449.720017562642</v>
      </c>
      <c r="AT226" s="1178">
        <f t="shared" si="512"/>
        <v>493893.84038637811</v>
      </c>
      <c r="AU226" s="1178">
        <f t="shared" si="480"/>
        <v>59267.260846365374</v>
      </c>
      <c r="AV226" s="1178">
        <f t="shared" si="513"/>
        <v>553161.10123274347</v>
      </c>
      <c r="AW226" s="1178">
        <f t="shared" si="514"/>
        <v>3553161.1012327434</v>
      </c>
      <c r="AX226" s="762">
        <f t="shared" si="515"/>
        <v>44414.513765409298</v>
      </c>
      <c r="AY226" s="717" t="s">
        <v>231</v>
      </c>
      <c r="AZ226" s="717">
        <f t="shared" si="516"/>
        <v>3597575.6149981525</v>
      </c>
      <c r="BA226" s="717">
        <f t="shared" si="517"/>
        <v>134909.0855624307</v>
      </c>
      <c r="BB226" s="717"/>
      <c r="BC226" s="717">
        <f t="shared" si="481"/>
        <v>33600</v>
      </c>
      <c r="BD226" s="717">
        <f t="shared" si="518"/>
        <v>3766084.7005605833</v>
      </c>
      <c r="BE226" s="717"/>
      <c r="BF226" s="717">
        <f t="shared" si="519"/>
        <v>3766084.7005605833</v>
      </c>
      <c r="BG226" s="1209"/>
      <c r="BH226" s="717">
        <f t="shared" si="520"/>
        <v>3766084.7005605833</v>
      </c>
      <c r="BI226" s="717"/>
      <c r="BJ226" s="717">
        <f t="shared" si="521"/>
        <v>3766084.7005605833</v>
      </c>
      <c r="BK226" s="717"/>
      <c r="BL226" s="717">
        <f t="shared" si="522"/>
        <v>3766084.7005605833</v>
      </c>
      <c r="BM226" s="717"/>
      <c r="BN226" s="717">
        <f t="shared" si="523"/>
        <v>3766084.7005605833</v>
      </c>
      <c r="BO226" s="717"/>
      <c r="BP226" s="717">
        <f t="shared" si="482"/>
        <v>3766084.7005605833</v>
      </c>
      <c r="BQ226" s="717"/>
      <c r="BR226" s="717">
        <f t="shared" si="584"/>
        <v>3766084.7005605833</v>
      </c>
      <c r="BS226" s="717"/>
      <c r="BT226" s="717">
        <f t="shared" si="524"/>
        <v>3766084.7005605833</v>
      </c>
      <c r="BU226" s="717"/>
      <c r="BV226" s="1235">
        <f t="shared" si="585"/>
        <v>51400</v>
      </c>
      <c r="BW226" s="717">
        <f t="shared" si="525"/>
        <v>3817484.7005605833</v>
      </c>
      <c r="BX226" s="717"/>
      <c r="BY226" s="717">
        <f t="shared" si="526"/>
        <v>3817484.7005605833</v>
      </c>
      <c r="BZ226" s="1194">
        <f t="shared" si="527"/>
        <v>3817484.7005605833</v>
      </c>
      <c r="CA226" s="1194">
        <f t="shared" si="528"/>
        <v>3036484.7005605833</v>
      </c>
      <c r="CB226" s="1194">
        <v>35500</v>
      </c>
      <c r="CC226" s="1194">
        <f t="shared" si="529"/>
        <v>781000</v>
      </c>
      <c r="CD226" s="1194">
        <f t="shared" si="530"/>
        <v>93720</v>
      </c>
      <c r="CE226" s="1194">
        <f t="shared" si="531"/>
        <v>874720</v>
      </c>
      <c r="CF226" s="1200">
        <f t="shared" si="532"/>
        <v>3911204.7005605833</v>
      </c>
      <c r="CG226" s="757">
        <f t="shared" si="533"/>
        <v>3911204.7005605833</v>
      </c>
      <c r="CH226" s="758">
        <f t="shared" si="534"/>
        <v>0</v>
      </c>
      <c r="CI226" s="757">
        <f t="shared" si="483"/>
        <v>400898.48180745979</v>
      </c>
      <c r="CJ226" s="757">
        <f t="shared" si="484"/>
        <v>97780.117514014593</v>
      </c>
      <c r="CK226" s="759">
        <f t="shared" si="444"/>
        <v>4409883.2998820571</v>
      </c>
      <c r="CL226" s="764">
        <f t="shared" si="535"/>
        <v>0.125</v>
      </c>
      <c r="CM226" s="757">
        <f t="shared" si="536"/>
        <v>551235.41248525714</v>
      </c>
      <c r="CN226" s="757">
        <f t="shared" si="578"/>
        <v>30000</v>
      </c>
      <c r="CO226" s="757">
        <f t="shared" si="537"/>
        <v>521235.41248525714</v>
      </c>
      <c r="CP226" s="755">
        <f t="shared" si="538"/>
        <v>29</v>
      </c>
      <c r="CQ226" s="757">
        <f t="shared" si="581"/>
        <v>17973.634913284728</v>
      </c>
      <c r="CR226" s="764">
        <f t="shared" si="539"/>
        <v>0.875</v>
      </c>
      <c r="CS226" s="757">
        <f t="shared" si="540"/>
        <v>3858647.8873967999</v>
      </c>
      <c r="CT226" s="1101">
        <f t="shared" si="541"/>
        <v>29916.056000267581</v>
      </c>
      <c r="CU226" s="1101">
        <f t="shared" si="542"/>
        <v>34682.618084572365</v>
      </c>
      <c r="CV226" s="1101">
        <f t="shared" si="543"/>
        <v>44802.173804579899</v>
      </c>
      <c r="CW226" s="1141">
        <f t="shared" si="485"/>
        <v>76405.852915644326</v>
      </c>
      <c r="CX226" s="1152">
        <f t="shared" si="544"/>
        <v>313450.23266067571</v>
      </c>
      <c r="CY226" s="1152">
        <f t="shared" si="545"/>
        <v>124030.7301600819</v>
      </c>
      <c r="CZ226" s="1152">
        <f t="shared" si="546"/>
        <v>89585.639723259301</v>
      </c>
      <c r="DA226" s="1152">
        <f t="shared" si="547"/>
        <v>68178.796139241429</v>
      </c>
      <c r="DB226" s="1143">
        <f t="shared" si="486"/>
        <v>0.16463128012879272</v>
      </c>
      <c r="DC226" s="1143">
        <f t="shared" si="548"/>
        <v>0.28806995136135966</v>
      </c>
      <c r="DD226" s="1098" t="s">
        <v>232</v>
      </c>
      <c r="DE226" s="1144"/>
      <c r="DF226" s="705"/>
      <c r="DG226" s="765">
        <f t="shared" si="579"/>
        <v>46082</v>
      </c>
      <c r="DH226" s="1116">
        <f t="shared" si="487"/>
        <v>28</v>
      </c>
      <c r="DI226" s="497"/>
      <c r="DJ226" s="1117">
        <f t="shared" si="549"/>
        <v>46147</v>
      </c>
      <c r="DK226" s="1116">
        <f t="shared" si="550"/>
        <v>30</v>
      </c>
      <c r="DL226" s="766" t="s">
        <v>233</v>
      </c>
      <c r="DM226" s="766" t="s">
        <v>234</v>
      </c>
      <c r="DN226" s="767">
        <f t="shared" si="488"/>
        <v>25143.686419670157</v>
      </c>
      <c r="DO226" s="767">
        <f t="shared" si="489"/>
        <v>553161.10123274347</v>
      </c>
      <c r="DP226" s="768">
        <f t="shared" si="490"/>
        <v>0.18438703374424784</v>
      </c>
      <c r="DR226" s="767">
        <f t="shared" si="491"/>
        <v>3911204.7005605833</v>
      </c>
      <c r="DS226" s="767">
        <f>SUM('[6]INTERNAL PRICELIST'!M226)</f>
        <v>0</v>
      </c>
      <c r="DT226" s="767">
        <f t="shared" si="551"/>
        <v>3911204.7005605833</v>
      </c>
      <c r="DV226" s="951">
        <f t="shared" si="492"/>
        <v>177782.03184366287</v>
      </c>
      <c r="DX226" s="781"/>
      <c r="DY226" s="782"/>
      <c r="DZ226" s="781"/>
      <c r="EA226" s="775"/>
      <c r="ED226" s="755" t="s">
        <v>651</v>
      </c>
      <c r="EE226" s="777" t="b">
        <f t="shared" si="493"/>
        <v>1</v>
      </c>
      <c r="EF226" s="777"/>
      <c r="EG226" s="777"/>
      <c r="EH226" s="1203"/>
      <c r="EP226" s="1230" t="s">
        <v>236</v>
      </c>
      <c r="EQ226" s="1145" t="s">
        <v>236</v>
      </c>
      <c r="ER226" s="753" t="b">
        <f t="shared" si="552"/>
        <v>1</v>
      </c>
      <c r="EU226" s="770">
        <v>2468160</v>
      </c>
      <c r="EV226" s="771" t="s">
        <v>236</v>
      </c>
      <c r="EY226" s="775">
        <v>3100206.5987977991</v>
      </c>
      <c r="FJ226" s="994">
        <v>0.125</v>
      </c>
      <c r="FK226" s="993">
        <v>11173.02953930404</v>
      </c>
      <c r="FL226" s="993">
        <v>11475.003310636581</v>
      </c>
      <c r="FM226" s="497"/>
      <c r="FN226" s="993">
        <f t="shared" si="494"/>
        <v>4409883.2998820571</v>
      </c>
      <c r="FO226" s="994">
        <f t="shared" si="553"/>
        <v>0.15</v>
      </c>
      <c r="FP226" s="775">
        <f t="shared" si="495"/>
        <v>661482.49498230859</v>
      </c>
      <c r="FQ226" s="993">
        <f t="shared" si="496"/>
        <v>30000</v>
      </c>
      <c r="FR226" s="775">
        <f t="shared" si="554"/>
        <v>631482.49498230859</v>
      </c>
      <c r="FS226" s="497">
        <f t="shared" si="555"/>
        <v>40</v>
      </c>
      <c r="FT226" s="775">
        <f t="shared" si="556"/>
        <v>15787.062374557714</v>
      </c>
      <c r="FU226" s="497"/>
      <c r="FV226" s="993">
        <f t="shared" si="557"/>
        <v>4409883.2998820571</v>
      </c>
      <c r="FW226" s="705">
        <f t="shared" si="558"/>
        <v>440988.32998820575</v>
      </c>
      <c r="FX226" s="705">
        <f t="shared" si="559"/>
        <v>110247.08249705144</v>
      </c>
      <c r="FY226" s="705">
        <v>15000</v>
      </c>
      <c r="FZ226" s="705">
        <f t="shared" si="560"/>
        <v>425988.32998820575</v>
      </c>
      <c r="GA226" s="497">
        <f t="shared" si="561"/>
        <v>46</v>
      </c>
      <c r="GB226" s="775">
        <f t="shared" si="562"/>
        <v>9260.61586930882</v>
      </c>
      <c r="GC226" s="497"/>
      <c r="GD226" s="497"/>
      <c r="GH226" s="1095">
        <f t="shared" si="461"/>
        <v>4409883.2998820571</v>
      </c>
      <c r="GI226" s="1098">
        <f t="shared" si="462"/>
        <v>0.125</v>
      </c>
      <c r="GJ226" s="1095">
        <f t="shared" si="463"/>
        <v>551235.41248525714</v>
      </c>
      <c r="GK226" s="1095">
        <f t="shared" si="464"/>
        <v>30000</v>
      </c>
      <c r="GL226" s="1095">
        <f t="shared" si="465"/>
        <v>521235.41248525714</v>
      </c>
      <c r="GM226" s="1095">
        <f t="shared" si="466"/>
        <v>29</v>
      </c>
      <c r="GN226" s="1095">
        <f t="shared" si="467"/>
        <v>17973.634913284728</v>
      </c>
      <c r="GO226" s="1098">
        <f t="shared" si="468"/>
        <v>0.875</v>
      </c>
      <c r="GP226" s="1095">
        <f t="shared" si="469"/>
        <v>3858647.8873967999</v>
      </c>
      <c r="GQ226" s="1095">
        <f t="shared" si="470"/>
        <v>29916.056000267581</v>
      </c>
      <c r="GR226" s="1095">
        <f t="shared" si="471"/>
        <v>34682.618084572365</v>
      </c>
      <c r="GS226" s="1095">
        <f t="shared" si="472"/>
        <v>44802.173804579899</v>
      </c>
      <c r="GT226" s="1095">
        <f t="shared" si="473"/>
        <v>76405.852915644326</v>
      </c>
      <c r="GU226" s="497"/>
      <c r="GV226" s="1095">
        <f t="shared" si="563"/>
        <v>4409883.2998820571</v>
      </c>
      <c r="GW226" s="1098">
        <f t="shared" si="564"/>
        <v>0.125</v>
      </c>
      <c r="GX226" s="1095">
        <f t="shared" si="565"/>
        <v>551235.41248525714</v>
      </c>
      <c r="GY226" s="1095">
        <f t="shared" si="566"/>
        <v>30000</v>
      </c>
      <c r="GZ226" s="1095">
        <f t="shared" si="567"/>
        <v>521235.41248525714</v>
      </c>
      <c r="HA226" s="1106">
        <f t="shared" si="568"/>
        <v>48</v>
      </c>
      <c r="HB226" s="770">
        <f t="shared" si="569"/>
        <v>10859.071093442857</v>
      </c>
      <c r="HC226" s="1098">
        <f t="shared" si="570"/>
        <v>0.875</v>
      </c>
      <c r="HD226" s="1102">
        <f t="shared" si="571"/>
        <v>3858647.8873967999</v>
      </c>
      <c r="HE226" s="1101">
        <f t="shared" si="572"/>
        <v>29916.056000267581</v>
      </c>
      <c r="HF226" s="1101">
        <f t="shared" si="573"/>
        <v>34682.618084572365</v>
      </c>
      <c r="HG226" s="1101">
        <f t="shared" si="574"/>
        <v>44802.173804579899</v>
      </c>
      <c r="HH226" s="1101">
        <f t="shared" si="575"/>
        <v>76405.852915644326</v>
      </c>
      <c r="HI226" s="497"/>
      <c r="HJ226" s="1102">
        <f t="shared" si="576"/>
        <v>-7114.563819841871</v>
      </c>
      <c r="HL226" s="775"/>
      <c r="HN226" s="775"/>
      <c r="HO226" s="775"/>
      <c r="HQ226" s="702"/>
      <c r="HR226" s="1171"/>
      <c r="HS226" s="702"/>
      <c r="HT226" s="1171"/>
    </row>
    <row r="227" spans="1:228" ht="14.25" hidden="1" customHeight="1">
      <c r="A227" s="753">
        <f t="shared" si="577"/>
        <v>221</v>
      </c>
      <c r="B227" s="753" t="s">
        <v>236</v>
      </c>
      <c r="C227" s="753">
        <f t="shared" si="591"/>
        <v>4</v>
      </c>
      <c r="D227" s="753" t="s">
        <v>281</v>
      </c>
      <c r="E227" s="717" t="str">
        <f t="shared" si="497"/>
        <v>10th Floor</v>
      </c>
      <c r="F227" s="754"/>
      <c r="G227" s="756" t="s">
        <v>652</v>
      </c>
      <c r="H227" s="756"/>
      <c r="I227" s="755" t="s">
        <v>229</v>
      </c>
      <c r="J227" s="757">
        <v>22</v>
      </c>
      <c r="K227" s="758"/>
      <c r="L227" s="759" t="s">
        <v>69</v>
      </c>
      <c r="M227" s="760" t="s">
        <v>68</v>
      </c>
      <c r="N227" s="761">
        <f t="shared" si="498"/>
        <v>106005.26567735759</v>
      </c>
      <c r="O227" s="762">
        <f t="shared" si="499"/>
        <v>2332115.8449018667</v>
      </c>
      <c r="P227" s="762">
        <f t="shared" si="500"/>
        <v>22400</v>
      </c>
      <c r="Q227" s="762">
        <f t="shared" si="474"/>
        <v>50000</v>
      </c>
      <c r="R227" s="762"/>
      <c r="S227" s="762"/>
      <c r="T227" s="762"/>
      <c r="U227" s="762"/>
      <c r="V227" s="762"/>
      <c r="W227" s="762"/>
      <c r="X227" s="762"/>
      <c r="Y227" s="762">
        <f t="shared" si="592"/>
        <v>120000</v>
      </c>
      <c r="Z227" s="762">
        <f t="shared" si="475"/>
        <v>142461</v>
      </c>
      <c r="AA227" s="762"/>
      <c r="AB227" s="762"/>
      <c r="AC227" s="762"/>
      <c r="AD227" s="763">
        <f t="shared" si="501"/>
        <v>334861</v>
      </c>
      <c r="AE227" s="763">
        <f t="shared" si="476"/>
        <v>2666976.8449018667</v>
      </c>
      <c r="AF227" s="762">
        <f t="shared" si="477"/>
        <v>66674.421122546672</v>
      </c>
      <c r="AG227" s="762">
        <f t="shared" si="502"/>
        <v>2733651.2660244135</v>
      </c>
      <c r="AH227" s="762">
        <f t="shared" si="478"/>
        <v>68341.281650610341</v>
      </c>
      <c r="AI227" s="762">
        <f t="shared" si="503"/>
        <v>2801992.5476750238</v>
      </c>
      <c r="AJ227" s="762">
        <f t="shared" si="504"/>
        <v>140099.62738375118</v>
      </c>
      <c r="AK227" s="762">
        <f t="shared" si="505"/>
        <v>2942092.1750587751</v>
      </c>
      <c r="AL227" s="762">
        <f t="shared" si="506"/>
        <v>29420.921750587753</v>
      </c>
      <c r="AM227" s="762">
        <f t="shared" si="507"/>
        <v>27537.409960060559</v>
      </c>
      <c r="AN227" s="762"/>
      <c r="AO227" s="763">
        <f t="shared" si="508"/>
        <v>2999050.5067694234</v>
      </c>
      <c r="AP227" s="763">
        <f t="shared" si="509"/>
        <v>494843.33361695486</v>
      </c>
      <c r="AQ227" s="763">
        <f t="shared" si="510"/>
        <v>3493893.8403863781</v>
      </c>
      <c r="AR227" s="1178">
        <f t="shared" si="479"/>
        <v>3000000</v>
      </c>
      <c r="AS227" s="1178">
        <f t="shared" si="511"/>
        <v>22449.720017562642</v>
      </c>
      <c r="AT227" s="1178">
        <f t="shared" si="512"/>
        <v>493893.84038637811</v>
      </c>
      <c r="AU227" s="1178">
        <f t="shared" si="480"/>
        <v>59267.260846365374</v>
      </c>
      <c r="AV227" s="1178">
        <f t="shared" si="513"/>
        <v>553161.10123274347</v>
      </c>
      <c r="AW227" s="1178">
        <f t="shared" si="514"/>
        <v>3553161.1012327434</v>
      </c>
      <c r="AX227" s="762">
        <f t="shared" si="515"/>
        <v>44414.513765409298</v>
      </c>
      <c r="AY227" s="717" t="s">
        <v>231</v>
      </c>
      <c r="AZ227" s="717">
        <f t="shared" si="516"/>
        <v>3597575.6149981525</v>
      </c>
      <c r="BA227" s="717">
        <f t="shared" si="517"/>
        <v>134909.0855624307</v>
      </c>
      <c r="BB227" s="717"/>
      <c r="BC227" s="717">
        <f t="shared" si="481"/>
        <v>33600</v>
      </c>
      <c r="BD227" s="717">
        <f t="shared" si="518"/>
        <v>3766084.7005605833</v>
      </c>
      <c r="BE227" s="717"/>
      <c r="BF227" s="717">
        <f t="shared" si="519"/>
        <v>3766084.7005605833</v>
      </c>
      <c r="BG227" s="1209"/>
      <c r="BH227" s="717">
        <f t="shared" si="520"/>
        <v>3766084.7005605833</v>
      </c>
      <c r="BI227" s="717"/>
      <c r="BJ227" s="717">
        <f t="shared" si="521"/>
        <v>3766084.7005605833</v>
      </c>
      <c r="BK227" s="717"/>
      <c r="BL227" s="717">
        <f t="shared" si="522"/>
        <v>3766084.7005605833</v>
      </c>
      <c r="BM227" s="717"/>
      <c r="BN227" s="717">
        <f t="shared" si="523"/>
        <v>3766084.7005605833</v>
      </c>
      <c r="BO227" s="717"/>
      <c r="BP227" s="717">
        <f t="shared" si="482"/>
        <v>3766084.7005605833</v>
      </c>
      <c r="BQ227" s="717"/>
      <c r="BR227" s="717">
        <f t="shared" si="584"/>
        <v>3766084.7005605833</v>
      </c>
      <c r="BS227" s="717"/>
      <c r="BT227" s="717">
        <f t="shared" si="524"/>
        <v>3766084.7005605833</v>
      </c>
      <c r="BU227" s="717"/>
      <c r="BV227" s="1235">
        <f t="shared" si="585"/>
        <v>51400</v>
      </c>
      <c r="BW227" s="717">
        <f t="shared" si="525"/>
        <v>3817484.7005605833</v>
      </c>
      <c r="BX227" s="717"/>
      <c r="BY227" s="717">
        <f t="shared" si="526"/>
        <v>3817484.7005605833</v>
      </c>
      <c r="BZ227" s="1194">
        <f t="shared" si="527"/>
        <v>3817484.7005605833</v>
      </c>
      <c r="CA227" s="1194">
        <f t="shared" si="528"/>
        <v>3036484.7005605833</v>
      </c>
      <c r="CB227" s="1194">
        <v>35500</v>
      </c>
      <c r="CC227" s="1194">
        <f t="shared" si="529"/>
        <v>781000</v>
      </c>
      <c r="CD227" s="1194">
        <f t="shared" si="530"/>
        <v>93720</v>
      </c>
      <c r="CE227" s="1194">
        <f t="shared" si="531"/>
        <v>874720</v>
      </c>
      <c r="CF227" s="1200">
        <f t="shared" si="532"/>
        <v>3911204.7005605833</v>
      </c>
      <c r="CG227" s="757">
        <f t="shared" si="533"/>
        <v>3911204.7005605833</v>
      </c>
      <c r="CH227" s="758">
        <f t="shared" si="534"/>
        <v>0</v>
      </c>
      <c r="CI227" s="757">
        <f t="shared" si="483"/>
        <v>400898.48180745979</v>
      </c>
      <c r="CJ227" s="757">
        <f t="shared" si="484"/>
        <v>97780.117514014593</v>
      </c>
      <c r="CK227" s="759">
        <f t="shared" ref="CK227:CK290" si="593">SUM(CG227:CJ227)</f>
        <v>4409883.2998820571</v>
      </c>
      <c r="CL227" s="764">
        <f t="shared" si="535"/>
        <v>0.125</v>
      </c>
      <c r="CM227" s="757">
        <f t="shared" si="536"/>
        <v>551235.41248525714</v>
      </c>
      <c r="CN227" s="757">
        <f t="shared" si="578"/>
        <v>30000</v>
      </c>
      <c r="CO227" s="757">
        <f t="shared" si="537"/>
        <v>521235.41248525714</v>
      </c>
      <c r="CP227" s="755">
        <f t="shared" si="538"/>
        <v>29</v>
      </c>
      <c r="CQ227" s="757">
        <f t="shared" si="581"/>
        <v>17973.634913284728</v>
      </c>
      <c r="CR227" s="764">
        <f t="shared" si="539"/>
        <v>0.875</v>
      </c>
      <c r="CS227" s="757">
        <f t="shared" si="540"/>
        <v>3858647.8873967999</v>
      </c>
      <c r="CT227" s="1101">
        <f t="shared" si="541"/>
        <v>29916.056000267581</v>
      </c>
      <c r="CU227" s="1101">
        <f t="shared" si="542"/>
        <v>34682.618084572365</v>
      </c>
      <c r="CV227" s="1101">
        <f t="shared" si="543"/>
        <v>44802.173804579899</v>
      </c>
      <c r="CW227" s="1141">
        <f t="shared" si="485"/>
        <v>76405.852915644326</v>
      </c>
      <c r="CX227" s="1152">
        <f t="shared" si="544"/>
        <v>313450.23266067571</v>
      </c>
      <c r="CY227" s="1152">
        <f t="shared" si="545"/>
        <v>124030.7301600819</v>
      </c>
      <c r="CZ227" s="1152">
        <f t="shared" si="546"/>
        <v>89585.639723259301</v>
      </c>
      <c r="DA227" s="1152">
        <f t="shared" si="547"/>
        <v>68178.796139241429</v>
      </c>
      <c r="DB227" s="1143">
        <f t="shared" si="486"/>
        <v>0.16463128012879272</v>
      </c>
      <c r="DC227" s="1143">
        <f t="shared" si="548"/>
        <v>0.28806995136135966</v>
      </c>
      <c r="DD227" s="1098" t="s">
        <v>232</v>
      </c>
      <c r="DE227" s="1144"/>
      <c r="DF227" s="705"/>
      <c r="DG227" s="765">
        <f t="shared" si="579"/>
        <v>46082</v>
      </c>
      <c r="DH227" s="1116">
        <f t="shared" si="487"/>
        <v>28</v>
      </c>
      <c r="DI227" s="497"/>
      <c r="DJ227" s="1117">
        <f t="shared" si="549"/>
        <v>46147</v>
      </c>
      <c r="DK227" s="1116">
        <f t="shared" si="550"/>
        <v>30</v>
      </c>
      <c r="DL227" s="766" t="s">
        <v>233</v>
      </c>
      <c r="DM227" s="766" t="s">
        <v>234</v>
      </c>
      <c r="DN227" s="767">
        <f t="shared" si="488"/>
        <v>25143.686419670157</v>
      </c>
      <c r="DO227" s="767">
        <f t="shared" si="489"/>
        <v>553161.10123274347</v>
      </c>
      <c r="DP227" s="768">
        <f t="shared" si="490"/>
        <v>0.18438703374424784</v>
      </c>
      <c r="DR227" s="767">
        <f t="shared" si="491"/>
        <v>3911204.7005605833</v>
      </c>
      <c r="DS227" s="767">
        <f>SUM('[6]INTERNAL PRICELIST'!M227)</f>
        <v>0</v>
      </c>
      <c r="DT227" s="767">
        <f t="shared" si="551"/>
        <v>3911204.7005605833</v>
      </c>
      <c r="DV227" s="951">
        <f t="shared" si="492"/>
        <v>177782.03184366287</v>
      </c>
      <c r="DX227" s="781"/>
      <c r="DY227" s="782"/>
      <c r="DZ227" s="781"/>
      <c r="EA227" s="775"/>
      <c r="ED227" s="755" t="s">
        <v>652</v>
      </c>
      <c r="EE227" s="777" t="b">
        <f t="shared" si="493"/>
        <v>1</v>
      </c>
      <c r="EF227" s="1123" t="s">
        <v>653</v>
      </c>
      <c r="EG227" s="1123" t="s">
        <v>654</v>
      </c>
      <c r="EH227" s="1203"/>
      <c r="EP227" s="1230" t="s">
        <v>236</v>
      </c>
      <c r="EQ227" s="1145" t="s">
        <v>236</v>
      </c>
      <c r="ER227" s="753" t="b">
        <f t="shared" si="552"/>
        <v>1</v>
      </c>
      <c r="EU227" s="770">
        <v>3133599.0274007288</v>
      </c>
      <c r="EV227" s="771" t="s">
        <v>258</v>
      </c>
      <c r="EW227" s="775">
        <f>EU227-CG227</f>
        <v>-777605.67315985449</v>
      </c>
      <c r="EY227" s="775">
        <v>3100206.5987977991</v>
      </c>
      <c r="FJ227" s="994">
        <v>0.125</v>
      </c>
      <c r="FK227" s="993">
        <v>11173.02953930404</v>
      </c>
      <c r="FL227" s="993">
        <v>11475.003310636581</v>
      </c>
      <c r="FM227" s="497"/>
      <c r="FN227" s="993">
        <f t="shared" si="494"/>
        <v>4409883.2998820571</v>
      </c>
      <c r="FO227" s="994">
        <f t="shared" si="553"/>
        <v>0.15</v>
      </c>
      <c r="FP227" s="775">
        <f t="shared" si="495"/>
        <v>661482.49498230859</v>
      </c>
      <c r="FQ227" s="993">
        <f t="shared" si="496"/>
        <v>30000</v>
      </c>
      <c r="FR227" s="775">
        <f t="shared" si="554"/>
        <v>631482.49498230859</v>
      </c>
      <c r="FS227" s="497">
        <f t="shared" si="555"/>
        <v>40</v>
      </c>
      <c r="FT227" s="775">
        <f t="shared" si="556"/>
        <v>15787.062374557714</v>
      </c>
      <c r="FU227" s="497"/>
      <c r="FV227" s="993">
        <f t="shared" si="557"/>
        <v>4409883.2998820571</v>
      </c>
      <c r="FW227" s="705">
        <f t="shared" si="558"/>
        <v>440988.32998820575</v>
      </c>
      <c r="FX227" s="705">
        <f t="shared" si="559"/>
        <v>110247.08249705144</v>
      </c>
      <c r="FY227" s="705">
        <v>15000</v>
      </c>
      <c r="FZ227" s="705">
        <f t="shared" si="560"/>
        <v>425988.32998820575</v>
      </c>
      <c r="GA227" s="497">
        <f t="shared" si="561"/>
        <v>46</v>
      </c>
      <c r="GB227" s="775">
        <f t="shared" si="562"/>
        <v>9260.61586930882</v>
      </c>
      <c r="GC227" s="497"/>
      <c r="GD227" s="497"/>
      <c r="GH227" s="1095">
        <f t="shared" si="461"/>
        <v>4409883.2998820571</v>
      </c>
      <c r="GI227" s="1098">
        <f t="shared" si="462"/>
        <v>0.125</v>
      </c>
      <c r="GJ227" s="1095">
        <f t="shared" si="463"/>
        <v>551235.41248525714</v>
      </c>
      <c r="GK227" s="1095">
        <f t="shared" si="464"/>
        <v>30000</v>
      </c>
      <c r="GL227" s="1095">
        <f t="shared" si="465"/>
        <v>521235.41248525714</v>
      </c>
      <c r="GM227" s="1095">
        <f t="shared" si="466"/>
        <v>29</v>
      </c>
      <c r="GN227" s="1095">
        <f t="shared" si="467"/>
        <v>17973.634913284728</v>
      </c>
      <c r="GO227" s="1098">
        <f t="shared" si="468"/>
        <v>0.875</v>
      </c>
      <c r="GP227" s="1095">
        <f t="shared" si="469"/>
        <v>3858647.8873967999</v>
      </c>
      <c r="GQ227" s="1095">
        <f t="shared" si="470"/>
        <v>29916.056000267581</v>
      </c>
      <c r="GR227" s="1095">
        <f t="shared" si="471"/>
        <v>34682.618084572365</v>
      </c>
      <c r="GS227" s="1095">
        <f t="shared" si="472"/>
        <v>44802.173804579899</v>
      </c>
      <c r="GT227" s="1095">
        <f t="shared" si="473"/>
        <v>76405.852915644326</v>
      </c>
      <c r="GU227" s="497"/>
      <c r="GV227" s="1095">
        <f t="shared" si="563"/>
        <v>4409883.2998820571</v>
      </c>
      <c r="GW227" s="1098">
        <f t="shared" si="564"/>
        <v>0.125</v>
      </c>
      <c r="GX227" s="1095">
        <f t="shared" si="565"/>
        <v>551235.41248525714</v>
      </c>
      <c r="GY227" s="1095">
        <f t="shared" si="566"/>
        <v>30000</v>
      </c>
      <c r="GZ227" s="1095">
        <f t="shared" si="567"/>
        <v>521235.41248525714</v>
      </c>
      <c r="HA227" s="1106">
        <f t="shared" si="568"/>
        <v>48</v>
      </c>
      <c r="HB227" s="770">
        <f t="shared" si="569"/>
        <v>10859.071093442857</v>
      </c>
      <c r="HC227" s="1098">
        <f t="shared" si="570"/>
        <v>0.875</v>
      </c>
      <c r="HD227" s="1102">
        <f t="shared" si="571"/>
        <v>3858647.8873967999</v>
      </c>
      <c r="HE227" s="1101">
        <f t="shared" si="572"/>
        <v>29916.056000267581</v>
      </c>
      <c r="HF227" s="1101">
        <f t="shared" si="573"/>
        <v>34682.618084572365</v>
      </c>
      <c r="HG227" s="1101">
        <f t="shared" si="574"/>
        <v>44802.173804579899</v>
      </c>
      <c r="HH227" s="1101">
        <f t="shared" si="575"/>
        <v>76405.852915644326</v>
      </c>
      <c r="HI227" s="497"/>
      <c r="HJ227" s="1102">
        <f t="shared" si="576"/>
        <v>-7114.563819841871</v>
      </c>
      <c r="HL227" s="775"/>
      <c r="HN227" s="775"/>
      <c r="HO227" s="775"/>
      <c r="HQ227" s="702"/>
      <c r="HR227" s="1171"/>
      <c r="HS227" s="702"/>
      <c r="HT227" s="1171"/>
    </row>
    <row r="228" spans="1:228" ht="14.25" hidden="1" customHeight="1">
      <c r="A228" s="753">
        <f t="shared" si="577"/>
        <v>222</v>
      </c>
      <c r="B228" s="753" t="s">
        <v>236</v>
      </c>
      <c r="C228" s="753">
        <f t="shared" si="591"/>
        <v>5</v>
      </c>
      <c r="D228" s="753" t="s">
        <v>281</v>
      </c>
      <c r="E228" s="717" t="str">
        <f t="shared" si="497"/>
        <v>10th Floor</v>
      </c>
      <c r="F228" s="754"/>
      <c r="G228" s="756" t="s">
        <v>655</v>
      </c>
      <c r="H228" s="756"/>
      <c r="I228" s="755" t="s">
        <v>229</v>
      </c>
      <c r="J228" s="757">
        <v>22</v>
      </c>
      <c r="K228" s="758"/>
      <c r="L228" s="759" t="s">
        <v>69</v>
      </c>
      <c r="M228" s="760" t="s">
        <v>68</v>
      </c>
      <c r="N228" s="761">
        <f t="shared" si="498"/>
        <v>106005.26567735759</v>
      </c>
      <c r="O228" s="762">
        <f t="shared" si="499"/>
        <v>2332115.8449018667</v>
      </c>
      <c r="P228" s="762">
        <f t="shared" si="500"/>
        <v>22400</v>
      </c>
      <c r="Q228" s="762">
        <f t="shared" si="474"/>
        <v>50000</v>
      </c>
      <c r="R228" s="762"/>
      <c r="S228" s="762"/>
      <c r="T228" s="762"/>
      <c r="U228" s="762"/>
      <c r="V228" s="762"/>
      <c r="W228" s="762"/>
      <c r="X228" s="762"/>
      <c r="Y228" s="762">
        <f t="shared" si="592"/>
        <v>120000</v>
      </c>
      <c r="Z228" s="762">
        <f t="shared" si="475"/>
        <v>142461</v>
      </c>
      <c r="AA228" s="762"/>
      <c r="AB228" s="762"/>
      <c r="AC228" s="762"/>
      <c r="AD228" s="763">
        <f t="shared" si="501"/>
        <v>334861</v>
      </c>
      <c r="AE228" s="763">
        <f t="shared" si="476"/>
        <v>2666976.8449018667</v>
      </c>
      <c r="AF228" s="762">
        <f t="shared" si="477"/>
        <v>66674.421122546672</v>
      </c>
      <c r="AG228" s="762">
        <f t="shared" si="502"/>
        <v>2733651.2660244135</v>
      </c>
      <c r="AH228" s="762">
        <f t="shared" si="478"/>
        <v>68341.281650610341</v>
      </c>
      <c r="AI228" s="762">
        <f t="shared" si="503"/>
        <v>2801992.5476750238</v>
      </c>
      <c r="AJ228" s="762">
        <f t="shared" si="504"/>
        <v>140099.62738375118</v>
      </c>
      <c r="AK228" s="762">
        <f t="shared" si="505"/>
        <v>2942092.1750587751</v>
      </c>
      <c r="AL228" s="762">
        <f t="shared" si="506"/>
        <v>29420.921750587753</v>
      </c>
      <c r="AM228" s="762">
        <f t="shared" si="507"/>
        <v>27537.409960060559</v>
      </c>
      <c r="AN228" s="762"/>
      <c r="AO228" s="763">
        <f t="shared" si="508"/>
        <v>2999050.5067694234</v>
      </c>
      <c r="AP228" s="763">
        <f t="shared" si="509"/>
        <v>494843.33361695486</v>
      </c>
      <c r="AQ228" s="763">
        <f t="shared" si="510"/>
        <v>3493893.8403863781</v>
      </c>
      <c r="AR228" s="1178">
        <f t="shared" si="479"/>
        <v>3000000</v>
      </c>
      <c r="AS228" s="1178">
        <f t="shared" si="511"/>
        <v>22449.720017562642</v>
      </c>
      <c r="AT228" s="1178">
        <f t="shared" si="512"/>
        <v>493893.84038637811</v>
      </c>
      <c r="AU228" s="1178">
        <f t="shared" si="480"/>
        <v>59267.260846365374</v>
      </c>
      <c r="AV228" s="1178">
        <f t="shared" si="513"/>
        <v>553161.10123274347</v>
      </c>
      <c r="AW228" s="1178">
        <f t="shared" si="514"/>
        <v>3553161.1012327434</v>
      </c>
      <c r="AX228" s="762">
        <f t="shared" si="515"/>
        <v>44414.513765409298</v>
      </c>
      <c r="AY228" s="717" t="s">
        <v>231</v>
      </c>
      <c r="AZ228" s="717">
        <f t="shared" si="516"/>
        <v>3597575.6149981525</v>
      </c>
      <c r="BA228" s="717">
        <f t="shared" si="517"/>
        <v>134909.0855624307</v>
      </c>
      <c r="BB228" s="717"/>
      <c r="BC228" s="717">
        <f t="shared" si="481"/>
        <v>33600</v>
      </c>
      <c r="BD228" s="717">
        <f t="shared" si="518"/>
        <v>3766084.7005605833</v>
      </c>
      <c r="BE228" s="717"/>
      <c r="BF228" s="717">
        <f t="shared" si="519"/>
        <v>3766084.7005605833</v>
      </c>
      <c r="BG228" s="1209"/>
      <c r="BH228" s="717">
        <f t="shared" si="520"/>
        <v>3766084.7005605833</v>
      </c>
      <c r="BI228" s="717"/>
      <c r="BJ228" s="717">
        <f t="shared" si="521"/>
        <v>3766084.7005605833</v>
      </c>
      <c r="BK228" s="717"/>
      <c r="BL228" s="717">
        <f t="shared" si="522"/>
        <v>3766084.7005605833</v>
      </c>
      <c r="BM228" s="717"/>
      <c r="BN228" s="717">
        <f t="shared" si="523"/>
        <v>3766084.7005605833</v>
      </c>
      <c r="BO228" s="717"/>
      <c r="BP228" s="717">
        <f t="shared" si="482"/>
        <v>3766084.7005605833</v>
      </c>
      <c r="BQ228" s="717"/>
      <c r="BR228" s="717">
        <f t="shared" si="584"/>
        <v>3766084.7005605833</v>
      </c>
      <c r="BS228" s="717"/>
      <c r="BT228" s="717">
        <f t="shared" si="524"/>
        <v>3766084.7005605833</v>
      </c>
      <c r="BU228" s="717"/>
      <c r="BV228" s="1235">
        <f t="shared" si="585"/>
        <v>51400</v>
      </c>
      <c r="BW228" s="717">
        <f t="shared" si="525"/>
        <v>3817484.7005605833</v>
      </c>
      <c r="BX228" s="717"/>
      <c r="BY228" s="717">
        <f t="shared" si="526"/>
        <v>3817484.7005605833</v>
      </c>
      <c r="BZ228" s="1194">
        <f t="shared" si="527"/>
        <v>3817484.7005605833</v>
      </c>
      <c r="CA228" s="1194">
        <f t="shared" si="528"/>
        <v>3036484.7005605833</v>
      </c>
      <c r="CB228" s="1194">
        <v>35500</v>
      </c>
      <c r="CC228" s="1194">
        <f t="shared" si="529"/>
        <v>781000</v>
      </c>
      <c r="CD228" s="1194">
        <f t="shared" si="530"/>
        <v>93720</v>
      </c>
      <c r="CE228" s="1194">
        <f t="shared" si="531"/>
        <v>874720</v>
      </c>
      <c r="CF228" s="1200">
        <f t="shared" si="532"/>
        <v>3911204.7005605833</v>
      </c>
      <c r="CG228" s="757">
        <f t="shared" si="533"/>
        <v>3911204.7005605833</v>
      </c>
      <c r="CH228" s="758">
        <f t="shared" si="534"/>
        <v>0</v>
      </c>
      <c r="CI228" s="757">
        <f t="shared" si="483"/>
        <v>400898.48180745979</v>
      </c>
      <c r="CJ228" s="757">
        <f t="shared" si="484"/>
        <v>97780.117514014593</v>
      </c>
      <c r="CK228" s="759">
        <f t="shared" si="593"/>
        <v>4409883.2998820571</v>
      </c>
      <c r="CL228" s="764">
        <f t="shared" si="535"/>
        <v>0.125</v>
      </c>
      <c r="CM228" s="757">
        <f t="shared" si="536"/>
        <v>551235.41248525714</v>
      </c>
      <c r="CN228" s="757">
        <f t="shared" si="578"/>
        <v>30000</v>
      </c>
      <c r="CO228" s="757">
        <f t="shared" si="537"/>
        <v>521235.41248525714</v>
      </c>
      <c r="CP228" s="755">
        <f t="shared" si="538"/>
        <v>29</v>
      </c>
      <c r="CQ228" s="757">
        <f t="shared" si="581"/>
        <v>17973.634913284728</v>
      </c>
      <c r="CR228" s="764">
        <f t="shared" si="539"/>
        <v>0.875</v>
      </c>
      <c r="CS228" s="757">
        <f t="shared" si="540"/>
        <v>3858647.8873967999</v>
      </c>
      <c r="CT228" s="1101">
        <f t="shared" si="541"/>
        <v>29916.056000267581</v>
      </c>
      <c r="CU228" s="1101">
        <f t="shared" si="542"/>
        <v>34682.618084572365</v>
      </c>
      <c r="CV228" s="1101">
        <f t="shared" si="543"/>
        <v>44802.173804579899</v>
      </c>
      <c r="CW228" s="1141">
        <f t="shared" si="485"/>
        <v>76405.852915644326</v>
      </c>
      <c r="CX228" s="1152">
        <f t="shared" si="544"/>
        <v>313450.23266067571</v>
      </c>
      <c r="CY228" s="1152">
        <f t="shared" si="545"/>
        <v>124030.7301600819</v>
      </c>
      <c r="CZ228" s="1152">
        <f t="shared" si="546"/>
        <v>89585.639723259301</v>
      </c>
      <c r="DA228" s="1152">
        <f t="shared" si="547"/>
        <v>68178.796139241429</v>
      </c>
      <c r="DB228" s="1143">
        <f t="shared" si="486"/>
        <v>0.16463128012879272</v>
      </c>
      <c r="DC228" s="1143">
        <f t="shared" si="548"/>
        <v>0.28806995136135966</v>
      </c>
      <c r="DD228" s="1098" t="s">
        <v>232</v>
      </c>
      <c r="DE228" s="1144"/>
      <c r="DF228" s="705"/>
      <c r="DG228" s="765">
        <f t="shared" si="579"/>
        <v>46082</v>
      </c>
      <c r="DH228" s="1116">
        <f t="shared" si="487"/>
        <v>28</v>
      </c>
      <c r="DI228" s="497"/>
      <c r="DJ228" s="1117">
        <f t="shared" si="549"/>
        <v>46147</v>
      </c>
      <c r="DK228" s="1116">
        <f t="shared" si="550"/>
        <v>30</v>
      </c>
      <c r="DL228" s="766" t="s">
        <v>233</v>
      </c>
      <c r="DM228" s="766" t="s">
        <v>234</v>
      </c>
      <c r="DN228" s="767">
        <f t="shared" si="488"/>
        <v>25143.686419670157</v>
      </c>
      <c r="DO228" s="767">
        <f t="shared" si="489"/>
        <v>553161.10123274347</v>
      </c>
      <c r="DP228" s="768">
        <f t="shared" si="490"/>
        <v>0.18438703374424784</v>
      </c>
      <c r="DR228" s="767">
        <f t="shared" si="491"/>
        <v>3911204.7005605833</v>
      </c>
      <c r="DS228" s="767">
        <f>SUM('[6]INTERNAL PRICELIST'!M228)</f>
        <v>0</v>
      </c>
      <c r="DT228" s="767">
        <f t="shared" si="551"/>
        <v>3911204.7005605833</v>
      </c>
      <c r="DV228" s="951">
        <f t="shared" si="492"/>
        <v>177782.03184366287</v>
      </c>
      <c r="DX228" s="781"/>
      <c r="DY228" s="782"/>
      <c r="DZ228" s="781"/>
      <c r="EA228" s="775"/>
      <c r="ED228" s="755" t="s">
        <v>655</v>
      </c>
      <c r="EE228" s="777" t="b">
        <f t="shared" si="493"/>
        <v>1</v>
      </c>
      <c r="EF228" s="1123" t="s">
        <v>656</v>
      </c>
      <c r="EG228" s="1123" t="s">
        <v>654</v>
      </c>
      <c r="EH228" s="1203"/>
      <c r="EP228" s="1230" t="s">
        <v>236</v>
      </c>
      <c r="EQ228" s="1145" t="s">
        <v>236</v>
      </c>
      <c r="ER228" s="753" t="b">
        <f t="shared" si="552"/>
        <v>1</v>
      </c>
      <c r="EU228" s="770">
        <v>3133599.0274007288</v>
      </c>
      <c r="EV228" s="771" t="s">
        <v>258</v>
      </c>
      <c r="EW228" s="775">
        <f>EU228-CG228</f>
        <v>-777605.67315985449</v>
      </c>
      <c r="FJ228" s="994">
        <v>0.15</v>
      </c>
      <c r="FK228" s="993">
        <v>13486.5828155859</v>
      </c>
      <c r="FL228" s="993">
        <v>13851.085053844978</v>
      </c>
      <c r="FM228" s="497"/>
      <c r="FN228" s="993">
        <f t="shared" si="494"/>
        <v>4409883.2998820571</v>
      </c>
      <c r="FO228" s="994">
        <f t="shared" si="553"/>
        <v>0.15</v>
      </c>
      <c r="FP228" s="775">
        <f t="shared" si="495"/>
        <v>661482.49498230859</v>
      </c>
      <c r="FQ228" s="993">
        <f t="shared" si="496"/>
        <v>30000</v>
      </c>
      <c r="FR228" s="775">
        <f t="shared" si="554"/>
        <v>631482.49498230859</v>
      </c>
      <c r="FS228" s="497">
        <f t="shared" si="555"/>
        <v>40</v>
      </c>
      <c r="FT228" s="775">
        <f t="shared" si="556"/>
        <v>15787.062374557714</v>
      </c>
      <c r="FU228" s="497"/>
      <c r="FV228" s="993">
        <f t="shared" si="557"/>
        <v>4409883.2998820571</v>
      </c>
      <c r="FW228" s="705">
        <f t="shared" si="558"/>
        <v>440988.32998820575</v>
      </c>
      <c r="FX228" s="705">
        <f t="shared" si="559"/>
        <v>110247.08249705144</v>
      </c>
      <c r="FY228" s="705">
        <v>15000</v>
      </c>
      <c r="FZ228" s="705">
        <f t="shared" si="560"/>
        <v>425988.32998820575</v>
      </c>
      <c r="GA228" s="497">
        <f t="shared" si="561"/>
        <v>46</v>
      </c>
      <c r="GB228" s="775">
        <f t="shared" si="562"/>
        <v>9260.61586930882</v>
      </c>
      <c r="GC228" s="497"/>
      <c r="GD228" s="497"/>
      <c r="GH228" s="1095">
        <f t="shared" si="461"/>
        <v>4409883.2998820571</v>
      </c>
      <c r="GI228" s="1098">
        <f t="shared" si="462"/>
        <v>0.125</v>
      </c>
      <c r="GJ228" s="1095">
        <f t="shared" si="463"/>
        <v>551235.41248525714</v>
      </c>
      <c r="GK228" s="1095">
        <f t="shared" si="464"/>
        <v>30000</v>
      </c>
      <c r="GL228" s="1095">
        <f t="shared" si="465"/>
        <v>521235.41248525714</v>
      </c>
      <c r="GM228" s="1095">
        <f t="shared" si="466"/>
        <v>29</v>
      </c>
      <c r="GN228" s="1095">
        <f t="shared" si="467"/>
        <v>17973.634913284728</v>
      </c>
      <c r="GO228" s="1098">
        <f t="shared" si="468"/>
        <v>0.875</v>
      </c>
      <c r="GP228" s="1095">
        <f t="shared" si="469"/>
        <v>3858647.8873967999</v>
      </c>
      <c r="GQ228" s="1095">
        <f t="shared" si="470"/>
        <v>29916.056000267581</v>
      </c>
      <c r="GR228" s="1095">
        <f t="shared" si="471"/>
        <v>34682.618084572365</v>
      </c>
      <c r="GS228" s="1095">
        <f t="shared" si="472"/>
        <v>44802.173804579899</v>
      </c>
      <c r="GT228" s="1095">
        <f t="shared" si="473"/>
        <v>76405.852915644326</v>
      </c>
      <c r="GU228" s="497"/>
      <c r="GV228" s="1095">
        <f t="shared" si="563"/>
        <v>4409883.2998820571</v>
      </c>
      <c r="GW228" s="1098">
        <f t="shared" si="564"/>
        <v>0.125</v>
      </c>
      <c r="GX228" s="1095">
        <f t="shared" si="565"/>
        <v>551235.41248525714</v>
      </c>
      <c r="GY228" s="1095">
        <f t="shared" si="566"/>
        <v>30000</v>
      </c>
      <c r="GZ228" s="1095">
        <f t="shared" si="567"/>
        <v>521235.41248525714</v>
      </c>
      <c r="HA228" s="1106">
        <f t="shared" si="568"/>
        <v>48</v>
      </c>
      <c r="HB228" s="770">
        <f t="shared" si="569"/>
        <v>10859.071093442857</v>
      </c>
      <c r="HC228" s="1098">
        <f t="shared" si="570"/>
        <v>0.875</v>
      </c>
      <c r="HD228" s="1102">
        <f t="shared" si="571"/>
        <v>3858647.8873967999</v>
      </c>
      <c r="HE228" s="1101">
        <f t="shared" si="572"/>
        <v>29916.056000267581</v>
      </c>
      <c r="HF228" s="1101">
        <f t="shared" si="573"/>
        <v>34682.618084572365</v>
      </c>
      <c r="HG228" s="1101">
        <f t="shared" si="574"/>
        <v>44802.173804579899</v>
      </c>
      <c r="HH228" s="1101">
        <f t="shared" si="575"/>
        <v>76405.852915644326</v>
      </c>
      <c r="HI228" s="497"/>
      <c r="HJ228" s="1102">
        <f t="shared" si="576"/>
        <v>-7114.563819841871</v>
      </c>
      <c r="HL228" s="775"/>
      <c r="HN228" s="775"/>
      <c r="HO228" s="775"/>
      <c r="HQ228" s="702"/>
      <c r="HR228" s="1171"/>
      <c r="HS228" s="702"/>
      <c r="HT228" s="1171"/>
    </row>
    <row r="229" spans="1:228" ht="14.25" hidden="1" customHeight="1">
      <c r="A229" s="753">
        <f t="shared" si="577"/>
        <v>223</v>
      </c>
      <c r="B229" s="753" t="s">
        <v>236</v>
      </c>
      <c r="C229" s="753">
        <f t="shared" si="591"/>
        <v>6</v>
      </c>
      <c r="D229" s="753" t="s">
        <v>281</v>
      </c>
      <c r="E229" s="717" t="str">
        <f t="shared" si="497"/>
        <v>10th Floor</v>
      </c>
      <c r="F229" s="754"/>
      <c r="G229" s="756" t="s">
        <v>657</v>
      </c>
      <c r="H229" s="756"/>
      <c r="I229" s="755" t="s">
        <v>229</v>
      </c>
      <c r="J229" s="757">
        <v>22</v>
      </c>
      <c r="K229" s="758"/>
      <c r="L229" s="759" t="s">
        <v>69</v>
      </c>
      <c r="M229" s="760" t="s">
        <v>68</v>
      </c>
      <c r="N229" s="761">
        <f t="shared" si="498"/>
        <v>106005.26567735759</v>
      </c>
      <c r="O229" s="762">
        <f t="shared" si="499"/>
        <v>2332115.8449018667</v>
      </c>
      <c r="P229" s="762">
        <f t="shared" si="500"/>
        <v>22400</v>
      </c>
      <c r="Q229" s="762">
        <f t="shared" si="474"/>
        <v>50000</v>
      </c>
      <c r="R229" s="762"/>
      <c r="S229" s="762"/>
      <c r="T229" s="762"/>
      <c r="U229" s="762"/>
      <c r="V229" s="762"/>
      <c r="W229" s="762"/>
      <c r="X229" s="762"/>
      <c r="Y229" s="762">
        <f t="shared" si="592"/>
        <v>120000</v>
      </c>
      <c r="Z229" s="762">
        <f t="shared" si="475"/>
        <v>142461</v>
      </c>
      <c r="AA229" s="762"/>
      <c r="AB229" s="762"/>
      <c r="AC229" s="762"/>
      <c r="AD229" s="763">
        <f t="shared" si="501"/>
        <v>334861</v>
      </c>
      <c r="AE229" s="763">
        <f t="shared" si="476"/>
        <v>2666976.8449018667</v>
      </c>
      <c r="AF229" s="762">
        <f t="shared" si="477"/>
        <v>66674.421122546672</v>
      </c>
      <c r="AG229" s="762">
        <f t="shared" si="502"/>
        <v>2733651.2660244135</v>
      </c>
      <c r="AH229" s="762">
        <f t="shared" si="478"/>
        <v>68341.281650610341</v>
      </c>
      <c r="AI229" s="762">
        <f t="shared" si="503"/>
        <v>2801992.5476750238</v>
      </c>
      <c r="AJ229" s="762">
        <f t="shared" si="504"/>
        <v>140099.62738375118</v>
      </c>
      <c r="AK229" s="762">
        <f t="shared" si="505"/>
        <v>2942092.1750587751</v>
      </c>
      <c r="AL229" s="762">
        <f t="shared" si="506"/>
        <v>29420.921750587753</v>
      </c>
      <c r="AM229" s="762">
        <f t="shared" si="507"/>
        <v>27537.409960060559</v>
      </c>
      <c r="AN229" s="762"/>
      <c r="AO229" s="763">
        <f t="shared" si="508"/>
        <v>2999050.5067694234</v>
      </c>
      <c r="AP229" s="763">
        <f t="shared" si="509"/>
        <v>494843.33361695486</v>
      </c>
      <c r="AQ229" s="763">
        <f t="shared" si="510"/>
        <v>3493893.8403863781</v>
      </c>
      <c r="AR229" s="1178">
        <f t="shared" si="479"/>
        <v>3000000</v>
      </c>
      <c r="AS229" s="1178">
        <f t="shared" si="511"/>
        <v>22449.720017562642</v>
      </c>
      <c r="AT229" s="1178">
        <f t="shared" si="512"/>
        <v>493893.84038637811</v>
      </c>
      <c r="AU229" s="1178">
        <f t="shared" si="480"/>
        <v>59267.260846365374</v>
      </c>
      <c r="AV229" s="1178">
        <f t="shared" si="513"/>
        <v>553161.10123274347</v>
      </c>
      <c r="AW229" s="1178">
        <f t="shared" si="514"/>
        <v>3553161.1012327434</v>
      </c>
      <c r="AX229" s="762">
        <f t="shared" si="515"/>
        <v>44414.513765409298</v>
      </c>
      <c r="AY229" s="717" t="s">
        <v>231</v>
      </c>
      <c r="AZ229" s="717">
        <f t="shared" si="516"/>
        <v>3597575.6149981525</v>
      </c>
      <c r="BA229" s="717">
        <f t="shared" si="517"/>
        <v>134909.0855624307</v>
      </c>
      <c r="BB229" s="717"/>
      <c r="BC229" s="717">
        <f t="shared" si="481"/>
        <v>33600</v>
      </c>
      <c r="BD229" s="717">
        <f t="shared" si="518"/>
        <v>3766084.7005605833</v>
      </c>
      <c r="BE229" s="717"/>
      <c r="BF229" s="717">
        <f t="shared" si="519"/>
        <v>3766084.7005605833</v>
      </c>
      <c r="BG229" s="1209"/>
      <c r="BH229" s="717">
        <f t="shared" si="520"/>
        <v>3766084.7005605833</v>
      </c>
      <c r="BI229" s="717"/>
      <c r="BJ229" s="717">
        <f t="shared" si="521"/>
        <v>3766084.7005605833</v>
      </c>
      <c r="BK229" s="717"/>
      <c r="BL229" s="717">
        <f t="shared" si="522"/>
        <v>3766084.7005605833</v>
      </c>
      <c r="BM229" s="717"/>
      <c r="BN229" s="717">
        <f t="shared" si="523"/>
        <v>3766084.7005605833</v>
      </c>
      <c r="BO229" s="717"/>
      <c r="BP229" s="717">
        <f t="shared" si="482"/>
        <v>3766084.7005605833</v>
      </c>
      <c r="BQ229" s="717"/>
      <c r="BR229" s="717">
        <f t="shared" si="584"/>
        <v>3766084.7005605833</v>
      </c>
      <c r="BS229" s="717"/>
      <c r="BT229" s="717">
        <f t="shared" si="524"/>
        <v>3766084.7005605833</v>
      </c>
      <c r="BU229" s="717"/>
      <c r="BV229" s="1235">
        <f t="shared" si="585"/>
        <v>51400</v>
      </c>
      <c r="BW229" s="717">
        <f t="shared" si="525"/>
        <v>3817484.7005605833</v>
      </c>
      <c r="BX229" s="717"/>
      <c r="BY229" s="717">
        <f t="shared" si="526"/>
        <v>3817484.7005605833</v>
      </c>
      <c r="BZ229" s="1194">
        <f t="shared" si="527"/>
        <v>3817484.7005605833</v>
      </c>
      <c r="CA229" s="1194">
        <f t="shared" si="528"/>
        <v>3036484.7005605833</v>
      </c>
      <c r="CB229" s="1194">
        <v>35500</v>
      </c>
      <c r="CC229" s="1194">
        <f t="shared" si="529"/>
        <v>781000</v>
      </c>
      <c r="CD229" s="1194">
        <f t="shared" si="530"/>
        <v>93720</v>
      </c>
      <c r="CE229" s="1194">
        <f t="shared" si="531"/>
        <v>874720</v>
      </c>
      <c r="CF229" s="1200">
        <f t="shared" si="532"/>
        <v>3911204.7005605833</v>
      </c>
      <c r="CG229" s="757">
        <f t="shared" si="533"/>
        <v>3911204.7005605833</v>
      </c>
      <c r="CH229" s="758">
        <f t="shared" si="534"/>
        <v>0</v>
      </c>
      <c r="CI229" s="757">
        <f t="shared" si="483"/>
        <v>400898.48180745979</v>
      </c>
      <c r="CJ229" s="757">
        <f t="shared" si="484"/>
        <v>97780.117514014593</v>
      </c>
      <c r="CK229" s="759">
        <f t="shared" si="593"/>
        <v>4409883.2998820571</v>
      </c>
      <c r="CL229" s="764">
        <f t="shared" si="535"/>
        <v>0.125</v>
      </c>
      <c r="CM229" s="757">
        <f t="shared" si="536"/>
        <v>551235.41248525714</v>
      </c>
      <c r="CN229" s="757">
        <f t="shared" si="578"/>
        <v>30000</v>
      </c>
      <c r="CO229" s="757">
        <f t="shared" si="537"/>
        <v>521235.41248525714</v>
      </c>
      <c r="CP229" s="755">
        <f t="shared" si="538"/>
        <v>29</v>
      </c>
      <c r="CQ229" s="757">
        <f t="shared" si="581"/>
        <v>17973.634913284728</v>
      </c>
      <c r="CR229" s="764">
        <f t="shared" si="539"/>
        <v>0.875</v>
      </c>
      <c r="CS229" s="757">
        <f t="shared" si="540"/>
        <v>3858647.8873967999</v>
      </c>
      <c r="CT229" s="1101">
        <f t="shared" si="541"/>
        <v>29916.056000267581</v>
      </c>
      <c r="CU229" s="1101">
        <f t="shared" si="542"/>
        <v>34682.618084572365</v>
      </c>
      <c r="CV229" s="1101">
        <f t="shared" si="543"/>
        <v>44802.173804579899</v>
      </c>
      <c r="CW229" s="1141">
        <f t="shared" si="485"/>
        <v>76405.852915644326</v>
      </c>
      <c r="CX229" s="1152">
        <f t="shared" si="544"/>
        <v>313450.23266067571</v>
      </c>
      <c r="CY229" s="1152">
        <f t="shared" si="545"/>
        <v>124030.7301600819</v>
      </c>
      <c r="CZ229" s="1152">
        <f t="shared" si="546"/>
        <v>89585.639723259301</v>
      </c>
      <c r="DA229" s="1152">
        <f t="shared" si="547"/>
        <v>68178.796139241429</v>
      </c>
      <c r="DB229" s="1143">
        <f t="shared" si="486"/>
        <v>0.16463128012879272</v>
      </c>
      <c r="DC229" s="1143">
        <f t="shared" si="548"/>
        <v>0.28806995136135966</v>
      </c>
      <c r="DD229" s="1098" t="s">
        <v>232</v>
      </c>
      <c r="DE229" s="1144"/>
      <c r="DF229" s="705"/>
      <c r="DG229" s="765">
        <f t="shared" si="579"/>
        <v>46082</v>
      </c>
      <c r="DH229" s="1116">
        <f t="shared" si="487"/>
        <v>28</v>
      </c>
      <c r="DI229" s="497"/>
      <c r="DJ229" s="1117">
        <f t="shared" si="549"/>
        <v>46147</v>
      </c>
      <c r="DK229" s="1116">
        <f t="shared" si="550"/>
        <v>30</v>
      </c>
      <c r="DL229" s="766" t="s">
        <v>233</v>
      </c>
      <c r="DM229" s="766" t="s">
        <v>234</v>
      </c>
      <c r="DN229" s="767">
        <f t="shared" si="488"/>
        <v>25143.686419670157</v>
      </c>
      <c r="DO229" s="767">
        <f t="shared" si="489"/>
        <v>553161.10123274347</v>
      </c>
      <c r="DP229" s="768">
        <f t="shared" si="490"/>
        <v>0.18438703374424784</v>
      </c>
      <c r="DR229" s="767">
        <f t="shared" si="491"/>
        <v>3911204.7005605833</v>
      </c>
      <c r="DS229" s="767">
        <f>SUM('[6]INTERNAL PRICELIST'!M229)</f>
        <v>0</v>
      </c>
      <c r="DT229" s="767">
        <f t="shared" si="551"/>
        <v>3911204.7005605833</v>
      </c>
      <c r="DV229" s="951">
        <f t="shared" si="492"/>
        <v>177782.03184366287</v>
      </c>
      <c r="DX229" s="781"/>
      <c r="DY229" s="782"/>
      <c r="DZ229" s="781"/>
      <c r="EA229" s="775"/>
      <c r="ED229" s="755" t="s">
        <v>657</v>
      </c>
      <c r="EE229" s="777" t="b">
        <f t="shared" si="493"/>
        <v>1</v>
      </c>
      <c r="EF229" s="1123" t="s">
        <v>658</v>
      </c>
      <c r="EG229" s="1123" t="s">
        <v>654</v>
      </c>
      <c r="EH229" s="1203"/>
      <c r="EP229" s="1230" t="s">
        <v>236</v>
      </c>
      <c r="EQ229" s="1145" t="s">
        <v>236</v>
      </c>
      <c r="ER229" s="753" t="b">
        <f t="shared" si="552"/>
        <v>1</v>
      </c>
      <c r="EU229" s="770">
        <v>3133599.0274007288</v>
      </c>
      <c r="EV229" s="771" t="s">
        <v>258</v>
      </c>
      <c r="EW229" s="775">
        <f>EU229-CG229</f>
        <v>-777605.67315985449</v>
      </c>
      <c r="FJ229" s="994">
        <v>0.15</v>
      </c>
      <c r="FK229" s="993">
        <v>13486.5828155859</v>
      </c>
      <c r="FL229" s="993">
        <v>13851.085053844978</v>
      </c>
      <c r="FM229" s="497"/>
      <c r="FN229" s="993">
        <f t="shared" si="494"/>
        <v>4409883.2998820571</v>
      </c>
      <c r="FO229" s="994">
        <f t="shared" si="553"/>
        <v>0.15</v>
      </c>
      <c r="FP229" s="775">
        <f t="shared" si="495"/>
        <v>661482.49498230859</v>
      </c>
      <c r="FQ229" s="993">
        <f t="shared" si="496"/>
        <v>30000</v>
      </c>
      <c r="FR229" s="775">
        <f t="shared" si="554"/>
        <v>631482.49498230859</v>
      </c>
      <c r="FS229" s="497">
        <f t="shared" si="555"/>
        <v>40</v>
      </c>
      <c r="FT229" s="775">
        <f t="shared" si="556"/>
        <v>15787.062374557714</v>
      </c>
      <c r="FU229" s="497"/>
      <c r="FV229" s="993">
        <f t="shared" si="557"/>
        <v>4409883.2998820571</v>
      </c>
      <c r="FW229" s="705">
        <f t="shared" si="558"/>
        <v>440988.32998820575</v>
      </c>
      <c r="FX229" s="705">
        <f t="shared" si="559"/>
        <v>110247.08249705144</v>
      </c>
      <c r="FY229" s="705">
        <v>15000</v>
      </c>
      <c r="FZ229" s="705">
        <f t="shared" si="560"/>
        <v>425988.32998820575</v>
      </c>
      <c r="GA229" s="497">
        <f t="shared" si="561"/>
        <v>46</v>
      </c>
      <c r="GB229" s="775">
        <f t="shared" si="562"/>
        <v>9260.61586930882</v>
      </c>
      <c r="GC229" s="497"/>
      <c r="GD229" s="497"/>
      <c r="GH229" s="1095">
        <f t="shared" si="461"/>
        <v>4409883.2998820571</v>
      </c>
      <c r="GI229" s="1098">
        <f t="shared" si="462"/>
        <v>0.125</v>
      </c>
      <c r="GJ229" s="1095">
        <f t="shared" si="463"/>
        <v>551235.41248525714</v>
      </c>
      <c r="GK229" s="1095">
        <f t="shared" si="464"/>
        <v>30000</v>
      </c>
      <c r="GL229" s="1095">
        <f t="shared" si="465"/>
        <v>521235.41248525714</v>
      </c>
      <c r="GM229" s="1095">
        <f t="shared" si="466"/>
        <v>29</v>
      </c>
      <c r="GN229" s="1095">
        <f t="shared" si="467"/>
        <v>17973.634913284728</v>
      </c>
      <c r="GO229" s="1098">
        <f t="shared" si="468"/>
        <v>0.875</v>
      </c>
      <c r="GP229" s="1095">
        <f t="shared" si="469"/>
        <v>3858647.8873967999</v>
      </c>
      <c r="GQ229" s="1095">
        <f t="shared" si="470"/>
        <v>29916.056000267581</v>
      </c>
      <c r="GR229" s="1095">
        <f t="shared" si="471"/>
        <v>34682.618084572365</v>
      </c>
      <c r="GS229" s="1095">
        <f t="shared" si="472"/>
        <v>44802.173804579899</v>
      </c>
      <c r="GT229" s="1095">
        <f t="shared" si="473"/>
        <v>76405.852915644326</v>
      </c>
      <c r="GU229" s="497"/>
      <c r="GV229" s="1095">
        <f t="shared" si="563"/>
        <v>4409883.2998820571</v>
      </c>
      <c r="GW229" s="1098">
        <f t="shared" si="564"/>
        <v>0.125</v>
      </c>
      <c r="GX229" s="1095">
        <f t="shared" si="565"/>
        <v>551235.41248525714</v>
      </c>
      <c r="GY229" s="1095">
        <f t="shared" si="566"/>
        <v>30000</v>
      </c>
      <c r="GZ229" s="1095">
        <f t="shared" si="567"/>
        <v>521235.41248525714</v>
      </c>
      <c r="HA229" s="1106">
        <f t="shared" si="568"/>
        <v>48</v>
      </c>
      <c r="HB229" s="770">
        <f t="shared" si="569"/>
        <v>10859.071093442857</v>
      </c>
      <c r="HC229" s="1098">
        <f t="shared" si="570"/>
        <v>0.875</v>
      </c>
      <c r="HD229" s="1102">
        <f t="shared" si="571"/>
        <v>3858647.8873967999</v>
      </c>
      <c r="HE229" s="1101">
        <f t="shared" si="572"/>
        <v>29916.056000267581</v>
      </c>
      <c r="HF229" s="1101">
        <f t="shared" si="573"/>
        <v>34682.618084572365</v>
      </c>
      <c r="HG229" s="1101">
        <f t="shared" si="574"/>
        <v>44802.173804579899</v>
      </c>
      <c r="HH229" s="1101">
        <f t="shared" si="575"/>
        <v>76405.852915644326</v>
      </c>
      <c r="HI229" s="497"/>
      <c r="HJ229" s="1102">
        <f t="shared" si="576"/>
        <v>-7114.563819841871</v>
      </c>
      <c r="HL229" s="775"/>
      <c r="HN229" s="775"/>
      <c r="HO229" s="775"/>
      <c r="HQ229" s="702"/>
      <c r="HR229" s="1171"/>
      <c r="HS229" s="702"/>
      <c r="HT229" s="1171"/>
    </row>
    <row r="230" spans="1:228" ht="14.25" hidden="1" customHeight="1">
      <c r="A230" s="753">
        <f t="shared" si="577"/>
        <v>224</v>
      </c>
      <c r="B230" s="753" t="s">
        <v>236</v>
      </c>
      <c r="C230" s="753">
        <f t="shared" si="591"/>
        <v>7</v>
      </c>
      <c r="D230" s="753" t="s">
        <v>281</v>
      </c>
      <c r="E230" s="717" t="str">
        <f t="shared" si="497"/>
        <v>10th Floor</v>
      </c>
      <c r="F230" s="754"/>
      <c r="G230" s="756" t="s">
        <v>659</v>
      </c>
      <c r="H230" s="756"/>
      <c r="I230" s="755" t="s">
        <v>229</v>
      </c>
      <c r="J230" s="757">
        <v>22</v>
      </c>
      <c r="K230" s="758"/>
      <c r="L230" s="759" t="s">
        <v>69</v>
      </c>
      <c r="M230" s="760" t="s">
        <v>68</v>
      </c>
      <c r="N230" s="761">
        <f t="shared" si="498"/>
        <v>106005.26567735759</v>
      </c>
      <c r="O230" s="762">
        <f t="shared" si="499"/>
        <v>2332115.8449018667</v>
      </c>
      <c r="P230" s="762">
        <f t="shared" si="500"/>
        <v>22400</v>
      </c>
      <c r="Q230" s="762">
        <f t="shared" si="474"/>
        <v>50000</v>
      </c>
      <c r="R230" s="762"/>
      <c r="S230" s="762"/>
      <c r="T230" s="762"/>
      <c r="U230" s="762"/>
      <c r="V230" s="762"/>
      <c r="W230" s="762"/>
      <c r="X230" s="762"/>
      <c r="Y230" s="762">
        <f t="shared" si="592"/>
        <v>120000</v>
      </c>
      <c r="Z230" s="762">
        <f t="shared" si="475"/>
        <v>142461</v>
      </c>
      <c r="AA230" s="762"/>
      <c r="AB230" s="762"/>
      <c r="AC230" s="762"/>
      <c r="AD230" s="763">
        <f t="shared" si="501"/>
        <v>334861</v>
      </c>
      <c r="AE230" s="763">
        <f t="shared" si="476"/>
        <v>2666976.8449018667</v>
      </c>
      <c r="AF230" s="762">
        <f t="shared" si="477"/>
        <v>66674.421122546672</v>
      </c>
      <c r="AG230" s="762">
        <f t="shared" si="502"/>
        <v>2733651.2660244135</v>
      </c>
      <c r="AH230" s="762">
        <f t="shared" si="478"/>
        <v>68341.281650610341</v>
      </c>
      <c r="AI230" s="762">
        <f t="shared" si="503"/>
        <v>2801992.5476750238</v>
      </c>
      <c r="AJ230" s="762">
        <f t="shared" si="504"/>
        <v>140099.62738375118</v>
      </c>
      <c r="AK230" s="762">
        <f t="shared" si="505"/>
        <v>2942092.1750587751</v>
      </c>
      <c r="AL230" s="762">
        <f t="shared" si="506"/>
        <v>29420.921750587753</v>
      </c>
      <c r="AM230" s="762">
        <f t="shared" si="507"/>
        <v>27537.409960060559</v>
      </c>
      <c r="AN230" s="762"/>
      <c r="AO230" s="763">
        <f t="shared" si="508"/>
        <v>2999050.5067694234</v>
      </c>
      <c r="AP230" s="763">
        <f t="shared" si="509"/>
        <v>494843.33361695486</v>
      </c>
      <c r="AQ230" s="763">
        <f t="shared" si="510"/>
        <v>3493893.8403863781</v>
      </c>
      <c r="AR230" s="1178">
        <f t="shared" si="479"/>
        <v>3000000</v>
      </c>
      <c r="AS230" s="1178">
        <f t="shared" si="511"/>
        <v>22449.720017562642</v>
      </c>
      <c r="AT230" s="1178">
        <f t="shared" si="512"/>
        <v>493893.84038637811</v>
      </c>
      <c r="AU230" s="1178">
        <f t="shared" si="480"/>
        <v>59267.260846365374</v>
      </c>
      <c r="AV230" s="1178">
        <f t="shared" si="513"/>
        <v>553161.10123274347</v>
      </c>
      <c r="AW230" s="1178">
        <f t="shared" si="514"/>
        <v>3553161.1012327434</v>
      </c>
      <c r="AX230" s="762">
        <f t="shared" si="515"/>
        <v>44414.513765409298</v>
      </c>
      <c r="AY230" s="717" t="s">
        <v>231</v>
      </c>
      <c r="AZ230" s="717">
        <f t="shared" si="516"/>
        <v>3597575.6149981525</v>
      </c>
      <c r="BA230" s="717">
        <f t="shared" si="517"/>
        <v>134909.0855624307</v>
      </c>
      <c r="BB230" s="717"/>
      <c r="BC230" s="717">
        <f t="shared" si="481"/>
        <v>33600</v>
      </c>
      <c r="BD230" s="717">
        <f t="shared" si="518"/>
        <v>3766084.7005605833</v>
      </c>
      <c r="BE230" s="717"/>
      <c r="BF230" s="717">
        <f t="shared" si="519"/>
        <v>3766084.7005605833</v>
      </c>
      <c r="BG230" s="1209"/>
      <c r="BH230" s="717">
        <f t="shared" si="520"/>
        <v>3766084.7005605833</v>
      </c>
      <c r="BI230" s="717"/>
      <c r="BJ230" s="717">
        <f t="shared" si="521"/>
        <v>3766084.7005605833</v>
      </c>
      <c r="BK230" s="717"/>
      <c r="BL230" s="717">
        <f t="shared" si="522"/>
        <v>3766084.7005605833</v>
      </c>
      <c r="BM230" s="717"/>
      <c r="BN230" s="717">
        <f t="shared" si="523"/>
        <v>3766084.7005605833</v>
      </c>
      <c r="BO230" s="717"/>
      <c r="BP230" s="717">
        <f t="shared" si="482"/>
        <v>3766084.7005605833</v>
      </c>
      <c r="BQ230" s="717"/>
      <c r="BR230" s="717">
        <f t="shared" si="584"/>
        <v>3766084.7005605833</v>
      </c>
      <c r="BS230" s="717"/>
      <c r="BT230" s="717">
        <f t="shared" si="524"/>
        <v>3766084.7005605833</v>
      </c>
      <c r="BU230" s="717"/>
      <c r="BV230" s="1235">
        <f t="shared" si="585"/>
        <v>51400</v>
      </c>
      <c r="BW230" s="717">
        <f t="shared" si="525"/>
        <v>3817484.7005605833</v>
      </c>
      <c r="BX230" s="717"/>
      <c r="BY230" s="717">
        <f t="shared" si="526"/>
        <v>3817484.7005605833</v>
      </c>
      <c r="BZ230" s="1194">
        <f t="shared" si="527"/>
        <v>3817484.7005605833</v>
      </c>
      <c r="CA230" s="1194">
        <f t="shared" si="528"/>
        <v>3036484.7005605833</v>
      </c>
      <c r="CB230" s="1194">
        <v>35500</v>
      </c>
      <c r="CC230" s="1194">
        <f t="shared" si="529"/>
        <v>781000</v>
      </c>
      <c r="CD230" s="1194">
        <f t="shared" si="530"/>
        <v>93720</v>
      </c>
      <c r="CE230" s="1194">
        <f t="shared" si="531"/>
        <v>874720</v>
      </c>
      <c r="CF230" s="1200">
        <f t="shared" si="532"/>
        <v>3911204.7005605833</v>
      </c>
      <c r="CG230" s="757">
        <f t="shared" si="533"/>
        <v>3911204.7005605833</v>
      </c>
      <c r="CH230" s="758">
        <f t="shared" si="534"/>
        <v>0</v>
      </c>
      <c r="CI230" s="757">
        <f t="shared" si="483"/>
        <v>400898.48180745979</v>
      </c>
      <c r="CJ230" s="757">
        <f t="shared" si="484"/>
        <v>97780.117514014593</v>
      </c>
      <c r="CK230" s="759">
        <f t="shared" si="593"/>
        <v>4409883.2998820571</v>
      </c>
      <c r="CL230" s="764">
        <f t="shared" si="535"/>
        <v>0.125</v>
      </c>
      <c r="CM230" s="757">
        <f t="shared" si="536"/>
        <v>551235.41248525714</v>
      </c>
      <c r="CN230" s="757">
        <f t="shared" si="578"/>
        <v>30000</v>
      </c>
      <c r="CO230" s="757">
        <f t="shared" si="537"/>
        <v>521235.41248525714</v>
      </c>
      <c r="CP230" s="755">
        <f t="shared" si="538"/>
        <v>29</v>
      </c>
      <c r="CQ230" s="757">
        <f t="shared" si="581"/>
        <v>17973.634913284728</v>
      </c>
      <c r="CR230" s="764">
        <f t="shared" si="539"/>
        <v>0.875</v>
      </c>
      <c r="CS230" s="757">
        <f t="shared" si="540"/>
        <v>3858647.8873967999</v>
      </c>
      <c r="CT230" s="1101">
        <f t="shared" si="541"/>
        <v>29916.056000267581</v>
      </c>
      <c r="CU230" s="1101">
        <f t="shared" si="542"/>
        <v>34682.618084572365</v>
      </c>
      <c r="CV230" s="1101">
        <f t="shared" si="543"/>
        <v>44802.173804579899</v>
      </c>
      <c r="CW230" s="1141">
        <f t="shared" si="485"/>
        <v>76405.852915644326</v>
      </c>
      <c r="CX230" s="1152">
        <f t="shared" si="544"/>
        <v>313450.23266067571</v>
      </c>
      <c r="CY230" s="1152">
        <f t="shared" si="545"/>
        <v>124030.7301600819</v>
      </c>
      <c r="CZ230" s="1152">
        <f t="shared" si="546"/>
        <v>89585.639723259301</v>
      </c>
      <c r="DA230" s="1152">
        <f t="shared" si="547"/>
        <v>68178.796139241429</v>
      </c>
      <c r="DB230" s="1143">
        <f t="shared" si="486"/>
        <v>0.16463128012879272</v>
      </c>
      <c r="DC230" s="1143">
        <f t="shared" si="548"/>
        <v>0.28806995136135966</v>
      </c>
      <c r="DD230" s="1098" t="s">
        <v>232</v>
      </c>
      <c r="DE230" s="1144"/>
      <c r="DF230" s="705"/>
      <c r="DG230" s="765">
        <f t="shared" si="579"/>
        <v>46082</v>
      </c>
      <c r="DH230" s="1116">
        <f t="shared" si="487"/>
        <v>28</v>
      </c>
      <c r="DI230" s="497"/>
      <c r="DJ230" s="1117">
        <f t="shared" si="549"/>
        <v>46147</v>
      </c>
      <c r="DK230" s="1116">
        <f t="shared" si="550"/>
        <v>30</v>
      </c>
      <c r="DL230" s="766" t="s">
        <v>233</v>
      </c>
      <c r="DM230" s="766" t="s">
        <v>234</v>
      </c>
      <c r="DN230" s="767">
        <f t="shared" si="488"/>
        <v>25143.686419670157</v>
      </c>
      <c r="DO230" s="767">
        <f t="shared" si="489"/>
        <v>553161.10123274347</v>
      </c>
      <c r="DP230" s="768">
        <f t="shared" si="490"/>
        <v>0.18438703374424784</v>
      </c>
      <c r="DR230" s="767">
        <f t="shared" si="491"/>
        <v>3911204.7005605833</v>
      </c>
      <c r="DS230" s="767">
        <f>SUM('[6]INTERNAL PRICELIST'!M230)</f>
        <v>0</v>
      </c>
      <c r="DT230" s="767">
        <f t="shared" si="551"/>
        <v>3911204.7005605833</v>
      </c>
      <c r="DV230" s="951">
        <f t="shared" si="492"/>
        <v>177782.03184366287</v>
      </c>
      <c r="DX230" s="781"/>
      <c r="DY230" s="782"/>
      <c r="DZ230" s="781"/>
      <c r="EA230" s="775"/>
      <c r="ED230" s="755" t="s">
        <v>659</v>
      </c>
      <c r="EE230" s="777" t="b">
        <f t="shared" si="493"/>
        <v>1</v>
      </c>
      <c r="EF230" s="1123" t="s">
        <v>660</v>
      </c>
      <c r="EG230" s="1123" t="s">
        <v>654</v>
      </c>
      <c r="EH230" s="1203"/>
      <c r="EP230" s="1230" t="s">
        <v>236</v>
      </c>
      <c r="EQ230" s="1145" t="s">
        <v>236</v>
      </c>
      <c r="ER230" s="753" t="b">
        <f t="shared" si="552"/>
        <v>1</v>
      </c>
      <c r="EU230" s="770">
        <v>3133599.0274007288</v>
      </c>
      <c r="EV230" s="771" t="s">
        <v>258</v>
      </c>
      <c r="EW230" s="775">
        <f>EU230-CG230</f>
        <v>-777605.67315985449</v>
      </c>
      <c r="EY230" s="775">
        <v>3100206.5987977991</v>
      </c>
      <c r="FJ230" s="994">
        <v>0.125</v>
      </c>
      <c r="FK230" s="993">
        <v>11173.02953930404</v>
      </c>
      <c r="FL230" s="993">
        <v>11475.003310636581</v>
      </c>
      <c r="FM230" s="497"/>
      <c r="FN230" s="993">
        <f t="shared" si="494"/>
        <v>4409883.2998820571</v>
      </c>
      <c r="FO230" s="994">
        <f t="shared" si="553"/>
        <v>0.15</v>
      </c>
      <c r="FP230" s="775">
        <f t="shared" si="495"/>
        <v>661482.49498230859</v>
      </c>
      <c r="FQ230" s="993">
        <f t="shared" si="496"/>
        <v>30000</v>
      </c>
      <c r="FR230" s="775">
        <f t="shared" si="554"/>
        <v>631482.49498230859</v>
      </c>
      <c r="FS230" s="497">
        <f t="shared" si="555"/>
        <v>40</v>
      </c>
      <c r="FT230" s="775">
        <f t="shared" si="556"/>
        <v>15787.062374557714</v>
      </c>
      <c r="FU230" s="497"/>
      <c r="FV230" s="993">
        <f t="shared" si="557"/>
        <v>4409883.2998820571</v>
      </c>
      <c r="FW230" s="705">
        <f t="shared" si="558"/>
        <v>440988.32998820575</v>
      </c>
      <c r="FX230" s="705">
        <f t="shared" si="559"/>
        <v>110247.08249705144</v>
      </c>
      <c r="FY230" s="705">
        <v>15000</v>
      </c>
      <c r="FZ230" s="705">
        <f t="shared" si="560"/>
        <v>425988.32998820575</v>
      </c>
      <c r="GA230" s="497">
        <f t="shared" si="561"/>
        <v>46</v>
      </c>
      <c r="GB230" s="775">
        <f t="shared" si="562"/>
        <v>9260.61586930882</v>
      </c>
      <c r="GC230" s="497"/>
      <c r="GD230" s="497"/>
      <c r="GH230" s="1095">
        <f t="shared" si="461"/>
        <v>4409883.2998820571</v>
      </c>
      <c r="GI230" s="1098">
        <f t="shared" si="462"/>
        <v>0.125</v>
      </c>
      <c r="GJ230" s="1095">
        <f t="shared" si="463"/>
        <v>551235.41248525714</v>
      </c>
      <c r="GK230" s="1095">
        <f t="shared" si="464"/>
        <v>30000</v>
      </c>
      <c r="GL230" s="1095">
        <f t="shared" si="465"/>
        <v>521235.41248525714</v>
      </c>
      <c r="GM230" s="1095">
        <f t="shared" si="466"/>
        <v>29</v>
      </c>
      <c r="GN230" s="1095">
        <f t="shared" si="467"/>
        <v>17973.634913284728</v>
      </c>
      <c r="GO230" s="1098">
        <f t="shared" si="468"/>
        <v>0.875</v>
      </c>
      <c r="GP230" s="1095">
        <f t="shared" si="469"/>
        <v>3858647.8873967999</v>
      </c>
      <c r="GQ230" s="1095">
        <f t="shared" si="470"/>
        <v>29916.056000267581</v>
      </c>
      <c r="GR230" s="1095">
        <f t="shared" si="471"/>
        <v>34682.618084572365</v>
      </c>
      <c r="GS230" s="1095">
        <f t="shared" si="472"/>
        <v>44802.173804579899</v>
      </c>
      <c r="GT230" s="1095">
        <f t="shared" si="473"/>
        <v>76405.852915644326</v>
      </c>
      <c r="GU230" s="497"/>
      <c r="GV230" s="1095">
        <f t="shared" si="563"/>
        <v>4409883.2998820571</v>
      </c>
      <c r="GW230" s="1098">
        <f t="shared" si="564"/>
        <v>0.125</v>
      </c>
      <c r="GX230" s="1095">
        <f t="shared" si="565"/>
        <v>551235.41248525714</v>
      </c>
      <c r="GY230" s="1095">
        <f t="shared" si="566"/>
        <v>30000</v>
      </c>
      <c r="GZ230" s="1095">
        <f t="shared" si="567"/>
        <v>521235.41248525714</v>
      </c>
      <c r="HA230" s="1106">
        <f t="shared" si="568"/>
        <v>48</v>
      </c>
      <c r="HB230" s="770">
        <f t="shared" si="569"/>
        <v>10859.071093442857</v>
      </c>
      <c r="HC230" s="1098">
        <f t="shared" si="570"/>
        <v>0.875</v>
      </c>
      <c r="HD230" s="1102">
        <f t="shared" si="571"/>
        <v>3858647.8873967999</v>
      </c>
      <c r="HE230" s="1101">
        <f t="shared" si="572"/>
        <v>29916.056000267581</v>
      </c>
      <c r="HF230" s="1101">
        <f t="shared" si="573"/>
        <v>34682.618084572365</v>
      </c>
      <c r="HG230" s="1101">
        <f t="shared" si="574"/>
        <v>44802.173804579899</v>
      </c>
      <c r="HH230" s="1101">
        <f t="shared" si="575"/>
        <v>76405.852915644326</v>
      </c>
      <c r="HI230" s="497"/>
      <c r="HJ230" s="1102">
        <f t="shared" si="576"/>
        <v>-7114.563819841871</v>
      </c>
      <c r="HL230" s="775"/>
      <c r="HN230" s="775"/>
      <c r="HO230" s="775"/>
      <c r="HQ230" s="702"/>
      <c r="HR230" s="1171"/>
      <c r="HS230" s="702"/>
      <c r="HT230" s="1171"/>
    </row>
    <row r="231" spans="1:228" ht="14.25" hidden="1" customHeight="1">
      <c r="A231" s="753">
        <f t="shared" si="577"/>
        <v>225</v>
      </c>
      <c r="B231" s="753" t="s">
        <v>236</v>
      </c>
      <c r="C231" s="753">
        <f t="shared" si="591"/>
        <v>8</v>
      </c>
      <c r="D231" s="753" t="s">
        <v>281</v>
      </c>
      <c r="E231" s="717" t="str">
        <f t="shared" si="497"/>
        <v>10th Floor</v>
      </c>
      <c r="F231" s="754"/>
      <c r="G231" s="756" t="s">
        <v>661</v>
      </c>
      <c r="H231" s="756"/>
      <c r="I231" s="755" t="s">
        <v>229</v>
      </c>
      <c r="J231" s="757">
        <v>22</v>
      </c>
      <c r="K231" s="758"/>
      <c r="L231" s="759" t="s">
        <v>69</v>
      </c>
      <c r="M231" s="760" t="s">
        <v>68</v>
      </c>
      <c r="N231" s="761">
        <f t="shared" si="498"/>
        <v>106005.26567735759</v>
      </c>
      <c r="O231" s="762">
        <f t="shared" si="499"/>
        <v>2332115.8449018667</v>
      </c>
      <c r="P231" s="762">
        <f t="shared" si="500"/>
        <v>22400</v>
      </c>
      <c r="Q231" s="762">
        <f t="shared" si="474"/>
        <v>50000</v>
      </c>
      <c r="R231" s="762"/>
      <c r="S231" s="762"/>
      <c r="T231" s="762"/>
      <c r="U231" s="762"/>
      <c r="V231" s="762"/>
      <c r="W231" s="762"/>
      <c r="X231" s="762"/>
      <c r="Y231" s="762">
        <f t="shared" si="592"/>
        <v>120000</v>
      </c>
      <c r="Z231" s="762">
        <f t="shared" si="475"/>
        <v>142461</v>
      </c>
      <c r="AA231" s="762"/>
      <c r="AB231" s="762"/>
      <c r="AC231" s="762"/>
      <c r="AD231" s="763">
        <f t="shared" si="501"/>
        <v>334861</v>
      </c>
      <c r="AE231" s="763">
        <f t="shared" si="476"/>
        <v>2666976.8449018667</v>
      </c>
      <c r="AF231" s="762">
        <f t="shared" si="477"/>
        <v>66674.421122546672</v>
      </c>
      <c r="AG231" s="762">
        <f t="shared" si="502"/>
        <v>2733651.2660244135</v>
      </c>
      <c r="AH231" s="762">
        <f t="shared" si="478"/>
        <v>68341.281650610341</v>
      </c>
      <c r="AI231" s="762">
        <f t="shared" si="503"/>
        <v>2801992.5476750238</v>
      </c>
      <c r="AJ231" s="762">
        <f t="shared" si="504"/>
        <v>140099.62738375118</v>
      </c>
      <c r="AK231" s="762">
        <f t="shared" si="505"/>
        <v>2942092.1750587751</v>
      </c>
      <c r="AL231" s="762">
        <f>AK231*AL$5+29772.4420833333</f>
        <v>59193.363833921052</v>
      </c>
      <c r="AM231" s="762">
        <f t="shared" si="507"/>
        <v>27537.409960060559</v>
      </c>
      <c r="AN231" s="762"/>
      <c r="AO231" s="763">
        <f t="shared" si="508"/>
        <v>3028822.9488527565</v>
      </c>
      <c r="AP231" s="763">
        <f t="shared" si="509"/>
        <v>499755.78656070487</v>
      </c>
      <c r="AQ231" s="763">
        <f t="shared" si="510"/>
        <v>3528578.7354134615</v>
      </c>
      <c r="AR231" s="1178">
        <f t="shared" si="479"/>
        <v>3000000</v>
      </c>
      <c r="AS231" s="1178">
        <f t="shared" si="511"/>
        <v>24026.306155157337</v>
      </c>
      <c r="AT231" s="1178">
        <f t="shared" si="512"/>
        <v>528578.73541346146</v>
      </c>
      <c r="AU231" s="1178">
        <f t="shared" si="480"/>
        <v>63429.448249615372</v>
      </c>
      <c r="AV231" s="1178">
        <f t="shared" si="513"/>
        <v>592008.18366307684</v>
      </c>
      <c r="AW231" s="1178">
        <f t="shared" si="514"/>
        <v>3592008.1836630767</v>
      </c>
      <c r="AX231" s="762">
        <f t="shared" si="515"/>
        <v>44900.102295788463</v>
      </c>
      <c r="AY231" s="717" t="s">
        <v>231</v>
      </c>
      <c r="AZ231" s="717">
        <f t="shared" si="516"/>
        <v>3636908.2859588652</v>
      </c>
      <c r="BA231" s="717">
        <f t="shared" si="517"/>
        <v>136384.06072345743</v>
      </c>
      <c r="BB231" s="717"/>
      <c r="BC231" s="717">
        <f t="shared" si="481"/>
        <v>33600</v>
      </c>
      <c r="BD231" s="717">
        <f t="shared" si="518"/>
        <v>3806892.3466823227</v>
      </c>
      <c r="BE231" s="717"/>
      <c r="BF231" s="717">
        <f t="shared" si="519"/>
        <v>3806892.3466823227</v>
      </c>
      <c r="BG231" s="1209"/>
      <c r="BH231" s="717">
        <f t="shared" si="520"/>
        <v>3806892.3466823227</v>
      </c>
      <c r="BI231" s="717"/>
      <c r="BJ231" s="717">
        <f t="shared" si="521"/>
        <v>3806892.3466823227</v>
      </c>
      <c r="BK231" s="717"/>
      <c r="BL231" s="717">
        <f t="shared" si="522"/>
        <v>3806892.3466823227</v>
      </c>
      <c r="BM231" s="717"/>
      <c r="BN231" s="717">
        <f t="shared" si="523"/>
        <v>3806892.3466823227</v>
      </c>
      <c r="BO231" s="717"/>
      <c r="BP231" s="717">
        <f t="shared" si="482"/>
        <v>3806892.3466823227</v>
      </c>
      <c r="BQ231" s="717"/>
      <c r="BR231" s="717">
        <f t="shared" si="584"/>
        <v>3806892.3466823227</v>
      </c>
      <c r="BS231" s="717"/>
      <c r="BT231" s="717">
        <f t="shared" si="524"/>
        <v>3806892.3466823227</v>
      </c>
      <c r="BU231" s="717"/>
      <c r="BV231" s="1235">
        <f t="shared" si="585"/>
        <v>51400</v>
      </c>
      <c r="BW231" s="717">
        <f t="shared" si="525"/>
        <v>3858292.3466823227</v>
      </c>
      <c r="BX231" s="717"/>
      <c r="BY231" s="717">
        <f t="shared" si="526"/>
        <v>3858292.3466823227</v>
      </c>
      <c r="BZ231" s="1194">
        <f t="shared" si="527"/>
        <v>3858292.3466823227</v>
      </c>
      <c r="CA231" s="1194">
        <f t="shared" si="528"/>
        <v>3044292.3466823227</v>
      </c>
      <c r="CB231" s="1194">
        <v>37000</v>
      </c>
      <c r="CC231" s="1194">
        <f t="shared" si="529"/>
        <v>814000</v>
      </c>
      <c r="CD231" s="1194">
        <f t="shared" si="530"/>
        <v>97680</v>
      </c>
      <c r="CE231" s="1194">
        <f t="shared" si="531"/>
        <v>911680</v>
      </c>
      <c r="CF231" s="1200">
        <f t="shared" si="532"/>
        <v>3955972.3466823227</v>
      </c>
      <c r="CG231" s="757">
        <f t="shared" si="533"/>
        <v>3955972.3466823227</v>
      </c>
      <c r="CH231" s="758">
        <f t="shared" si="534"/>
        <v>0</v>
      </c>
      <c r="CI231" s="757">
        <f t="shared" si="483"/>
        <v>405487.16553493805</v>
      </c>
      <c r="CJ231" s="757">
        <f t="shared" si="484"/>
        <v>98899.308667058067</v>
      </c>
      <c r="CK231" s="759">
        <f t="shared" si="593"/>
        <v>4460358.820884319</v>
      </c>
      <c r="CL231" s="764">
        <f t="shared" si="535"/>
        <v>0.125</v>
      </c>
      <c r="CM231" s="757">
        <f t="shared" si="536"/>
        <v>557544.85261053988</v>
      </c>
      <c r="CN231" s="757">
        <f t="shared" si="578"/>
        <v>30000</v>
      </c>
      <c r="CO231" s="757">
        <f t="shared" si="537"/>
        <v>527544.85261053988</v>
      </c>
      <c r="CP231" s="755">
        <f t="shared" si="538"/>
        <v>29</v>
      </c>
      <c r="CQ231" s="757">
        <f t="shared" si="581"/>
        <v>18191.201814156546</v>
      </c>
      <c r="CR231" s="764">
        <f t="shared" si="539"/>
        <v>0.875</v>
      </c>
      <c r="CS231" s="757">
        <f t="shared" si="540"/>
        <v>3902813.9682737794</v>
      </c>
      <c r="CT231" s="1101">
        <f t="shared" si="541"/>
        <v>30258.475155211374</v>
      </c>
      <c r="CU231" s="1101">
        <f t="shared" si="542"/>
        <v>35079.595305622199</v>
      </c>
      <c r="CV231" s="1101">
        <f t="shared" si="543"/>
        <v>45314.979452947184</v>
      </c>
      <c r="CW231" s="1141">
        <f t="shared" si="485"/>
        <v>77280.39425183853</v>
      </c>
      <c r="CX231" s="1152">
        <f t="shared" si="544"/>
        <v>317037.98379283171</v>
      </c>
      <c r="CY231" s="1152">
        <f t="shared" si="545"/>
        <v>125450.38580613687</v>
      </c>
      <c r="CZ231" s="1152">
        <f t="shared" si="546"/>
        <v>90611.036889545619</v>
      </c>
      <c r="DA231" s="1152">
        <f t="shared" si="547"/>
        <v>68959.170589632718</v>
      </c>
      <c r="DB231" s="1143">
        <f t="shared" si="486"/>
        <v>0.17619291180448715</v>
      </c>
      <c r="DC231" s="1143">
        <f t="shared" si="548"/>
        <v>0.29947189565862525</v>
      </c>
      <c r="DD231" s="1098" t="s">
        <v>232</v>
      </c>
      <c r="DE231" s="1144"/>
      <c r="DF231" s="705"/>
      <c r="DG231" s="765">
        <f t="shared" si="579"/>
        <v>46082</v>
      </c>
      <c r="DH231" s="1116">
        <f t="shared" si="487"/>
        <v>28</v>
      </c>
      <c r="DI231" s="497"/>
      <c r="DJ231" s="1117">
        <f t="shared" si="549"/>
        <v>46147</v>
      </c>
      <c r="DK231" s="1116">
        <f t="shared" si="550"/>
        <v>30</v>
      </c>
      <c r="DL231" s="766" t="s">
        <v>233</v>
      </c>
      <c r="DM231" s="766" t="s">
        <v>234</v>
      </c>
      <c r="DN231" s="767">
        <f t="shared" si="488"/>
        <v>26909.462893776221</v>
      </c>
      <c r="DO231" s="767">
        <f t="shared" si="489"/>
        <v>592008.18366307684</v>
      </c>
      <c r="DP231" s="768">
        <f t="shared" si="490"/>
        <v>0.19733606122102562</v>
      </c>
      <c r="DR231" s="767">
        <f t="shared" si="491"/>
        <v>3955972.3466823227</v>
      </c>
      <c r="DS231" s="767">
        <f>SUM('[6]INTERNAL PRICELIST'!M231)</f>
        <v>0</v>
      </c>
      <c r="DT231" s="767">
        <f t="shared" si="551"/>
        <v>3955972.3466823227</v>
      </c>
      <c r="DV231" s="951">
        <f t="shared" si="492"/>
        <v>179816.92484919648</v>
      </c>
      <c r="DX231" s="781"/>
      <c r="DY231" s="782"/>
      <c r="DZ231" s="781"/>
      <c r="EA231" s="775"/>
      <c r="ED231" s="755" t="s">
        <v>661</v>
      </c>
      <c r="EE231" s="777" t="b">
        <f t="shared" si="493"/>
        <v>1</v>
      </c>
      <c r="EF231" s="1123" t="s">
        <v>662</v>
      </c>
      <c r="EG231" s="1123" t="s">
        <v>654</v>
      </c>
      <c r="EH231" s="1203"/>
      <c r="EP231" s="1230" t="s">
        <v>236</v>
      </c>
      <c r="EQ231" s="1145" t="s">
        <v>236</v>
      </c>
      <c r="ER231" s="753" t="b">
        <f t="shared" si="552"/>
        <v>1</v>
      </c>
      <c r="EU231" s="770">
        <v>2683561</v>
      </c>
      <c r="EV231" s="771" t="s">
        <v>236</v>
      </c>
      <c r="EY231" s="775">
        <v>3100206.5987977991</v>
      </c>
      <c r="FJ231" s="994">
        <v>0.125</v>
      </c>
      <c r="FK231" s="993">
        <v>11173.02953930404</v>
      </c>
      <c r="FL231" s="993">
        <v>11475.003310636581</v>
      </c>
      <c r="FM231" s="497"/>
      <c r="FN231" s="993">
        <f t="shared" si="494"/>
        <v>4460358.820884319</v>
      </c>
      <c r="FO231" s="994">
        <f t="shared" si="553"/>
        <v>0.15</v>
      </c>
      <c r="FP231" s="775">
        <f t="shared" si="495"/>
        <v>669053.82313264778</v>
      </c>
      <c r="FQ231" s="993">
        <f t="shared" si="496"/>
        <v>30000</v>
      </c>
      <c r="FR231" s="775">
        <f t="shared" si="554"/>
        <v>639053.82313264778</v>
      </c>
      <c r="FS231" s="497">
        <f t="shared" si="555"/>
        <v>40</v>
      </c>
      <c r="FT231" s="775">
        <f t="shared" si="556"/>
        <v>15976.345578316195</v>
      </c>
      <c r="FU231" s="497"/>
      <c r="FV231" s="993">
        <f t="shared" si="557"/>
        <v>4460358.820884319</v>
      </c>
      <c r="FW231" s="705">
        <f t="shared" si="558"/>
        <v>446035.88208843191</v>
      </c>
      <c r="FX231" s="705">
        <f t="shared" si="559"/>
        <v>111508.97052210798</v>
      </c>
      <c r="FY231" s="705">
        <v>15000</v>
      </c>
      <c r="FZ231" s="705">
        <f t="shared" si="560"/>
        <v>431035.88208843191</v>
      </c>
      <c r="GA231" s="497">
        <f t="shared" si="561"/>
        <v>46</v>
      </c>
      <c r="GB231" s="775">
        <f t="shared" si="562"/>
        <v>9370.3452627919978</v>
      </c>
      <c r="GC231" s="497"/>
      <c r="GD231" s="497"/>
      <c r="GH231" s="1095">
        <f t="shared" si="461"/>
        <v>4460358.820884319</v>
      </c>
      <c r="GI231" s="1098">
        <f t="shared" si="462"/>
        <v>0.125</v>
      </c>
      <c r="GJ231" s="1095">
        <f t="shared" si="463"/>
        <v>557544.85261053988</v>
      </c>
      <c r="GK231" s="1095">
        <f t="shared" si="464"/>
        <v>30000</v>
      </c>
      <c r="GL231" s="1095">
        <f t="shared" si="465"/>
        <v>527544.85261053988</v>
      </c>
      <c r="GM231" s="1095">
        <f t="shared" si="466"/>
        <v>29</v>
      </c>
      <c r="GN231" s="1095">
        <f t="shared" si="467"/>
        <v>18191.201814156546</v>
      </c>
      <c r="GO231" s="1098">
        <f t="shared" si="468"/>
        <v>0.875</v>
      </c>
      <c r="GP231" s="1095">
        <f t="shared" si="469"/>
        <v>3902813.9682737794</v>
      </c>
      <c r="GQ231" s="1095">
        <f t="shared" si="470"/>
        <v>30258.475155211374</v>
      </c>
      <c r="GR231" s="1095">
        <f t="shared" si="471"/>
        <v>35079.595305622199</v>
      </c>
      <c r="GS231" s="1095">
        <f t="shared" si="472"/>
        <v>45314.979452947184</v>
      </c>
      <c r="GT231" s="1095">
        <f t="shared" si="473"/>
        <v>77280.39425183853</v>
      </c>
      <c r="GU231" s="497"/>
      <c r="GV231" s="1095">
        <f t="shared" si="563"/>
        <v>4460358.820884319</v>
      </c>
      <c r="GW231" s="1098">
        <f t="shared" si="564"/>
        <v>0.125</v>
      </c>
      <c r="GX231" s="1095">
        <f t="shared" si="565"/>
        <v>557544.85261053988</v>
      </c>
      <c r="GY231" s="1095">
        <f t="shared" si="566"/>
        <v>30000</v>
      </c>
      <c r="GZ231" s="1095">
        <f t="shared" si="567"/>
        <v>527544.85261053988</v>
      </c>
      <c r="HA231" s="1106">
        <f t="shared" si="568"/>
        <v>48</v>
      </c>
      <c r="HB231" s="770">
        <f t="shared" si="569"/>
        <v>10990.517762719581</v>
      </c>
      <c r="HC231" s="1098">
        <f t="shared" si="570"/>
        <v>0.875</v>
      </c>
      <c r="HD231" s="1102">
        <f t="shared" si="571"/>
        <v>3902813.9682737794</v>
      </c>
      <c r="HE231" s="1101">
        <f t="shared" si="572"/>
        <v>30258.475155211374</v>
      </c>
      <c r="HF231" s="1101">
        <f t="shared" si="573"/>
        <v>35079.595305622199</v>
      </c>
      <c r="HG231" s="1101">
        <f t="shared" si="574"/>
        <v>45314.979452947184</v>
      </c>
      <c r="HH231" s="1101">
        <f t="shared" si="575"/>
        <v>77280.39425183853</v>
      </c>
      <c r="HI231" s="497"/>
      <c r="HJ231" s="1102">
        <f t="shared" si="576"/>
        <v>-7200.6840514369651</v>
      </c>
      <c r="HL231" s="775"/>
      <c r="HN231" s="775"/>
      <c r="HO231" s="775"/>
      <c r="HQ231" s="702"/>
      <c r="HR231" s="1171"/>
      <c r="HS231" s="702"/>
      <c r="HT231" s="1171"/>
    </row>
    <row r="232" spans="1:228" ht="14.25" hidden="1" customHeight="1">
      <c r="A232" s="753">
        <f t="shared" si="577"/>
        <v>226</v>
      </c>
      <c r="B232" s="753" t="s">
        <v>236</v>
      </c>
      <c r="C232" s="753">
        <f t="shared" si="591"/>
        <v>9</v>
      </c>
      <c r="D232" s="753" t="s">
        <v>281</v>
      </c>
      <c r="E232" s="717" t="str">
        <f t="shared" si="497"/>
        <v>10th Floor</v>
      </c>
      <c r="F232" s="754"/>
      <c r="G232" s="756" t="s">
        <v>663</v>
      </c>
      <c r="H232" s="756"/>
      <c r="I232" s="755" t="s">
        <v>229</v>
      </c>
      <c r="J232" s="757">
        <v>22</v>
      </c>
      <c r="K232" s="758"/>
      <c r="L232" s="759" t="s">
        <v>69</v>
      </c>
      <c r="M232" s="760" t="s">
        <v>68</v>
      </c>
      <c r="N232" s="761">
        <f t="shared" si="498"/>
        <v>106005.26567735759</v>
      </c>
      <c r="O232" s="762">
        <f t="shared" si="499"/>
        <v>2332115.8449018667</v>
      </c>
      <c r="P232" s="762">
        <f t="shared" si="500"/>
        <v>22400</v>
      </c>
      <c r="Q232" s="762">
        <f t="shared" si="474"/>
        <v>50000</v>
      </c>
      <c r="R232" s="762"/>
      <c r="S232" s="762"/>
      <c r="T232" s="762"/>
      <c r="U232" s="762"/>
      <c r="V232" s="762"/>
      <c r="W232" s="762"/>
      <c r="X232" s="762"/>
      <c r="Y232" s="762">
        <f t="shared" si="592"/>
        <v>120000</v>
      </c>
      <c r="Z232" s="762">
        <f t="shared" si="475"/>
        <v>142461</v>
      </c>
      <c r="AA232" s="762"/>
      <c r="AB232" s="762"/>
      <c r="AC232" s="762"/>
      <c r="AD232" s="763">
        <f t="shared" si="501"/>
        <v>334861</v>
      </c>
      <c r="AE232" s="763">
        <f t="shared" si="476"/>
        <v>2666976.8449018667</v>
      </c>
      <c r="AF232" s="762">
        <f t="shared" si="477"/>
        <v>66674.421122546672</v>
      </c>
      <c r="AG232" s="762">
        <f t="shared" si="502"/>
        <v>2733651.2660244135</v>
      </c>
      <c r="AH232" s="762">
        <f t="shared" si="478"/>
        <v>68341.281650610341</v>
      </c>
      <c r="AI232" s="762">
        <f t="shared" si="503"/>
        <v>2801992.5476750238</v>
      </c>
      <c r="AJ232" s="762">
        <f t="shared" si="504"/>
        <v>140099.62738375118</v>
      </c>
      <c r="AK232" s="762">
        <f t="shared" si="505"/>
        <v>2942092.1750587751</v>
      </c>
      <c r="AL232" s="762">
        <f t="shared" si="506"/>
        <v>29420.921750587753</v>
      </c>
      <c r="AM232" s="762">
        <f t="shared" si="507"/>
        <v>27537.409960060559</v>
      </c>
      <c r="AN232" s="762"/>
      <c r="AO232" s="763">
        <f t="shared" si="508"/>
        <v>2999050.5067694234</v>
      </c>
      <c r="AP232" s="763">
        <f t="shared" si="509"/>
        <v>494843.33361695486</v>
      </c>
      <c r="AQ232" s="763">
        <f t="shared" si="510"/>
        <v>3493893.8403863781</v>
      </c>
      <c r="AR232" s="1178">
        <f t="shared" si="479"/>
        <v>3000000</v>
      </c>
      <c r="AS232" s="1178">
        <f t="shared" si="511"/>
        <v>22449.720017562642</v>
      </c>
      <c r="AT232" s="1178">
        <f t="shared" si="512"/>
        <v>493893.84038637811</v>
      </c>
      <c r="AU232" s="1178">
        <f t="shared" si="480"/>
        <v>59267.260846365374</v>
      </c>
      <c r="AV232" s="1178">
        <f t="shared" si="513"/>
        <v>553161.10123274347</v>
      </c>
      <c r="AW232" s="1178">
        <f t="shared" si="514"/>
        <v>3553161.1012327434</v>
      </c>
      <c r="AX232" s="762">
        <f t="shared" si="515"/>
        <v>44414.513765409298</v>
      </c>
      <c r="AY232" s="717" t="s">
        <v>231</v>
      </c>
      <c r="AZ232" s="717">
        <f t="shared" si="516"/>
        <v>3597575.6149981525</v>
      </c>
      <c r="BA232" s="717">
        <f t="shared" si="517"/>
        <v>134909.0855624307</v>
      </c>
      <c r="BB232" s="717"/>
      <c r="BC232" s="717">
        <f t="shared" si="481"/>
        <v>33600</v>
      </c>
      <c r="BD232" s="717">
        <f t="shared" si="518"/>
        <v>3766084.7005605833</v>
      </c>
      <c r="BE232" s="717"/>
      <c r="BF232" s="717">
        <f t="shared" si="519"/>
        <v>3766084.7005605833</v>
      </c>
      <c r="BG232" s="1209"/>
      <c r="BH232" s="717">
        <f t="shared" si="520"/>
        <v>3766084.7005605833</v>
      </c>
      <c r="BI232" s="717"/>
      <c r="BJ232" s="717">
        <f t="shared" si="521"/>
        <v>3766084.7005605833</v>
      </c>
      <c r="BK232" s="717"/>
      <c r="BL232" s="717">
        <f t="shared" si="522"/>
        <v>3766084.7005605833</v>
      </c>
      <c r="BM232" s="717"/>
      <c r="BN232" s="717">
        <f t="shared" si="523"/>
        <v>3766084.7005605833</v>
      </c>
      <c r="BO232" s="717"/>
      <c r="BP232" s="717">
        <f t="shared" si="482"/>
        <v>3766084.7005605833</v>
      </c>
      <c r="BQ232" s="717"/>
      <c r="BR232" s="717">
        <f t="shared" si="584"/>
        <v>3766084.7005605833</v>
      </c>
      <c r="BS232" s="717"/>
      <c r="BT232" s="717">
        <f t="shared" si="524"/>
        <v>3766084.7005605833</v>
      </c>
      <c r="BU232" s="717"/>
      <c r="BV232" s="1235">
        <f t="shared" si="585"/>
        <v>51400</v>
      </c>
      <c r="BW232" s="717">
        <f t="shared" si="525"/>
        <v>3817484.7005605833</v>
      </c>
      <c r="BX232" s="717"/>
      <c r="BY232" s="717">
        <f t="shared" si="526"/>
        <v>3817484.7005605833</v>
      </c>
      <c r="BZ232" s="1194">
        <f t="shared" si="527"/>
        <v>3817484.7005605833</v>
      </c>
      <c r="CA232" s="1194">
        <f t="shared" si="528"/>
        <v>3036484.7005605833</v>
      </c>
      <c r="CB232" s="1194">
        <v>35500</v>
      </c>
      <c r="CC232" s="1194">
        <f t="shared" si="529"/>
        <v>781000</v>
      </c>
      <c r="CD232" s="1194">
        <f t="shared" si="530"/>
        <v>93720</v>
      </c>
      <c r="CE232" s="1194">
        <f t="shared" si="531"/>
        <v>874720</v>
      </c>
      <c r="CF232" s="1200">
        <f t="shared" si="532"/>
        <v>3911204.7005605833</v>
      </c>
      <c r="CG232" s="757">
        <f t="shared" si="533"/>
        <v>3911204.7005605833</v>
      </c>
      <c r="CH232" s="758">
        <f t="shared" si="534"/>
        <v>0</v>
      </c>
      <c r="CI232" s="757">
        <f t="shared" si="483"/>
        <v>400898.48180745979</v>
      </c>
      <c r="CJ232" s="757">
        <f t="shared" si="484"/>
        <v>97780.117514014593</v>
      </c>
      <c r="CK232" s="759">
        <f t="shared" si="593"/>
        <v>4409883.2998820571</v>
      </c>
      <c r="CL232" s="764">
        <f t="shared" si="535"/>
        <v>0.125</v>
      </c>
      <c r="CM232" s="757">
        <f t="shared" si="536"/>
        <v>551235.41248525714</v>
      </c>
      <c r="CN232" s="757">
        <f t="shared" si="578"/>
        <v>30000</v>
      </c>
      <c r="CO232" s="757">
        <f t="shared" si="537"/>
        <v>521235.41248525714</v>
      </c>
      <c r="CP232" s="755">
        <f t="shared" si="538"/>
        <v>29</v>
      </c>
      <c r="CQ232" s="757">
        <f t="shared" si="581"/>
        <v>17973.634913284728</v>
      </c>
      <c r="CR232" s="764">
        <f t="shared" si="539"/>
        <v>0.875</v>
      </c>
      <c r="CS232" s="757">
        <f t="shared" si="540"/>
        <v>3858647.8873967999</v>
      </c>
      <c r="CT232" s="1101">
        <f t="shared" si="541"/>
        <v>29916.056000267581</v>
      </c>
      <c r="CU232" s="1101">
        <f t="shared" si="542"/>
        <v>34682.618084572365</v>
      </c>
      <c r="CV232" s="1101">
        <f t="shared" si="543"/>
        <v>44802.173804579899</v>
      </c>
      <c r="CW232" s="1141">
        <f t="shared" si="485"/>
        <v>76405.852915644326</v>
      </c>
      <c r="CX232" s="1152">
        <f t="shared" si="544"/>
        <v>313450.23266067571</v>
      </c>
      <c r="CY232" s="1152">
        <f t="shared" si="545"/>
        <v>124030.7301600819</v>
      </c>
      <c r="CZ232" s="1152">
        <f t="shared" si="546"/>
        <v>89585.639723259301</v>
      </c>
      <c r="DA232" s="1152">
        <f t="shared" si="547"/>
        <v>68178.796139241429</v>
      </c>
      <c r="DB232" s="1143">
        <f t="shared" si="486"/>
        <v>0.16463128012879272</v>
      </c>
      <c r="DC232" s="1143">
        <f t="shared" si="548"/>
        <v>0.28806995136135966</v>
      </c>
      <c r="DD232" s="1098" t="s">
        <v>232</v>
      </c>
      <c r="DE232" s="1144"/>
      <c r="DF232" s="705"/>
      <c r="DG232" s="765">
        <f t="shared" si="579"/>
        <v>46082</v>
      </c>
      <c r="DH232" s="1116">
        <f t="shared" si="487"/>
        <v>28</v>
      </c>
      <c r="DI232" s="497"/>
      <c r="DJ232" s="1117">
        <f t="shared" si="549"/>
        <v>46147</v>
      </c>
      <c r="DK232" s="1116">
        <f t="shared" si="550"/>
        <v>30</v>
      </c>
      <c r="DL232" s="766" t="s">
        <v>233</v>
      </c>
      <c r="DM232" s="766" t="s">
        <v>234</v>
      </c>
      <c r="DN232" s="767">
        <f t="shared" si="488"/>
        <v>25143.686419670157</v>
      </c>
      <c r="DO232" s="767">
        <f t="shared" si="489"/>
        <v>553161.10123274347</v>
      </c>
      <c r="DP232" s="768">
        <f t="shared" si="490"/>
        <v>0.18438703374424784</v>
      </c>
      <c r="DR232" s="767">
        <f t="shared" si="491"/>
        <v>3911204.7005605833</v>
      </c>
      <c r="DS232" s="767">
        <f>SUM('[6]INTERNAL PRICELIST'!M232)</f>
        <v>0</v>
      </c>
      <c r="DT232" s="767">
        <f t="shared" si="551"/>
        <v>3911204.7005605833</v>
      </c>
      <c r="DV232" s="951">
        <f t="shared" si="492"/>
        <v>177782.03184366287</v>
      </c>
      <c r="DX232" s="781"/>
      <c r="DY232" s="782"/>
      <c r="DZ232" s="781"/>
      <c r="EA232" s="775"/>
      <c r="ED232" s="755" t="s">
        <v>663</v>
      </c>
      <c r="EE232" s="777" t="b">
        <f t="shared" si="493"/>
        <v>1</v>
      </c>
      <c r="EF232" s="1123" t="s">
        <v>664</v>
      </c>
      <c r="EG232" s="1123" t="s">
        <v>654</v>
      </c>
      <c r="EH232" s="1203"/>
      <c r="EP232" s="1230" t="s">
        <v>236</v>
      </c>
      <c r="EQ232" s="1145" t="s">
        <v>236</v>
      </c>
      <c r="ER232" s="753" t="b">
        <f t="shared" si="552"/>
        <v>1</v>
      </c>
      <c r="EU232" s="770">
        <v>2606860</v>
      </c>
      <c r="EV232" s="771" t="s">
        <v>236</v>
      </c>
      <c r="EY232" s="775">
        <v>3100206.5987977991</v>
      </c>
      <c r="FJ232" s="994">
        <v>0.125</v>
      </c>
      <c r="FK232" s="993">
        <v>11173.02953930404</v>
      </c>
      <c r="FL232" s="993">
        <v>11475.003310636581</v>
      </c>
      <c r="FM232" s="497"/>
      <c r="FN232" s="993">
        <f t="shared" si="494"/>
        <v>4409883.2998820571</v>
      </c>
      <c r="FO232" s="994">
        <f t="shared" si="553"/>
        <v>0.15</v>
      </c>
      <c r="FP232" s="775">
        <f t="shared" si="495"/>
        <v>661482.49498230859</v>
      </c>
      <c r="FQ232" s="993">
        <f t="shared" si="496"/>
        <v>30000</v>
      </c>
      <c r="FR232" s="775">
        <f t="shared" si="554"/>
        <v>631482.49498230859</v>
      </c>
      <c r="FS232" s="497">
        <f t="shared" si="555"/>
        <v>40</v>
      </c>
      <c r="FT232" s="775">
        <f t="shared" si="556"/>
        <v>15787.062374557714</v>
      </c>
      <c r="FU232" s="497"/>
      <c r="FV232" s="993">
        <f t="shared" si="557"/>
        <v>4409883.2998820571</v>
      </c>
      <c r="FW232" s="705">
        <f t="shared" si="558"/>
        <v>440988.32998820575</v>
      </c>
      <c r="FX232" s="705">
        <f t="shared" si="559"/>
        <v>110247.08249705144</v>
      </c>
      <c r="FY232" s="705">
        <v>15000</v>
      </c>
      <c r="FZ232" s="705">
        <f t="shared" si="560"/>
        <v>425988.32998820575</v>
      </c>
      <c r="GA232" s="497">
        <f t="shared" si="561"/>
        <v>46</v>
      </c>
      <c r="GB232" s="775">
        <f t="shared" si="562"/>
        <v>9260.61586930882</v>
      </c>
      <c r="GC232" s="497"/>
      <c r="GD232" s="497"/>
      <c r="GH232" s="1095">
        <f t="shared" si="461"/>
        <v>4409883.2998820571</v>
      </c>
      <c r="GI232" s="1098">
        <f t="shared" si="462"/>
        <v>0.125</v>
      </c>
      <c r="GJ232" s="1095">
        <f t="shared" si="463"/>
        <v>551235.41248525714</v>
      </c>
      <c r="GK232" s="1095">
        <f t="shared" si="464"/>
        <v>30000</v>
      </c>
      <c r="GL232" s="1095">
        <f t="shared" si="465"/>
        <v>521235.41248525714</v>
      </c>
      <c r="GM232" s="1095">
        <f t="shared" si="466"/>
        <v>29</v>
      </c>
      <c r="GN232" s="1095">
        <f t="shared" si="467"/>
        <v>17973.634913284728</v>
      </c>
      <c r="GO232" s="1098">
        <f t="shared" si="468"/>
        <v>0.875</v>
      </c>
      <c r="GP232" s="1095">
        <f t="shared" si="469"/>
        <v>3858647.8873967999</v>
      </c>
      <c r="GQ232" s="1095">
        <f t="shared" si="470"/>
        <v>29916.056000267581</v>
      </c>
      <c r="GR232" s="1095">
        <f t="shared" si="471"/>
        <v>34682.618084572365</v>
      </c>
      <c r="GS232" s="1095">
        <f t="shared" si="472"/>
        <v>44802.173804579899</v>
      </c>
      <c r="GT232" s="1095">
        <f t="shared" si="473"/>
        <v>76405.852915644326</v>
      </c>
      <c r="GU232" s="497"/>
      <c r="GV232" s="1095">
        <f t="shared" si="563"/>
        <v>4409883.2998820571</v>
      </c>
      <c r="GW232" s="1098">
        <f t="shared" si="564"/>
        <v>0.125</v>
      </c>
      <c r="GX232" s="1095">
        <f t="shared" si="565"/>
        <v>551235.41248525714</v>
      </c>
      <c r="GY232" s="1095">
        <f t="shared" si="566"/>
        <v>30000</v>
      </c>
      <c r="GZ232" s="1095">
        <f t="shared" si="567"/>
        <v>521235.41248525714</v>
      </c>
      <c r="HA232" s="1106">
        <f t="shared" si="568"/>
        <v>48</v>
      </c>
      <c r="HB232" s="770">
        <f t="shared" si="569"/>
        <v>10859.071093442857</v>
      </c>
      <c r="HC232" s="1098">
        <f t="shared" si="570"/>
        <v>0.875</v>
      </c>
      <c r="HD232" s="1102">
        <f t="shared" si="571"/>
        <v>3858647.8873967999</v>
      </c>
      <c r="HE232" s="1101">
        <f t="shared" si="572"/>
        <v>29916.056000267581</v>
      </c>
      <c r="HF232" s="1101">
        <f t="shared" si="573"/>
        <v>34682.618084572365</v>
      </c>
      <c r="HG232" s="1101">
        <f t="shared" si="574"/>
        <v>44802.173804579899</v>
      </c>
      <c r="HH232" s="1101">
        <f t="shared" si="575"/>
        <v>76405.852915644326</v>
      </c>
      <c r="HI232" s="497"/>
      <c r="HJ232" s="1102">
        <f t="shared" si="576"/>
        <v>-7114.563819841871</v>
      </c>
      <c r="HL232" s="775"/>
      <c r="HN232" s="775"/>
      <c r="HO232" s="775"/>
      <c r="HQ232" s="702"/>
      <c r="HR232" s="1171"/>
      <c r="HS232" s="702"/>
      <c r="HT232" s="1171"/>
    </row>
    <row r="233" spans="1:228" ht="14.25" customHeight="1">
      <c r="A233" s="753">
        <f t="shared" si="577"/>
        <v>227</v>
      </c>
      <c r="B233" s="753"/>
      <c r="C233" s="753">
        <f t="shared" si="591"/>
        <v>10</v>
      </c>
      <c r="D233" s="753" t="s">
        <v>281</v>
      </c>
      <c r="E233" s="717" t="str">
        <f t="shared" si="497"/>
        <v>10th Floor</v>
      </c>
      <c r="F233" s="754"/>
      <c r="G233" s="756" t="s">
        <v>665</v>
      </c>
      <c r="H233" s="756"/>
      <c r="I233" s="755" t="s">
        <v>229</v>
      </c>
      <c r="J233" s="757">
        <v>22</v>
      </c>
      <c r="K233" s="758"/>
      <c r="L233" s="759" t="s">
        <v>277</v>
      </c>
      <c r="M233" s="760" t="s">
        <v>278</v>
      </c>
      <c r="N233" s="761">
        <f t="shared" si="498"/>
        <v>106005.26567735759</v>
      </c>
      <c r="O233" s="762">
        <f t="shared" si="499"/>
        <v>2332115.8449018667</v>
      </c>
      <c r="P233" s="762">
        <f t="shared" si="500"/>
        <v>22400</v>
      </c>
      <c r="Q233" s="762">
        <f t="shared" si="474"/>
        <v>50000</v>
      </c>
      <c r="R233" s="762"/>
      <c r="S233" s="762"/>
      <c r="T233" s="762"/>
      <c r="U233" s="762"/>
      <c r="V233" s="762"/>
      <c r="W233" s="762">
        <f>J233*$W$5</f>
        <v>22000</v>
      </c>
      <c r="X233" s="762"/>
      <c r="Y233" s="762">
        <f t="shared" si="592"/>
        <v>120000</v>
      </c>
      <c r="Z233" s="762">
        <f t="shared" si="475"/>
        <v>142461</v>
      </c>
      <c r="AA233" s="762">
        <v>61922.73</v>
      </c>
      <c r="AB233" s="762"/>
      <c r="AC233" s="762"/>
      <c r="AD233" s="763">
        <f>SUM(P233:AC233)</f>
        <v>418783.73</v>
      </c>
      <c r="AE233" s="763">
        <f>O233+AD233</f>
        <v>2750899.5749018667</v>
      </c>
      <c r="AF233" s="762">
        <f>AE233*$AF$5</f>
        <v>68772.489372546668</v>
      </c>
      <c r="AG233" s="762">
        <f t="shared" si="502"/>
        <v>2819672.0642744135</v>
      </c>
      <c r="AH233" s="762">
        <f t="shared" si="478"/>
        <v>70491.801606860347</v>
      </c>
      <c r="AI233" s="762">
        <f t="shared" si="503"/>
        <v>2890163.865881274</v>
      </c>
      <c r="AJ233" s="762">
        <f t="shared" si="504"/>
        <v>144508.19329406371</v>
      </c>
      <c r="AK233" s="762">
        <f t="shared" si="505"/>
        <v>3034672.0591753377</v>
      </c>
      <c r="AL233" s="762">
        <f>AK233*AL$5+29772.4420833333</f>
        <v>60119.162675086671</v>
      </c>
      <c r="AM233" s="762">
        <f t="shared" si="507"/>
        <v>27537.409960060559</v>
      </c>
      <c r="AN233" s="762"/>
      <c r="AO233" s="763">
        <f t="shared" si="508"/>
        <v>3122328.6318104849</v>
      </c>
      <c r="AP233" s="763">
        <f t="shared" si="509"/>
        <v>515184.22424873005</v>
      </c>
      <c r="AQ233" s="763">
        <f t="shared" si="510"/>
        <v>3637512.856059215</v>
      </c>
      <c r="AR233" s="1178">
        <f t="shared" si="479"/>
        <v>3000000</v>
      </c>
      <c r="AS233" s="1178">
        <f t="shared" si="511"/>
        <v>28977.857093600684</v>
      </c>
      <c r="AT233" s="1178">
        <f t="shared" si="512"/>
        <v>637512.85605921503</v>
      </c>
      <c r="AU233" s="1178">
        <f t="shared" si="480"/>
        <v>76501.5427271058</v>
      </c>
      <c r="AV233" s="1178">
        <f t="shared" si="513"/>
        <v>714014.39878632082</v>
      </c>
      <c r="AW233" s="1178">
        <f t="shared" si="514"/>
        <v>3714014.3987863208</v>
      </c>
      <c r="AX233" s="762">
        <f t="shared" si="515"/>
        <v>46425.17998482901</v>
      </c>
      <c r="AY233" s="717">
        <v>7575.3956645161297</v>
      </c>
      <c r="AZ233" s="717">
        <f t="shared" si="516"/>
        <v>3768014.9744356656</v>
      </c>
      <c r="BA233" s="717">
        <f t="shared" si="517"/>
        <v>141300.56154133746</v>
      </c>
      <c r="BB233" s="717"/>
      <c r="BC233" s="717">
        <f t="shared" si="481"/>
        <v>33600</v>
      </c>
      <c r="BD233" s="717">
        <f t="shared" si="518"/>
        <v>3942915.5359770032</v>
      </c>
      <c r="BE233" s="717">
        <v>18367.830916129038</v>
      </c>
      <c r="BF233" s="717">
        <f t="shared" si="519"/>
        <v>3961283.3668931322</v>
      </c>
      <c r="BG233" s="1209"/>
      <c r="BH233" s="717">
        <f t="shared" si="520"/>
        <v>3961283.3668931322</v>
      </c>
      <c r="BI233" s="717">
        <v>718.43902439024396</v>
      </c>
      <c r="BJ233" s="717">
        <f t="shared" si="521"/>
        <v>3962001.8059175224</v>
      </c>
      <c r="BK233" s="717"/>
      <c r="BL233" s="717">
        <f t="shared" si="522"/>
        <v>3962001.8059175224</v>
      </c>
      <c r="BM233" s="717">
        <f>$BM$5/41</f>
        <v>1038.0487804878051</v>
      </c>
      <c r="BN233" s="717">
        <f t="shared" si="523"/>
        <v>3963039.8546980103</v>
      </c>
      <c r="BO233" s="717">
        <f t="shared" ref="BO233:BO236" si="594">$BO$5/51</f>
        <v>7289.0781490196077</v>
      </c>
      <c r="BP233" s="717">
        <f t="shared" si="482"/>
        <v>3970328.93284703</v>
      </c>
      <c r="BQ233" s="717">
        <f t="shared" ref="BQ233:BQ236" si="595">$BQ$5/56</f>
        <v>4468.4242000000004</v>
      </c>
      <c r="BR233" s="717">
        <f t="shared" si="584"/>
        <v>3974797.3570470298</v>
      </c>
      <c r="BS233" s="1234">
        <f t="shared" ref="BS233:BS236" si="596">$BS$5/64</f>
        <v>2651.4786794501206</v>
      </c>
      <c r="BT233" s="1235">
        <f t="shared" si="524"/>
        <v>3977448.83572648</v>
      </c>
      <c r="BU233" s="1235">
        <f t="shared" ref="BU233:BU236" si="597">$BU$5/65</f>
        <v>211.07692307692309</v>
      </c>
      <c r="BV233" s="1235">
        <f t="shared" si="585"/>
        <v>51400</v>
      </c>
      <c r="BW233" s="717">
        <f t="shared" si="525"/>
        <v>4029059.912649557</v>
      </c>
      <c r="BX233" s="1234">
        <f t="shared" si="589"/>
        <v>27651.078536278128</v>
      </c>
      <c r="BY233" s="717">
        <f t="shared" si="526"/>
        <v>4056710.9911858351</v>
      </c>
      <c r="BZ233" s="1194">
        <f t="shared" si="527"/>
        <v>4056710.9911858351</v>
      </c>
      <c r="CA233" s="1194">
        <f t="shared" si="528"/>
        <v>3176710.9911858351</v>
      </c>
      <c r="CB233" s="1194">
        <f t="shared" ref="CB233:CB236" si="598">$CB$5</f>
        <v>40000</v>
      </c>
      <c r="CC233" s="1194">
        <f t="shared" si="529"/>
        <v>880000</v>
      </c>
      <c r="CD233" s="1194">
        <f t="shared" si="530"/>
        <v>105600</v>
      </c>
      <c r="CE233" s="1194">
        <f t="shared" si="531"/>
        <v>985600</v>
      </c>
      <c r="CF233" s="1200">
        <f t="shared" si="532"/>
        <v>4162310.9911858351</v>
      </c>
      <c r="CG233" s="757">
        <f t="shared" si="533"/>
        <v>4162310.9911858351</v>
      </c>
      <c r="CH233" s="758">
        <f t="shared" si="534"/>
        <v>0</v>
      </c>
      <c r="CI233" s="757">
        <f t="shared" si="483"/>
        <v>426636.87659654807</v>
      </c>
      <c r="CJ233" s="757">
        <f t="shared" si="484"/>
        <v>104057.77477964589</v>
      </c>
      <c r="CK233" s="759">
        <f t="shared" si="593"/>
        <v>4693005.642562029</v>
      </c>
      <c r="CL233" s="764">
        <f t="shared" si="535"/>
        <v>0.125</v>
      </c>
      <c r="CM233" s="757">
        <f t="shared" si="536"/>
        <v>586625.70532025362</v>
      </c>
      <c r="CN233" s="757">
        <f t="shared" si="578"/>
        <v>30000</v>
      </c>
      <c r="CO233" s="757">
        <f t="shared" si="537"/>
        <v>556625.70532025362</v>
      </c>
      <c r="CP233" s="755">
        <f t="shared" si="538"/>
        <v>29</v>
      </c>
      <c r="CQ233" s="757">
        <f t="shared" si="581"/>
        <v>19193.989838629434</v>
      </c>
      <c r="CR233" s="764">
        <f t="shared" si="539"/>
        <v>0.875</v>
      </c>
      <c r="CS233" s="757">
        <f t="shared" si="540"/>
        <v>4106379.9372417754</v>
      </c>
      <c r="CT233" s="1101">
        <f t="shared" si="541"/>
        <v>31836.719945902496</v>
      </c>
      <c r="CU233" s="1101">
        <f t="shared" si="542"/>
        <v>36909.303784541225</v>
      </c>
      <c r="CV233" s="1101">
        <f t="shared" si="543"/>
        <v>47678.552960701149</v>
      </c>
      <c r="CW233" s="1141">
        <f t="shared" si="485"/>
        <v>81311.244419432463</v>
      </c>
      <c r="CX233" s="1152">
        <f t="shared" si="544"/>
        <v>333574.29448944249</v>
      </c>
      <c r="CY233" s="1152">
        <f t="shared" si="545"/>
        <v>131993.72339579155</v>
      </c>
      <c r="CZ233" s="1152">
        <f t="shared" si="546"/>
        <v>95337.196955989581</v>
      </c>
      <c r="DA233" s="1152">
        <f t="shared" si="547"/>
        <v>72555.995981368425</v>
      </c>
      <c r="DB233" s="1143">
        <f t="shared" si="486"/>
        <v>0.21250428535307167</v>
      </c>
      <c r="DC233" s="1143">
        <f t="shared" si="548"/>
        <v>0.31025800040817852</v>
      </c>
      <c r="DD233" s="1098" t="s">
        <v>232</v>
      </c>
      <c r="DE233" s="1144"/>
      <c r="DF233" s="705"/>
      <c r="DG233" s="765">
        <f t="shared" si="579"/>
        <v>46082</v>
      </c>
      <c r="DH233" s="1116">
        <f t="shared" si="487"/>
        <v>28</v>
      </c>
      <c r="DI233" s="497"/>
      <c r="DJ233" s="1117">
        <f t="shared" si="549"/>
        <v>46147</v>
      </c>
      <c r="DK233" s="1116">
        <f t="shared" si="550"/>
        <v>30</v>
      </c>
      <c r="DL233" s="766" t="s">
        <v>233</v>
      </c>
      <c r="DM233" s="766" t="s">
        <v>234</v>
      </c>
      <c r="DN233" s="767">
        <f t="shared" si="488"/>
        <v>32455.199944832766</v>
      </c>
      <c r="DO233" s="767">
        <f t="shared" si="489"/>
        <v>714014.39878632082</v>
      </c>
      <c r="DP233" s="768">
        <f t="shared" si="490"/>
        <v>0.23800479959544027</v>
      </c>
      <c r="DR233" s="767">
        <f t="shared" si="491"/>
        <v>4162310.9911858351</v>
      </c>
      <c r="DS233" s="767">
        <f>SUM('[6]INTERNAL PRICELIST'!M233)</f>
        <v>0</v>
      </c>
      <c r="DT233" s="767">
        <f t="shared" si="551"/>
        <v>4162310.9911858351</v>
      </c>
      <c r="DV233" s="951">
        <f t="shared" si="492"/>
        <v>189195.95414481068</v>
      </c>
      <c r="DX233" s="781"/>
      <c r="DY233" s="782"/>
      <c r="DZ233" s="781"/>
      <c r="EA233" s="775"/>
      <c r="ED233" s="755" t="s">
        <v>665</v>
      </c>
      <c r="EE233" s="777" t="b">
        <f t="shared" si="493"/>
        <v>1</v>
      </c>
      <c r="EF233" s="777"/>
      <c r="EG233" s="777"/>
      <c r="EH233" s="1203"/>
      <c r="EP233" s="1230" t="s">
        <v>258</v>
      </c>
      <c r="EQ233" s="1145" t="s">
        <v>258</v>
      </c>
      <c r="ER233" s="823" t="b">
        <f t="shared" si="552"/>
        <v>1</v>
      </c>
      <c r="EU233" s="770">
        <v>3161427.9824007284</v>
      </c>
      <c r="EV233" s="771" t="s">
        <v>258</v>
      </c>
      <c r="EW233" s="775">
        <f>EU233-CG233</f>
        <v>-1000883.0087851067</v>
      </c>
      <c r="EY233" s="775">
        <v>3127789.2999052992</v>
      </c>
      <c r="FJ233" s="994">
        <v>0.15</v>
      </c>
      <c r="FK233" s="993">
        <v>13608.769342421752</v>
      </c>
      <c r="FL233" s="993">
        <v>13976.573919243963</v>
      </c>
      <c r="FM233" s="497"/>
      <c r="FN233" s="993">
        <f t="shared" si="494"/>
        <v>4693005.642562029</v>
      </c>
      <c r="FO233" s="994">
        <f t="shared" ref="FO233:FO237" si="599">FJ233</f>
        <v>0.15</v>
      </c>
      <c r="FP233" s="775">
        <f t="shared" si="495"/>
        <v>703950.84638430434</v>
      </c>
      <c r="FQ233" s="993">
        <f t="shared" si="496"/>
        <v>30000</v>
      </c>
      <c r="FR233" s="775">
        <f t="shared" si="554"/>
        <v>673950.84638430434</v>
      </c>
      <c r="FS233" s="497">
        <f t="shared" si="555"/>
        <v>40</v>
      </c>
      <c r="FT233" s="775">
        <f t="shared" si="556"/>
        <v>16848.771159607608</v>
      </c>
      <c r="FU233" s="497"/>
      <c r="FV233" s="993">
        <f t="shared" si="557"/>
        <v>4693005.642562029</v>
      </c>
      <c r="FW233" s="705">
        <f t="shared" si="558"/>
        <v>469300.5642562029</v>
      </c>
      <c r="FX233" s="705">
        <f t="shared" si="559"/>
        <v>117325.14106405072</v>
      </c>
      <c r="FY233" s="705">
        <v>15000</v>
      </c>
      <c r="FZ233" s="705">
        <f t="shared" si="560"/>
        <v>454300.5642562029</v>
      </c>
      <c r="GA233" s="497">
        <f t="shared" si="561"/>
        <v>46</v>
      </c>
      <c r="GB233" s="775">
        <f t="shared" si="562"/>
        <v>9876.0992229609328</v>
      </c>
      <c r="GC233" s="497"/>
      <c r="GD233" s="497"/>
      <c r="GH233" s="1095">
        <f t="shared" si="461"/>
        <v>4693005.642562029</v>
      </c>
      <c r="GI233" s="1098">
        <f t="shared" si="462"/>
        <v>0.125</v>
      </c>
      <c r="GJ233" s="1095">
        <f t="shared" si="463"/>
        <v>586625.70532025362</v>
      </c>
      <c r="GK233" s="1095">
        <f t="shared" si="464"/>
        <v>30000</v>
      </c>
      <c r="GL233" s="1095">
        <f t="shared" si="465"/>
        <v>556625.70532025362</v>
      </c>
      <c r="GM233" s="1095">
        <f t="shared" si="466"/>
        <v>29</v>
      </c>
      <c r="GN233" s="1095">
        <f t="shared" si="467"/>
        <v>19193.989838629434</v>
      </c>
      <c r="GO233" s="1098">
        <f t="shared" si="468"/>
        <v>0.875</v>
      </c>
      <c r="GP233" s="1095">
        <f t="shared" si="469"/>
        <v>4106379.9372417754</v>
      </c>
      <c r="GQ233" s="1095">
        <f t="shared" si="470"/>
        <v>31836.719945902496</v>
      </c>
      <c r="GR233" s="1095">
        <f t="shared" si="471"/>
        <v>36909.303784541225</v>
      </c>
      <c r="GS233" s="1095">
        <f t="shared" si="472"/>
        <v>47678.552960701149</v>
      </c>
      <c r="GT233" s="1095">
        <f t="shared" si="473"/>
        <v>81311.244419432463</v>
      </c>
      <c r="GU233" s="497"/>
      <c r="GV233" s="1095">
        <f t="shared" si="563"/>
        <v>4693005.642562029</v>
      </c>
      <c r="GW233" s="1098">
        <f t="shared" si="564"/>
        <v>0.125</v>
      </c>
      <c r="GX233" s="1095">
        <f t="shared" si="565"/>
        <v>586625.70532025362</v>
      </c>
      <c r="GY233" s="1095">
        <f t="shared" si="566"/>
        <v>30000</v>
      </c>
      <c r="GZ233" s="1095">
        <f t="shared" si="567"/>
        <v>556625.70532025362</v>
      </c>
      <c r="HA233" s="1106">
        <f t="shared" si="568"/>
        <v>48</v>
      </c>
      <c r="HB233" s="770">
        <f t="shared" si="569"/>
        <v>11596.368860838616</v>
      </c>
      <c r="HC233" s="1098">
        <f t="shared" si="570"/>
        <v>0.875</v>
      </c>
      <c r="HD233" s="1102">
        <f t="shared" si="571"/>
        <v>4106379.9372417754</v>
      </c>
      <c r="HE233" s="1101">
        <f t="shared" si="572"/>
        <v>31836.719945902496</v>
      </c>
      <c r="HF233" s="1101">
        <f t="shared" si="573"/>
        <v>36909.303784541225</v>
      </c>
      <c r="HG233" s="1101">
        <f t="shared" si="574"/>
        <v>47678.552960701149</v>
      </c>
      <c r="HH233" s="1101">
        <f t="shared" si="575"/>
        <v>81311.244419432463</v>
      </c>
      <c r="HI233" s="497"/>
      <c r="HJ233" s="1102">
        <f t="shared" si="576"/>
        <v>-7597.6209777908171</v>
      </c>
      <c r="HL233" s="775"/>
      <c r="HN233" s="775"/>
      <c r="HO233" s="775"/>
    </row>
    <row r="234" spans="1:228" ht="14.25" customHeight="1">
      <c r="A234" s="753">
        <f t="shared" si="577"/>
        <v>228</v>
      </c>
      <c r="B234" s="753"/>
      <c r="C234" s="753">
        <f t="shared" si="591"/>
        <v>11</v>
      </c>
      <c r="D234" s="753" t="s">
        <v>281</v>
      </c>
      <c r="E234" s="717" t="str">
        <f t="shared" si="497"/>
        <v>10th Floor</v>
      </c>
      <c r="F234" s="754"/>
      <c r="G234" s="756" t="s">
        <v>666</v>
      </c>
      <c r="H234" s="756"/>
      <c r="I234" s="755" t="s">
        <v>229</v>
      </c>
      <c r="J234" s="757">
        <v>22</v>
      </c>
      <c r="K234" s="758"/>
      <c r="L234" s="759" t="s">
        <v>277</v>
      </c>
      <c r="M234" s="760" t="s">
        <v>68</v>
      </c>
      <c r="N234" s="761">
        <f t="shared" si="498"/>
        <v>106005.26567735759</v>
      </c>
      <c r="O234" s="762">
        <f t="shared" si="499"/>
        <v>2332115.8449018667</v>
      </c>
      <c r="P234" s="762">
        <f t="shared" si="500"/>
        <v>22400</v>
      </c>
      <c r="Q234" s="762">
        <f t="shared" si="474"/>
        <v>50000</v>
      </c>
      <c r="R234" s="762"/>
      <c r="S234" s="762"/>
      <c r="T234" s="762"/>
      <c r="U234" s="762"/>
      <c r="V234" s="762"/>
      <c r="W234" s="762"/>
      <c r="X234" s="762"/>
      <c r="Y234" s="762">
        <f t="shared" si="592"/>
        <v>120000</v>
      </c>
      <c r="Z234" s="762">
        <f t="shared" si="475"/>
        <v>142461</v>
      </c>
      <c r="AA234" s="762"/>
      <c r="AB234" s="762"/>
      <c r="AC234" s="762"/>
      <c r="AD234" s="763">
        <f t="shared" si="501"/>
        <v>334861</v>
      </c>
      <c r="AE234" s="763">
        <f t="shared" si="476"/>
        <v>2666976.8449018667</v>
      </c>
      <c r="AF234" s="762">
        <f t="shared" si="477"/>
        <v>66674.421122546672</v>
      </c>
      <c r="AG234" s="762">
        <f t="shared" si="502"/>
        <v>2733651.2660244135</v>
      </c>
      <c r="AH234" s="762">
        <f t="shared" si="478"/>
        <v>68341.281650610341</v>
      </c>
      <c r="AI234" s="762">
        <f t="shared" si="503"/>
        <v>2801992.5476750238</v>
      </c>
      <c r="AJ234" s="762">
        <f t="shared" si="504"/>
        <v>140099.62738375118</v>
      </c>
      <c r="AK234" s="762">
        <f t="shared" si="505"/>
        <v>2942092.1750587751</v>
      </c>
      <c r="AL234" s="762">
        <f t="shared" si="506"/>
        <v>29420.921750587753</v>
      </c>
      <c r="AM234" s="762">
        <f t="shared" si="507"/>
        <v>27537.409960060559</v>
      </c>
      <c r="AN234" s="762"/>
      <c r="AO234" s="763">
        <f t="shared" si="508"/>
        <v>2999050.5067694234</v>
      </c>
      <c r="AP234" s="763">
        <f t="shared" si="509"/>
        <v>494843.33361695486</v>
      </c>
      <c r="AQ234" s="763">
        <f t="shared" si="510"/>
        <v>3493893.8403863781</v>
      </c>
      <c r="AR234" s="1178">
        <f t="shared" si="479"/>
        <v>3000000</v>
      </c>
      <c r="AS234" s="1178">
        <f t="shared" si="511"/>
        <v>22449.720017562642</v>
      </c>
      <c r="AT234" s="1178">
        <f t="shared" si="512"/>
        <v>493893.84038637811</v>
      </c>
      <c r="AU234" s="1178">
        <f t="shared" si="480"/>
        <v>59267.260846365374</v>
      </c>
      <c r="AV234" s="1178">
        <f t="shared" si="513"/>
        <v>553161.10123274347</v>
      </c>
      <c r="AW234" s="1178">
        <f t="shared" si="514"/>
        <v>3553161.1012327434</v>
      </c>
      <c r="AX234" s="762">
        <f t="shared" si="515"/>
        <v>44414.513765409298</v>
      </c>
      <c r="AY234" s="717" t="s">
        <v>231</v>
      </c>
      <c r="AZ234" s="717">
        <f t="shared" si="516"/>
        <v>3597575.6149981525</v>
      </c>
      <c r="BA234" s="717">
        <f t="shared" si="517"/>
        <v>134909.0855624307</v>
      </c>
      <c r="BB234" s="717"/>
      <c r="BC234" s="717">
        <f t="shared" si="481"/>
        <v>33600</v>
      </c>
      <c r="BD234" s="717">
        <f t="shared" si="518"/>
        <v>3766084.7005605833</v>
      </c>
      <c r="BE234" s="717"/>
      <c r="BF234" s="717">
        <f t="shared" si="519"/>
        <v>3766084.7005605833</v>
      </c>
      <c r="BG234" s="1209"/>
      <c r="BH234" s="717">
        <f t="shared" si="520"/>
        <v>3766084.7005605833</v>
      </c>
      <c r="BI234" s="717"/>
      <c r="BJ234" s="717">
        <f t="shared" si="521"/>
        <v>3766084.7005605833</v>
      </c>
      <c r="BK234" s="717"/>
      <c r="BL234" s="717">
        <f t="shared" si="522"/>
        <v>3766084.7005605833</v>
      </c>
      <c r="BM234" s="717"/>
      <c r="BN234" s="717">
        <f t="shared" si="523"/>
        <v>3766084.7005605833</v>
      </c>
      <c r="BO234" s="717">
        <f t="shared" si="594"/>
        <v>7289.0781490196077</v>
      </c>
      <c r="BP234" s="717">
        <f t="shared" si="482"/>
        <v>3773373.778709603</v>
      </c>
      <c r="BQ234" s="717">
        <f t="shared" si="595"/>
        <v>4468.4242000000004</v>
      </c>
      <c r="BR234" s="717">
        <f t="shared" si="584"/>
        <v>3777842.2029096028</v>
      </c>
      <c r="BS234" s="1234">
        <f t="shared" si="596"/>
        <v>2651.4786794501206</v>
      </c>
      <c r="BT234" s="1235">
        <f t="shared" si="524"/>
        <v>3780493.681589053</v>
      </c>
      <c r="BU234" s="1235">
        <f t="shared" si="597"/>
        <v>211.07692307692309</v>
      </c>
      <c r="BV234" s="1235">
        <f t="shared" si="585"/>
        <v>51400</v>
      </c>
      <c r="BW234" s="717">
        <f t="shared" si="525"/>
        <v>3832104.75851213</v>
      </c>
      <c r="BX234" s="1234">
        <f t="shared" si="589"/>
        <v>27651.078536278128</v>
      </c>
      <c r="BY234" s="717">
        <f t="shared" si="526"/>
        <v>3859755.8370484081</v>
      </c>
      <c r="BZ234" s="1194">
        <f t="shared" si="527"/>
        <v>3859755.8370484081</v>
      </c>
      <c r="CA234" s="1194">
        <f t="shared" si="528"/>
        <v>2979755.8370484081</v>
      </c>
      <c r="CB234" s="1194">
        <f t="shared" si="598"/>
        <v>40000</v>
      </c>
      <c r="CC234" s="1194">
        <f t="shared" si="529"/>
        <v>880000</v>
      </c>
      <c r="CD234" s="1194">
        <f t="shared" si="530"/>
        <v>105600</v>
      </c>
      <c r="CE234" s="1194">
        <f t="shared" si="531"/>
        <v>985600</v>
      </c>
      <c r="CF234" s="1200">
        <f t="shared" si="532"/>
        <v>3965355.8370484081</v>
      </c>
      <c r="CG234" s="757">
        <f t="shared" si="533"/>
        <v>3965355.8370484081</v>
      </c>
      <c r="CH234" s="758">
        <f t="shared" si="534"/>
        <v>0</v>
      </c>
      <c r="CI234" s="757">
        <f t="shared" si="483"/>
        <v>406448.97329746181</v>
      </c>
      <c r="CJ234" s="757">
        <f t="shared" si="484"/>
        <v>99133.895926210214</v>
      </c>
      <c r="CK234" s="759">
        <f t="shared" si="593"/>
        <v>4470938.7062720796</v>
      </c>
      <c r="CL234" s="764">
        <f t="shared" si="535"/>
        <v>0.125</v>
      </c>
      <c r="CM234" s="757">
        <f t="shared" si="536"/>
        <v>558867.33828400995</v>
      </c>
      <c r="CN234" s="757">
        <f t="shared" si="578"/>
        <v>30000</v>
      </c>
      <c r="CO234" s="757">
        <f t="shared" si="537"/>
        <v>528867.33828400995</v>
      </c>
      <c r="CP234" s="755">
        <f t="shared" si="538"/>
        <v>29</v>
      </c>
      <c r="CQ234" s="757">
        <f t="shared" si="581"/>
        <v>18236.804768414135</v>
      </c>
      <c r="CR234" s="764">
        <f t="shared" si="539"/>
        <v>0.875</v>
      </c>
      <c r="CS234" s="757">
        <f t="shared" si="540"/>
        <v>3912071.3679880695</v>
      </c>
      <c r="CT234" s="1101">
        <f t="shared" si="541"/>
        <v>30330.247676662249</v>
      </c>
      <c r="CU234" s="1101">
        <f t="shared" si="542"/>
        <v>35162.803431400047</v>
      </c>
      <c r="CV234" s="1101">
        <f t="shared" si="543"/>
        <v>45422.465713181693</v>
      </c>
      <c r="CW234" s="1141">
        <f t="shared" si="485"/>
        <v>77463.701861548572</v>
      </c>
      <c r="CX234" s="1152">
        <f t="shared" si="544"/>
        <v>317789.99179640081</v>
      </c>
      <c r="CY234" s="1152">
        <f t="shared" si="545"/>
        <v>125747.95170990784</v>
      </c>
      <c r="CZ234" s="1152">
        <f t="shared" si="546"/>
        <v>90825.964527355594</v>
      </c>
      <c r="DA234" s="1152">
        <f t="shared" si="547"/>
        <v>69122.74041676351</v>
      </c>
      <c r="DB234" s="1143">
        <f t="shared" si="486"/>
        <v>0.16463128012879272</v>
      </c>
      <c r="DC234" s="1143">
        <f t="shared" si="548"/>
        <v>0.3307653559213376</v>
      </c>
      <c r="DD234" s="1098" t="s">
        <v>232</v>
      </c>
      <c r="DE234" s="1144"/>
      <c r="DF234" s="705"/>
      <c r="DG234" s="765">
        <f t="shared" si="579"/>
        <v>46082</v>
      </c>
      <c r="DH234" s="1116">
        <f t="shared" si="487"/>
        <v>28</v>
      </c>
      <c r="DI234" s="497"/>
      <c r="DJ234" s="1117">
        <f t="shared" si="549"/>
        <v>46147</v>
      </c>
      <c r="DK234" s="1116">
        <f t="shared" si="550"/>
        <v>30</v>
      </c>
      <c r="DL234" s="766" t="s">
        <v>233</v>
      </c>
      <c r="DM234" s="766" t="s">
        <v>234</v>
      </c>
      <c r="DN234" s="767">
        <f t="shared" si="488"/>
        <v>25143.686419670157</v>
      </c>
      <c r="DO234" s="767">
        <f t="shared" si="489"/>
        <v>553161.10123274347</v>
      </c>
      <c r="DP234" s="768">
        <f t="shared" si="490"/>
        <v>0.18438703374424784</v>
      </c>
      <c r="DR234" s="767">
        <f t="shared" si="491"/>
        <v>3965355.8370484081</v>
      </c>
      <c r="DS234" s="767">
        <f>SUM('[6]INTERNAL PRICELIST'!M234)</f>
        <v>0</v>
      </c>
      <c r="DT234" s="767">
        <f t="shared" si="551"/>
        <v>3965355.8370484081</v>
      </c>
      <c r="DV234" s="951">
        <f t="shared" si="492"/>
        <v>180243.44713856399</v>
      </c>
      <c r="DX234" s="781"/>
      <c r="DY234" s="782"/>
      <c r="DZ234" s="781"/>
      <c r="EA234" s="775"/>
      <c r="ED234" s="755" t="s">
        <v>666</v>
      </c>
      <c r="EE234" s="777" t="b">
        <f t="shared" si="493"/>
        <v>1</v>
      </c>
      <c r="EF234" s="777"/>
      <c r="EG234" s="777"/>
      <c r="EH234" s="1203"/>
      <c r="EP234" s="1230" t="s">
        <v>258</v>
      </c>
      <c r="EQ234" s="1145" t="s">
        <v>258</v>
      </c>
      <c r="ER234" s="753" t="b">
        <f t="shared" si="552"/>
        <v>1</v>
      </c>
      <c r="EU234" s="770">
        <v>3133599.0274007288</v>
      </c>
      <c r="EV234" s="771" t="s">
        <v>258</v>
      </c>
      <c r="EW234" s="775">
        <f>EU234-CG234</f>
        <v>-831756.80964767933</v>
      </c>
      <c r="EY234" s="775">
        <v>3100206.5987977991</v>
      </c>
      <c r="FJ234" s="994">
        <v>0.125</v>
      </c>
      <c r="FK234" s="993">
        <v>11173.02953930404</v>
      </c>
      <c r="FL234" s="993">
        <v>11475.003310636581</v>
      </c>
      <c r="FM234" s="497"/>
      <c r="FN234" s="993">
        <f t="shared" si="494"/>
        <v>4470938.7062720796</v>
      </c>
      <c r="FO234" s="994">
        <f t="shared" si="599"/>
        <v>0.125</v>
      </c>
      <c r="FP234" s="775">
        <f t="shared" si="495"/>
        <v>558867.33828400995</v>
      </c>
      <c r="FQ234" s="993">
        <f t="shared" si="496"/>
        <v>30000</v>
      </c>
      <c r="FR234" s="775">
        <f t="shared" si="554"/>
        <v>528867.33828400995</v>
      </c>
      <c r="FS234" s="497">
        <f t="shared" si="555"/>
        <v>40</v>
      </c>
      <c r="FT234" s="775">
        <f t="shared" si="556"/>
        <v>13221.683457100249</v>
      </c>
      <c r="FU234" s="497"/>
      <c r="FV234" s="993">
        <f t="shared" si="557"/>
        <v>4470938.7062720796</v>
      </c>
      <c r="FW234" s="705">
        <f t="shared" si="558"/>
        <v>447093.87062720797</v>
      </c>
      <c r="FX234" s="705">
        <f t="shared" si="559"/>
        <v>111773.46765680199</v>
      </c>
      <c r="FY234" s="705">
        <v>15000</v>
      </c>
      <c r="FZ234" s="705">
        <f t="shared" si="560"/>
        <v>432093.87062720797</v>
      </c>
      <c r="GA234" s="497">
        <f t="shared" si="561"/>
        <v>46</v>
      </c>
      <c r="GB234" s="775">
        <f t="shared" si="562"/>
        <v>9393.3450136349566</v>
      </c>
      <c r="GC234" s="497"/>
      <c r="GD234" s="497"/>
      <c r="GH234" s="1095">
        <f t="shared" si="461"/>
        <v>4470938.7062720796</v>
      </c>
      <c r="GI234" s="1098">
        <f t="shared" si="462"/>
        <v>0.125</v>
      </c>
      <c r="GJ234" s="1095">
        <f t="shared" si="463"/>
        <v>558867.33828400995</v>
      </c>
      <c r="GK234" s="1095">
        <f t="shared" si="464"/>
        <v>30000</v>
      </c>
      <c r="GL234" s="1095">
        <f t="shared" si="465"/>
        <v>528867.33828400995</v>
      </c>
      <c r="GM234" s="1095">
        <f t="shared" si="466"/>
        <v>29</v>
      </c>
      <c r="GN234" s="1095">
        <f t="shared" si="467"/>
        <v>18236.804768414135</v>
      </c>
      <c r="GO234" s="1098">
        <f t="shared" si="468"/>
        <v>0.875</v>
      </c>
      <c r="GP234" s="1095">
        <f t="shared" si="469"/>
        <v>3912071.3679880695</v>
      </c>
      <c r="GQ234" s="1095">
        <f t="shared" si="470"/>
        <v>30330.247676662249</v>
      </c>
      <c r="GR234" s="1095">
        <f t="shared" si="471"/>
        <v>35162.803431400047</v>
      </c>
      <c r="GS234" s="1095">
        <f t="shared" si="472"/>
        <v>45422.465713181693</v>
      </c>
      <c r="GT234" s="1095">
        <f t="shared" si="473"/>
        <v>77463.701861548572</v>
      </c>
      <c r="GU234" s="497"/>
      <c r="GV234" s="1095">
        <f t="shared" si="563"/>
        <v>4470938.7062720796</v>
      </c>
      <c r="GW234" s="1098">
        <f t="shared" si="564"/>
        <v>0.125</v>
      </c>
      <c r="GX234" s="1095">
        <f t="shared" si="565"/>
        <v>558867.33828400995</v>
      </c>
      <c r="GY234" s="1095">
        <f t="shared" si="566"/>
        <v>30000</v>
      </c>
      <c r="GZ234" s="1095">
        <f t="shared" si="567"/>
        <v>528867.33828400995</v>
      </c>
      <c r="HA234" s="1106">
        <f t="shared" si="568"/>
        <v>48</v>
      </c>
      <c r="HB234" s="770">
        <f t="shared" si="569"/>
        <v>11018.06954758354</v>
      </c>
      <c r="HC234" s="1098">
        <f t="shared" si="570"/>
        <v>0.875</v>
      </c>
      <c r="HD234" s="1102">
        <f t="shared" si="571"/>
        <v>3912071.3679880695</v>
      </c>
      <c r="HE234" s="1101">
        <f t="shared" si="572"/>
        <v>30330.247676662249</v>
      </c>
      <c r="HF234" s="1101">
        <f t="shared" si="573"/>
        <v>35162.803431400047</v>
      </c>
      <c r="HG234" s="1101">
        <f t="shared" si="574"/>
        <v>45422.465713181693</v>
      </c>
      <c r="HH234" s="1101">
        <f t="shared" si="575"/>
        <v>77463.701861548572</v>
      </c>
      <c r="HI234" s="497"/>
      <c r="HJ234" s="1102">
        <f t="shared" si="576"/>
        <v>-7218.7352208305947</v>
      </c>
      <c r="HL234" s="775"/>
      <c r="HN234" s="775"/>
      <c r="HO234" s="775"/>
      <c r="HQ234" s="702"/>
      <c r="HR234" s="1171"/>
      <c r="HS234" s="702"/>
      <c r="HT234" s="1171"/>
    </row>
    <row r="235" spans="1:228" ht="14.25" customHeight="1">
      <c r="A235" s="753">
        <f t="shared" si="577"/>
        <v>229</v>
      </c>
      <c r="B235" s="753"/>
      <c r="C235" s="753">
        <f t="shared" si="591"/>
        <v>12</v>
      </c>
      <c r="D235" s="753" t="s">
        <v>281</v>
      </c>
      <c r="E235" s="717" t="str">
        <f t="shared" si="497"/>
        <v>10th Floor</v>
      </c>
      <c r="F235" s="754"/>
      <c r="G235" s="756" t="s">
        <v>667</v>
      </c>
      <c r="H235" s="756"/>
      <c r="I235" s="755" t="s">
        <v>229</v>
      </c>
      <c r="J235" s="757">
        <v>22</v>
      </c>
      <c r="K235" s="758"/>
      <c r="L235" s="759" t="s">
        <v>277</v>
      </c>
      <c r="M235" s="760" t="s">
        <v>68</v>
      </c>
      <c r="N235" s="761">
        <f t="shared" si="498"/>
        <v>106005.26567735759</v>
      </c>
      <c r="O235" s="762">
        <f t="shared" si="499"/>
        <v>2332115.8449018667</v>
      </c>
      <c r="P235" s="762">
        <f t="shared" si="500"/>
        <v>22400</v>
      </c>
      <c r="Q235" s="762">
        <f t="shared" si="474"/>
        <v>50000</v>
      </c>
      <c r="R235" s="762"/>
      <c r="S235" s="762"/>
      <c r="T235" s="762"/>
      <c r="U235" s="762"/>
      <c r="V235" s="762"/>
      <c r="W235" s="762"/>
      <c r="X235" s="762"/>
      <c r="Y235" s="762">
        <f t="shared" si="592"/>
        <v>120000</v>
      </c>
      <c r="Z235" s="762">
        <f t="shared" si="475"/>
        <v>142461</v>
      </c>
      <c r="AA235" s="762"/>
      <c r="AB235" s="762"/>
      <c r="AC235" s="762"/>
      <c r="AD235" s="763">
        <f t="shared" si="501"/>
        <v>334861</v>
      </c>
      <c r="AE235" s="763">
        <f t="shared" si="476"/>
        <v>2666976.8449018667</v>
      </c>
      <c r="AF235" s="762">
        <f t="shared" si="477"/>
        <v>66674.421122546672</v>
      </c>
      <c r="AG235" s="762">
        <f t="shared" si="502"/>
        <v>2733651.2660244135</v>
      </c>
      <c r="AH235" s="762">
        <f t="shared" si="478"/>
        <v>68341.281650610341</v>
      </c>
      <c r="AI235" s="762">
        <f t="shared" si="503"/>
        <v>2801992.5476750238</v>
      </c>
      <c r="AJ235" s="762">
        <f t="shared" si="504"/>
        <v>140099.62738375118</v>
      </c>
      <c r="AK235" s="762">
        <f t="shared" si="505"/>
        <v>2942092.1750587751</v>
      </c>
      <c r="AL235" s="762">
        <f t="shared" si="506"/>
        <v>29420.921750587753</v>
      </c>
      <c r="AM235" s="762">
        <f t="shared" si="507"/>
        <v>27537.409960060559</v>
      </c>
      <c r="AN235" s="762"/>
      <c r="AO235" s="763">
        <f t="shared" si="508"/>
        <v>2999050.5067694234</v>
      </c>
      <c r="AP235" s="763">
        <f t="shared" si="509"/>
        <v>494843.33361695486</v>
      </c>
      <c r="AQ235" s="763">
        <f t="shared" si="510"/>
        <v>3493893.8403863781</v>
      </c>
      <c r="AR235" s="1178">
        <f t="shared" si="479"/>
        <v>3000000</v>
      </c>
      <c r="AS235" s="1178">
        <f t="shared" si="511"/>
        <v>22449.720017562642</v>
      </c>
      <c r="AT235" s="1178">
        <f t="shared" si="512"/>
        <v>493893.84038637811</v>
      </c>
      <c r="AU235" s="1178">
        <f t="shared" si="480"/>
        <v>59267.260846365374</v>
      </c>
      <c r="AV235" s="1178">
        <f t="shared" si="513"/>
        <v>553161.10123274347</v>
      </c>
      <c r="AW235" s="1178">
        <f t="shared" si="514"/>
        <v>3553161.1012327434</v>
      </c>
      <c r="AX235" s="762">
        <f t="shared" si="515"/>
        <v>44414.513765409298</v>
      </c>
      <c r="AY235" s="717" t="s">
        <v>231</v>
      </c>
      <c r="AZ235" s="717">
        <f t="shared" si="516"/>
        <v>3597575.6149981525</v>
      </c>
      <c r="BA235" s="717">
        <f t="shared" si="517"/>
        <v>134909.0855624307</v>
      </c>
      <c r="BB235" s="717"/>
      <c r="BC235" s="717">
        <f t="shared" si="481"/>
        <v>33600</v>
      </c>
      <c r="BD235" s="717">
        <f t="shared" si="518"/>
        <v>3766084.7005605833</v>
      </c>
      <c r="BE235" s="717"/>
      <c r="BF235" s="717">
        <f t="shared" si="519"/>
        <v>3766084.7005605833</v>
      </c>
      <c r="BG235" s="1209"/>
      <c r="BH235" s="717">
        <f t="shared" si="520"/>
        <v>3766084.7005605833</v>
      </c>
      <c r="BI235" s="717"/>
      <c r="BJ235" s="717">
        <f t="shared" si="521"/>
        <v>3766084.7005605833</v>
      </c>
      <c r="BK235" s="717"/>
      <c r="BL235" s="717">
        <f t="shared" si="522"/>
        <v>3766084.7005605833</v>
      </c>
      <c r="BM235" s="717"/>
      <c r="BN235" s="717">
        <f t="shared" si="523"/>
        <v>3766084.7005605833</v>
      </c>
      <c r="BO235" s="717">
        <f t="shared" si="594"/>
        <v>7289.0781490196077</v>
      </c>
      <c r="BP235" s="717">
        <f t="shared" si="482"/>
        <v>3773373.778709603</v>
      </c>
      <c r="BQ235" s="717">
        <f t="shared" si="595"/>
        <v>4468.4242000000004</v>
      </c>
      <c r="BR235" s="717">
        <f t="shared" si="584"/>
        <v>3777842.2029096028</v>
      </c>
      <c r="BS235" s="1234">
        <f t="shared" si="596"/>
        <v>2651.4786794501206</v>
      </c>
      <c r="BT235" s="1235">
        <f t="shared" si="524"/>
        <v>3780493.681589053</v>
      </c>
      <c r="BU235" s="1235">
        <f t="shared" si="597"/>
        <v>211.07692307692309</v>
      </c>
      <c r="BV235" s="1235">
        <f t="shared" si="585"/>
        <v>51400</v>
      </c>
      <c r="BW235" s="717">
        <f t="shared" si="525"/>
        <v>3832104.75851213</v>
      </c>
      <c r="BX235" s="1234">
        <f t="shared" si="589"/>
        <v>27651.078536278128</v>
      </c>
      <c r="BY235" s="717">
        <f t="shared" si="526"/>
        <v>3859755.8370484081</v>
      </c>
      <c r="BZ235" s="1194">
        <f t="shared" si="527"/>
        <v>3859755.8370484081</v>
      </c>
      <c r="CA235" s="1194">
        <f t="shared" si="528"/>
        <v>2979755.8370484081</v>
      </c>
      <c r="CB235" s="1194">
        <f t="shared" si="598"/>
        <v>40000</v>
      </c>
      <c r="CC235" s="1194">
        <f t="shared" si="529"/>
        <v>880000</v>
      </c>
      <c r="CD235" s="1194">
        <f t="shared" si="530"/>
        <v>105600</v>
      </c>
      <c r="CE235" s="1194">
        <f t="shared" si="531"/>
        <v>985600</v>
      </c>
      <c r="CF235" s="1200">
        <f t="shared" si="532"/>
        <v>3965355.8370484081</v>
      </c>
      <c r="CG235" s="757">
        <f t="shared" si="533"/>
        <v>3965355.8370484081</v>
      </c>
      <c r="CH235" s="758">
        <f t="shared" si="534"/>
        <v>0</v>
      </c>
      <c r="CI235" s="757">
        <f t="shared" si="483"/>
        <v>406448.97329746181</v>
      </c>
      <c r="CJ235" s="757">
        <f t="shared" si="484"/>
        <v>99133.895926210214</v>
      </c>
      <c r="CK235" s="759">
        <f t="shared" si="593"/>
        <v>4470938.7062720796</v>
      </c>
      <c r="CL235" s="764">
        <f t="shared" si="535"/>
        <v>0.125</v>
      </c>
      <c r="CM235" s="757">
        <f t="shared" si="536"/>
        <v>558867.33828400995</v>
      </c>
      <c r="CN235" s="757">
        <f t="shared" si="578"/>
        <v>30000</v>
      </c>
      <c r="CO235" s="757">
        <f t="shared" si="537"/>
        <v>528867.33828400995</v>
      </c>
      <c r="CP235" s="755">
        <f t="shared" si="538"/>
        <v>29</v>
      </c>
      <c r="CQ235" s="757">
        <f t="shared" si="581"/>
        <v>18236.804768414135</v>
      </c>
      <c r="CR235" s="764">
        <f t="shared" si="539"/>
        <v>0.875</v>
      </c>
      <c r="CS235" s="757">
        <f t="shared" si="540"/>
        <v>3912071.3679880695</v>
      </c>
      <c r="CT235" s="1101">
        <f t="shared" si="541"/>
        <v>30330.247676662249</v>
      </c>
      <c r="CU235" s="1101">
        <f t="shared" si="542"/>
        <v>35162.803431400047</v>
      </c>
      <c r="CV235" s="1101">
        <f t="shared" si="543"/>
        <v>45422.465713181693</v>
      </c>
      <c r="CW235" s="1141">
        <f t="shared" si="485"/>
        <v>77463.701861548572</v>
      </c>
      <c r="CX235" s="1152">
        <f t="shared" si="544"/>
        <v>317789.99179640081</v>
      </c>
      <c r="CY235" s="1152">
        <f t="shared" si="545"/>
        <v>125747.95170990784</v>
      </c>
      <c r="CZ235" s="1152">
        <f t="shared" si="546"/>
        <v>90825.964527355594</v>
      </c>
      <c r="DA235" s="1152">
        <f t="shared" si="547"/>
        <v>69122.74041676351</v>
      </c>
      <c r="DB235" s="1143">
        <f t="shared" si="486"/>
        <v>0.16463128012879272</v>
      </c>
      <c r="DC235" s="1143">
        <f t="shared" si="548"/>
        <v>0.3307653559213376</v>
      </c>
      <c r="DD235" s="1098" t="s">
        <v>232</v>
      </c>
      <c r="DE235" s="1144"/>
      <c r="DF235" s="705"/>
      <c r="DG235" s="765">
        <f t="shared" si="579"/>
        <v>46082</v>
      </c>
      <c r="DH235" s="1116">
        <f t="shared" si="487"/>
        <v>28</v>
      </c>
      <c r="DI235" s="497"/>
      <c r="DJ235" s="1117">
        <f t="shared" si="549"/>
        <v>46147</v>
      </c>
      <c r="DK235" s="1116">
        <f t="shared" si="550"/>
        <v>30</v>
      </c>
      <c r="DL235" s="766" t="s">
        <v>233</v>
      </c>
      <c r="DM235" s="766" t="s">
        <v>234</v>
      </c>
      <c r="DN235" s="767">
        <f t="shared" si="488"/>
        <v>25143.686419670157</v>
      </c>
      <c r="DO235" s="767">
        <f t="shared" si="489"/>
        <v>553161.10123274347</v>
      </c>
      <c r="DP235" s="768">
        <f t="shared" si="490"/>
        <v>0.18438703374424784</v>
      </c>
      <c r="DR235" s="767">
        <f t="shared" si="491"/>
        <v>3965355.8370484081</v>
      </c>
      <c r="DS235" s="767">
        <f>SUM('[6]INTERNAL PRICELIST'!M235)</f>
        <v>0</v>
      </c>
      <c r="DT235" s="767">
        <f t="shared" si="551"/>
        <v>3965355.8370484081</v>
      </c>
      <c r="DV235" s="951">
        <f t="shared" si="492"/>
        <v>180243.44713856399</v>
      </c>
      <c r="DX235" s="781"/>
      <c r="DY235" s="782"/>
      <c r="DZ235" s="781"/>
      <c r="EA235" s="775"/>
      <c r="ED235" s="755" t="s">
        <v>667</v>
      </c>
      <c r="EE235" s="777" t="b">
        <f t="shared" si="493"/>
        <v>1</v>
      </c>
      <c r="EF235" s="777"/>
      <c r="EG235" s="777"/>
      <c r="EH235" s="1203"/>
      <c r="EP235" s="1230" t="s">
        <v>258</v>
      </c>
      <c r="EQ235" s="1145" t="s">
        <v>258</v>
      </c>
      <c r="ER235" s="753" t="b">
        <f t="shared" si="552"/>
        <v>1</v>
      </c>
      <c r="EU235" s="770">
        <v>3133599.0274007288</v>
      </c>
      <c r="EV235" s="771" t="s">
        <v>258</v>
      </c>
      <c r="EW235" s="775">
        <f>EU235-CG235</f>
        <v>-831756.80964767933</v>
      </c>
      <c r="EY235" s="775">
        <v>3100206.5987977991</v>
      </c>
      <c r="FJ235" s="994">
        <v>0.125</v>
      </c>
      <c r="FK235" s="993">
        <v>11173.02953930404</v>
      </c>
      <c r="FL235" s="993">
        <v>11475.003310636581</v>
      </c>
      <c r="FM235" s="497"/>
      <c r="FN235" s="993">
        <f t="shared" si="494"/>
        <v>4470938.7062720796</v>
      </c>
      <c r="FO235" s="994">
        <f t="shared" si="599"/>
        <v>0.125</v>
      </c>
      <c r="FP235" s="775">
        <f t="shared" si="495"/>
        <v>558867.33828400995</v>
      </c>
      <c r="FQ235" s="993">
        <f t="shared" si="496"/>
        <v>30000</v>
      </c>
      <c r="FR235" s="775">
        <f t="shared" si="554"/>
        <v>528867.33828400995</v>
      </c>
      <c r="FS235" s="497">
        <f t="shared" si="555"/>
        <v>40</v>
      </c>
      <c r="FT235" s="775">
        <f t="shared" si="556"/>
        <v>13221.683457100249</v>
      </c>
      <c r="FU235" s="497"/>
      <c r="FV235" s="993">
        <f t="shared" si="557"/>
        <v>4470938.7062720796</v>
      </c>
      <c r="FW235" s="705">
        <f t="shared" si="558"/>
        <v>447093.87062720797</v>
      </c>
      <c r="FX235" s="705">
        <f t="shared" si="559"/>
        <v>111773.46765680199</v>
      </c>
      <c r="FY235" s="705">
        <v>15000</v>
      </c>
      <c r="FZ235" s="705">
        <f t="shared" si="560"/>
        <v>432093.87062720797</v>
      </c>
      <c r="GA235" s="497">
        <f t="shared" si="561"/>
        <v>46</v>
      </c>
      <c r="GB235" s="775">
        <f t="shared" si="562"/>
        <v>9393.3450136349566</v>
      </c>
      <c r="GC235" s="497"/>
      <c r="GD235" s="497"/>
      <c r="GH235" s="1095">
        <f t="shared" si="461"/>
        <v>4470938.7062720796</v>
      </c>
      <c r="GI235" s="1098">
        <f t="shared" si="462"/>
        <v>0.125</v>
      </c>
      <c r="GJ235" s="1095">
        <f t="shared" si="463"/>
        <v>558867.33828400995</v>
      </c>
      <c r="GK235" s="1095">
        <f t="shared" si="464"/>
        <v>30000</v>
      </c>
      <c r="GL235" s="1095">
        <f t="shared" si="465"/>
        <v>528867.33828400995</v>
      </c>
      <c r="GM235" s="1095">
        <f t="shared" si="466"/>
        <v>29</v>
      </c>
      <c r="GN235" s="1095">
        <f t="shared" si="467"/>
        <v>18236.804768414135</v>
      </c>
      <c r="GO235" s="1098">
        <f t="shared" si="468"/>
        <v>0.875</v>
      </c>
      <c r="GP235" s="1095">
        <f t="shared" si="469"/>
        <v>3912071.3679880695</v>
      </c>
      <c r="GQ235" s="1095">
        <f t="shared" si="470"/>
        <v>30330.247676662249</v>
      </c>
      <c r="GR235" s="1095">
        <f t="shared" si="471"/>
        <v>35162.803431400047</v>
      </c>
      <c r="GS235" s="1095">
        <f t="shared" si="472"/>
        <v>45422.465713181693</v>
      </c>
      <c r="GT235" s="1095">
        <f t="shared" si="473"/>
        <v>77463.701861548572</v>
      </c>
      <c r="GU235" s="497"/>
      <c r="GV235" s="1095">
        <f t="shared" si="563"/>
        <v>4470938.7062720796</v>
      </c>
      <c r="GW235" s="1098">
        <f t="shared" si="564"/>
        <v>0.125</v>
      </c>
      <c r="GX235" s="1095">
        <f t="shared" si="565"/>
        <v>558867.33828400995</v>
      </c>
      <c r="GY235" s="1095">
        <f t="shared" si="566"/>
        <v>30000</v>
      </c>
      <c r="GZ235" s="1095">
        <f t="shared" si="567"/>
        <v>528867.33828400995</v>
      </c>
      <c r="HA235" s="1106">
        <f t="shared" si="568"/>
        <v>48</v>
      </c>
      <c r="HB235" s="770">
        <f t="shared" si="569"/>
        <v>11018.06954758354</v>
      </c>
      <c r="HC235" s="1098">
        <f t="shared" si="570"/>
        <v>0.875</v>
      </c>
      <c r="HD235" s="1102">
        <f t="shared" si="571"/>
        <v>3912071.3679880695</v>
      </c>
      <c r="HE235" s="1101">
        <f t="shared" si="572"/>
        <v>30330.247676662249</v>
      </c>
      <c r="HF235" s="1101">
        <f t="shared" si="573"/>
        <v>35162.803431400047</v>
      </c>
      <c r="HG235" s="1101">
        <f t="shared" si="574"/>
        <v>45422.465713181693</v>
      </c>
      <c r="HH235" s="1101">
        <f t="shared" si="575"/>
        <v>77463.701861548572</v>
      </c>
      <c r="HI235" s="497"/>
      <c r="HJ235" s="1102">
        <f t="shared" si="576"/>
        <v>-7218.7352208305947</v>
      </c>
      <c r="HL235" s="775"/>
      <c r="HN235" s="775"/>
      <c r="HO235" s="775"/>
      <c r="HQ235" s="702"/>
      <c r="HR235" s="1171"/>
      <c r="HS235" s="702"/>
      <c r="HT235" s="1171"/>
    </row>
    <row r="236" spans="1:228" ht="14.25" customHeight="1">
      <c r="A236" s="753">
        <f t="shared" si="577"/>
        <v>230</v>
      </c>
      <c r="B236" s="753"/>
      <c r="C236" s="753">
        <f t="shared" si="591"/>
        <v>13</v>
      </c>
      <c r="D236" s="753" t="s">
        <v>281</v>
      </c>
      <c r="E236" s="717" t="str">
        <f t="shared" si="497"/>
        <v>10th Floor</v>
      </c>
      <c r="F236" s="754"/>
      <c r="G236" s="756" t="s">
        <v>668</v>
      </c>
      <c r="H236" s="756"/>
      <c r="I236" s="755" t="s">
        <v>229</v>
      </c>
      <c r="J236" s="757">
        <v>22</v>
      </c>
      <c r="K236" s="758"/>
      <c r="L236" s="759" t="s">
        <v>277</v>
      </c>
      <c r="M236" s="760" t="s">
        <v>68</v>
      </c>
      <c r="N236" s="761">
        <f t="shared" si="498"/>
        <v>106005.26567735759</v>
      </c>
      <c r="O236" s="762">
        <f t="shared" si="499"/>
        <v>2332115.8449018667</v>
      </c>
      <c r="P236" s="762">
        <f t="shared" si="500"/>
        <v>22400</v>
      </c>
      <c r="Q236" s="762">
        <f t="shared" si="474"/>
        <v>50000</v>
      </c>
      <c r="R236" s="762"/>
      <c r="S236" s="762"/>
      <c r="T236" s="762"/>
      <c r="U236" s="762"/>
      <c r="V236" s="762"/>
      <c r="W236" s="762"/>
      <c r="X236" s="762"/>
      <c r="Y236" s="762">
        <f t="shared" si="592"/>
        <v>120000</v>
      </c>
      <c r="Z236" s="762">
        <f t="shared" si="475"/>
        <v>142461</v>
      </c>
      <c r="AA236" s="762">
        <v>49222.732758620703</v>
      </c>
      <c r="AB236" s="762"/>
      <c r="AC236" s="762"/>
      <c r="AD236" s="763">
        <f t="shared" si="501"/>
        <v>384083.7327586207</v>
      </c>
      <c r="AE236" s="763">
        <f t="shared" si="476"/>
        <v>2716199.5776604875</v>
      </c>
      <c r="AF236" s="762">
        <f t="shared" si="477"/>
        <v>67904.989441512196</v>
      </c>
      <c r="AG236" s="762">
        <f t="shared" si="502"/>
        <v>2784104.5671019997</v>
      </c>
      <c r="AH236" s="762">
        <f t="shared" si="478"/>
        <v>69602.61417755</v>
      </c>
      <c r="AI236" s="762">
        <f t="shared" si="503"/>
        <v>2853707.1812795498</v>
      </c>
      <c r="AJ236" s="762">
        <f t="shared" si="504"/>
        <v>142685.35906397749</v>
      </c>
      <c r="AK236" s="762">
        <f t="shared" si="505"/>
        <v>2996392.5403435272</v>
      </c>
      <c r="AL236" s="762">
        <f t="shared" si="506"/>
        <v>29963.925403435274</v>
      </c>
      <c r="AM236" s="762">
        <f t="shared" si="507"/>
        <v>27537.409960060559</v>
      </c>
      <c r="AN236" s="762"/>
      <c r="AO236" s="763">
        <f t="shared" si="508"/>
        <v>3053893.8757070228</v>
      </c>
      <c r="AP236" s="763">
        <f t="shared" si="509"/>
        <v>503892.48949165881</v>
      </c>
      <c r="AQ236" s="763">
        <f t="shared" si="510"/>
        <v>3557786.3651986816</v>
      </c>
      <c r="AR236" s="1178">
        <f t="shared" si="479"/>
        <v>3000000</v>
      </c>
      <c r="AS236" s="1178">
        <f t="shared" si="511"/>
        <v>25353.925690849162</v>
      </c>
      <c r="AT236" s="1178">
        <f t="shared" si="512"/>
        <v>557786.3651986816</v>
      </c>
      <c r="AU236" s="1178">
        <f t="shared" si="480"/>
        <v>66934.363823841792</v>
      </c>
      <c r="AV236" s="1178">
        <f t="shared" si="513"/>
        <v>624720.72902252339</v>
      </c>
      <c r="AW236" s="1178">
        <f t="shared" si="514"/>
        <v>3624720.7290225234</v>
      </c>
      <c r="AX236" s="762">
        <f t="shared" si="515"/>
        <v>45309.009112781547</v>
      </c>
      <c r="AY236" s="717">
        <v>7575.3956645161297</v>
      </c>
      <c r="AZ236" s="717">
        <f t="shared" si="516"/>
        <v>3677605.1337998207</v>
      </c>
      <c r="BA236" s="717">
        <f t="shared" si="517"/>
        <v>137910.19251749327</v>
      </c>
      <c r="BB236" s="717"/>
      <c r="BC236" s="717">
        <f t="shared" si="481"/>
        <v>33600</v>
      </c>
      <c r="BD236" s="717">
        <f t="shared" si="518"/>
        <v>3849115.3263173141</v>
      </c>
      <c r="BE236" s="717">
        <v>18367.830916129038</v>
      </c>
      <c r="BF236" s="717">
        <f t="shared" si="519"/>
        <v>3867483.1572334431</v>
      </c>
      <c r="BG236" s="1209"/>
      <c r="BH236" s="717">
        <f t="shared" si="520"/>
        <v>3867483.1572334431</v>
      </c>
      <c r="BI236" s="717">
        <v>718.43902439024396</v>
      </c>
      <c r="BJ236" s="717">
        <f t="shared" si="521"/>
        <v>3868201.5962578333</v>
      </c>
      <c r="BK236" s="717"/>
      <c r="BL236" s="717">
        <f t="shared" si="522"/>
        <v>3868201.5962578333</v>
      </c>
      <c r="BM236" s="717">
        <f>$BM$5/41</f>
        <v>1038.0487804878051</v>
      </c>
      <c r="BN236" s="717">
        <f t="shared" si="523"/>
        <v>3869239.6450383211</v>
      </c>
      <c r="BO236" s="717">
        <f t="shared" si="594"/>
        <v>7289.0781490196077</v>
      </c>
      <c r="BP236" s="717">
        <f t="shared" si="482"/>
        <v>3876528.7231873409</v>
      </c>
      <c r="BQ236" s="717">
        <f t="shared" si="595"/>
        <v>4468.4242000000004</v>
      </c>
      <c r="BR236" s="717">
        <f t="shared" si="584"/>
        <v>3880997.1473873407</v>
      </c>
      <c r="BS236" s="1234">
        <f t="shared" si="596"/>
        <v>2651.4786794501206</v>
      </c>
      <c r="BT236" s="1235">
        <f t="shared" si="524"/>
        <v>3883648.6260667909</v>
      </c>
      <c r="BU236" s="1235">
        <f t="shared" si="597"/>
        <v>211.07692307692309</v>
      </c>
      <c r="BV236" s="1235">
        <f t="shared" si="585"/>
        <v>51400</v>
      </c>
      <c r="BW236" s="717">
        <f t="shared" si="525"/>
        <v>3935259.7029898679</v>
      </c>
      <c r="BX236" s="1234">
        <f t="shared" si="589"/>
        <v>27651.078536278128</v>
      </c>
      <c r="BY236" s="717">
        <f t="shared" si="526"/>
        <v>3962910.781526146</v>
      </c>
      <c r="BZ236" s="1194">
        <f t="shared" si="527"/>
        <v>3962910.781526146</v>
      </c>
      <c r="CA236" s="1194">
        <f t="shared" si="528"/>
        <v>3082910.781526146</v>
      </c>
      <c r="CB236" s="1194">
        <f t="shared" si="598"/>
        <v>40000</v>
      </c>
      <c r="CC236" s="1194">
        <f t="shared" si="529"/>
        <v>880000</v>
      </c>
      <c r="CD236" s="1194">
        <f t="shared" si="530"/>
        <v>105600</v>
      </c>
      <c r="CE236" s="1194">
        <f t="shared" si="531"/>
        <v>985600</v>
      </c>
      <c r="CF236" s="1200">
        <f t="shared" si="532"/>
        <v>4068510.781526146</v>
      </c>
      <c r="CG236" s="757">
        <f t="shared" si="533"/>
        <v>4068510.781526146</v>
      </c>
      <c r="CH236" s="758">
        <f t="shared" si="534"/>
        <v>0</v>
      </c>
      <c r="CI236" s="757">
        <f t="shared" si="483"/>
        <v>417022.35510642995</v>
      </c>
      <c r="CJ236" s="757">
        <f t="shared" si="484"/>
        <v>101712.76953815366</v>
      </c>
      <c r="CK236" s="759">
        <f t="shared" si="593"/>
        <v>4587245.9061707295</v>
      </c>
      <c r="CL236" s="764">
        <f t="shared" si="535"/>
        <v>0.125</v>
      </c>
      <c r="CM236" s="757">
        <f t="shared" si="536"/>
        <v>573405.73827134119</v>
      </c>
      <c r="CN236" s="757">
        <f t="shared" si="578"/>
        <v>30000</v>
      </c>
      <c r="CO236" s="757">
        <f t="shared" si="537"/>
        <v>543405.73827134119</v>
      </c>
      <c r="CP236" s="755">
        <f t="shared" si="538"/>
        <v>29</v>
      </c>
      <c r="CQ236" s="757">
        <f t="shared" si="581"/>
        <v>18738.128905908317</v>
      </c>
      <c r="CR236" s="764">
        <f t="shared" si="539"/>
        <v>0.875</v>
      </c>
      <c r="CS236" s="757">
        <f t="shared" si="540"/>
        <v>4013840.1678993884</v>
      </c>
      <c r="CT236" s="1101">
        <f t="shared" si="541"/>
        <v>31119.260099166808</v>
      </c>
      <c r="CU236" s="1101">
        <f t="shared" si="542"/>
        <v>36077.530175910222</v>
      </c>
      <c r="CV236" s="1101">
        <f t="shared" si="543"/>
        <v>46604.087772142462</v>
      </c>
      <c r="CW236" s="1141">
        <f t="shared" si="485"/>
        <v>79478.846073805704</v>
      </c>
      <c r="CX236" s="1152">
        <f t="shared" si="544"/>
        <v>326056.99488678155</v>
      </c>
      <c r="CY236" s="1152">
        <f t="shared" si="545"/>
        <v>129019.1645618874</v>
      </c>
      <c r="CZ236" s="1152">
        <f t="shared" si="546"/>
        <v>93188.715239516227</v>
      </c>
      <c r="DA236" s="1152">
        <f t="shared" si="547"/>
        <v>70920.902484142513</v>
      </c>
      <c r="DB236" s="1143">
        <f t="shared" si="486"/>
        <v>0.18592878839956054</v>
      </c>
      <c r="DC236" s="1143">
        <f t="shared" si="548"/>
        <v>0.31969786667394068</v>
      </c>
      <c r="DD236" s="1098" t="s">
        <v>232</v>
      </c>
      <c r="DE236" s="1144"/>
      <c r="DF236" s="705"/>
      <c r="DG236" s="765">
        <f t="shared" si="579"/>
        <v>46082</v>
      </c>
      <c r="DH236" s="1116">
        <f t="shared" si="487"/>
        <v>28</v>
      </c>
      <c r="DI236" s="497"/>
      <c r="DJ236" s="1117">
        <f t="shared" si="549"/>
        <v>46147</v>
      </c>
      <c r="DK236" s="1116">
        <f t="shared" si="550"/>
        <v>30</v>
      </c>
      <c r="DL236" s="766" t="s">
        <v>233</v>
      </c>
      <c r="DM236" s="766" t="s">
        <v>234</v>
      </c>
      <c r="DN236" s="767">
        <f t="shared" si="488"/>
        <v>28396.396773751065</v>
      </c>
      <c r="DO236" s="767">
        <f t="shared" si="489"/>
        <v>624720.72902252339</v>
      </c>
      <c r="DP236" s="768">
        <f t="shared" si="490"/>
        <v>0.20824024300750779</v>
      </c>
      <c r="DR236" s="767">
        <f t="shared" si="491"/>
        <v>4068510.781526146</v>
      </c>
      <c r="DS236" s="767">
        <f>SUM('[6]INTERNAL PRICELIST'!M236)</f>
        <v>0</v>
      </c>
      <c r="DT236" s="767">
        <f t="shared" si="551"/>
        <v>4068510.781526146</v>
      </c>
      <c r="DV236" s="951">
        <f t="shared" si="492"/>
        <v>184932.30825118846</v>
      </c>
      <c r="DX236" s="781"/>
      <c r="DY236" s="782"/>
      <c r="DZ236" s="781"/>
      <c r="EA236" s="775"/>
      <c r="ED236" s="755" t="s">
        <v>668</v>
      </c>
      <c r="EE236" s="777" t="b">
        <f t="shared" si="493"/>
        <v>1</v>
      </c>
      <c r="EF236" s="777"/>
      <c r="EG236" s="777"/>
      <c r="EH236" s="1203"/>
      <c r="EP236" s="1230" t="s">
        <v>258</v>
      </c>
      <c r="EQ236" s="1145" t="s">
        <v>258</v>
      </c>
      <c r="ER236" s="753" t="b">
        <f t="shared" si="552"/>
        <v>1</v>
      </c>
      <c r="EU236" s="770">
        <v>3133599.0274007288</v>
      </c>
      <c r="EV236" s="771" t="s">
        <v>258</v>
      </c>
      <c r="EW236" s="775">
        <f>EU236-CG236</f>
        <v>-934911.75412541721</v>
      </c>
      <c r="EY236" s="775">
        <v>3100206.5987977991</v>
      </c>
      <c r="FJ236" s="994">
        <v>0.125</v>
      </c>
      <c r="FK236" s="993">
        <v>11173.02953930404</v>
      </c>
      <c r="FL236" s="993">
        <v>11475.003310636581</v>
      </c>
      <c r="FM236" s="497"/>
      <c r="FN236" s="993">
        <f t="shared" si="494"/>
        <v>4587245.9061707295</v>
      </c>
      <c r="FO236" s="994">
        <f t="shared" si="599"/>
        <v>0.125</v>
      </c>
      <c r="FP236" s="775">
        <f t="shared" si="495"/>
        <v>573405.73827134119</v>
      </c>
      <c r="FQ236" s="993">
        <f t="shared" si="496"/>
        <v>30000</v>
      </c>
      <c r="FR236" s="775">
        <f t="shared" si="554"/>
        <v>543405.73827134119</v>
      </c>
      <c r="FS236" s="497">
        <f t="shared" si="555"/>
        <v>40</v>
      </c>
      <c r="FT236" s="775">
        <f t="shared" si="556"/>
        <v>13585.143456783529</v>
      </c>
      <c r="FU236" s="497"/>
      <c r="FV236" s="993">
        <f t="shared" si="557"/>
        <v>4587245.9061707295</v>
      </c>
      <c r="FW236" s="705">
        <f t="shared" si="558"/>
        <v>458724.590617073</v>
      </c>
      <c r="FX236" s="705">
        <f t="shared" si="559"/>
        <v>114681.14765426825</v>
      </c>
      <c r="FY236" s="705">
        <v>15000</v>
      </c>
      <c r="FZ236" s="705">
        <f t="shared" si="560"/>
        <v>443724.590617073</v>
      </c>
      <c r="GA236" s="497">
        <f t="shared" si="561"/>
        <v>46</v>
      </c>
      <c r="GB236" s="775">
        <f t="shared" si="562"/>
        <v>9646.1867525450652</v>
      </c>
      <c r="GC236" s="497"/>
      <c r="GD236" s="497"/>
      <c r="GH236" s="1095">
        <f t="shared" si="461"/>
        <v>4587245.9061707295</v>
      </c>
      <c r="GI236" s="1098">
        <f t="shared" si="462"/>
        <v>0.125</v>
      </c>
      <c r="GJ236" s="1095">
        <f t="shared" si="463"/>
        <v>573405.73827134119</v>
      </c>
      <c r="GK236" s="1095">
        <f t="shared" si="464"/>
        <v>30000</v>
      </c>
      <c r="GL236" s="1095">
        <f t="shared" si="465"/>
        <v>543405.73827134119</v>
      </c>
      <c r="GM236" s="1095">
        <f t="shared" si="466"/>
        <v>29</v>
      </c>
      <c r="GN236" s="1095">
        <f t="shared" si="467"/>
        <v>18738.128905908317</v>
      </c>
      <c r="GO236" s="1098">
        <f t="shared" si="468"/>
        <v>0.875</v>
      </c>
      <c r="GP236" s="1095">
        <f t="shared" si="469"/>
        <v>4013840.1678993884</v>
      </c>
      <c r="GQ236" s="1095">
        <f t="shared" si="470"/>
        <v>31119.260099166808</v>
      </c>
      <c r="GR236" s="1095">
        <f t="shared" si="471"/>
        <v>36077.530175910222</v>
      </c>
      <c r="GS236" s="1095">
        <f t="shared" si="472"/>
        <v>46604.087772142462</v>
      </c>
      <c r="GT236" s="1095">
        <f t="shared" si="473"/>
        <v>79478.846073805704</v>
      </c>
      <c r="GU236" s="497"/>
      <c r="GV236" s="1095">
        <f t="shared" si="563"/>
        <v>4587245.9061707295</v>
      </c>
      <c r="GW236" s="1098">
        <f t="shared" si="564"/>
        <v>0.125</v>
      </c>
      <c r="GX236" s="1095">
        <f t="shared" si="565"/>
        <v>573405.73827134119</v>
      </c>
      <c r="GY236" s="1095">
        <f t="shared" si="566"/>
        <v>30000</v>
      </c>
      <c r="GZ236" s="1095">
        <f t="shared" si="567"/>
        <v>543405.73827134119</v>
      </c>
      <c r="HA236" s="1106">
        <f t="shared" si="568"/>
        <v>48</v>
      </c>
      <c r="HB236" s="770">
        <f t="shared" si="569"/>
        <v>11320.952880652942</v>
      </c>
      <c r="HC236" s="1098">
        <f t="shared" si="570"/>
        <v>0.875</v>
      </c>
      <c r="HD236" s="1102">
        <f t="shared" si="571"/>
        <v>4013840.1678993884</v>
      </c>
      <c r="HE236" s="1101">
        <f t="shared" si="572"/>
        <v>31119.260099166808</v>
      </c>
      <c r="HF236" s="1101">
        <f t="shared" si="573"/>
        <v>36077.530175910222</v>
      </c>
      <c r="HG236" s="1101">
        <f t="shared" si="574"/>
        <v>46604.087772142462</v>
      </c>
      <c r="HH236" s="1101">
        <f t="shared" si="575"/>
        <v>79478.846073805704</v>
      </c>
      <c r="HI236" s="497"/>
      <c r="HJ236" s="1102">
        <f t="shared" si="576"/>
        <v>-7417.1760252553759</v>
      </c>
      <c r="HL236" s="775"/>
      <c r="HN236" s="775"/>
      <c r="HO236" s="775"/>
      <c r="HQ236" s="702"/>
      <c r="HR236" s="1171"/>
      <c r="HS236" s="702"/>
      <c r="HT236" s="1171"/>
    </row>
    <row r="237" spans="1:228" ht="14.25" hidden="1" customHeight="1">
      <c r="A237" s="753">
        <f t="shared" si="577"/>
        <v>231</v>
      </c>
      <c r="B237" s="753"/>
      <c r="C237" s="753">
        <f t="shared" si="591"/>
        <v>14</v>
      </c>
      <c r="D237" s="753" t="s">
        <v>281</v>
      </c>
      <c r="E237" s="717" t="str">
        <f t="shared" si="497"/>
        <v>10th Floor</v>
      </c>
      <c r="F237" s="754"/>
      <c r="G237" s="756" t="s">
        <v>669</v>
      </c>
      <c r="H237" s="756"/>
      <c r="I237" s="755" t="s">
        <v>229</v>
      </c>
      <c r="J237" s="757">
        <v>22</v>
      </c>
      <c r="K237" s="758"/>
      <c r="L237" s="759" t="s">
        <v>277</v>
      </c>
      <c r="M237" s="760" t="s">
        <v>278</v>
      </c>
      <c r="N237" s="761">
        <f t="shared" si="498"/>
        <v>106005.26567735759</v>
      </c>
      <c r="O237" s="762">
        <f t="shared" si="499"/>
        <v>2332115.8449018667</v>
      </c>
      <c r="P237" s="762">
        <f t="shared" si="500"/>
        <v>22400</v>
      </c>
      <c r="Q237" s="762">
        <f t="shared" si="474"/>
        <v>50000</v>
      </c>
      <c r="R237" s="762"/>
      <c r="S237" s="762"/>
      <c r="T237" s="762"/>
      <c r="U237" s="762"/>
      <c r="V237" s="762"/>
      <c r="W237" s="762">
        <f t="shared" ref="W237:W238" si="600">J237*$W$5</f>
        <v>22000</v>
      </c>
      <c r="X237" s="762"/>
      <c r="Y237" s="762">
        <f t="shared" si="592"/>
        <v>120000</v>
      </c>
      <c r="Z237" s="762">
        <f t="shared" si="475"/>
        <v>142461</v>
      </c>
      <c r="AA237" s="762">
        <v>45722.732758620688</v>
      </c>
      <c r="AB237" s="762"/>
      <c r="AC237" s="762"/>
      <c r="AD237" s="763">
        <f t="shared" si="501"/>
        <v>402583.7327586207</v>
      </c>
      <c r="AE237" s="763">
        <f t="shared" si="476"/>
        <v>2734699.5776604875</v>
      </c>
      <c r="AF237" s="762">
        <f t="shared" si="477"/>
        <v>68367.489441512196</v>
      </c>
      <c r="AG237" s="762">
        <f t="shared" si="502"/>
        <v>2803067.0671019997</v>
      </c>
      <c r="AH237" s="762">
        <f t="shared" si="478"/>
        <v>70076.67667755</v>
      </c>
      <c r="AI237" s="762">
        <f t="shared" si="503"/>
        <v>2873143.7437795498</v>
      </c>
      <c r="AJ237" s="762">
        <f t="shared" si="504"/>
        <v>143657.18718897749</v>
      </c>
      <c r="AK237" s="762">
        <f t="shared" si="505"/>
        <v>3016800.9309685272</v>
      </c>
      <c r="AL237" s="762">
        <f t="shared" si="506"/>
        <v>30168.009309685272</v>
      </c>
      <c r="AM237" s="762">
        <f t="shared" si="507"/>
        <v>27537.409960060559</v>
      </c>
      <c r="AN237" s="762"/>
      <c r="AO237" s="763">
        <f t="shared" si="508"/>
        <v>3074506.3502382729</v>
      </c>
      <c r="AP237" s="763">
        <f t="shared" si="509"/>
        <v>507293.54778931505</v>
      </c>
      <c r="AQ237" s="763">
        <f t="shared" si="510"/>
        <v>3581799.8980275881</v>
      </c>
      <c r="AR237" s="1178">
        <f t="shared" si="479"/>
        <v>3000000</v>
      </c>
      <c r="AS237" s="1178">
        <f t="shared" si="511"/>
        <v>26445.449910344916</v>
      </c>
      <c r="AT237" s="1178">
        <f t="shared" si="512"/>
        <v>581799.89802758815</v>
      </c>
      <c r="AU237" s="1178">
        <f t="shared" si="480"/>
        <v>69815.987763310579</v>
      </c>
      <c r="AV237" s="1178">
        <f t="shared" si="513"/>
        <v>651615.8857908987</v>
      </c>
      <c r="AW237" s="1178">
        <f t="shared" si="514"/>
        <v>3651615.8857908989</v>
      </c>
      <c r="AX237" s="762">
        <f t="shared" si="515"/>
        <v>45645.198572386238</v>
      </c>
      <c r="AY237" s="717" t="s">
        <v>231</v>
      </c>
      <c r="AZ237" s="717">
        <f t="shared" si="516"/>
        <v>3697261.084363285</v>
      </c>
      <c r="BA237" s="717">
        <f t="shared" si="517"/>
        <v>138647.29066362319</v>
      </c>
      <c r="BB237" s="717"/>
      <c r="BC237" s="717">
        <f t="shared" si="481"/>
        <v>33600</v>
      </c>
      <c r="BD237" s="717">
        <f t="shared" si="518"/>
        <v>3869508.3750269082</v>
      </c>
      <c r="BE237" s="717"/>
      <c r="BF237" s="717">
        <f t="shared" si="519"/>
        <v>3869508.3750269082</v>
      </c>
      <c r="BG237" s="1209"/>
      <c r="BH237" s="717">
        <f t="shared" si="520"/>
        <v>3869508.3750269082</v>
      </c>
      <c r="BI237" s="717"/>
      <c r="BJ237" s="717">
        <f t="shared" si="521"/>
        <v>3869508.3750269082</v>
      </c>
      <c r="BK237" s="717"/>
      <c r="BL237" s="717">
        <f t="shared" si="522"/>
        <v>3869508.3750269082</v>
      </c>
      <c r="BM237" s="717"/>
      <c r="BN237" s="717">
        <f t="shared" si="523"/>
        <v>3869508.3750269082</v>
      </c>
      <c r="BO237" s="717"/>
      <c r="BP237" s="717">
        <f t="shared" si="482"/>
        <v>3869508.3750269082</v>
      </c>
      <c r="BQ237" s="717"/>
      <c r="BR237" s="717">
        <f t="shared" si="584"/>
        <v>3869508.3750269082</v>
      </c>
      <c r="BS237" s="717"/>
      <c r="BT237" s="717">
        <f t="shared" si="524"/>
        <v>3869508.3750269082</v>
      </c>
      <c r="BU237" s="717"/>
      <c r="BV237" s="1235">
        <f t="shared" si="585"/>
        <v>51400</v>
      </c>
      <c r="BW237" s="717">
        <f t="shared" si="525"/>
        <v>3920908.3750269082</v>
      </c>
      <c r="BX237" s="717"/>
      <c r="BY237" s="717">
        <f t="shared" si="526"/>
        <v>3920908.3750269082</v>
      </c>
      <c r="BZ237" s="1194">
        <f t="shared" si="527"/>
        <v>3920908.3750269082</v>
      </c>
      <c r="CA237" s="1194">
        <f t="shared" si="528"/>
        <v>3040908.3750269082</v>
      </c>
      <c r="CB237" s="1194">
        <v>40000</v>
      </c>
      <c r="CC237" s="1194">
        <f t="shared" si="529"/>
        <v>880000</v>
      </c>
      <c r="CD237" s="1194">
        <f t="shared" si="530"/>
        <v>105600</v>
      </c>
      <c r="CE237" s="1194">
        <f t="shared" si="531"/>
        <v>985600</v>
      </c>
      <c r="CF237" s="1200">
        <f t="shared" si="532"/>
        <v>4026508.3750269082</v>
      </c>
      <c r="CG237" s="757">
        <f t="shared" si="533"/>
        <v>4026508.3750269082</v>
      </c>
      <c r="CH237" s="758">
        <f t="shared" si="534"/>
        <v>0</v>
      </c>
      <c r="CI237" s="757">
        <f t="shared" si="483"/>
        <v>412717.10844025807</v>
      </c>
      <c r="CJ237" s="757">
        <f t="shared" si="484"/>
        <v>100662.70937567271</v>
      </c>
      <c r="CK237" s="759">
        <f t="shared" si="593"/>
        <v>4539888.1928428393</v>
      </c>
      <c r="CL237" s="764">
        <f t="shared" si="535"/>
        <v>0.125</v>
      </c>
      <c r="CM237" s="757">
        <f t="shared" si="536"/>
        <v>567486.02410535491</v>
      </c>
      <c r="CN237" s="757">
        <f t="shared" si="578"/>
        <v>30000</v>
      </c>
      <c r="CO237" s="757">
        <f t="shared" si="537"/>
        <v>537486.02410535491</v>
      </c>
      <c r="CP237" s="755">
        <f t="shared" si="538"/>
        <v>29</v>
      </c>
      <c r="CQ237" s="757">
        <f t="shared" si="581"/>
        <v>18534.000831219135</v>
      </c>
      <c r="CR237" s="764">
        <f t="shared" si="539"/>
        <v>0.875</v>
      </c>
      <c r="CS237" s="757">
        <f t="shared" si="540"/>
        <v>3972402.1687374841</v>
      </c>
      <c r="CT237" s="1101">
        <f t="shared" si="541"/>
        <v>30797.991732722807</v>
      </c>
      <c r="CU237" s="1101">
        <f t="shared" si="542"/>
        <v>35705.073724567439</v>
      </c>
      <c r="CV237" s="1101">
        <f t="shared" si="543"/>
        <v>46122.957465687337</v>
      </c>
      <c r="CW237" s="1141">
        <f t="shared" si="485"/>
        <v>78658.324025285998</v>
      </c>
      <c r="CX237" s="1152">
        <f t="shared" si="544"/>
        <v>322690.85450358782</v>
      </c>
      <c r="CY237" s="1152">
        <f t="shared" si="545"/>
        <v>127687.19920966885</v>
      </c>
      <c r="CZ237" s="1152">
        <f t="shared" si="546"/>
        <v>92226.655530493255</v>
      </c>
      <c r="DA237" s="1152">
        <f t="shared" si="547"/>
        <v>70188.730754634569</v>
      </c>
      <c r="DB237" s="1143">
        <f t="shared" si="486"/>
        <v>0.19393329934252937</v>
      </c>
      <c r="DC237" s="1143">
        <f t="shared" si="548"/>
        <v>0.32411367869355112</v>
      </c>
      <c r="DD237" s="1098" t="s">
        <v>232</v>
      </c>
      <c r="DE237" s="1144"/>
      <c r="DF237" s="705"/>
      <c r="DG237" s="765">
        <f t="shared" si="579"/>
        <v>46082</v>
      </c>
      <c r="DH237" s="1116">
        <f t="shared" si="487"/>
        <v>28</v>
      </c>
      <c r="DI237" s="497"/>
      <c r="DJ237" s="1117">
        <f t="shared" si="549"/>
        <v>46147</v>
      </c>
      <c r="DK237" s="1116">
        <f t="shared" si="550"/>
        <v>30</v>
      </c>
      <c r="DL237" s="766" t="s">
        <v>233</v>
      </c>
      <c r="DM237" s="766" t="s">
        <v>234</v>
      </c>
      <c r="DN237" s="767">
        <f t="shared" si="488"/>
        <v>29618.903899586305</v>
      </c>
      <c r="DO237" s="767">
        <f t="shared" si="489"/>
        <v>651615.8857908987</v>
      </c>
      <c r="DP237" s="768">
        <f t="shared" si="490"/>
        <v>0.21720529526363289</v>
      </c>
      <c r="DR237" s="767">
        <f t="shared" si="491"/>
        <v>4026508.3750269082</v>
      </c>
      <c r="DS237" s="767">
        <f>SUM('[6]INTERNAL PRICELIST'!M237)</f>
        <v>0</v>
      </c>
      <c r="DT237" s="767">
        <f t="shared" si="551"/>
        <v>4026508.3750269082</v>
      </c>
      <c r="DV237" s="951">
        <f t="shared" si="492"/>
        <v>183023.10795576856</v>
      </c>
      <c r="DX237" s="781"/>
      <c r="DY237" s="782"/>
      <c r="DZ237" s="781"/>
      <c r="EA237" s="775"/>
      <c r="ED237" s="755" t="s">
        <v>669</v>
      </c>
      <c r="EE237" s="777" t="b">
        <f t="shared" si="493"/>
        <v>1</v>
      </c>
      <c r="EF237" s="777"/>
      <c r="EG237" s="777"/>
      <c r="EH237" s="1203"/>
      <c r="EP237" s="1230" t="s">
        <v>236</v>
      </c>
      <c r="EQ237" s="1145" t="s">
        <v>236</v>
      </c>
      <c r="ER237" s="753" t="b">
        <f t="shared" si="552"/>
        <v>1</v>
      </c>
      <c r="EU237" s="770">
        <v>2468160</v>
      </c>
      <c r="EV237" s="771" t="s">
        <v>236</v>
      </c>
      <c r="EY237" s="775">
        <v>3127789.2999052992</v>
      </c>
      <c r="FJ237" s="994">
        <v>0.15</v>
      </c>
      <c r="FK237" s="993">
        <v>13608.769342421752</v>
      </c>
      <c r="FL237" s="993">
        <v>13976.573919243963</v>
      </c>
      <c r="FM237" s="497"/>
      <c r="FN237" s="993">
        <f t="shared" si="494"/>
        <v>4539888.1928428393</v>
      </c>
      <c r="FO237" s="994">
        <f t="shared" si="599"/>
        <v>0.15</v>
      </c>
      <c r="FP237" s="775">
        <f t="shared" si="495"/>
        <v>680983.22892642592</v>
      </c>
      <c r="FQ237" s="993">
        <f t="shared" si="496"/>
        <v>30000</v>
      </c>
      <c r="FR237" s="775">
        <f t="shared" si="554"/>
        <v>650983.22892642592</v>
      </c>
      <c r="FS237" s="497">
        <f t="shared" si="555"/>
        <v>40</v>
      </c>
      <c r="FT237" s="775">
        <f t="shared" si="556"/>
        <v>16274.580723160649</v>
      </c>
      <c r="FU237" s="497"/>
      <c r="FV237" s="993">
        <f t="shared" si="557"/>
        <v>4539888.1928428393</v>
      </c>
      <c r="FW237" s="705">
        <f t="shared" si="558"/>
        <v>453988.81928428396</v>
      </c>
      <c r="FX237" s="705">
        <f t="shared" si="559"/>
        <v>113497.20482107099</v>
      </c>
      <c r="FY237" s="705">
        <v>15000</v>
      </c>
      <c r="FZ237" s="705">
        <f t="shared" si="560"/>
        <v>438988.81928428396</v>
      </c>
      <c r="GA237" s="497">
        <f t="shared" si="561"/>
        <v>46</v>
      </c>
      <c r="GB237" s="775">
        <f t="shared" si="562"/>
        <v>9543.2352018322599</v>
      </c>
      <c r="GC237" s="497"/>
      <c r="GD237" s="497"/>
      <c r="GH237" s="1095">
        <f t="shared" si="461"/>
        <v>4539888.1928428393</v>
      </c>
      <c r="GI237" s="1098">
        <f t="shared" si="462"/>
        <v>0.125</v>
      </c>
      <c r="GJ237" s="1095">
        <f t="shared" si="463"/>
        <v>567486.02410535491</v>
      </c>
      <c r="GK237" s="1095">
        <f t="shared" si="464"/>
        <v>30000</v>
      </c>
      <c r="GL237" s="1095">
        <f t="shared" si="465"/>
        <v>537486.02410535491</v>
      </c>
      <c r="GM237" s="1095">
        <f t="shared" si="466"/>
        <v>29</v>
      </c>
      <c r="GN237" s="1095">
        <f t="shared" si="467"/>
        <v>18534.000831219135</v>
      </c>
      <c r="GO237" s="1098">
        <f t="shared" si="468"/>
        <v>0.875</v>
      </c>
      <c r="GP237" s="1095">
        <f t="shared" si="469"/>
        <v>3972402.1687374841</v>
      </c>
      <c r="GQ237" s="1095">
        <f t="shared" si="470"/>
        <v>30797.991732722807</v>
      </c>
      <c r="GR237" s="1095">
        <f t="shared" si="471"/>
        <v>35705.073724567439</v>
      </c>
      <c r="GS237" s="1095">
        <f t="shared" si="472"/>
        <v>46122.957465687337</v>
      </c>
      <c r="GT237" s="1095">
        <f t="shared" si="473"/>
        <v>78658.324025285998</v>
      </c>
      <c r="GU237" s="497"/>
      <c r="GV237" s="1095">
        <f t="shared" si="563"/>
        <v>4539888.1928428393</v>
      </c>
      <c r="GW237" s="1098">
        <f t="shared" si="564"/>
        <v>0.125</v>
      </c>
      <c r="GX237" s="1095">
        <f t="shared" si="565"/>
        <v>567486.02410535491</v>
      </c>
      <c r="GY237" s="1095">
        <f t="shared" si="566"/>
        <v>30000</v>
      </c>
      <c r="GZ237" s="1095">
        <f t="shared" si="567"/>
        <v>537486.02410535491</v>
      </c>
      <c r="HA237" s="1106">
        <f t="shared" si="568"/>
        <v>48</v>
      </c>
      <c r="HB237" s="770">
        <f t="shared" si="569"/>
        <v>11197.625502194895</v>
      </c>
      <c r="HC237" s="1098">
        <f t="shared" si="570"/>
        <v>0.875</v>
      </c>
      <c r="HD237" s="1102">
        <f t="shared" si="571"/>
        <v>3972402.1687374841</v>
      </c>
      <c r="HE237" s="1101">
        <f t="shared" si="572"/>
        <v>30797.991732722807</v>
      </c>
      <c r="HF237" s="1101">
        <f t="shared" si="573"/>
        <v>35705.073724567439</v>
      </c>
      <c r="HG237" s="1101">
        <f t="shared" si="574"/>
        <v>46122.957465687337</v>
      </c>
      <c r="HH237" s="1101">
        <f t="shared" si="575"/>
        <v>78658.324025285998</v>
      </c>
      <c r="HI237" s="497"/>
      <c r="HJ237" s="1102">
        <f t="shared" si="576"/>
        <v>-7336.3753290242403</v>
      </c>
      <c r="HL237" s="775"/>
      <c r="HN237" s="775"/>
      <c r="HO237" s="775"/>
      <c r="HQ237" s="702"/>
      <c r="HR237" s="1171"/>
      <c r="HS237" s="702"/>
      <c r="HT237" s="1171"/>
    </row>
    <row r="238" spans="1:228" ht="14.25" hidden="1" customHeight="1">
      <c r="A238" s="753">
        <f t="shared" si="577"/>
        <v>232</v>
      </c>
      <c r="B238" s="753"/>
      <c r="C238" s="753">
        <f t="shared" si="591"/>
        <v>15</v>
      </c>
      <c r="D238" s="753" t="s">
        <v>281</v>
      </c>
      <c r="E238" s="717" t="str">
        <f t="shared" si="497"/>
        <v>10th Floor</v>
      </c>
      <c r="F238" s="754"/>
      <c r="G238" s="756" t="s">
        <v>670</v>
      </c>
      <c r="H238" s="756"/>
      <c r="I238" s="755" t="s">
        <v>229</v>
      </c>
      <c r="J238" s="757">
        <v>22</v>
      </c>
      <c r="K238" s="758"/>
      <c r="L238" s="759" t="s">
        <v>277</v>
      </c>
      <c r="M238" s="760" t="s">
        <v>278</v>
      </c>
      <c r="N238" s="761">
        <f t="shared" si="498"/>
        <v>106005.26567735759</v>
      </c>
      <c r="O238" s="762">
        <f t="shared" si="499"/>
        <v>2332115.8449018667</v>
      </c>
      <c r="P238" s="762">
        <f t="shared" si="500"/>
        <v>22400</v>
      </c>
      <c r="Q238" s="762">
        <f t="shared" si="474"/>
        <v>50000</v>
      </c>
      <c r="R238" s="762"/>
      <c r="S238" s="762"/>
      <c r="T238" s="762"/>
      <c r="U238" s="762"/>
      <c r="V238" s="762"/>
      <c r="W238" s="762">
        <f t="shared" si="600"/>
        <v>22000</v>
      </c>
      <c r="X238" s="762"/>
      <c r="Y238" s="762">
        <f t="shared" si="592"/>
        <v>120000</v>
      </c>
      <c r="Z238" s="762">
        <f t="shared" si="475"/>
        <v>142461</v>
      </c>
      <c r="AA238" s="762">
        <v>45722.732758620688</v>
      </c>
      <c r="AB238" s="762"/>
      <c r="AC238" s="762"/>
      <c r="AD238" s="763">
        <f t="shared" si="501"/>
        <v>402583.7327586207</v>
      </c>
      <c r="AE238" s="763">
        <f t="shared" si="476"/>
        <v>2734699.5776604875</v>
      </c>
      <c r="AF238" s="762">
        <f t="shared" si="477"/>
        <v>68367.489441512196</v>
      </c>
      <c r="AG238" s="762">
        <f t="shared" si="502"/>
        <v>2803067.0671019997</v>
      </c>
      <c r="AH238" s="762">
        <f t="shared" si="478"/>
        <v>70076.67667755</v>
      </c>
      <c r="AI238" s="762">
        <f t="shared" si="503"/>
        <v>2873143.7437795498</v>
      </c>
      <c r="AJ238" s="762">
        <f t="shared" si="504"/>
        <v>143657.18718897749</v>
      </c>
      <c r="AK238" s="762">
        <f t="shared" si="505"/>
        <v>3016800.9309685272</v>
      </c>
      <c r="AL238" s="762">
        <f t="shared" si="506"/>
        <v>30168.009309685272</v>
      </c>
      <c r="AM238" s="762">
        <f t="shared" si="507"/>
        <v>27537.409960060559</v>
      </c>
      <c r="AN238" s="762"/>
      <c r="AO238" s="763">
        <f t="shared" si="508"/>
        <v>3074506.3502382729</v>
      </c>
      <c r="AP238" s="763">
        <f t="shared" si="509"/>
        <v>507293.54778931505</v>
      </c>
      <c r="AQ238" s="763">
        <f t="shared" si="510"/>
        <v>3581799.8980275881</v>
      </c>
      <c r="AR238" s="1178">
        <f t="shared" si="479"/>
        <v>3000000</v>
      </c>
      <c r="AS238" s="1178">
        <f t="shared" si="511"/>
        <v>26445.449910344916</v>
      </c>
      <c r="AT238" s="1178">
        <f t="shared" si="512"/>
        <v>581799.89802758815</v>
      </c>
      <c r="AU238" s="1178">
        <f t="shared" si="480"/>
        <v>69815.987763310579</v>
      </c>
      <c r="AV238" s="1178">
        <f t="shared" si="513"/>
        <v>651615.8857908987</v>
      </c>
      <c r="AW238" s="1178">
        <f t="shared" si="514"/>
        <v>3651615.8857908989</v>
      </c>
      <c r="AX238" s="762">
        <f t="shared" si="515"/>
        <v>45645.198572386238</v>
      </c>
      <c r="AY238" s="717" t="s">
        <v>231</v>
      </c>
      <c r="AZ238" s="717">
        <f t="shared" si="516"/>
        <v>3697261.084363285</v>
      </c>
      <c r="BA238" s="717">
        <f t="shared" si="517"/>
        <v>138647.29066362319</v>
      </c>
      <c r="BB238" s="717"/>
      <c r="BC238" s="717">
        <f t="shared" si="481"/>
        <v>33600</v>
      </c>
      <c r="BD238" s="717">
        <f t="shared" si="518"/>
        <v>3869508.3750269082</v>
      </c>
      <c r="BE238" s="717"/>
      <c r="BF238" s="717">
        <f t="shared" si="519"/>
        <v>3869508.3750269082</v>
      </c>
      <c r="BG238" s="1209"/>
      <c r="BH238" s="717">
        <f t="shared" si="520"/>
        <v>3869508.3750269082</v>
      </c>
      <c r="BI238" s="717"/>
      <c r="BJ238" s="717">
        <f t="shared" si="521"/>
        <v>3869508.3750269082</v>
      </c>
      <c r="BK238" s="717"/>
      <c r="BL238" s="717">
        <f t="shared" si="522"/>
        <v>3869508.3750269082</v>
      </c>
      <c r="BM238" s="717"/>
      <c r="BN238" s="717">
        <f t="shared" si="523"/>
        <v>3869508.3750269082</v>
      </c>
      <c r="BO238" s="717"/>
      <c r="BP238" s="717">
        <f t="shared" si="482"/>
        <v>3869508.3750269082</v>
      </c>
      <c r="BQ238" s="717"/>
      <c r="BR238" s="717">
        <f t="shared" si="584"/>
        <v>3869508.3750269082</v>
      </c>
      <c r="BS238" s="717"/>
      <c r="BT238" s="717">
        <f t="shared" si="524"/>
        <v>3869508.3750269082</v>
      </c>
      <c r="BU238" s="717"/>
      <c r="BV238" s="1235">
        <f t="shared" si="585"/>
        <v>51400</v>
      </c>
      <c r="BW238" s="717">
        <f t="shared" si="525"/>
        <v>3920908.3750269082</v>
      </c>
      <c r="BX238" s="717"/>
      <c r="BY238" s="717">
        <f t="shared" si="526"/>
        <v>3920908.3750269082</v>
      </c>
      <c r="BZ238" s="1194">
        <f t="shared" si="527"/>
        <v>3920908.3750269082</v>
      </c>
      <c r="CA238" s="1194">
        <f t="shared" si="528"/>
        <v>3040908.3750269082</v>
      </c>
      <c r="CB238" s="1194">
        <v>40000</v>
      </c>
      <c r="CC238" s="1194">
        <f t="shared" si="529"/>
        <v>880000</v>
      </c>
      <c r="CD238" s="1194">
        <f t="shared" si="530"/>
        <v>105600</v>
      </c>
      <c r="CE238" s="1194">
        <f t="shared" si="531"/>
        <v>985600</v>
      </c>
      <c r="CF238" s="1200">
        <f t="shared" si="532"/>
        <v>4026508.3750269082</v>
      </c>
      <c r="CG238" s="757">
        <f t="shared" si="533"/>
        <v>4026508.3750269082</v>
      </c>
      <c r="CH238" s="758">
        <f t="shared" si="534"/>
        <v>0</v>
      </c>
      <c r="CI238" s="757">
        <f t="shared" si="483"/>
        <v>412717.10844025807</v>
      </c>
      <c r="CJ238" s="757">
        <f t="shared" si="484"/>
        <v>100662.70937567271</v>
      </c>
      <c r="CK238" s="759">
        <f t="shared" si="593"/>
        <v>4539888.1928428393</v>
      </c>
      <c r="CL238" s="764">
        <f t="shared" si="535"/>
        <v>0.125</v>
      </c>
      <c r="CM238" s="757">
        <f t="shared" si="536"/>
        <v>567486.02410535491</v>
      </c>
      <c r="CN238" s="757">
        <f t="shared" si="578"/>
        <v>30000</v>
      </c>
      <c r="CO238" s="757">
        <f t="shared" si="537"/>
        <v>537486.02410535491</v>
      </c>
      <c r="CP238" s="755">
        <f t="shared" si="538"/>
        <v>29</v>
      </c>
      <c r="CQ238" s="757">
        <f t="shared" si="581"/>
        <v>18534.000831219135</v>
      </c>
      <c r="CR238" s="764">
        <f t="shared" si="539"/>
        <v>0.875</v>
      </c>
      <c r="CS238" s="757">
        <f t="shared" si="540"/>
        <v>3972402.1687374841</v>
      </c>
      <c r="CT238" s="1101">
        <f t="shared" si="541"/>
        <v>30797.991732722807</v>
      </c>
      <c r="CU238" s="1101">
        <f t="shared" si="542"/>
        <v>35705.073724567439</v>
      </c>
      <c r="CV238" s="1101">
        <f t="shared" si="543"/>
        <v>46122.957465687337</v>
      </c>
      <c r="CW238" s="1141">
        <f t="shared" si="485"/>
        <v>78658.324025285998</v>
      </c>
      <c r="CX238" s="1152">
        <f t="shared" si="544"/>
        <v>322690.85450358782</v>
      </c>
      <c r="CY238" s="1152">
        <f t="shared" si="545"/>
        <v>127687.19920966885</v>
      </c>
      <c r="CZ238" s="1152">
        <f t="shared" si="546"/>
        <v>92226.655530493255</v>
      </c>
      <c r="DA238" s="1152">
        <f t="shared" si="547"/>
        <v>70188.730754634569</v>
      </c>
      <c r="DB238" s="1143">
        <f t="shared" si="486"/>
        <v>0.19393329934252937</v>
      </c>
      <c r="DC238" s="1143">
        <f t="shared" si="548"/>
        <v>0.32411367869355112</v>
      </c>
      <c r="DD238" s="1098" t="s">
        <v>232</v>
      </c>
      <c r="DE238" s="1144"/>
      <c r="DF238" s="705"/>
      <c r="DG238" s="765">
        <f t="shared" si="579"/>
        <v>46082</v>
      </c>
      <c r="DH238" s="1116">
        <f t="shared" si="487"/>
        <v>28</v>
      </c>
      <c r="DI238" s="497"/>
      <c r="DJ238" s="1117">
        <f t="shared" si="549"/>
        <v>46147</v>
      </c>
      <c r="DK238" s="1116">
        <f t="shared" si="550"/>
        <v>30</v>
      </c>
      <c r="DL238" s="766" t="s">
        <v>233</v>
      </c>
      <c r="DM238" s="766" t="s">
        <v>234</v>
      </c>
      <c r="DN238" s="767">
        <f t="shared" si="488"/>
        <v>29618.903899586305</v>
      </c>
      <c r="DO238" s="767">
        <f t="shared" si="489"/>
        <v>651615.8857908987</v>
      </c>
      <c r="DP238" s="768">
        <f t="shared" si="490"/>
        <v>0.21720529526363289</v>
      </c>
      <c r="DR238" s="767">
        <f t="shared" si="491"/>
        <v>4026508.3750269082</v>
      </c>
      <c r="DS238" s="767">
        <f>SUM('[6]INTERNAL PRICELIST'!M238)</f>
        <v>0</v>
      </c>
      <c r="DT238" s="767">
        <f t="shared" si="551"/>
        <v>4026508.3750269082</v>
      </c>
      <c r="DV238" s="951">
        <f t="shared" si="492"/>
        <v>183023.10795576856</v>
      </c>
      <c r="DX238" s="781"/>
      <c r="DY238" s="782"/>
      <c r="DZ238" s="781"/>
      <c r="EA238" s="775"/>
      <c r="ED238" s="755" t="s">
        <v>670</v>
      </c>
      <c r="EE238" s="777" t="b">
        <f t="shared" si="493"/>
        <v>1</v>
      </c>
      <c r="EF238" s="777"/>
      <c r="EG238" s="777"/>
      <c r="EH238" s="1203"/>
      <c r="EP238" s="1230" t="s">
        <v>236</v>
      </c>
      <c r="EQ238" s="1145" t="s">
        <v>236</v>
      </c>
      <c r="ER238" s="753" t="b">
        <f t="shared" si="552"/>
        <v>1</v>
      </c>
      <c r="EU238" s="770">
        <v>3161427.9824007284</v>
      </c>
      <c r="EV238" s="771" t="s">
        <v>258</v>
      </c>
      <c r="EW238" s="775">
        <f>EU238-CG238</f>
        <v>-865080.39262617985</v>
      </c>
      <c r="EY238" s="775">
        <v>3127789.2999052992</v>
      </c>
      <c r="FJ238" s="994">
        <v>0.15</v>
      </c>
      <c r="FK238" s="993">
        <v>13608.769342421752</v>
      </c>
      <c r="FL238" s="993">
        <v>13976.573919243963</v>
      </c>
      <c r="FM238" s="497"/>
      <c r="FN238" s="993">
        <f t="shared" si="494"/>
        <v>4539888.1928428393</v>
      </c>
      <c r="FO238" s="994">
        <f t="shared" si="553"/>
        <v>0.15</v>
      </c>
      <c r="FP238" s="775">
        <f t="shared" si="495"/>
        <v>680983.22892642592</v>
      </c>
      <c r="FQ238" s="993">
        <f t="shared" si="496"/>
        <v>30000</v>
      </c>
      <c r="FR238" s="775">
        <f t="shared" si="554"/>
        <v>650983.22892642592</v>
      </c>
      <c r="FS238" s="497">
        <f t="shared" si="555"/>
        <v>40</v>
      </c>
      <c r="FT238" s="775">
        <f t="shared" si="556"/>
        <v>16274.580723160649</v>
      </c>
      <c r="FU238" s="497"/>
      <c r="FV238" s="993">
        <f t="shared" si="557"/>
        <v>4539888.1928428393</v>
      </c>
      <c r="FW238" s="705">
        <f t="shared" si="558"/>
        <v>453988.81928428396</v>
      </c>
      <c r="FX238" s="705">
        <f t="shared" si="559"/>
        <v>113497.20482107099</v>
      </c>
      <c r="FY238" s="705">
        <v>15000</v>
      </c>
      <c r="FZ238" s="705">
        <f t="shared" si="560"/>
        <v>438988.81928428396</v>
      </c>
      <c r="GA238" s="497">
        <f t="shared" si="561"/>
        <v>46</v>
      </c>
      <c r="GB238" s="775">
        <f t="shared" si="562"/>
        <v>9543.2352018322599</v>
      </c>
      <c r="GC238" s="497"/>
      <c r="GD238" s="497"/>
      <c r="GH238" s="1095">
        <f t="shared" si="461"/>
        <v>4539888.1928428393</v>
      </c>
      <c r="GI238" s="1098">
        <f t="shared" si="462"/>
        <v>0.125</v>
      </c>
      <c r="GJ238" s="1095">
        <f t="shared" si="463"/>
        <v>567486.02410535491</v>
      </c>
      <c r="GK238" s="1095">
        <f t="shared" si="464"/>
        <v>30000</v>
      </c>
      <c r="GL238" s="1095">
        <f t="shared" si="465"/>
        <v>537486.02410535491</v>
      </c>
      <c r="GM238" s="1095">
        <f t="shared" si="466"/>
        <v>29</v>
      </c>
      <c r="GN238" s="1095">
        <f t="shared" si="467"/>
        <v>18534.000831219135</v>
      </c>
      <c r="GO238" s="1098">
        <f t="shared" si="468"/>
        <v>0.875</v>
      </c>
      <c r="GP238" s="1095">
        <f t="shared" si="469"/>
        <v>3972402.1687374841</v>
      </c>
      <c r="GQ238" s="1095">
        <f t="shared" si="470"/>
        <v>30797.991732722807</v>
      </c>
      <c r="GR238" s="1095">
        <f t="shared" si="471"/>
        <v>35705.073724567439</v>
      </c>
      <c r="GS238" s="1095">
        <f t="shared" si="472"/>
        <v>46122.957465687337</v>
      </c>
      <c r="GT238" s="1095">
        <f t="shared" si="473"/>
        <v>78658.324025285998</v>
      </c>
      <c r="GU238" s="497"/>
      <c r="GV238" s="1095">
        <f t="shared" si="563"/>
        <v>4539888.1928428393</v>
      </c>
      <c r="GW238" s="1098">
        <f t="shared" si="564"/>
        <v>0.125</v>
      </c>
      <c r="GX238" s="1095">
        <f t="shared" si="565"/>
        <v>567486.02410535491</v>
      </c>
      <c r="GY238" s="1095">
        <f t="shared" si="566"/>
        <v>30000</v>
      </c>
      <c r="GZ238" s="1095">
        <f t="shared" si="567"/>
        <v>537486.02410535491</v>
      </c>
      <c r="HA238" s="1106">
        <f t="shared" si="568"/>
        <v>48</v>
      </c>
      <c r="HB238" s="770">
        <f t="shared" si="569"/>
        <v>11197.625502194895</v>
      </c>
      <c r="HC238" s="1098">
        <f t="shared" si="570"/>
        <v>0.875</v>
      </c>
      <c r="HD238" s="1102">
        <f t="shared" si="571"/>
        <v>3972402.1687374841</v>
      </c>
      <c r="HE238" s="1101">
        <f t="shared" si="572"/>
        <v>30797.991732722807</v>
      </c>
      <c r="HF238" s="1101">
        <f t="shared" si="573"/>
        <v>35705.073724567439</v>
      </c>
      <c r="HG238" s="1101">
        <f t="shared" si="574"/>
        <v>46122.957465687337</v>
      </c>
      <c r="HH238" s="1101">
        <f t="shared" si="575"/>
        <v>78658.324025285998</v>
      </c>
      <c r="HI238" s="497"/>
      <c r="HJ238" s="1102">
        <f t="shared" si="576"/>
        <v>-7336.3753290242403</v>
      </c>
      <c r="HL238" s="775"/>
      <c r="HN238" s="775"/>
      <c r="HO238" s="775"/>
      <c r="HQ238" s="702"/>
      <c r="HR238" s="1171"/>
      <c r="HS238" s="702"/>
      <c r="HT238" s="1171"/>
    </row>
    <row r="239" spans="1:228" ht="14.25" hidden="1" customHeight="1">
      <c r="A239" s="753">
        <f t="shared" si="577"/>
        <v>233</v>
      </c>
      <c r="B239" s="753"/>
      <c r="C239" s="753">
        <f t="shared" si="591"/>
        <v>16</v>
      </c>
      <c r="D239" s="753" t="s">
        <v>281</v>
      </c>
      <c r="E239" s="717" t="str">
        <f t="shared" si="497"/>
        <v>10th Floor</v>
      </c>
      <c r="F239" s="754"/>
      <c r="G239" s="756" t="s">
        <v>671</v>
      </c>
      <c r="H239" s="756"/>
      <c r="I239" s="755" t="s">
        <v>229</v>
      </c>
      <c r="J239" s="757">
        <v>22</v>
      </c>
      <c r="K239" s="758"/>
      <c r="L239" s="759" t="s">
        <v>277</v>
      </c>
      <c r="M239" s="760" t="s">
        <v>230</v>
      </c>
      <c r="N239" s="761">
        <f t="shared" si="498"/>
        <v>106005.26567735759</v>
      </c>
      <c r="O239" s="762">
        <f t="shared" si="499"/>
        <v>2332115.8449018667</v>
      </c>
      <c r="P239" s="762">
        <f t="shared" si="500"/>
        <v>22400</v>
      </c>
      <c r="Q239" s="762">
        <f t="shared" si="474"/>
        <v>50000</v>
      </c>
      <c r="R239" s="762"/>
      <c r="S239" s="762"/>
      <c r="T239" s="762"/>
      <c r="U239" s="762"/>
      <c r="V239" s="762">
        <f>J239*$V$5</f>
        <v>55000</v>
      </c>
      <c r="W239" s="762"/>
      <c r="X239" s="762"/>
      <c r="Y239" s="762">
        <f t="shared" si="592"/>
        <v>120000</v>
      </c>
      <c r="Z239" s="762">
        <f t="shared" si="475"/>
        <v>142461</v>
      </c>
      <c r="AA239" s="762">
        <v>45722.732758620688</v>
      </c>
      <c r="AB239" s="762"/>
      <c r="AC239" s="762"/>
      <c r="AD239" s="763">
        <f t="shared" si="501"/>
        <v>435583.7327586207</v>
      </c>
      <c r="AE239" s="763">
        <f t="shared" si="476"/>
        <v>2767699.5776604875</v>
      </c>
      <c r="AF239" s="762">
        <f t="shared" si="477"/>
        <v>69192.489441512196</v>
      </c>
      <c r="AG239" s="762">
        <f t="shared" si="502"/>
        <v>2836892.0671019997</v>
      </c>
      <c r="AH239" s="762">
        <f t="shared" si="478"/>
        <v>70922.30167755</v>
      </c>
      <c r="AI239" s="762">
        <f t="shared" si="503"/>
        <v>2907814.3687795498</v>
      </c>
      <c r="AJ239" s="762">
        <f t="shared" si="504"/>
        <v>145390.71843897749</v>
      </c>
      <c r="AK239" s="762">
        <f t="shared" si="505"/>
        <v>3053205.0872185272</v>
      </c>
      <c r="AL239" s="762">
        <f t="shared" si="506"/>
        <v>30532.050872185271</v>
      </c>
      <c r="AM239" s="762">
        <f t="shared" si="507"/>
        <v>27537.409960060559</v>
      </c>
      <c r="AN239" s="762"/>
      <c r="AO239" s="763">
        <f t="shared" si="508"/>
        <v>3111274.5480507729</v>
      </c>
      <c r="AP239" s="763">
        <f t="shared" si="509"/>
        <v>513360.30042837752</v>
      </c>
      <c r="AQ239" s="763">
        <f t="shared" si="510"/>
        <v>3624634.8484791503</v>
      </c>
      <c r="AR239" s="1178">
        <f t="shared" si="479"/>
        <v>3000000</v>
      </c>
      <c r="AS239" s="1178">
        <f t="shared" si="511"/>
        <v>28392.493112688651</v>
      </c>
      <c r="AT239" s="1178">
        <f t="shared" si="512"/>
        <v>624634.84847915033</v>
      </c>
      <c r="AU239" s="1178">
        <f t="shared" si="480"/>
        <v>74956.181817498044</v>
      </c>
      <c r="AV239" s="1178">
        <f t="shared" si="513"/>
        <v>699591.03029664839</v>
      </c>
      <c r="AW239" s="1178">
        <f t="shared" si="514"/>
        <v>3699591.0302966484</v>
      </c>
      <c r="AX239" s="762">
        <f t="shared" si="515"/>
        <v>46244.887878708105</v>
      </c>
      <c r="AY239" s="717" t="s">
        <v>231</v>
      </c>
      <c r="AZ239" s="717">
        <f t="shared" si="516"/>
        <v>3745835.9181753565</v>
      </c>
      <c r="BA239" s="717">
        <f t="shared" si="517"/>
        <v>140468.84693157586</v>
      </c>
      <c r="BB239" s="717"/>
      <c r="BC239" s="717">
        <f t="shared" si="481"/>
        <v>33600</v>
      </c>
      <c r="BD239" s="717">
        <f t="shared" si="518"/>
        <v>3919904.7651069323</v>
      </c>
      <c r="BE239" s="717"/>
      <c r="BF239" s="717">
        <f t="shared" si="519"/>
        <v>3919904.7651069323</v>
      </c>
      <c r="BG239" s="1209"/>
      <c r="BH239" s="717">
        <f t="shared" si="520"/>
        <v>3919904.7651069323</v>
      </c>
      <c r="BI239" s="717"/>
      <c r="BJ239" s="717">
        <f t="shared" si="521"/>
        <v>3919904.7651069323</v>
      </c>
      <c r="BK239" s="717"/>
      <c r="BL239" s="717">
        <f t="shared" si="522"/>
        <v>3919904.7651069323</v>
      </c>
      <c r="BM239" s="717"/>
      <c r="BN239" s="717">
        <f t="shared" si="523"/>
        <v>3919904.7651069323</v>
      </c>
      <c r="BO239" s="717"/>
      <c r="BP239" s="717">
        <f t="shared" si="482"/>
        <v>3919904.7651069323</v>
      </c>
      <c r="BQ239" s="717"/>
      <c r="BR239" s="717">
        <f t="shared" si="584"/>
        <v>3919904.7651069323</v>
      </c>
      <c r="BS239" s="717"/>
      <c r="BT239" s="717">
        <f t="shared" si="524"/>
        <v>3919904.7651069323</v>
      </c>
      <c r="BU239" s="717"/>
      <c r="BV239" s="1235">
        <f t="shared" si="585"/>
        <v>51400</v>
      </c>
      <c r="BW239" s="717">
        <f t="shared" si="525"/>
        <v>3971304.7651069323</v>
      </c>
      <c r="BX239" s="717"/>
      <c r="BY239" s="717">
        <f t="shared" si="526"/>
        <v>3971304.7651069323</v>
      </c>
      <c r="BZ239" s="1194">
        <f t="shared" si="527"/>
        <v>3971304.7651069323</v>
      </c>
      <c r="CA239" s="1194">
        <f t="shared" si="528"/>
        <v>3036304.7651069323</v>
      </c>
      <c r="CB239" s="1194">
        <v>42500</v>
      </c>
      <c r="CC239" s="1194">
        <f t="shared" si="529"/>
        <v>935000</v>
      </c>
      <c r="CD239" s="1194">
        <f t="shared" si="530"/>
        <v>112200</v>
      </c>
      <c r="CE239" s="1194">
        <f t="shared" si="531"/>
        <v>1047200</v>
      </c>
      <c r="CF239" s="1200">
        <f t="shared" si="532"/>
        <v>4083504.7651069323</v>
      </c>
      <c r="CG239" s="757">
        <f t="shared" si="533"/>
        <v>4083504.7651069323</v>
      </c>
      <c r="CH239" s="758">
        <f t="shared" si="534"/>
        <v>0</v>
      </c>
      <c r="CI239" s="757">
        <f t="shared" si="483"/>
        <v>418559.23842346051</v>
      </c>
      <c r="CJ239" s="757">
        <f t="shared" si="484"/>
        <v>102087.61912767332</v>
      </c>
      <c r="CK239" s="759">
        <f t="shared" si="593"/>
        <v>4604151.6226580655</v>
      </c>
      <c r="CL239" s="764">
        <f t="shared" si="535"/>
        <v>0.125</v>
      </c>
      <c r="CM239" s="757">
        <f t="shared" si="536"/>
        <v>575518.95283225819</v>
      </c>
      <c r="CN239" s="757">
        <f t="shared" si="578"/>
        <v>30000</v>
      </c>
      <c r="CO239" s="757">
        <f t="shared" si="537"/>
        <v>545518.95283225819</v>
      </c>
      <c r="CP239" s="755">
        <f t="shared" si="538"/>
        <v>29</v>
      </c>
      <c r="CQ239" s="757">
        <f t="shared" si="581"/>
        <v>18810.998373526145</v>
      </c>
      <c r="CR239" s="764">
        <f t="shared" si="539"/>
        <v>0.875</v>
      </c>
      <c r="CS239" s="757">
        <f t="shared" si="540"/>
        <v>4028632.6698258072</v>
      </c>
      <c r="CT239" s="1101">
        <f t="shared" si="541"/>
        <v>31233.946209153735</v>
      </c>
      <c r="CU239" s="1101">
        <f t="shared" si="542"/>
        <v>36210.489365191272</v>
      </c>
      <c r="CV239" s="1101">
        <f t="shared" si="543"/>
        <v>46775.841262393966</v>
      </c>
      <c r="CW239" s="1141">
        <f t="shared" si="485"/>
        <v>79771.755341359225</v>
      </c>
      <c r="CX239" s="1152">
        <f t="shared" si="544"/>
        <v>327258.63683644327</v>
      </c>
      <c r="CY239" s="1152">
        <f t="shared" si="545"/>
        <v>129494.64842783452</v>
      </c>
      <c r="CZ239" s="1152">
        <f t="shared" si="546"/>
        <v>93532.150501519311</v>
      </c>
      <c r="DA239" s="1152">
        <f t="shared" si="547"/>
        <v>71182.27252946973</v>
      </c>
      <c r="DB239" s="1143">
        <f t="shared" si="486"/>
        <v>0.20821161615971678</v>
      </c>
      <c r="DC239" s="1143">
        <f t="shared" si="548"/>
        <v>0.34489291458300625</v>
      </c>
      <c r="DD239" s="1098" t="s">
        <v>232</v>
      </c>
      <c r="DE239" s="1144"/>
      <c r="DF239" s="705"/>
      <c r="DG239" s="765">
        <f t="shared" si="579"/>
        <v>46082</v>
      </c>
      <c r="DH239" s="1116">
        <f t="shared" si="487"/>
        <v>28</v>
      </c>
      <c r="DI239" s="497"/>
      <c r="DJ239" s="1117">
        <f t="shared" si="549"/>
        <v>46147</v>
      </c>
      <c r="DK239" s="1116">
        <f t="shared" si="550"/>
        <v>30</v>
      </c>
      <c r="DL239" s="766" t="s">
        <v>233</v>
      </c>
      <c r="DM239" s="766" t="s">
        <v>234</v>
      </c>
      <c r="DN239" s="767">
        <f t="shared" si="488"/>
        <v>31799.592286211289</v>
      </c>
      <c r="DO239" s="767">
        <f t="shared" si="489"/>
        <v>699591.03029664839</v>
      </c>
      <c r="DP239" s="768">
        <f t="shared" si="490"/>
        <v>0.2331970100988828</v>
      </c>
      <c r="DR239" s="767">
        <f t="shared" si="491"/>
        <v>4083504.7651069323</v>
      </c>
      <c r="DS239" s="767">
        <f>SUM('[6]INTERNAL PRICELIST'!M239)</f>
        <v>0</v>
      </c>
      <c r="DT239" s="767">
        <f t="shared" si="551"/>
        <v>4083504.7651069323</v>
      </c>
      <c r="DV239" s="951">
        <f t="shared" si="492"/>
        <v>185613.85295940601</v>
      </c>
      <c r="DX239" s="781"/>
      <c r="DY239" s="782"/>
      <c r="DZ239" s="781"/>
      <c r="EA239" s="775"/>
      <c r="ED239" s="1133" t="s">
        <v>671</v>
      </c>
      <c r="EE239" s="777" t="b">
        <f t="shared" si="493"/>
        <v>1</v>
      </c>
      <c r="EF239" s="777"/>
      <c r="EG239" s="777"/>
      <c r="EH239" s="1203"/>
      <c r="EP239" s="1230" t="s">
        <v>236</v>
      </c>
      <c r="EQ239" s="1145" t="s">
        <v>236</v>
      </c>
      <c r="ER239" s="753" t="b">
        <f t="shared" si="552"/>
        <v>1</v>
      </c>
      <c r="EU239" s="770">
        <v>3260818.0978750587</v>
      </c>
      <c r="EV239" s="771" t="s">
        <v>258</v>
      </c>
      <c r="EW239" s="775">
        <f>EU239-CG239</f>
        <v>-822686.66723187361</v>
      </c>
      <c r="EY239" s="775">
        <v>3226299.9284275831</v>
      </c>
      <c r="FJ239" s="994">
        <v>0.15</v>
      </c>
      <c r="FK239" s="993">
        <v>14045.154144209066</v>
      </c>
      <c r="FL239" s="993">
        <v>14424.752904863364</v>
      </c>
      <c r="FM239" s="497"/>
      <c r="FN239" s="993">
        <f t="shared" si="494"/>
        <v>4604151.6226580655</v>
      </c>
      <c r="FO239" s="994">
        <f t="shared" si="553"/>
        <v>0.15</v>
      </c>
      <c r="FP239" s="775">
        <f t="shared" si="495"/>
        <v>690622.7433987098</v>
      </c>
      <c r="FQ239" s="993">
        <f t="shared" si="496"/>
        <v>30000</v>
      </c>
      <c r="FR239" s="775">
        <f t="shared" si="554"/>
        <v>660622.7433987098</v>
      </c>
      <c r="FS239" s="497">
        <f t="shared" si="555"/>
        <v>40</v>
      </c>
      <c r="FT239" s="775">
        <f t="shared" si="556"/>
        <v>16515.568584967747</v>
      </c>
      <c r="FU239" s="497"/>
      <c r="FV239" s="993">
        <f t="shared" si="557"/>
        <v>4604151.6226580655</v>
      </c>
      <c r="FW239" s="705">
        <f t="shared" si="558"/>
        <v>460415.16226580658</v>
      </c>
      <c r="FX239" s="705">
        <f t="shared" si="559"/>
        <v>115103.79056645164</v>
      </c>
      <c r="FY239" s="705">
        <v>15000</v>
      </c>
      <c r="FZ239" s="705">
        <f t="shared" si="560"/>
        <v>445415.16226580658</v>
      </c>
      <c r="GA239" s="497">
        <f t="shared" si="561"/>
        <v>46</v>
      </c>
      <c r="GB239" s="775">
        <f t="shared" si="562"/>
        <v>9682.9383101262301</v>
      </c>
      <c r="GC239" s="497"/>
      <c r="GD239" s="497"/>
      <c r="GH239" s="1095">
        <f t="shared" si="461"/>
        <v>4604151.6226580655</v>
      </c>
      <c r="GI239" s="1098">
        <f t="shared" si="462"/>
        <v>0.125</v>
      </c>
      <c r="GJ239" s="1095">
        <f t="shared" si="463"/>
        <v>575518.95283225819</v>
      </c>
      <c r="GK239" s="1095">
        <f t="shared" si="464"/>
        <v>30000</v>
      </c>
      <c r="GL239" s="1095">
        <f t="shared" si="465"/>
        <v>545518.95283225819</v>
      </c>
      <c r="GM239" s="1095">
        <f t="shared" si="466"/>
        <v>29</v>
      </c>
      <c r="GN239" s="1095">
        <f t="shared" si="467"/>
        <v>18810.998373526145</v>
      </c>
      <c r="GO239" s="1098">
        <f t="shared" si="468"/>
        <v>0.875</v>
      </c>
      <c r="GP239" s="1095">
        <f t="shared" si="469"/>
        <v>4028632.6698258072</v>
      </c>
      <c r="GQ239" s="1095">
        <f t="shared" si="470"/>
        <v>31233.946209153735</v>
      </c>
      <c r="GR239" s="1095">
        <f t="shared" si="471"/>
        <v>36210.489365191272</v>
      </c>
      <c r="GS239" s="1095">
        <f t="shared" si="472"/>
        <v>46775.841262393966</v>
      </c>
      <c r="GT239" s="1095">
        <f t="shared" si="473"/>
        <v>79771.755341359225</v>
      </c>
      <c r="GU239" s="497"/>
      <c r="GV239" s="1095">
        <f t="shared" si="563"/>
        <v>4604151.6226580655</v>
      </c>
      <c r="GW239" s="1098">
        <f t="shared" si="564"/>
        <v>0.125</v>
      </c>
      <c r="GX239" s="1095">
        <f t="shared" si="565"/>
        <v>575518.95283225819</v>
      </c>
      <c r="GY239" s="1095">
        <f t="shared" si="566"/>
        <v>30000</v>
      </c>
      <c r="GZ239" s="1095">
        <f t="shared" si="567"/>
        <v>545518.95283225819</v>
      </c>
      <c r="HA239" s="1106">
        <f t="shared" si="568"/>
        <v>48</v>
      </c>
      <c r="HB239" s="770">
        <f t="shared" si="569"/>
        <v>11364.978184005378</v>
      </c>
      <c r="HC239" s="1098">
        <f t="shared" si="570"/>
        <v>0.875</v>
      </c>
      <c r="HD239" s="1102">
        <f t="shared" si="571"/>
        <v>4028632.6698258072</v>
      </c>
      <c r="HE239" s="1101">
        <f t="shared" si="572"/>
        <v>31233.946209153735</v>
      </c>
      <c r="HF239" s="1101">
        <f t="shared" si="573"/>
        <v>36210.489365191272</v>
      </c>
      <c r="HG239" s="1101">
        <f t="shared" si="574"/>
        <v>46775.841262393966</v>
      </c>
      <c r="HH239" s="1101">
        <f t="shared" si="575"/>
        <v>79771.755341359225</v>
      </c>
      <c r="HI239" s="497"/>
      <c r="HJ239" s="1102">
        <f t="shared" si="576"/>
        <v>-7446.0201895207665</v>
      </c>
      <c r="HL239" s="775"/>
      <c r="HN239" s="775"/>
      <c r="HO239" s="775"/>
      <c r="HQ239" s="702"/>
      <c r="HR239" s="1171"/>
      <c r="HS239" s="702"/>
      <c r="HT239" s="1171"/>
    </row>
    <row r="240" spans="1:228" ht="14.25" hidden="1" customHeight="1">
      <c r="A240" s="753">
        <f t="shared" si="577"/>
        <v>234</v>
      </c>
      <c r="B240" s="753"/>
      <c r="C240" s="753">
        <f t="shared" si="591"/>
        <v>17</v>
      </c>
      <c r="D240" s="753" t="s">
        <v>281</v>
      </c>
      <c r="E240" s="717" t="str">
        <f t="shared" si="497"/>
        <v>10th Floor</v>
      </c>
      <c r="F240" s="754"/>
      <c r="G240" s="756" t="s">
        <v>672</v>
      </c>
      <c r="H240" s="756"/>
      <c r="I240" s="755" t="s">
        <v>229</v>
      </c>
      <c r="J240" s="757">
        <v>22</v>
      </c>
      <c r="K240" s="758"/>
      <c r="L240" s="759" t="s">
        <v>69</v>
      </c>
      <c r="M240" s="760" t="s">
        <v>68</v>
      </c>
      <c r="N240" s="761">
        <f t="shared" si="498"/>
        <v>106005.26567735759</v>
      </c>
      <c r="O240" s="762">
        <f t="shared" si="499"/>
        <v>2332115.8449018667</v>
      </c>
      <c r="P240" s="762">
        <f t="shared" si="500"/>
        <v>22400</v>
      </c>
      <c r="Q240" s="762">
        <f t="shared" si="474"/>
        <v>50000</v>
      </c>
      <c r="R240" s="762"/>
      <c r="S240" s="762"/>
      <c r="T240" s="762"/>
      <c r="U240" s="762"/>
      <c r="V240" s="762"/>
      <c r="W240" s="762"/>
      <c r="X240" s="762"/>
      <c r="Y240" s="762">
        <f t="shared" si="592"/>
        <v>120000</v>
      </c>
      <c r="Z240" s="762">
        <f t="shared" si="475"/>
        <v>142461</v>
      </c>
      <c r="AA240" s="762">
        <v>45722.732758620688</v>
      </c>
      <c r="AB240" s="762"/>
      <c r="AC240" s="762"/>
      <c r="AD240" s="763">
        <f t="shared" si="501"/>
        <v>380583.7327586207</v>
      </c>
      <c r="AE240" s="763">
        <f t="shared" si="476"/>
        <v>2712699.5776604875</v>
      </c>
      <c r="AF240" s="762">
        <f t="shared" si="477"/>
        <v>67817.489441512196</v>
      </c>
      <c r="AG240" s="762">
        <f t="shared" si="502"/>
        <v>2780517.0671019997</v>
      </c>
      <c r="AH240" s="762">
        <f t="shared" si="478"/>
        <v>69512.92667755</v>
      </c>
      <c r="AI240" s="762">
        <f t="shared" si="503"/>
        <v>2850029.9937795498</v>
      </c>
      <c r="AJ240" s="762">
        <f t="shared" si="504"/>
        <v>142501.49968897749</v>
      </c>
      <c r="AK240" s="762">
        <f t="shared" si="505"/>
        <v>2992531.4934685272</v>
      </c>
      <c r="AL240" s="762">
        <f t="shared" si="506"/>
        <v>29925.314934685273</v>
      </c>
      <c r="AM240" s="762">
        <f t="shared" si="507"/>
        <v>27537.409960060559</v>
      </c>
      <c r="AN240" s="762"/>
      <c r="AO240" s="763">
        <f t="shared" si="508"/>
        <v>3049994.218363273</v>
      </c>
      <c r="AP240" s="763">
        <f t="shared" si="509"/>
        <v>503249.04602994007</v>
      </c>
      <c r="AQ240" s="763">
        <f t="shared" si="510"/>
        <v>3553243.2643932132</v>
      </c>
      <c r="AR240" s="1178">
        <f t="shared" si="479"/>
        <v>3000000</v>
      </c>
      <c r="AS240" s="1178">
        <f t="shared" si="511"/>
        <v>25147.421108782419</v>
      </c>
      <c r="AT240" s="1178">
        <f t="shared" si="512"/>
        <v>553243.26439321321</v>
      </c>
      <c r="AU240" s="1178">
        <f t="shared" si="480"/>
        <v>66389.191727185578</v>
      </c>
      <c r="AV240" s="1178">
        <f t="shared" si="513"/>
        <v>619632.45612039883</v>
      </c>
      <c r="AW240" s="1178">
        <f t="shared" si="514"/>
        <v>3619632.4561203988</v>
      </c>
      <c r="AX240" s="762">
        <f t="shared" si="515"/>
        <v>45245.405701504991</v>
      </c>
      <c r="AY240" s="717" t="s">
        <v>231</v>
      </c>
      <c r="AZ240" s="717">
        <f t="shared" si="516"/>
        <v>3664877.8618219038</v>
      </c>
      <c r="BA240" s="717">
        <f t="shared" si="517"/>
        <v>137432.91981832139</v>
      </c>
      <c r="BB240" s="717"/>
      <c r="BC240" s="717">
        <f t="shared" si="481"/>
        <v>33600</v>
      </c>
      <c r="BD240" s="717">
        <f t="shared" si="518"/>
        <v>3835910.7816402251</v>
      </c>
      <c r="BE240" s="717"/>
      <c r="BF240" s="717">
        <f t="shared" si="519"/>
        <v>3835910.7816402251</v>
      </c>
      <c r="BG240" s="1209"/>
      <c r="BH240" s="717">
        <f t="shared" si="520"/>
        <v>3835910.7816402251</v>
      </c>
      <c r="BI240" s="717"/>
      <c r="BJ240" s="717">
        <f t="shared" si="521"/>
        <v>3835910.7816402251</v>
      </c>
      <c r="BK240" s="717"/>
      <c r="BL240" s="717">
        <f t="shared" si="522"/>
        <v>3835910.7816402251</v>
      </c>
      <c r="BM240" s="717"/>
      <c r="BN240" s="717">
        <f t="shared" si="523"/>
        <v>3835910.7816402251</v>
      </c>
      <c r="BO240" s="717"/>
      <c r="BP240" s="717">
        <f t="shared" si="482"/>
        <v>3835910.7816402251</v>
      </c>
      <c r="BQ240" s="717"/>
      <c r="BR240" s="717">
        <f t="shared" si="584"/>
        <v>3835910.7816402251</v>
      </c>
      <c r="BS240" s="717"/>
      <c r="BT240" s="717">
        <f t="shared" si="524"/>
        <v>3835910.7816402251</v>
      </c>
      <c r="BU240" s="717"/>
      <c r="BV240" s="1235">
        <f t="shared" si="585"/>
        <v>51400</v>
      </c>
      <c r="BW240" s="717">
        <f t="shared" si="525"/>
        <v>3887310.7816402251</v>
      </c>
      <c r="BX240" s="717"/>
      <c r="BY240" s="717">
        <f t="shared" si="526"/>
        <v>3887310.7816402251</v>
      </c>
      <c r="BZ240" s="1194">
        <f t="shared" si="527"/>
        <v>3887310.7816402251</v>
      </c>
      <c r="CA240" s="1194">
        <f t="shared" si="528"/>
        <v>3007310.7816402251</v>
      </c>
      <c r="CB240" s="1194">
        <v>40000</v>
      </c>
      <c r="CC240" s="1194">
        <f t="shared" si="529"/>
        <v>880000</v>
      </c>
      <c r="CD240" s="1194">
        <f t="shared" si="530"/>
        <v>105600</v>
      </c>
      <c r="CE240" s="1194">
        <f t="shared" si="531"/>
        <v>985600</v>
      </c>
      <c r="CF240" s="1200">
        <f t="shared" si="532"/>
        <v>3992910.7816402251</v>
      </c>
      <c r="CG240" s="757">
        <f t="shared" si="533"/>
        <v>3992910.7816402251</v>
      </c>
      <c r="CH240" s="758">
        <f t="shared" si="534"/>
        <v>0</v>
      </c>
      <c r="CI240" s="757">
        <f t="shared" si="483"/>
        <v>409273.35511812306</v>
      </c>
      <c r="CJ240" s="757">
        <f t="shared" si="484"/>
        <v>99822.769541005633</v>
      </c>
      <c r="CK240" s="759">
        <f t="shared" si="593"/>
        <v>4502006.9062993536</v>
      </c>
      <c r="CL240" s="764">
        <f t="shared" si="535"/>
        <v>0.125</v>
      </c>
      <c r="CM240" s="757">
        <f t="shared" si="536"/>
        <v>562750.8632874192</v>
      </c>
      <c r="CN240" s="757">
        <f t="shared" si="578"/>
        <v>30000</v>
      </c>
      <c r="CO240" s="757">
        <f t="shared" si="537"/>
        <v>532750.8632874192</v>
      </c>
      <c r="CP240" s="755">
        <f t="shared" si="538"/>
        <v>29</v>
      </c>
      <c r="CQ240" s="757">
        <f t="shared" si="581"/>
        <v>18370.719423704111</v>
      </c>
      <c r="CR240" s="764">
        <f t="shared" si="539"/>
        <v>0.875</v>
      </c>
      <c r="CS240" s="757">
        <f t="shared" si="540"/>
        <v>3939256.0430119345</v>
      </c>
      <c r="CT240" s="1101">
        <f t="shared" si="541"/>
        <v>30541.010172773727</v>
      </c>
      <c r="CU240" s="1101">
        <f t="shared" si="542"/>
        <v>35407.14697585391</v>
      </c>
      <c r="CV240" s="1101">
        <f t="shared" si="543"/>
        <v>45738.102840689047</v>
      </c>
      <c r="CW240" s="1141">
        <f t="shared" si="485"/>
        <v>78001.991008951009</v>
      </c>
      <c r="CX240" s="1152">
        <f t="shared" si="544"/>
        <v>319998.28935546725</v>
      </c>
      <c r="CY240" s="1152">
        <f t="shared" si="545"/>
        <v>126621.76429679542</v>
      </c>
      <c r="CZ240" s="1152">
        <f t="shared" si="546"/>
        <v>91457.106982886777</v>
      </c>
      <c r="DA240" s="1152">
        <f t="shared" si="547"/>
        <v>69603.068881720697</v>
      </c>
      <c r="DB240" s="1143">
        <f t="shared" si="486"/>
        <v>0.1844144214644044</v>
      </c>
      <c r="DC240" s="1143">
        <f t="shared" si="548"/>
        <v>0.32773466780258786</v>
      </c>
      <c r="DD240" s="1098" t="s">
        <v>232</v>
      </c>
      <c r="DE240" s="1144"/>
      <c r="DF240" s="705"/>
      <c r="DG240" s="765">
        <f t="shared" si="579"/>
        <v>46082</v>
      </c>
      <c r="DH240" s="1116">
        <f t="shared" si="487"/>
        <v>28</v>
      </c>
      <c r="DI240" s="497"/>
      <c r="DJ240" s="1117">
        <f t="shared" si="549"/>
        <v>46147</v>
      </c>
      <c r="DK240" s="1116">
        <f t="shared" si="550"/>
        <v>30</v>
      </c>
      <c r="DL240" s="766" t="s">
        <v>233</v>
      </c>
      <c r="DM240" s="766" t="s">
        <v>234</v>
      </c>
      <c r="DN240" s="767">
        <f t="shared" si="488"/>
        <v>28165.111641836309</v>
      </c>
      <c r="DO240" s="767">
        <f t="shared" si="489"/>
        <v>619632.45612039883</v>
      </c>
      <c r="DP240" s="768">
        <f t="shared" si="490"/>
        <v>0.20654415204013293</v>
      </c>
      <c r="DR240" s="767">
        <f t="shared" si="491"/>
        <v>3992910.7816402251</v>
      </c>
      <c r="DS240" s="767">
        <f>SUM('[6]INTERNAL PRICELIST'!M240)</f>
        <v>0</v>
      </c>
      <c r="DT240" s="767">
        <f t="shared" si="551"/>
        <v>3992910.7816402251</v>
      </c>
      <c r="DV240" s="951">
        <f t="shared" si="492"/>
        <v>181495.94462001024</v>
      </c>
      <c r="DX240" s="781"/>
      <c r="DY240" s="782"/>
      <c r="DZ240" s="781"/>
      <c r="EA240" s="775"/>
      <c r="ED240" s="755" t="s">
        <v>672</v>
      </c>
      <c r="EE240" s="777" t="b">
        <f t="shared" si="493"/>
        <v>1</v>
      </c>
      <c r="EF240" s="777"/>
      <c r="EG240" s="777"/>
      <c r="EH240" s="1203"/>
      <c r="EP240" s="1230" t="s">
        <v>236</v>
      </c>
      <c r="EQ240" s="1145" t="s">
        <v>236</v>
      </c>
      <c r="ER240" s="753" t="b">
        <f t="shared" si="552"/>
        <v>1</v>
      </c>
      <c r="EU240" s="770">
        <v>2606860</v>
      </c>
      <c r="EV240" s="771" t="s">
        <v>236</v>
      </c>
      <c r="EY240" s="775">
        <v>3100206.5987977991</v>
      </c>
      <c r="FJ240" s="994">
        <v>0.125</v>
      </c>
      <c r="FK240" s="993">
        <v>11173.02953930404</v>
      </c>
      <c r="FL240" s="993">
        <v>11475.003310636581</v>
      </c>
      <c r="FM240" s="497"/>
      <c r="FN240" s="993">
        <f t="shared" si="494"/>
        <v>4502006.9062993536</v>
      </c>
      <c r="FO240" s="994">
        <f t="shared" si="553"/>
        <v>0.15</v>
      </c>
      <c r="FP240" s="775">
        <f t="shared" si="495"/>
        <v>675301.03594490304</v>
      </c>
      <c r="FQ240" s="993">
        <f t="shared" si="496"/>
        <v>30000</v>
      </c>
      <c r="FR240" s="775">
        <f t="shared" si="554"/>
        <v>645301.03594490304</v>
      </c>
      <c r="FS240" s="497">
        <f t="shared" si="555"/>
        <v>40</v>
      </c>
      <c r="FT240" s="775">
        <f t="shared" si="556"/>
        <v>16132.525898622576</v>
      </c>
      <c r="FU240" s="497"/>
      <c r="FV240" s="993">
        <f t="shared" si="557"/>
        <v>4502006.9062993536</v>
      </c>
      <c r="FW240" s="705">
        <f t="shared" si="558"/>
        <v>450200.69062993536</v>
      </c>
      <c r="FX240" s="705">
        <f t="shared" si="559"/>
        <v>112550.17265748384</v>
      </c>
      <c r="FY240" s="705">
        <v>15000</v>
      </c>
      <c r="FZ240" s="705">
        <f t="shared" si="560"/>
        <v>435200.69062993536</v>
      </c>
      <c r="GA240" s="497">
        <f t="shared" si="561"/>
        <v>46</v>
      </c>
      <c r="GB240" s="775">
        <f t="shared" si="562"/>
        <v>9460.8845789116385</v>
      </c>
      <c r="GC240" s="497"/>
      <c r="GD240" s="497"/>
      <c r="GH240" s="1095">
        <f t="shared" si="461"/>
        <v>4502006.9062993536</v>
      </c>
      <c r="GI240" s="1098">
        <f t="shared" si="462"/>
        <v>0.125</v>
      </c>
      <c r="GJ240" s="1095">
        <f t="shared" si="463"/>
        <v>562750.8632874192</v>
      </c>
      <c r="GK240" s="1095">
        <f t="shared" si="464"/>
        <v>30000</v>
      </c>
      <c r="GL240" s="1095">
        <f t="shared" si="465"/>
        <v>532750.8632874192</v>
      </c>
      <c r="GM240" s="1095">
        <f t="shared" si="466"/>
        <v>29</v>
      </c>
      <c r="GN240" s="1095">
        <f t="shared" si="467"/>
        <v>18370.719423704111</v>
      </c>
      <c r="GO240" s="1098">
        <f t="shared" si="468"/>
        <v>0.875</v>
      </c>
      <c r="GP240" s="1095">
        <f t="shared" si="469"/>
        <v>3939256.0430119345</v>
      </c>
      <c r="GQ240" s="1095">
        <f t="shared" si="470"/>
        <v>30541.010172773727</v>
      </c>
      <c r="GR240" s="1095">
        <f t="shared" si="471"/>
        <v>35407.14697585391</v>
      </c>
      <c r="GS240" s="1095">
        <f t="shared" si="472"/>
        <v>45738.102840689047</v>
      </c>
      <c r="GT240" s="1095">
        <f t="shared" si="473"/>
        <v>78001.991008951009</v>
      </c>
      <c r="GU240" s="497"/>
      <c r="GV240" s="1095">
        <f t="shared" si="563"/>
        <v>4502006.9062993536</v>
      </c>
      <c r="GW240" s="1098">
        <f t="shared" si="564"/>
        <v>0.125</v>
      </c>
      <c r="GX240" s="1095">
        <f t="shared" si="565"/>
        <v>562750.8632874192</v>
      </c>
      <c r="GY240" s="1095">
        <f t="shared" si="566"/>
        <v>30000</v>
      </c>
      <c r="GZ240" s="1095">
        <f t="shared" si="567"/>
        <v>532750.8632874192</v>
      </c>
      <c r="HA240" s="1106">
        <f t="shared" si="568"/>
        <v>48</v>
      </c>
      <c r="HB240" s="770">
        <f t="shared" si="569"/>
        <v>11098.976318487899</v>
      </c>
      <c r="HC240" s="1098">
        <f t="shared" si="570"/>
        <v>0.875</v>
      </c>
      <c r="HD240" s="1102">
        <f t="shared" si="571"/>
        <v>3939256.0430119345</v>
      </c>
      <c r="HE240" s="1101">
        <f t="shared" si="572"/>
        <v>30541.010172773727</v>
      </c>
      <c r="HF240" s="1101">
        <f t="shared" si="573"/>
        <v>35407.14697585391</v>
      </c>
      <c r="HG240" s="1101">
        <f t="shared" si="574"/>
        <v>45738.102840689047</v>
      </c>
      <c r="HH240" s="1101">
        <f t="shared" si="575"/>
        <v>78001.991008951009</v>
      </c>
      <c r="HI240" s="497"/>
      <c r="HJ240" s="1102">
        <f t="shared" si="576"/>
        <v>-7271.7431052162119</v>
      </c>
      <c r="HL240" s="775"/>
      <c r="HN240" s="775"/>
      <c r="HO240" s="775"/>
      <c r="HQ240" s="702"/>
      <c r="HR240" s="1171"/>
      <c r="HS240" s="702"/>
      <c r="HT240" s="1171"/>
    </row>
    <row r="241" spans="1:228" ht="14.25" hidden="1" customHeight="1">
      <c r="A241" s="753">
        <f t="shared" si="577"/>
        <v>235</v>
      </c>
      <c r="B241" s="753"/>
      <c r="C241" s="753">
        <f t="shared" si="591"/>
        <v>18</v>
      </c>
      <c r="D241" s="753" t="s">
        <v>281</v>
      </c>
      <c r="E241" s="717" t="str">
        <f t="shared" si="497"/>
        <v>10th Floor</v>
      </c>
      <c r="F241" s="754"/>
      <c r="G241" s="756" t="s">
        <v>673</v>
      </c>
      <c r="H241" s="756"/>
      <c r="I241" s="755" t="s">
        <v>229</v>
      </c>
      <c r="J241" s="757">
        <v>22</v>
      </c>
      <c r="K241" s="758"/>
      <c r="L241" s="759" t="s">
        <v>69</v>
      </c>
      <c r="M241" s="760" t="s">
        <v>68</v>
      </c>
      <c r="N241" s="761">
        <f t="shared" si="498"/>
        <v>106005.26567735759</v>
      </c>
      <c r="O241" s="762">
        <f t="shared" si="499"/>
        <v>2332115.8449018667</v>
      </c>
      <c r="P241" s="762">
        <f t="shared" si="500"/>
        <v>22400</v>
      </c>
      <c r="Q241" s="762">
        <f t="shared" si="474"/>
        <v>50000</v>
      </c>
      <c r="R241" s="762"/>
      <c r="S241" s="762"/>
      <c r="T241" s="762"/>
      <c r="U241" s="762"/>
      <c r="V241" s="762"/>
      <c r="W241" s="762"/>
      <c r="X241" s="762"/>
      <c r="Y241" s="762">
        <f t="shared" si="592"/>
        <v>120000</v>
      </c>
      <c r="Z241" s="762">
        <f t="shared" si="475"/>
        <v>142461</v>
      </c>
      <c r="AA241" s="762">
        <v>45722.732758620688</v>
      </c>
      <c r="AB241" s="762"/>
      <c r="AC241" s="762"/>
      <c r="AD241" s="763">
        <f t="shared" si="501"/>
        <v>380583.7327586207</v>
      </c>
      <c r="AE241" s="763">
        <f t="shared" si="476"/>
        <v>2712699.5776604875</v>
      </c>
      <c r="AF241" s="762">
        <f t="shared" si="477"/>
        <v>67817.489441512196</v>
      </c>
      <c r="AG241" s="762">
        <f t="shared" si="502"/>
        <v>2780517.0671019997</v>
      </c>
      <c r="AH241" s="762">
        <f t="shared" si="478"/>
        <v>69512.92667755</v>
      </c>
      <c r="AI241" s="762">
        <f t="shared" si="503"/>
        <v>2850029.9937795498</v>
      </c>
      <c r="AJ241" s="762">
        <f t="shared" si="504"/>
        <v>142501.49968897749</v>
      </c>
      <c r="AK241" s="762">
        <f t="shared" si="505"/>
        <v>2992531.4934685272</v>
      </c>
      <c r="AL241" s="762">
        <f t="shared" si="506"/>
        <v>29925.314934685273</v>
      </c>
      <c r="AM241" s="762">
        <f t="shared" si="507"/>
        <v>27537.409960060559</v>
      </c>
      <c r="AN241" s="762"/>
      <c r="AO241" s="763">
        <f t="shared" si="508"/>
        <v>3049994.218363273</v>
      </c>
      <c r="AP241" s="763">
        <f t="shared" si="509"/>
        <v>503249.04602994007</v>
      </c>
      <c r="AQ241" s="763">
        <f t="shared" si="510"/>
        <v>3553243.2643932132</v>
      </c>
      <c r="AR241" s="1178">
        <f t="shared" si="479"/>
        <v>3000000</v>
      </c>
      <c r="AS241" s="1178">
        <f t="shared" si="511"/>
        <v>25147.421108782419</v>
      </c>
      <c r="AT241" s="1178">
        <f t="shared" si="512"/>
        <v>553243.26439321321</v>
      </c>
      <c r="AU241" s="1178">
        <f t="shared" si="480"/>
        <v>66389.191727185578</v>
      </c>
      <c r="AV241" s="1178">
        <f t="shared" si="513"/>
        <v>619632.45612039883</v>
      </c>
      <c r="AW241" s="1178">
        <f t="shared" si="514"/>
        <v>3619632.4561203988</v>
      </c>
      <c r="AX241" s="762">
        <f t="shared" si="515"/>
        <v>45245.405701504991</v>
      </c>
      <c r="AY241" s="717" t="s">
        <v>231</v>
      </c>
      <c r="AZ241" s="717">
        <f t="shared" si="516"/>
        <v>3664877.8618219038</v>
      </c>
      <c r="BA241" s="717">
        <f t="shared" si="517"/>
        <v>137432.91981832139</v>
      </c>
      <c r="BB241" s="717"/>
      <c r="BC241" s="717">
        <f t="shared" si="481"/>
        <v>33600</v>
      </c>
      <c r="BD241" s="717">
        <f t="shared" si="518"/>
        <v>3835910.7816402251</v>
      </c>
      <c r="BE241" s="717"/>
      <c r="BF241" s="717">
        <f t="shared" si="519"/>
        <v>3835910.7816402251</v>
      </c>
      <c r="BG241" s="1209"/>
      <c r="BH241" s="717">
        <f t="shared" si="520"/>
        <v>3835910.7816402251</v>
      </c>
      <c r="BI241" s="717"/>
      <c r="BJ241" s="717">
        <f t="shared" si="521"/>
        <v>3835910.7816402251</v>
      </c>
      <c r="BK241" s="717"/>
      <c r="BL241" s="717">
        <f t="shared" si="522"/>
        <v>3835910.7816402251</v>
      </c>
      <c r="BM241" s="717"/>
      <c r="BN241" s="717">
        <f t="shared" si="523"/>
        <v>3835910.7816402251</v>
      </c>
      <c r="BO241" s="717"/>
      <c r="BP241" s="717">
        <f t="shared" si="482"/>
        <v>3835910.7816402251</v>
      </c>
      <c r="BQ241" s="717"/>
      <c r="BR241" s="717">
        <f t="shared" si="584"/>
        <v>3835910.7816402251</v>
      </c>
      <c r="BS241" s="717"/>
      <c r="BT241" s="717">
        <f t="shared" si="524"/>
        <v>3835910.7816402251</v>
      </c>
      <c r="BU241" s="717"/>
      <c r="BV241" s="1235">
        <f t="shared" si="585"/>
        <v>51400</v>
      </c>
      <c r="BW241" s="717">
        <f t="shared" si="525"/>
        <v>3887310.7816402251</v>
      </c>
      <c r="BX241" s="717"/>
      <c r="BY241" s="717">
        <f t="shared" si="526"/>
        <v>3887310.7816402251</v>
      </c>
      <c r="BZ241" s="1194">
        <f t="shared" si="527"/>
        <v>3887310.7816402251</v>
      </c>
      <c r="CA241" s="1194">
        <f t="shared" si="528"/>
        <v>3007310.7816402251</v>
      </c>
      <c r="CB241" s="1194">
        <v>40000</v>
      </c>
      <c r="CC241" s="1194">
        <f t="shared" si="529"/>
        <v>880000</v>
      </c>
      <c r="CD241" s="1194">
        <f t="shared" si="530"/>
        <v>105600</v>
      </c>
      <c r="CE241" s="1194">
        <f t="shared" si="531"/>
        <v>985600</v>
      </c>
      <c r="CF241" s="1200">
        <f t="shared" si="532"/>
        <v>3992910.7816402251</v>
      </c>
      <c r="CG241" s="757">
        <f t="shared" si="533"/>
        <v>3992910.7816402251</v>
      </c>
      <c r="CH241" s="758">
        <f t="shared" si="534"/>
        <v>0</v>
      </c>
      <c r="CI241" s="757">
        <f t="shared" si="483"/>
        <v>409273.35511812306</v>
      </c>
      <c r="CJ241" s="757">
        <f t="shared" si="484"/>
        <v>99822.769541005633</v>
      </c>
      <c r="CK241" s="759">
        <f t="shared" si="593"/>
        <v>4502006.9062993536</v>
      </c>
      <c r="CL241" s="764">
        <f t="shared" si="535"/>
        <v>0.125</v>
      </c>
      <c r="CM241" s="757">
        <f t="shared" si="536"/>
        <v>562750.8632874192</v>
      </c>
      <c r="CN241" s="757">
        <f t="shared" si="578"/>
        <v>30000</v>
      </c>
      <c r="CO241" s="757">
        <f t="shared" si="537"/>
        <v>532750.8632874192</v>
      </c>
      <c r="CP241" s="755">
        <f t="shared" si="538"/>
        <v>29</v>
      </c>
      <c r="CQ241" s="757">
        <f t="shared" si="581"/>
        <v>18370.719423704111</v>
      </c>
      <c r="CR241" s="764">
        <f t="shared" si="539"/>
        <v>0.875</v>
      </c>
      <c r="CS241" s="757">
        <f t="shared" si="540"/>
        <v>3939256.0430119345</v>
      </c>
      <c r="CT241" s="1101">
        <f t="shared" si="541"/>
        <v>30541.010172773727</v>
      </c>
      <c r="CU241" s="1101">
        <f t="shared" si="542"/>
        <v>35407.14697585391</v>
      </c>
      <c r="CV241" s="1101">
        <f t="shared" si="543"/>
        <v>45738.102840689047</v>
      </c>
      <c r="CW241" s="1141">
        <f t="shared" si="485"/>
        <v>78001.991008951009</v>
      </c>
      <c r="CX241" s="1152">
        <f t="shared" si="544"/>
        <v>319998.28935546725</v>
      </c>
      <c r="CY241" s="1152">
        <f t="shared" si="545"/>
        <v>126621.76429679542</v>
      </c>
      <c r="CZ241" s="1152">
        <f t="shared" si="546"/>
        <v>91457.106982886777</v>
      </c>
      <c r="DA241" s="1152">
        <f t="shared" si="547"/>
        <v>69603.068881720697</v>
      </c>
      <c r="DB241" s="1143">
        <f t="shared" si="486"/>
        <v>0.1844144214644044</v>
      </c>
      <c r="DC241" s="1143">
        <f t="shared" si="548"/>
        <v>0.32773466780258786</v>
      </c>
      <c r="DD241" s="1098" t="s">
        <v>232</v>
      </c>
      <c r="DE241" s="1144"/>
      <c r="DF241" s="705"/>
      <c r="DG241" s="765">
        <f t="shared" si="579"/>
        <v>46082</v>
      </c>
      <c r="DH241" s="1116">
        <f t="shared" si="487"/>
        <v>28</v>
      </c>
      <c r="DI241" s="497"/>
      <c r="DJ241" s="1117">
        <f t="shared" si="549"/>
        <v>46147</v>
      </c>
      <c r="DK241" s="1116">
        <f t="shared" si="550"/>
        <v>30</v>
      </c>
      <c r="DL241" s="766" t="s">
        <v>233</v>
      </c>
      <c r="DM241" s="766" t="s">
        <v>234</v>
      </c>
      <c r="DN241" s="767">
        <f t="shared" si="488"/>
        <v>28165.111641836309</v>
      </c>
      <c r="DO241" s="767">
        <f t="shared" si="489"/>
        <v>619632.45612039883</v>
      </c>
      <c r="DP241" s="768">
        <f t="shared" si="490"/>
        <v>0.20654415204013293</v>
      </c>
      <c r="DR241" s="767">
        <f t="shared" si="491"/>
        <v>3992910.7816402251</v>
      </c>
      <c r="DS241" s="767">
        <f>SUM('[6]INTERNAL PRICELIST'!M241)</f>
        <v>0</v>
      </c>
      <c r="DT241" s="767">
        <f t="shared" si="551"/>
        <v>3992910.7816402251</v>
      </c>
      <c r="DV241" s="951">
        <f t="shared" si="492"/>
        <v>181495.94462001024</v>
      </c>
      <c r="DX241" s="781"/>
      <c r="DY241" s="782"/>
      <c r="DZ241" s="781"/>
      <c r="EA241" s="775"/>
      <c r="ED241" s="755" t="s">
        <v>673</v>
      </c>
      <c r="EE241" s="777" t="b">
        <f t="shared" si="493"/>
        <v>1</v>
      </c>
      <c r="EF241" s="777"/>
      <c r="EG241" s="777"/>
      <c r="EH241" s="1203"/>
      <c r="EP241" s="1230" t="s">
        <v>236</v>
      </c>
      <c r="EQ241" s="1145" t="s">
        <v>236</v>
      </c>
      <c r="ER241" s="753" t="b">
        <f t="shared" si="552"/>
        <v>1</v>
      </c>
      <c r="EU241" s="770">
        <v>2606860</v>
      </c>
      <c r="EV241" s="771" t="s">
        <v>236</v>
      </c>
      <c r="EY241" s="775">
        <v>3100206.5987977991</v>
      </c>
      <c r="FJ241" s="994">
        <v>0.125</v>
      </c>
      <c r="FK241" s="993">
        <v>11173.02953930404</v>
      </c>
      <c r="FL241" s="993">
        <v>11475.003310636581</v>
      </c>
      <c r="FM241" s="497"/>
      <c r="FN241" s="993">
        <f t="shared" si="494"/>
        <v>4502006.9062993536</v>
      </c>
      <c r="FO241" s="994">
        <f t="shared" si="553"/>
        <v>0.15</v>
      </c>
      <c r="FP241" s="775">
        <f t="shared" si="495"/>
        <v>675301.03594490304</v>
      </c>
      <c r="FQ241" s="993">
        <f t="shared" si="496"/>
        <v>30000</v>
      </c>
      <c r="FR241" s="775">
        <f t="shared" si="554"/>
        <v>645301.03594490304</v>
      </c>
      <c r="FS241" s="497">
        <f t="shared" si="555"/>
        <v>40</v>
      </c>
      <c r="FT241" s="775">
        <f t="shared" si="556"/>
        <v>16132.525898622576</v>
      </c>
      <c r="FU241" s="497"/>
      <c r="FV241" s="993">
        <f t="shared" si="557"/>
        <v>4502006.9062993536</v>
      </c>
      <c r="FW241" s="705">
        <f t="shared" si="558"/>
        <v>450200.69062993536</v>
      </c>
      <c r="FX241" s="705">
        <f t="shared" si="559"/>
        <v>112550.17265748384</v>
      </c>
      <c r="FY241" s="705">
        <v>15000</v>
      </c>
      <c r="FZ241" s="705">
        <f t="shared" si="560"/>
        <v>435200.69062993536</v>
      </c>
      <c r="GA241" s="497">
        <f t="shared" si="561"/>
        <v>46</v>
      </c>
      <c r="GB241" s="775">
        <f t="shared" si="562"/>
        <v>9460.8845789116385</v>
      </c>
      <c r="GC241" s="497"/>
      <c r="GD241" s="497"/>
      <c r="GH241" s="1095">
        <f t="shared" si="461"/>
        <v>4502006.9062993536</v>
      </c>
      <c r="GI241" s="1098">
        <f t="shared" si="462"/>
        <v>0.125</v>
      </c>
      <c r="GJ241" s="1095">
        <f t="shared" si="463"/>
        <v>562750.8632874192</v>
      </c>
      <c r="GK241" s="1095">
        <f t="shared" si="464"/>
        <v>30000</v>
      </c>
      <c r="GL241" s="1095">
        <f t="shared" si="465"/>
        <v>532750.8632874192</v>
      </c>
      <c r="GM241" s="1095">
        <f t="shared" si="466"/>
        <v>29</v>
      </c>
      <c r="GN241" s="1095">
        <f t="shared" si="467"/>
        <v>18370.719423704111</v>
      </c>
      <c r="GO241" s="1098">
        <f t="shared" si="468"/>
        <v>0.875</v>
      </c>
      <c r="GP241" s="1095">
        <f t="shared" si="469"/>
        <v>3939256.0430119345</v>
      </c>
      <c r="GQ241" s="1095">
        <f t="shared" si="470"/>
        <v>30541.010172773727</v>
      </c>
      <c r="GR241" s="1095">
        <f t="shared" si="471"/>
        <v>35407.14697585391</v>
      </c>
      <c r="GS241" s="1095">
        <f t="shared" si="472"/>
        <v>45738.102840689047</v>
      </c>
      <c r="GT241" s="1095">
        <f t="shared" si="473"/>
        <v>78001.991008951009</v>
      </c>
      <c r="GU241" s="497"/>
      <c r="GV241" s="1095">
        <f t="shared" si="563"/>
        <v>4502006.9062993536</v>
      </c>
      <c r="GW241" s="1098">
        <f t="shared" si="564"/>
        <v>0.125</v>
      </c>
      <c r="GX241" s="1095">
        <f t="shared" si="565"/>
        <v>562750.8632874192</v>
      </c>
      <c r="GY241" s="1095">
        <f t="shared" si="566"/>
        <v>30000</v>
      </c>
      <c r="GZ241" s="1095">
        <f t="shared" si="567"/>
        <v>532750.8632874192</v>
      </c>
      <c r="HA241" s="1106">
        <f t="shared" si="568"/>
        <v>48</v>
      </c>
      <c r="HB241" s="770">
        <f t="shared" si="569"/>
        <v>11098.976318487899</v>
      </c>
      <c r="HC241" s="1098">
        <f t="shared" si="570"/>
        <v>0.875</v>
      </c>
      <c r="HD241" s="1102">
        <f t="shared" si="571"/>
        <v>3939256.0430119345</v>
      </c>
      <c r="HE241" s="1101">
        <f t="shared" si="572"/>
        <v>30541.010172773727</v>
      </c>
      <c r="HF241" s="1101">
        <f t="shared" si="573"/>
        <v>35407.14697585391</v>
      </c>
      <c r="HG241" s="1101">
        <f t="shared" si="574"/>
        <v>45738.102840689047</v>
      </c>
      <c r="HH241" s="1101">
        <f t="shared" si="575"/>
        <v>78001.991008951009</v>
      </c>
      <c r="HI241" s="497"/>
      <c r="HJ241" s="1102">
        <f t="shared" si="576"/>
        <v>-7271.7431052162119</v>
      </c>
      <c r="HL241" s="775"/>
      <c r="HN241" s="775"/>
      <c r="HO241" s="775"/>
      <c r="HQ241" s="702"/>
      <c r="HR241" s="1171"/>
      <c r="HS241" s="702"/>
      <c r="HT241" s="1171"/>
    </row>
    <row r="242" spans="1:228" ht="14.25" hidden="1" customHeight="1">
      <c r="A242" s="753">
        <f t="shared" si="577"/>
        <v>236</v>
      </c>
      <c r="B242" s="753" t="s">
        <v>236</v>
      </c>
      <c r="C242" s="753">
        <f t="shared" si="591"/>
        <v>19</v>
      </c>
      <c r="D242" s="753" t="s">
        <v>281</v>
      </c>
      <c r="E242" s="717" t="str">
        <f t="shared" si="497"/>
        <v>10th Floor</v>
      </c>
      <c r="F242" s="754"/>
      <c r="G242" s="756" t="s">
        <v>674</v>
      </c>
      <c r="H242" s="756"/>
      <c r="I242" s="755" t="s">
        <v>229</v>
      </c>
      <c r="J242" s="757">
        <v>22</v>
      </c>
      <c r="K242" s="758"/>
      <c r="L242" s="759" t="s">
        <v>69</v>
      </c>
      <c r="M242" s="760" t="s">
        <v>68</v>
      </c>
      <c r="N242" s="761">
        <f t="shared" si="498"/>
        <v>106005.26567735759</v>
      </c>
      <c r="O242" s="762">
        <f t="shared" si="499"/>
        <v>2332115.8449018667</v>
      </c>
      <c r="P242" s="762">
        <f t="shared" si="500"/>
        <v>22400</v>
      </c>
      <c r="Q242" s="762">
        <f t="shared" si="474"/>
        <v>50000</v>
      </c>
      <c r="R242" s="762"/>
      <c r="S242" s="762"/>
      <c r="T242" s="762"/>
      <c r="U242" s="762"/>
      <c r="V242" s="762"/>
      <c r="W242" s="762"/>
      <c r="X242" s="762"/>
      <c r="Y242" s="762">
        <f t="shared" si="592"/>
        <v>120000</v>
      </c>
      <c r="Z242" s="762">
        <f t="shared" si="475"/>
        <v>142461</v>
      </c>
      <c r="AA242" s="762">
        <v>45722.732758620688</v>
      </c>
      <c r="AB242" s="762"/>
      <c r="AC242" s="762"/>
      <c r="AD242" s="763">
        <f t="shared" si="501"/>
        <v>380583.7327586207</v>
      </c>
      <c r="AE242" s="763">
        <f t="shared" si="476"/>
        <v>2712699.5776604875</v>
      </c>
      <c r="AF242" s="762">
        <f t="shared" si="477"/>
        <v>67817.489441512196</v>
      </c>
      <c r="AG242" s="762">
        <f t="shared" si="502"/>
        <v>2780517.0671019997</v>
      </c>
      <c r="AH242" s="762">
        <f t="shared" si="478"/>
        <v>69512.92667755</v>
      </c>
      <c r="AI242" s="762">
        <f t="shared" si="503"/>
        <v>2850029.9937795498</v>
      </c>
      <c r="AJ242" s="762">
        <f t="shared" si="504"/>
        <v>142501.49968897749</v>
      </c>
      <c r="AK242" s="762">
        <f t="shared" si="505"/>
        <v>2992531.4934685272</v>
      </c>
      <c r="AL242" s="762">
        <f t="shared" si="506"/>
        <v>29925.314934685273</v>
      </c>
      <c r="AM242" s="762">
        <f t="shared" si="507"/>
        <v>27537.409960060559</v>
      </c>
      <c r="AN242" s="762"/>
      <c r="AO242" s="763">
        <f t="shared" si="508"/>
        <v>3049994.218363273</v>
      </c>
      <c r="AP242" s="763">
        <f t="shared" si="509"/>
        <v>503249.04602994007</v>
      </c>
      <c r="AQ242" s="763">
        <f t="shared" si="510"/>
        <v>3553243.2643932132</v>
      </c>
      <c r="AR242" s="1178">
        <f t="shared" si="479"/>
        <v>3000000</v>
      </c>
      <c r="AS242" s="1178">
        <f t="shared" si="511"/>
        <v>25147.421108782419</v>
      </c>
      <c r="AT242" s="1178">
        <f t="shared" si="512"/>
        <v>553243.26439321321</v>
      </c>
      <c r="AU242" s="1178">
        <f t="shared" si="480"/>
        <v>66389.191727185578</v>
      </c>
      <c r="AV242" s="1178">
        <f t="shared" si="513"/>
        <v>619632.45612039883</v>
      </c>
      <c r="AW242" s="1178">
        <f t="shared" si="514"/>
        <v>3619632.4561203988</v>
      </c>
      <c r="AX242" s="762">
        <f t="shared" si="515"/>
        <v>45245.405701504991</v>
      </c>
      <c r="AY242" s="717" t="s">
        <v>231</v>
      </c>
      <c r="AZ242" s="717">
        <f t="shared" si="516"/>
        <v>3664877.8618219038</v>
      </c>
      <c r="BA242" s="717">
        <f t="shared" si="517"/>
        <v>137432.91981832139</v>
      </c>
      <c r="BB242" s="717"/>
      <c r="BC242" s="717">
        <f t="shared" si="481"/>
        <v>33600</v>
      </c>
      <c r="BD242" s="717">
        <f t="shared" si="518"/>
        <v>3835910.7816402251</v>
      </c>
      <c r="BE242" s="717"/>
      <c r="BF242" s="717">
        <f t="shared" si="519"/>
        <v>3835910.7816402251</v>
      </c>
      <c r="BG242" s="1209"/>
      <c r="BH242" s="717">
        <f t="shared" si="520"/>
        <v>3835910.7816402251</v>
      </c>
      <c r="BI242" s="717"/>
      <c r="BJ242" s="717">
        <f t="shared" si="521"/>
        <v>3835910.7816402251</v>
      </c>
      <c r="BK242" s="717"/>
      <c r="BL242" s="717">
        <f t="shared" si="522"/>
        <v>3835910.7816402251</v>
      </c>
      <c r="BM242" s="717"/>
      <c r="BN242" s="717">
        <f t="shared" si="523"/>
        <v>3835910.7816402251</v>
      </c>
      <c r="BO242" s="717"/>
      <c r="BP242" s="717">
        <f t="shared" si="482"/>
        <v>3835910.7816402251</v>
      </c>
      <c r="BQ242" s="717"/>
      <c r="BR242" s="717">
        <f t="shared" si="584"/>
        <v>3835910.7816402251</v>
      </c>
      <c r="BS242" s="717"/>
      <c r="BT242" s="717">
        <f t="shared" si="524"/>
        <v>3835910.7816402251</v>
      </c>
      <c r="BU242" s="717"/>
      <c r="BV242" s="1235">
        <f t="shared" si="585"/>
        <v>51400</v>
      </c>
      <c r="BW242" s="717">
        <f t="shared" si="525"/>
        <v>3887310.7816402251</v>
      </c>
      <c r="BX242" s="717"/>
      <c r="BY242" s="717">
        <f t="shared" si="526"/>
        <v>3887310.7816402251</v>
      </c>
      <c r="BZ242" s="1194">
        <f t="shared" si="527"/>
        <v>3887310.7816402251</v>
      </c>
      <c r="CA242" s="1194">
        <f t="shared" si="528"/>
        <v>3007310.7816402251</v>
      </c>
      <c r="CB242" s="1194">
        <v>40000</v>
      </c>
      <c r="CC242" s="1194">
        <f t="shared" si="529"/>
        <v>880000</v>
      </c>
      <c r="CD242" s="1194">
        <f t="shared" si="530"/>
        <v>105600</v>
      </c>
      <c r="CE242" s="1194">
        <f t="shared" si="531"/>
        <v>985600</v>
      </c>
      <c r="CF242" s="1200">
        <f t="shared" si="532"/>
        <v>3992910.7816402251</v>
      </c>
      <c r="CG242" s="757">
        <f t="shared" si="533"/>
        <v>3992910.7816402251</v>
      </c>
      <c r="CH242" s="758">
        <f t="shared" si="534"/>
        <v>0</v>
      </c>
      <c r="CI242" s="757">
        <f t="shared" si="483"/>
        <v>409273.35511812306</v>
      </c>
      <c r="CJ242" s="757">
        <f t="shared" si="484"/>
        <v>99822.769541005633</v>
      </c>
      <c r="CK242" s="759">
        <f t="shared" si="593"/>
        <v>4502006.9062993536</v>
      </c>
      <c r="CL242" s="764">
        <f t="shared" si="535"/>
        <v>0.125</v>
      </c>
      <c r="CM242" s="757">
        <f t="shared" si="536"/>
        <v>562750.8632874192</v>
      </c>
      <c r="CN242" s="757">
        <f t="shared" si="578"/>
        <v>30000</v>
      </c>
      <c r="CO242" s="757">
        <f t="shared" si="537"/>
        <v>532750.8632874192</v>
      </c>
      <c r="CP242" s="755">
        <f t="shared" si="538"/>
        <v>29</v>
      </c>
      <c r="CQ242" s="757">
        <f t="shared" si="581"/>
        <v>18370.719423704111</v>
      </c>
      <c r="CR242" s="764">
        <f t="shared" si="539"/>
        <v>0.875</v>
      </c>
      <c r="CS242" s="757">
        <f t="shared" si="540"/>
        <v>3939256.0430119345</v>
      </c>
      <c r="CT242" s="1101">
        <f t="shared" si="541"/>
        <v>30541.010172773727</v>
      </c>
      <c r="CU242" s="1101">
        <f t="shared" si="542"/>
        <v>35407.14697585391</v>
      </c>
      <c r="CV242" s="1101">
        <f t="shared" si="543"/>
        <v>45738.102840689047</v>
      </c>
      <c r="CW242" s="1141">
        <f t="shared" si="485"/>
        <v>78001.991008951009</v>
      </c>
      <c r="CX242" s="1152">
        <f t="shared" si="544"/>
        <v>319998.28935546725</v>
      </c>
      <c r="CY242" s="1152">
        <f t="shared" si="545"/>
        <v>126621.76429679542</v>
      </c>
      <c r="CZ242" s="1152">
        <f t="shared" si="546"/>
        <v>91457.106982886777</v>
      </c>
      <c r="DA242" s="1152">
        <f t="shared" si="547"/>
        <v>69603.068881720697</v>
      </c>
      <c r="DB242" s="1143">
        <f t="shared" si="486"/>
        <v>0.1844144214644044</v>
      </c>
      <c r="DC242" s="1143">
        <f t="shared" si="548"/>
        <v>0.32773466780258786</v>
      </c>
      <c r="DD242" s="1098" t="s">
        <v>232</v>
      </c>
      <c r="DE242" s="1144"/>
      <c r="DF242" s="705"/>
      <c r="DG242" s="765">
        <f t="shared" si="579"/>
        <v>46082</v>
      </c>
      <c r="DH242" s="1116">
        <f t="shared" si="487"/>
        <v>28</v>
      </c>
      <c r="DI242" s="497"/>
      <c r="DJ242" s="1117">
        <f t="shared" si="549"/>
        <v>46147</v>
      </c>
      <c r="DK242" s="1116">
        <f t="shared" si="550"/>
        <v>30</v>
      </c>
      <c r="DL242" s="766" t="s">
        <v>233</v>
      </c>
      <c r="DM242" s="766" t="s">
        <v>234</v>
      </c>
      <c r="DN242" s="767">
        <f t="shared" si="488"/>
        <v>28165.111641836309</v>
      </c>
      <c r="DO242" s="767">
        <f t="shared" si="489"/>
        <v>619632.45612039883</v>
      </c>
      <c r="DP242" s="768">
        <f t="shared" si="490"/>
        <v>0.20654415204013293</v>
      </c>
      <c r="DR242" s="767">
        <f t="shared" si="491"/>
        <v>3992910.7816402251</v>
      </c>
      <c r="DS242" s="767">
        <f>SUM('[6]INTERNAL PRICELIST'!M242)</f>
        <v>0</v>
      </c>
      <c r="DT242" s="767">
        <f t="shared" si="551"/>
        <v>3992910.7816402251</v>
      </c>
      <c r="DV242" s="951">
        <f t="shared" si="492"/>
        <v>181495.94462001024</v>
      </c>
      <c r="DX242" s="781"/>
      <c r="DY242" s="782"/>
      <c r="DZ242" s="781"/>
      <c r="EA242" s="775"/>
      <c r="ED242" s="755" t="s">
        <v>674</v>
      </c>
      <c r="EE242" s="777" t="b">
        <f t="shared" si="493"/>
        <v>1</v>
      </c>
      <c r="EF242" s="1123" t="s">
        <v>675</v>
      </c>
      <c r="EG242" s="1123" t="s">
        <v>654</v>
      </c>
      <c r="EH242" s="1203"/>
      <c r="EP242" s="1230" t="s">
        <v>236</v>
      </c>
      <c r="EQ242" s="1145" t="s">
        <v>236</v>
      </c>
      <c r="ER242" s="753" t="b">
        <f t="shared" si="552"/>
        <v>1</v>
      </c>
      <c r="EU242" s="770">
        <v>2468160</v>
      </c>
      <c r="EV242" s="771" t="s">
        <v>236</v>
      </c>
      <c r="EY242" s="775">
        <v>3100206.5987977991</v>
      </c>
      <c r="FJ242" s="994">
        <v>0.125</v>
      </c>
      <c r="FK242" s="993">
        <v>11173.02953930404</v>
      </c>
      <c r="FL242" s="993">
        <v>11475.003310636581</v>
      </c>
      <c r="FM242" s="497"/>
      <c r="FN242" s="993">
        <f t="shared" si="494"/>
        <v>4502006.9062993536</v>
      </c>
      <c r="FO242" s="994">
        <f t="shared" si="553"/>
        <v>0.15</v>
      </c>
      <c r="FP242" s="775">
        <f t="shared" si="495"/>
        <v>675301.03594490304</v>
      </c>
      <c r="FQ242" s="993">
        <f t="shared" si="496"/>
        <v>30000</v>
      </c>
      <c r="FR242" s="775">
        <f t="shared" si="554"/>
        <v>645301.03594490304</v>
      </c>
      <c r="FS242" s="497">
        <f t="shared" si="555"/>
        <v>40</v>
      </c>
      <c r="FT242" s="775">
        <f t="shared" si="556"/>
        <v>16132.525898622576</v>
      </c>
      <c r="FU242" s="497"/>
      <c r="FV242" s="993">
        <f t="shared" si="557"/>
        <v>4502006.9062993536</v>
      </c>
      <c r="FW242" s="705">
        <f t="shared" si="558"/>
        <v>450200.69062993536</v>
      </c>
      <c r="FX242" s="705">
        <f t="shared" si="559"/>
        <v>112550.17265748384</v>
      </c>
      <c r="FY242" s="705">
        <v>15000</v>
      </c>
      <c r="FZ242" s="705">
        <f t="shared" si="560"/>
        <v>435200.69062993536</v>
      </c>
      <c r="GA242" s="497">
        <f t="shared" si="561"/>
        <v>46</v>
      </c>
      <c r="GB242" s="775">
        <f t="shared" si="562"/>
        <v>9460.8845789116385</v>
      </c>
      <c r="GC242" s="497"/>
      <c r="GD242" s="497"/>
      <c r="GH242" s="1095">
        <f t="shared" si="461"/>
        <v>4502006.9062993536</v>
      </c>
      <c r="GI242" s="1098">
        <f t="shared" si="462"/>
        <v>0.125</v>
      </c>
      <c r="GJ242" s="1095">
        <f t="shared" si="463"/>
        <v>562750.8632874192</v>
      </c>
      <c r="GK242" s="1095">
        <f t="shared" si="464"/>
        <v>30000</v>
      </c>
      <c r="GL242" s="1095">
        <f t="shared" si="465"/>
        <v>532750.8632874192</v>
      </c>
      <c r="GM242" s="1095">
        <f t="shared" si="466"/>
        <v>29</v>
      </c>
      <c r="GN242" s="1095">
        <f t="shared" si="467"/>
        <v>18370.719423704111</v>
      </c>
      <c r="GO242" s="1098">
        <f t="shared" si="468"/>
        <v>0.875</v>
      </c>
      <c r="GP242" s="1095">
        <f t="shared" si="469"/>
        <v>3939256.0430119345</v>
      </c>
      <c r="GQ242" s="1095">
        <f t="shared" si="470"/>
        <v>30541.010172773727</v>
      </c>
      <c r="GR242" s="1095">
        <f t="shared" si="471"/>
        <v>35407.14697585391</v>
      </c>
      <c r="GS242" s="1095">
        <f t="shared" si="472"/>
        <v>45738.102840689047</v>
      </c>
      <c r="GT242" s="1095">
        <f t="shared" si="473"/>
        <v>78001.991008951009</v>
      </c>
      <c r="GU242" s="497"/>
      <c r="GV242" s="1095">
        <f t="shared" si="563"/>
        <v>4502006.9062993536</v>
      </c>
      <c r="GW242" s="1098">
        <f t="shared" si="564"/>
        <v>0.125</v>
      </c>
      <c r="GX242" s="1095">
        <f t="shared" si="565"/>
        <v>562750.8632874192</v>
      </c>
      <c r="GY242" s="1095">
        <f t="shared" si="566"/>
        <v>30000</v>
      </c>
      <c r="GZ242" s="1095">
        <f t="shared" si="567"/>
        <v>532750.8632874192</v>
      </c>
      <c r="HA242" s="1106">
        <f t="shared" si="568"/>
        <v>48</v>
      </c>
      <c r="HB242" s="770">
        <f t="shared" si="569"/>
        <v>11098.976318487899</v>
      </c>
      <c r="HC242" s="1098">
        <f t="shared" si="570"/>
        <v>0.875</v>
      </c>
      <c r="HD242" s="1102">
        <f t="shared" si="571"/>
        <v>3939256.0430119345</v>
      </c>
      <c r="HE242" s="1101">
        <f t="shared" si="572"/>
        <v>30541.010172773727</v>
      </c>
      <c r="HF242" s="1101">
        <f t="shared" si="573"/>
        <v>35407.14697585391</v>
      </c>
      <c r="HG242" s="1101">
        <f t="shared" si="574"/>
        <v>45738.102840689047</v>
      </c>
      <c r="HH242" s="1101">
        <f t="shared" si="575"/>
        <v>78001.991008951009</v>
      </c>
      <c r="HI242" s="497"/>
      <c r="HJ242" s="1102">
        <f t="shared" si="576"/>
        <v>-7271.7431052162119</v>
      </c>
      <c r="HL242" s="775"/>
      <c r="HN242" s="775"/>
      <c r="HO242" s="775"/>
      <c r="HQ242" s="702"/>
      <c r="HR242" s="1171"/>
      <c r="HS242" s="702"/>
      <c r="HT242" s="1171"/>
    </row>
    <row r="243" spans="1:228" ht="14.25" hidden="1" customHeight="1">
      <c r="A243" s="753">
        <f t="shared" si="577"/>
        <v>237</v>
      </c>
      <c r="B243" s="753" t="s">
        <v>236</v>
      </c>
      <c r="C243" s="753">
        <f t="shared" si="591"/>
        <v>20</v>
      </c>
      <c r="D243" s="753" t="s">
        <v>281</v>
      </c>
      <c r="E243" s="717" t="str">
        <f t="shared" si="497"/>
        <v>10th Floor</v>
      </c>
      <c r="F243" s="754"/>
      <c r="G243" s="756" t="s">
        <v>676</v>
      </c>
      <c r="H243" s="756"/>
      <c r="I243" s="755" t="s">
        <v>229</v>
      </c>
      <c r="J243" s="757">
        <v>22</v>
      </c>
      <c r="K243" s="758"/>
      <c r="L243" s="759" t="s">
        <v>69</v>
      </c>
      <c r="M243" s="760" t="s">
        <v>68</v>
      </c>
      <c r="N243" s="761">
        <f t="shared" si="498"/>
        <v>106005.26567735759</v>
      </c>
      <c r="O243" s="762">
        <f t="shared" si="499"/>
        <v>2332115.8449018667</v>
      </c>
      <c r="P243" s="762">
        <f t="shared" si="500"/>
        <v>22400</v>
      </c>
      <c r="Q243" s="762">
        <f t="shared" si="474"/>
        <v>50000</v>
      </c>
      <c r="R243" s="762"/>
      <c r="S243" s="762"/>
      <c r="T243" s="762"/>
      <c r="U243" s="762"/>
      <c r="V243" s="762"/>
      <c r="W243" s="762"/>
      <c r="X243" s="762"/>
      <c r="Y243" s="762">
        <f t="shared" si="592"/>
        <v>120000</v>
      </c>
      <c r="Z243" s="762">
        <f t="shared" si="475"/>
        <v>142461</v>
      </c>
      <c r="AA243" s="762">
        <v>45722.732758620688</v>
      </c>
      <c r="AB243" s="762"/>
      <c r="AC243" s="762"/>
      <c r="AD243" s="763">
        <f t="shared" si="501"/>
        <v>380583.7327586207</v>
      </c>
      <c r="AE243" s="763">
        <f t="shared" si="476"/>
        <v>2712699.5776604875</v>
      </c>
      <c r="AF243" s="762">
        <f t="shared" si="477"/>
        <v>67817.489441512196</v>
      </c>
      <c r="AG243" s="762">
        <f t="shared" si="502"/>
        <v>2780517.0671019997</v>
      </c>
      <c r="AH243" s="762">
        <f t="shared" si="478"/>
        <v>69512.92667755</v>
      </c>
      <c r="AI243" s="762">
        <f t="shared" si="503"/>
        <v>2850029.9937795498</v>
      </c>
      <c r="AJ243" s="762">
        <f t="shared" si="504"/>
        <v>142501.49968897749</v>
      </c>
      <c r="AK243" s="762">
        <f t="shared" si="505"/>
        <v>2992531.4934685272</v>
      </c>
      <c r="AL243" s="762">
        <f t="shared" si="506"/>
        <v>29925.314934685273</v>
      </c>
      <c r="AM243" s="762">
        <f t="shared" si="507"/>
        <v>27537.409960060559</v>
      </c>
      <c r="AN243" s="762"/>
      <c r="AO243" s="763">
        <f t="shared" si="508"/>
        <v>3049994.218363273</v>
      </c>
      <c r="AP243" s="763">
        <f t="shared" si="509"/>
        <v>503249.04602994007</v>
      </c>
      <c r="AQ243" s="763">
        <f t="shared" si="510"/>
        <v>3553243.2643932132</v>
      </c>
      <c r="AR243" s="1178">
        <f t="shared" si="479"/>
        <v>3000000</v>
      </c>
      <c r="AS243" s="1178">
        <f t="shared" si="511"/>
        <v>25147.421108782419</v>
      </c>
      <c r="AT243" s="1178">
        <f t="shared" si="512"/>
        <v>553243.26439321321</v>
      </c>
      <c r="AU243" s="1178">
        <f t="shared" si="480"/>
        <v>66389.191727185578</v>
      </c>
      <c r="AV243" s="1178">
        <f t="shared" si="513"/>
        <v>619632.45612039883</v>
      </c>
      <c r="AW243" s="1178">
        <f t="shared" si="514"/>
        <v>3619632.4561203988</v>
      </c>
      <c r="AX243" s="762">
        <f t="shared" si="515"/>
        <v>45245.405701504991</v>
      </c>
      <c r="AY243" s="717" t="s">
        <v>231</v>
      </c>
      <c r="AZ243" s="717">
        <f t="shared" si="516"/>
        <v>3664877.8618219038</v>
      </c>
      <c r="BA243" s="717">
        <f t="shared" si="517"/>
        <v>137432.91981832139</v>
      </c>
      <c r="BB243" s="717"/>
      <c r="BC243" s="717">
        <f t="shared" si="481"/>
        <v>33600</v>
      </c>
      <c r="BD243" s="717">
        <f t="shared" si="518"/>
        <v>3835910.7816402251</v>
      </c>
      <c r="BE243" s="717"/>
      <c r="BF243" s="717">
        <f t="shared" si="519"/>
        <v>3835910.7816402251</v>
      </c>
      <c r="BG243" s="1209"/>
      <c r="BH243" s="717">
        <f t="shared" si="520"/>
        <v>3835910.7816402251</v>
      </c>
      <c r="BI243" s="717"/>
      <c r="BJ243" s="717">
        <f t="shared" si="521"/>
        <v>3835910.7816402251</v>
      </c>
      <c r="BK243" s="717"/>
      <c r="BL243" s="717">
        <f t="shared" si="522"/>
        <v>3835910.7816402251</v>
      </c>
      <c r="BM243" s="717"/>
      <c r="BN243" s="717">
        <f t="shared" si="523"/>
        <v>3835910.7816402251</v>
      </c>
      <c r="BO243" s="717"/>
      <c r="BP243" s="717">
        <f t="shared" si="482"/>
        <v>3835910.7816402251</v>
      </c>
      <c r="BQ243" s="717"/>
      <c r="BR243" s="717">
        <f t="shared" si="584"/>
        <v>3835910.7816402251</v>
      </c>
      <c r="BS243" s="717"/>
      <c r="BT243" s="717">
        <f t="shared" si="524"/>
        <v>3835910.7816402251</v>
      </c>
      <c r="BU243" s="717"/>
      <c r="BV243" s="1235">
        <f t="shared" si="585"/>
        <v>51400</v>
      </c>
      <c r="BW243" s="717">
        <f t="shared" si="525"/>
        <v>3887310.7816402251</v>
      </c>
      <c r="BX243" s="717"/>
      <c r="BY243" s="717">
        <f t="shared" si="526"/>
        <v>3887310.7816402251</v>
      </c>
      <c r="BZ243" s="1194">
        <f t="shared" si="527"/>
        <v>3887310.7816402251</v>
      </c>
      <c r="CA243" s="1194">
        <f t="shared" si="528"/>
        <v>3007310.7816402251</v>
      </c>
      <c r="CB243" s="1194">
        <v>40000</v>
      </c>
      <c r="CC243" s="1194">
        <f t="shared" si="529"/>
        <v>880000</v>
      </c>
      <c r="CD243" s="1194">
        <f t="shared" si="530"/>
        <v>105600</v>
      </c>
      <c r="CE243" s="1194">
        <f t="shared" si="531"/>
        <v>985600</v>
      </c>
      <c r="CF243" s="1200">
        <f t="shared" si="532"/>
        <v>3992910.7816402251</v>
      </c>
      <c r="CG243" s="757">
        <f t="shared" si="533"/>
        <v>3992910.7816402251</v>
      </c>
      <c r="CH243" s="758">
        <f t="shared" si="534"/>
        <v>0</v>
      </c>
      <c r="CI243" s="757">
        <f t="shared" si="483"/>
        <v>409273.35511812306</v>
      </c>
      <c r="CJ243" s="757">
        <f t="shared" si="484"/>
        <v>99822.769541005633</v>
      </c>
      <c r="CK243" s="759">
        <f t="shared" si="593"/>
        <v>4502006.9062993536</v>
      </c>
      <c r="CL243" s="764">
        <f t="shared" si="535"/>
        <v>0.125</v>
      </c>
      <c r="CM243" s="757">
        <f t="shared" si="536"/>
        <v>562750.8632874192</v>
      </c>
      <c r="CN243" s="757">
        <f t="shared" si="578"/>
        <v>30000</v>
      </c>
      <c r="CO243" s="757">
        <f t="shared" si="537"/>
        <v>532750.8632874192</v>
      </c>
      <c r="CP243" s="755">
        <f t="shared" si="538"/>
        <v>29</v>
      </c>
      <c r="CQ243" s="757">
        <f t="shared" si="581"/>
        <v>18370.719423704111</v>
      </c>
      <c r="CR243" s="764">
        <f t="shared" si="539"/>
        <v>0.875</v>
      </c>
      <c r="CS243" s="757">
        <f t="shared" si="540"/>
        <v>3939256.0430119345</v>
      </c>
      <c r="CT243" s="1101">
        <f t="shared" si="541"/>
        <v>30541.010172773727</v>
      </c>
      <c r="CU243" s="1101">
        <f t="shared" si="542"/>
        <v>35407.14697585391</v>
      </c>
      <c r="CV243" s="1101">
        <f t="shared" si="543"/>
        <v>45738.102840689047</v>
      </c>
      <c r="CW243" s="1141">
        <f t="shared" si="485"/>
        <v>78001.991008951009</v>
      </c>
      <c r="CX243" s="1152">
        <f t="shared" si="544"/>
        <v>319998.28935546725</v>
      </c>
      <c r="CY243" s="1152">
        <f t="shared" si="545"/>
        <v>126621.76429679542</v>
      </c>
      <c r="CZ243" s="1152">
        <f t="shared" si="546"/>
        <v>91457.106982886777</v>
      </c>
      <c r="DA243" s="1152">
        <f t="shared" si="547"/>
        <v>69603.068881720697</v>
      </c>
      <c r="DB243" s="1143">
        <f t="shared" si="486"/>
        <v>0.1844144214644044</v>
      </c>
      <c r="DC243" s="1143">
        <f t="shared" si="548"/>
        <v>0.32773466780258786</v>
      </c>
      <c r="DD243" s="1098" t="s">
        <v>232</v>
      </c>
      <c r="DE243" s="1144"/>
      <c r="DF243" s="705"/>
      <c r="DG243" s="765">
        <f t="shared" si="579"/>
        <v>46082</v>
      </c>
      <c r="DH243" s="1116">
        <f t="shared" si="487"/>
        <v>28</v>
      </c>
      <c r="DI243" s="497"/>
      <c r="DJ243" s="1117">
        <f t="shared" si="549"/>
        <v>46147</v>
      </c>
      <c r="DK243" s="1116">
        <f t="shared" si="550"/>
        <v>30</v>
      </c>
      <c r="DL243" s="766" t="s">
        <v>233</v>
      </c>
      <c r="DM243" s="766" t="s">
        <v>234</v>
      </c>
      <c r="DN243" s="767">
        <f t="shared" si="488"/>
        <v>28165.111641836309</v>
      </c>
      <c r="DO243" s="767">
        <f t="shared" si="489"/>
        <v>619632.45612039883</v>
      </c>
      <c r="DP243" s="768">
        <f t="shared" si="490"/>
        <v>0.20654415204013293</v>
      </c>
      <c r="DR243" s="767">
        <f t="shared" si="491"/>
        <v>3992910.7816402251</v>
      </c>
      <c r="DS243" s="767">
        <f>SUM('[6]INTERNAL PRICELIST'!M243)</f>
        <v>0</v>
      </c>
      <c r="DT243" s="767">
        <f t="shared" si="551"/>
        <v>3992910.7816402251</v>
      </c>
      <c r="DV243" s="951">
        <f t="shared" si="492"/>
        <v>181495.94462001024</v>
      </c>
      <c r="DX243" s="781"/>
      <c r="DY243" s="782"/>
      <c r="DZ243" s="781"/>
      <c r="EA243" s="775"/>
      <c r="ED243" s="755" t="s">
        <v>676</v>
      </c>
      <c r="EE243" s="777" t="b">
        <f t="shared" si="493"/>
        <v>1</v>
      </c>
      <c r="EF243" s="1123" t="s">
        <v>677</v>
      </c>
      <c r="EG243" s="1123" t="s">
        <v>654</v>
      </c>
      <c r="EH243" s="1203"/>
      <c r="EP243" s="1230" t="s">
        <v>236</v>
      </c>
      <c r="EQ243" s="1145" t="s">
        <v>236</v>
      </c>
      <c r="ER243" s="753" t="b">
        <f t="shared" si="552"/>
        <v>1</v>
      </c>
      <c r="EU243" s="770">
        <v>3133599.0274007288</v>
      </c>
      <c r="EV243" s="771" t="s">
        <v>258</v>
      </c>
      <c r="EW243" s="775">
        <f>EU243-CG243</f>
        <v>-859311.75423949631</v>
      </c>
      <c r="EY243" s="775">
        <v>3100206.5987977991</v>
      </c>
      <c r="FJ243" s="994">
        <v>0.125</v>
      </c>
      <c r="FK243" s="993">
        <v>11173.02953930404</v>
      </c>
      <c r="FL243" s="993">
        <v>11475.003310636581</v>
      </c>
      <c r="FM243" s="497"/>
      <c r="FN243" s="993">
        <f t="shared" si="494"/>
        <v>4502006.9062993536</v>
      </c>
      <c r="FO243" s="994">
        <f t="shared" si="553"/>
        <v>0.15</v>
      </c>
      <c r="FP243" s="775">
        <f t="shared" si="495"/>
        <v>675301.03594490304</v>
      </c>
      <c r="FQ243" s="993">
        <f t="shared" si="496"/>
        <v>30000</v>
      </c>
      <c r="FR243" s="775">
        <f t="shared" si="554"/>
        <v>645301.03594490304</v>
      </c>
      <c r="FS243" s="497">
        <f t="shared" si="555"/>
        <v>40</v>
      </c>
      <c r="FT243" s="775">
        <f t="shared" si="556"/>
        <v>16132.525898622576</v>
      </c>
      <c r="FU243" s="497"/>
      <c r="FV243" s="993">
        <f t="shared" si="557"/>
        <v>4502006.9062993536</v>
      </c>
      <c r="FW243" s="705">
        <f t="shared" si="558"/>
        <v>450200.69062993536</v>
      </c>
      <c r="FX243" s="705">
        <f t="shared" si="559"/>
        <v>112550.17265748384</v>
      </c>
      <c r="FY243" s="705">
        <v>15000</v>
      </c>
      <c r="FZ243" s="705">
        <f t="shared" si="560"/>
        <v>435200.69062993536</v>
      </c>
      <c r="GA243" s="497">
        <f t="shared" si="561"/>
        <v>46</v>
      </c>
      <c r="GB243" s="775">
        <f t="shared" si="562"/>
        <v>9460.8845789116385</v>
      </c>
      <c r="GC243" s="497"/>
      <c r="GD243" s="497"/>
      <c r="GH243" s="1095">
        <f t="shared" si="461"/>
        <v>4502006.9062993536</v>
      </c>
      <c r="GI243" s="1098">
        <f t="shared" si="462"/>
        <v>0.125</v>
      </c>
      <c r="GJ243" s="1095">
        <f t="shared" si="463"/>
        <v>562750.8632874192</v>
      </c>
      <c r="GK243" s="1095">
        <f t="shared" si="464"/>
        <v>30000</v>
      </c>
      <c r="GL243" s="1095">
        <f t="shared" si="465"/>
        <v>532750.8632874192</v>
      </c>
      <c r="GM243" s="1095">
        <f t="shared" si="466"/>
        <v>29</v>
      </c>
      <c r="GN243" s="1095">
        <f t="shared" si="467"/>
        <v>18370.719423704111</v>
      </c>
      <c r="GO243" s="1098">
        <f t="shared" si="468"/>
        <v>0.875</v>
      </c>
      <c r="GP243" s="1095">
        <f t="shared" si="469"/>
        <v>3939256.0430119345</v>
      </c>
      <c r="GQ243" s="1095">
        <f t="shared" si="470"/>
        <v>30541.010172773727</v>
      </c>
      <c r="GR243" s="1095">
        <f t="shared" si="471"/>
        <v>35407.14697585391</v>
      </c>
      <c r="GS243" s="1095">
        <f t="shared" si="472"/>
        <v>45738.102840689047</v>
      </c>
      <c r="GT243" s="1095">
        <f t="shared" si="473"/>
        <v>78001.991008951009</v>
      </c>
      <c r="GU243" s="497"/>
      <c r="GV243" s="1095">
        <f t="shared" si="563"/>
        <v>4502006.9062993536</v>
      </c>
      <c r="GW243" s="1098">
        <f t="shared" si="564"/>
        <v>0.125</v>
      </c>
      <c r="GX243" s="1095">
        <f t="shared" si="565"/>
        <v>562750.8632874192</v>
      </c>
      <c r="GY243" s="1095">
        <f t="shared" si="566"/>
        <v>30000</v>
      </c>
      <c r="GZ243" s="1095">
        <f t="shared" si="567"/>
        <v>532750.8632874192</v>
      </c>
      <c r="HA243" s="1106">
        <f t="shared" si="568"/>
        <v>48</v>
      </c>
      <c r="HB243" s="770">
        <f t="shared" si="569"/>
        <v>11098.976318487899</v>
      </c>
      <c r="HC243" s="1098">
        <f t="shared" si="570"/>
        <v>0.875</v>
      </c>
      <c r="HD243" s="1102">
        <f t="shared" si="571"/>
        <v>3939256.0430119345</v>
      </c>
      <c r="HE243" s="1101">
        <f t="shared" si="572"/>
        <v>30541.010172773727</v>
      </c>
      <c r="HF243" s="1101">
        <f t="shared" si="573"/>
        <v>35407.14697585391</v>
      </c>
      <c r="HG243" s="1101">
        <f t="shared" si="574"/>
        <v>45738.102840689047</v>
      </c>
      <c r="HH243" s="1101">
        <f t="shared" si="575"/>
        <v>78001.991008951009</v>
      </c>
      <c r="HI243" s="497"/>
      <c r="HJ243" s="1102">
        <f t="shared" si="576"/>
        <v>-7271.7431052162119</v>
      </c>
      <c r="HL243" s="775"/>
      <c r="HN243" s="775"/>
      <c r="HO243" s="775"/>
      <c r="HQ243" s="702"/>
      <c r="HR243" s="1171"/>
      <c r="HS243" s="702"/>
      <c r="HT243" s="1171"/>
    </row>
    <row r="244" spans="1:228" ht="14.25" hidden="1" customHeight="1">
      <c r="A244" s="753">
        <f t="shared" si="577"/>
        <v>238</v>
      </c>
      <c r="B244" s="753" t="s">
        <v>236</v>
      </c>
      <c r="C244" s="753">
        <f t="shared" si="591"/>
        <v>21</v>
      </c>
      <c r="D244" s="753" t="s">
        <v>281</v>
      </c>
      <c r="E244" s="717" t="str">
        <f t="shared" si="497"/>
        <v>10th Floor</v>
      </c>
      <c r="F244" s="754"/>
      <c r="G244" s="756" t="s">
        <v>678</v>
      </c>
      <c r="H244" s="756"/>
      <c r="I244" s="755" t="s">
        <v>229</v>
      </c>
      <c r="J244" s="757">
        <v>22</v>
      </c>
      <c r="K244" s="758"/>
      <c r="L244" s="759" t="s">
        <v>69</v>
      </c>
      <c r="M244" s="760" t="s">
        <v>68</v>
      </c>
      <c r="N244" s="761">
        <f t="shared" si="498"/>
        <v>106005.26567735759</v>
      </c>
      <c r="O244" s="762">
        <f t="shared" si="499"/>
        <v>2332115.8449018667</v>
      </c>
      <c r="P244" s="762">
        <f t="shared" si="500"/>
        <v>22400</v>
      </c>
      <c r="Q244" s="762">
        <f t="shared" si="474"/>
        <v>50000</v>
      </c>
      <c r="R244" s="762"/>
      <c r="S244" s="762"/>
      <c r="T244" s="762"/>
      <c r="U244" s="762"/>
      <c r="V244" s="762"/>
      <c r="W244" s="762"/>
      <c r="X244" s="762"/>
      <c r="Y244" s="762">
        <f t="shared" si="592"/>
        <v>120000</v>
      </c>
      <c r="Z244" s="762">
        <f t="shared" si="475"/>
        <v>142461</v>
      </c>
      <c r="AA244" s="762">
        <v>45722.732758620688</v>
      </c>
      <c r="AB244" s="762"/>
      <c r="AC244" s="762"/>
      <c r="AD244" s="763">
        <f t="shared" si="501"/>
        <v>380583.7327586207</v>
      </c>
      <c r="AE244" s="763">
        <f t="shared" si="476"/>
        <v>2712699.5776604875</v>
      </c>
      <c r="AF244" s="762">
        <f t="shared" si="477"/>
        <v>67817.489441512196</v>
      </c>
      <c r="AG244" s="762">
        <f t="shared" si="502"/>
        <v>2780517.0671019997</v>
      </c>
      <c r="AH244" s="762">
        <f t="shared" si="478"/>
        <v>69512.92667755</v>
      </c>
      <c r="AI244" s="762">
        <f t="shared" si="503"/>
        <v>2850029.9937795498</v>
      </c>
      <c r="AJ244" s="762">
        <f t="shared" si="504"/>
        <v>142501.49968897749</v>
      </c>
      <c r="AK244" s="762">
        <f t="shared" si="505"/>
        <v>2992531.4934685272</v>
      </c>
      <c r="AL244" s="762">
        <f t="shared" si="506"/>
        <v>29925.314934685273</v>
      </c>
      <c r="AM244" s="762">
        <f t="shared" si="507"/>
        <v>27537.409960060559</v>
      </c>
      <c r="AN244" s="762"/>
      <c r="AO244" s="763">
        <f t="shared" si="508"/>
        <v>3049994.218363273</v>
      </c>
      <c r="AP244" s="763">
        <f t="shared" si="509"/>
        <v>503249.04602994007</v>
      </c>
      <c r="AQ244" s="763">
        <f t="shared" si="510"/>
        <v>3553243.2643932132</v>
      </c>
      <c r="AR244" s="1178">
        <f t="shared" si="479"/>
        <v>3000000</v>
      </c>
      <c r="AS244" s="1178">
        <f t="shared" si="511"/>
        <v>25147.421108782419</v>
      </c>
      <c r="AT244" s="1178">
        <f t="shared" si="512"/>
        <v>553243.26439321321</v>
      </c>
      <c r="AU244" s="1178">
        <f t="shared" si="480"/>
        <v>66389.191727185578</v>
      </c>
      <c r="AV244" s="1178">
        <f t="shared" si="513"/>
        <v>619632.45612039883</v>
      </c>
      <c r="AW244" s="1178">
        <f t="shared" si="514"/>
        <v>3619632.4561203988</v>
      </c>
      <c r="AX244" s="762">
        <f t="shared" si="515"/>
        <v>45245.405701504991</v>
      </c>
      <c r="AY244" s="717" t="s">
        <v>231</v>
      </c>
      <c r="AZ244" s="717">
        <f t="shared" si="516"/>
        <v>3664877.8618219038</v>
      </c>
      <c r="BA244" s="717">
        <f t="shared" si="517"/>
        <v>137432.91981832139</v>
      </c>
      <c r="BB244" s="717"/>
      <c r="BC244" s="717">
        <f t="shared" si="481"/>
        <v>33600</v>
      </c>
      <c r="BD244" s="717">
        <f t="shared" si="518"/>
        <v>3835910.7816402251</v>
      </c>
      <c r="BE244" s="717"/>
      <c r="BF244" s="717">
        <f t="shared" si="519"/>
        <v>3835910.7816402251</v>
      </c>
      <c r="BG244" s="1209"/>
      <c r="BH244" s="717">
        <f t="shared" si="520"/>
        <v>3835910.7816402251</v>
      </c>
      <c r="BI244" s="717"/>
      <c r="BJ244" s="717">
        <f t="shared" si="521"/>
        <v>3835910.7816402251</v>
      </c>
      <c r="BK244" s="717"/>
      <c r="BL244" s="717">
        <f t="shared" si="522"/>
        <v>3835910.7816402251</v>
      </c>
      <c r="BM244" s="717"/>
      <c r="BN244" s="717">
        <f t="shared" si="523"/>
        <v>3835910.7816402251</v>
      </c>
      <c r="BO244" s="717"/>
      <c r="BP244" s="717">
        <f t="shared" si="482"/>
        <v>3835910.7816402251</v>
      </c>
      <c r="BQ244" s="717"/>
      <c r="BR244" s="717">
        <f t="shared" si="584"/>
        <v>3835910.7816402251</v>
      </c>
      <c r="BS244" s="717"/>
      <c r="BT244" s="717">
        <f t="shared" si="524"/>
        <v>3835910.7816402251</v>
      </c>
      <c r="BU244" s="717"/>
      <c r="BV244" s="1235">
        <f t="shared" si="585"/>
        <v>51400</v>
      </c>
      <c r="BW244" s="717">
        <f t="shared" si="525"/>
        <v>3887310.7816402251</v>
      </c>
      <c r="BX244" s="717"/>
      <c r="BY244" s="717">
        <f t="shared" si="526"/>
        <v>3887310.7816402251</v>
      </c>
      <c r="BZ244" s="1194">
        <f t="shared" si="527"/>
        <v>3887310.7816402251</v>
      </c>
      <c r="CA244" s="1194">
        <f t="shared" si="528"/>
        <v>3007310.7816402251</v>
      </c>
      <c r="CB244" s="1194">
        <v>40000</v>
      </c>
      <c r="CC244" s="1194">
        <f t="shared" si="529"/>
        <v>880000</v>
      </c>
      <c r="CD244" s="1194">
        <f t="shared" si="530"/>
        <v>105600</v>
      </c>
      <c r="CE244" s="1194">
        <f t="shared" si="531"/>
        <v>985600</v>
      </c>
      <c r="CF244" s="1200">
        <f t="shared" si="532"/>
        <v>3992910.7816402251</v>
      </c>
      <c r="CG244" s="757">
        <f t="shared" si="533"/>
        <v>3992910.7816402251</v>
      </c>
      <c r="CH244" s="758">
        <f t="shared" si="534"/>
        <v>0</v>
      </c>
      <c r="CI244" s="757">
        <f t="shared" si="483"/>
        <v>409273.35511812306</v>
      </c>
      <c r="CJ244" s="757">
        <f t="shared" si="484"/>
        <v>99822.769541005633</v>
      </c>
      <c r="CK244" s="759">
        <f t="shared" si="593"/>
        <v>4502006.9062993536</v>
      </c>
      <c r="CL244" s="764">
        <f t="shared" si="535"/>
        <v>0.125</v>
      </c>
      <c r="CM244" s="757">
        <f t="shared" si="536"/>
        <v>562750.8632874192</v>
      </c>
      <c r="CN244" s="757">
        <f t="shared" si="578"/>
        <v>30000</v>
      </c>
      <c r="CO244" s="757">
        <f t="shared" si="537"/>
        <v>532750.8632874192</v>
      </c>
      <c r="CP244" s="755">
        <f t="shared" si="538"/>
        <v>29</v>
      </c>
      <c r="CQ244" s="757">
        <f t="shared" si="581"/>
        <v>18370.719423704111</v>
      </c>
      <c r="CR244" s="764">
        <f t="shared" si="539"/>
        <v>0.875</v>
      </c>
      <c r="CS244" s="757">
        <f t="shared" si="540"/>
        <v>3939256.0430119345</v>
      </c>
      <c r="CT244" s="1101">
        <f t="shared" si="541"/>
        <v>30541.010172773727</v>
      </c>
      <c r="CU244" s="1101">
        <f t="shared" si="542"/>
        <v>35407.14697585391</v>
      </c>
      <c r="CV244" s="1101">
        <f t="shared" si="543"/>
        <v>45738.102840689047</v>
      </c>
      <c r="CW244" s="1141">
        <f t="shared" si="485"/>
        <v>78001.991008951009</v>
      </c>
      <c r="CX244" s="1152">
        <f t="shared" si="544"/>
        <v>319998.28935546725</v>
      </c>
      <c r="CY244" s="1152">
        <f t="shared" si="545"/>
        <v>126621.76429679542</v>
      </c>
      <c r="CZ244" s="1152">
        <f t="shared" si="546"/>
        <v>91457.106982886777</v>
      </c>
      <c r="DA244" s="1152">
        <f t="shared" si="547"/>
        <v>69603.068881720697</v>
      </c>
      <c r="DB244" s="1143">
        <f t="shared" si="486"/>
        <v>0.1844144214644044</v>
      </c>
      <c r="DC244" s="1143">
        <f t="shared" si="548"/>
        <v>0.32773466780258786</v>
      </c>
      <c r="DD244" s="1098" t="s">
        <v>232</v>
      </c>
      <c r="DE244" s="1144"/>
      <c r="DF244" s="705"/>
      <c r="DG244" s="765">
        <f t="shared" si="579"/>
        <v>46082</v>
      </c>
      <c r="DH244" s="1116">
        <f t="shared" si="487"/>
        <v>28</v>
      </c>
      <c r="DI244" s="497"/>
      <c r="DJ244" s="1117">
        <f t="shared" si="549"/>
        <v>46147</v>
      </c>
      <c r="DK244" s="1116">
        <f t="shared" si="550"/>
        <v>30</v>
      </c>
      <c r="DL244" s="766" t="s">
        <v>233</v>
      </c>
      <c r="DM244" s="766" t="s">
        <v>234</v>
      </c>
      <c r="DN244" s="767">
        <f t="shared" si="488"/>
        <v>28165.111641836309</v>
      </c>
      <c r="DO244" s="767">
        <f t="shared" si="489"/>
        <v>619632.45612039883</v>
      </c>
      <c r="DP244" s="768">
        <f t="shared" si="490"/>
        <v>0.20654415204013293</v>
      </c>
      <c r="DR244" s="767">
        <f t="shared" si="491"/>
        <v>3992910.7816402251</v>
      </c>
      <c r="DS244" s="767">
        <f>SUM('[6]INTERNAL PRICELIST'!M244)</f>
        <v>0</v>
      </c>
      <c r="DT244" s="767">
        <f t="shared" si="551"/>
        <v>3992910.7816402251</v>
      </c>
      <c r="DV244" s="951">
        <f t="shared" si="492"/>
        <v>181495.94462001024</v>
      </c>
      <c r="DX244" s="781"/>
      <c r="DY244" s="782"/>
      <c r="DZ244" s="781"/>
      <c r="EA244" s="775"/>
      <c r="ED244" s="755" t="s">
        <v>678</v>
      </c>
      <c r="EE244" s="777" t="b">
        <f t="shared" si="493"/>
        <v>1</v>
      </c>
      <c r="EF244" s="1123" t="s">
        <v>679</v>
      </c>
      <c r="EG244" s="1123" t="s">
        <v>654</v>
      </c>
      <c r="EH244" s="1203"/>
      <c r="EP244" s="1230" t="s">
        <v>236</v>
      </c>
      <c r="EQ244" s="1145" t="s">
        <v>236</v>
      </c>
      <c r="ER244" s="753" t="b">
        <f t="shared" si="552"/>
        <v>1</v>
      </c>
      <c r="EU244" s="770">
        <v>3133599.0274007288</v>
      </c>
      <c r="EV244" s="771" t="s">
        <v>258</v>
      </c>
      <c r="EW244" s="775">
        <f>EU244-CG244</f>
        <v>-859311.75423949631</v>
      </c>
      <c r="FJ244" s="994">
        <v>0.15</v>
      </c>
      <c r="FK244" s="993">
        <v>13486.5828155859</v>
      </c>
      <c r="FL244" s="993">
        <v>13851.085053844978</v>
      </c>
      <c r="FM244" s="497"/>
      <c r="FN244" s="993">
        <f t="shared" si="494"/>
        <v>4502006.9062993536</v>
      </c>
      <c r="FO244" s="994">
        <f t="shared" si="553"/>
        <v>0.15</v>
      </c>
      <c r="FP244" s="775">
        <f t="shared" si="495"/>
        <v>675301.03594490304</v>
      </c>
      <c r="FQ244" s="993">
        <f t="shared" si="496"/>
        <v>30000</v>
      </c>
      <c r="FR244" s="775">
        <f t="shared" si="554"/>
        <v>645301.03594490304</v>
      </c>
      <c r="FS244" s="497">
        <f t="shared" si="555"/>
        <v>40</v>
      </c>
      <c r="FT244" s="775">
        <f t="shared" si="556"/>
        <v>16132.525898622576</v>
      </c>
      <c r="FU244" s="497"/>
      <c r="FV244" s="993">
        <f t="shared" si="557"/>
        <v>4502006.9062993536</v>
      </c>
      <c r="FW244" s="705">
        <f t="shared" si="558"/>
        <v>450200.69062993536</v>
      </c>
      <c r="FX244" s="705">
        <f t="shared" si="559"/>
        <v>112550.17265748384</v>
      </c>
      <c r="FY244" s="705">
        <v>15000</v>
      </c>
      <c r="FZ244" s="705">
        <f t="shared" si="560"/>
        <v>435200.69062993536</v>
      </c>
      <c r="GA244" s="497">
        <f t="shared" si="561"/>
        <v>46</v>
      </c>
      <c r="GB244" s="775">
        <f t="shared" si="562"/>
        <v>9460.8845789116385</v>
      </c>
      <c r="GC244" s="497"/>
      <c r="GD244" s="497"/>
      <c r="GH244" s="1095">
        <f t="shared" si="461"/>
        <v>4502006.9062993536</v>
      </c>
      <c r="GI244" s="1098">
        <f t="shared" si="462"/>
        <v>0.125</v>
      </c>
      <c r="GJ244" s="1095">
        <f t="shared" si="463"/>
        <v>562750.8632874192</v>
      </c>
      <c r="GK244" s="1095">
        <f t="shared" si="464"/>
        <v>30000</v>
      </c>
      <c r="GL244" s="1095">
        <f t="shared" si="465"/>
        <v>532750.8632874192</v>
      </c>
      <c r="GM244" s="1095">
        <f t="shared" si="466"/>
        <v>29</v>
      </c>
      <c r="GN244" s="1095">
        <f t="shared" si="467"/>
        <v>18370.719423704111</v>
      </c>
      <c r="GO244" s="1098">
        <f t="shared" si="468"/>
        <v>0.875</v>
      </c>
      <c r="GP244" s="1095">
        <f t="shared" si="469"/>
        <v>3939256.0430119345</v>
      </c>
      <c r="GQ244" s="1095">
        <f t="shared" si="470"/>
        <v>30541.010172773727</v>
      </c>
      <c r="GR244" s="1095">
        <f t="shared" si="471"/>
        <v>35407.14697585391</v>
      </c>
      <c r="GS244" s="1095">
        <f t="shared" si="472"/>
        <v>45738.102840689047</v>
      </c>
      <c r="GT244" s="1095">
        <f t="shared" si="473"/>
        <v>78001.991008951009</v>
      </c>
      <c r="GU244" s="497"/>
      <c r="GV244" s="1095">
        <f t="shared" si="563"/>
        <v>4502006.9062993536</v>
      </c>
      <c r="GW244" s="1098">
        <f t="shared" si="564"/>
        <v>0.125</v>
      </c>
      <c r="GX244" s="1095">
        <f t="shared" si="565"/>
        <v>562750.8632874192</v>
      </c>
      <c r="GY244" s="1095">
        <f t="shared" si="566"/>
        <v>30000</v>
      </c>
      <c r="GZ244" s="1095">
        <f t="shared" si="567"/>
        <v>532750.8632874192</v>
      </c>
      <c r="HA244" s="1106">
        <f t="shared" si="568"/>
        <v>48</v>
      </c>
      <c r="HB244" s="770">
        <f t="shared" si="569"/>
        <v>11098.976318487899</v>
      </c>
      <c r="HC244" s="1098">
        <f t="shared" si="570"/>
        <v>0.875</v>
      </c>
      <c r="HD244" s="1102">
        <f t="shared" si="571"/>
        <v>3939256.0430119345</v>
      </c>
      <c r="HE244" s="1101">
        <f t="shared" si="572"/>
        <v>30541.010172773727</v>
      </c>
      <c r="HF244" s="1101">
        <f t="shared" si="573"/>
        <v>35407.14697585391</v>
      </c>
      <c r="HG244" s="1101">
        <f t="shared" si="574"/>
        <v>45738.102840689047</v>
      </c>
      <c r="HH244" s="1101">
        <f t="shared" si="575"/>
        <v>78001.991008951009</v>
      </c>
      <c r="HI244" s="497"/>
      <c r="HJ244" s="1102">
        <f t="shared" si="576"/>
        <v>-7271.7431052162119</v>
      </c>
      <c r="HL244" s="775"/>
      <c r="HN244" s="775"/>
      <c r="HO244" s="775"/>
      <c r="HQ244" s="702"/>
      <c r="HR244" s="1171"/>
      <c r="HS244" s="702"/>
      <c r="HT244" s="1171"/>
    </row>
    <row r="245" spans="1:228" ht="14.25" hidden="1" customHeight="1">
      <c r="A245" s="753">
        <f t="shared" si="577"/>
        <v>239</v>
      </c>
      <c r="B245" s="753" t="s">
        <v>236</v>
      </c>
      <c r="C245" s="753">
        <f t="shared" si="591"/>
        <v>22</v>
      </c>
      <c r="D245" s="753" t="s">
        <v>281</v>
      </c>
      <c r="E245" s="717" t="str">
        <f t="shared" si="497"/>
        <v>10th Floor</v>
      </c>
      <c r="F245" s="754"/>
      <c r="G245" s="756" t="s">
        <v>680</v>
      </c>
      <c r="H245" s="756"/>
      <c r="I245" s="755" t="s">
        <v>229</v>
      </c>
      <c r="J245" s="757">
        <v>22</v>
      </c>
      <c r="K245" s="758"/>
      <c r="L245" s="759" t="s">
        <v>69</v>
      </c>
      <c r="M245" s="760" t="s">
        <v>68</v>
      </c>
      <c r="N245" s="761">
        <f t="shared" si="498"/>
        <v>106005.26567735759</v>
      </c>
      <c r="O245" s="762">
        <f t="shared" si="499"/>
        <v>2332115.8449018667</v>
      </c>
      <c r="P245" s="762">
        <f t="shared" si="500"/>
        <v>22400</v>
      </c>
      <c r="Q245" s="762">
        <f t="shared" si="474"/>
        <v>50000</v>
      </c>
      <c r="R245" s="762"/>
      <c r="S245" s="762"/>
      <c r="T245" s="762"/>
      <c r="U245" s="762"/>
      <c r="V245" s="762"/>
      <c r="W245" s="762"/>
      <c r="X245" s="762"/>
      <c r="Y245" s="762">
        <f t="shared" si="592"/>
        <v>120000</v>
      </c>
      <c r="Z245" s="762">
        <f t="shared" si="475"/>
        <v>142461</v>
      </c>
      <c r="AA245" s="762">
        <v>45722.732758620688</v>
      </c>
      <c r="AB245" s="762"/>
      <c r="AC245" s="762"/>
      <c r="AD245" s="763">
        <f t="shared" si="501"/>
        <v>380583.7327586207</v>
      </c>
      <c r="AE245" s="763">
        <f t="shared" si="476"/>
        <v>2712699.5776604875</v>
      </c>
      <c r="AF245" s="762">
        <f t="shared" si="477"/>
        <v>67817.489441512196</v>
      </c>
      <c r="AG245" s="762">
        <f t="shared" si="502"/>
        <v>2780517.0671019997</v>
      </c>
      <c r="AH245" s="762">
        <f t="shared" si="478"/>
        <v>69512.92667755</v>
      </c>
      <c r="AI245" s="762">
        <f t="shared" si="503"/>
        <v>2850029.9937795498</v>
      </c>
      <c r="AJ245" s="762">
        <f t="shared" si="504"/>
        <v>142501.49968897749</v>
      </c>
      <c r="AK245" s="762">
        <f t="shared" si="505"/>
        <v>2992531.4934685272</v>
      </c>
      <c r="AL245" s="762">
        <f t="shared" si="506"/>
        <v>29925.314934685273</v>
      </c>
      <c r="AM245" s="762">
        <f t="shared" si="507"/>
        <v>27537.409960060559</v>
      </c>
      <c r="AN245" s="762"/>
      <c r="AO245" s="763">
        <f t="shared" si="508"/>
        <v>3049994.218363273</v>
      </c>
      <c r="AP245" s="763">
        <f t="shared" si="509"/>
        <v>503249.04602994007</v>
      </c>
      <c r="AQ245" s="763">
        <f t="shared" si="510"/>
        <v>3553243.2643932132</v>
      </c>
      <c r="AR245" s="1178">
        <f t="shared" si="479"/>
        <v>3000000</v>
      </c>
      <c r="AS245" s="1178">
        <f t="shared" si="511"/>
        <v>25147.421108782419</v>
      </c>
      <c r="AT245" s="1178">
        <f t="shared" si="512"/>
        <v>553243.26439321321</v>
      </c>
      <c r="AU245" s="1178">
        <f t="shared" si="480"/>
        <v>66389.191727185578</v>
      </c>
      <c r="AV245" s="1178">
        <f t="shared" si="513"/>
        <v>619632.45612039883</v>
      </c>
      <c r="AW245" s="1178">
        <f t="shared" si="514"/>
        <v>3619632.4561203988</v>
      </c>
      <c r="AX245" s="762">
        <f t="shared" si="515"/>
        <v>45245.405701504991</v>
      </c>
      <c r="AY245" s="717" t="s">
        <v>231</v>
      </c>
      <c r="AZ245" s="717">
        <f t="shared" si="516"/>
        <v>3664877.8618219038</v>
      </c>
      <c r="BA245" s="717">
        <f t="shared" si="517"/>
        <v>137432.91981832139</v>
      </c>
      <c r="BB245" s="717"/>
      <c r="BC245" s="717">
        <f t="shared" si="481"/>
        <v>33600</v>
      </c>
      <c r="BD245" s="717">
        <f t="shared" si="518"/>
        <v>3835910.7816402251</v>
      </c>
      <c r="BE245" s="717"/>
      <c r="BF245" s="717">
        <f t="shared" si="519"/>
        <v>3835910.7816402251</v>
      </c>
      <c r="BG245" s="1209"/>
      <c r="BH245" s="717">
        <f t="shared" si="520"/>
        <v>3835910.7816402251</v>
      </c>
      <c r="BI245" s="717"/>
      <c r="BJ245" s="717">
        <f t="shared" si="521"/>
        <v>3835910.7816402251</v>
      </c>
      <c r="BK245" s="717"/>
      <c r="BL245" s="717">
        <f t="shared" si="522"/>
        <v>3835910.7816402251</v>
      </c>
      <c r="BM245" s="717"/>
      <c r="BN245" s="717">
        <f t="shared" si="523"/>
        <v>3835910.7816402251</v>
      </c>
      <c r="BO245" s="717"/>
      <c r="BP245" s="717">
        <f t="shared" si="482"/>
        <v>3835910.7816402251</v>
      </c>
      <c r="BQ245" s="717"/>
      <c r="BR245" s="717">
        <f t="shared" si="584"/>
        <v>3835910.7816402251</v>
      </c>
      <c r="BS245" s="717"/>
      <c r="BT245" s="717">
        <f t="shared" si="524"/>
        <v>3835910.7816402251</v>
      </c>
      <c r="BU245" s="717"/>
      <c r="BV245" s="1235">
        <f t="shared" si="585"/>
        <v>51400</v>
      </c>
      <c r="BW245" s="717">
        <f t="shared" si="525"/>
        <v>3887310.7816402251</v>
      </c>
      <c r="BX245" s="717"/>
      <c r="BY245" s="717">
        <f t="shared" si="526"/>
        <v>3887310.7816402251</v>
      </c>
      <c r="BZ245" s="1194">
        <f t="shared" si="527"/>
        <v>3887310.7816402251</v>
      </c>
      <c r="CA245" s="1194">
        <f t="shared" si="528"/>
        <v>3007310.7816402251</v>
      </c>
      <c r="CB245" s="1194">
        <v>40000</v>
      </c>
      <c r="CC245" s="1194">
        <f t="shared" si="529"/>
        <v>880000</v>
      </c>
      <c r="CD245" s="1194">
        <f t="shared" si="530"/>
        <v>105600</v>
      </c>
      <c r="CE245" s="1194">
        <f t="shared" si="531"/>
        <v>985600</v>
      </c>
      <c r="CF245" s="1200">
        <f t="shared" si="532"/>
        <v>3992910.7816402251</v>
      </c>
      <c r="CG245" s="757">
        <f t="shared" si="533"/>
        <v>3992910.7816402251</v>
      </c>
      <c r="CH245" s="758">
        <f t="shared" si="534"/>
        <v>0</v>
      </c>
      <c r="CI245" s="757">
        <f t="shared" si="483"/>
        <v>409273.35511812306</v>
      </c>
      <c r="CJ245" s="757">
        <f t="shared" si="484"/>
        <v>99822.769541005633</v>
      </c>
      <c r="CK245" s="759">
        <f t="shared" si="593"/>
        <v>4502006.9062993536</v>
      </c>
      <c r="CL245" s="764">
        <f t="shared" si="535"/>
        <v>0.125</v>
      </c>
      <c r="CM245" s="757">
        <f t="shared" si="536"/>
        <v>562750.8632874192</v>
      </c>
      <c r="CN245" s="757">
        <f t="shared" si="578"/>
        <v>30000</v>
      </c>
      <c r="CO245" s="757">
        <f t="shared" si="537"/>
        <v>532750.8632874192</v>
      </c>
      <c r="CP245" s="755">
        <f t="shared" si="538"/>
        <v>29</v>
      </c>
      <c r="CQ245" s="757">
        <f t="shared" si="581"/>
        <v>18370.719423704111</v>
      </c>
      <c r="CR245" s="764">
        <f t="shared" si="539"/>
        <v>0.875</v>
      </c>
      <c r="CS245" s="757">
        <f t="shared" si="540"/>
        <v>3939256.0430119345</v>
      </c>
      <c r="CT245" s="1101">
        <f t="shared" si="541"/>
        <v>30541.010172773727</v>
      </c>
      <c r="CU245" s="1101">
        <f t="shared" si="542"/>
        <v>35407.14697585391</v>
      </c>
      <c r="CV245" s="1101">
        <f t="shared" si="543"/>
        <v>45738.102840689047</v>
      </c>
      <c r="CW245" s="1141">
        <f t="shared" si="485"/>
        <v>78001.991008951009</v>
      </c>
      <c r="CX245" s="1152">
        <f t="shared" si="544"/>
        <v>319998.28935546725</v>
      </c>
      <c r="CY245" s="1152">
        <f t="shared" si="545"/>
        <v>126621.76429679542</v>
      </c>
      <c r="CZ245" s="1152">
        <f t="shared" si="546"/>
        <v>91457.106982886777</v>
      </c>
      <c r="DA245" s="1152">
        <f t="shared" si="547"/>
        <v>69603.068881720697</v>
      </c>
      <c r="DB245" s="1143">
        <f t="shared" si="486"/>
        <v>0.1844144214644044</v>
      </c>
      <c r="DC245" s="1143">
        <f t="shared" si="548"/>
        <v>0.32773466780258786</v>
      </c>
      <c r="DD245" s="1098" t="s">
        <v>232</v>
      </c>
      <c r="DE245" s="1144"/>
      <c r="DF245" s="705"/>
      <c r="DG245" s="765">
        <f t="shared" si="579"/>
        <v>46082</v>
      </c>
      <c r="DH245" s="1116">
        <f t="shared" si="487"/>
        <v>28</v>
      </c>
      <c r="DI245" s="497"/>
      <c r="DJ245" s="1117">
        <f t="shared" si="549"/>
        <v>46147</v>
      </c>
      <c r="DK245" s="1116">
        <f t="shared" si="550"/>
        <v>30</v>
      </c>
      <c r="DL245" s="766" t="s">
        <v>233</v>
      </c>
      <c r="DM245" s="766" t="s">
        <v>234</v>
      </c>
      <c r="DN245" s="767">
        <f t="shared" si="488"/>
        <v>28165.111641836309</v>
      </c>
      <c r="DO245" s="767">
        <f t="shared" si="489"/>
        <v>619632.45612039883</v>
      </c>
      <c r="DP245" s="768">
        <f t="shared" si="490"/>
        <v>0.20654415204013293</v>
      </c>
      <c r="DR245" s="767">
        <f t="shared" si="491"/>
        <v>3992910.7816402251</v>
      </c>
      <c r="DS245" s="767">
        <f>SUM('[6]INTERNAL PRICELIST'!M245)</f>
        <v>0</v>
      </c>
      <c r="DT245" s="767">
        <f t="shared" si="551"/>
        <v>3992910.7816402251</v>
      </c>
      <c r="DV245" s="951">
        <f t="shared" si="492"/>
        <v>181495.94462001024</v>
      </c>
      <c r="DX245" s="781"/>
      <c r="DY245" s="782"/>
      <c r="DZ245" s="781"/>
      <c r="EA245" s="775"/>
      <c r="ED245" s="755" t="s">
        <v>680</v>
      </c>
      <c r="EE245" s="777" t="b">
        <f t="shared" si="493"/>
        <v>1</v>
      </c>
      <c r="EF245" s="1123" t="s">
        <v>681</v>
      </c>
      <c r="EG245" s="1123" t="s">
        <v>654</v>
      </c>
      <c r="EH245" s="1203"/>
      <c r="EP245" s="1230" t="s">
        <v>236</v>
      </c>
      <c r="EQ245" s="1145" t="s">
        <v>236</v>
      </c>
      <c r="ER245" s="753" t="b">
        <f t="shared" si="552"/>
        <v>1</v>
      </c>
      <c r="EU245" s="770">
        <v>2369600</v>
      </c>
      <c r="EV245" s="771" t="s">
        <v>236</v>
      </c>
      <c r="FJ245" s="994">
        <v>0.15</v>
      </c>
      <c r="FK245" s="993">
        <v>13486.5828155859</v>
      </c>
      <c r="FL245" s="993">
        <v>13851.085053844978</v>
      </c>
      <c r="FM245" s="497"/>
      <c r="FN245" s="993">
        <f t="shared" si="494"/>
        <v>4502006.9062993536</v>
      </c>
      <c r="FO245" s="994">
        <f t="shared" si="553"/>
        <v>0.15</v>
      </c>
      <c r="FP245" s="775">
        <f t="shared" si="495"/>
        <v>675301.03594490304</v>
      </c>
      <c r="FQ245" s="993">
        <f t="shared" si="496"/>
        <v>30000</v>
      </c>
      <c r="FR245" s="775">
        <f t="shared" si="554"/>
        <v>645301.03594490304</v>
      </c>
      <c r="FS245" s="497">
        <f t="shared" si="555"/>
        <v>40</v>
      </c>
      <c r="FT245" s="775">
        <f t="shared" si="556"/>
        <v>16132.525898622576</v>
      </c>
      <c r="FU245" s="497"/>
      <c r="FV245" s="993">
        <f t="shared" si="557"/>
        <v>4502006.9062993536</v>
      </c>
      <c r="FW245" s="705">
        <f t="shared" si="558"/>
        <v>450200.69062993536</v>
      </c>
      <c r="FX245" s="705">
        <f t="shared" si="559"/>
        <v>112550.17265748384</v>
      </c>
      <c r="FY245" s="705">
        <v>15000</v>
      </c>
      <c r="FZ245" s="705">
        <f t="shared" si="560"/>
        <v>435200.69062993536</v>
      </c>
      <c r="GA245" s="497">
        <f t="shared" si="561"/>
        <v>46</v>
      </c>
      <c r="GB245" s="775">
        <f t="shared" si="562"/>
        <v>9460.8845789116385</v>
      </c>
      <c r="GC245" s="497"/>
      <c r="GD245" s="497"/>
      <c r="GH245" s="1095">
        <f t="shared" si="461"/>
        <v>4502006.9062993536</v>
      </c>
      <c r="GI245" s="1098">
        <f t="shared" si="462"/>
        <v>0.125</v>
      </c>
      <c r="GJ245" s="1095">
        <f t="shared" si="463"/>
        <v>562750.8632874192</v>
      </c>
      <c r="GK245" s="1095">
        <f t="shared" si="464"/>
        <v>30000</v>
      </c>
      <c r="GL245" s="1095">
        <f t="shared" si="465"/>
        <v>532750.8632874192</v>
      </c>
      <c r="GM245" s="1095">
        <f t="shared" si="466"/>
        <v>29</v>
      </c>
      <c r="GN245" s="1095">
        <f t="shared" si="467"/>
        <v>18370.719423704111</v>
      </c>
      <c r="GO245" s="1098">
        <f t="shared" si="468"/>
        <v>0.875</v>
      </c>
      <c r="GP245" s="1095">
        <f t="shared" si="469"/>
        <v>3939256.0430119345</v>
      </c>
      <c r="GQ245" s="1095">
        <f t="shared" si="470"/>
        <v>30541.010172773727</v>
      </c>
      <c r="GR245" s="1095">
        <f t="shared" si="471"/>
        <v>35407.14697585391</v>
      </c>
      <c r="GS245" s="1095">
        <f t="shared" si="472"/>
        <v>45738.102840689047</v>
      </c>
      <c r="GT245" s="1095">
        <f t="shared" si="473"/>
        <v>78001.991008951009</v>
      </c>
      <c r="GU245" s="497"/>
      <c r="GV245" s="1095">
        <f t="shared" si="563"/>
        <v>4502006.9062993536</v>
      </c>
      <c r="GW245" s="1098">
        <f t="shared" si="564"/>
        <v>0.125</v>
      </c>
      <c r="GX245" s="1095">
        <f t="shared" si="565"/>
        <v>562750.8632874192</v>
      </c>
      <c r="GY245" s="1095">
        <f t="shared" si="566"/>
        <v>30000</v>
      </c>
      <c r="GZ245" s="1095">
        <f t="shared" si="567"/>
        <v>532750.8632874192</v>
      </c>
      <c r="HA245" s="1106">
        <f t="shared" si="568"/>
        <v>48</v>
      </c>
      <c r="HB245" s="770">
        <f t="shared" si="569"/>
        <v>11098.976318487899</v>
      </c>
      <c r="HC245" s="1098">
        <f t="shared" si="570"/>
        <v>0.875</v>
      </c>
      <c r="HD245" s="1102">
        <f t="shared" si="571"/>
        <v>3939256.0430119345</v>
      </c>
      <c r="HE245" s="1101">
        <f t="shared" si="572"/>
        <v>30541.010172773727</v>
      </c>
      <c r="HF245" s="1101">
        <f t="shared" si="573"/>
        <v>35407.14697585391</v>
      </c>
      <c r="HG245" s="1101">
        <f t="shared" si="574"/>
        <v>45738.102840689047</v>
      </c>
      <c r="HH245" s="1101">
        <f t="shared" si="575"/>
        <v>78001.991008951009</v>
      </c>
      <c r="HI245" s="497"/>
      <c r="HJ245" s="1102">
        <f t="shared" si="576"/>
        <v>-7271.7431052162119</v>
      </c>
      <c r="HL245" s="775"/>
      <c r="HN245" s="775"/>
      <c r="HO245" s="775"/>
      <c r="HQ245" s="702"/>
      <c r="HR245" s="1171"/>
      <c r="HS245" s="702"/>
      <c r="HT245" s="1171"/>
    </row>
    <row r="246" spans="1:228" ht="14.25" hidden="1" customHeight="1">
      <c r="A246" s="753">
        <f t="shared" si="577"/>
        <v>240</v>
      </c>
      <c r="B246" s="753" t="s">
        <v>236</v>
      </c>
      <c r="C246" s="753">
        <f t="shared" si="591"/>
        <v>23</v>
      </c>
      <c r="D246" s="753" t="s">
        <v>281</v>
      </c>
      <c r="E246" s="717" t="str">
        <f t="shared" si="497"/>
        <v>10th Floor</v>
      </c>
      <c r="F246" s="754"/>
      <c r="G246" s="756" t="s">
        <v>682</v>
      </c>
      <c r="H246" s="756"/>
      <c r="I246" s="755" t="s">
        <v>229</v>
      </c>
      <c r="J246" s="757">
        <v>22</v>
      </c>
      <c r="K246" s="758"/>
      <c r="L246" s="759" t="s">
        <v>69</v>
      </c>
      <c r="M246" s="760" t="s">
        <v>68</v>
      </c>
      <c r="N246" s="761">
        <f t="shared" si="498"/>
        <v>106005.26567735759</v>
      </c>
      <c r="O246" s="762">
        <f t="shared" si="499"/>
        <v>2332115.8449018667</v>
      </c>
      <c r="P246" s="762">
        <f t="shared" si="500"/>
        <v>22400</v>
      </c>
      <c r="Q246" s="762">
        <f t="shared" si="474"/>
        <v>50000</v>
      </c>
      <c r="R246" s="762"/>
      <c r="S246" s="762"/>
      <c r="T246" s="762"/>
      <c r="U246" s="762"/>
      <c r="V246" s="762"/>
      <c r="W246" s="762"/>
      <c r="X246" s="762"/>
      <c r="Y246" s="762">
        <f t="shared" si="592"/>
        <v>120000</v>
      </c>
      <c r="Z246" s="762">
        <f t="shared" si="475"/>
        <v>142461</v>
      </c>
      <c r="AA246" s="762">
        <v>45722.732758620688</v>
      </c>
      <c r="AB246" s="762"/>
      <c r="AC246" s="762"/>
      <c r="AD246" s="763">
        <f t="shared" si="501"/>
        <v>380583.7327586207</v>
      </c>
      <c r="AE246" s="763">
        <f t="shared" si="476"/>
        <v>2712699.5776604875</v>
      </c>
      <c r="AF246" s="762">
        <f t="shared" si="477"/>
        <v>67817.489441512196</v>
      </c>
      <c r="AG246" s="762">
        <f t="shared" si="502"/>
        <v>2780517.0671019997</v>
      </c>
      <c r="AH246" s="762">
        <f t="shared" si="478"/>
        <v>69512.92667755</v>
      </c>
      <c r="AI246" s="762">
        <f t="shared" si="503"/>
        <v>2850029.9937795498</v>
      </c>
      <c r="AJ246" s="762">
        <f t="shared" si="504"/>
        <v>142501.49968897749</v>
      </c>
      <c r="AK246" s="762">
        <f t="shared" si="505"/>
        <v>2992531.4934685272</v>
      </c>
      <c r="AL246" s="762">
        <f t="shared" si="506"/>
        <v>29925.314934685273</v>
      </c>
      <c r="AM246" s="762">
        <f t="shared" si="507"/>
        <v>27537.409960060559</v>
      </c>
      <c r="AN246" s="762"/>
      <c r="AO246" s="763">
        <f t="shared" si="508"/>
        <v>3049994.218363273</v>
      </c>
      <c r="AP246" s="763">
        <f t="shared" si="509"/>
        <v>503249.04602994007</v>
      </c>
      <c r="AQ246" s="763">
        <f t="shared" si="510"/>
        <v>3553243.2643932132</v>
      </c>
      <c r="AR246" s="1178">
        <f t="shared" si="479"/>
        <v>3000000</v>
      </c>
      <c r="AS246" s="1178">
        <f t="shared" si="511"/>
        <v>25147.421108782419</v>
      </c>
      <c r="AT246" s="1178">
        <f t="shared" si="512"/>
        <v>553243.26439321321</v>
      </c>
      <c r="AU246" s="1178">
        <f t="shared" si="480"/>
        <v>66389.191727185578</v>
      </c>
      <c r="AV246" s="1178">
        <f t="shared" si="513"/>
        <v>619632.45612039883</v>
      </c>
      <c r="AW246" s="1178">
        <f t="shared" si="514"/>
        <v>3619632.4561203988</v>
      </c>
      <c r="AX246" s="762">
        <f t="shared" si="515"/>
        <v>45245.405701504991</v>
      </c>
      <c r="AY246" s="717" t="s">
        <v>231</v>
      </c>
      <c r="AZ246" s="717">
        <f t="shared" si="516"/>
        <v>3664877.8618219038</v>
      </c>
      <c r="BA246" s="717">
        <f t="shared" si="517"/>
        <v>137432.91981832139</v>
      </c>
      <c r="BB246" s="717"/>
      <c r="BC246" s="717">
        <f t="shared" si="481"/>
        <v>33600</v>
      </c>
      <c r="BD246" s="717">
        <f t="shared" si="518"/>
        <v>3835910.7816402251</v>
      </c>
      <c r="BE246" s="717"/>
      <c r="BF246" s="717">
        <f t="shared" si="519"/>
        <v>3835910.7816402251</v>
      </c>
      <c r="BG246" s="1209"/>
      <c r="BH246" s="717">
        <f t="shared" si="520"/>
        <v>3835910.7816402251</v>
      </c>
      <c r="BI246" s="717"/>
      <c r="BJ246" s="717">
        <f t="shared" si="521"/>
        <v>3835910.7816402251</v>
      </c>
      <c r="BK246" s="717"/>
      <c r="BL246" s="717">
        <f t="shared" si="522"/>
        <v>3835910.7816402251</v>
      </c>
      <c r="BM246" s="717"/>
      <c r="BN246" s="717">
        <f t="shared" si="523"/>
        <v>3835910.7816402251</v>
      </c>
      <c r="BO246" s="717"/>
      <c r="BP246" s="717">
        <f t="shared" si="482"/>
        <v>3835910.7816402251</v>
      </c>
      <c r="BQ246" s="717"/>
      <c r="BR246" s="717">
        <f t="shared" si="584"/>
        <v>3835910.7816402251</v>
      </c>
      <c r="BS246" s="717"/>
      <c r="BT246" s="717">
        <f t="shared" si="524"/>
        <v>3835910.7816402251</v>
      </c>
      <c r="BU246" s="717"/>
      <c r="BV246" s="1235">
        <f t="shared" si="585"/>
        <v>51400</v>
      </c>
      <c r="BW246" s="717">
        <f t="shared" si="525"/>
        <v>3887310.7816402251</v>
      </c>
      <c r="BX246" s="717"/>
      <c r="BY246" s="717">
        <f t="shared" si="526"/>
        <v>3887310.7816402251</v>
      </c>
      <c r="BZ246" s="1194">
        <f t="shared" si="527"/>
        <v>3887310.7816402251</v>
      </c>
      <c r="CA246" s="1194">
        <f t="shared" si="528"/>
        <v>3007310.7816402251</v>
      </c>
      <c r="CB246" s="1194">
        <v>40000</v>
      </c>
      <c r="CC246" s="1194">
        <f t="shared" si="529"/>
        <v>880000</v>
      </c>
      <c r="CD246" s="1194">
        <f t="shared" si="530"/>
        <v>105600</v>
      </c>
      <c r="CE246" s="1194">
        <f t="shared" si="531"/>
        <v>985600</v>
      </c>
      <c r="CF246" s="1200">
        <f t="shared" si="532"/>
        <v>3992910.7816402251</v>
      </c>
      <c r="CG246" s="757">
        <f t="shared" si="533"/>
        <v>3992910.7816402251</v>
      </c>
      <c r="CH246" s="758">
        <f t="shared" si="534"/>
        <v>0</v>
      </c>
      <c r="CI246" s="757">
        <f t="shared" si="483"/>
        <v>409273.35511812306</v>
      </c>
      <c r="CJ246" s="757">
        <f t="shared" si="484"/>
        <v>99822.769541005633</v>
      </c>
      <c r="CK246" s="759">
        <f t="shared" si="593"/>
        <v>4502006.9062993536</v>
      </c>
      <c r="CL246" s="764">
        <f t="shared" si="535"/>
        <v>0.125</v>
      </c>
      <c r="CM246" s="757">
        <f t="shared" si="536"/>
        <v>562750.8632874192</v>
      </c>
      <c r="CN246" s="757">
        <f t="shared" si="578"/>
        <v>30000</v>
      </c>
      <c r="CO246" s="757">
        <f t="shared" si="537"/>
        <v>532750.8632874192</v>
      </c>
      <c r="CP246" s="755">
        <f t="shared" si="538"/>
        <v>29</v>
      </c>
      <c r="CQ246" s="757">
        <f t="shared" si="581"/>
        <v>18370.719423704111</v>
      </c>
      <c r="CR246" s="764">
        <f t="shared" si="539"/>
        <v>0.875</v>
      </c>
      <c r="CS246" s="757">
        <f t="shared" si="540"/>
        <v>3939256.0430119345</v>
      </c>
      <c r="CT246" s="1101">
        <f t="shared" si="541"/>
        <v>30541.010172773727</v>
      </c>
      <c r="CU246" s="1101">
        <f t="shared" si="542"/>
        <v>35407.14697585391</v>
      </c>
      <c r="CV246" s="1101">
        <f t="shared" si="543"/>
        <v>45738.102840689047</v>
      </c>
      <c r="CW246" s="1141">
        <f t="shared" si="485"/>
        <v>78001.991008951009</v>
      </c>
      <c r="CX246" s="1152">
        <f t="shared" si="544"/>
        <v>319998.28935546725</v>
      </c>
      <c r="CY246" s="1152">
        <f t="shared" si="545"/>
        <v>126621.76429679542</v>
      </c>
      <c r="CZ246" s="1152">
        <f t="shared" si="546"/>
        <v>91457.106982886777</v>
      </c>
      <c r="DA246" s="1152">
        <f t="shared" si="547"/>
        <v>69603.068881720697</v>
      </c>
      <c r="DB246" s="1143">
        <f t="shared" si="486"/>
        <v>0.1844144214644044</v>
      </c>
      <c r="DC246" s="1143">
        <f t="shared" si="548"/>
        <v>0.32773466780258786</v>
      </c>
      <c r="DD246" s="1098" t="s">
        <v>232</v>
      </c>
      <c r="DE246" s="1144"/>
      <c r="DF246" s="705"/>
      <c r="DG246" s="765">
        <f t="shared" si="579"/>
        <v>46082</v>
      </c>
      <c r="DH246" s="1116">
        <f t="shared" si="487"/>
        <v>28</v>
      </c>
      <c r="DI246" s="497"/>
      <c r="DJ246" s="1117">
        <f t="shared" si="549"/>
        <v>46147</v>
      </c>
      <c r="DK246" s="1116">
        <f t="shared" si="550"/>
        <v>30</v>
      </c>
      <c r="DL246" s="766" t="s">
        <v>233</v>
      </c>
      <c r="DM246" s="766" t="s">
        <v>234</v>
      </c>
      <c r="DN246" s="767">
        <f t="shared" si="488"/>
        <v>28165.111641836309</v>
      </c>
      <c r="DO246" s="767">
        <f t="shared" si="489"/>
        <v>619632.45612039883</v>
      </c>
      <c r="DP246" s="768">
        <f t="shared" si="490"/>
        <v>0.20654415204013293</v>
      </c>
      <c r="DR246" s="767">
        <f t="shared" si="491"/>
        <v>3992910.7816402251</v>
      </c>
      <c r="DS246" s="767">
        <f>SUM('[6]INTERNAL PRICELIST'!M246)</f>
        <v>0</v>
      </c>
      <c r="DT246" s="767">
        <f t="shared" si="551"/>
        <v>3992910.7816402251</v>
      </c>
      <c r="DV246" s="951">
        <f t="shared" si="492"/>
        <v>181495.94462001024</v>
      </c>
      <c r="DX246" s="781"/>
      <c r="DY246" s="782"/>
      <c r="DZ246" s="781"/>
      <c r="EA246" s="775"/>
      <c r="ED246" s="755" t="s">
        <v>682</v>
      </c>
      <c r="EE246" s="777" t="b">
        <f t="shared" si="493"/>
        <v>1</v>
      </c>
      <c r="EF246" s="1123" t="s">
        <v>683</v>
      </c>
      <c r="EG246" s="1123" t="s">
        <v>654</v>
      </c>
      <c r="EH246" s="1203"/>
      <c r="EP246" s="1230" t="s">
        <v>236</v>
      </c>
      <c r="EQ246" s="1145" t="s">
        <v>236</v>
      </c>
      <c r="ER246" s="753" t="b">
        <f t="shared" si="552"/>
        <v>1</v>
      </c>
      <c r="EU246" s="770">
        <v>2369600</v>
      </c>
      <c r="EV246" s="771" t="s">
        <v>236</v>
      </c>
      <c r="FJ246" s="994">
        <v>0.15</v>
      </c>
      <c r="FK246" s="993">
        <v>13486.5828155859</v>
      </c>
      <c r="FL246" s="993">
        <v>13851.085053844978</v>
      </c>
      <c r="FM246" s="497"/>
      <c r="FN246" s="993">
        <f t="shared" si="494"/>
        <v>4502006.9062993536</v>
      </c>
      <c r="FO246" s="994">
        <f t="shared" si="553"/>
        <v>0.15</v>
      </c>
      <c r="FP246" s="775">
        <f t="shared" si="495"/>
        <v>675301.03594490304</v>
      </c>
      <c r="FQ246" s="993">
        <f t="shared" si="496"/>
        <v>30000</v>
      </c>
      <c r="FR246" s="775">
        <f t="shared" si="554"/>
        <v>645301.03594490304</v>
      </c>
      <c r="FS246" s="497">
        <f t="shared" si="555"/>
        <v>40</v>
      </c>
      <c r="FT246" s="775">
        <f t="shared" si="556"/>
        <v>16132.525898622576</v>
      </c>
      <c r="FU246" s="497"/>
      <c r="FV246" s="993">
        <f t="shared" si="557"/>
        <v>4502006.9062993536</v>
      </c>
      <c r="FW246" s="705">
        <f t="shared" si="558"/>
        <v>450200.69062993536</v>
      </c>
      <c r="FX246" s="705">
        <f t="shared" si="559"/>
        <v>112550.17265748384</v>
      </c>
      <c r="FY246" s="705">
        <v>15000</v>
      </c>
      <c r="FZ246" s="705">
        <f t="shared" si="560"/>
        <v>435200.69062993536</v>
      </c>
      <c r="GA246" s="497">
        <f t="shared" si="561"/>
        <v>46</v>
      </c>
      <c r="GB246" s="775">
        <f t="shared" si="562"/>
        <v>9460.8845789116385</v>
      </c>
      <c r="GC246" s="497"/>
      <c r="GD246" s="497"/>
      <c r="GH246" s="1095">
        <f t="shared" si="461"/>
        <v>4502006.9062993536</v>
      </c>
      <c r="GI246" s="1098">
        <f t="shared" si="462"/>
        <v>0.125</v>
      </c>
      <c r="GJ246" s="1095">
        <f t="shared" si="463"/>
        <v>562750.8632874192</v>
      </c>
      <c r="GK246" s="1095">
        <f t="shared" si="464"/>
        <v>30000</v>
      </c>
      <c r="GL246" s="1095">
        <f t="shared" si="465"/>
        <v>532750.8632874192</v>
      </c>
      <c r="GM246" s="1095">
        <f t="shared" si="466"/>
        <v>29</v>
      </c>
      <c r="GN246" s="1095">
        <f t="shared" si="467"/>
        <v>18370.719423704111</v>
      </c>
      <c r="GO246" s="1098">
        <f t="shared" si="468"/>
        <v>0.875</v>
      </c>
      <c r="GP246" s="1095">
        <f t="shared" si="469"/>
        <v>3939256.0430119345</v>
      </c>
      <c r="GQ246" s="1095">
        <f t="shared" si="470"/>
        <v>30541.010172773727</v>
      </c>
      <c r="GR246" s="1095">
        <f t="shared" si="471"/>
        <v>35407.14697585391</v>
      </c>
      <c r="GS246" s="1095">
        <f t="shared" si="472"/>
        <v>45738.102840689047</v>
      </c>
      <c r="GT246" s="1095">
        <f t="shared" si="473"/>
        <v>78001.991008951009</v>
      </c>
      <c r="GU246" s="497"/>
      <c r="GV246" s="1095">
        <f t="shared" si="563"/>
        <v>4502006.9062993536</v>
      </c>
      <c r="GW246" s="1098">
        <f t="shared" si="564"/>
        <v>0.125</v>
      </c>
      <c r="GX246" s="1095">
        <f t="shared" si="565"/>
        <v>562750.8632874192</v>
      </c>
      <c r="GY246" s="1095">
        <f t="shared" si="566"/>
        <v>30000</v>
      </c>
      <c r="GZ246" s="1095">
        <f t="shared" si="567"/>
        <v>532750.8632874192</v>
      </c>
      <c r="HA246" s="1106">
        <f t="shared" si="568"/>
        <v>48</v>
      </c>
      <c r="HB246" s="770">
        <f t="shared" si="569"/>
        <v>11098.976318487899</v>
      </c>
      <c r="HC246" s="1098">
        <f t="shared" si="570"/>
        <v>0.875</v>
      </c>
      <c r="HD246" s="1102">
        <f t="shared" si="571"/>
        <v>3939256.0430119345</v>
      </c>
      <c r="HE246" s="1101">
        <f t="shared" si="572"/>
        <v>30541.010172773727</v>
      </c>
      <c r="HF246" s="1101">
        <f t="shared" si="573"/>
        <v>35407.14697585391</v>
      </c>
      <c r="HG246" s="1101">
        <f t="shared" si="574"/>
        <v>45738.102840689047</v>
      </c>
      <c r="HH246" s="1101">
        <f t="shared" si="575"/>
        <v>78001.991008951009</v>
      </c>
      <c r="HI246" s="497"/>
      <c r="HJ246" s="1102">
        <f t="shared" si="576"/>
        <v>-7271.7431052162119</v>
      </c>
      <c r="HL246" s="775"/>
      <c r="HN246" s="775"/>
      <c r="HO246" s="775"/>
      <c r="HQ246" s="702"/>
      <c r="HR246" s="1171"/>
      <c r="HS246" s="702"/>
      <c r="HT246" s="1171"/>
    </row>
    <row r="247" spans="1:228" ht="14.25" hidden="1" customHeight="1">
      <c r="A247" s="753">
        <f t="shared" si="577"/>
        <v>241</v>
      </c>
      <c r="B247" s="753"/>
      <c r="C247" s="753">
        <f t="shared" si="591"/>
        <v>24</v>
      </c>
      <c r="D247" s="753" t="s">
        <v>281</v>
      </c>
      <c r="E247" s="717" t="str">
        <f t="shared" si="497"/>
        <v>10th Floor</v>
      </c>
      <c r="F247" s="754"/>
      <c r="G247" s="756" t="s">
        <v>684</v>
      </c>
      <c r="H247" s="756"/>
      <c r="I247" s="755" t="s">
        <v>229</v>
      </c>
      <c r="J247" s="757">
        <v>22</v>
      </c>
      <c r="K247" s="758"/>
      <c r="L247" s="759" t="s">
        <v>69</v>
      </c>
      <c r="M247" s="760" t="s">
        <v>68</v>
      </c>
      <c r="N247" s="761">
        <f t="shared" si="498"/>
        <v>106005.26567735759</v>
      </c>
      <c r="O247" s="762">
        <f t="shared" si="499"/>
        <v>2332115.8449018667</v>
      </c>
      <c r="P247" s="762">
        <f t="shared" si="500"/>
        <v>22400</v>
      </c>
      <c r="Q247" s="762">
        <f t="shared" si="474"/>
        <v>50000</v>
      </c>
      <c r="R247" s="762"/>
      <c r="S247" s="762"/>
      <c r="T247" s="762"/>
      <c r="U247" s="762"/>
      <c r="V247" s="762"/>
      <c r="W247" s="762"/>
      <c r="X247" s="762"/>
      <c r="Y247" s="762">
        <f t="shared" si="592"/>
        <v>120000</v>
      </c>
      <c r="Z247" s="762">
        <f t="shared" si="475"/>
        <v>142461</v>
      </c>
      <c r="AA247" s="762">
        <v>45722.732758620688</v>
      </c>
      <c r="AB247" s="762"/>
      <c r="AC247" s="762"/>
      <c r="AD247" s="763">
        <f t="shared" si="501"/>
        <v>380583.7327586207</v>
      </c>
      <c r="AE247" s="763">
        <f t="shared" si="476"/>
        <v>2712699.5776604875</v>
      </c>
      <c r="AF247" s="762">
        <f t="shared" si="477"/>
        <v>67817.489441512196</v>
      </c>
      <c r="AG247" s="762">
        <f t="shared" si="502"/>
        <v>2780517.0671019997</v>
      </c>
      <c r="AH247" s="762">
        <f t="shared" si="478"/>
        <v>69512.92667755</v>
      </c>
      <c r="AI247" s="762">
        <f t="shared" si="503"/>
        <v>2850029.9937795498</v>
      </c>
      <c r="AJ247" s="762">
        <f t="shared" si="504"/>
        <v>142501.49968897749</v>
      </c>
      <c r="AK247" s="762">
        <f t="shared" si="505"/>
        <v>2992531.4934685272</v>
      </c>
      <c r="AL247" s="762">
        <f>AK247*AL$5+29772.4420833333</f>
        <v>59697.757018018572</v>
      </c>
      <c r="AM247" s="762">
        <f t="shared" si="507"/>
        <v>27537.409960060559</v>
      </c>
      <c r="AN247" s="762"/>
      <c r="AO247" s="763">
        <f t="shared" si="508"/>
        <v>3079766.6604466061</v>
      </c>
      <c r="AP247" s="763">
        <f t="shared" si="509"/>
        <v>508161.49897369003</v>
      </c>
      <c r="AQ247" s="763">
        <f t="shared" si="510"/>
        <v>3587928.1594202961</v>
      </c>
      <c r="AR247" s="1178">
        <f t="shared" si="479"/>
        <v>3000000</v>
      </c>
      <c r="AS247" s="1178">
        <f t="shared" si="511"/>
        <v>26724.007246377096</v>
      </c>
      <c r="AT247" s="1178">
        <f t="shared" si="512"/>
        <v>587928.15942029608</v>
      </c>
      <c r="AU247" s="1178">
        <f t="shared" si="480"/>
        <v>70551.379130435525</v>
      </c>
      <c r="AV247" s="1178">
        <f t="shared" si="513"/>
        <v>658479.53855073161</v>
      </c>
      <c r="AW247" s="1178">
        <f t="shared" si="514"/>
        <v>3658479.5385507317</v>
      </c>
      <c r="AX247" s="762">
        <f t="shared" si="515"/>
        <v>45730.994231884149</v>
      </c>
      <c r="AY247" s="717" t="s">
        <v>231</v>
      </c>
      <c r="AZ247" s="717">
        <f t="shared" si="516"/>
        <v>3704210.5327826161</v>
      </c>
      <c r="BA247" s="717">
        <f t="shared" si="517"/>
        <v>138907.89497934809</v>
      </c>
      <c r="BB247" s="717"/>
      <c r="BC247" s="717">
        <f t="shared" si="481"/>
        <v>33600</v>
      </c>
      <c r="BD247" s="717">
        <f t="shared" si="518"/>
        <v>3876718.427761964</v>
      </c>
      <c r="BE247" s="717"/>
      <c r="BF247" s="717">
        <f t="shared" si="519"/>
        <v>3876718.427761964</v>
      </c>
      <c r="BG247" s="1209"/>
      <c r="BH247" s="717">
        <f t="shared" si="520"/>
        <v>3876718.427761964</v>
      </c>
      <c r="BI247" s="717"/>
      <c r="BJ247" s="717">
        <f t="shared" si="521"/>
        <v>3876718.427761964</v>
      </c>
      <c r="BK247" s="717"/>
      <c r="BL247" s="717">
        <f t="shared" si="522"/>
        <v>3876718.427761964</v>
      </c>
      <c r="BM247" s="717"/>
      <c r="BN247" s="717">
        <f t="shared" si="523"/>
        <v>3876718.427761964</v>
      </c>
      <c r="BO247" s="717"/>
      <c r="BP247" s="717">
        <f t="shared" si="482"/>
        <v>3876718.427761964</v>
      </c>
      <c r="BQ247" s="717"/>
      <c r="BR247" s="717">
        <f t="shared" si="584"/>
        <v>3876718.427761964</v>
      </c>
      <c r="BS247" s="717"/>
      <c r="BT247" s="717">
        <f t="shared" si="524"/>
        <v>3876718.427761964</v>
      </c>
      <c r="BU247" s="717"/>
      <c r="BV247" s="1235">
        <f t="shared" si="585"/>
        <v>51400</v>
      </c>
      <c r="BW247" s="717">
        <f t="shared" si="525"/>
        <v>3928118.427761964</v>
      </c>
      <c r="BX247" s="717"/>
      <c r="BY247" s="717">
        <f t="shared" si="526"/>
        <v>3928118.427761964</v>
      </c>
      <c r="BZ247" s="1194">
        <f t="shared" si="527"/>
        <v>3928118.427761964</v>
      </c>
      <c r="CA247" s="1194">
        <f t="shared" si="528"/>
        <v>3026118.427761964</v>
      </c>
      <c r="CB247" s="1194">
        <v>41000</v>
      </c>
      <c r="CC247" s="1194">
        <f t="shared" si="529"/>
        <v>902000</v>
      </c>
      <c r="CD247" s="1194">
        <f t="shared" si="530"/>
        <v>108240</v>
      </c>
      <c r="CE247" s="1194">
        <f t="shared" si="531"/>
        <v>1010240</v>
      </c>
      <c r="CF247" s="1200">
        <f t="shared" si="532"/>
        <v>4036358.427761964</v>
      </c>
      <c r="CG247" s="757">
        <f t="shared" si="533"/>
        <v>4036358.427761964</v>
      </c>
      <c r="CH247" s="758">
        <f t="shared" si="534"/>
        <v>0</v>
      </c>
      <c r="CI247" s="757">
        <f t="shared" si="483"/>
        <v>413726.73884560127</v>
      </c>
      <c r="CJ247" s="757">
        <f t="shared" si="484"/>
        <v>100908.96069404911</v>
      </c>
      <c r="CK247" s="759">
        <f t="shared" si="593"/>
        <v>4550994.1273016147</v>
      </c>
      <c r="CL247" s="764">
        <f t="shared" si="535"/>
        <v>0.125</v>
      </c>
      <c r="CM247" s="757">
        <f t="shared" si="536"/>
        <v>568874.26591270184</v>
      </c>
      <c r="CN247" s="757">
        <f t="shared" si="578"/>
        <v>30000</v>
      </c>
      <c r="CO247" s="757">
        <f t="shared" si="537"/>
        <v>538874.26591270184</v>
      </c>
      <c r="CP247" s="755">
        <f t="shared" si="538"/>
        <v>29</v>
      </c>
      <c r="CQ247" s="757">
        <f t="shared" si="581"/>
        <v>18581.871238369029</v>
      </c>
      <c r="CR247" s="764">
        <f t="shared" si="539"/>
        <v>0.875</v>
      </c>
      <c r="CS247" s="757">
        <f t="shared" si="540"/>
        <v>3982119.8613889129</v>
      </c>
      <c r="CT247" s="1101">
        <f t="shared" si="541"/>
        <v>30873.332900416048</v>
      </c>
      <c r="CU247" s="1101">
        <f t="shared" si="542"/>
        <v>35792.419093393029</v>
      </c>
      <c r="CV247" s="1101">
        <f t="shared" si="543"/>
        <v>46235.78811721447</v>
      </c>
      <c r="CW247" s="1141">
        <f t="shared" si="485"/>
        <v>78850.74598683104</v>
      </c>
      <c r="CX247" s="1152">
        <f t="shared" si="544"/>
        <v>323480.25356548827</v>
      </c>
      <c r="CY247" s="1152">
        <f t="shared" si="545"/>
        <v>127999.56057307926</v>
      </c>
      <c r="CZ247" s="1152">
        <f t="shared" si="546"/>
        <v>92452.269719249816</v>
      </c>
      <c r="DA247" s="1152">
        <f t="shared" si="547"/>
        <v>70360.433539019112</v>
      </c>
      <c r="DB247" s="1143">
        <f t="shared" si="486"/>
        <v>0.19597605314009869</v>
      </c>
      <c r="DC247" s="1143">
        <f t="shared" si="548"/>
        <v>0.33384020622984883</v>
      </c>
      <c r="DD247" s="1098" t="s">
        <v>232</v>
      </c>
      <c r="DE247" s="1144"/>
      <c r="DF247" s="705"/>
      <c r="DG247" s="765">
        <f t="shared" si="579"/>
        <v>46082</v>
      </c>
      <c r="DH247" s="1116">
        <f t="shared" si="487"/>
        <v>28</v>
      </c>
      <c r="DI247" s="497"/>
      <c r="DJ247" s="1117">
        <f t="shared" si="549"/>
        <v>46147</v>
      </c>
      <c r="DK247" s="1116">
        <f t="shared" si="550"/>
        <v>30</v>
      </c>
      <c r="DL247" s="766" t="s">
        <v>233</v>
      </c>
      <c r="DM247" s="766" t="s">
        <v>234</v>
      </c>
      <c r="DN247" s="767">
        <f t="shared" si="488"/>
        <v>29930.888115942347</v>
      </c>
      <c r="DO247" s="767">
        <f t="shared" si="489"/>
        <v>658479.53855073161</v>
      </c>
      <c r="DP247" s="768">
        <f t="shared" si="490"/>
        <v>0.21949317951691052</v>
      </c>
      <c r="DR247" s="767">
        <f t="shared" si="491"/>
        <v>4036358.427761964</v>
      </c>
      <c r="DS247" s="767">
        <f>SUM('[6]INTERNAL PRICELIST'!M247)</f>
        <v>0</v>
      </c>
      <c r="DT247" s="767">
        <f t="shared" si="551"/>
        <v>4036358.427761964</v>
      </c>
      <c r="DV247" s="951">
        <f t="shared" si="492"/>
        <v>183470.83762554382</v>
      </c>
      <c r="DX247" s="781"/>
      <c r="DY247" s="782"/>
      <c r="DZ247" s="781"/>
      <c r="EA247" s="775"/>
      <c r="ED247" s="755" t="s">
        <v>684</v>
      </c>
      <c r="EE247" s="777" t="b">
        <f t="shared" si="493"/>
        <v>1</v>
      </c>
      <c r="EF247" s="777"/>
      <c r="EG247" s="777"/>
      <c r="EH247" s="1203"/>
      <c r="EP247" s="1230" t="s">
        <v>236</v>
      </c>
      <c r="EQ247" s="1145" t="s">
        <v>236</v>
      </c>
      <c r="ER247" s="753" t="b">
        <f t="shared" si="552"/>
        <v>1</v>
      </c>
      <c r="EU247" s="770">
        <v>3133599.0274007288</v>
      </c>
      <c r="EV247" s="771" t="s">
        <v>258</v>
      </c>
      <c r="EW247" s="775">
        <f>EU247-CG247</f>
        <v>-902759.40036123525</v>
      </c>
      <c r="FJ247" s="994">
        <v>0.15</v>
      </c>
      <c r="FK247" s="993">
        <v>13486.5828155859</v>
      </c>
      <c r="FL247" s="993">
        <v>13851.085053844978</v>
      </c>
      <c r="FM247" s="497"/>
      <c r="FN247" s="993">
        <f t="shared" si="494"/>
        <v>4550994.1273016147</v>
      </c>
      <c r="FO247" s="994">
        <f t="shared" si="553"/>
        <v>0.15</v>
      </c>
      <c r="FP247" s="775">
        <f t="shared" si="495"/>
        <v>682649.11909524223</v>
      </c>
      <c r="FQ247" s="993">
        <f t="shared" si="496"/>
        <v>30000</v>
      </c>
      <c r="FR247" s="775">
        <f t="shared" si="554"/>
        <v>652649.11909524223</v>
      </c>
      <c r="FS247" s="497">
        <f t="shared" si="555"/>
        <v>40</v>
      </c>
      <c r="FT247" s="775">
        <f t="shared" si="556"/>
        <v>16316.227977381055</v>
      </c>
      <c r="FU247" s="497"/>
      <c r="FV247" s="993">
        <f t="shared" si="557"/>
        <v>4550994.1273016147</v>
      </c>
      <c r="FW247" s="705">
        <f t="shared" si="558"/>
        <v>455099.41273016151</v>
      </c>
      <c r="FX247" s="705">
        <f t="shared" si="559"/>
        <v>113774.85318254038</v>
      </c>
      <c r="FY247" s="705">
        <v>15000</v>
      </c>
      <c r="FZ247" s="705">
        <f t="shared" si="560"/>
        <v>440099.41273016151</v>
      </c>
      <c r="GA247" s="497">
        <f t="shared" si="561"/>
        <v>46</v>
      </c>
      <c r="GB247" s="775">
        <f t="shared" si="562"/>
        <v>9567.3785376122069</v>
      </c>
      <c r="GC247" s="497"/>
      <c r="GD247" s="497"/>
      <c r="GH247" s="1095">
        <f t="shared" si="461"/>
        <v>4550994.1273016147</v>
      </c>
      <c r="GI247" s="1098">
        <f t="shared" si="462"/>
        <v>0.125</v>
      </c>
      <c r="GJ247" s="1095">
        <f t="shared" si="463"/>
        <v>568874.26591270184</v>
      </c>
      <c r="GK247" s="1095">
        <f t="shared" si="464"/>
        <v>30000</v>
      </c>
      <c r="GL247" s="1095">
        <f t="shared" si="465"/>
        <v>538874.26591270184</v>
      </c>
      <c r="GM247" s="1095">
        <f t="shared" si="466"/>
        <v>29</v>
      </c>
      <c r="GN247" s="1095">
        <f t="shared" si="467"/>
        <v>18581.871238369029</v>
      </c>
      <c r="GO247" s="1098">
        <f t="shared" si="468"/>
        <v>0.875</v>
      </c>
      <c r="GP247" s="1095">
        <f t="shared" si="469"/>
        <v>3982119.8613889129</v>
      </c>
      <c r="GQ247" s="1095">
        <f t="shared" si="470"/>
        <v>30873.332900416048</v>
      </c>
      <c r="GR247" s="1095">
        <f t="shared" si="471"/>
        <v>35792.419093393029</v>
      </c>
      <c r="GS247" s="1095">
        <f t="shared" si="472"/>
        <v>46235.78811721447</v>
      </c>
      <c r="GT247" s="1095">
        <f t="shared" si="473"/>
        <v>78850.74598683104</v>
      </c>
      <c r="GU247" s="497"/>
      <c r="GV247" s="1095">
        <f t="shared" si="563"/>
        <v>4550994.1273016147</v>
      </c>
      <c r="GW247" s="1098">
        <f t="shared" si="564"/>
        <v>0.125</v>
      </c>
      <c r="GX247" s="1095">
        <f t="shared" si="565"/>
        <v>568874.26591270184</v>
      </c>
      <c r="GY247" s="1095">
        <f t="shared" si="566"/>
        <v>30000</v>
      </c>
      <c r="GZ247" s="1095">
        <f t="shared" si="567"/>
        <v>538874.26591270184</v>
      </c>
      <c r="HA247" s="1106">
        <f t="shared" si="568"/>
        <v>48</v>
      </c>
      <c r="HB247" s="770">
        <f t="shared" si="569"/>
        <v>11226.547206514622</v>
      </c>
      <c r="HC247" s="1098">
        <f t="shared" si="570"/>
        <v>0.875</v>
      </c>
      <c r="HD247" s="1102">
        <f t="shared" si="571"/>
        <v>3982119.8613889129</v>
      </c>
      <c r="HE247" s="1101">
        <f t="shared" si="572"/>
        <v>30873.332900416048</v>
      </c>
      <c r="HF247" s="1101">
        <f t="shared" si="573"/>
        <v>35792.419093393029</v>
      </c>
      <c r="HG247" s="1101">
        <f t="shared" si="574"/>
        <v>46235.78811721447</v>
      </c>
      <c r="HH247" s="1101">
        <f t="shared" si="575"/>
        <v>78850.74598683104</v>
      </c>
      <c r="HI247" s="497"/>
      <c r="HJ247" s="1102">
        <f t="shared" si="576"/>
        <v>-7355.3240318544067</v>
      </c>
      <c r="HL247" s="775"/>
      <c r="HN247" s="775"/>
      <c r="HO247" s="775"/>
      <c r="HQ247" s="702"/>
      <c r="HR247" s="1171"/>
      <c r="HS247" s="702"/>
      <c r="HT247" s="1171"/>
    </row>
    <row r="248" spans="1:228" ht="14.25" hidden="1" customHeight="1">
      <c r="A248" s="753">
        <f t="shared" si="577"/>
        <v>242</v>
      </c>
      <c r="B248" s="753"/>
      <c r="C248" s="753">
        <f t="shared" si="591"/>
        <v>25</v>
      </c>
      <c r="D248" s="753" t="s">
        <v>281</v>
      </c>
      <c r="E248" s="717" t="str">
        <f t="shared" si="497"/>
        <v>10th Floor</v>
      </c>
      <c r="F248" s="754"/>
      <c r="G248" s="756" t="s">
        <v>685</v>
      </c>
      <c r="H248" s="756"/>
      <c r="I248" s="755" t="s">
        <v>229</v>
      </c>
      <c r="J248" s="757">
        <v>22</v>
      </c>
      <c r="K248" s="758"/>
      <c r="L248" s="759" t="s">
        <v>69</v>
      </c>
      <c r="M248" s="760" t="s">
        <v>230</v>
      </c>
      <c r="N248" s="761">
        <f t="shared" si="498"/>
        <v>106005.26567735759</v>
      </c>
      <c r="O248" s="762">
        <f t="shared" si="499"/>
        <v>2332115.8449018667</v>
      </c>
      <c r="P248" s="762">
        <f t="shared" si="500"/>
        <v>22400</v>
      </c>
      <c r="Q248" s="762">
        <f t="shared" si="474"/>
        <v>50000</v>
      </c>
      <c r="R248" s="762"/>
      <c r="S248" s="762"/>
      <c r="T248" s="762"/>
      <c r="U248" s="762"/>
      <c r="V248" s="762">
        <f t="shared" ref="V248:V249" si="601">J248*$V$5</f>
        <v>55000</v>
      </c>
      <c r="W248" s="762"/>
      <c r="X248" s="762"/>
      <c r="Y248" s="762">
        <f t="shared" si="592"/>
        <v>120000</v>
      </c>
      <c r="Z248" s="762">
        <f t="shared" si="475"/>
        <v>142461</v>
      </c>
      <c r="AA248" s="762">
        <v>45722.732758620688</v>
      </c>
      <c r="AB248" s="762"/>
      <c r="AC248" s="762"/>
      <c r="AD248" s="763">
        <f t="shared" si="501"/>
        <v>435583.7327586207</v>
      </c>
      <c r="AE248" s="763">
        <f t="shared" si="476"/>
        <v>2767699.5776604875</v>
      </c>
      <c r="AF248" s="762">
        <f t="shared" si="477"/>
        <v>69192.489441512196</v>
      </c>
      <c r="AG248" s="762">
        <f t="shared" si="502"/>
        <v>2836892.0671019997</v>
      </c>
      <c r="AH248" s="762">
        <f t="shared" si="478"/>
        <v>70922.30167755</v>
      </c>
      <c r="AI248" s="762">
        <f t="shared" si="503"/>
        <v>2907814.3687795498</v>
      </c>
      <c r="AJ248" s="762">
        <f t="shared" si="504"/>
        <v>145390.71843897749</v>
      </c>
      <c r="AK248" s="762">
        <f t="shared" si="505"/>
        <v>3053205.0872185272</v>
      </c>
      <c r="AL248" s="762">
        <f t="shared" si="506"/>
        <v>30532.050872185271</v>
      </c>
      <c r="AM248" s="762">
        <f t="shared" si="507"/>
        <v>27537.409960060559</v>
      </c>
      <c r="AN248" s="762"/>
      <c r="AO248" s="763">
        <f t="shared" si="508"/>
        <v>3111274.5480507729</v>
      </c>
      <c r="AP248" s="763">
        <f t="shared" si="509"/>
        <v>513360.30042837752</v>
      </c>
      <c r="AQ248" s="763">
        <f t="shared" si="510"/>
        <v>3624634.8484791503</v>
      </c>
      <c r="AR248" s="1178">
        <f t="shared" si="479"/>
        <v>3000000</v>
      </c>
      <c r="AS248" s="1178">
        <f t="shared" si="511"/>
        <v>28392.493112688651</v>
      </c>
      <c r="AT248" s="1178">
        <f t="shared" si="512"/>
        <v>624634.84847915033</v>
      </c>
      <c r="AU248" s="1178">
        <f t="shared" si="480"/>
        <v>74956.181817498044</v>
      </c>
      <c r="AV248" s="1178">
        <f t="shared" si="513"/>
        <v>699591.03029664839</v>
      </c>
      <c r="AW248" s="1178">
        <f t="shared" si="514"/>
        <v>3699591.0302966484</v>
      </c>
      <c r="AX248" s="762">
        <f t="shared" si="515"/>
        <v>46244.887878708105</v>
      </c>
      <c r="AY248" s="717" t="s">
        <v>231</v>
      </c>
      <c r="AZ248" s="717">
        <f t="shared" si="516"/>
        <v>3745835.9181753565</v>
      </c>
      <c r="BA248" s="717">
        <f t="shared" si="517"/>
        <v>140468.84693157586</v>
      </c>
      <c r="BB248" s="717"/>
      <c r="BC248" s="717">
        <f t="shared" si="481"/>
        <v>33600</v>
      </c>
      <c r="BD248" s="717">
        <f t="shared" si="518"/>
        <v>3919904.7651069323</v>
      </c>
      <c r="BE248" s="717"/>
      <c r="BF248" s="717">
        <f t="shared" si="519"/>
        <v>3919904.7651069323</v>
      </c>
      <c r="BG248" s="1209"/>
      <c r="BH248" s="717">
        <f t="shared" si="520"/>
        <v>3919904.7651069323</v>
      </c>
      <c r="BI248" s="717"/>
      <c r="BJ248" s="717">
        <f t="shared" si="521"/>
        <v>3919904.7651069323</v>
      </c>
      <c r="BK248" s="717"/>
      <c r="BL248" s="717">
        <f t="shared" si="522"/>
        <v>3919904.7651069323</v>
      </c>
      <c r="BM248" s="717"/>
      <c r="BN248" s="717">
        <f t="shared" si="523"/>
        <v>3919904.7651069323</v>
      </c>
      <c r="BO248" s="717"/>
      <c r="BP248" s="717">
        <f t="shared" si="482"/>
        <v>3919904.7651069323</v>
      </c>
      <c r="BQ248" s="717"/>
      <c r="BR248" s="717">
        <f t="shared" si="584"/>
        <v>3919904.7651069323</v>
      </c>
      <c r="BS248" s="717"/>
      <c r="BT248" s="717">
        <f t="shared" si="524"/>
        <v>3919904.7651069323</v>
      </c>
      <c r="BU248" s="717"/>
      <c r="BV248" s="1235">
        <f t="shared" si="585"/>
        <v>51400</v>
      </c>
      <c r="BW248" s="717">
        <f t="shared" si="525"/>
        <v>3971304.7651069323</v>
      </c>
      <c r="BX248" s="717"/>
      <c r="BY248" s="717">
        <f t="shared" si="526"/>
        <v>3971304.7651069323</v>
      </c>
      <c r="BZ248" s="1194">
        <f t="shared" si="527"/>
        <v>3971304.7651069323</v>
      </c>
      <c r="CA248" s="1194">
        <f t="shared" si="528"/>
        <v>3036304.7651069323</v>
      </c>
      <c r="CB248" s="1194">
        <v>42500</v>
      </c>
      <c r="CC248" s="1194">
        <f t="shared" si="529"/>
        <v>935000</v>
      </c>
      <c r="CD248" s="1194">
        <f t="shared" si="530"/>
        <v>112200</v>
      </c>
      <c r="CE248" s="1194">
        <f t="shared" si="531"/>
        <v>1047200</v>
      </c>
      <c r="CF248" s="1200">
        <f t="shared" si="532"/>
        <v>4083504.7651069323</v>
      </c>
      <c r="CG248" s="757">
        <f t="shared" si="533"/>
        <v>4083504.7651069323</v>
      </c>
      <c r="CH248" s="758">
        <f t="shared" si="534"/>
        <v>0</v>
      </c>
      <c r="CI248" s="757">
        <f t="shared" si="483"/>
        <v>418559.23842346051</v>
      </c>
      <c r="CJ248" s="757">
        <f t="shared" si="484"/>
        <v>102087.61912767332</v>
      </c>
      <c r="CK248" s="759">
        <f t="shared" si="593"/>
        <v>4604151.6226580655</v>
      </c>
      <c r="CL248" s="764">
        <f t="shared" si="535"/>
        <v>0.125</v>
      </c>
      <c r="CM248" s="757">
        <f t="shared" si="536"/>
        <v>575518.95283225819</v>
      </c>
      <c r="CN248" s="757">
        <f t="shared" si="578"/>
        <v>30000</v>
      </c>
      <c r="CO248" s="757">
        <f t="shared" si="537"/>
        <v>545518.95283225819</v>
      </c>
      <c r="CP248" s="755">
        <f t="shared" si="538"/>
        <v>29</v>
      </c>
      <c r="CQ248" s="757">
        <f t="shared" si="581"/>
        <v>18810.998373526145</v>
      </c>
      <c r="CR248" s="764">
        <f t="shared" si="539"/>
        <v>0.875</v>
      </c>
      <c r="CS248" s="757">
        <f t="shared" si="540"/>
        <v>4028632.6698258072</v>
      </c>
      <c r="CT248" s="1101">
        <f t="shared" si="541"/>
        <v>31233.946209153735</v>
      </c>
      <c r="CU248" s="1101">
        <f t="shared" si="542"/>
        <v>36210.489365191272</v>
      </c>
      <c r="CV248" s="1101">
        <f t="shared" si="543"/>
        <v>46775.841262393966</v>
      </c>
      <c r="CW248" s="1141">
        <f t="shared" si="485"/>
        <v>79771.755341359225</v>
      </c>
      <c r="CX248" s="1152">
        <f t="shared" si="544"/>
        <v>327258.63683644327</v>
      </c>
      <c r="CY248" s="1152">
        <f t="shared" si="545"/>
        <v>129494.64842783452</v>
      </c>
      <c r="CZ248" s="1152">
        <f t="shared" si="546"/>
        <v>93532.150501519311</v>
      </c>
      <c r="DA248" s="1152">
        <f t="shared" si="547"/>
        <v>71182.27252946973</v>
      </c>
      <c r="DB248" s="1143">
        <f t="shared" si="486"/>
        <v>0.20821161615971678</v>
      </c>
      <c r="DC248" s="1143">
        <f t="shared" si="548"/>
        <v>0.34489291458300625</v>
      </c>
      <c r="DD248" s="1098" t="s">
        <v>232</v>
      </c>
      <c r="DE248" s="1144"/>
      <c r="DF248" s="705"/>
      <c r="DG248" s="765">
        <f t="shared" si="579"/>
        <v>46082</v>
      </c>
      <c r="DH248" s="1116">
        <f t="shared" si="487"/>
        <v>28</v>
      </c>
      <c r="DI248" s="497"/>
      <c r="DJ248" s="1117">
        <f t="shared" si="549"/>
        <v>46147</v>
      </c>
      <c r="DK248" s="1116">
        <f t="shared" si="550"/>
        <v>30</v>
      </c>
      <c r="DL248" s="766" t="s">
        <v>233</v>
      </c>
      <c r="DM248" s="766" t="s">
        <v>234</v>
      </c>
      <c r="DN248" s="767">
        <f t="shared" si="488"/>
        <v>31799.592286211289</v>
      </c>
      <c r="DO248" s="767">
        <f t="shared" si="489"/>
        <v>699591.03029664839</v>
      </c>
      <c r="DP248" s="768">
        <f t="shared" si="490"/>
        <v>0.2331970100988828</v>
      </c>
      <c r="DR248" s="767">
        <f t="shared" si="491"/>
        <v>4083504.7651069323</v>
      </c>
      <c r="DS248" s="767">
        <f>SUM('[6]INTERNAL PRICELIST'!M248)</f>
        <v>0</v>
      </c>
      <c r="DT248" s="767">
        <f t="shared" si="551"/>
        <v>4083504.7651069323</v>
      </c>
      <c r="DV248" s="951">
        <f t="shared" si="492"/>
        <v>185613.85295940601</v>
      </c>
      <c r="DX248" s="781"/>
      <c r="DY248" s="782"/>
      <c r="DZ248" s="781"/>
      <c r="EA248" s="775"/>
      <c r="ED248" s="1133" t="s">
        <v>685</v>
      </c>
      <c r="EE248" s="777" t="b">
        <f t="shared" si="493"/>
        <v>1</v>
      </c>
      <c r="EF248" s="777"/>
      <c r="EG248" s="777"/>
      <c r="EH248" s="1203"/>
      <c r="EP248" s="1230" t="s">
        <v>236</v>
      </c>
      <c r="EQ248" s="1145" t="s">
        <v>236</v>
      </c>
      <c r="ER248" s="753" t="b">
        <f t="shared" si="552"/>
        <v>1</v>
      </c>
      <c r="EU248" s="770">
        <v>3260818.0978750587</v>
      </c>
      <c r="EV248" s="771" t="s">
        <v>258</v>
      </c>
      <c r="EW248" s="775">
        <f>EU248-CG248</f>
        <v>-822686.66723187361</v>
      </c>
      <c r="FJ248" s="994">
        <v>0.15</v>
      </c>
      <c r="FK248" s="993">
        <v>14045.154144209066</v>
      </c>
      <c r="FL248" s="993">
        <v>14424.752904863364</v>
      </c>
      <c r="FM248" s="497"/>
      <c r="FN248" s="993">
        <f t="shared" si="494"/>
        <v>4604151.6226580655</v>
      </c>
      <c r="FO248" s="994">
        <f t="shared" si="553"/>
        <v>0.15</v>
      </c>
      <c r="FP248" s="775">
        <f t="shared" si="495"/>
        <v>690622.7433987098</v>
      </c>
      <c r="FQ248" s="993">
        <f t="shared" si="496"/>
        <v>30000</v>
      </c>
      <c r="FR248" s="775">
        <f t="shared" si="554"/>
        <v>660622.7433987098</v>
      </c>
      <c r="FS248" s="497">
        <f t="shared" si="555"/>
        <v>40</v>
      </c>
      <c r="FT248" s="775">
        <f t="shared" si="556"/>
        <v>16515.568584967747</v>
      </c>
      <c r="FU248" s="497"/>
      <c r="FV248" s="993">
        <f t="shared" si="557"/>
        <v>4604151.6226580655</v>
      </c>
      <c r="FW248" s="705">
        <f t="shared" si="558"/>
        <v>460415.16226580658</v>
      </c>
      <c r="FX248" s="705">
        <f t="shared" si="559"/>
        <v>115103.79056645164</v>
      </c>
      <c r="FY248" s="705">
        <v>15000</v>
      </c>
      <c r="FZ248" s="705">
        <f t="shared" si="560"/>
        <v>445415.16226580658</v>
      </c>
      <c r="GA248" s="497">
        <f t="shared" si="561"/>
        <v>46</v>
      </c>
      <c r="GB248" s="775">
        <f t="shared" si="562"/>
        <v>9682.9383101262301</v>
      </c>
      <c r="GC248" s="497"/>
      <c r="GD248" s="497"/>
      <c r="GH248" s="1095">
        <f t="shared" si="461"/>
        <v>4604151.6226580655</v>
      </c>
      <c r="GI248" s="1098">
        <f t="shared" si="462"/>
        <v>0.125</v>
      </c>
      <c r="GJ248" s="1095">
        <f t="shared" si="463"/>
        <v>575518.95283225819</v>
      </c>
      <c r="GK248" s="1095">
        <f t="shared" si="464"/>
        <v>30000</v>
      </c>
      <c r="GL248" s="1095">
        <f t="shared" si="465"/>
        <v>545518.95283225819</v>
      </c>
      <c r="GM248" s="1095">
        <f t="shared" si="466"/>
        <v>29</v>
      </c>
      <c r="GN248" s="1095">
        <f t="shared" si="467"/>
        <v>18810.998373526145</v>
      </c>
      <c r="GO248" s="1098">
        <f t="shared" si="468"/>
        <v>0.875</v>
      </c>
      <c r="GP248" s="1095">
        <f t="shared" si="469"/>
        <v>4028632.6698258072</v>
      </c>
      <c r="GQ248" s="1095">
        <f t="shared" si="470"/>
        <v>31233.946209153735</v>
      </c>
      <c r="GR248" s="1095">
        <f t="shared" si="471"/>
        <v>36210.489365191272</v>
      </c>
      <c r="GS248" s="1095">
        <f t="shared" si="472"/>
        <v>46775.841262393966</v>
      </c>
      <c r="GT248" s="1095">
        <f t="shared" si="473"/>
        <v>79771.755341359225</v>
      </c>
      <c r="GU248" s="497"/>
      <c r="GV248" s="1095">
        <f t="shared" si="563"/>
        <v>4604151.6226580655</v>
      </c>
      <c r="GW248" s="1098">
        <f t="shared" si="564"/>
        <v>0.125</v>
      </c>
      <c r="GX248" s="1095">
        <f t="shared" si="565"/>
        <v>575518.95283225819</v>
      </c>
      <c r="GY248" s="1095">
        <f t="shared" si="566"/>
        <v>30000</v>
      </c>
      <c r="GZ248" s="1095">
        <f t="shared" si="567"/>
        <v>545518.95283225819</v>
      </c>
      <c r="HA248" s="1106">
        <f t="shared" si="568"/>
        <v>48</v>
      </c>
      <c r="HB248" s="770">
        <f t="shared" si="569"/>
        <v>11364.978184005378</v>
      </c>
      <c r="HC248" s="1098">
        <f t="shared" si="570"/>
        <v>0.875</v>
      </c>
      <c r="HD248" s="1102">
        <f t="shared" si="571"/>
        <v>4028632.6698258072</v>
      </c>
      <c r="HE248" s="1101">
        <f t="shared" si="572"/>
        <v>31233.946209153735</v>
      </c>
      <c r="HF248" s="1101">
        <f t="shared" si="573"/>
        <v>36210.489365191272</v>
      </c>
      <c r="HG248" s="1101">
        <f t="shared" si="574"/>
        <v>46775.841262393966</v>
      </c>
      <c r="HH248" s="1101">
        <f t="shared" si="575"/>
        <v>79771.755341359225</v>
      </c>
      <c r="HI248" s="497"/>
      <c r="HJ248" s="1102">
        <f t="shared" si="576"/>
        <v>-7446.0201895207665</v>
      </c>
      <c r="HL248" s="775"/>
      <c r="HN248" s="775"/>
      <c r="HO248" s="775"/>
      <c r="HQ248" s="702"/>
      <c r="HR248" s="1171"/>
      <c r="HS248" s="702"/>
      <c r="HT248" s="1171"/>
    </row>
    <row r="249" spans="1:228" ht="14.25" hidden="1" customHeight="1">
      <c r="A249" s="753">
        <f t="shared" si="577"/>
        <v>243</v>
      </c>
      <c r="B249" s="753"/>
      <c r="C249" s="753">
        <f t="shared" si="591"/>
        <v>26</v>
      </c>
      <c r="D249" s="753" t="s">
        <v>281</v>
      </c>
      <c r="E249" s="717" t="str">
        <f t="shared" si="497"/>
        <v>10th Floor</v>
      </c>
      <c r="F249" s="754"/>
      <c r="G249" s="756" t="s">
        <v>686</v>
      </c>
      <c r="H249" s="756"/>
      <c r="I249" s="755" t="s">
        <v>229</v>
      </c>
      <c r="J249" s="757">
        <v>22</v>
      </c>
      <c r="K249" s="758"/>
      <c r="L249" s="759" t="s">
        <v>277</v>
      </c>
      <c r="M249" s="760" t="s">
        <v>230</v>
      </c>
      <c r="N249" s="761">
        <f t="shared" si="498"/>
        <v>106005.26567735759</v>
      </c>
      <c r="O249" s="762">
        <f t="shared" si="499"/>
        <v>2332115.8449018667</v>
      </c>
      <c r="P249" s="762">
        <f t="shared" si="500"/>
        <v>22400</v>
      </c>
      <c r="Q249" s="762">
        <f t="shared" si="474"/>
        <v>50000</v>
      </c>
      <c r="R249" s="762"/>
      <c r="S249" s="762"/>
      <c r="T249" s="762"/>
      <c r="U249" s="762"/>
      <c r="V249" s="762">
        <f t="shared" si="601"/>
        <v>55000</v>
      </c>
      <c r="W249" s="762"/>
      <c r="X249" s="762"/>
      <c r="Y249" s="762">
        <f t="shared" si="592"/>
        <v>120000</v>
      </c>
      <c r="Z249" s="762">
        <f t="shared" si="475"/>
        <v>142461</v>
      </c>
      <c r="AA249" s="762">
        <v>49222.732758620703</v>
      </c>
      <c r="AB249" s="762"/>
      <c r="AC249" s="762"/>
      <c r="AD249" s="763">
        <f t="shared" si="501"/>
        <v>439083.7327586207</v>
      </c>
      <c r="AE249" s="763">
        <f t="shared" si="476"/>
        <v>2771199.5776604875</v>
      </c>
      <c r="AF249" s="762">
        <f t="shared" si="477"/>
        <v>69279.989441512196</v>
      </c>
      <c r="AG249" s="762">
        <f t="shared" si="502"/>
        <v>2840479.5671019997</v>
      </c>
      <c r="AH249" s="762">
        <f t="shared" si="478"/>
        <v>71011.98917755</v>
      </c>
      <c r="AI249" s="762">
        <f t="shared" si="503"/>
        <v>2911491.5562795498</v>
      </c>
      <c r="AJ249" s="762">
        <f t="shared" si="504"/>
        <v>145574.57781397749</v>
      </c>
      <c r="AK249" s="762">
        <f t="shared" si="505"/>
        <v>3057066.1340935272</v>
      </c>
      <c r="AL249" s="762">
        <f>AK249*AL$5+29772.4420833333</f>
        <v>60343.103424268571</v>
      </c>
      <c r="AM249" s="762">
        <f t="shared" si="507"/>
        <v>27537.409960060559</v>
      </c>
      <c r="AN249" s="762"/>
      <c r="AO249" s="763">
        <f t="shared" si="508"/>
        <v>3144946.6474778564</v>
      </c>
      <c r="AP249" s="763">
        <f t="shared" si="509"/>
        <v>518916.19683384633</v>
      </c>
      <c r="AQ249" s="763">
        <f t="shared" si="510"/>
        <v>3663862.8443117025</v>
      </c>
      <c r="AR249" s="1178">
        <f t="shared" si="479"/>
        <v>3000000</v>
      </c>
      <c r="AS249" s="1178">
        <f t="shared" si="511"/>
        <v>30175.583832350116</v>
      </c>
      <c r="AT249" s="1178">
        <f t="shared" si="512"/>
        <v>663862.84431170253</v>
      </c>
      <c r="AU249" s="1178">
        <f t="shared" si="480"/>
        <v>79663.541317404306</v>
      </c>
      <c r="AV249" s="1178">
        <f t="shared" si="513"/>
        <v>743526.38562910678</v>
      </c>
      <c r="AW249" s="1178">
        <f t="shared" si="514"/>
        <v>3743526.3856291068</v>
      </c>
      <c r="AX249" s="762">
        <f t="shared" si="515"/>
        <v>46794.079820363841</v>
      </c>
      <c r="AY249" s="717">
        <v>7575.3956645161297</v>
      </c>
      <c r="AZ249" s="717">
        <f t="shared" si="516"/>
        <v>3797895.8611139865</v>
      </c>
      <c r="BA249" s="717">
        <f t="shared" si="517"/>
        <v>142421.09479177449</v>
      </c>
      <c r="BB249" s="717"/>
      <c r="BC249" s="717">
        <f t="shared" si="481"/>
        <v>33600</v>
      </c>
      <c r="BD249" s="717">
        <f t="shared" si="518"/>
        <v>3973916.9559057611</v>
      </c>
      <c r="BE249" s="717">
        <v>18367.830916129038</v>
      </c>
      <c r="BF249" s="717">
        <f t="shared" si="519"/>
        <v>3992284.7868218902</v>
      </c>
      <c r="BG249" s="1209"/>
      <c r="BH249" s="717">
        <f t="shared" si="520"/>
        <v>3992284.7868218902</v>
      </c>
      <c r="BI249" s="717">
        <v>718.43902439024396</v>
      </c>
      <c r="BJ249" s="717">
        <f t="shared" si="521"/>
        <v>3993003.2258462803</v>
      </c>
      <c r="BK249" s="717"/>
      <c r="BL249" s="717">
        <f t="shared" si="522"/>
        <v>3993003.2258462803</v>
      </c>
      <c r="BM249" s="717"/>
      <c r="BN249" s="717">
        <f t="shared" si="523"/>
        <v>3993003.2258462803</v>
      </c>
      <c r="BO249" s="717"/>
      <c r="BP249" s="717">
        <f t="shared" si="482"/>
        <v>3993003.2258462803</v>
      </c>
      <c r="BQ249" s="717"/>
      <c r="BR249" s="717">
        <f t="shared" si="584"/>
        <v>3993003.2258462803</v>
      </c>
      <c r="BS249" s="717"/>
      <c r="BT249" s="717">
        <f t="shared" si="524"/>
        <v>3993003.2258462803</v>
      </c>
      <c r="BU249" s="717"/>
      <c r="BV249" s="1235">
        <f t="shared" si="585"/>
        <v>51400</v>
      </c>
      <c r="BW249" s="717">
        <f t="shared" si="525"/>
        <v>4044403.2258462803</v>
      </c>
      <c r="BX249" s="717"/>
      <c r="BY249" s="717">
        <f t="shared" si="526"/>
        <v>4044403.2258462803</v>
      </c>
      <c r="BZ249" s="1194">
        <f t="shared" si="527"/>
        <v>4044403.2258462803</v>
      </c>
      <c r="CA249" s="1194">
        <f t="shared" si="528"/>
        <v>3032403.2258462803</v>
      </c>
      <c r="CB249" s="1194">
        <v>46000</v>
      </c>
      <c r="CC249" s="1194">
        <f t="shared" si="529"/>
        <v>1012000</v>
      </c>
      <c r="CD249" s="1194">
        <f t="shared" si="530"/>
        <v>121440</v>
      </c>
      <c r="CE249" s="1194">
        <f t="shared" si="531"/>
        <v>1133440</v>
      </c>
      <c r="CF249" s="1200">
        <f t="shared" si="532"/>
        <v>4165843.2258462803</v>
      </c>
      <c r="CG249" s="757">
        <f t="shared" si="533"/>
        <v>4165843.2258462803</v>
      </c>
      <c r="CH249" s="758">
        <f t="shared" si="534"/>
        <v>0</v>
      </c>
      <c r="CI249" s="757">
        <f t="shared" si="483"/>
        <v>426998.9306492437</v>
      </c>
      <c r="CJ249" s="757">
        <f t="shared" si="484"/>
        <v>104146.08064615702</v>
      </c>
      <c r="CK249" s="759">
        <f t="shared" si="593"/>
        <v>4696988.2371416809</v>
      </c>
      <c r="CL249" s="764">
        <f t="shared" si="535"/>
        <v>0.125</v>
      </c>
      <c r="CM249" s="757">
        <f t="shared" si="536"/>
        <v>587123.52964271011</v>
      </c>
      <c r="CN249" s="757">
        <f t="shared" si="578"/>
        <v>30000</v>
      </c>
      <c r="CO249" s="757">
        <f t="shared" si="537"/>
        <v>557123.52964271011</v>
      </c>
      <c r="CP249" s="755">
        <f t="shared" si="538"/>
        <v>29</v>
      </c>
      <c r="CQ249" s="757">
        <f t="shared" si="581"/>
        <v>19211.156194576211</v>
      </c>
      <c r="CR249" s="764">
        <f t="shared" si="539"/>
        <v>0.875</v>
      </c>
      <c r="CS249" s="757">
        <f t="shared" si="540"/>
        <v>4109864.7074989709</v>
      </c>
      <c r="CT249" s="1101">
        <f t="shared" si="541"/>
        <v>31863.737332615296</v>
      </c>
      <c r="CU249" s="1101">
        <f t="shared" si="542"/>
        <v>36940.625884787158</v>
      </c>
      <c r="CV249" s="1101">
        <f t="shared" si="543"/>
        <v>47719.014098200074</v>
      </c>
      <c r="CW249" s="1141">
        <f t="shared" si="485"/>
        <v>81380.247047162688</v>
      </c>
      <c r="CX249" s="1152">
        <f t="shared" si="544"/>
        <v>333857.37345382653</v>
      </c>
      <c r="CY249" s="1152">
        <f t="shared" si="545"/>
        <v>132105.73636304151</v>
      </c>
      <c r="CZ249" s="1152">
        <f t="shared" si="546"/>
        <v>95418.102335772768</v>
      </c>
      <c r="DA249" s="1152">
        <f t="shared" si="547"/>
        <v>72617.568700074757</v>
      </c>
      <c r="DB249" s="1143">
        <f t="shared" si="486"/>
        <v>0.22128761477056752</v>
      </c>
      <c r="DC249" s="1143">
        <f t="shared" si="548"/>
        <v>0.37377614900923362</v>
      </c>
      <c r="DD249" s="1098" t="s">
        <v>232</v>
      </c>
      <c r="DE249" s="1144"/>
      <c r="DF249" s="705"/>
      <c r="DG249" s="765">
        <f t="shared" si="579"/>
        <v>46082</v>
      </c>
      <c r="DH249" s="1116">
        <f t="shared" si="487"/>
        <v>28</v>
      </c>
      <c r="DI249" s="497"/>
      <c r="DJ249" s="1117">
        <f t="shared" si="549"/>
        <v>46147</v>
      </c>
      <c r="DK249" s="1116">
        <f t="shared" si="550"/>
        <v>30</v>
      </c>
      <c r="DL249" s="766" t="s">
        <v>233</v>
      </c>
      <c r="DM249" s="766" t="s">
        <v>234</v>
      </c>
      <c r="DN249" s="767">
        <f t="shared" si="488"/>
        <v>33796.653892232127</v>
      </c>
      <c r="DO249" s="767">
        <f t="shared" si="489"/>
        <v>743526.38562910678</v>
      </c>
      <c r="DP249" s="768">
        <f t="shared" si="490"/>
        <v>0.24784212854303558</v>
      </c>
      <c r="DR249" s="767">
        <f t="shared" si="491"/>
        <v>4165843.2258462803</v>
      </c>
      <c r="DS249" s="767">
        <f>SUM('[6]INTERNAL PRICELIST'!M249)</f>
        <v>0</v>
      </c>
      <c r="DT249" s="767">
        <f t="shared" si="551"/>
        <v>4165843.2258462803</v>
      </c>
      <c r="DV249" s="951">
        <f t="shared" si="492"/>
        <v>189356.51026574001</v>
      </c>
      <c r="DX249" s="781"/>
      <c r="DY249" s="782"/>
      <c r="DZ249" s="781"/>
      <c r="EA249" s="775"/>
      <c r="ED249" s="1133" t="s">
        <v>686</v>
      </c>
      <c r="EE249" s="777" t="b">
        <f t="shared" si="493"/>
        <v>1</v>
      </c>
      <c r="EF249" s="777"/>
      <c r="EG249" s="777"/>
      <c r="EH249" s="1203"/>
      <c r="EP249" s="1230" t="s">
        <v>236</v>
      </c>
      <c r="EQ249" s="1145" t="s">
        <v>236</v>
      </c>
      <c r="ER249" s="823" t="b">
        <f t="shared" si="552"/>
        <v>1</v>
      </c>
      <c r="EU249" s="770">
        <v>3260818.0978750587</v>
      </c>
      <c r="EV249" s="771" t="s">
        <v>258</v>
      </c>
      <c r="EW249" s="775">
        <f>EU249-CG249</f>
        <v>-905025.12797122169</v>
      </c>
      <c r="EY249" s="775">
        <v>3226299.9284275831</v>
      </c>
      <c r="FJ249" s="994">
        <v>0.15</v>
      </c>
      <c r="FK249" s="993">
        <v>14045.154144209066</v>
      </c>
      <c r="FL249" s="993">
        <v>14424.752904863364</v>
      </c>
      <c r="FM249" s="497"/>
      <c r="FN249" s="993">
        <f t="shared" si="494"/>
        <v>4696988.2371416809</v>
      </c>
      <c r="FO249" s="994">
        <f t="shared" ref="FO249:FO253" si="602">FJ249</f>
        <v>0.15</v>
      </c>
      <c r="FP249" s="775">
        <f t="shared" si="495"/>
        <v>704548.23557125207</v>
      </c>
      <c r="FQ249" s="993">
        <f t="shared" si="496"/>
        <v>30000</v>
      </c>
      <c r="FR249" s="775">
        <f t="shared" si="554"/>
        <v>674548.23557125207</v>
      </c>
      <c r="FS249" s="497">
        <f t="shared" si="555"/>
        <v>40</v>
      </c>
      <c r="FT249" s="775">
        <f t="shared" si="556"/>
        <v>16863.7058892813</v>
      </c>
      <c r="FU249" s="497"/>
      <c r="FV249" s="993">
        <f t="shared" si="557"/>
        <v>4696988.2371416809</v>
      </c>
      <c r="FW249" s="705">
        <f t="shared" si="558"/>
        <v>469698.8237141681</v>
      </c>
      <c r="FX249" s="705">
        <f t="shared" si="559"/>
        <v>117424.70592854203</v>
      </c>
      <c r="FY249" s="705">
        <v>15000</v>
      </c>
      <c r="FZ249" s="705">
        <f t="shared" si="560"/>
        <v>454698.8237141681</v>
      </c>
      <c r="GA249" s="497">
        <f t="shared" si="561"/>
        <v>46</v>
      </c>
      <c r="GB249" s="775">
        <f t="shared" si="562"/>
        <v>9884.7570372645241</v>
      </c>
      <c r="GC249" s="497"/>
      <c r="GD249" s="497"/>
      <c r="GH249" s="1095">
        <f t="shared" si="461"/>
        <v>4696988.2371416809</v>
      </c>
      <c r="GI249" s="1098">
        <f t="shared" si="462"/>
        <v>0.125</v>
      </c>
      <c r="GJ249" s="1095">
        <f t="shared" si="463"/>
        <v>587123.52964271011</v>
      </c>
      <c r="GK249" s="1095">
        <f t="shared" si="464"/>
        <v>30000</v>
      </c>
      <c r="GL249" s="1095">
        <f t="shared" si="465"/>
        <v>557123.52964271011</v>
      </c>
      <c r="GM249" s="1095">
        <f t="shared" si="466"/>
        <v>29</v>
      </c>
      <c r="GN249" s="1095">
        <f t="shared" si="467"/>
        <v>19211.156194576211</v>
      </c>
      <c r="GO249" s="1098">
        <f t="shared" si="468"/>
        <v>0.875</v>
      </c>
      <c r="GP249" s="1095">
        <f t="shared" si="469"/>
        <v>4109864.7074989709</v>
      </c>
      <c r="GQ249" s="1095">
        <f t="shared" si="470"/>
        <v>31863.737332615296</v>
      </c>
      <c r="GR249" s="1095">
        <f t="shared" si="471"/>
        <v>36940.625884787158</v>
      </c>
      <c r="GS249" s="1095">
        <f t="shared" si="472"/>
        <v>47719.014098200074</v>
      </c>
      <c r="GT249" s="1095">
        <f t="shared" si="473"/>
        <v>81380.247047162688</v>
      </c>
      <c r="GU249" s="497"/>
      <c r="GV249" s="1095">
        <f t="shared" si="563"/>
        <v>4696988.2371416809</v>
      </c>
      <c r="GW249" s="1098">
        <f t="shared" si="564"/>
        <v>0.125</v>
      </c>
      <c r="GX249" s="1095">
        <f t="shared" si="565"/>
        <v>587123.52964271011</v>
      </c>
      <c r="GY249" s="1095">
        <f t="shared" si="566"/>
        <v>30000</v>
      </c>
      <c r="GZ249" s="1095">
        <f t="shared" si="567"/>
        <v>557123.52964271011</v>
      </c>
      <c r="HA249" s="1106">
        <f t="shared" si="568"/>
        <v>48</v>
      </c>
      <c r="HB249" s="770">
        <f t="shared" si="569"/>
        <v>11606.740200889793</v>
      </c>
      <c r="HC249" s="1098">
        <f t="shared" si="570"/>
        <v>0.875</v>
      </c>
      <c r="HD249" s="1102">
        <f t="shared" si="571"/>
        <v>4109864.7074989709</v>
      </c>
      <c r="HE249" s="1101">
        <f t="shared" si="572"/>
        <v>31863.737332615296</v>
      </c>
      <c r="HF249" s="1101">
        <f t="shared" si="573"/>
        <v>36940.625884787158</v>
      </c>
      <c r="HG249" s="1101">
        <f t="shared" si="574"/>
        <v>47719.014098200074</v>
      </c>
      <c r="HH249" s="1101">
        <f t="shared" si="575"/>
        <v>81380.247047162688</v>
      </c>
      <c r="HI249" s="497"/>
      <c r="HJ249" s="1102">
        <f t="shared" si="576"/>
        <v>-7604.415993686418</v>
      </c>
      <c r="HL249" s="775"/>
      <c r="HN249" s="775"/>
      <c r="HO249" s="775"/>
      <c r="HQ249" s="702"/>
      <c r="HR249" s="1171"/>
      <c r="HS249" s="702"/>
      <c r="HT249" s="1171"/>
    </row>
    <row r="250" spans="1:228" ht="14.25" hidden="1" customHeight="1">
      <c r="A250" s="753">
        <f t="shared" si="577"/>
        <v>244</v>
      </c>
      <c r="B250" s="753"/>
      <c r="C250" s="753">
        <f t="shared" si="591"/>
        <v>27</v>
      </c>
      <c r="D250" s="753" t="s">
        <v>281</v>
      </c>
      <c r="E250" s="717" t="str">
        <f t="shared" si="497"/>
        <v>10th Floor</v>
      </c>
      <c r="F250" s="754"/>
      <c r="G250" s="756" t="s">
        <v>687</v>
      </c>
      <c r="H250" s="756"/>
      <c r="I250" s="755" t="s">
        <v>229</v>
      </c>
      <c r="J250" s="757">
        <v>22</v>
      </c>
      <c r="K250" s="758"/>
      <c r="L250" s="759" t="s">
        <v>277</v>
      </c>
      <c r="M250" s="760" t="s">
        <v>278</v>
      </c>
      <c r="N250" s="761">
        <f t="shared" si="498"/>
        <v>106005.26567735759</v>
      </c>
      <c r="O250" s="762">
        <f t="shared" si="499"/>
        <v>2332115.8449018667</v>
      </c>
      <c r="P250" s="762">
        <f t="shared" si="500"/>
        <v>22400</v>
      </c>
      <c r="Q250" s="762">
        <f t="shared" si="474"/>
        <v>50000</v>
      </c>
      <c r="R250" s="762"/>
      <c r="S250" s="762"/>
      <c r="T250" s="762"/>
      <c r="U250" s="762"/>
      <c r="V250" s="762"/>
      <c r="W250" s="762">
        <f t="shared" ref="W250:W251" si="603">J250*$W$5</f>
        <v>22000</v>
      </c>
      <c r="X250" s="762"/>
      <c r="Y250" s="762">
        <f t="shared" si="592"/>
        <v>120000</v>
      </c>
      <c r="Z250" s="762">
        <f t="shared" si="475"/>
        <v>142461</v>
      </c>
      <c r="AA250" s="762">
        <v>45722.732758620688</v>
      </c>
      <c r="AB250" s="762"/>
      <c r="AC250" s="762"/>
      <c r="AD250" s="763">
        <f t="shared" si="501"/>
        <v>402583.7327586207</v>
      </c>
      <c r="AE250" s="763">
        <f t="shared" si="476"/>
        <v>2734699.5776604875</v>
      </c>
      <c r="AF250" s="762">
        <f t="shared" si="477"/>
        <v>68367.489441512196</v>
      </c>
      <c r="AG250" s="762">
        <f t="shared" si="502"/>
        <v>2803067.0671019997</v>
      </c>
      <c r="AH250" s="762">
        <f t="shared" si="478"/>
        <v>70076.67667755</v>
      </c>
      <c r="AI250" s="762">
        <f t="shared" si="503"/>
        <v>2873143.7437795498</v>
      </c>
      <c r="AJ250" s="762">
        <f t="shared" si="504"/>
        <v>143657.18718897749</v>
      </c>
      <c r="AK250" s="762">
        <f t="shared" si="505"/>
        <v>3016800.9309685272</v>
      </c>
      <c r="AL250" s="762">
        <f t="shared" si="506"/>
        <v>30168.009309685272</v>
      </c>
      <c r="AM250" s="762">
        <f t="shared" si="507"/>
        <v>27537.409960060559</v>
      </c>
      <c r="AN250" s="762"/>
      <c r="AO250" s="763">
        <f t="shared" si="508"/>
        <v>3074506.3502382729</v>
      </c>
      <c r="AP250" s="763">
        <f t="shared" si="509"/>
        <v>507293.54778931505</v>
      </c>
      <c r="AQ250" s="763">
        <f t="shared" si="510"/>
        <v>3581799.8980275881</v>
      </c>
      <c r="AR250" s="1178">
        <f t="shared" si="479"/>
        <v>3000000</v>
      </c>
      <c r="AS250" s="1178">
        <f t="shared" si="511"/>
        <v>26445.449910344916</v>
      </c>
      <c r="AT250" s="1178">
        <f t="shared" si="512"/>
        <v>581799.89802758815</v>
      </c>
      <c r="AU250" s="1178">
        <f t="shared" si="480"/>
        <v>69815.987763310579</v>
      </c>
      <c r="AV250" s="1178">
        <f t="shared" si="513"/>
        <v>651615.8857908987</v>
      </c>
      <c r="AW250" s="1178">
        <f t="shared" si="514"/>
        <v>3651615.8857908989</v>
      </c>
      <c r="AX250" s="762">
        <f t="shared" si="515"/>
        <v>45645.198572386238</v>
      </c>
      <c r="AY250" s="717" t="s">
        <v>231</v>
      </c>
      <c r="AZ250" s="717">
        <f t="shared" si="516"/>
        <v>3697261.084363285</v>
      </c>
      <c r="BA250" s="717">
        <f t="shared" si="517"/>
        <v>138647.29066362319</v>
      </c>
      <c r="BB250" s="717"/>
      <c r="BC250" s="717">
        <f t="shared" si="481"/>
        <v>33600</v>
      </c>
      <c r="BD250" s="717">
        <f t="shared" si="518"/>
        <v>3869508.3750269082</v>
      </c>
      <c r="BE250" s="717"/>
      <c r="BF250" s="717">
        <f t="shared" si="519"/>
        <v>3869508.3750269082</v>
      </c>
      <c r="BG250" s="1209"/>
      <c r="BH250" s="717">
        <f t="shared" si="520"/>
        <v>3869508.3750269082</v>
      </c>
      <c r="BI250" s="717"/>
      <c r="BJ250" s="717">
        <f t="shared" si="521"/>
        <v>3869508.3750269082</v>
      </c>
      <c r="BK250" s="717"/>
      <c r="BL250" s="717">
        <f t="shared" si="522"/>
        <v>3869508.3750269082</v>
      </c>
      <c r="BM250" s="717"/>
      <c r="BN250" s="717">
        <f t="shared" si="523"/>
        <v>3869508.3750269082</v>
      </c>
      <c r="BO250" s="717"/>
      <c r="BP250" s="717">
        <f t="shared" si="482"/>
        <v>3869508.3750269082</v>
      </c>
      <c r="BQ250" s="717"/>
      <c r="BR250" s="717">
        <f t="shared" si="584"/>
        <v>3869508.3750269082</v>
      </c>
      <c r="BS250" s="717"/>
      <c r="BT250" s="717">
        <f t="shared" si="524"/>
        <v>3869508.3750269082</v>
      </c>
      <c r="BU250" s="717"/>
      <c r="BV250" s="1235">
        <f t="shared" si="585"/>
        <v>51400</v>
      </c>
      <c r="BW250" s="717">
        <f t="shared" si="525"/>
        <v>3920908.3750269082</v>
      </c>
      <c r="BX250" s="717"/>
      <c r="BY250" s="717">
        <f t="shared" si="526"/>
        <v>3920908.3750269082</v>
      </c>
      <c r="BZ250" s="1194">
        <f t="shared" si="527"/>
        <v>3920908.3750269082</v>
      </c>
      <c r="CA250" s="1194">
        <f t="shared" si="528"/>
        <v>3040908.3750269082</v>
      </c>
      <c r="CB250" s="1194">
        <v>40000</v>
      </c>
      <c r="CC250" s="1194">
        <f t="shared" si="529"/>
        <v>880000</v>
      </c>
      <c r="CD250" s="1194">
        <f t="shared" si="530"/>
        <v>105600</v>
      </c>
      <c r="CE250" s="1194">
        <f t="shared" si="531"/>
        <v>985600</v>
      </c>
      <c r="CF250" s="1200">
        <f t="shared" si="532"/>
        <v>4026508.3750269082</v>
      </c>
      <c r="CG250" s="757">
        <f t="shared" si="533"/>
        <v>4026508.3750269082</v>
      </c>
      <c r="CH250" s="758">
        <f t="shared" si="534"/>
        <v>0</v>
      </c>
      <c r="CI250" s="757">
        <f t="shared" si="483"/>
        <v>412717.10844025807</v>
      </c>
      <c r="CJ250" s="757">
        <f t="shared" si="484"/>
        <v>100662.70937567271</v>
      </c>
      <c r="CK250" s="759">
        <f t="shared" si="593"/>
        <v>4539888.1928428393</v>
      </c>
      <c r="CL250" s="764">
        <f t="shared" si="535"/>
        <v>0.125</v>
      </c>
      <c r="CM250" s="757">
        <f t="shared" si="536"/>
        <v>567486.02410535491</v>
      </c>
      <c r="CN250" s="757">
        <f t="shared" si="578"/>
        <v>30000</v>
      </c>
      <c r="CO250" s="757">
        <f t="shared" si="537"/>
        <v>537486.02410535491</v>
      </c>
      <c r="CP250" s="755">
        <f t="shared" si="538"/>
        <v>29</v>
      </c>
      <c r="CQ250" s="757">
        <f t="shared" si="581"/>
        <v>18534.000831219135</v>
      </c>
      <c r="CR250" s="764">
        <f t="shared" si="539"/>
        <v>0.875</v>
      </c>
      <c r="CS250" s="757">
        <f t="shared" si="540"/>
        <v>3972402.1687374841</v>
      </c>
      <c r="CT250" s="1101">
        <f t="shared" si="541"/>
        <v>30797.991732722807</v>
      </c>
      <c r="CU250" s="1101">
        <f t="shared" si="542"/>
        <v>35705.073724567439</v>
      </c>
      <c r="CV250" s="1101">
        <f t="shared" si="543"/>
        <v>46122.957465687337</v>
      </c>
      <c r="CW250" s="1141">
        <f t="shared" si="485"/>
        <v>78658.324025285998</v>
      </c>
      <c r="CX250" s="1152">
        <f t="shared" si="544"/>
        <v>322690.85450358782</v>
      </c>
      <c r="CY250" s="1152">
        <f t="shared" si="545"/>
        <v>127687.19920966885</v>
      </c>
      <c r="CZ250" s="1152">
        <f t="shared" si="546"/>
        <v>92226.655530493255</v>
      </c>
      <c r="DA250" s="1152">
        <f t="shared" si="547"/>
        <v>70188.730754634569</v>
      </c>
      <c r="DB250" s="1143">
        <f t="shared" si="486"/>
        <v>0.19393329934252937</v>
      </c>
      <c r="DC250" s="1143">
        <f t="shared" si="548"/>
        <v>0.32411367869355112</v>
      </c>
      <c r="DD250" s="1098" t="s">
        <v>232</v>
      </c>
      <c r="DE250" s="1144"/>
      <c r="DF250" s="705"/>
      <c r="DG250" s="765">
        <f t="shared" si="579"/>
        <v>46082</v>
      </c>
      <c r="DH250" s="1116">
        <f t="shared" si="487"/>
        <v>28</v>
      </c>
      <c r="DI250" s="497"/>
      <c r="DJ250" s="1117">
        <f t="shared" si="549"/>
        <v>46147</v>
      </c>
      <c r="DK250" s="1116">
        <f t="shared" si="550"/>
        <v>30</v>
      </c>
      <c r="DL250" s="766" t="s">
        <v>233</v>
      </c>
      <c r="DM250" s="766" t="s">
        <v>234</v>
      </c>
      <c r="DN250" s="767">
        <f t="shared" si="488"/>
        <v>29618.903899586305</v>
      </c>
      <c r="DO250" s="767">
        <f t="shared" si="489"/>
        <v>651615.8857908987</v>
      </c>
      <c r="DP250" s="768">
        <f t="shared" si="490"/>
        <v>0.21720529526363289</v>
      </c>
      <c r="DR250" s="767">
        <f t="shared" si="491"/>
        <v>4026508.3750269082</v>
      </c>
      <c r="DS250" s="767">
        <f>SUM('[6]INTERNAL PRICELIST'!M250)</f>
        <v>0</v>
      </c>
      <c r="DT250" s="767">
        <f t="shared" si="551"/>
        <v>4026508.3750269082</v>
      </c>
      <c r="DV250" s="951">
        <f t="shared" si="492"/>
        <v>183023.10795576856</v>
      </c>
      <c r="DX250" s="781"/>
      <c r="DY250" s="782"/>
      <c r="DZ250" s="781"/>
      <c r="EA250" s="775"/>
      <c r="ED250" s="755" t="s">
        <v>687</v>
      </c>
      <c r="EE250" s="777" t="b">
        <f t="shared" si="493"/>
        <v>1</v>
      </c>
      <c r="EF250" s="777"/>
      <c r="EG250" s="777"/>
      <c r="EH250" s="1203"/>
      <c r="EP250" s="1230" t="s">
        <v>236</v>
      </c>
      <c r="EQ250" s="1145" t="s">
        <v>236</v>
      </c>
      <c r="ER250" s="753" t="b">
        <f t="shared" si="552"/>
        <v>1</v>
      </c>
      <c r="EU250" s="770">
        <v>3161427.9824007284</v>
      </c>
      <c r="EV250" s="771" t="s">
        <v>258</v>
      </c>
      <c r="EW250" s="775">
        <f>EU250-CG250</f>
        <v>-865080.39262617985</v>
      </c>
      <c r="EY250" s="775">
        <v>3127789.2999052992</v>
      </c>
      <c r="FJ250" s="994">
        <v>0.15</v>
      </c>
      <c r="FK250" s="993">
        <v>13608.769342421752</v>
      </c>
      <c r="FL250" s="993">
        <v>13976.573919243963</v>
      </c>
      <c r="FM250" s="497"/>
      <c r="FN250" s="993">
        <f t="shared" si="494"/>
        <v>4539888.1928428393</v>
      </c>
      <c r="FO250" s="994">
        <f t="shared" si="602"/>
        <v>0.15</v>
      </c>
      <c r="FP250" s="775">
        <f t="shared" si="495"/>
        <v>680983.22892642592</v>
      </c>
      <c r="FQ250" s="993">
        <f t="shared" si="496"/>
        <v>30000</v>
      </c>
      <c r="FR250" s="775">
        <f t="shared" si="554"/>
        <v>650983.22892642592</v>
      </c>
      <c r="FS250" s="497">
        <f t="shared" si="555"/>
        <v>40</v>
      </c>
      <c r="FT250" s="775">
        <f t="shared" si="556"/>
        <v>16274.580723160649</v>
      </c>
      <c r="FU250" s="497"/>
      <c r="FV250" s="993">
        <f t="shared" si="557"/>
        <v>4539888.1928428393</v>
      </c>
      <c r="FW250" s="705">
        <f t="shared" si="558"/>
        <v>453988.81928428396</v>
      </c>
      <c r="FX250" s="705">
        <f t="shared" si="559"/>
        <v>113497.20482107099</v>
      </c>
      <c r="FY250" s="705">
        <v>15000</v>
      </c>
      <c r="FZ250" s="705">
        <f t="shared" si="560"/>
        <v>438988.81928428396</v>
      </c>
      <c r="GA250" s="497">
        <f t="shared" si="561"/>
        <v>46</v>
      </c>
      <c r="GB250" s="775">
        <f t="shared" si="562"/>
        <v>9543.2352018322599</v>
      </c>
      <c r="GC250" s="497"/>
      <c r="GD250" s="497"/>
      <c r="GH250" s="1095">
        <f t="shared" si="461"/>
        <v>4539888.1928428393</v>
      </c>
      <c r="GI250" s="1098">
        <f t="shared" si="462"/>
        <v>0.125</v>
      </c>
      <c r="GJ250" s="1095">
        <f t="shared" si="463"/>
        <v>567486.02410535491</v>
      </c>
      <c r="GK250" s="1095">
        <f t="shared" si="464"/>
        <v>30000</v>
      </c>
      <c r="GL250" s="1095">
        <f t="shared" si="465"/>
        <v>537486.02410535491</v>
      </c>
      <c r="GM250" s="1095">
        <f t="shared" si="466"/>
        <v>29</v>
      </c>
      <c r="GN250" s="1095">
        <f t="shared" si="467"/>
        <v>18534.000831219135</v>
      </c>
      <c r="GO250" s="1098">
        <f t="shared" si="468"/>
        <v>0.875</v>
      </c>
      <c r="GP250" s="1095">
        <f t="shared" si="469"/>
        <v>3972402.1687374841</v>
      </c>
      <c r="GQ250" s="1095">
        <f t="shared" si="470"/>
        <v>30797.991732722807</v>
      </c>
      <c r="GR250" s="1095">
        <f t="shared" si="471"/>
        <v>35705.073724567439</v>
      </c>
      <c r="GS250" s="1095">
        <f t="shared" si="472"/>
        <v>46122.957465687337</v>
      </c>
      <c r="GT250" s="1095">
        <f t="shared" si="473"/>
        <v>78658.324025285998</v>
      </c>
      <c r="GU250" s="497"/>
      <c r="GV250" s="1095">
        <f t="shared" si="563"/>
        <v>4539888.1928428393</v>
      </c>
      <c r="GW250" s="1098">
        <f t="shared" si="564"/>
        <v>0.125</v>
      </c>
      <c r="GX250" s="1095">
        <f t="shared" si="565"/>
        <v>567486.02410535491</v>
      </c>
      <c r="GY250" s="1095">
        <f t="shared" si="566"/>
        <v>30000</v>
      </c>
      <c r="GZ250" s="1095">
        <f t="shared" si="567"/>
        <v>537486.02410535491</v>
      </c>
      <c r="HA250" s="1106">
        <f t="shared" si="568"/>
        <v>48</v>
      </c>
      <c r="HB250" s="770">
        <f t="shared" si="569"/>
        <v>11197.625502194895</v>
      </c>
      <c r="HC250" s="1098">
        <f t="shared" si="570"/>
        <v>0.875</v>
      </c>
      <c r="HD250" s="1102">
        <f t="shared" si="571"/>
        <v>3972402.1687374841</v>
      </c>
      <c r="HE250" s="1101">
        <f t="shared" si="572"/>
        <v>30797.991732722807</v>
      </c>
      <c r="HF250" s="1101">
        <f t="shared" si="573"/>
        <v>35705.073724567439</v>
      </c>
      <c r="HG250" s="1101">
        <f t="shared" si="574"/>
        <v>46122.957465687337</v>
      </c>
      <c r="HH250" s="1101">
        <f t="shared" si="575"/>
        <v>78658.324025285998</v>
      </c>
      <c r="HI250" s="497"/>
      <c r="HJ250" s="1102">
        <f t="shared" si="576"/>
        <v>-7336.3753290242403</v>
      </c>
      <c r="HL250" s="775"/>
      <c r="HN250" s="775"/>
      <c r="HO250" s="775"/>
      <c r="HQ250" s="702"/>
      <c r="HR250" s="1171"/>
      <c r="HS250" s="702"/>
      <c r="HT250" s="1171"/>
    </row>
    <row r="251" spans="1:228" ht="14.25" hidden="1" customHeight="1">
      <c r="A251" s="753">
        <f t="shared" si="577"/>
        <v>245</v>
      </c>
      <c r="B251" s="753" t="s">
        <v>236</v>
      </c>
      <c r="C251" s="753">
        <f t="shared" si="591"/>
        <v>28</v>
      </c>
      <c r="D251" s="753" t="s">
        <v>281</v>
      </c>
      <c r="E251" s="717" t="str">
        <f t="shared" si="497"/>
        <v>10th Floor</v>
      </c>
      <c r="F251" s="754"/>
      <c r="G251" s="756" t="s">
        <v>688</v>
      </c>
      <c r="H251" s="756"/>
      <c r="I251" s="755" t="s">
        <v>229</v>
      </c>
      <c r="J251" s="757">
        <v>22</v>
      </c>
      <c r="K251" s="758"/>
      <c r="L251" s="759" t="s">
        <v>277</v>
      </c>
      <c r="M251" s="760" t="s">
        <v>278</v>
      </c>
      <c r="N251" s="761">
        <f t="shared" si="498"/>
        <v>106005.26567735759</v>
      </c>
      <c r="O251" s="762">
        <f t="shared" si="499"/>
        <v>2332115.8449018667</v>
      </c>
      <c r="P251" s="762">
        <f t="shared" si="500"/>
        <v>22400</v>
      </c>
      <c r="Q251" s="762">
        <f t="shared" si="474"/>
        <v>50000</v>
      </c>
      <c r="R251" s="762"/>
      <c r="S251" s="762"/>
      <c r="T251" s="762"/>
      <c r="U251" s="762"/>
      <c r="V251" s="762"/>
      <c r="W251" s="762">
        <f t="shared" si="603"/>
        <v>22000</v>
      </c>
      <c r="X251" s="762"/>
      <c r="Y251" s="762">
        <f t="shared" si="592"/>
        <v>120000</v>
      </c>
      <c r="Z251" s="762">
        <f t="shared" si="475"/>
        <v>142461</v>
      </c>
      <c r="AA251" s="762">
        <v>45722.732758620688</v>
      </c>
      <c r="AB251" s="762"/>
      <c r="AC251" s="762"/>
      <c r="AD251" s="763">
        <f t="shared" si="501"/>
        <v>402583.7327586207</v>
      </c>
      <c r="AE251" s="763">
        <f t="shared" si="476"/>
        <v>2734699.5776604875</v>
      </c>
      <c r="AF251" s="762">
        <f t="shared" si="477"/>
        <v>68367.489441512196</v>
      </c>
      <c r="AG251" s="762">
        <f t="shared" si="502"/>
        <v>2803067.0671019997</v>
      </c>
      <c r="AH251" s="762">
        <f t="shared" si="478"/>
        <v>70076.67667755</v>
      </c>
      <c r="AI251" s="762">
        <f t="shared" si="503"/>
        <v>2873143.7437795498</v>
      </c>
      <c r="AJ251" s="762">
        <f t="shared" si="504"/>
        <v>143657.18718897749</v>
      </c>
      <c r="AK251" s="762">
        <f t="shared" si="505"/>
        <v>3016800.9309685272</v>
      </c>
      <c r="AL251" s="762">
        <f t="shared" si="506"/>
        <v>30168.009309685272</v>
      </c>
      <c r="AM251" s="762">
        <f t="shared" si="507"/>
        <v>27537.409960060559</v>
      </c>
      <c r="AN251" s="762"/>
      <c r="AO251" s="763">
        <f t="shared" si="508"/>
        <v>3074506.3502382729</v>
      </c>
      <c r="AP251" s="763">
        <f t="shared" si="509"/>
        <v>507293.54778931505</v>
      </c>
      <c r="AQ251" s="763">
        <f t="shared" si="510"/>
        <v>3581799.8980275881</v>
      </c>
      <c r="AR251" s="1178">
        <f t="shared" si="479"/>
        <v>3000000</v>
      </c>
      <c r="AS251" s="1178">
        <f t="shared" si="511"/>
        <v>26445.449910344916</v>
      </c>
      <c r="AT251" s="1178">
        <f t="shared" si="512"/>
        <v>581799.89802758815</v>
      </c>
      <c r="AU251" s="1178">
        <f t="shared" si="480"/>
        <v>69815.987763310579</v>
      </c>
      <c r="AV251" s="1178">
        <f t="shared" si="513"/>
        <v>651615.8857908987</v>
      </c>
      <c r="AW251" s="1178">
        <f t="shared" si="514"/>
        <v>3651615.8857908989</v>
      </c>
      <c r="AX251" s="762">
        <f t="shared" si="515"/>
        <v>45645.198572386238</v>
      </c>
      <c r="AY251" s="717" t="s">
        <v>231</v>
      </c>
      <c r="AZ251" s="717">
        <f t="shared" si="516"/>
        <v>3697261.084363285</v>
      </c>
      <c r="BA251" s="717">
        <f t="shared" si="517"/>
        <v>138647.29066362319</v>
      </c>
      <c r="BB251" s="717"/>
      <c r="BC251" s="717">
        <f t="shared" si="481"/>
        <v>33600</v>
      </c>
      <c r="BD251" s="717">
        <f t="shared" si="518"/>
        <v>3869508.3750269082</v>
      </c>
      <c r="BE251" s="717"/>
      <c r="BF251" s="717">
        <f t="shared" si="519"/>
        <v>3869508.3750269082</v>
      </c>
      <c r="BG251" s="1209"/>
      <c r="BH251" s="717">
        <f t="shared" si="520"/>
        <v>3869508.3750269082</v>
      </c>
      <c r="BI251" s="717"/>
      <c r="BJ251" s="717">
        <f t="shared" si="521"/>
        <v>3869508.3750269082</v>
      </c>
      <c r="BK251" s="717"/>
      <c r="BL251" s="717">
        <f t="shared" si="522"/>
        <v>3869508.3750269082</v>
      </c>
      <c r="BM251" s="717"/>
      <c r="BN251" s="717">
        <f t="shared" si="523"/>
        <v>3869508.3750269082</v>
      </c>
      <c r="BO251" s="717"/>
      <c r="BP251" s="717">
        <f t="shared" si="482"/>
        <v>3869508.3750269082</v>
      </c>
      <c r="BQ251" s="717"/>
      <c r="BR251" s="717">
        <f t="shared" si="584"/>
        <v>3869508.3750269082</v>
      </c>
      <c r="BS251" s="717"/>
      <c r="BT251" s="717">
        <f t="shared" si="524"/>
        <v>3869508.3750269082</v>
      </c>
      <c r="BU251" s="717"/>
      <c r="BV251" s="1235">
        <f t="shared" si="585"/>
        <v>51400</v>
      </c>
      <c r="BW251" s="717">
        <f t="shared" si="525"/>
        <v>3920908.3750269082</v>
      </c>
      <c r="BX251" s="717"/>
      <c r="BY251" s="717">
        <f t="shared" si="526"/>
        <v>3920908.3750269082</v>
      </c>
      <c r="BZ251" s="1194">
        <f t="shared" si="527"/>
        <v>3920908.3750269082</v>
      </c>
      <c r="CA251" s="1194">
        <f t="shared" si="528"/>
        <v>3040908.3750269082</v>
      </c>
      <c r="CB251" s="1194">
        <v>40000</v>
      </c>
      <c r="CC251" s="1194">
        <f t="shared" si="529"/>
        <v>880000</v>
      </c>
      <c r="CD251" s="1194">
        <f t="shared" si="530"/>
        <v>105600</v>
      </c>
      <c r="CE251" s="1194">
        <f t="shared" si="531"/>
        <v>985600</v>
      </c>
      <c r="CF251" s="1200">
        <f t="shared" si="532"/>
        <v>4026508.3750269082</v>
      </c>
      <c r="CG251" s="757">
        <f t="shared" si="533"/>
        <v>4026508.3750269082</v>
      </c>
      <c r="CH251" s="758">
        <f t="shared" si="534"/>
        <v>0</v>
      </c>
      <c r="CI251" s="757">
        <f t="shared" si="483"/>
        <v>412717.10844025807</v>
      </c>
      <c r="CJ251" s="757">
        <f t="shared" si="484"/>
        <v>100662.70937567271</v>
      </c>
      <c r="CK251" s="759">
        <f t="shared" si="593"/>
        <v>4539888.1928428393</v>
      </c>
      <c r="CL251" s="764">
        <f t="shared" si="535"/>
        <v>0.125</v>
      </c>
      <c r="CM251" s="757">
        <f t="shared" si="536"/>
        <v>567486.02410535491</v>
      </c>
      <c r="CN251" s="757">
        <f t="shared" si="578"/>
        <v>30000</v>
      </c>
      <c r="CO251" s="757">
        <f t="shared" si="537"/>
        <v>537486.02410535491</v>
      </c>
      <c r="CP251" s="755">
        <f t="shared" si="538"/>
        <v>29</v>
      </c>
      <c r="CQ251" s="757">
        <f t="shared" si="581"/>
        <v>18534.000831219135</v>
      </c>
      <c r="CR251" s="764">
        <f t="shared" si="539"/>
        <v>0.875</v>
      </c>
      <c r="CS251" s="757">
        <f t="shared" si="540"/>
        <v>3972402.1687374841</v>
      </c>
      <c r="CT251" s="1101">
        <f t="shared" si="541"/>
        <v>30797.991732722807</v>
      </c>
      <c r="CU251" s="1101">
        <f t="shared" si="542"/>
        <v>35705.073724567439</v>
      </c>
      <c r="CV251" s="1101">
        <f t="shared" si="543"/>
        <v>46122.957465687337</v>
      </c>
      <c r="CW251" s="1141">
        <f t="shared" si="485"/>
        <v>78658.324025285998</v>
      </c>
      <c r="CX251" s="1152">
        <f t="shared" si="544"/>
        <v>322690.85450358782</v>
      </c>
      <c r="CY251" s="1152">
        <f t="shared" si="545"/>
        <v>127687.19920966885</v>
      </c>
      <c r="CZ251" s="1152">
        <f t="shared" si="546"/>
        <v>92226.655530493255</v>
      </c>
      <c r="DA251" s="1152">
        <f t="shared" si="547"/>
        <v>70188.730754634569</v>
      </c>
      <c r="DB251" s="1143">
        <f t="shared" si="486"/>
        <v>0.19393329934252937</v>
      </c>
      <c r="DC251" s="1143">
        <f t="shared" si="548"/>
        <v>0.32411367869355112</v>
      </c>
      <c r="DD251" s="1098" t="s">
        <v>232</v>
      </c>
      <c r="DE251" s="1144"/>
      <c r="DF251" s="705"/>
      <c r="DG251" s="765">
        <f t="shared" si="579"/>
        <v>46082</v>
      </c>
      <c r="DH251" s="1116">
        <f t="shared" si="487"/>
        <v>28</v>
      </c>
      <c r="DI251" s="497"/>
      <c r="DJ251" s="1117">
        <f t="shared" si="549"/>
        <v>46147</v>
      </c>
      <c r="DK251" s="1116">
        <f t="shared" si="550"/>
        <v>30</v>
      </c>
      <c r="DL251" s="766" t="s">
        <v>233</v>
      </c>
      <c r="DM251" s="766" t="s">
        <v>234</v>
      </c>
      <c r="DN251" s="767">
        <f t="shared" si="488"/>
        <v>29618.903899586305</v>
      </c>
      <c r="DO251" s="767">
        <f t="shared" si="489"/>
        <v>651615.8857908987</v>
      </c>
      <c r="DP251" s="768">
        <f t="shared" si="490"/>
        <v>0.21720529526363289</v>
      </c>
      <c r="DR251" s="767">
        <f t="shared" si="491"/>
        <v>4026508.3750269082</v>
      </c>
      <c r="DS251" s="767">
        <f>SUM('[6]INTERNAL PRICELIST'!M251)</f>
        <v>0</v>
      </c>
      <c r="DT251" s="767">
        <f t="shared" si="551"/>
        <v>4026508.3750269082</v>
      </c>
      <c r="DV251" s="951">
        <f t="shared" si="492"/>
        <v>183023.10795576856</v>
      </c>
      <c r="DX251" s="781"/>
      <c r="DY251" s="782"/>
      <c r="DZ251" s="781"/>
      <c r="EA251" s="775"/>
      <c r="ED251" s="755" t="s">
        <v>688</v>
      </c>
      <c r="EE251" s="777" t="b">
        <f t="shared" si="493"/>
        <v>1</v>
      </c>
      <c r="EF251" s="1123" t="s">
        <v>689</v>
      </c>
      <c r="EG251" s="1123" t="s">
        <v>654</v>
      </c>
      <c r="EH251" s="1203"/>
      <c r="EO251" s="497" t="s">
        <v>330</v>
      </c>
      <c r="EP251" s="1230" t="s">
        <v>236</v>
      </c>
      <c r="EQ251" s="1145" t="s">
        <v>236</v>
      </c>
      <c r="ER251" s="753" t="b">
        <f t="shared" si="552"/>
        <v>1</v>
      </c>
      <c r="EU251" s="770">
        <v>3161427.9824007284</v>
      </c>
      <c r="EV251" s="771" t="s">
        <v>258</v>
      </c>
      <c r="EW251" s="775">
        <f>EU251-CG251</f>
        <v>-865080.39262617985</v>
      </c>
      <c r="EY251" s="775">
        <v>3127789.2999052992</v>
      </c>
      <c r="FJ251" s="994">
        <v>0.15</v>
      </c>
      <c r="FK251" s="993">
        <v>13608.769342421752</v>
      </c>
      <c r="FL251" s="993">
        <v>13976.573919243963</v>
      </c>
      <c r="FM251" s="497"/>
      <c r="FN251" s="993">
        <f t="shared" si="494"/>
        <v>4539888.1928428393</v>
      </c>
      <c r="FO251" s="994">
        <f t="shared" si="602"/>
        <v>0.15</v>
      </c>
      <c r="FP251" s="775">
        <f t="shared" si="495"/>
        <v>680983.22892642592</v>
      </c>
      <c r="FQ251" s="993">
        <f t="shared" si="496"/>
        <v>30000</v>
      </c>
      <c r="FR251" s="775">
        <f t="shared" si="554"/>
        <v>650983.22892642592</v>
      </c>
      <c r="FS251" s="497">
        <f t="shared" si="555"/>
        <v>40</v>
      </c>
      <c r="FT251" s="775">
        <f t="shared" si="556"/>
        <v>16274.580723160649</v>
      </c>
      <c r="FU251" s="497"/>
      <c r="FV251" s="993">
        <f t="shared" si="557"/>
        <v>4539888.1928428393</v>
      </c>
      <c r="FW251" s="705">
        <f t="shared" si="558"/>
        <v>453988.81928428396</v>
      </c>
      <c r="FX251" s="705">
        <f t="shared" si="559"/>
        <v>113497.20482107099</v>
      </c>
      <c r="FY251" s="705">
        <v>15000</v>
      </c>
      <c r="FZ251" s="705">
        <f t="shared" si="560"/>
        <v>438988.81928428396</v>
      </c>
      <c r="GA251" s="497">
        <f t="shared" si="561"/>
        <v>46</v>
      </c>
      <c r="GB251" s="775">
        <f t="shared" si="562"/>
        <v>9543.2352018322599</v>
      </c>
      <c r="GC251" s="497"/>
      <c r="GD251" s="497"/>
      <c r="GH251" s="1095">
        <f t="shared" si="461"/>
        <v>4539888.1928428393</v>
      </c>
      <c r="GI251" s="1098">
        <f t="shared" si="462"/>
        <v>0.125</v>
      </c>
      <c r="GJ251" s="1095">
        <f t="shared" si="463"/>
        <v>567486.02410535491</v>
      </c>
      <c r="GK251" s="1095">
        <f t="shared" si="464"/>
        <v>30000</v>
      </c>
      <c r="GL251" s="1095">
        <f t="shared" si="465"/>
        <v>537486.02410535491</v>
      </c>
      <c r="GM251" s="1095">
        <f t="shared" si="466"/>
        <v>29</v>
      </c>
      <c r="GN251" s="1095">
        <f t="shared" si="467"/>
        <v>18534.000831219135</v>
      </c>
      <c r="GO251" s="1098">
        <f t="shared" si="468"/>
        <v>0.875</v>
      </c>
      <c r="GP251" s="1095">
        <f t="shared" si="469"/>
        <v>3972402.1687374841</v>
      </c>
      <c r="GQ251" s="1095">
        <f t="shared" si="470"/>
        <v>30797.991732722807</v>
      </c>
      <c r="GR251" s="1095">
        <f t="shared" si="471"/>
        <v>35705.073724567439</v>
      </c>
      <c r="GS251" s="1095">
        <f t="shared" si="472"/>
        <v>46122.957465687337</v>
      </c>
      <c r="GT251" s="1095">
        <f t="shared" si="473"/>
        <v>78658.324025285998</v>
      </c>
      <c r="GU251" s="497"/>
      <c r="GV251" s="1095">
        <f t="shared" si="563"/>
        <v>4539888.1928428393</v>
      </c>
      <c r="GW251" s="1098">
        <f t="shared" si="564"/>
        <v>0.125</v>
      </c>
      <c r="GX251" s="1095">
        <f t="shared" si="565"/>
        <v>567486.02410535491</v>
      </c>
      <c r="GY251" s="1095">
        <f t="shared" si="566"/>
        <v>30000</v>
      </c>
      <c r="GZ251" s="1095">
        <f t="shared" si="567"/>
        <v>537486.02410535491</v>
      </c>
      <c r="HA251" s="1106">
        <f t="shared" si="568"/>
        <v>48</v>
      </c>
      <c r="HB251" s="770">
        <f t="shared" si="569"/>
        <v>11197.625502194895</v>
      </c>
      <c r="HC251" s="1098">
        <f t="shared" si="570"/>
        <v>0.875</v>
      </c>
      <c r="HD251" s="1102">
        <f t="shared" si="571"/>
        <v>3972402.1687374841</v>
      </c>
      <c r="HE251" s="1101">
        <f t="shared" si="572"/>
        <v>30797.991732722807</v>
      </c>
      <c r="HF251" s="1101">
        <f t="shared" si="573"/>
        <v>35705.073724567439</v>
      </c>
      <c r="HG251" s="1101">
        <f t="shared" si="574"/>
        <v>46122.957465687337</v>
      </c>
      <c r="HH251" s="1101">
        <f t="shared" si="575"/>
        <v>78658.324025285998</v>
      </c>
      <c r="HI251" s="497"/>
      <c r="HJ251" s="1102">
        <f t="shared" si="576"/>
        <v>-7336.3753290242403</v>
      </c>
      <c r="HL251" s="775"/>
      <c r="HN251" s="775"/>
      <c r="HO251" s="775"/>
      <c r="HQ251" s="702"/>
      <c r="HR251" s="1171"/>
      <c r="HS251" s="702"/>
      <c r="HT251" s="1171"/>
    </row>
    <row r="252" spans="1:228" ht="14.25" customHeight="1">
      <c r="A252" s="753">
        <f t="shared" si="577"/>
        <v>246</v>
      </c>
      <c r="B252" s="753"/>
      <c r="C252" s="753">
        <f t="shared" si="591"/>
        <v>29</v>
      </c>
      <c r="D252" s="753" t="s">
        <v>281</v>
      </c>
      <c r="E252" s="717" t="str">
        <f t="shared" si="497"/>
        <v>10th Floor</v>
      </c>
      <c r="F252" s="754"/>
      <c r="G252" s="756" t="s">
        <v>690</v>
      </c>
      <c r="H252" s="756"/>
      <c r="I252" s="755" t="s">
        <v>229</v>
      </c>
      <c r="J252" s="757">
        <v>22</v>
      </c>
      <c r="K252" s="758"/>
      <c r="L252" s="759" t="s">
        <v>277</v>
      </c>
      <c r="M252" s="760" t="s">
        <v>68</v>
      </c>
      <c r="N252" s="761">
        <f t="shared" si="498"/>
        <v>106005.26567735759</v>
      </c>
      <c r="O252" s="762">
        <f t="shared" si="499"/>
        <v>2332115.8449018667</v>
      </c>
      <c r="P252" s="762">
        <f t="shared" si="500"/>
        <v>22400</v>
      </c>
      <c r="Q252" s="762">
        <f t="shared" si="474"/>
        <v>50000</v>
      </c>
      <c r="R252" s="762"/>
      <c r="S252" s="762"/>
      <c r="T252" s="762"/>
      <c r="U252" s="762"/>
      <c r="V252" s="762"/>
      <c r="W252" s="762"/>
      <c r="X252" s="762"/>
      <c r="Y252" s="762">
        <f t="shared" si="592"/>
        <v>120000</v>
      </c>
      <c r="Z252" s="762">
        <f t="shared" si="475"/>
        <v>142461</v>
      </c>
      <c r="AA252" s="762">
        <v>61222.732758620703</v>
      </c>
      <c r="AB252" s="762"/>
      <c r="AC252" s="762"/>
      <c r="AD252" s="763">
        <f t="shared" si="501"/>
        <v>396083.7327586207</v>
      </c>
      <c r="AE252" s="763">
        <f t="shared" si="476"/>
        <v>2728199.5776604875</v>
      </c>
      <c r="AF252" s="762">
        <f t="shared" si="477"/>
        <v>68204.989441512196</v>
      </c>
      <c r="AG252" s="762">
        <f t="shared" si="502"/>
        <v>2796404.5671019997</v>
      </c>
      <c r="AH252" s="762">
        <f t="shared" si="478"/>
        <v>69910.11417755</v>
      </c>
      <c r="AI252" s="762">
        <f t="shared" si="503"/>
        <v>2866314.6812795498</v>
      </c>
      <c r="AJ252" s="762">
        <f t="shared" si="504"/>
        <v>143315.73406397749</v>
      </c>
      <c r="AK252" s="762">
        <f t="shared" si="505"/>
        <v>3009630.4153435272</v>
      </c>
      <c r="AL252" s="762">
        <f t="shared" si="506"/>
        <v>30096.304153435274</v>
      </c>
      <c r="AM252" s="762">
        <f t="shared" si="507"/>
        <v>27537.409960060559</v>
      </c>
      <c r="AN252" s="762"/>
      <c r="AO252" s="763">
        <f t="shared" si="508"/>
        <v>3067264.129457023</v>
      </c>
      <c r="AP252" s="763">
        <f t="shared" si="509"/>
        <v>506098.5813604088</v>
      </c>
      <c r="AQ252" s="763">
        <f t="shared" si="510"/>
        <v>3573362.710817432</v>
      </c>
      <c r="AR252" s="1178">
        <f t="shared" si="479"/>
        <v>3000000</v>
      </c>
      <c r="AS252" s="1178">
        <f t="shared" si="511"/>
        <v>26061.941400792366</v>
      </c>
      <c r="AT252" s="1178">
        <f t="shared" si="512"/>
        <v>573362.71081743203</v>
      </c>
      <c r="AU252" s="1178">
        <f t="shared" si="480"/>
        <v>68803.525298091845</v>
      </c>
      <c r="AV252" s="1178">
        <f t="shared" si="513"/>
        <v>642166.23611552385</v>
      </c>
      <c r="AW252" s="1178">
        <f t="shared" si="514"/>
        <v>3642166.2361155241</v>
      </c>
      <c r="AX252" s="762">
        <f t="shared" si="515"/>
        <v>45527.077951444051</v>
      </c>
      <c r="AY252" s="717">
        <v>7575.3956645161297</v>
      </c>
      <c r="AZ252" s="717">
        <f t="shared" si="516"/>
        <v>3695268.7097314838</v>
      </c>
      <c r="BA252" s="717">
        <f t="shared" si="517"/>
        <v>138572.57661493064</v>
      </c>
      <c r="BB252" s="717"/>
      <c r="BC252" s="717">
        <f t="shared" si="481"/>
        <v>33600</v>
      </c>
      <c r="BD252" s="717">
        <f t="shared" si="518"/>
        <v>3867441.2863464146</v>
      </c>
      <c r="BE252" s="717">
        <v>18367.830916129038</v>
      </c>
      <c r="BF252" s="717">
        <f t="shared" si="519"/>
        <v>3885809.1172625436</v>
      </c>
      <c r="BG252" s="1209"/>
      <c r="BH252" s="717">
        <f t="shared" si="520"/>
        <v>3885809.1172625436</v>
      </c>
      <c r="BI252" s="717">
        <v>718.43902439024396</v>
      </c>
      <c r="BJ252" s="717">
        <f t="shared" si="521"/>
        <v>3886527.5562869338</v>
      </c>
      <c r="BK252" s="717"/>
      <c r="BL252" s="717">
        <f t="shared" si="522"/>
        <v>3886527.5562869338</v>
      </c>
      <c r="BM252" s="717">
        <f t="shared" ref="BM252:BM253" si="604">$BM$5/41</f>
        <v>1038.0487804878051</v>
      </c>
      <c r="BN252" s="717">
        <f t="shared" si="523"/>
        <v>3887565.6050674217</v>
      </c>
      <c r="BO252" s="717">
        <f t="shared" ref="BO252:BO253" si="605">$BO$5/51</f>
        <v>7289.0781490196077</v>
      </c>
      <c r="BP252" s="717">
        <f t="shared" si="482"/>
        <v>3894854.6832164414</v>
      </c>
      <c r="BQ252" s="717">
        <f t="shared" ref="BQ252:BQ253" si="606">$BQ$5/56</f>
        <v>4468.4242000000004</v>
      </c>
      <c r="BR252" s="717">
        <f t="shared" si="584"/>
        <v>3899323.1074164412</v>
      </c>
      <c r="BS252" s="1234">
        <f t="shared" ref="BS252:BS253" si="607">$BS$5/64</f>
        <v>2651.4786794501206</v>
      </c>
      <c r="BT252" s="1235">
        <f t="shared" si="524"/>
        <v>3901974.5860958914</v>
      </c>
      <c r="BU252" s="1235">
        <f t="shared" ref="BU252:BU253" si="608">$BU$5/65</f>
        <v>211.07692307692309</v>
      </c>
      <c r="BV252" s="1235">
        <f t="shared" si="585"/>
        <v>51400</v>
      </c>
      <c r="BW252" s="717">
        <f t="shared" si="525"/>
        <v>3953585.6630189684</v>
      </c>
      <c r="BX252" s="1234">
        <f t="shared" si="589"/>
        <v>27651.078536278128</v>
      </c>
      <c r="BY252" s="717">
        <f t="shared" si="526"/>
        <v>3981236.7415552465</v>
      </c>
      <c r="BZ252" s="1194">
        <f t="shared" si="527"/>
        <v>3981236.7415552465</v>
      </c>
      <c r="CA252" s="1194">
        <f t="shared" si="528"/>
        <v>3101236.7415552465</v>
      </c>
      <c r="CB252" s="1194">
        <f t="shared" ref="CB252:CB253" si="609">$CB$5</f>
        <v>40000</v>
      </c>
      <c r="CC252" s="1194">
        <f t="shared" si="529"/>
        <v>880000</v>
      </c>
      <c r="CD252" s="1194">
        <f t="shared" si="530"/>
        <v>105600</v>
      </c>
      <c r="CE252" s="1194">
        <f t="shared" si="531"/>
        <v>985600</v>
      </c>
      <c r="CF252" s="1200">
        <f t="shared" si="532"/>
        <v>4086836.7415552465</v>
      </c>
      <c r="CG252" s="757">
        <f t="shared" si="533"/>
        <v>4086836.7415552465</v>
      </c>
      <c r="CH252" s="758">
        <f t="shared" si="534"/>
        <v>0</v>
      </c>
      <c r="CI252" s="757">
        <f t="shared" si="483"/>
        <v>418900.76600941276</v>
      </c>
      <c r="CJ252" s="757">
        <f t="shared" si="484"/>
        <v>102170.91853888117</v>
      </c>
      <c r="CK252" s="759">
        <f t="shared" si="593"/>
        <v>4607908.4261035407</v>
      </c>
      <c r="CL252" s="764">
        <f t="shared" si="535"/>
        <v>0.125</v>
      </c>
      <c r="CM252" s="757">
        <f t="shared" si="536"/>
        <v>575988.55326294259</v>
      </c>
      <c r="CN252" s="757">
        <f t="shared" si="578"/>
        <v>30000</v>
      </c>
      <c r="CO252" s="757">
        <f t="shared" si="537"/>
        <v>545988.55326294259</v>
      </c>
      <c r="CP252" s="755">
        <f t="shared" si="538"/>
        <v>29</v>
      </c>
      <c r="CQ252" s="757">
        <f t="shared" si="581"/>
        <v>18827.191491825608</v>
      </c>
      <c r="CR252" s="764">
        <f t="shared" si="539"/>
        <v>0.875</v>
      </c>
      <c r="CS252" s="757">
        <f t="shared" si="540"/>
        <v>4031919.8728405982</v>
      </c>
      <c r="CT252" s="1101">
        <f t="shared" si="541"/>
        <v>31259.431859139044</v>
      </c>
      <c r="CU252" s="1101">
        <f t="shared" si="542"/>
        <v>36240.035675208521</v>
      </c>
      <c r="CV252" s="1101">
        <f t="shared" si="543"/>
        <v>46814.008476686999</v>
      </c>
      <c r="CW252" s="1141">
        <f t="shared" si="485"/>
        <v>79836.845900897533</v>
      </c>
      <c r="CX252" s="1152">
        <f t="shared" si="544"/>
        <v>327525.66678575648</v>
      </c>
      <c r="CY252" s="1152">
        <f t="shared" si="545"/>
        <v>129600.31087800018</v>
      </c>
      <c r="CZ252" s="1152">
        <f t="shared" si="546"/>
        <v>93608.468992756127</v>
      </c>
      <c r="DA252" s="1152">
        <f t="shared" si="547"/>
        <v>71240.35441482281</v>
      </c>
      <c r="DB252" s="1143">
        <f t="shared" si="486"/>
        <v>0.19112090360581069</v>
      </c>
      <c r="DC252" s="1143">
        <f t="shared" si="548"/>
        <v>0.31780869444547116</v>
      </c>
      <c r="DD252" s="1098" t="s">
        <v>232</v>
      </c>
      <c r="DE252" s="1144"/>
      <c r="DF252" s="705"/>
      <c r="DG252" s="765">
        <f t="shared" si="579"/>
        <v>46082</v>
      </c>
      <c r="DH252" s="1116">
        <f t="shared" si="487"/>
        <v>28</v>
      </c>
      <c r="DI252" s="497"/>
      <c r="DJ252" s="1117">
        <f t="shared" si="549"/>
        <v>46147</v>
      </c>
      <c r="DK252" s="1116">
        <f t="shared" si="550"/>
        <v>30</v>
      </c>
      <c r="DL252" s="766" t="s">
        <v>233</v>
      </c>
      <c r="DM252" s="766" t="s">
        <v>234</v>
      </c>
      <c r="DN252" s="767">
        <f t="shared" si="488"/>
        <v>29189.374368887449</v>
      </c>
      <c r="DO252" s="767">
        <f t="shared" si="489"/>
        <v>642166.23611552385</v>
      </c>
      <c r="DP252" s="768">
        <f t="shared" si="490"/>
        <v>0.21405541203850795</v>
      </c>
      <c r="DR252" s="767">
        <f t="shared" si="491"/>
        <v>4086836.7415552465</v>
      </c>
      <c r="DS252" s="767">
        <f>SUM('[6]INTERNAL PRICELIST'!M252)</f>
        <v>0</v>
      </c>
      <c r="DT252" s="767">
        <f t="shared" si="551"/>
        <v>4086836.7415552465</v>
      </c>
      <c r="DV252" s="951">
        <f t="shared" si="492"/>
        <v>185765.3064343294</v>
      </c>
      <c r="DX252" s="781"/>
      <c r="DY252" s="782"/>
      <c r="DZ252" s="781"/>
      <c r="EA252" s="775"/>
      <c r="ED252" s="755" t="s">
        <v>690</v>
      </c>
      <c r="EE252" s="777" t="b">
        <f t="shared" si="493"/>
        <v>1</v>
      </c>
      <c r="EF252" s="777"/>
      <c r="EG252" s="777"/>
      <c r="EH252" s="1203"/>
      <c r="EP252" s="1233" t="s">
        <v>258</v>
      </c>
      <c r="EQ252" s="1145" t="s">
        <v>258</v>
      </c>
      <c r="ER252" s="753" t="b">
        <f t="shared" si="552"/>
        <v>1</v>
      </c>
      <c r="EU252" s="770">
        <v>2369600</v>
      </c>
      <c r="EV252" s="771" t="s">
        <v>236</v>
      </c>
      <c r="EY252" s="775">
        <v>3100206.5987977991</v>
      </c>
      <c r="FJ252" s="994">
        <v>0.125</v>
      </c>
      <c r="FK252" s="993">
        <v>11173.02953930404</v>
      </c>
      <c r="FL252" s="993">
        <v>11475.003310636581</v>
      </c>
      <c r="FM252" s="497"/>
      <c r="FN252" s="993">
        <f t="shared" si="494"/>
        <v>4607908.4261035407</v>
      </c>
      <c r="FO252" s="994">
        <f t="shared" si="602"/>
        <v>0.125</v>
      </c>
      <c r="FP252" s="775">
        <f t="shared" si="495"/>
        <v>575988.55326294259</v>
      </c>
      <c r="FQ252" s="993">
        <f t="shared" si="496"/>
        <v>30000</v>
      </c>
      <c r="FR252" s="775">
        <f t="shared" si="554"/>
        <v>545988.55326294259</v>
      </c>
      <c r="FS252" s="497">
        <f t="shared" si="555"/>
        <v>40</v>
      </c>
      <c r="FT252" s="775">
        <f t="shared" si="556"/>
        <v>13649.713831573565</v>
      </c>
      <c r="FU252" s="497"/>
      <c r="FV252" s="993">
        <f t="shared" si="557"/>
        <v>4607908.4261035407</v>
      </c>
      <c r="FW252" s="705">
        <f t="shared" si="558"/>
        <v>460790.84261035407</v>
      </c>
      <c r="FX252" s="705">
        <f t="shared" si="559"/>
        <v>115197.71065258852</v>
      </c>
      <c r="FY252" s="705">
        <v>15000</v>
      </c>
      <c r="FZ252" s="705">
        <f t="shared" si="560"/>
        <v>445790.84261035407</v>
      </c>
      <c r="GA252" s="497">
        <f t="shared" si="561"/>
        <v>46</v>
      </c>
      <c r="GB252" s="775">
        <f t="shared" si="562"/>
        <v>9691.1052741381318</v>
      </c>
      <c r="GC252" s="497"/>
      <c r="GD252" s="497"/>
      <c r="GH252" s="1095">
        <f t="shared" si="461"/>
        <v>4607908.4261035407</v>
      </c>
      <c r="GI252" s="1098">
        <f t="shared" si="462"/>
        <v>0.125</v>
      </c>
      <c r="GJ252" s="1095">
        <f t="shared" si="463"/>
        <v>575988.55326294259</v>
      </c>
      <c r="GK252" s="1095">
        <f t="shared" si="464"/>
        <v>30000</v>
      </c>
      <c r="GL252" s="1095">
        <f t="shared" si="465"/>
        <v>545988.55326294259</v>
      </c>
      <c r="GM252" s="1095">
        <f t="shared" si="466"/>
        <v>29</v>
      </c>
      <c r="GN252" s="1095">
        <f t="shared" si="467"/>
        <v>18827.191491825608</v>
      </c>
      <c r="GO252" s="1098">
        <f t="shared" si="468"/>
        <v>0.875</v>
      </c>
      <c r="GP252" s="1095">
        <f t="shared" si="469"/>
        <v>4031919.8728405982</v>
      </c>
      <c r="GQ252" s="1095">
        <f t="shared" si="470"/>
        <v>31259.431859139044</v>
      </c>
      <c r="GR252" s="1095">
        <f t="shared" si="471"/>
        <v>36240.035675208521</v>
      </c>
      <c r="GS252" s="1095">
        <f t="shared" si="472"/>
        <v>46814.008476686999</v>
      </c>
      <c r="GT252" s="1095">
        <f t="shared" si="473"/>
        <v>79836.845900897533</v>
      </c>
      <c r="GU252" s="497"/>
      <c r="GV252" s="1095">
        <f t="shared" si="563"/>
        <v>4607908.4261035407</v>
      </c>
      <c r="GW252" s="1098">
        <f t="shared" si="564"/>
        <v>0.125</v>
      </c>
      <c r="GX252" s="1095">
        <f t="shared" si="565"/>
        <v>575988.55326294259</v>
      </c>
      <c r="GY252" s="1095">
        <f t="shared" si="566"/>
        <v>30000</v>
      </c>
      <c r="GZ252" s="1095">
        <f t="shared" si="567"/>
        <v>545988.55326294259</v>
      </c>
      <c r="HA252" s="1106">
        <f t="shared" si="568"/>
        <v>48</v>
      </c>
      <c r="HB252" s="770">
        <f t="shared" si="569"/>
        <v>11374.761526311304</v>
      </c>
      <c r="HC252" s="1098">
        <f t="shared" si="570"/>
        <v>0.875</v>
      </c>
      <c r="HD252" s="1102">
        <f t="shared" si="571"/>
        <v>4031919.8728405982</v>
      </c>
      <c r="HE252" s="1101">
        <f t="shared" si="572"/>
        <v>31259.431859139044</v>
      </c>
      <c r="HF252" s="1101">
        <f t="shared" si="573"/>
        <v>36240.035675208521</v>
      </c>
      <c r="HG252" s="1101">
        <f t="shared" si="574"/>
        <v>46814.008476686999</v>
      </c>
      <c r="HH252" s="1101">
        <f t="shared" si="575"/>
        <v>79836.845900897533</v>
      </c>
      <c r="HI252" s="497"/>
      <c r="HJ252" s="1102">
        <f t="shared" si="576"/>
        <v>-7452.4299655143041</v>
      </c>
      <c r="HL252" s="775"/>
      <c r="HN252" s="775"/>
      <c r="HO252" s="775"/>
      <c r="HQ252" s="702"/>
      <c r="HR252" s="1171"/>
      <c r="HS252" s="702"/>
      <c r="HT252" s="1171"/>
    </row>
    <row r="253" spans="1:228" ht="14.25" customHeight="1">
      <c r="A253" s="753">
        <f t="shared" si="577"/>
        <v>247</v>
      </c>
      <c r="B253" s="753"/>
      <c r="C253" s="753">
        <f t="shared" si="591"/>
        <v>30</v>
      </c>
      <c r="D253" s="753" t="s">
        <v>281</v>
      </c>
      <c r="E253" s="717" t="str">
        <f t="shared" si="497"/>
        <v>10th Floor</v>
      </c>
      <c r="F253" s="754"/>
      <c r="G253" s="756" t="s">
        <v>691</v>
      </c>
      <c r="H253" s="756"/>
      <c r="I253" s="755" t="s">
        <v>229</v>
      </c>
      <c r="J253" s="757">
        <v>22</v>
      </c>
      <c r="K253" s="758"/>
      <c r="L253" s="759" t="s">
        <v>277</v>
      </c>
      <c r="M253" s="760" t="s">
        <v>68</v>
      </c>
      <c r="N253" s="761">
        <f t="shared" si="498"/>
        <v>106005.26567735759</v>
      </c>
      <c r="O253" s="762">
        <f t="shared" si="499"/>
        <v>2332115.8449018667</v>
      </c>
      <c r="P253" s="762">
        <f t="shared" si="500"/>
        <v>22400</v>
      </c>
      <c r="Q253" s="762">
        <f t="shared" si="474"/>
        <v>50000</v>
      </c>
      <c r="R253" s="762"/>
      <c r="S253" s="762"/>
      <c r="T253" s="762"/>
      <c r="U253" s="762"/>
      <c r="V253" s="762"/>
      <c r="W253" s="762"/>
      <c r="X253" s="762"/>
      <c r="Y253" s="762">
        <f t="shared" si="592"/>
        <v>120000</v>
      </c>
      <c r="Z253" s="762">
        <f t="shared" si="475"/>
        <v>142461</v>
      </c>
      <c r="AA253" s="762">
        <v>45722.732758620688</v>
      </c>
      <c r="AB253" s="762"/>
      <c r="AC253" s="762"/>
      <c r="AD253" s="763">
        <f t="shared" si="501"/>
        <v>380583.7327586207</v>
      </c>
      <c r="AE253" s="763">
        <f t="shared" si="476"/>
        <v>2712699.5776604875</v>
      </c>
      <c r="AF253" s="762">
        <f t="shared" si="477"/>
        <v>67817.489441512196</v>
      </c>
      <c r="AG253" s="762">
        <f t="shared" si="502"/>
        <v>2780517.0671019997</v>
      </c>
      <c r="AH253" s="762">
        <f t="shared" si="478"/>
        <v>69512.92667755</v>
      </c>
      <c r="AI253" s="762">
        <f t="shared" si="503"/>
        <v>2850029.9937795498</v>
      </c>
      <c r="AJ253" s="762">
        <f t="shared" si="504"/>
        <v>142501.49968897749</v>
      </c>
      <c r="AK253" s="762">
        <f t="shared" si="505"/>
        <v>2992531.4934685272</v>
      </c>
      <c r="AL253" s="762">
        <f t="shared" si="506"/>
        <v>29925.314934685273</v>
      </c>
      <c r="AM253" s="762">
        <f t="shared" si="507"/>
        <v>27537.409960060559</v>
      </c>
      <c r="AN253" s="762"/>
      <c r="AO253" s="763">
        <f t="shared" si="508"/>
        <v>3049994.218363273</v>
      </c>
      <c r="AP253" s="763">
        <f t="shared" si="509"/>
        <v>503249.04602994007</v>
      </c>
      <c r="AQ253" s="763">
        <f t="shared" si="510"/>
        <v>3553243.2643932132</v>
      </c>
      <c r="AR253" s="1178">
        <f t="shared" si="479"/>
        <v>3000000</v>
      </c>
      <c r="AS253" s="1178">
        <f t="shared" si="511"/>
        <v>25147.421108782419</v>
      </c>
      <c r="AT253" s="1178">
        <f t="shared" si="512"/>
        <v>553243.26439321321</v>
      </c>
      <c r="AU253" s="1178">
        <f t="shared" si="480"/>
        <v>66389.191727185578</v>
      </c>
      <c r="AV253" s="1178">
        <f t="shared" si="513"/>
        <v>619632.45612039883</v>
      </c>
      <c r="AW253" s="1178">
        <f t="shared" si="514"/>
        <v>3619632.4561203988</v>
      </c>
      <c r="AX253" s="762">
        <f t="shared" si="515"/>
        <v>45245.405701504991</v>
      </c>
      <c r="AY253" s="717" t="s">
        <v>231</v>
      </c>
      <c r="AZ253" s="717">
        <f t="shared" si="516"/>
        <v>3664877.8618219038</v>
      </c>
      <c r="BA253" s="717">
        <f t="shared" si="517"/>
        <v>137432.91981832139</v>
      </c>
      <c r="BB253" s="717"/>
      <c r="BC253" s="717">
        <f t="shared" si="481"/>
        <v>33600</v>
      </c>
      <c r="BD253" s="717">
        <f t="shared" si="518"/>
        <v>3835910.7816402251</v>
      </c>
      <c r="BE253" s="717"/>
      <c r="BF253" s="717">
        <f t="shared" si="519"/>
        <v>3835910.7816402251</v>
      </c>
      <c r="BG253" s="1209"/>
      <c r="BH253" s="717">
        <f t="shared" si="520"/>
        <v>3835910.7816402251</v>
      </c>
      <c r="BI253" s="717">
        <v>718.43902439024396</v>
      </c>
      <c r="BJ253" s="717">
        <f t="shared" si="521"/>
        <v>3836629.2206646153</v>
      </c>
      <c r="BK253" s="717"/>
      <c r="BL253" s="717">
        <f t="shared" si="522"/>
        <v>3836629.2206646153</v>
      </c>
      <c r="BM253" s="717">
        <f t="shared" si="604"/>
        <v>1038.0487804878051</v>
      </c>
      <c r="BN253" s="717">
        <f t="shared" si="523"/>
        <v>3837667.2694451031</v>
      </c>
      <c r="BO253" s="717">
        <f t="shared" si="605"/>
        <v>7289.0781490196077</v>
      </c>
      <c r="BP253" s="717">
        <f t="shared" si="482"/>
        <v>3844956.3475941229</v>
      </c>
      <c r="BQ253" s="717">
        <f t="shared" si="606"/>
        <v>4468.4242000000004</v>
      </c>
      <c r="BR253" s="717">
        <f t="shared" si="584"/>
        <v>3849424.7717941226</v>
      </c>
      <c r="BS253" s="1234">
        <f t="shared" si="607"/>
        <v>2651.4786794501206</v>
      </c>
      <c r="BT253" s="1235">
        <f t="shared" si="524"/>
        <v>3852076.2504735729</v>
      </c>
      <c r="BU253" s="1235">
        <f t="shared" si="608"/>
        <v>211.07692307692309</v>
      </c>
      <c r="BV253" s="1235">
        <f t="shared" si="585"/>
        <v>51400</v>
      </c>
      <c r="BW253" s="717">
        <f t="shared" si="525"/>
        <v>3903687.3273966499</v>
      </c>
      <c r="BX253" s="1234">
        <f t="shared" si="589"/>
        <v>27651.078536278128</v>
      </c>
      <c r="BY253" s="717">
        <f t="shared" si="526"/>
        <v>3931338.405932928</v>
      </c>
      <c r="BZ253" s="1194">
        <f t="shared" si="527"/>
        <v>3931338.405932928</v>
      </c>
      <c r="CA253" s="1194">
        <f t="shared" si="528"/>
        <v>3051338.405932928</v>
      </c>
      <c r="CB253" s="1194">
        <f t="shared" si="609"/>
        <v>40000</v>
      </c>
      <c r="CC253" s="1194">
        <f t="shared" si="529"/>
        <v>880000</v>
      </c>
      <c r="CD253" s="1194">
        <f t="shared" si="530"/>
        <v>105600</v>
      </c>
      <c r="CE253" s="1194">
        <f t="shared" si="531"/>
        <v>985600</v>
      </c>
      <c r="CF253" s="1200">
        <f t="shared" si="532"/>
        <v>4036938.405932928</v>
      </c>
      <c r="CG253" s="757">
        <f t="shared" si="533"/>
        <v>4036938.405932928</v>
      </c>
      <c r="CH253" s="758">
        <f t="shared" si="534"/>
        <v>0</v>
      </c>
      <c r="CI253" s="757">
        <f t="shared" si="483"/>
        <v>413786.18660812511</v>
      </c>
      <c r="CJ253" s="757">
        <f t="shared" si="484"/>
        <v>100923.46014832321</v>
      </c>
      <c r="CK253" s="759">
        <f t="shared" si="593"/>
        <v>4551648.0526893763</v>
      </c>
      <c r="CL253" s="764">
        <f t="shared" si="535"/>
        <v>0.125</v>
      </c>
      <c r="CM253" s="757">
        <f t="shared" si="536"/>
        <v>568956.00658617204</v>
      </c>
      <c r="CN253" s="757">
        <f t="shared" si="578"/>
        <v>30000</v>
      </c>
      <c r="CO253" s="757">
        <f t="shared" si="537"/>
        <v>538956.00658617204</v>
      </c>
      <c r="CP253" s="755">
        <f t="shared" si="538"/>
        <v>29</v>
      </c>
      <c r="CQ253" s="757">
        <f t="shared" si="581"/>
        <v>18584.689882281793</v>
      </c>
      <c r="CR253" s="764">
        <f t="shared" si="539"/>
        <v>0.875</v>
      </c>
      <c r="CS253" s="757">
        <f t="shared" si="540"/>
        <v>3982692.0461032041</v>
      </c>
      <c r="CT253" s="1101">
        <f t="shared" si="541"/>
        <v>30877.769042415723</v>
      </c>
      <c r="CU253" s="1101">
        <f t="shared" si="542"/>
        <v>35797.562051366578</v>
      </c>
      <c r="CV253" s="1101">
        <f t="shared" si="543"/>
        <v>46242.43166691532</v>
      </c>
      <c r="CW253" s="1141">
        <f t="shared" si="485"/>
        <v>78862.075929960469</v>
      </c>
      <c r="CX253" s="1152">
        <f t="shared" si="544"/>
        <v>323526.73394852743</v>
      </c>
      <c r="CY253" s="1152">
        <f t="shared" si="545"/>
        <v>128017.95263422892</v>
      </c>
      <c r="CZ253" s="1152">
        <f t="shared" si="546"/>
        <v>92465.554044527875</v>
      </c>
      <c r="DA253" s="1152">
        <f t="shared" si="547"/>
        <v>70370.543522134452</v>
      </c>
      <c r="DB253" s="1143">
        <f t="shared" si="486"/>
        <v>0.1844144214644044</v>
      </c>
      <c r="DC253" s="1143">
        <f t="shared" si="548"/>
        <v>0.32300579905645005</v>
      </c>
      <c r="DD253" s="1098" t="s">
        <v>232</v>
      </c>
      <c r="DE253" s="1144"/>
      <c r="DF253" s="705"/>
      <c r="DG253" s="765">
        <f t="shared" si="579"/>
        <v>46082</v>
      </c>
      <c r="DH253" s="1116">
        <f t="shared" si="487"/>
        <v>28</v>
      </c>
      <c r="DI253" s="497"/>
      <c r="DJ253" s="1117">
        <f t="shared" si="549"/>
        <v>46147</v>
      </c>
      <c r="DK253" s="1116">
        <f t="shared" si="550"/>
        <v>30</v>
      </c>
      <c r="DL253" s="766" t="s">
        <v>233</v>
      </c>
      <c r="DM253" s="766" t="s">
        <v>234</v>
      </c>
      <c r="DN253" s="767">
        <f t="shared" si="488"/>
        <v>28165.111641836309</v>
      </c>
      <c r="DO253" s="767">
        <f t="shared" si="489"/>
        <v>619632.45612039883</v>
      </c>
      <c r="DP253" s="768">
        <f t="shared" si="490"/>
        <v>0.20654415204013293</v>
      </c>
      <c r="DR253" s="767">
        <f t="shared" si="491"/>
        <v>4036938.405932928</v>
      </c>
      <c r="DS253" s="767">
        <f>SUM('[6]INTERNAL PRICELIST'!M253)</f>
        <v>0</v>
      </c>
      <c r="DT253" s="767">
        <f t="shared" si="551"/>
        <v>4036938.405932928</v>
      </c>
      <c r="DV253" s="951">
        <f t="shared" si="492"/>
        <v>183497.20026967855</v>
      </c>
      <c r="DX253" s="781"/>
      <c r="DY253" s="782"/>
      <c r="DZ253" s="781"/>
      <c r="EA253" s="775"/>
      <c r="ED253" s="755" t="s">
        <v>691</v>
      </c>
      <c r="EE253" s="777" t="b">
        <f t="shared" si="493"/>
        <v>1</v>
      </c>
      <c r="EF253" s="777"/>
      <c r="EG253" s="777"/>
      <c r="EH253" s="1203"/>
      <c r="EP253" s="1230" t="s">
        <v>258</v>
      </c>
      <c r="EQ253" s="1145" t="s">
        <v>258</v>
      </c>
      <c r="ER253" s="753" t="b">
        <f t="shared" si="552"/>
        <v>1</v>
      </c>
      <c r="EU253" s="770">
        <v>3133599.0274007288</v>
      </c>
      <c r="EV253" s="771" t="s">
        <v>258</v>
      </c>
      <c r="EW253" s="775">
        <f>EU253-CG253</f>
        <v>-903339.37853219919</v>
      </c>
      <c r="EY253" s="775">
        <v>3100206.5987977991</v>
      </c>
      <c r="FJ253" s="994">
        <v>0.125</v>
      </c>
      <c r="FK253" s="993">
        <v>11173.02953930404</v>
      </c>
      <c r="FL253" s="993">
        <v>11475.003310636581</v>
      </c>
      <c r="FM253" s="497"/>
      <c r="FN253" s="993">
        <f t="shared" si="494"/>
        <v>4551648.0526893763</v>
      </c>
      <c r="FO253" s="994">
        <f t="shared" si="602"/>
        <v>0.125</v>
      </c>
      <c r="FP253" s="775">
        <f t="shared" si="495"/>
        <v>568956.00658617204</v>
      </c>
      <c r="FQ253" s="993">
        <f t="shared" si="496"/>
        <v>30000</v>
      </c>
      <c r="FR253" s="775">
        <f t="shared" si="554"/>
        <v>538956.00658617204</v>
      </c>
      <c r="FS253" s="497">
        <f t="shared" si="555"/>
        <v>40</v>
      </c>
      <c r="FT253" s="775">
        <f t="shared" si="556"/>
        <v>13473.9001646543</v>
      </c>
      <c r="FU253" s="497"/>
      <c r="FV253" s="993">
        <f t="shared" si="557"/>
        <v>4551648.0526893763</v>
      </c>
      <c r="FW253" s="705">
        <f t="shared" si="558"/>
        <v>455164.80526893766</v>
      </c>
      <c r="FX253" s="705">
        <f t="shared" si="559"/>
        <v>113791.20131723442</v>
      </c>
      <c r="FY253" s="705">
        <v>15000</v>
      </c>
      <c r="FZ253" s="705">
        <f t="shared" si="560"/>
        <v>440164.80526893766</v>
      </c>
      <c r="GA253" s="497">
        <f t="shared" si="561"/>
        <v>46</v>
      </c>
      <c r="GB253" s="775">
        <f t="shared" si="562"/>
        <v>9568.800114542124</v>
      </c>
      <c r="GC253" s="497"/>
      <c r="GD253" s="497"/>
      <c r="GH253" s="1095">
        <f t="shared" si="461"/>
        <v>4551648.0526893763</v>
      </c>
      <c r="GI253" s="1098">
        <f t="shared" si="462"/>
        <v>0.125</v>
      </c>
      <c r="GJ253" s="1095">
        <f t="shared" si="463"/>
        <v>568956.00658617204</v>
      </c>
      <c r="GK253" s="1095">
        <f t="shared" si="464"/>
        <v>30000</v>
      </c>
      <c r="GL253" s="1095">
        <f t="shared" si="465"/>
        <v>538956.00658617204</v>
      </c>
      <c r="GM253" s="1095">
        <f t="shared" si="466"/>
        <v>29</v>
      </c>
      <c r="GN253" s="1095">
        <f t="shared" si="467"/>
        <v>18584.689882281793</v>
      </c>
      <c r="GO253" s="1098">
        <f t="shared" si="468"/>
        <v>0.875</v>
      </c>
      <c r="GP253" s="1095">
        <f t="shared" si="469"/>
        <v>3982692.0461032041</v>
      </c>
      <c r="GQ253" s="1095">
        <f t="shared" si="470"/>
        <v>30877.769042415723</v>
      </c>
      <c r="GR253" s="1095">
        <f t="shared" si="471"/>
        <v>35797.562051366578</v>
      </c>
      <c r="GS253" s="1095">
        <f t="shared" si="472"/>
        <v>46242.43166691532</v>
      </c>
      <c r="GT253" s="1095">
        <f t="shared" si="473"/>
        <v>78862.075929960469</v>
      </c>
      <c r="GU253" s="497"/>
      <c r="GV253" s="1095">
        <f t="shared" si="563"/>
        <v>4551648.0526893763</v>
      </c>
      <c r="GW253" s="1098">
        <f t="shared" si="564"/>
        <v>0.125</v>
      </c>
      <c r="GX253" s="1095">
        <f t="shared" si="565"/>
        <v>568956.00658617204</v>
      </c>
      <c r="GY253" s="1095">
        <f t="shared" si="566"/>
        <v>30000</v>
      </c>
      <c r="GZ253" s="1095">
        <f t="shared" si="567"/>
        <v>538956.00658617204</v>
      </c>
      <c r="HA253" s="1106">
        <f t="shared" si="568"/>
        <v>48</v>
      </c>
      <c r="HB253" s="770">
        <f t="shared" si="569"/>
        <v>11228.250137211917</v>
      </c>
      <c r="HC253" s="1098">
        <f t="shared" si="570"/>
        <v>0.875</v>
      </c>
      <c r="HD253" s="1102">
        <f t="shared" si="571"/>
        <v>3982692.0461032041</v>
      </c>
      <c r="HE253" s="1101">
        <f t="shared" si="572"/>
        <v>30877.769042415723</v>
      </c>
      <c r="HF253" s="1101">
        <f t="shared" si="573"/>
        <v>35797.562051366578</v>
      </c>
      <c r="HG253" s="1101">
        <f t="shared" si="574"/>
        <v>46242.43166691532</v>
      </c>
      <c r="HH253" s="1101">
        <f t="shared" si="575"/>
        <v>78862.075929960469</v>
      </c>
      <c r="HI253" s="497"/>
      <c r="HJ253" s="1102">
        <f t="shared" si="576"/>
        <v>-7356.4397450698762</v>
      </c>
      <c r="HL253" s="775"/>
      <c r="HN253" s="775"/>
      <c r="HO253" s="775"/>
      <c r="HQ253" s="702"/>
      <c r="HR253" s="1171"/>
      <c r="HS253" s="702"/>
      <c r="HT253" s="1171"/>
    </row>
    <row r="254" spans="1:228" ht="14.25" hidden="1" customHeight="1">
      <c r="A254" s="753">
        <f t="shared" si="577"/>
        <v>248</v>
      </c>
      <c r="B254" s="753"/>
      <c r="C254" s="753">
        <f t="shared" si="591"/>
        <v>31</v>
      </c>
      <c r="D254" s="753" t="s">
        <v>281</v>
      </c>
      <c r="E254" s="717" t="str">
        <f t="shared" si="497"/>
        <v>10th Floor</v>
      </c>
      <c r="F254" s="754"/>
      <c r="G254" s="756" t="s">
        <v>692</v>
      </c>
      <c r="H254" s="756"/>
      <c r="I254" s="755" t="s">
        <v>229</v>
      </c>
      <c r="J254" s="757">
        <v>22</v>
      </c>
      <c r="K254" s="758"/>
      <c r="L254" s="759" t="s">
        <v>277</v>
      </c>
      <c r="M254" s="760" t="s">
        <v>278</v>
      </c>
      <c r="N254" s="761">
        <f t="shared" si="498"/>
        <v>106005.26567735759</v>
      </c>
      <c r="O254" s="762">
        <f t="shared" si="499"/>
        <v>2332115.8449018667</v>
      </c>
      <c r="P254" s="762">
        <f t="shared" si="500"/>
        <v>22400</v>
      </c>
      <c r="Q254" s="762">
        <f t="shared" si="474"/>
        <v>50000</v>
      </c>
      <c r="R254" s="762"/>
      <c r="S254" s="762"/>
      <c r="T254" s="762"/>
      <c r="U254" s="762"/>
      <c r="V254" s="762"/>
      <c r="W254" s="762">
        <f>J254*$W$5</f>
        <v>22000</v>
      </c>
      <c r="X254" s="762"/>
      <c r="Y254" s="762">
        <f t="shared" si="592"/>
        <v>120000</v>
      </c>
      <c r="Z254" s="762">
        <f t="shared" si="475"/>
        <v>142461</v>
      </c>
      <c r="AA254" s="762">
        <v>45722.732758620688</v>
      </c>
      <c r="AB254" s="762"/>
      <c r="AC254" s="762"/>
      <c r="AD254" s="763">
        <f t="shared" si="501"/>
        <v>402583.7327586207</v>
      </c>
      <c r="AE254" s="763">
        <f t="shared" si="476"/>
        <v>2734699.5776604875</v>
      </c>
      <c r="AF254" s="762">
        <f t="shared" si="477"/>
        <v>68367.489441512196</v>
      </c>
      <c r="AG254" s="762">
        <f t="shared" si="502"/>
        <v>2803067.0671019997</v>
      </c>
      <c r="AH254" s="762">
        <f t="shared" si="478"/>
        <v>70076.67667755</v>
      </c>
      <c r="AI254" s="762">
        <f t="shared" si="503"/>
        <v>2873143.7437795498</v>
      </c>
      <c r="AJ254" s="762">
        <f t="shared" si="504"/>
        <v>143657.18718897749</v>
      </c>
      <c r="AK254" s="762">
        <f t="shared" si="505"/>
        <v>3016800.9309685272</v>
      </c>
      <c r="AL254" s="762">
        <f t="shared" si="506"/>
        <v>30168.009309685272</v>
      </c>
      <c r="AM254" s="762">
        <f t="shared" si="507"/>
        <v>27537.409960060559</v>
      </c>
      <c r="AN254" s="762"/>
      <c r="AO254" s="763">
        <f t="shared" si="508"/>
        <v>3074506.3502382729</v>
      </c>
      <c r="AP254" s="763">
        <f t="shared" si="509"/>
        <v>507293.54778931505</v>
      </c>
      <c r="AQ254" s="763">
        <f t="shared" si="510"/>
        <v>3581799.8980275881</v>
      </c>
      <c r="AR254" s="1178">
        <f t="shared" si="479"/>
        <v>3000000</v>
      </c>
      <c r="AS254" s="1178">
        <f t="shared" si="511"/>
        <v>26445.449910344916</v>
      </c>
      <c r="AT254" s="1178">
        <f t="shared" si="512"/>
        <v>581799.89802758815</v>
      </c>
      <c r="AU254" s="1178">
        <f t="shared" si="480"/>
        <v>69815.987763310579</v>
      </c>
      <c r="AV254" s="1178">
        <f t="shared" si="513"/>
        <v>651615.8857908987</v>
      </c>
      <c r="AW254" s="1178">
        <f t="shared" si="514"/>
        <v>3651615.8857908989</v>
      </c>
      <c r="AX254" s="762">
        <f t="shared" si="515"/>
        <v>45645.198572386238</v>
      </c>
      <c r="AY254" s="717" t="s">
        <v>231</v>
      </c>
      <c r="AZ254" s="717">
        <f t="shared" si="516"/>
        <v>3697261.084363285</v>
      </c>
      <c r="BA254" s="717">
        <f t="shared" si="517"/>
        <v>138647.29066362319</v>
      </c>
      <c r="BB254" s="717"/>
      <c r="BC254" s="717">
        <f t="shared" si="481"/>
        <v>33600</v>
      </c>
      <c r="BD254" s="717">
        <f t="shared" si="518"/>
        <v>3869508.3750269082</v>
      </c>
      <c r="BE254" s="717"/>
      <c r="BF254" s="717">
        <f t="shared" si="519"/>
        <v>3869508.3750269082</v>
      </c>
      <c r="BG254" s="1209"/>
      <c r="BH254" s="717">
        <f t="shared" si="520"/>
        <v>3869508.3750269082</v>
      </c>
      <c r="BI254" s="717"/>
      <c r="BJ254" s="717">
        <f t="shared" si="521"/>
        <v>3869508.3750269082</v>
      </c>
      <c r="BK254" s="717"/>
      <c r="BL254" s="717">
        <f t="shared" si="522"/>
        <v>3869508.3750269082</v>
      </c>
      <c r="BM254" s="717"/>
      <c r="BN254" s="717">
        <f t="shared" si="523"/>
        <v>3869508.3750269082</v>
      </c>
      <c r="BO254" s="717"/>
      <c r="BP254" s="717">
        <f t="shared" si="482"/>
        <v>3869508.3750269082</v>
      </c>
      <c r="BQ254" s="717"/>
      <c r="BR254" s="717">
        <f t="shared" si="584"/>
        <v>3869508.3750269082</v>
      </c>
      <c r="BS254" s="717"/>
      <c r="BT254" s="717">
        <f t="shared" si="524"/>
        <v>3869508.3750269082</v>
      </c>
      <c r="BU254" s="717"/>
      <c r="BV254" s="1235">
        <f t="shared" si="585"/>
        <v>51400</v>
      </c>
      <c r="BW254" s="717">
        <f t="shared" si="525"/>
        <v>3920908.3750269082</v>
      </c>
      <c r="BX254" s="717"/>
      <c r="BY254" s="717">
        <f t="shared" si="526"/>
        <v>3920908.3750269082</v>
      </c>
      <c r="BZ254" s="1194">
        <f t="shared" si="527"/>
        <v>3920908.3750269082</v>
      </c>
      <c r="CA254" s="1194">
        <f t="shared" si="528"/>
        <v>3040908.3750269082</v>
      </c>
      <c r="CB254" s="1194">
        <v>40000</v>
      </c>
      <c r="CC254" s="1194">
        <f t="shared" si="529"/>
        <v>880000</v>
      </c>
      <c r="CD254" s="1194">
        <f t="shared" si="530"/>
        <v>105600</v>
      </c>
      <c r="CE254" s="1194">
        <f t="shared" si="531"/>
        <v>985600</v>
      </c>
      <c r="CF254" s="1200">
        <f t="shared" si="532"/>
        <v>4026508.3750269082</v>
      </c>
      <c r="CG254" s="757">
        <f t="shared" si="533"/>
        <v>4026508.3750269082</v>
      </c>
      <c r="CH254" s="758">
        <f t="shared" si="534"/>
        <v>0</v>
      </c>
      <c r="CI254" s="757">
        <f t="shared" si="483"/>
        <v>412717.10844025807</v>
      </c>
      <c r="CJ254" s="757">
        <f t="shared" si="484"/>
        <v>100662.70937567271</v>
      </c>
      <c r="CK254" s="759">
        <f t="shared" si="593"/>
        <v>4539888.1928428393</v>
      </c>
      <c r="CL254" s="764">
        <f t="shared" si="535"/>
        <v>0.125</v>
      </c>
      <c r="CM254" s="757">
        <f t="shared" si="536"/>
        <v>567486.02410535491</v>
      </c>
      <c r="CN254" s="757">
        <f t="shared" si="578"/>
        <v>30000</v>
      </c>
      <c r="CO254" s="757">
        <f t="shared" si="537"/>
        <v>537486.02410535491</v>
      </c>
      <c r="CP254" s="755">
        <f t="shared" si="538"/>
        <v>29</v>
      </c>
      <c r="CQ254" s="757">
        <f t="shared" si="581"/>
        <v>18534.000831219135</v>
      </c>
      <c r="CR254" s="764">
        <f t="shared" si="539"/>
        <v>0.875</v>
      </c>
      <c r="CS254" s="757">
        <f t="shared" si="540"/>
        <v>3972402.1687374841</v>
      </c>
      <c r="CT254" s="1101">
        <f t="shared" si="541"/>
        <v>30797.991732722807</v>
      </c>
      <c r="CU254" s="1101">
        <f t="shared" si="542"/>
        <v>35705.073724567439</v>
      </c>
      <c r="CV254" s="1101">
        <f t="shared" si="543"/>
        <v>46122.957465687337</v>
      </c>
      <c r="CW254" s="1141">
        <f t="shared" si="485"/>
        <v>78658.324025285998</v>
      </c>
      <c r="CX254" s="1152">
        <f t="shared" si="544"/>
        <v>322690.85450358782</v>
      </c>
      <c r="CY254" s="1152">
        <f t="shared" si="545"/>
        <v>127687.19920966885</v>
      </c>
      <c r="CZ254" s="1152">
        <f t="shared" si="546"/>
        <v>92226.655530493255</v>
      </c>
      <c r="DA254" s="1152">
        <f t="shared" si="547"/>
        <v>70188.730754634569</v>
      </c>
      <c r="DB254" s="1143">
        <f t="shared" si="486"/>
        <v>0.19393329934252937</v>
      </c>
      <c r="DC254" s="1143">
        <f t="shared" si="548"/>
        <v>0.32411367869355112</v>
      </c>
      <c r="DD254" s="1098" t="s">
        <v>232</v>
      </c>
      <c r="DE254" s="1144"/>
      <c r="DF254" s="705"/>
      <c r="DG254" s="765">
        <f t="shared" si="579"/>
        <v>46082</v>
      </c>
      <c r="DH254" s="1116">
        <f t="shared" si="487"/>
        <v>28</v>
      </c>
      <c r="DI254" s="497"/>
      <c r="DJ254" s="1117">
        <f t="shared" si="549"/>
        <v>46147</v>
      </c>
      <c r="DK254" s="1116">
        <f t="shared" si="550"/>
        <v>30</v>
      </c>
      <c r="DL254" s="766" t="s">
        <v>233</v>
      </c>
      <c r="DM254" s="766" t="s">
        <v>234</v>
      </c>
      <c r="DN254" s="767">
        <f t="shared" si="488"/>
        <v>29618.903899586305</v>
      </c>
      <c r="DO254" s="767">
        <f t="shared" si="489"/>
        <v>651615.8857908987</v>
      </c>
      <c r="DP254" s="768">
        <f t="shared" si="490"/>
        <v>0.21720529526363289</v>
      </c>
      <c r="DR254" s="767">
        <f t="shared" si="491"/>
        <v>4026508.3750269082</v>
      </c>
      <c r="DS254" s="767">
        <f>SUM('[6]INTERNAL PRICELIST'!M254)</f>
        <v>0</v>
      </c>
      <c r="DT254" s="767">
        <f t="shared" si="551"/>
        <v>4026508.3750269082</v>
      </c>
      <c r="DV254" s="951">
        <f t="shared" si="492"/>
        <v>183023.10795576856</v>
      </c>
      <c r="DX254" s="781"/>
      <c r="DY254" s="782"/>
      <c r="DZ254" s="781"/>
      <c r="EA254" s="775"/>
      <c r="ED254" s="755" t="s">
        <v>692</v>
      </c>
      <c r="EE254" s="777" t="b">
        <f t="shared" si="493"/>
        <v>1</v>
      </c>
      <c r="EF254" s="777"/>
      <c r="EG254" s="777"/>
      <c r="EH254" s="1203"/>
      <c r="EP254" s="1230" t="s">
        <v>236</v>
      </c>
      <c r="EQ254" s="1145" t="s">
        <v>236</v>
      </c>
      <c r="ER254" s="753" t="b">
        <f t="shared" si="552"/>
        <v>1</v>
      </c>
      <c r="EU254" s="770">
        <v>2924119.05</v>
      </c>
      <c r="EV254" s="771" t="s">
        <v>236</v>
      </c>
      <c r="FJ254" s="994">
        <v>0.15</v>
      </c>
      <c r="FK254" s="993">
        <v>13608.769342421752</v>
      </c>
      <c r="FL254" s="993">
        <v>13976.573919243963</v>
      </c>
      <c r="FM254" s="497"/>
      <c r="FN254" s="993">
        <f t="shared" si="494"/>
        <v>4539888.1928428393</v>
      </c>
      <c r="FO254" s="994">
        <f t="shared" si="553"/>
        <v>0.15</v>
      </c>
      <c r="FP254" s="775">
        <f t="shared" si="495"/>
        <v>680983.22892642592</v>
      </c>
      <c r="FQ254" s="993">
        <f t="shared" si="496"/>
        <v>30000</v>
      </c>
      <c r="FR254" s="775">
        <f t="shared" si="554"/>
        <v>650983.22892642592</v>
      </c>
      <c r="FS254" s="497">
        <f t="shared" si="555"/>
        <v>40</v>
      </c>
      <c r="FT254" s="775">
        <f t="shared" si="556"/>
        <v>16274.580723160649</v>
      </c>
      <c r="FU254" s="497"/>
      <c r="FV254" s="993">
        <f t="shared" si="557"/>
        <v>4539888.1928428393</v>
      </c>
      <c r="FW254" s="705">
        <f t="shared" si="558"/>
        <v>453988.81928428396</v>
      </c>
      <c r="FX254" s="705">
        <f t="shared" si="559"/>
        <v>113497.20482107099</v>
      </c>
      <c r="FY254" s="705">
        <v>15000</v>
      </c>
      <c r="FZ254" s="705">
        <f t="shared" si="560"/>
        <v>438988.81928428396</v>
      </c>
      <c r="GA254" s="497">
        <f t="shared" si="561"/>
        <v>46</v>
      </c>
      <c r="GB254" s="775">
        <f t="shared" si="562"/>
        <v>9543.2352018322599</v>
      </c>
      <c r="GC254" s="497"/>
      <c r="GD254" s="497"/>
      <c r="GH254" s="1095">
        <f t="shared" si="461"/>
        <v>4539888.1928428393</v>
      </c>
      <c r="GI254" s="1098">
        <f t="shared" si="462"/>
        <v>0.125</v>
      </c>
      <c r="GJ254" s="1095">
        <f t="shared" si="463"/>
        <v>567486.02410535491</v>
      </c>
      <c r="GK254" s="1095">
        <f t="shared" si="464"/>
        <v>30000</v>
      </c>
      <c r="GL254" s="1095">
        <f t="shared" si="465"/>
        <v>537486.02410535491</v>
      </c>
      <c r="GM254" s="1095">
        <f t="shared" si="466"/>
        <v>29</v>
      </c>
      <c r="GN254" s="1095">
        <f t="shared" si="467"/>
        <v>18534.000831219135</v>
      </c>
      <c r="GO254" s="1098">
        <f t="shared" si="468"/>
        <v>0.875</v>
      </c>
      <c r="GP254" s="1095">
        <f t="shared" si="469"/>
        <v>3972402.1687374841</v>
      </c>
      <c r="GQ254" s="1095">
        <f t="shared" si="470"/>
        <v>30797.991732722807</v>
      </c>
      <c r="GR254" s="1095">
        <f t="shared" si="471"/>
        <v>35705.073724567439</v>
      </c>
      <c r="GS254" s="1095">
        <f t="shared" si="472"/>
        <v>46122.957465687337</v>
      </c>
      <c r="GT254" s="1095">
        <f t="shared" si="473"/>
        <v>78658.324025285998</v>
      </c>
      <c r="GU254" s="497"/>
      <c r="GV254" s="1095">
        <f t="shared" si="563"/>
        <v>4539888.1928428393</v>
      </c>
      <c r="GW254" s="1098">
        <f t="shared" si="564"/>
        <v>0.125</v>
      </c>
      <c r="GX254" s="1095">
        <f t="shared" si="565"/>
        <v>567486.02410535491</v>
      </c>
      <c r="GY254" s="1095">
        <f t="shared" si="566"/>
        <v>30000</v>
      </c>
      <c r="GZ254" s="1095">
        <f t="shared" si="567"/>
        <v>537486.02410535491</v>
      </c>
      <c r="HA254" s="1106">
        <f t="shared" si="568"/>
        <v>48</v>
      </c>
      <c r="HB254" s="770">
        <f t="shared" si="569"/>
        <v>11197.625502194895</v>
      </c>
      <c r="HC254" s="1098">
        <f t="shared" si="570"/>
        <v>0.875</v>
      </c>
      <c r="HD254" s="1102">
        <f t="shared" si="571"/>
        <v>3972402.1687374841</v>
      </c>
      <c r="HE254" s="1101">
        <f t="shared" si="572"/>
        <v>30797.991732722807</v>
      </c>
      <c r="HF254" s="1101">
        <f t="shared" si="573"/>
        <v>35705.073724567439</v>
      </c>
      <c r="HG254" s="1101">
        <f t="shared" si="574"/>
        <v>46122.957465687337</v>
      </c>
      <c r="HH254" s="1101">
        <f t="shared" si="575"/>
        <v>78658.324025285998</v>
      </c>
      <c r="HI254" s="497"/>
      <c r="HJ254" s="1102">
        <f t="shared" si="576"/>
        <v>-7336.3753290242403</v>
      </c>
      <c r="HL254" s="775"/>
      <c r="HN254" s="775"/>
      <c r="HO254" s="775"/>
      <c r="HQ254" s="702"/>
      <c r="HR254" s="1171"/>
      <c r="HS254" s="702"/>
      <c r="HT254" s="1171"/>
    </row>
    <row r="255" spans="1:228" ht="14.25" hidden="1" customHeight="1">
      <c r="A255" s="753">
        <f t="shared" si="577"/>
        <v>249</v>
      </c>
      <c r="B255" s="753"/>
      <c r="C255" s="753">
        <v>1</v>
      </c>
      <c r="D255" s="753" t="s">
        <v>284</v>
      </c>
      <c r="E255" s="717" t="str">
        <f t="shared" si="497"/>
        <v>11th Floor</v>
      </c>
      <c r="F255" s="754"/>
      <c r="G255" s="756" t="s">
        <v>693</v>
      </c>
      <c r="H255" s="756"/>
      <c r="I255" s="755" t="s">
        <v>229</v>
      </c>
      <c r="J255" s="757">
        <v>22</v>
      </c>
      <c r="K255" s="758"/>
      <c r="L255" s="759" t="s">
        <v>69</v>
      </c>
      <c r="M255" s="760" t="s">
        <v>230</v>
      </c>
      <c r="N255" s="761">
        <f t="shared" si="498"/>
        <v>106005.26567735759</v>
      </c>
      <c r="O255" s="762">
        <f t="shared" si="499"/>
        <v>2332115.8449018667</v>
      </c>
      <c r="P255" s="762">
        <f t="shared" si="500"/>
        <v>22400</v>
      </c>
      <c r="Q255" s="762">
        <f t="shared" si="474"/>
        <v>50000</v>
      </c>
      <c r="R255" s="762"/>
      <c r="S255" s="762"/>
      <c r="T255" s="762"/>
      <c r="U255" s="762"/>
      <c r="V255" s="762">
        <f>J255*$V$5</f>
        <v>55000</v>
      </c>
      <c r="W255" s="762"/>
      <c r="X255" s="762"/>
      <c r="Y255" s="762">
        <f>Y254+Y5</f>
        <v>140000</v>
      </c>
      <c r="Z255" s="762">
        <f t="shared" si="475"/>
        <v>142461</v>
      </c>
      <c r="AA255" s="762">
        <v>45722.732758620688</v>
      </c>
      <c r="AB255" s="762"/>
      <c r="AC255" s="762"/>
      <c r="AD255" s="763">
        <f t="shared" si="501"/>
        <v>455583.7327586207</v>
      </c>
      <c r="AE255" s="763">
        <f t="shared" si="476"/>
        <v>2787699.5776604875</v>
      </c>
      <c r="AF255" s="762">
        <f t="shared" si="477"/>
        <v>69692.489441512196</v>
      </c>
      <c r="AG255" s="762">
        <f t="shared" si="502"/>
        <v>2857392.0671019997</v>
      </c>
      <c r="AH255" s="762">
        <f t="shared" si="478"/>
        <v>71434.80167755</v>
      </c>
      <c r="AI255" s="762">
        <f t="shared" si="503"/>
        <v>2928826.8687795498</v>
      </c>
      <c r="AJ255" s="762">
        <f t="shared" si="504"/>
        <v>146441.34343897749</v>
      </c>
      <c r="AK255" s="762">
        <f t="shared" si="505"/>
        <v>3075268.2122185272</v>
      </c>
      <c r="AL255" s="762">
        <f t="shared" si="506"/>
        <v>30752.682122185273</v>
      </c>
      <c r="AM255" s="762">
        <f t="shared" si="507"/>
        <v>27537.409960060559</v>
      </c>
      <c r="AN255" s="762"/>
      <c r="AO255" s="763">
        <f t="shared" si="508"/>
        <v>3133558.304300773</v>
      </c>
      <c r="AP255" s="763">
        <f t="shared" si="509"/>
        <v>517037.12020962755</v>
      </c>
      <c r="AQ255" s="763">
        <f t="shared" si="510"/>
        <v>3650595.4245104007</v>
      </c>
      <c r="AR255" s="1178">
        <f t="shared" si="479"/>
        <v>3000000</v>
      </c>
      <c r="AS255" s="1178">
        <f t="shared" si="511"/>
        <v>29572.519295927308</v>
      </c>
      <c r="AT255" s="1178">
        <f t="shared" si="512"/>
        <v>650595.42451040074</v>
      </c>
      <c r="AU255" s="1178">
        <f t="shared" si="480"/>
        <v>78071.450941248084</v>
      </c>
      <c r="AV255" s="1178">
        <f t="shared" si="513"/>
        <v>728666.87545164884</v>
      </c>
      <c r="AW255" s="1178">
        <f t="shared" si="514"/>
        <v>3728666.8754516486</v>
      </c>
      <c r="AX255" s="762">
        <f t="shared" si="515"/>
        <v>46608.335943145612</v>
      </c>
      <c r="AY255" s="717" t="s">
        <v>231</v>
      </c>
      <c r="AZ255" s="717">
        <f t="shared" si="516"/>
        <v>3775275.2113947943</v>
      </c>
      <c r="BA255" s="717">
        <f t="shared" si="517"/>
        <v>141572.82042730477</v>
      </c>
      <c r="BB255" s="717"/>
      <c r="BC255" s="717">
        <f t="shared" si="481"/>
        <v>33600</v>
      </c>
      <c r="BD255" s="717">
        <f t="shared" si="518"/>
        <v>3950448.0318220989</v>
      </c>
      <c r="BE255" s="717"/>
      <c r="BF255" s="717">
        <f t="shared" si="519"/>
        <v>3950448.0318220989</v>
      </c>
      <c r="BG255" s="1209"/>
      <c r="BH255" s="717">
        <f t="shared" si="520"/>
        <v>3950448.0318220989</v>
      </c>
      <c r="BI255" s="717"/>
      <c r="BJ255" s="717">
        <f t="shared" si="521"/>
        <v>3950448.0318220989</v>
      </c>
      <c r="BK255" s="717"/>
      <c r="BL255" s="717">
        <f t="shared" si="522"/>
        <v>3950448.0318220989</v>
      </c>
      <c r="BM255" s="717"/>
      <c r="BN255" s="717">
        <f t="shared" si="523"/>
        <v>3950448.0318220989</v>
      </c>
      <c r="BO255" s="717"/>
      <c r="BP255" s="717">
        <f t="shared" si="482"/>
        <v>3950448.0318220989</v>
      </c>
      <c r="BQ255" s="717"/>
      <c r="BR255" s="717">
        <f t="shared" si="584"/>
        <v>3950448.0318220989</v>
      </c>
      <c r="BS255" s="717"/>
      <c r="BT255" s="717">
        <f t="shared" si="524"/>
        <v>3950448.0318220989</v>
      </c>
      <c r="BU255" s="717"/>
      <c r="BV255" s="1235">
        <f t="shared" si="585"/>
        <v>51400</v>
      </c>
      <c r="BW255" s="717">
        <f t="shared" si="525"/>
        <v>4001848.0318220989</v>
      </c>
      <c r="BX255" s="717"/>
      <c r="BY255" s="717">
        <f t="shared" si="526"/>
        <v>4001848.0318220989</v>
      </c>
      <c r="BZ255" s="1194">
        <f t="shared" si="527"/>
        <v>4001848.0318220989</v>
      </c>
      <c r="CA255" s="1194">
        <f t="shared" si="528"/>
        <v>3044848.0318220989</v>
      </c>
      <c r="CB255" s="1194">
        <v>43500</v>
      </c>
      <c r="CC255" s="1194">
        <f t="shared" si="529"/>
        <v>957000</v>
      </c>
      <c r="CD255" s="1194">
        <f t="shared" si="530"/>
        <v>114840</v>
      </c>
      <c r="CE255" s="1194">
        <f t="shared" si="531"/>
        <v>1071840</v>
      </c>
      <c r="CF255" s="1200">
        <f t="shared" si="532"/>
        <v>4116688.0318220989</v>
      </c>
      <c r="CG255" s="757">
        <f t="shared" si="533"/>
        <v>4116688.0318220989</v>
      </c>
      <c r="CH255" s="758">
        <f t="shared" si="534"/>
        <v>0</v>
      </c>
      <c r="CI255" s="757">
        <f t="shared" si="483"/>
        <v>421960.52326176513</v>
      </c>
      <c r="CJ255" s="757">
        <f t="shared" si="484"/>
        <v>102917.20079555248</v>
      </c>
      <c r="CK255" s="759">
        <f t="shared" si="593"/>
        <v>4641565.7558794171</v>
      </c>
      <c r="CL255" s="764">
        <f t="shared" si="535"/>
        <v>0.125</v>
      </c>
      <c r="CM255" s="757">
        <f t="shared" si="536"/>
        <v>580195.71948492713</v>
      </c>
      <c r="CN255" s="757">
        <f t="shared" si="578"/>
        <v>30000</v>
      </c>
      <c r="CO255" s="757">
        <f t="shared" si="537"/>
        <v>550195.71948492713</v>
      </c>
      <c r="CP255" s="755">
        <f t="shared" si="538"/>
        <v>29</v>
      </c>
      <c r="CQ255" s="757">
        <f t="shared" si="581"/>
        <v>18972.266189135418</v>
      </c>
      <c r="CR255" s="764">
        <f t="shared" si="539"/>
        <v>0.875</v>
      </c>
      <c r="CS255" s="757">
        <f t="shared" si="540"/>
        <v>4061370.0363944899</v>
      </c>
      <c r="CT255" s="1101">
        <f t="shared" si="541"/>
        <v>31487.758663710381</v>
      </c>
      <c r="CU255" s="1101">
        <f t="shared" si="542"/>
        <v>36504.742071043176</v>
      </c>
      <c r="CV255" s="1101">
        <f t="shared" si="543"/>
        <v>47155.949846985211</v>
      </c>
      <c r="CW255" s="1141">
        <f t="shared" si="485"/>
        <v>80419.994436473906</v>
      </c>
      <c r="CX255" s="1152">
        <f t="shared" si="544"/>
        <v>329917.99717900471</v>
      </c>
      <c r="CY255" s="1152">
        <f t="shared" si="545"/>
        <v>130546.94436089809</v>
      </c>
      <c r="CZ255" s="1152">
        <f t="shared" si="546"/>
        <v>94292.208950099041</v>
      </c>
      <c r="DA255" s="1152">
        <f t="shared" si="547"/>
        <v>71760.712000122658</v>
      </c>
      <c r="DB255" s="1143">
        <f t="shared" si="486"/>
        <v>0.21686514150346692</v>
      </c>
      <c r="DC255" s="1143">
        <f t="shared" si="548"/>
        <v>0.35201756829833941</v>
      </c>
      <c r="DD255" s="1098" t="s">
        <v>232</v>
      </c>
      <c r="DE255" s="1144"/>
      <c r="DF255" s="705"/>
      <c r="DG255" s="765">
        <f t="shared" si="579"/>
        <v>46082</v>
      </c>
      <c r="DH255" s="1116">
        <f t="shared" si="487"/>
        <v>28</v>
      </c>
      <c r="DI255" s="497"/>
      <c r="DJ255" s="1117">
        <f t="shared" si="549"/>
        <v>46147</v>
      </c>
      <c r="DK255" s="1116">
        <f t="shared" si="550"/>
        <v>30</v>
      </c>
      <c r="DL255" s="766" t="s">
        <v>233</v>
      </c>
      <c r="DM255" s="766" t="s">
        <v>234</v>
      </c>
      <c r="DN255" s="767">
        <f t="shared" si="488"/>
        <v>33121.221611438581</v>
      </c>
      <c r="DO255" s="767">
        <f t="shared" si="489"/>
        <v>728666.87545164884</v>
      </c>
      <c r="DP255" s="768">
        <f t="shared" si="490"/>
        <v>0.24288895848388295</v>
      </c>
      <c r="DR255" s="767">
        <f t="shared" si="491"/>
        <v>4116688.0318220989</v>
      </c>
      <c r="DS255" s="767">
        <f>SUM('[6]INTERNAL PRICELIST'!M255)</f>
        <v>0</v>
      </c>
      <c r="DT255" s="767">
        <f t="shared" si="551"/>
        <v>4116688.0318220989</v>
      </c>
      <c r="DV255" s="951">
        <f t="shared" si="492"/>
        <v>187122.18326464086</v>
      </c>
      <c r="DX255" s="781"/>
      <c r="DY255" s="782"/>
      <c r="DZ255" s="781"/>
      <c r="EA255" s="775"/>
      <c r="ED255" s="1133" t="s">
        <v>693</v>
      </c>
      <c r="EE255" s="777" t="b">
        <f t="shared" si="493"/>
        <v>1</v>
      </c>
      <c r="EF255" s="777"/>
      <c r="EG255" s="777"/>
      <c r="EH255" s="1203"/>
      <c r="EP255" s="1230" t="s">
        <v>236</v>
      </c>
      <c r="EQ255" s="1145" t="s">
        <v>236</v>
      </c>
      <c r="ER255" s="753" t="b">
        <f t="shared" si="552"/>
        <v>1</v>
      </c>
      <c r="EU255" s="770">
        <v>3286117.1478750589</v>
      </c>
      <c r="EV255" s="771" t="s">
        <v>258</v>
      </c>
      <c r="EW255" s="775">
        <f>EU255-CG255</f>
        <v>-830570.88394703995</v>
      </c>
      <c r="EY255" s="775">
        <v>3251375.1112525831</v>
      </c>
      <c r="FJ255" s="994">
        <v>0.15</v>
      </c>
      <c r="FK255" s="993">
        <v>14156.232804968931</v>
      </c>
      <c r="FL255" s="993">
        <v>14538.833691589714</v>
      </c>
      <c r="FM255" s="497"/>
      <c r="FN255" s="993">
        <f t="shared" si="494"/>
        <v>4641565.7558794171</v>
      </c>
      <c r="FO255" s="994">
        <f t="shared" si="553"/>
        <v>0.15</v>
      </c>
      <c r="FP255" s="775">
        <f t="shared" si="495"/>
        <v>696234.86338191258</v>
      </c>
      <c r="FQ255" s="993">
        <f t="shared" si="496"/>
        <v>30000</v>
      </c>
      <c r="FR255" s="775">
        <f t="shared" si="554"/>
        <v>666234.86338191258</v>
      </c>
      <c r="FS255" s="497">
        <f t="shared" si="555"/>
        <v>40</v>
      </c>
      <c r="FT255" s="775">
        <f t="shared" si="556"/>
        <v>16655.871584547815</v>
      </c>
      <c r="FU255" s="497"/>
      <c r="FV255" s="993">
        <f t="shared" si="557"/>
        <v>4641565.7558794171</v>
      </c>
      <c r="FW255" s="705">
        <f t="shared" si="558"/>
        <v>464156.57558794174</v>
      </c>
      <c r="FX255" s="705">
        <f t="shared" si="559"/>
        <v>116039.14389698544</v>
      </c>
      <c r="FY255" s="705">
        <v>15000</v>
      </c>
      <c r="FZ255" s="705">
        <f t="shared" si="560"/>
        <v>449156.57558794174</v>
      </c>
      <c r="GA255" s="497">
        <f t="shared" si="561"/>
        <v>46</v>
      </c>
      <c r="GB255" s="775">
        <f t="shared" si="562"/>
        <v>9764.2733823465587</v>
      </c>
      <c r="GC255" s="497"/>
      <c r="GD255" s="497"/>
      <c r="GH255" s="1095">
        <f t="shared" si="461"/>
        <v>4641565.7558794171</v>
      </c>
      <c r="GI255" s="1098">
        <f t="shared" si="462"/>
        <v>0.125</v>
      </c>
      <c r="GJ255" s="1095">
        <f t="shared" si="463"/>
        <v>580195.71948492713</v>
      </c>
      <c r="GK255" s="1095">
        <f t="shared" si="464"/>
        <v>30000</v>
      </c>
      <c r="GL255" s="1095">
        <f t="shared" si="465"/>
        <v>550195.71948492713</v>
      </c>
      <c r="GM255" s="1095">
        <f t="shared" si="466"/>
        <v>29</v>
      </c>
      <c r="GN255" s="1095">
        <f t="shared" si="467"/>
        <v>18972.266189135418</v>
      </c>
      <c r="GO255" s="1098">
        <f t="shared" si="468"/>
        <v>0.875</v>
      </c>
      <c r="GP255" s="1095">
        <f t="shared" si="469"/>
        <v>4061370.0363944899</v>
      </c>
      <c r="GQ255" s="1095">
        <f t="shared" si="470"/>
        <v>31487.758663710381</v>
      </c>
      <c r="GR255" s="1095">
        <f t="shared" si="471"/>
        <v>36504.742071043176</v>
      </c>
      <c r="GS255" s="1095">
        <f t="shared" si="472"/>
        <v>47155.949846985211</v>
      </c>
      <c r="GT255" s="1095">
        <f t="shared" si="473"/>
        <v>80419.994436473906</v>
      </c>
      <c r="GU255" s="497"/>
      <c r="GV255" s="1095">
        <f t="shared" si="563"/>
        <v>4641565.7558794171</v>
      </c>
      <c r="GW255" s="1098">
        <f t="shared" si="564"/>
        <v>0.125</v>
      </c>
      <c r="GX255" s="1095">
        <f t="shared" si="565"/>
        <v>580195.71948492713</v>
      </c>
      <c r="GY255" s="1095">
        <f t="shared" si="566"/>
        <v>30000</v>
      </c>
      <c r="GZ255" s="1095">
        <f t="shared" si="567"/>
        <v>550195.71948492713</v>
      </c>
      <c r="HA255" s="1106">
        <f t="shared" si="568"/>
        <v>48</v>
      </c>
      <c r="HB255" s="770">
        <f t="shared" si="569"/>
        <v>11462.410822602649</v>
      </c>
      <c r="HC255" s="1098">
        <f t="shared" si="570"/>
        <v>0.875</v>
      </c>
      <c r="HD255" s="1102">
        <f t="shared" si="571"/>
        <v>4061370.0363944899</v>
      </c>
      <c r="HE255" s="1101">
        <f t="shared" si="572"/>
        <v>31487.758663710381</v>
      </c>
      <c r="HF255" s="1101">
        <f t="shared" si="573"/>
        <v>36504.742071043176</v>
      </c>
      <c r="HG255" s="1101">
        <f t="shared" si="574"/>
        <v>47155.949846985211</v>
      </c>
      <c r="HH255" s="1101">
        <f t="shared" si="575"/>
        <v>80419.994436473906</v>
      </c>
      <c r="HI255" s="497"/>
      <c r="HJ255" s="1102">
        <f t="shared" si="576"/>
        <v>-7509.855366532769</v>
      </c>
      <c r="HL255" s="775"/>
      <c r="HN255" s="775"/>
      <c r="HO255" s="775"/>
      <c r="HQ255" s="702"/>
      <c r="HR255" s="1171"/>
      <c r="HS255" s="702"/>
      <c r="HT255" s="1171"/>
    </row>
    <row r="256" spans="1:228" ht="14.25" hidden="1" customHeight="1">
      <c r="A256" s="753">
        <f t="shared" si="577"/>
        <v>250</v>
      </c>
      <c r="B256" s="753"/>
      <c r="C256" s="753">
        <f>C255+1</f>
        <v>2</v>
      </c>
      <c r="D256" s="753" t="s">
        <v>284</v>
      </c>
      <c r="E256" s="717" t="str">
        <f t="shared" si="497"/>
        <v>11th Floor</v>
      </c>
      <c r="F256" s="754"/>
      <c r="G256" s="756" t="s">
        <v>694</v>
      </c>
      <c r="H256" s="756"/>
      <c r="I256" s="755" t="s">
        <v>229</v>
      </c>
      <c r="J256" s="757">
        <v>22</v>
      </c>
      <c r="K256" s="758"/>
      <c r="L256" s="759" t="s">
        <v>69</v>
      </c>
      <c r="M256" s="760" t="s">
        <v>68</v>
      </c>
      <c r="N256" s="761">
        <f t="shared" si="498"/>
        <v>106005.26567735759</v>
      </c>
      <c r="O256" s="762">
        <f t="shared" si="499"/>
        <v>2332115.8449018667</v>
      </c>
      <c r="P256" s="762">
        <f t="shared" si="500"/>
        <v>22400</v>
      </c>
      <c r="Q256" s="762">
        <f t="shared" si="474"/>
        <v>50000</v>
      </c>
      <c r="R256" s="762"/>
      <c r="S256" s="762"/>
      <c r="T256" s="762"/>
      <c r="U256" s="762"/>
      <c r="V256" s="762"/>
      <c r="W256" s="762"/>
      <c r="X256" s="762"/>
      <c r="Y256" s="762">
        <f>$Y$255</f>
        <v>140000</v>
      </c>
      <c r="Z256" s="762">
        <f t="shared" si="475"/>
        <v>142461</v>
      </c>
      <c r="AA256" s="762">
        <v>45722.732758620688</v>
      </c>
      <c r="AB256" s="762"/>
      <c r="AC256" s="762"/>
      <c r="AD256" s="763">
        <f t="shared" si="501"/>
        <v>400583.7327586207</v>
      </c>
      <c r="AE256" s="763">
        <f t="shared" si="476"/>
        <v>2732699.5776604875</v>
      </c>
      <c r="AF256" s="762">
        <f t="shared" si="477"/>
        <v>68317.489441512196</v>
      </c>
      <c r="AG256" s="762">
        <f t="shared" si="502"/>
        <v>2801017.0671019997</v>
      </c>
      <c r="AH256" s="762">
        <f t="shared" si="478"/>
        <v>70025.42667755</v>
      </c>
      <c r="AI256" s="762">
        <f t="shared" si="503"/>
        <v>2871042.4937795498</v>
      </c>
      <c r="AJ256" s="762">
        <f t="shared" si="504"/>
        <v>143552.12468897749</v>
      </c>
      <c r="AK256" s="762">
        <f t="shared" si="505"/>
        <v>3014594.6184685272</v>
      </c>
      <c r="AL256" s="762">
        <f t="shared" si="506"/>
        <v>30145.946184685272</v>
      </c>
      <c r="AM256" s="762">
        <f t="shared" si="507"/>
        <v>27537.409960060559</v>
      </c>
      <c r="AN256" s="762"/>
      <c r="AO256" s="763">
        <f t="shared" si="508"/>
        <v>3072277.9746132731</v>
      </c>
      <c r="AP256" s="763">
        <f t="shared" si="509"/>
        <v>506925.8658111901</v>
      </c>
      <c r="AQ256" s="763">
        <f t="shared" si="510"/>
        <v>3579203.8404244632</v>
      </c>
      <c r="AR256" s="1178">
        <f t="shared" si="479"/>
        <v>3000000</v>
      </c>
      <c r="AS256" s="1178">
        <f t="shared" si="511"/>
        <v>26327.447292021054</v>
      </c>
      <c r="AT256" s="1178">
        <f t="shared" si="512"/>
        <v>579203.84042446315</v>
      </c>
      <c r="AU256" s="1178">
        <f t="shared" si="480"/>
        <v>69504.460850935575</v>
      </c>
      <c r="AV256" s="1178">
        <f t="shared" si="513"/>
        <v>648708.3012753987</v>
      </c>
      <c r="AW256" s="1178">
        <f t="shared" si="514"/>
        <v>3648708.3012753986</v>
      </c>
      <c r="AX256" s="762">
        <f t="shared" si="515"/>
        <v>45608.853765942484</v>
      </c>
      <c r="AY256" s="717" t="s">
        <v>231</v>
      </c>
      <c r="AZ256" s="717">
        <f t="shared" si="516"/>
        <v>3694317.1550413412</v>
      </c>
      <c r="BA256" s="717">
        <f t="shared" si="517"/>
        <v>138536.89331405028</v>
      </c>
      <c r="BB256" s="717"/>
      <c r="BC256" s="717">
        <f t="shared" si="481"/>
        <v>33600</v>
      </c>
      <c r="BD256" s="717">
        <f t="shared" si="518"/>
        <v>3866454.0483553912</v>
      </c>
      <c r="BE256" s="717"/>
      <c r="BF256" s="717">
        <f t="shared" si="519"/>
        <v>3866454.0483553912</v>
      </c>
      <c r="BG256" s="1209"/>
      <c r="BH256" s="717">
        <f t="shared" si="520"/>
        <v>3866454.0483553912</v>
      </c>
      <c r="BI256" s="717"/>
      <c r="BJ256" s="717">
        <f t="shared" si="521"/>
        <v>3866454.0483553912</v>
      </c>
      <c r="BK256" s="717"/>
      <c r="BL256" s="717">
        <f t="shared" si="522"/>
        <v>3866454.0483553912</v>
      </c>
      <c r="BM256" s="717"/>
      <c r="BN256" s="717">
        <f t="shared" si="523"/>
        <v>3866454.0483553912</v>
      </c>
      <c r="BO256" s="717"/>
      <c r="BP256" s="717">
        <f t="shared" si="482"/>
        <v>3866454.0483553912</v>
      </c>
      <c r="BQ256" s="717"/>
      <c r="BR256" s="717">
        <f t="shared" si="584"/>
        <v>3866454.0483553912</v>
      </c>
      <c r="BS256" s="717"/>
      <c r="BT256" s="717">
        <f t="shared" si="524"/>
        <v>3866454.0483553912</v>
      </c>
      <c r="BU256" s="717"/>
      <c r="BV256" s="1235">
        <f t="shared" si="585"/>
        <v>51400</v>
      </c>
      <c r="BW256" s="717">
        <f t="shared" si="525"/>
        <v>3917854.0483553912</v>
      </c>
      <c r="BX256" s="717"/>
      <c r="BY256" s="717">
        <f t="shared" si="526"/>
        <v>3917854.0483553912</v>
      </c>
      <c r="BZ256" s="1194">
        <f t="shared" si="527"/>
        <v>3917854.0483553912</v>
      </c>
      <c r="CA256" s="1194">
        <f t="shared" si="528"/>
        <v>3037854.0483553912</v>
      </c>
      <c r="CB256" s="1194">
        <v>40000</v>
      </c>
      <c r="CC256" s="1194">
        <f t="shared" si="529"/>
        <v>880000</v>
      </c>
      <c r="CD256" s="1194">
        <f t="shared" si="530"/>
        <v>105600</v>
      </c>
      <c r="CE256" s="1194">
        <f t="shared" si="531"/>
        <v>985600</v>
      </c>
      <c r="CF256" s="1200">
        <f t="shared" si="532"/>
        <v>4023454.0483553912</v>
      </c>
      <c r="CG256" s="757">
        <f t="shared" si="533"/>
        <v>4023454.0483553912</v>
      </c>
      <c r="CH256" s="758">
        <f t="shared" si="534"/>
        <v>0</v>
      </c>
      <c r="CI256" s="757">
        <f t="shared" si="483"/>
        <v>412404.03995642759</v>
      </c>
      <c r="CJ256" s="757">
        <f t="shared" si="484"/>
        <v>100586.35120888479</v>
      </c>
      <c r="CK256" s="759">
        <f t="shared" si="593"/>
        <v>4536444.4395207036</v>
      </c>
      <c r="CL256" s="764">
        <f t="shared" si="535"/>
        <v>0.125</v>
      </c>
      <c r="CM256" s="757">
        <f t="shared" si="536"/>
        <v>567055.55494008795</v>
      </c>
      <c r="CN256" s="757">
        <f t="shared" si="578"/>
        <v>30000</v>
      </c>
      <c r="CO256" s="757">
        <f t="shared" si="537"/>
        <v>537055.55494008795</v>
      </c>
      <c r="CP256" s="755">
        <f t="shared" si="538"/>
        <v>29</v>
      </c>
      <c r="CQ256" s="757">
        <f t="shared" si="581"/>
        <v>18519.157066899585</v>
      </c>
      <c r="CR256" s="764">
        <f t="shared" si="539"/>
        <v>0.875</v>
      </c>
      <c r="CS256" s="757">
        <f t="shared" si="540"/>
        <v>3969388.8845806159</v>
      </c>
      <c r="CT256" s="1101">
        <f t="shared" si="541"/>
        <v>30774.629772727432</v>
      </c>
      <c r="CU256" s="1101">
        <f t="shared" si="542"/>
        <v>35677.989474684393</v>
      </c>
      <c r="CV256" s="1101">
        <f t="shared" si="543"/>
        <v>46087.970681596576</v>
      </c>
      <c r="CW256" s="1141">
        <f t="shared" si="485"/>
        <v>78598.657387437357</v>
      </c>
      <c r="CX256" s="1152">
        <f t="shared" si="544"/>
        <v>322446.07585375861</v>
      </c>
      <c r="CY256" s="1152">
        <f t="shared" si="545"/>
        <v>127590.3414903167</v>
      </c>
      <c r="CZ256" s="1152">
        <f t="shared" si="546"/>
        <v>92156.696571619919</v>
      </c>
      <c r="DA256" s="1152">
        <f t="shared" si="547"/>
        <v>70135.488766187846</v>
      </c>
      <c r="DB256" s="1143">
        <f t="shared" si="486"/>
        <v>0.19306794680815439</v>
      </c>
      <c r="DC256" s="1143">
        <f t="shared" si="548"/>
        <v>0.32443954986368623</v>
      </c>
      <c r="DD256" s="1098" t="s">
        <v>232</v>
      </c>
      <c r="DE256" s="1144"/>
      <c r="DF256" s="705"/>
      <c r="DG256" s="765">
        <f t="shared" si="579"/>
        <v>46082</v>
      </c>
      <c r="DH256" s="1116">
        <f t="shared" si="487"/>
        <v>28</v>
      </c>
      <c r="DI256" s="497"/>
      <c r="DJ256" s="1117">
        <f t="shared" si="549"/>
        <v>46147</v>
      </c>
      <c r="DK256" s="1116">
        <f t="shared" si="550"/>
        <v>30</v>
      </c>
      <c r="DL256" s="766" t="s">
        <v>233</v>
      </c>
      <c r="DM256" s="766" t="s">
        <v>234</v>
      </c>
      <c r="DN256" s="767">
        <f t="shared" si="488"/>
        <v>29486.740967063579</v>
      </c>
      <c r="DO256" s="767">
        <f t="shared" si="489"/>
        <v>648708.3012753987</v>
      </c>
      <c r="DP256" s="768">
        <f t="shared" si="490"/>
        <v>0.21623610042513289</v>
      </c>
      <c r="DR256" s="767">
        <f t="shared" si="491"/>
        <v>4023454.0483553912</v>
      </c>
      <c r="DS256" s="767">
        <f>SUM('[6]INTERNAL PRICELIST'!M256)</f>
        <v>0</v>
      </c>
      <c r="DT256" s="767">
        <f t="shared" si="551"/>
        <v>4023454.0483553912</v>
      </c>
      <c r="DV256" s="951">
        <f t="shared" si="492"/>
        <v>182884.27492524506</v>
      </c>
      <c r="DX256" s="781"/>
      <c r="DY256" s="782"/>
      <c r="DZ256" s="781"/>
      <c r="EA256" s="775"/>
      <c r="ED256" s="755" t="s">
        <v>694</v>
      </c>
      <c r="EE256" s="777" t="b">
        <f t="shared" si="493"/>
        <v>1</v>
      </c>
      <c r="EF256" s="777"/>
      <c r="EG256" s="777"/>
      <c r="EH256" s="1203"/>
      <c r="EP256" s="1230" t="s">
        <v>236</v>
      </c>
      <c r="EQ256" s="1145" t="s">
        <v>236</v>
      </c>
      <c r="ER256" s="753" t="b">
        <f t="shared" si="552"/>
        <v>1</v>
      </c>
      <c r="EU256" s="770">
        <v>3158898.0774007286</v>
      </c>
      <c r="EV256" s="771" t="s">
        <v>258</v>
      </c>
      <c r="EW256" s="775">
        <f>EU256-CG256</f>
        <v>-864555.97095466265</v>
      </c>
      <c r="EY256" s="775">
        <v>3125281.7816227991</v>
      </c>
      <c r="FJ256" s="994">
        <v>0.15</v>
      </c>
      <c r="FK256" s="993">
        <v>13597.661476345767</v>
      </c>
      <c r="FL256" s="993">
        <v>13965.165840571328</v>
      </c>
      <c r="FM256" s="497"/>
      <c r="FN256" s="993">
        <f t="shared" si="494"/>
        <v>4536444.4395207036</v>
      </c>
      <c r="FO256" s="994">
        <f t="shared" si="553"/>
        <v>0.15</v>
      </c>
      <c r="FP256" s="775">
        <f t="shared" si="495"/>
        <v>680466.66592810547</v>
      </c>
      <c r="FQ256" s="993">
        <f t="shared" si="496"/>
        <v>30000</v>
      </c>
      <c r="FR256" s="775">
        <f t="shared" si="554"/>
        <v>650466.66592810547</v>
      </c>
      <c r="FS256" s="497">
        <f t="shared" si="555"/>
        <v>40</v>
      </c>
      <c r="FT256" s="775">
        <f t="shared" si="556"/>
        <v>16261.666648202638</v>
      </c>
      <c r="FU256" s="497"/>
      <c r="FV256" s="993">
        <f t="shared" si="557"/>
        <v>4536444.4395207036</v>
      </c>
      <c r="FW256" s="705">
        <f t="shared" si="558"/>
        <v>453644.44395207037</v>
      </c>
      <c r="FX256" s="705">
        <f t="shared" si="559"/>
        <v>113411.11098801759</v>
      </c>
      <c r="FY256" s="705">
        <v>15000</v>
      </c>
      <c r="FZ256" s="705">
        <f t="shared" si="560"/>
        <v>438644.44395207037</v>
      </c>
      <c r="GA256" s="497">
        <f t="shared" si="561"/>
        <v>46</v>
      </c>
      <c r="GB256" s="775">
        <f t="shared" si="562"/>
        <v>9535.7487815667464</v>
      </c>
      <c r="GC256" s="497"/>
      <c r="GD256" s="497"/>
      <c r="GH256" s="1095">
        <f t="shared" si="461"/>
        <v>4536444.4395207036</v>
      </c>
      <c r="GI256" s="1098">
        <f t="shared" si="462"/>
        <v>0.125</v>
      </c>
      <c r="GJ256" s="1095">
        <f t="shared" si="463"/>
        <v>567055.55494008795</v>
      </c>
      <c r="GK256" s="1095">
        <f t="shared" si="464"/>
        <v>30000</v>
      </c>
      <c r="GL256" s="1095">
        <f t="shared" si="465"/>
        <v>537055.55494008795</v>
      </c>
      <c r="GM256" s="1095">
        <f t="shared" si="466"/>
        <v>29</v>
      </c>
      <c r="GN256" s="1095">
        <f t="shared" si="467"/>
        <v>18519.157066899585</v>
      </c>
      <c r="GO256" s="1098">
        <f t="shared" si="468"/>
        <v>0.875</v>
      </c>
      <c r="GP256" s="1095">
        <f t="shared" si="469"/>
        <v>3969388.8845806159</v>
      </c>
      <c r="GQ256" s="1095">
        <f t="shared" si="470"/>
        <v>30774.629772727432</v>
      </c>
      <c r="GR256" s="1095">
        <f t="shared" si="471"/>
        <v>35677.989474684393</v>
      </c>
      <c r="GS256" s="1095">
        <f t="shared" si="472"/>
        <v>46087.970681596576</v>
      </c>
      <c r="GT256" s="1095">
        <f t="shared" si="473"/>
        <v>78598.657387437357</v>
      </c>
      <c r="GU256" s="497"/>
      <c r="GV256" s="1095">
        <f t="shared" si="563"/>
        <v>4536444.4395207036</v>
      </c>
      <c r="GW256" s="1098">
        <f t="shared" si="564"/>
        <v>0.125</v>
      </c>
      <c r="GX256" s="1095">
        <f t="shared" si="565"/>
        <v>567055.55494008795</v>
      </c>
      <c r="GY256" s="1095">
        <f t="shared" si="566"/>
        <v>30000</v>
      </c>
      <c r="GZ256" s="1095">
        <f t="shared" si="567"/>
        <v>537055.55494008795</v>
      </c>
      <c r="HA256" s="1106">
        <f t="shared" si="568"/>
        <v>48</v>
      </c>
      <c r="HB256" s="770">
        <f t="shared" si="569"/>
        <v>11188.657394585165</v>
      </c>
      <c r="HC256" s="1098">
        <f t="shared" si="570"/>
        <v>0.875</v>
      </c>
      <c r="HD256" s="1102">
        <f t="shared" si="571"/>
        <v>3969388.8845806159</v>
      </c>
      <c r="HE256" s="1101">
        <f t="shared" si="572"/>
        <v>30774.629772727432</v>
      </c>
      <c r="HF256" s="1101">
        <f t="shared" si="573"/>
        <v>35677.989474684393</v>
      </c>
      <c r="HG256" s="1101">
        <f t="shared" si="574"/>
        <v>46087.970681596576</v>
      </c>
      <c r="HH256" s="1101">
        <f t="shared" si="575"/>
        <v>78598.657387437357</v>
      </c>
      <c r="HI256" s="497"/>
      <c r="HJ256" s="1102">
        <f t="shared" si="576"/>
        <v>-7330.4996723144195</v>
      </c>
      <c r="HL256" s="775"/>
      <c r="HN256" s="775"/>
      <c r="HO256" s="775"/>
      <c r="HQ256" s="702"/>
      <c r="HR256" s="1171"/>
      <c r="HS256" s="702"/>
      <c r="HT256" s="1171"/>
    </row>
    <row r="257" spans="1:228" ht="14.25" hidden="1" customHeight="1">
      <c r="A257" s="753">
        <f t="shared" si="577"/>
        <v>251</v>
      </c>
      <c r="B257" s="753" t="s">
        <v>236</v>
      </c>
      <c r="C257" s="753">
        <f t="shared" ref="C257:C285" si="610">C256+1</f>
        <v>3</v>
      </c>
      <c r="D257" s="753" t="s">
        <v>284</v>
      </c>
      <c r="E257" s="717" t="str">
        <f t="shared" si="497"/>
        <v>11th Floor</v>
      </c>
      <c r="F257" s="754"/>
      <c r="G257" s="756" t="s">
        <v>695</v>
      </c>
      <c r="H257" s="756"/>
      <c r="I257" s="755" t="s">
        <v>229</v>
      </c>
      <c r="J257" s="757">
        <v>22</v>
      </c>
      <c r="K257" s="758"/>
      <c r="L257" s="759" t="s">
        <v>69</v>
      </c>
      <c r="M257" s="760" t="s">
        <v>68</v>
      </c>
      <c r="N257" s="761">
        <f t="shared" si="498"/>
        <v>106005.26567735759</v>
      </c>
      <c r="O257" s="762">
        <f t="shared" si="499"/>
        <v>2332115.8449018667</v>
      </c>
      <c r="P257" s="762">
        <f t="shared" si="500"/>
        <v>22400</v>
      </c>
      <c r="Q257" s="762">
        <f t="shared" si="474"/>
        <v>50000</v>
      </c>
      <c r="R257" s="762"/>
      <c r="S257" s="762"/>
      <c r="T257" s="762"/>
      <c r="U257" s="762"/>
      <c r="V257" s="762"/>
      <c r="W257" s="762"/>
      <c r="X257" s="762"/>
      <c r="Y257" s="762">
        <f t="shared" ref="Y257:Y285" si="611">$Y$255</f>
        <v>140000</v>
      </c>
      <c r="Z257" s="762">
        <f t="shared" si="475"/>
        <v>142461</v>
      </c>
      <c r="AA257" s="762">
        <v>45722.732758620688</v>
      </c>
      <c r="AB257" s="762"/>
      <c r="AC257" s="762"/>
      <c r="AD257" s="763">
        <f t="shared" si="501"/>
        <v>400583.7327586207</v>
      </c>
      <c r="AE257" s="763">
        <f t="shared" si="476"/>
        <v>2732699.5776604875</v>
      </c>
      <c r="AF257" s="762">
        <f t="shared" si="477"/>
        <v>68317.489441512196</v>
      </c>
      <c r="AG257" s="762">
        <f t="shared" si="502"/>
        <v>2801017.0671019997</v>
      </c>
      <c r="AH257" s="762">
        <f t="shared" si="478"/>
        <v>70025.42667755</v>
      </c>
      <c r="AI257" s="762">
        <f t="shared" si="503"/>
        <v>2871042.4937795498</v>
      </c>
      <c r="AJ257" s="762">
        <f t="shared" si="504"/>
        <v>143552.12468897749</v>
      </c>
      <c r="AK257" s="762">
        <f t="shared" si="505"/>
        <v>3014594.6184685272</v>
      </c>
      <c r="AL257" s="762">
        <f t="shared" si="506"/>
        <v>30145.946184685272</v>
      </c>
      <c r="AM257" s="762">
        <f t="shared" si="507"/>
        <v>27537.409960060559</v>
      </c>
      <c r="AN257" s="762"/>
      <c r="AO257" s="763">
        <f t="shared" si="508"/>
        <v>3072277.9746132731</v>
      </c>
      <c r="AP257" s="763">
        <f t="shared" si="509"/>
        <v>506925.8658111901</v>
      </c>
      <c r="AQ257" s="763">
        <f t="shared" si="510"/>
        <v>3579203.8404244632</v>
      </c>
      <c r="AR257" s="1178">
        <f t="shared" si="479"/>
        <v>3000000</v>
      </c>
      <c r="AS257" s="1178">
        <f t="shared" si="511"/>
        <v>26327.447292021054</v>
      </c>
      <c r="AT257" s="1178">
        <f t="shared" si="512"/>
        <v>579203.84042446315</v>
      </c>
      <c r="AU257" s="1178">
        <f t="shared" si="480"/>
        <v>69504.460850935575</v>
      </c>
      <c r="AV257" s="1178">
        <f t="shared" si="513"/>
        <v>648708.3012753987</v>
      </c>
      <c r="AW257" s="1178">
        <f t="shared" si="514"/>
        <v>3648708.3012753986</v>
      </c>
      <c r="AX257" s="762">
        <f t="shared" si="515"/>
        <v>45608.853765942484</v>
      </c>
      <c r="AY257" s="717" t="s">
        <v>231</v>
      </c>
      <c r="AZ257" s="717">
        <f t="shared" si="516"/>
        <v>3694317.1550413412</v>
      </c>
      <c r="BA257" s="717">
        <f t="shared" si="517"/>
        <v>138536.89331405028</v>
      </c>
      <c r="BB257" s="717"/>
      <c r="BC257" s="717">
        <f t="shared" si="481"/>
        <v>33600</v>
      </c>
      <c r="BD257" s="717">
        <f t="shared" si="518"/>
        <v>3866454.0483553912</v>
      </c>
      <c r="BE257" s="717"/>
      <c r="BF257" s="717">
        <f t="shared" si="519"/>
        <v>3866454.0483553912</v>
      </c>
      <c r="BG257" s="1209"/>
      <c r="BH257" s="717">
        <f t="shared" si="520"/>
        <v>3866454.0483553912</v>
      </c>
      <c r="BI257" s="717"/>
      <c r="BJ257" s="717">
        <f t="shared" si="521"/>
        <v>3866454.0483553912</v>
      </c>
      <c r="BK257" s="717"/>
      <c r="BL257" s="717">
        <f t="shared" si="522"/>
        <v>3866454.0483553912</v>
      </c>
      <c r="BM257" s="717"/>
      <c r="BN257" s="717">
        <f t="shared" si="523"/>
        <v>3866454.0483553912</v>
      </c>
      <c r="BO257" s="717"/>
      <c r="BP257" s="717">
        <f t="shared" si="482"/>
        <v>3866454.0483553912</v>
      </c>
      <c r="BQ257" s="717"/>
      <c r="BR257" s="717">
        <f t="shared" si="584"/>
        <v>3866454.0483553912</v>
      </c>
      <c r="BS257" s="717"/>
      <c r="BT257" s="717">
        <f t="shared" si="524"/>
        <v>3866454.0483553912</v>
      </c>
      <c r="BU257" s="717"/>
      <c r="BV257" s="1235">
        <f t="shared" si="585"/>
        <v>51400</v>
      </c>
      <c r="BW257" s="717">
        <f t="shared" si="525"/>
        <v>3917854.0483553912</v>
      </c>
      <c r="BX257" s="717"/>
      <c r="BY257" s="717">
        <f t="shared" si="526"/>
        <v>3917854.0483553912</v>
      </c>
      <c r="BZ257" s="1194">
        <f t="shared" si="527"/>
        <v>3917854.0483553912</v>
      </c>
      <c r="CA257" s="1194">
        <f t="shared" si="528"/>
        <v>3037854.0483553912</v>
      </c>
      <c r="CB257" s="1194">
        <v>40000</v>
      </c>
      <c r="CC257" s="1194">
        <f t="shared" si="529"/>
        <v>880000</v>
      </c>
      <c r="CD257" s="1194">
        <f t="shared" si="530"/>
        <v>105600</v>
      </c>
      <c r="CE257" s="1194">
        <f t="shared" si="531"/>
        <v>985600</v>
      </c>
      <c r="CF257" s="1200">
        <f t="shared" si="532"/>
        <v>4023454.0483553912</v>
      </c>
      <c r="CG257" s="757">
        <f t="shared" si="533"/>
        <v>4023454.0483553912</v>
      </c>
      <c r="CH257" s="758">
        <f t="shared" si="534"/>
        <v>0</v>
      </c>
      <c r="CI257" s="757">
        <f t="shared" si="483"/>
        <v>412404.03995642759</v>
      </c>
      <c r="CJ257" s="757">
        <f t="shared" si="484"/>
        <v>100586.35120888479</v>
      </c>
      <c r="CK257" s="759">
        <f t="shared" si="593"/>
        <v>4536444.4395207036</v>
      </c>
      <c r="CL257" s="764">
        <f t="shared" si="535"/>
        <v>0.125</v>
      </c>
      <c r="CM257" s="757">
        <f t="shared" si="536"/>
        <v>567055.55494008795</v>
      </c>
      <c r="CN257" s="757">
        <f t="shared" si="578"/>
        <v>30000</v>
      </c>
      <c r="CO257" s="757">
        <f t="shared" si="537"/>
        <v>537055.55494008795</v>
      </c>
      <c r="CP257" s="755">
        <f t="shared" si="538"/>
        <v>29</v>
      </c>
      <c r="CQ257" s="757">
        <f t="shared" si="581"/>
        <v>18519.157066899585</v>
      </c>
      <c r="CR257" s="764">
        <f t="shared" si="539"/>
        <v>0.875</v>
      </c>
      <c r="CS257" s="757">
        <f t="shared" si="540"/>
        <v>3969388.8845806159</v>
      </c>
      <c r="CT257" s="1101">
        <f t="shared" si="541"/>
        <v>30774.629772727432</v>
      </c>
      <c r="CU257" s="1101">
        <f t="shared" si="542"/>
        <v>35677.989474684393</v>
      </c>
      <c r="CV257" s="1101">
        <f t="shared" si="543"/>
        <v>46087.970681596576</v>
      </c>
      <c r="CW257" s="1141">
        <f t="shared" si="485"/>
        <v>78598.657387437357</v>
      </c>
      <c r="CX257" s="1152">
        <f t="shared" si="544"/>
        <v>322446.07585375861</v>
      </c>
      <c r="CY257" s="1152">
        <f t="shared" si="545"/>
        <v>127590.3414903167</v>
      </c>
      <c r="CZ257" s="1152">
        <f t="shared" si="546"/>
        <v>92156.696571619919</v>
      </c>
      <c r="DA257" s="1152">
        <f t="shared" si="547"/>
        <v>70135.488766187846</v>
      </c>
      <c r="DB257" s="1143">
        <f t="shared" si="486"/>
        <v>0.19306794680815439</v>
      </c>
      <c r="DC257" s="1143">
        <f t="shared" si="548"/>
        <v>0.32443954986368623</v>
      </c>
      <c r="DD257" s="1098" t="s">
        <v>232</v>
      </c>
      <c r="DE257" s="1144"/>
      <c r="DF257" s="705"/>
      <c r="DG257" s="765">
        <f t="shared" si="579"/>
        <v>46082</v>
      </c>
      <c r="DH257" s="1116">
        <f t="shared" si="487"/>
        <v>28</v>
      </c>
      <c r="DI257" s="497"/>
      <c r="DJ257" s="1117">
        <f t="shared" si="549"/>
        <v>46147</v>
      </c>
      <c r="DK257" s="1116">
        <f t="shared" si="550"/>
        <v>30</v>
      </c>
      <c r="DL257" s="766" t="s">
        <v>233</v>
      </c>
      <c r="DM257" s="766" t="s">
        <v>234</v>
      </c>
      <c r="DN257" s="767">
        <f t="shared" si="488"/>
        <v>29486.740967063579</v>
      </c>
      <c r="DO257" s="767">
        <f t="shared" si="489"/>
        <v>648708.3012753987</v>
      </c>
      <c r="DP257" s="768">
        <f t="shared" si="490"/>
        <v>0.21623610042513289</v>
      </c>
      <c r="DR257" s="767">
        <f t="shared" si="491"/>
        <v>4023454.0483553912</v>
      </c>
      <c r="DS257" s="767">
        <f>SUM('[6]INTERNAL PRICELIST'!M257)</f>
        <v>0</v>
      </c>
      <c r="DT257" s="767">
        <f t="shared" si="551"/>
        <v>4023454.0483553912</v>
      </c>
      <c r="DV257" s="951">
        <f t="shared" si="492"/>
        <v>182884.27492524506</v>
      </c>
      <c r="DX257" s="781"/>
      <c r="DY257" s="782"/>
      <c r="DZ257" s="781"/>
      <c r="EA257" s="775"/>
      <c r="ED257" s="755" t="s">
        <v>695</v>
      </c>
      <c r="EE257" s="777" t="b">
        <f t="shared" si="493"/>
        <v>1</v>
      </c>
      <c r="EF257" s="1123" t="s">
        <v>696</v>
      </c>
      <c r="EG257" s="1123" t="s">
        <v>697</v>
      </c>
      <c r="EH257" s="1203"/>
      <c r="EP257" s="1230" t="s">
        <v>236</v>
      </c>
      <c r="EQ257" s="1145" t="s">
        <v>236</v>
      </c>
      <c r="ER257" s="753" t="b">
        <f t="shared" si="552"/>
        <v>1</v>
      </c>
      <c r="EU257" s="770">
        <v>2468160</v>
      </c>
      <c r="EV257" s="771" t="s">
        <v>236</v>
      </c>
      <c r="FJ257" s="994">
        <v>0.15</v>
      </c>
      <c r="FK257" s="993">
        <v>13597.661476345767</v>
      </c>
      <c r="FL257" s="993">
        <v>13965.165840571328</v>
      </c>
      <c r="FM257" s="497"/>
      <c r="FN257" s="993">
        <f t="shared" si="494"/>
        <v>4536444.4395207036</v>
      </c>
      <c r="FO257" s="994">
        <f t="shared" si="553"/>
        <v>0.15</v>
      </c>
      <c r="FP257" s="775">
        <f t="shared" si="495"/>
        <v>680466.66592810547</v>
      </c>
      <c r="FQ257" s="993">
        <f t="shared" si="496"/>
        <v>30000</v>
      </c>
      <c r="FR257" s="775">
        <f t="shared" si="554"/>
        <v>650466.66592810547</v>
      </c>
      <c r="FS257" s="497">
        <f t="shared" si="555"/>
        <v>40</v>
      </c>
      <c r="FT257" s="775">
        <f t="shared" si="556"/>
        <v>16261.666648202638</v>
      </c>
      <c r="FU257" s="497"/>
      <c r="FV257" s="993">
        <f t="shared" si="557"/>
        <v>4536444.4395207036</v>
      </c>
      <c r="FW257" s="705">
        <f t="shared" si="558"/>
        <v>453644.44395207037</v>
      </c>
      <c r="FX257" s="705">
        <f t="shared" si="559"/>
        <v>113411.11098801759</v>
      </c>
      <c r="FY257" s="705">
        <v>15000</v>
      </c>
      <c r="FZ257" s="705">
        <f t="shared" si="560"/>
        <v>438644.44395207037</v>
      </c>
      <c r="GA257" s="497">
        <f t="shared" si="561"/>
        <v>46</v>
      </c>
      <c r="GB257" s="775">
        <f t="shared" si="562"/>
        <v>9535.7487815667464</v>
      </c>
      <c r="GC257" s="497"/>
      <c r="GD257" s="497"/>
      <c r="GH257" s="1095">
        <f t="shared" si="461"/>
        <v>4536444.4395207036</v>
      </c>
      <c r="GI257" s="1098">
        <f t="shared" si="462"/>
        <v>0.125</v>
      </c>
      <c r="GJ257" s="1095">
        <f t="shared" si="463"/>
        <v>567055.55494008795</v>
      </c>
      <c r="GK257" s="1095">
        <f t="shared" si="464"/>
        <v>30000</v>
      </c>
      <c r="GL257" s="1095">
        <f t="shared" si="465"/>
        <v>537055.55494008795</v>
      </c>
      <c r="GM257" s="1095">
        <f t="shared" si="466"/>
        <v>29</v>
      </c>
      <c r="GN257" s="1095">
        <f t="shared" si="467"/>
        <v>18519.157066899585</v>
      </c>
      <c r="GO257" s="1098">
        <f t="shared" si="468"/>
        <v>0.875</v>
      </c>
      <c r="GP257" s="1095">
        <f t="shared" si="469"/>
        <v>3969388.8845806159</v>
      </c>
      <c r="GQ257" s="1095">
        <f t="shared" si="470"/>
        <v>30774.629772727432</v>
      </c>
      <c r="GR257" s="1095">
        <f t="shared" si="471"/>
        <v>35677.989474684393</v>
      </c>
      <c r="GS257" s="1095">
        <f t="shared" si="472"/>
        <v>46087.970681596576</v>
      </c>
      <c r="GT257" s="1095">
        <f t="shared" si="473"/>
        <v>78598.657387437357</v>
      </c>
      <c r="GU257" s="497"/>
      <c r="GV257" s="1095">
        <f t="shared" si="563"/>
        <v>4536444.4395207036</v>
      </c>
      <c r="GW257" s="1098">
        <f t="shared" si="564"/>
        <v>0.125</v>
      </c>
      <c r="GX257" s="1095">
        <f t="shared" si="565"/>
        <v>567055.55494008795</v>
      </c>
      <c r="GY257" s="1095">
        <f t="shared" si="566"/>
        <v>30000</v>
      </c>
      <c r="GZ257" s="1095">
        <f t="shared" si="567"/>
        <v>537055.55494008795</v>
      </c>
      <c r="HA257" s="1106">
        <f t="shared" si="568"/>
        <v>48</v>
      </c>
      <c r="HB257" s="770">
        <f t="shared" si="569"/>
        <v>11188.657394585165</v>
      </c>
      <c r="HC257" s="1098">
        <f t="shared" si="570"/>
        <v>0.875</v>
      </c>
      <c r="HD257" s="1102">
        <f t="shared" si="571"/>
        <v>3969388.8845806159</v>
      </c>
      <c r="HE257" s="1101">
        <f t="shared" si="572"/>
        <v>30774.629772727432</v>
      </c>
      <c r="HF257" s="1101">
        <f t="shared" si="573"/>
        <v>35677.989474684393</v>
      </c>
      <c r="HG257" s="1101">
        <f t="shared" si="574"/>
        <v>46087.970681596576</v>
      </c>
      <c r="HH257" s="1101">
        <f t="shared" si="575"/>
        <v>78598.657387437357</v>
      </c>
      <c r="HI257" s="497"/>
      <c r="HJ257" s="1102">
        <f t="shared" si="576"/>
        <v>-7330.4996723144195</v>
      </c>
      <c r="HL257" s="775"/>
      <c r="HN257" s="775"/>
      <c r="HO257" s="775"/>
      <c r="HQ257" s="702"/>
      <c r="HR257" s="1171"/>
      <c r="HS257" s="702"/>
      <c r="HT257" s="1171"/>
    </row>
    <row r="258" spans="1:228" ht="14.25" hidden="1" customHeight="1">
      <c r="A258" s="753">
        <f t="shared" si="577"/>
        <v>252</v>
      </c>
      <c r="B258" s="753" t="s">
        <v>236</v>
      </c>
      <c r="C258" s="753">
        <f t="shared" si="610"/>
        <v>4</v>
      </c>
      <c r="D258" s="753" t="s">
        <v>284</v>
      </c>
      <c r="E258" s="717" t="str">
        <f t="shared" si="497"/>
        <v>11th Floor</v>
      </c>
      <c r="F258" s="754"/>
      <c r="G258" s="756" t="s">
        <v>698</v>
      </c>
      <c r="H258" s="756"/>
      <c r="I258" s="755" t="s">
        <v>229</v>
      </c>
      <c r="J258" s="757">
        <v>22</v>
      </c>
      <c r="K258" s="758"/>
      <c r="L258" s="759" t="s">
        <v>69</v>
      </c>
      <c r="M258" s="760" t="s">
        <v>68</v>
      </c>
      <c r="N258" s="761">
        <f t="shared" si="498"/>
        <v>106005.26567735759</v>
      </c>
      <c r="O258" s="762">
        <f t="shared" si="499"/>
        <v>2332115.8449018667</v>
      </c>
      <c r="P258" s="762">
        <f t="shared" si="500"/>
        <v>22400</v>
      </c>
      <c r="Q258" s="762">
        <f t="shared" si="474"/>
        <v>50000</v>
      </c>
      <c r="R258" s="762"/>
      <c r="S258" s="762"/>
      <c r="T258" s="762"/>
      <c r="U258" s="762"/>
      <c r="V258" s="762"/>
      <c r="W258" s="762"/>
      <c r="X258" s="762"/>
      <c r="Y258" s="762">
        <f t="shared" si="611"/>
        <v>140000</v>
      </c>
      <c r="Z258" s="762">
        <f t="shared" si="475"/>
        <v>142461</v>
      </c>
      <c r="AA258" s="762">
        <v>45722.732758620688</v>
      </c>
      <c r="AB258" s="762"/>
      <c r="AC258" s="762"/>
      <c r="AD258" s="763">
        <f t="shared" si="501"/>
        <v>400583.7327586207</v>
      </c>
      <c r="AE258" s="763">
        <f t="shared" si="476"/>
        <v>2732699.5776604875</v>
      </c>
      <c r="AF258" s="762">
        <f t="shared" si="477"/>
        <v>68317.489441512196</v>
      </c>
      <c r="AG258" s="762">
        <f t="shared" si="502"/>
        <v>2801017.0671019997</v>
      </c>
      <c r="AH258" s="762">
        <f t="shared" si="478"/>
        <v>70025.42667755</v>
      </c>
      <c r="AI258" s="762">
        <f t="shared" si="503"/>
        <v>2871042.4937795498</v>
      </c>
      <c r="AJ258" s="762">
        <f t="shared" si="504"/>
        <v>143552.12468897749</v>
      </c>
      <c r="AK258" s="762">
        <f t="shared" si="505"/>
        <v>3014594.6184685272</v>
      </c>
      <c r="AL258" s="762">
        <f t="shared" si="506"/>
        <v>30145.946184685272</v>
      </c>
      <c r="AM258" s="762">
        <f t="shared" si="507"/>
        <v>27537.409960060559</v>
      </c>
      <c r="AN258" s="762"/>
      <c r="AO258" s="763">
        <f t="shared" si="508"/>
        <v>3072277.9746132731</v>
      </c>
      <c r="AP258" s="763">
        <f t="shared" si="509"/>
        <v>506925.8658111901</v>
      </c>
      <c r="AQ258" s="763">
        <f t="shared" si="510"/>
        <v>3579203.8404244632</v>
      </c>
      <c r="AR258" s="1178">
        <f t="shared" si="479"/>
        <v>3000000</v>
      </c>
      <c r="AS258" s="1178">
        <f t="shared" si="511"/>
        <v>26327.447292021054</v>
      </c>
      <c r="AT258" s="1178">
        <f t="shared" si="512"/>
        <v>579203.84042446315</v>
      </c>
      <c r="AU258" s="1178">
        <f t="shared" si="480"/>
        <v>69504.460850935575</v>
      </c>
      <c r="AV258" s="1178">
        <f t="shared" si="513"/>
        <v>648708.3012753987</v>
      </c>
      <c r="AW258" s="1178">
        <f t="shared" si="514"/>
        <v>3648708.3012753986</v>
      </c>
      <c r="AX258" s="762">
        <f t="shared" si="515"/>
        <v>45608.853765942484</v>
      </c>
      <c r="AY258" s="717" t="s">
        <v>231</v>
      </c>
      <c r="AZ258" s="717">
        <f t="shared" si="516"/>
        <v>3694317.1550413412</v>
      </c>
      <c r="BA258" s="717">
        <f t="shared" si="517"/>
        <v>138536.89331405028</v>
      </c>
      <c r="BB258" s="717"/>
      <c r="BC258" s="717">
        <f t="shared" si="481"/>
        <v>33600</v>
      </c>
      <c r="BD258" s="717">
        <f t="shared" si="518"/>
        <v>3866454.0483553912</v>
      </c>
      <c r="BE258" s="717"/>
      <c r="BF258" s="717">
        <f t="shared" si="519"/>
        <v>3866454.0483553912</v>
      </c>
      <c r="BG258" s="1209"/>
      <c r="BH258" s="717">
        <f t="shared" si="520"/>
        <v>3866454.0483553912</v>
      </c>
      <c r="BI258" s="717"/>
      <c r="BJ258" s="717">
        <f t="shared" si="521"/>
        <v>3866454.0483553912</v>
      </c>
      <c r="BK258" s="717"/>
      <c r="BL258" s="717">
        <f t="shared" si="522"/>
        <v>3866454.0483553912</v>
      </c>
      <c r="BM258" s="717"/>
      <c r="BN258" s="717">
        <f t="shared" si="523"/>
        <v>3866454.0483553912</v>
      </c>
      <c r="BO258" s="717"/>
      <c r="BP258" s="717">
        <f t="shared" si="482"/>
        <v>3866454.0483553912</v>
      </c>
      <c r="BQ258" s="717"/>
      <c r="BR258" s="717">
        <f t="shared" si="584"/>
        <v>3866454.0483553912</v>
      </c>
      <c r="BS258" s="717"/>
      <c r="BT258" s="717">
        <f t="shared" si="524"/>
        <v>3866454.0483553912</v>
      </c>
      <c r="BU258" s="717"/>
      <c r="BV258" s="1235">
        <f t="shared" si="585"/>
        <v>51400</v>
      </c>
      <c r="BW258" s="717">
        <f t="shared" si="525"/>
        <v>3917854.0483553912</v>
      </c>
      <c r="BX258" s="717"/>
      <c r="BY258" s="717">
        <f t="shared" si="526"/>
        <v>3917854.0483553912</v>
      </c>
      <c r="BZ258" s="1194">
        <f t="shared" si="527"/>
        <v>3917854.0483553912</v>
      </c>
      <c r="CA258" s="1194">
        <f t="shared" si="528"/>
        <v>3037854.0483553912</v>
      </c>
      <c r="CB258" s="1194">
        <v>40000</v>
      </c>
      <c r="CC258" s="1194">
        <f t="shared" si="529"/>
        <v>880000</v>
      </c>
      <c r="CD258" s="1194">
        <f t="shared" si="530"/>
        <v>105600</v>
      </c>
      <c r="CE258" s="1194">
        <f t="shared" si="531"/>
        <v>985600</v>
      </c>
      <c r="CF258" s="1200">
        <f t="shared" si="532"/>
        <v>4023454.0483553912</v>
      </c>
      <c r="CG258" s="757">
        <f t="shared" si="533"/>
        <v>4023454.0483553912</v>
      </c>
      <c r="CH258" s="758">
        <f t="shared" si="534"/>
        <v>0</v>
      </c>
      <c r="CI258" s="757">
        <f t="shared" si="483"/>
        <v>412404.03995642759</v>
      </c>
      <c r="CJ258" s="757">
        <f t="shared" si="484"/>
        <v>100586.35120888479</v>
      </c>
      <c r="CK258" s="759">
        <f t="shared" si="593"/>
        <v>4536444.4395207036</v>
      </c>
      <c r="CL258" s="764">
        <f t="shared" si="535"/>
        <v>0.125</v>
      </c>
      <c r="CM258" s="757">
        <f t="shared" si="536"/>
        <v>567055.55494008795</v>
      </c>
      <c r="CN258" s="757">
        <f t="shared" si="578"/>
        <v>30000</v>
      </c>
      <c r="CO258" s="757">
        <f t="shared" si="537"/>
        <v>537055.55494008795</v>
      </c>
      <c r="CP258" s="755">
        <f t="shared" si="538"/>
        <v>29</v>
      </c>
      <c r="CQ258" s="757">
        <f t="shared" si="581"/>
        <v>18519.157066899585</v>
      </c>
      <c r="CR258" s="764">
        <f t="shared" si="539"/>
        <v>0.875</v>
      </c>
      <c r="CS258" s="757">
        <f t="shared" si="540"/>
        <v>3969388.8845806159</v>
      </c>
      <c r="CT258" s="1101">
        <f t="shared" si="541"/>
        <v>30774.629772727432</v>
      </c>
      <c r="CU258" s="1101">
        <f t="shared" si="542"/>
        <v>35677.989474684393</v>
      </c>
      <c r="CV258" s="1101">
        <f t="shared" si="543"/>
        <v>46087.970681596576</v>
      </c>
      <c r="CW258" s="1141">
        <f t="shared" si="485"/>
        <v>78598.657387437357</v>
      </c>
      <c r="CX258" s="1152">
        <f t="shared" si="544"/>
        <v>322446.07585375861</v>
      </c>
      <c r="CY258" s="1152">
        <f t="shared" si="545"/>
        <v>127590.3414903167</v>
      </c>
      <c r="CZ258" s="1152">
        <f t="shared" si="546"/>
        <v>92156.696571619919</v>
      </c>
      <c r="DA258" s="1152">
        <f t="shared" si="547"/>
        <v>70135.488766187846</v>
      </c>
      <c r="DB258" s="1143">
        <f t="shared" si="486"/>
        <v>0.19306794680815439</v>
      </c>
      <c r="DC258" s="1143">
        <f t="shared" si="548"/>
        <v>0.32443954986368623</v>
      </c>
      <c r="DD258" s="1098" t="s">
        <v>232</v>
      </c>
      <c r="DE258" s="1144"/>
      <c r="DF258" s="705"/>
      <c r="DG258" s="765">
        <f t="shared" si="579"/>
        <v>46082</v>
      </c>
      <c r="DH258" s="1116">
        <f t="shared" si="487"/>
        <v>28</v>
      </c>
      <c r="DI258" s="497"/>
      <c r="DJ258" s="1117">
        <f t="shared" si="549"/>
        <v>46147</v>
      </c>
      <c r="DK258" s="1116">
        <f t="shared" si="550"/>
        <v>30</v>
      </c>
      <c r="DL258" s="766" t="s">
        <v>233</v>
      </c>
      <c r="DM258" s="766" t="s">
        <v>234</v>
      </c>
      <c r="DN258" s="767">
        <f t="shared" si="488"/>
        <v>29486.740967063579</v>
      </c>
      <c r="DO258" s="767">
        <f t="shared" si="489"/>
        <v>648708.3012753987</v>
      </c>
      <c r="DP258" s="768">
        <f t="shared" si="490"/>
        <v>0.21623610042513289</v>
      </c>
      <c r="DR258" s="767">
        <f t="shared" si="491"/>
        <v>4023454.0483553912</v>
      </c>
      <c r="DS258" s="767">
        <f>SUM('[6]INTERNAL PRICELIST'!M258)</f>
        <v>0</v>
      </c>
      <c r="DT258" s="767">
        <f t="shared" si="551"/>
        <v>4023454.0483553912</v>
      </c>
      <c r="DV258" s="951">
        <f t="shared" si="492"/>
        <v>182884.27492524506</v>
      </c>
      <c r="DX258" s="781"/>
      <c r="DY258" s="782"/>
      <c r="DZ258" s="781"/>
      <c r="EA258" s="775"/>
      <c r="ED258" s="755" t="s">
        <v>698</v>
      </c>
      <c r="EE258" s="777" t="b">
        <f t="shared" si="493"/>
        <v>1</v>
      </c>
      <c r="EF258" s="1123" t="s">
        <v>306</v>
      </c>
      <c r="EG258" s="1123" t="s">
        <v>697</v>
      </c>
      <c r="EH258" s="1203"/>
      <c r="EO258" s="497" t="s">
        <v>330</v>
      </c>
      <c r="EP258" s="1230" t="s">
        <v>236</v>
      </c>
      <c r="EQ258" s="1145" t="s">
        <v>236</v>
      </c>
      <c r="ER258" s="753" t="b">
        <f t="shared" si="552"/>
        <v>1</v>
      </c>
      <c r="EU258" s="770">
        <v>2468160</v>
      </c>
      <c r="EV258" s="771" t="s">
        <v>236</v>
      </c>
      <c r="FJ258" s="994">
        <v>0.15</v>
      </c>
      <c r="FK258" s="993">
        <v>13597.661476345767</v>
      </c>
      <c r="FL258" s="993">
        <v>13965.165840571328</v>
      </c>
      <c r="FM258" s="497"/>
      <c r="FN258" s="993">
        <f t="shared" si="494"/>
        <v>4536444.4395207036</v>
      </c>
      <c r="FO258" s="994">
        <f t="shared" si="553"/>
        <v>0.15</v>
      </c>
      <c r="FP258" s="775">
        <f t="shared" si="495"/>
        <v>680466.66592810547</v>
      </c>
      <c r="FQ258" s="993">
        <f t="shared" si="496"/>
        <v>30000</v>
      </c>
      <c r="FR258" s="775">
        <f t="shared" si="554"/>
        <v>650466.66592810547</v>
      </c>
      <c r="FS258" s="497">
        <f t="shared" si="555"/>
        <v>40</v>
      </c>
      <c r="FT258" s="775">
        <f t="shared" si="556"/>
        <v>16261.666648202638</v>
      </c>
      <c r="FU258" s="497"/>
      <c r="FV258" s="993">
        <f t="shared" si="557"/>
        <v>4536444.4395207036</v>
      </c>
      <c r="FW258" s="705">
        <f t="shared" si="558"/>
        <v>453644.44395207037</v>
      </c>
      <c r="FX258" s="705">
        <f t="shared" si="559"/>
        <v>113411.11098801759</v>
      </c>
      <c r="FY258" s="705">
        <v>15000</v>
      </c>
      <c r="FZ258" s="705">
        <f t="shared" si="560"/>
        <v>438644.44395207037</v>
      </c>
      <c r="GA258" s="497">
        <f t="shared" si="561"/>
        <v>46</v>
      </c>
      <c r="GB258" s="775">
        <f t="shared" si="562"/>
        <v>9535.7487815667464</v>
      </c>
      <c r="GC258" s="497"/>
      <c r="GD258" s="497"/>
      <c r="GH258" s="1095">
        <f t="shared" si="461"/>
        <v>4536444.4395207036</v>
      </c>
      <c r="GI258" s="1098">
        <f t="shared" si="462"/>
        <v>0.125</v>
      </c>
      <c r="GJ258" s="1095">
        <f t="shared" si="463"/>
        <v>567055.55494008795</v>
      </c>
      <c r="GK258" s="1095">
        <f t="shared" si="464"/>
        <v>30000</v>
      </c>
      <c r="GL258" s="1095">
        <f t="shared" si="465"/>
        <v>537055.55494008795</v>
      </c>
      <c r="GM258" s="1095">
        <f t="shared" si="466"/>
        <v>29</v>
      </c>
      <c r="GN258" s="1095">
        <f t="shared" si="467"/>
        <v>18519.157066899585</v>
      </c>
      <c r="GO258" s="1098">
        <f t="shared" si="468"/>
        <v>0.875</v>
      </c>
      <c r="GP258" s="1095">
        <f t="shared" si="469"/>
        <v>3969388.8845806159</v>
      </c>
      <c r="GQ258" s="1095">
        <f t="shared" si="470"/>
        <v>30774.629772727432</v>
      </c>
      <c r="GR258" s="1095">
        <f t="shared" si="471"/>
        <v>35677.989474684393</v>
      </c>
      <c r="GS258" s="1095">
        <f t="shared" si="472"/>
        <v>46087.970681596576</v>
      </c>
      <c r="GT258" s="1095">
        <f t="shared" si="473"/>
        <v>78598.657387437357</v>
      </c>
      <c r="GU258" s="497"/>
      <c r="GV258" s="1095">
        <f t="shared" si="563"/>
        <v>4536444.4395207036</v>
      </c>
      <c r="GW258" s="1098">
        <f t="shared" si="564"/>
        <v>0.125</v>
      </c>
      <c r="GX258" s="1095">
        <f t="shared" si="565"/>
        <v>567055.55494008795</v>
      </c>
      <c r="GY258" s="1095">
        <f t="shared" si="566"/>
        <v>30000</v>
      </c>
      <c r="GZ258" s="1095">
        <f t="shared" si="567"/>
        <v>537055.55494008795</v>
      </c>
      <c r="HA258" s="1106">
        <f t="shared" si="568"/>
        <v>48</v>
      </c>
      <c r="HB258" s="770">
        <f t="shared" si="569"/>
        <v>11188.657394585165</v>
      </c>
      <c r="HC258" s="1098">
        <f t="shared" si="570"/>
        <v>0.875</v>
      </c>
      <c r="HD258" s="1102">
        <f t="shared" si="571"/>
        <v>3969388.8845806159</v>
      </c>
      <c r="HE258" s="1101">
        <f t="shared" si="572"/>
        <v>30774.629772727432</v>
      </c>
      <c r="HF258" s="1101">
        <f t="shared" si="573"/>
        <v>35677.989474684393</v>
      </c>
      <c r="HG258" s="1101">
        <f t="shared" si="574"/>
        <v>46087.970681596576</v>
      </c>
      <c r="HH258" s="1101">
        <f t="shared" si="575"/>
        <v>78598.657387437357</v>
      </c>
      <c r="HI258" s="497"/>
      <c r="HJ258" s="1102">
        <f t="shared" si="576"/>
        <v>-7330.4996723144195</v>
      </c>
      <c r="HL258" s="775"/>
      <c r="HN258" s="775"/>
      <c r="HO258" s="775"/>
      <c r="HQ258" s="702"/>
      <c r="HR258" s="1171"/>
      <c r="HS258" s="702"/>
      <c r="HT258" s="1171"/>
    </row>
    <row r="259" spans="1:228" ht="14.25" hidden="1" customHeight="1">
      <c r="A259" s="753">
        <f t="shared" si="577"/>
        <v>253</v>
      </c>
      <c r="B259" s="753" t="s">
        <v>236</v>
      </c>
      <c r="C259" s="753">
        <f t="shared" si="610"/>
        <v>5</v>
      </c>
      <c r="D259" s="753" t="s">
        <v>284</v>
      </c>
      <c r="E259" s="717" t="str">
        <f t="shared" si="497"/>
        <v>11th Floor</v>
      </c>
      <c r="F259" s="754"/>
      <c r="G259" s="756" t="s">
        <v>699</v>
      </c>
      <c r="H259" s="756"/>
      <c r="I259" s="755" t="s">
        <v>229</v>
      </c>
      <c r="J259" s="757">
        <v>22</v>
      </c>
      <c r="K259" s="758"/>
      <c r="L259" s="759" t="s">
        <v>69</v>
      </c>
      <c r="M259" s="760" t="s">
        <v>68</v>
      </c>
      <c r="N259" s="761">
        <f t="shared" si="498"/>
        <v>106005.26567735759</v>
      </c>
      <c r="O259" s="762">
        <f t="shared" si="499"/>
        <v>2332115.8449018667</v>
      </c>
      <c r="P259" s="762">
        <f t="shared" si="500"/>
        <v>22400</v>
      </c>
      <c r="Q259" s="762">
        <f t="shared" si="474"/>
        <v>50000</v>
      </c>
      <c r="R259" s="762"/>
      <c r="S259" s="762"/>
      <c r="T259" s="762"/>
      <c r="U259" s="762"/>
      <c r="V259" s="762"/>
      <c r="W259" s="762"/>
      <c r="X259" s="762"/>
      <c r="Y259" s="762">
        <f t="shared" si="611"/>
        <v>140000</v>
      </c>
      <c r="Z259" s="762">
        <f t="shared" si="475"/>
        <v>142461</v>
      </c>
      <c r="AA259" s="762">
        <v>45722.732758620688</v>
      </c>
      <c r="AB259" s="762"/>
      <c r="AC259" s="762"/>
      <c r="AD259" s="763">
        <f t="shared" si="501"/>
        <v>400583.7327586207</v>
      </c>
      <c r="AE259" s="763">
        <f t="shared" si="476"/>
        <v>2732699.5776604875</v>
      </c>
      <c r="AF259" s="762">
        <f t="shared" si="477"/>
        <v>68317.489441512196</v>
      </c>
      <c r="AG259" s="762">
        <f t="shared" si="502"/>
        <v>2801017.0671019997</v>
      </c>
      <c r="AH259" s="762">
        <f t="shared" si="478"/>
        <v>70025.42667755</v>
      </c>
      <c r="AI259" s="762">
        <f t="shared" si="503"/>
        <v>2871042.4937795498</v>
      </c>
      <c r="AJ259" s="762">
        <f t="shared" si="504"/>
        <v>143552.12468897749</v>
      </c>
      <c r="AK259" s="762">
        <f t="shared" si="505"/>
        <v>3014594.6184685272</v>
      </c>
      <c r="AL259" s="762">
        <f t="shared" si="506"/>
        <v>30145.946184685272</v>
      </c>
      <c r="AM259" s="762">
        <f t="shared" si="507"/>
        <v>27537.409960060559</v>
      </c>
      <c r="AN259" s="762"/>
      <c r="AO259" s="763">
        <f t="shared" si="508"/>
        <v>3072277.9746132731</v>
      </c>
      <c r="AP259" s="763">
        <f t="shared" si="509"/>
        <v>506925.8658111901</v>
      </c>
      <c r="AQ259" s="763">
        <f t="shared" si="510"/>
        <v>3579203.8404244632</v>
      </c>
      <c r="AR259" s="1178">
        <f t="shared" si="479"/>
        <v>3000000</v>
      </c>
      <c r="AS259" s="1178">
        <f t="shared" si="511"/>
        <v>26327.447292021054</v>
      </c>
      <c r="AT259" s="1178">
        <f t="shared" si="512"/>
        <v>579203.84042446315</v>
      </c>
      <c r="AU259" s="1178">
        <f t="shared" si="480"/>
        <v>69504.460850935575</v>
      </c>
      <c r="AV259" s="1178">
        <f t="shared" si="513"/>
        <v>648708.3012753987</v>
      </c>
      <c r="AW259" s="1178">
        <f t="shared" si="514"/>
        <v>3648708.3012753986</v>
      </c>
      <c r="AX259" s="762">
        <f t="shared" si="515"/>
        <v>45608.853765942484</v>
      </c>
      <c r="AY259" s="717" t="s">
        <v>231</v>
      </c>
      <c r="AZ259" s="717">
        <f t="shared" si="516"/>
        <v>3694317.1550413412</v>
      </c>
      <c r="BA259" s="717">
        <f t="shared" si="517"/>
        <v>138536.89331405028</v>
      </c>
      <c r="BB259" s="717"/>
      <c r="BC259" s="717">
        <f t="shared" si="481"/>
        <v>33600</v>
      </c>
      <c r="BD259" s="717">
        <f t="shared" si="518"/>
        <v>3866454.0483553912</v>
      </c>
      <c r="BE259" s="717"/>
      <c r="BF259" s="717">
        <f t="shared" si="519"/>
        <v>3866454.0483553912</v>
      </c>
      <c r="BG259" s="1209"/>
      <c r="BH259" s="717">
        <f t="shared" si="520"/>
        <v>3866454.0483553912</v>
      </c>
      <c r="BI259" s="717"/>
      <c r="BJ259" s="717">
        <f t="shared" si="521"/>
        <v>3866454.0483553912</v>
      </c>
      <c r="BK259" s="717"/>
      <c r="BL259" s="717">
        <f t="shared" si="522"/>
        <v>3866454.0483553912</v>
      </c>
      <c r="BM259" s="717"/>
      <c r="BN259" s="717">
        <f t="shared" si="523"/>
        <v>3866454.0483553912</v>
      </c>
      <c r="BO259" s="717"/>
      <c r="BP259" s="717">
        <f t="shared" si="482"/>
        <v>3866454.0483553912</v>
      </c>
      <c r="BQ259" s="717"/>
      <c r="BR259" s="717">
        <f t="shared" si="584"/>
        <v>3866454.0483553912</v>
      </c>
      <c r="BS259" s="717"/>
      <c r="BT259" s="717">
        <f t="shared" si="524"/>
        <v>3866454.0483553912</v>
      </c>
      <c r="BU259" s="717"/>
      <c r="BV259" s="1235">
        <f t="shared" si="585"/>
        <v>51400</v>
      </c>
      <c r="BW259" s="717">
        <f t="shared" si="525"/>
        <v>3917854.0483553912</v>
      </c>
      <c r="BX259" s="717"/>
      <c r="BY259" s="717">
        <f t="shared" si="526"/>
        <v>3917854.0483553912</v>
      </c>
      <c r="BZ259" s="1194">
        <f t="shared" si="527"/>
        <v>3917854.0483553912</v>
      </c>
      <c r="CA259" s="1194">
        <f t="shared" si="528"/>
        <v>3037854.0483553912</v>
      </c>
      <c r="CB259" s="1194">
        <v>40000</v>
      </c>
      <c r="CC259" s="1194">
        <f t="shared" si="529"/>
        <v>880000</v>
      </c>
      <c r="CD259" s="1194">
        <f t="shared" si="530"/>
        <v>105600</v>
      </c>
      <c r="CE259" s="1194">
        <f t="shared" si="531"/>
        <v>985600</v>
      </c>
      <c r="CF259" s="1200">
        <f t="shared" si="532"/>
        <v>4023454.0483553912</v>
      </c>
      <c r="CG259" s="757">
        <f t="shared" si="533"/>
        <v>4023454.0483553912</v>
      </c>
      <c r="CH259" s="758">
        <f t="shared" si="534"/>
        <v>0</v>
      </c>
      <c r="CI259" s="757">
        <f t="shared" si="483"/>
        <v>412404.03995642759</v>
      </c>
      <c r="CJ259" s="757">
        <f t="shared" si="484"/>
        <v>100586.35120888479</v>
      </c>
      <c r="CK259" s="759">
        <f t="shared" si="593"/>
        <v>4536444.4395207036</v>
      </c>
      <c r="CL259" s="764">
        <f t="shared" si="535"/>
        <v>0.125</v>
      </c>
      <c r="CM259" s="757">
        <f t="shared" si="536"/>
        <v>567055.55494008795</v>
      </c>
      <c r="CN259" s="757">
        <f t="shared" si="578"/>
        <v>30000</v>
      </c>
      <c r="CO259" s="757">
        <f t="shared" si="537"/>
        <v>537055.55494008795</v>
      </c>
      <c r="CP259" s="755">
        <f t="shared" si="538"/>
        <v>29</v>
      </c>
      <c r="CQ259" s="757">
        <f t="shared" si="581"/>
        <v>18519.157066899585</v>
      </c>
      <c r="CR259" s="764">
        <f t="shared" si="539"/>
        <v>0.875</v>
      </c>
      <c r="CS259" s="757">
        <f t="shared" si="540"/>
        <v>3969388.8845806159</v>
      </c>
      <c r="CT259" s="1101">
        <f t="shared" si="541"/>
        <v>30774.629772727432</v>
      </c>
      <c r="CU259" s="1101">
        <f t="shared" si="542"/>
        <v>35677.989474684393</v>
      </c>
      <c r="CV259" s="1101">
        <f t="shared" si="543"/>
        <v>46087.970681596576</v>
      </c>
      <c r="CW259" s="1141">
        <f t="shared" si="485"/>
        <v>78598.657387437357</v>
      </c>
      <c r="CX259" s="1152">
        <f t="shared" si="544"/>
        <v>322446.07585375861</v>
      </c>
      <c r="CY259" s="1152">
        <f t="shared" si="545"/>
        <v>127590.3414903167</v>
      </c>
      <c r="CZ259" s="1152">
        <f t="shared" si="546"/>
        <v>92156.696571619919</v>
      </c>
      <c r="DA259" s="1152">
        <f t="shared" si="547"/>
        <v>70135.488766187846</v>
      </c>
      <c r="DB259" s="1143">
        <f t="shared" si="486"/>
        <v>0.19306794680815439</v>
      </c>
      <c r="DC259" s="1143">
        <f t="shared" si="548"/>
        <v>0.32443954986368623</v>
      </c>
      <c r="DD259" s="1098" t="s">
        <v>232</v>
      </c>
      <c r="DE259" s="1144"/>
      <c r="DF259" s="705"/>
      <c r="DG259" s="765">
        <f t="shared" si="579"/>
        <v>46082</v>
      </c>
      <c r="DH259" s="1116">
        <f t="shared" si="487"/>
        <v>28</v>
      </c>
      <c r="DI259" s="497"/>
      <c r="DJ259" s="1117">
        <f t="shared" si="549"/>
        <v>46147</v>
      </c>
      <c r="DK259" s="1116">
        <f t="shared" si="550"/>
        <v>30</v>
      </c>
      <c r="DL259" s="766" t="s">
        <v>233</v>
      </c>
      <c r="DM259" s="766" t="s">
        <v>234</v>
      </c>
      <c r="DN259" s="767">
        <f t="shared" si="488"/>
        <v>29486.740967063579</v>
      </c>
      <c r="DO259" s="767">
        <f t="shared" si="489"/>
        <v>648708.3012753987</v>
      </c>
      <c r="DP259" s="768">
        <f t="shared" si="490"/>
        <v>0.21623610042513289</v>
      </c>
      <c r="DR259" s="767">
        <f t="shared" si="491"/>
        <v>4023454.0483553912</v>
      </c>
      <c r="DS259" s="767">
        <f>SUM('[6]INTERNAL PRICELIST'!M259)</f>
        <v>0</v>
      </c>
      <c r="DT259" s="767">
        <f t="shared" si="551"/>
        <v>4023454.0483553912</v>
      </c>
      <c r="DV259" s="951">
        <f t="shared" si="492"/>
        <v>182884.27492524506</v>
      </c>
      <c r="DX259" s="781"/>
      <c r="DY259" s="782"/>
      <c r="DZ259" s="781"/>
      <c r="EA259" s="775"/>
      <c r="ED259" s="755" t="s">
        <v>699</v>
      </c>
      <c r="EE259" s="777" t="b">
        <f t="shared" si="493"/>
        <v>1</v>
      </c>
      <c r="EF259" s="1123" t="s">
        <v>700</v>
      </c>
      <c r="EG259" s="1123" t="s">
        <v>697</v>
      </c>
      <c r="EH259" s="1203"/>
      <c r="EP259" s="1230" t="s">
        <v>236</v>
      </c>
      <c r="EQ259" s="1145" t="s">
        <v>236</v>
      </c>
      <c r="ER259" s="753" t="b">
        <f t="shared" si="552"/>
        <v>1</v>
      </c>
      <c r="EU259" s="770">
        <v>2468160</v>
      </c>
      <c r="EV259" s="771" t="s">
        <v>236</v>
      </c>
      <c r="FJ259" s="994">
        <v>0.15</v>
      </c>
      <c r="FK259" s="993">
        <v>13597.661476345767</v>
      </c>
      <c r="FL259" s="993">
        <v>13965.165840571328</v>
      </c>
      <c r="FM259" s="497"/>
      <c r="FN259" s="993">
        <f t="shared" si="494"/>
        <v>4536444.4395207036</v>
      </c>
      <c r="FO259" s="994">
        <f t="shared" si="553"/>
        <v>0.15</v>
      </c>
      <c r="FP259" s="775">
        <f t="shared" si="495"/>
        <v>680466.66592810547</v>
      </c>
      <c r="FQ259" s="993">
        <f t="shared" si="496"/>
        <v>30000</v>
      </c>
      <c r="FR259" s="775">
        <f t="shared" si="554"/>
        <v>650466.66592810547</v>
      </c>
      <c r="FS259" s="497">
        <f t="shared" si="555"/>
        <v>40</v>
      </c>
      <c r="FT259" s="775">
        <f t="shared" si="556"/>
        <v>16261.666648202638</v>
      </c>
      <c r="FU259" s="497"/>
      <c r="FV259" s="993">
        <f t="shared" si="557"/>
        <v>4536444.4395207036</v>
      </c>
      <c r="FW259" s="705">
        <f t="shared" si="558"/>
        <v>453644.44395207037</v>
      </c>
      <c r="FX259" s="705">
        <f t="shared" si="559"/>
        <v>113411.11098801759</v>
      </c>
      <c r="FY259" s="705">
        <v>15000</v>
      </c>
      <c r="FZ259" s="705">
        <f t="shared" si="560"/>
        <v>438644.44395207037</v>
      </c>
      <c r="GA259" s="497">
        <f t="shared" si="561"/>
        <v>46</v>
      </c>
      <c r="GB259" s="775">
        <f t="shared" si="562"/>
        <v>9535.7487815667464</v>
      </c>
      <c r="GC259" s="497"/>
      <c r="GD259" s="497"/>
      <c r="GH259" s="1095">
        <f t="shared" si="461"/>
        <v>4536444.4395207036</v>
      </c>
      <c r="GI259" s="1098">
        <f t="shared" si="462"/>
        <v>0.125</v>
      </c>
      <c r="GJ259" s="1095">
        <f t="shared" si="463"/>
        <v>567055.55494008795</v>
      </c>
      <c r="GK259" s="1095">
        <f t="shared" si="464"/>
        <v>30000</v>
      </c>
      <c r="GL259" s="1095">
        <f t="shared" si="465"/>
        <v>537055.55494008795</v>
      </c>
      <c r="GM259" s="1095">
        <f t="shared" si="466"/>
        <v>29</v>
      </c>
      <c r="GN259" s="1095">
        <f t="shared" si="467"/>
        <v>18519.157066899585</v>
      </c>
      <c r="GO259" s="1098">
        <f t="shared" si="468"/>
        <v>0.875</v>
      </c>
      <c r="GP259" s="1095">
        <f t="shared" si="469"/>
        <v>3969388.8845806159</v>
      </c>
      <c r="GQ259" s="1095">
        <f t="shared" si="470"/>
        <v>30774.629772727432</v>
      </c>
      <c r="GR259" s="1095">
        <f t="shared" si="471"/>
        <v>35677.989474684393</v>
      </c>
      <c r="GS259" s="1095">
        <f t="shared" si="472"/>
        <v>46087.970681596576</v>
      </c>
      <c r="GT259" s="1095">
        <f t="shared" si="473"/>
        <v>78598.657387437357</v>
      </c>
      <c r="GU259" s="497"/>
      <c r="GV259" s="1095">
        <f t="shared" si="563"/>
        <v>4536444.4395207036</v>
      </c>
      <c r="GW259" s="1098">
        <f t="shared" si="564"/>
        <v>0.125</v>
      </c>
      <c r="GX259" s="1095">
        <f t="shared" si="565"/>
        <v>567055.55494008795</v>
      </c>
      <c r="GY259" s="1095">
        <f t="shared" si="566"/>
        <v>30000</v>
      </c>
      <c r="GZ259" s="1095">
        <f t="shared" si="567"/>
        <v>537055.55494008795</v>
      </c>
      <c r="HA259" s="1106">
        <f t="shared" si="568"/>
        <v>48</v>
      </c>
      <c r="HB259" s="770">
        <f t="shared" si="569"/>
        <v>11188.657394585165</v>
      </c>
      <c r="HC259" s="1098">
        <f t="shared" si="570"/>
        <v>0.875</v>
      </c>
      <c r="HD259" s="1102">
        <f t="shared" si="571"/>
        <v>3969388.8845806159</v>
      </c>
      <c r="HE259" s="1101">
        <f t="shared" si="572"/>
        <v>30774.629772727432</v>
      </c>
      <c r="HF259" s="1101">
        <f t="shared" si="573"/>
        <v>35677.989474684393</v>
      </c>
      <c r="HG259" s="1101">
        <f t="shared" si="574"/>
        <v>46087.970681596576</v>
      </c>
      <c r="HH259" s="1101">
        <f t="shared" si="575"/>
        <v>78598.657387437357</v>
      </c>
      <c r="HI259" s="497"/>
      <c r="HJ259" s="1102">
        <f t="shared" si="576"/>
        <v>-7330.4996723144195</v>
      </c>
      <c r="HL259" s="775"/>
      <c r="HN259" s="775"/>
      <c r="HO259" s="775"/>
      <c r="HQ259" s="702"/>
      <c r="HR259" s="1171"/>
      <c r="HS259" s="702"/>
      <c r="HT259" s="1171"/>
    </row>
    <row r="260" spans="1:228" ht="14.25" hidden="1" customHeight="1">
      <c r="A260" s="753">
        <f t="shared" si="577"/>
        <v>254</v>
      </c>
      <c r="B260" s="753"/>
      <c r="C260" s="753">
        <f t="shared" si="610"/>
        <v>6</v>
      </c>
      <c r="D260" s="753" t="s">
        <v>284</v>
      </c>
      <c r="E260" s="717" t="str">
        <f t="shared" si="497"/>
        <v>11th Floor</v>
      </c>
      <c r="F260" s="754"/>
      <c r="G260" s="756" t="s">
        <v>701</v>
      </c>
      <c r="H260" s="756"/>
      <c r="I260" s="755" t="s">
        <v>229</v>
      </c>
      <c r="J260" s="757">
        <v>22</v>
      </c>
      <c r="K260" s="758"/>
      <c r="L260" s="759" t="s">
        <v>69</v>
      </c>
      <c r="M260" s="760" t="s">
        <v>68</v>
      </c>
      <c r="N260" s="761">
        <f t="shared" si="498"/>
        <v>106005.26567735759</v>
      </c>
      <c r="O260" s="762">
        <f t="shared" si="499"/>
        <v>2332115.8449018667</v>
      </c>
      <c r="P260" s="762">
        <f t="shared" si="500"/>
        <v>22400</v>
      </c>
      <c r="Q260" s="762">
        <f t="shared" si="474"/>
        <v>50000</v>
      </c>
      <c r="R260" s="762"/>
      <c r="S260" s="762"/>
      <c r="T260" s="762"/>
      <c r="U260" s="762"/>
      <c r="V260" s="762"/>
      <c r="W260" s="762"/>
      <c r="X260" s="762"/>
      <c r="Y260" s="762">
        <f t="shared" si="611"/>
        <v>140000</v>
      </c>
      <c r="Z260" s="762">
        <f t="shared" si="475"/>
        <v>142461</v>
      </c>
      <c r="AA260" s="762">
        <v>45722.732758620688</v>
      </c>
      <c r="AB260" s="762"/>
      <c r="AC260" s="762"/>
      <c r="AD260" s="763">
        <f t="shared" si="501"/>
        <v>400583.7327586207</v>
      </c>
      <c r="AE260" s="763">
        <f t="shared" si="476"/>
        <v>2732699.5776604875</v>
      </c>
      <c r="AF260" s="762">
        <f t="shared" si="477"/>
        <v>68317.489441512196</v>
      </c>
      <c r="AG260" s="762">
        <f t="shared" si="502"/>
        <v>2801017.0671019997</v>
      </c>
      <c r="AH260" s="762">
        <f t="shared" si="478"/>
        <v>70025.42667755</v>
      </c>
      <c r="AI260" s="762">
        <f t="shared" si="503"/>
        <v>2871042.4937795498</v>
      </c>
      <c r="AJ260" s="762">
        <f t="shared" si="504"/>
        <v>143552.12468897749</v>
      </c>
      <c r="AK260" s="762">
        <f t="shared" si="505"/>
        <v>3014594.6184685272</v>
      </c>
      <c r="AL260" s="762">
        <f t="shared" si="506"/>
        <v>30145.946184685272</v>
      </c>
      <c r="AM260" s="762">
        <f t="shared" si="507"/>
        <v>27537.409960060559</v>
      </c>
      <c r="AN260" s="762"/>
      <c r="AO260" s="763">
        <f t="shared" si="508"/>
        <v>3072277.9746132731</v>
      </c>
      <c r="AP260" s="763">
        <f t="shared" si="509"/>
        <v>506925.8658111901</v>
      </c>
      <c r="AQ260" s="763">
        <f t="shared" si="510"/>
        <v>3579203.8404244632</v>
      </c>
      <c r="AR260" s="1178">
        <f t="shared" si="479"/>
        <v>3000000</v>
      </c>
      <c r="AS260" s="1178">
        <f t="shared" si="511"/>
        <v>26327.447292021054</v>
      </c>
      <c r="AT260" s="1178">
        <f t="shared" si="512"/>
        <v>579203.84042446315</v>
      </c>
      <c r="AU260" s="1178">
        <f t="shared" si="480"/>
        <v>69504.460850935575</v>
      </c>
      <c r="AV260" s="1178">
        <f t="shared" si="513"/>
        <v>648708.3012753987</v>
      </c>
      <c r="AW260" s="1178">
        <f t="shared" si="514"/>
        <v>3648708.3012753986</v>
      </c>
      <c r="AX260" s="762">
        <f t="shared" si="515"/>
        <v>45608.853765942484</v>
      </c>
      <c r="AY260" s="717" t="s">
        <v>231</v>
      </c>
      <c r="AZ260" s="717">
        <f t="shared" si="516"/>
        <v>3694317.1550413412</v>
      </c>
      <c r="BA260" s="717">
        <f t="shared" si="517"/>
        <v>138536.89331405028</v>
      </c>
      <c r="BB260" s="717"/>
      <c r="BC260" s="717">
        <f t="shared" si="481"/>
        <v>33600</v>
      </c>
      <c r="BD260" s="717">
        <f t="shared" si="518"/>
        <v>3866454.0483553912</v>
      </c>
      <c r="BE260" s="717"/>
      <c r="BF260" s="717">
        <f t="shared" si="519"/>
        <v>3866454.0483553912</v>
      </c>
      <c r="BG260" s="1209"/>
      <c r="BH260" s="717">
        <f t="shared" si="520"/>
        <v>3866454.0483553912</v>
      </c>
      <c r="BI260" s="717"/>
      <c r="BJ260" s="717">
        <f t="shared" si="521"/>
        <v>3866454.0483553912</v>
      </c>
      <c r="BK260" s="717"/>
      <c r="BL260" s="717">
        <f t="shared" si="522"/>
        <v>3866454.0483553912</v>
      </c>
      <c r="BM260" s="717"/>
      <c r="BN260" s="717">
        <f t="shared" si="523"/>
        <v>3866454.0483553912</v>
      </c>
      <c r="BO260" s="717"/>
      <c r="BP260" s="717">
        <f t="shared" si="482"/>
        <v>3866454.0483553912</v>
      </c>
      <c r="BQ260" s="717"/>
      <c r="BR260" s="717">
        <f t="shared" si="584"/>
        <v>3866454.0483553912</v>
      </c>
      <c r="BS260" s="717"/>
      <c r="BT260" s="717">
        <f t="shared" si="524"/>
        <v>3866454.0483553912</v>
      </c>
      <c r="BU260" s="717"/>
      <c r="BV260" s="1235">
        <f t="shared" si="585"/>
        <v>51400</v>
      </c>
      <c r="BW260" s="717">
        <f t="shared" si="525"/>
        <v>3917854.0483553912</v>
      </c>
      <c r="BX260" s="717"/>
      <c r="BY260" s="717">
        <f t="shared" si="526"/>
        <v>3917854.0483553912</v>
      </c>
      <c r="BZ260" s="1194">
        <f t="shared" si="527"/>
        <v>3917854.0483553912</v>
      </c>
      <c r="CA260" s="1194">
        <f t="shared" si="528"/>
        <v>3037854.0483553912</v>
      </c>
      <c r="CB260" s="1194">
        <v>40000</v>
      </c>
      <c r="CC260" s="1194">
        <f t="shared" si="529"/>
        <v>880000</v>
      </c>
      <c r="CD260" s="1194">
        <f t="shared" si="530"/>
        <v>105600</v>
      </c>
      <c r="CE260" s="1194">
        <f t="shared" si="531"/>
        <v>985600</v>
      </c>
      <c r="CF260" s="1200">
        <f t="shared" si="532"/>
        <v>4023454.0483553912</v>
      </c>
      <c r="CG260" s="757">
        <f t="shared" si="533"/>
        <v>4023454.0483553912</v>
      </c>
      <c r="CH260" s="758">
        <f t="shared" si="534"/>
        <v>0</v>
      </c>
      <c r="CI260" s="757">
        <f t="shared" si="483"/>
        <v>412404.03995642759</v>
      </c>
      <c r="CJ260" s="757">
        <f t="shared" si="484"/>
        <v>100586.35120888479</v>
      </c>
      <c r="CK260" s="759">
        <f t="shared" si="593"/>
        <v>4536444.4395207036</v>
      </c>
      <c r="CL260" s="764">
        <f t="shared" si="535"/>
        <v>0.125</v>
      </c>
      <c r="CM260" s="757">
        <f t="shared" si="536"/>
        <v>567055.55494008795</v>
      </c>
      <c r="CN260" s="757">
        <f t="shared" si="578"/>
        <v>30000</v>
      </c>
      <c r="CO260" s="757">
        <f t="shared" si="537"/>
        <v>537055.55494008795</v>
      </c>
      <c r="CP260" s="755">
        <f t="shared" si="538"/>
        <v>29</v>
      </c>
      <c r="CQ260" s="757">
        <f t="shared" si="581"/>
        <v>18519.157066899585</v>
      </c>
      <c r="CR260" s="764">
        <f t="shared" si="539"/>
        <v>0.875</v>
      </c>
      <c r="CS260" s="757">
        <f t="shared" si="540"/>
        <v>3969388.8845806159</v>
      </c>
      <c r="CT260" s="1101">
        <f t="shared" si="541"/>
        <v>30774.629772727432</v>
      </c>
      <c r="CU260" s="1101">
        <f t="shared" si="542"/>
        <v>35677.989474684393</v>
      </c>
      <c r="CV260" s="1101">
        <f t="shared" si="543"/>
        <v>46087.970681596576</v>
      </c>
      <c r="CW260" s="1141">
        <f t="shared" si="485"/>
        <v>78598.657387437357</v>
      </c>
      <c r="CX260" s="1152">
        <f t="shared" si="544"/>
        <v>322446.07585375861</v>
      </c>
      <c r="CY260" s="1152">
        <f t="shared" si="545"/>
        <v>127590.3414903167</v>
      </c>
      <c r="CZ260" s="1152">
        <f t="shared" si="546"/>
        <v>92156.696571619919</v>
      </c>
      <c r="DA260" s="1152">
        <f t="shared" si="547"/>
        <v>70135.488766187846</v>
      </c>
      <c r="DB260" s="1143">
        <f t="shared" si="486"/>
        <v>0.19306794680815439</v>
      </c>
      <c r="DC260" s="1143">
        <f t="shared" si="548"/>
        <v>0.32443954986368623</v>
      </c>
      <c r="DD260" s="1098" t="s">
        <v>232</v>
      </c>
      <c r="DE260" s="1144"/>
      <c r="DF260" s="705"/>
      <c r="DG260" s="765">
        <f t="shared" si="579"/>
        <v>46082</v>
      </c>
      <c r="DH260" s="1116">
        <f t="shared" si="487"/>
        <v>28</v>
      </c>
      <c r="DI260" s="497"/>
      <c r="DJ260" s="1117">
        <f t="shared" si="549"/>
        <v>46147</v>
      </c>
      <c r="DK260" s="1116">
        <f t="shared" si="550"/>
        <v>30</v>
      </c>
      <c r="DL260" s="766" t="s">
        <v>233</v>
      </c>
      <c r="DM260" s="766" t="s">
        <v>234</v>
      </c>
      <c r="DN260" s="767">
        <f t="shared" si="488"/>
        <v>29486.740967063579</v>
      </c>
      <c r="DO260" s="767">
        <f t="shared" si="489"/>
        <v>648708.3012753987</v>
      </c>
      <c r="DP260" s="768">
        <f t="shared" si="490"/>
        <v>0.21623610042513289</v>
      </c>
      <c r="DR260" s="767">
        <f t="shared" si="491"/>
        <v>4023454.0483553912</v>
      </c>
      <c r="DS260" s="767">
        <f>SUM('[6]INTERNAL PRICELIST'!M260)</f>
        <v>0</v>
      </c>
      <c r="DT260" s="767">
        <f t="shared" si="551"/>
        <v>4023454.0483553912</v>
      </c>
      <c r="DV260" s="951">
        <f t="shared" si="492"/>
        <v>182884.27492524506</v>
      </c>
      <c r="DX260" s="781"/>
      <c r="DY260" s="782"/>
      <c r="DZ260" s="781"/>
      <c r="EA260" s="775"/>
      <c r="ED260" s="755" t="s">
        <v>701</v>
      </c>
      <c r="EE260" s="777" t="b">
        <f t="shared" si="493"/>
        <v>1</v>
      </c>
      <c r="EF260" s="777"/>
      <c r="EG260" s="777"/>
      <c r="EH260" s="1203"/>
      <c r="EP260" s="1230" t="s">
        <v>236</v>
      </c>
      <c r="EQ260" s="1145" t="s">
        <v>236</v>
      </c>
      <c r="ER260" s="753" t="b">
        <f t="shared" si="552"/>
        <v>1</v>
      </c>
      <c r="EU260" s="770">
        <v>2921765.65</v>
      </c>
      <c r="EV260" s="771" t="s">
        <v>236</v>
      </c>
      <c r="FJ260" s="994">
        <v>0.15</v>
      </c>
      <c r="FK260" s="993">
        <v>13597.661476345767</v>
      </c>
      <c r="FL260" s="993">
        <v>13965.165840571328</v>
      </c>
      <c r="FM260" s="497"/>
      <c r="FN260" s="993">
        <f t="shared" si="494"/>
        <v>4536444.4395207036</v>
      </c>
      <c r="FO260" s="994">
        <f t="shared" si="553"/>
        <v>0.15</v>
      </c>
      <c r="FP260" s="775">
        <f t="shared" si="495"/>
        <v>680466.66592810547</v>
      </c>
      <c r="FQ260" s="993">
        <f t="shared" si="496"/>
        <v>30000</v>
      </c>
      <c r="FR260" s="775">
        <f t="shared" si="554"/>
        <v>650466.66592810547</v>
      </c>
      <c r="FS260" s="497">
        <f t="shared" si="555"/>
        <v>40</v>
      </c>
      <c r="FT260" s="775">
        <f t="shared" si="556"/>
        <v>16261.666648202638</v>
      </c>
      <c r="FU260" s="497"/>
      <c r="FV260" s="993">
        <f t="shared" si="557"/>
        <v>4536444.4395207036</v>
      </c>
      <c r="FW260" s="705">
        <f t="shared" si="558"/>
        <v>453644.44395207037</v>
      </c>
      <c r="FX260" s="705">
        <f t="shared" si="559"/>
        <v>113411.11098801759</v>
      </c>
      <c r="FY260" s="705">
        <v>15000</v>
      </c>
      <c r="FZ260" s="705">
        <f t="shared" si="560"/>
        <v>438644.44395207037</v>
      </c>
      <c r="GA260" s="497">
        <f t="shared" si="561"/>
        <v>46</v>
      </c>
      <c r="GB260" s="775">
        <f t="shared" si="562"/>
        <v>9535.7487815667464</v>
      </c>
      <c r="GC260" s="497"/>
      <c r="GD260" s="497"/>
      <c r="GH260" s="1095">
        <f t="shared" si="461"/>
        <v>4536444.4395207036</v>
      </c>
      <c r="GI260" s="1098">
        <f t="shared" si="462"/>
        <v>0.125</v>
      </c>
      <c r="GJ260" s="1095">
        <f t="shared" si="463"/>
        <v>567055.55494008795</v>
      </c>
      <c r="GK260" s="1095">
        <f t="shared" si="464"/>
        <v>30000</v>
      </c>
      <c r="GL260" s="1095">
        <f t="shared" si="465"/>
        <v>537055.55494008795</v>
      </c>
      <c r="GM260" s="1095">
        <f t="shared" si="466"/>
        <v>29</v>
      </c>
      <c r="GN260" s="1095">
        <f t="shared" si="467"/>
        <v>18519.157066899585</v>
      </c>
      <c r="GO260" s="1098">
        <f t="shared" si="468"/>
        <v>0.875</v>
      </c>
      <c r="GP260" s="1095">
        <f t="shared" si="469"/>
        <v>3969388.8845806159</v>
      </c>
      <c r="GQ260" s="1095">
        <f t="shared" si="470"/>
        <v>30774.629772727432</v>
      </c>
      <c r="GR260" s="1095">
        <f t="shared" si="471"/>
        <v>35677.989474684393</v>
      </c>
      <c r="GS260" s="1095">
        <f t="shared" si="472"/>
        <v>46087.970681596576</v>
      </c>
      <c r="GT260" s="1095">
        <f t="shared" si="473"/>
        <v>78598.657387437357</v>
      </c>
      <c r="GU260" s="497"/>
      <c r="GV260" s="1095">
        <f t="shared" si="563"/>
        <v>4536444.4395207036</v>
      </c>
      <c r="GW260" s="1098">
        <f t="shared" si="564"/>
        <v>0.125</v>
      </c>
      <c r="GX260" s="1095">
        <f t="shared" si="565"/>
        <v>567055.55494008795</v>
      </c>
      <c r="GY260" s="1095">
        <f t="shared" si="566"/>
        <v>30000</v>
      </c>
      <c r="GZ260" s="1095">
        <f t="shared" si="567"/>
        <v>537055.55494008795</v>
      </c>
      <c r="HA260" s="1106">
        <f t="shared" si="568"/>
        <v>48</v>
      </c>
      <c r="HB260" s="770">
        <f t="shared" si="569"/>
        <v>11188.657394585165</v>
      </c>
      <c r="HC260" s="1098">
        <f t="shared" si="570"/>
        <v>0.875</v>
      </c>
      <c r="HD260" s="1102">
        <f t="shared" si="571"/>
        <v>3969388.8845806159</v>
      </c>
      <c r="HE260" s="1101">
        <f t="shared" si="572"/>
        <v>30774.629772727432</v>
      </c>
      <c r="HF260" s="1101">
        <f t="shared" si="573"/>
        <v>35677.989474684393</v>
      </c>
      <c r="HG260" s="1101">
        <f t="shared" si="574"/>
        <v>46087.970681596576</v>
      </c>
      <c r="HH260" s="1101">
        <f t="shared" si="575"/>
        <v>78598.657387437357</v>
      </c>
      <c r="HI260" s="497"/>
      <c r="HJ260" s="1102">
        <f t="shared" si="576"/>
        <v>-7330.4996723144195</v>
      </c>
      <c r="HL260" s="775"/>
      <c r="HN260" s="775"/>
      <c r="HO260" s="775"/>
      <c r="HQ260" s="702"/>
      <c r="HR260" s="1171"/>
      <c r="HS260" s="702"/>
      <c r="HT260" s="1171"/>
    </row>
    <row r="261" spans="1:228" ht="14.25" hidden="1" customHeight="1">
      <c r="A261" s="753">
        <f t="shared" si="577"/>
        <v>255</v>
      </c>
      <c r="B261" s="753"/>
      <c r="C261" s="753">
        <f t="shared" si="610"/>
        <v>7</v>
      </c>
      <c r="D261" s="753" t="s">
        <v>284</v>
      </c>
      <c r="E261" s="717" t="str">
        <f t="shared" si="497"/>
        <v>11th Floor</v>
      </c>
      <c r="F261" s="754"/>
      <c r="G261" s="756" t="s">
        <v>702</v>
      </c>
      <c r="H261" s="756"/>
      <c r="I261" s="755" t="s">
        <v>229</v>
      </c>
      <c r="J261" s="757">
        <v>22</v>
      </c>
      <c r="K261" s="758"/>
      <c r="L261" s="759" t="s">
        <v>69</v>
      </c>
      <c r="M261" s="760" t="s">
        <v>68</v>
      </c>
      <c r="N261" s="761">
        <f t="shared" si="498"/>
        <v>106005.26567735759</v>
      </c>
      <c r="O261" s="762">
        <f t="shared" si="499"/>
        <v>2332115.8449018667</v>
      </c>
      <c r="P261" s="762">
        <f t="shared" si="500"/>
        <v>22400</v>
      </c>
      <c r="Q261" s="762">
        <f t="shared" si="474"/>
        <v>50000</v>
      </c>
      <c r="R261" s="762"/>
      <c r="S261" s="762"/>
      <c r="T261" s="762"/>
      <c r="U261" s="762"/>
      <c r="V261" s="762"/>
      <c r="W261" s="762"/>
      <c r="X261" s="762"/>
      <c r="Y261" s="762">
        <f t="shared" si="611"/>
        <v>140000</v>
      </c>
      <c r="Z261" s="762">
        <f t="shared" si="475"/>
        <v>142461</v>
      </c>
      <c r="AA261" s="762">
        <v>45722.732758620688</v>
      </c>
      <c r="AB261" s="762"/>
      <c r="AC261" s="762"/>
      <c r="AD261" s="763">
        <f t="shared" si="501"/>
        <v>400583.7327586207</v>
      </c>
      <c r="AE261" s="763">
        <f t="shared" si="476"/>
        <v>2732699.5776604875</v>
      </c>
      <c r="AF261" s="762">
        <f t="shared" si="477"/>
        <v>68317.489441512196</v>
      </c>
      <c r="AG261" s="762">
        <f t="shared" si="502"/>
        <v>2801017.0671019997</v>
      </c>
      <c r="AH261" s="762">
        <f t="shared" si="478"/>
        <v>70025.42667755</v>
      </c>
      <c r="AI261" s="762">
        <f t="shared" si="503"/>
        <v>2871042.4937795498</v>
      </c>
      <c r="AJ261" s="762">
        <f t="shared" si="504"/>
        <v>143552.12468897749</v>
      </c>
      <c r="AK261" s="762">
        <f t="shared" si="505"/>
        <v>3014594.6184685272</v>
      </c>
      <c r="AL261" s="762">
        <f t="shared" si="506"/>
        <v>30145.946184685272</v>
      </c>
      <c r="AM261" s="762">
        <f t="shared" si="507"/>
        <v>27537.409960060559</v>
      </c>
      <c r="AN261" s="762"/>
      <c r="AO261" s="763">
        <f t="shared" si="508"/>
        <v>3072277.9746132731</v>
      </c>
      <c r="AP261" s="763">
        <f t="shared" si="509"/>
        <v>506925.8658111901</v>
      </c>
      <c r="AQ261" s="763">
        <f t="shared" si="510"/>
        <v>3579203.8404244632</v>
      </c>
      <c r="AR261" s="1178">
        <f t="shared" si="479"/>
        <v>3000000</v>
      </c>
      <c r="AS261" s="1178">
        <f t="shared" si="511"/>
        <v>26327.447292021054</v>
      </c>
      <c r="AT261" s="1178">
        <f t="shared" si="512"/>
        <v>579203.84042446315</v>
      </c>
      <c r="AU261" s="1178">
        <f t="shared" si="480"/>
        <v>69504.460850935575</v>
      </c>
      <c r="AV261" s="1178">
        <f t="shared" si="513"/>
        <v>648708.3012753987</v>
      </c>
      <c r="AW261" s="1178">
        <f t="shared" si="514"/>
        <v>3648708.3012753986</v>
      </c>
      <c r="AX261" s="762">
        <f t="shared" si="515"/>
        <v>45608.853765942484</v>
      </c>
      <c r="AY261" s="717" t="s">
        <v>231</v>
      </c>
      <c r="AZ261" s="717">
        <f t="shared" si="516"/>
        <v>3694317.1550413412</v>
      </c>
      <c r="BA261" s="717">
        <f t="shared" si="517"/>
        <v>138536.89331405028</v>
      </c>
      <c r="BB261" s="717"/>
      <c r="BC261" s="717">
        <f t="shared" si="481"/>
        <v>33600</v>
      </c>
      <c r="BD261" s="717">
        <f t="shared" si="518"/>
        <v>3866454.0483553912</v>
      </c>
      <c r="BE261" s="717"/>
      <c r="BF261" s="717">
        <f t="shared" si="519"/>
        <v>3866454.0483553912</v>
      </c>
      <c r="BG261" s="1209"/>
      <c r="BH261" s="717">
        <f t="shared" si="520"/>
        <v>3866454.0483553912</v>
      </c>
      <c r="BI261" s="717"/>
      <c r="BJ261" s="717">
        <f t="shared" si="521"/>
        <v>3866454.0483553912</v>
      </c>
      <c r="BK261" s="717"/>
      <c r="BL261" s="717">
        <f t="shared" si="522"/>
        <v>3866454.0483553912</v>
      </c>
      <c r="BM261" s="717"/>
      <c r="BN261" s="717">
        <f t="shared" si="523"/>
        <v>3866454.0483553912</v>
      </c>
      <c r="BO261" s="717"/>
      <c r="BP261" s="717">
        <f t="shared" si="482"/>
        <v>3866454.0483553912</v>
      </c>
      <c r="BQ261" s="717"/>
      <c r="BR261" s="717">
        <f t="shared" si="584"/>
        <v>3866454.0483553912</v>
      </c>
      <c r="BS261" s="717"/>
      <c r="BT261" s="717">
        <f t="shared" si="524"/>
        <v>3866454.0483553912</v>
      </c>
      <c r="BU261" s="717"/>
      <c r="BV261" s="1235">
        <f t="shared" si="585"/>
        <v>51400</v>
      </c>
      <c r="BW261" s="717">
        <f t="shared" si="525"/>
        <v>3917854.0483553912</v>
      </c>
      <c r="BX261" s="717"/>
      <c r="BY261" s="717">
        <f t="shared" si="526"/>
        <v>3917854.0483553912</v>
      </c>
      <c r="BZ261" s="1194">
        <f t="shared" si="527"/>
        <v>3917854.0483553912</v>
      </c>
      <c r="CA261" s="1194">
        <f t="shared" si="528"/>
        <v>3037854.0483553912</v>
      </c>
      <c r="CB261" s="1194">
        <v>40000</v>
      </c>
      <c r="CC261" s="1194">
        <f t="shared" si="529"/>
        <v>880000</v>
      </c>
      <c r="CD261" s="1194">
        <f t="shared" si="530"/>
        <v>105600</v>
      </c>
      <c r="CE261" s="1194">
        <f t="shared" si="531"/>
        <v>985600</v>
      </c>
      <c r="CF261" s="1200">
        <f t="shared" si="532"/>
        <v>4023454.0483553912</v>
      </c>
      <c r="CG261" s="757">
        <f t="shared" si="533"/>
        <v>4023454.0483553912</v>
      </c>
      <c r="CH261" s="758">
        <f t="shared" si="534"/>
        <v>0</v>
      </c>
      <c r="CI261" s="757">
        <f t="shared" si="483"/>
        <v>412404.03995642759</v>
      </c>
      <c r="CJ261" s="757">
        <f t="shared" si="484"/>
        <v>100586.35120888479</v>
      </c>
      <c r="CK261" s="759">
        <f t="shared" si="593"/>
        <v>4536444.4395207036</v>
      </c>
      <c r="CL261" s="764">
        <f t="shared" si="535"/>
        <v>0.125</v>
      </c>
      <c r="CM261" s="757">
        <f t="shared" si="536"/>
        <v>567055.55494008795</v>
      </c>
      <c r="CN261" s="757">
        <f t="shared" si="578"/>
        <v>30000</v>
      </c>
      <c r="CO261" s="757">
        <f t="shared" si="537"/>
        <v>537055.55494008795</v>
      </c>
      <c r="CP261" s="755">
        <f t="shared" si="538"/>
        <v>29</v>
      </c>
      <c r="CQ261" s="757">
        <f t="shared" si="581"/>
        <v>18519.157066899585</v>
      </c>
      <c r="CR261" s="764">
        <f t="shared" si="539"/>
        <v>0.875</v>
      </c>
      <c r="CS261" s="757">
        <f t="shared" si="540"/>
        <v>3969388.8845806159</v>
      </c>
      <c r="CT261" s="1101">
        <f t="shared" si="541"/>
        <v>30774.629772727432</v>
      </c>
      <c r="CU261" s="1101">
        <f t="shared" si="542"/>
        <v>35677.989474684393</v>
      </c>
      <c r="CV261" s="1101">
        <f t="shared" si="543"/>
        <v>46087.970681596576</v>
      </c>
      <c r="CW261" s="1141">
        <f t="shared" si="485"/>
        <v>78598.657387437357</v>
      </c>
      <c r="CX261" s="1152">
        <f t="shared" si="544"/>
        <v>322446.07585375861</v>
      </c>
      <c r="CY261" s="1152">
        <f t="shared" si="545"/>
        <v>127590.3414903167</v>
      </c>
      <c r="CZ261" s="1152">
        <f t="shared" si="546"/>
        <v>92156.696571619919</v>
      </c>
      <c r="DA261" s="1152">
        <f t="shared" si="547"/>
        <v>70135.488766187846</v>
      </c>
      <c r="DB261" s="1143">
        <f t="shared" si="486"/>
        <v>0.19306794680815439</v>
      </c>
      <c r="DC261" s="1143">
        <f t="shared" si="548"/>
        <v>0.32443954986368623</v>
      </c>
      <c r="DD261" s="1098" t="s">
        <v>232</v>
      </c>
      <c r="DE261" s="1144"/>
      <c r="DF261" s="705"/>
      <c r="DG261" s="765">
        <f t="shared" si="579"/>
        <v>46082</v>
      </c>
      <c r="DH261" s="1116">
        <f t="shared" si="487"/>
        <v>28</v>
      </c>
      <c r="DI261" s="497"/>
      <c r="DJ261" s="1117">
        <f t="shared" si="549"/>
        <v>46147</v>
      </c>
      <c r="DK261" s="1116">
        <f t="shared" si="550"/>
        <v>30</v>
      </c>
      <c r="DL261" s="766" t="s">
        <v>233</v>
      </c>
      <c r="DM261" s="766" t="s">
        <v>234</v>
      </c>
      <c r="DN261" s="767">
        <f t="shared" si="488"/>
        <v>29486.740967063579</v>
      </c>
      <c r="DO261" s="767">
        <f t="shared" si="489"/>
        <v>648708.3012753987</v>
      </c>
      <c r="DP261" s="768">
        <f t="shared" si="490"/>
        <v>0.21623610042513289</v>
      </c>
      <c r="DR261" s="767">
        <f t="shared" si="491"/>
        <v>4023454.0483553912</v>
      </c>
      <c r="DS261" s="767">
        <f>SUM('[6]INTERNAL PRICELIST'!M261)</f>
        <v>0</v>
      </c>
      <c r="DT261" s="767">
        <f t="shared" si="551"/>
        <v>4023454.0483553912</v>
      </c>
      <c r="DV261" s="951">
        <f t="shared" si="492"/>
        <v>182884.27492524506</v>
      </c>
      <c r="DX261" s="781"/>
      <c r="DY261" s="782"/>
      <c r="DZ261" s="781"/>
      <c r="EA261" s="775"/>
      <c r="ED261" s="755" t="s">
        <v>702</v>
      </c>
      <c r="EE261" s="777" t="b">
        <f t="shared" si="493"/>
        <v>1</v>
      </c>
      <c r="EF261" s="777"/>
      <c r="EG261" s="777"/>
      <c r="EH261" s="1203"/>
      <c r="EP261" s="1230" t="s">
        <v>236</v>
      </c>
      <c r="EQ261" s="1145" t="s">
        <v>236</v>
      </c>
      <c r="ER261" s="753" t="b">
        <f t="shared" si="552"/>
        <v>1</v>
      </c>
      <c r="EU261" s="770">
        <v>3158898.0774007286</v>
      </c>
      <c r="EV261" s="771" t="s">
        <v>258</v>
      </c>
      <c r="EW261" s="775">
        <f t="shared" ref="EW261:EW272" si="612">EU261-CG261</f>
        <v>-864555.97095466265</v>
      </c>
      <c r="EY261" s="775">
        <v>3125281.7816227991</v>
      </c>
      <c r="FJ261" s="994">
        <v>0.15</v>
      </c>
      <c r="FK261" s="993">
        <v>13597.661476345767</v>
      </c>
      <c r="FL261" s="993">
        <v>13965.165840571328</v>
      </c>
      <c r="FM261" s="497"/>
      <c r="FN261" s="993">
        <f t="shared" si="494"/>
        <v>4536444.4395207036</v>
      </c>
      <c r="FO261" s="994">
        <f t="shared" si="553"/>
        <v>0.15</v>
      </c>
      <c r="FP261" s="775">
        <f t="shared" si="495"/>
        <v>680466.66592810547</v>
      </c>
      <c r="FQ261" s="993">
        <f t="shared" si="496"/>
        <v>30000</v>
      </c>
      <c r="FR261" s="775">
        <f t="shared" si="554"/>
        <v>650466.66592810547</v>
      </c>
      <c r="FS261" s="497">
        <f t="shared" si="555"/>
        <v>40</v>
      </c>
      <c r="FT261" s="775">
        <f t="shared" si="556"/>
        <v>16261.666648202638</v>
      </c>
      <c r="FU261" s="497"/>
      <c r="FV261" s="993">
        <f t="shared" si="557"/>
        <v>4536444.4395207036</v>
      </c>
      <c r="FW261" s="705">
        <f t="shared" si="558"/>
        <v>453644.44395207037</v>
      </c>
      <c r="FX261" s="705">
        <f t="shared" si="559"/>
        <v>113411.11098801759</v>
      </c>
      <c r="FY261" s="705">
        <v>15000</v>
      </c>
      <c r="FZ261" s="705">
        <f t="shared" si="560"/>
        <v>438644.44395207037</v>
      </c>
      <c r="GA261" s="497">
        <f t="shared" si="561"/>
        <v>46</v>
      </c>
      <c r="GB261" s="775">
        <f t="shared" si="562"/>
        <v>9535.7487815667464</v>
      </c>
      <c r="GC261" s="497"/>
      <c r="GD261" s="497"/>
      <c r="GH261" s="1095">
        <f t="shared" si="461"/>
        <v>4536444.4395207036</v>
      </c>
      <c r="GI261" s="1098">
        <f t="shared" si="462"/>
        <v>0.125</v>
      </c>
      <c r="GJ261" s="1095">
        <f t="shared" si="463"/>
        <v>567055.55494008795</v>
      </c>
      <c r="GK261" s="1095">
        <f t="shared" si="464"/>
        <v>30000</v>
      </c>
      <c r="GL261" s="1095">
        <f t="shared" si="465"/>
        <v>537055.55494008795</v>
      </c>
      <c r="GM261" s="1095">
        <f t="shared" si="466"/>
        <v>29</v>
      </c>
      <c r="GN261" s="1095">
        <f t="shared" si="467"/>
        <v>18519.157066899585</v>
      </c>
      <c r="GO261" s="1098">
        <f t="shared" si="468"/>
        <v>0.875</v>
      </c>
      <c r="GP261" s="1095">
        <f t="shared" si="469"/>
        <v>3969388.8845806159</v>
      </c>
      <c r="GQ261" s="1095">
        <f t="shared" si="470"/>
        <v>30774.629772727432</v>
      </c>
      <c r="GR261" s="1095">
        <f t="shared" si="471"/>
        <v>35677.989474684393</v>
      </c>
      <c r="GS261" s="1095">
        <f t="shared" si="472"/>
        <v>46087.970681596576</v>
      </c>
      <c r="GT261" s="1095">
        <f t="shared" si="473"/>
        <v>78598.657387437357</v>
      </c>
      <c r="GU261" s="497"/>
      <c r="GV261" s="1095">
        <f t="shared" si="563"/>
        <v>4536444.4395207036</v>
      </c>
      <c r="GW261" s="1098">
        <f t="shared" si="564"/>
        <v>0.125</v>
      </c>
      <c r="GX261" s="1095">
        <f t="shared" si="565"/>
        <v>567055.55494008795</v>
      </c>
      <c r="GY261" s="1095">
        <f t="shared" si="566"/>
        <v>30000</v>
      </c>
      <c r="GZ261" s="1095">
        <f t="shared" si="567"/>
        <v>537055.55494008795</v>
      </c>
      <c r="HA261" s="1106">
        <f t="shared" si="568"/>
        <v>48</v>
      </c>
      <c r="HB261" s="770">
        <f t="shared" si="569"/>
        <v>11188.657394585165</v>
      </c>
      <c r="HC261" s="1098">
        <f t="shared" si="570"/>
        <v>0.875</v>
      </c>
      <c r="HD261" s="1102">
        <f t="shared" si="571"/>
        <v>3969388.8845806159</v>
      </c>
      <c r="HE261" s="1101">
        <f t="shared" si="572"/>
        <v>30774.629772727432</v>
      </c>
      <c r="HF261" s="1101">
        <f t="shared" si="573"/>
        <v>35677.989474684393</v>
      </c>
      <c r="HG261" s="1101">
        <f t="shared" si="574"/>
        <v>46087.970681596576</v>
      </c>
      <c r="HH261" s="1101">
        <f t="shared" si="575"/>
        <v>78598.657387437357</v>
      </c>
      <c r="HI261" s="497"/>
      <c r="HJ261" s="1102">
        <f t="shared" si="576"/>
        <v>-7330.4996723144195</v>
      </c>
      <c r="HL261" s="775"/>
      <c r="HN261" s="775"/>
      <c r="HO261" s="775"/>
      <c r="HQ261" s="702"/>
      <c r="HR261" s="1171"/>
      <c r="HS261" s="702"/>
      <c r="HT261" s="1171"/>
    </row>
    <row r="262" spans="1:228" ht="14.25" hidden="1" customHeight="1">
      <c r="A262" s="753">
        <f t="shared" si="577"/>
        <v>256</v>
      </c>
      <c r="B262" s="753"/>
      <c r="C262" s="753">
        <f t="shared" si="610"/>
        <v>8</v>
      </c>
      <c r="D262" s="753" t="s">
        <v>284</v>
      </c>
      <c r="E262" s="717" t="str">
        <f t="shared" si="497"/>
        <v>11th Floor</v>
      </c>
      <c r="F262" s="754"/>
      <c r="G262" s="756" t="s">
        <v>703</v>
      </c>
      <c r="H262" s="756"/>
      <c r="I262" s="755" t="s">
        <v>229</v>
      </c>
      <c r="J262" s="757">
        <v>22</v>
      </c>
      <c r="K262" s="758"/>
      <c r="L262" s="759" t="s">
        <v>69</v>
      </c>
      <c r="M262" s="760" t="s">
        <v>68</v>
      </c>
      <c r="N262" s="761">
        <f t="shared" si="498"/>
        <v>106005.26567735759</v>
      </c>
      <c r="O262" s="762">
        <f t="shared" si="499"/>
        <v>2332115.8449018667</v>
      </c>
      <c r="P262" s="762">
        <f t="shared" si="500"/>
        <v>22400</v>
      </c>
      <c r="Q262" s="762">
        <f t="shared" si="474"/>
        <v>50000</v>
      </c>
      <c r="R262" s="762"/>
      <c r="S262" s="762"/>
      <c r="T262" s="762"/>
      <c r="U262" s="762"/>
      <c r="V262" s="762"/>
      <c r="W262" s="762"/>
      <c r="X262" s="762"/>
      <c r="Y262" s="762">
        <f t="shared" si="611"/>
        <v>140000</v>
      </c>
      <c r="Z262" s="762">
        <f t="shared" si="475"/>
        <v>142461</v>
      </c>
      <c r="AA262" s="762">
        <v>45722.732758620688</v>
      </c>
      <c r="AB262" s="762"/>
      <c r="AC262" s="762"/>
      <c r="AD262" s="763">
        <f t="shared" si="501"/>
        <v>400583.7327586207</v>
      </c>
      <c r="AE262" s="763">
        <f t="shared" si="476"/>
        <v>2732699.5776604875</v>
      </c>
      <c r="AF262" s="762">
        <f t="shared" si="477"/>
        <v>68317.489441512196</v>
      </c>
      <c r="AG262" s="762">
        <f t="shared" si="502"/>
        <v>2801017.0671019997</v>
      </c>
      <c r="AH262" s="762">
        <f t="shared" si="478"/>
        <v>70025.42667755</v>
      </c>
      <c r="AI262" s="762">
        <f t="shared" si="503"/>
        <v>2871042.4937795498</v>
      </c>
      <c r="AJ262" s="762">
        <f t="shared" si="504"/>
        <v>143552.12468897749</v>
      </c>
      <c r="AK262" s="762">
        <f t="shared" si="505"/>
        <v>3014594.6184685272</v>
      </c>
      <c r="AL262" s="762">
        <f t="shared" si="506"/>
        <v>30145.946184685272</v>
      </c>
      <c r="AM262" s="762">
        <f t="shared" si="507"/>
        <v>27537.409960060559</v>
      </c>
      <c r="AN262" s="762"/>
      <c r="AO262" s="763">
        <f t="shared" si="508"/>
        <v>3072277.9746132731</v>
      </c>
      <c r="AP262" s="763">
        <f t="shared" si="509"/>
        <v>506925.8658111901</v>
      </c>
      <c r="AQ262" s="763">
        <f t="shared" si="510"/>
        <v>3579203.8404244632</v>
      </c>
      <c r="AR262" s="1178">
        <f t="shared" si="479"/>
        <v>3000000</v>
      </c>
      <c r="AS262" s="1178">
        <f t="shared" si="511"/>
        <v>26327.447292021054</v>
      </c>
      <c r="AT262" s="1178">
        <f t="shared" si="512"/>
        <v>579203.84042446315</v>
      </c>
      <c r="AU262" s="1178">
        <f t="shared" si="480"/>
        <v>69504.460850935575</v>
      </c>
      <c r="AV262" s="1178">
        <f t="shared" si="513"/>
        <v>648708.3012753987</v>
      </c>
      <c r="AW262" s="1178">
        <f t="shared" si="514"/>
        <v>3648708.3012753986</v>
      </c>
      <c r="AX262" s="762">
        <f t="shared" si="515"/>
        <v>45608.853765942484</v>
      </c>
      <c r="AY262" s="717" t="s">
        <v>231</v>
      </c>
      <c r="AZ262" s="717">
        <f t="shared" si="516"/>
        <v>3694317.1550413412</v>
      </c>
      <c r="BA262" s="717">
        <f t="shared" si="517"/>
        <v>138536.89331405028</v>
      </c>
      <c r="BB262" s="717"/>
      <c r="BC262" s="717">
        <f t="shared" si="481"/>
        <v>33600</v>
      </c>
      <c r="BD262" s="717">
        <f t="shared" si="518"/>
        <v>3866454.0483553912</v>
      </c>
      <c r="BE262" s="717"/>
      <c r="BF262" s="717">
        <f t="shared" si="519"/>
        <v>3866454.0483553912</v>
      </c>
      <c r="BG262" s="1209"/>
      <c r="BH262" s="717">
        <f t="shared" si="520"/>
        <v>3866454.0483553912</v>
      </c>
      <c r="BI262" s="717"/>
      <c r="BJ262" s="717">
        <f t="shared" si="521"/>
        <v>3866454.0483553912</v>
      </c>
      <c r="BK262" s="717"/>
      <c r="BL262" s="717">
        <f t="shared" si="522"/>
        <v>3866454.0483553912</v>
      </c>
      <c r="BM262" s="717"/>
      <c r="BN262" s="717">
        <f t="shared" si="523"/>
        <v>3866454.0483553912</v>
      </c>
      <c r="BO262" s="717"/>
      <c r="BP262" s="717">
        <f t="shared" si="482"/>
        <v>3866454.0483553912</v>
      </c>
      <c r="BQ262" s="717"/>
      <c r="BR262" s="717">
        <f t="shared" si="584"/>
        <v>3866454.0483553912</v>
      </c>
      <c r="BS262" s="717"/>
      <c r="BT262" s="717">
        <f t="shared" si="524"/>
        <v>3866454.0483553912</v>
      </c>
      <c r="BU262" s="717"/>
      <c r="BV262" s="1235">
        <f t="shared" si="585"/>
        <v>51400</v>
      </c>
      <c r="BW262" s="717">
        <f t="shared" si="525"/>
        <v>3917854.0483553912</v>
      </c>
      <c r="BX262" s="717"/>
      <c r="BY262" s="717">
        <f t="shared" si="526"/>
        <v>3917854.0483553912</v>
      </c>
      <c r="BZ262" s="1194">
        <f t="shared" si="527"/>
        <v>3917854.0483553912</v>
      </c>
      <c r="CA262" s="1194">
        <f t="shared" si="528"/>
        <v>3037854.0483553912</v>
      </c>
      <c r="CB262" s="1194">
        <v>40000</v>
      </c>
      <c r="CC262" s="1194">
        <f t="shared" si="529"/>
        <v>880000</v>
      </c>
      <c r="CD262" s="1194">
        <f t="shared" si="530"/>
        <v>105600</v>
      </c>
      <c r="CE262" s="1194">
        <f t="shared" si="531"/>
        <v>985600</v>
      </c>
      <c r="CF262" s="1200">
        <f t="shared" si="532"/>
        <v>4023454.0483553912</v>
      </c>
      <c r="CG262" s="757">
        <f t="shared" si="533"/>
        <v>4023454.0483553912</v>
      </c>
      <c r="CH262" s="758">
        <f t="shared" si="534"/>
        <v>0</v>
      </c>
      <c r="CI262" s="757">
        <f t="shared" si="483"/>
        <v>412404.03995642759</v>
      </c>
      <c r="CJ262" s="757">
        <f t="shared" si="484"/>
        <v>100586.35120888479</v>
      </c>
      <c r="CK262" s="759">
        <f t="shared" si="593"/>
        <v>4536444.4395207036</v>
      </c>
      <c r="CL262" s="764">
        <f t="shared" si="535"/>
        <v>0.125</v>
      </c>
      <c r="CM262" s="757">
        <f t="shared" si="536"/>
        <v>567055.55494008795</v>
      </c>
      <c r="CN262" s="757">
        <f t="shared" si="578"/>
        <v>30000</v>
      </c>
      <c r="CO262" s="757">
        <f t="shared" si="537"/>
        <v>537055.55494008795</v>
      </c>
      <c r="CP262" s="755">
        <f t="shared" si="538"/>
        <v>29</v>
      </c>
      <c r="CQ262" s="757">
        <f t="shared" si="581"/>
        <v>18519.157066899585</v>
      </c>
      <c r="CR262" s="764">
        <f t="shared" si="539"/>
        <v>0.875</v>
      </c>
      <c r="CS262" s="757">
        <f t="shared" si="540"/>
        <v>3969388.8845806159</v>
      </c>
      <c r="CT262" s="1101">
        <f t="shared" si="541"/>
        <v>30774.629772727432</v>
      </c>
      <c r="CU262" s="1101">
        <f t="shared" si="542"/>
        <v>35677.989474684393</v>
      </c>
      <c r="CV262" s="1101">
        <f t="shared" si="543"/>
        <v>46087.970681596576</v>
      </c>
      <c r="CW262" s="1141">
        <f t="shared" si="485"/>
        <v>78598.657387437357</v>
      </c>
      <c r="CX262" s="1152">
        <f t="shared" si="544"/>
        <v>322446.07585375861</v>
      </c>
      <c r="CY262" s="1152">
        <f t="shared" si="545"/>
        <v>127590.3414903167</v>
      </c>
      <c r="CZ262" s="1152">
        <f t="shared" si="546"/>
        <v>92156.696571619919</v>
      </c>
      <c r="DA262" s="1152">
        <f t="shared" si="547"/>
        <v>70135.488766187846</v>
      </c>
      <c r="DB262" s="1143">
        <f t="shared" si="486"/>
        <v>0.19306794680815439</v>
      </c>
      <c r="DC262" s="1143">
        <f t="shared" si="548"/>
        <v>0.32443954986368623</v>
      </c>
      <c r="DD262" s="1098" t="s">
        <v>232</v>
      </c>
      <c r="DE262" s="1144"/>
      <c r="DF262" s="705"/>
      <c r="DG262" s="765">
        <f t="shared" si="579"/>
        <v>46082</v>
      </c>
      <c r="DH262" s="1116">
        <f t="shared" si="487"/>
        <v>28</v>
      </c>
      <c r="DI262" s="497"/>
      <c r="DJ262" s="1117">
        <f t="shared" si="549"/>
        <v>46147</v>
      </c>
      <c r="DK262" s="1116">
        <f t="shared" si="550"/>
        <v>30</v>
      </c>
      <c r="DL262" s="766" t="s">
        <v>233</v>
      </c>
      <c r="DM262" s="766" t="s">
        <v>234</v>
      </c>
      <c r="DN262" s="767">
        <f t="shared" si="488"/>
        <v>29486.740967063579</v>
      </c>
      <c r="DO262" s="767">
        <f t="shared" si="489"/>
        <v>648708.3012753987</v>
      </c>
      <c r="DP262" s="768">
        <f t="shared" si="490"/>
        <v>0.21623610042513289</v>
      </c>
      <c r="DR262" s="767">
        <f t="shared" si="491"/>
        <v>4023454.0483553912</v>
      </c>
      <c r="DS262" s="767">
        <f>SUM('[6]INTERNAL PRICELIST'!M262)</f>
        <v>0</v>
      </c>
      <c r="DT262" s="767">
        <f t="shared" si="551"/>
        <v>4023454.0483553912</v>
      </c>
      <c r="DV262" s="951">
        <f t="shared" si="492"/>
        <v>182884.27492524506</v>
      </c>
      <c r="DX262" s="781"/>
      <c r="DY262" s="782"/>
      <c r="DZ262" s="781"/>
      <c r="EA262" s="775"/>
      <c r="ED262" s="755" t="s">
        <v>703</v>
      </c>
      <c r="EE262" s="777" t="b">
        <f t="shared" si="493"/>
        <v>1</v>
      </c>
      <c r="EF262" s="777"/>
      <c r="EG262" s="777"/>
      <c r="EH262" s="1203"/>
      <c r="EP262" s="1230" t="s">
        <v>236</v>
      </c>
      <c r="EQ262" s="1145" t="s">
        <v>236</v>
      </c>
      <c r="ER262" s="753" t="b">
        <f t="shared" si="552"/>
        <v>1</v>
      </c>
      <c r="EU262" s="770">
        <v>3158898.0774007286</v>
      </c>
      <c r="EV262" s="771" t="s">
        <v>258</v>
      </c>
      <c r="EW262" s="775">
        <f t="shared" si="612"/>
        <v>-864555.97095466265</v>
      </c>
      <c r="EY262" s="775">
        <v>3125281.7816227991</v>
      </c>
      <c r="FJ262" s="994">
        <v>0.15</v>
      </c>
      <c r="FK262" s="993">
        <v>13597.661476345767</v>
      </c>
      <c r="FL262" s="993">
        <v>13965.165840571328</v>
      </c>
      <c r="FM262" s="497"/>
      <c r="FN262" s="993">
        <f t="shared" si="494"/>
        <v>4536444.4395207036</v>
      </c>
      <c r="FO262" s="994">
        <f t="shared" si="553"/>
        <v>0.15</v>
      </c>
      <c r="FP262" s="775">
        <f t="shared" si="495"/>
        <v>680466.66592810547</v>
      </c>
      <c r="FQ262" s="993">
        <f t="shared" si="496"/>
        <v>30000</v>
      </c>
      <c r="FR262" s="775">
        <f t="shared" si="554"/>
        <v>650466.66592810547</v>
      </c>
      <c r="FS262" s="497">
        <f t="shared" si="555"/>
        <v>40</v>
      </c>
      <c r="FT262" s="775">
        <f t="shared" si="556"/>
        <v>16261.666648202638</v>
      </c>
      <c r="FU262" s="497"/>
      <c r="FV262" s="993">
        <f t="shared" si="557"/>
        <v>4536444.4395207036</v>
      </c>
      <c r="FW262" s="705">
        <f t="shared" si="558"/>
        <v>453644.44395207037</v>
      </c>
      <c r="FX262" s="705">
        <f t="shared" si="559"/>
        <v>113411.11098801759</v>
      </c>
      <c r="FY262" s="705">
        <v>15000</v>
      </c>
      <c r="FZ262" s="705">
        <f t="shared" si="560"/>
        <v>438644.44395207037</v>
      </c>
      <c r="GA262" s="497">
        <f t="shared" si="561"/>
        <v>46</v>
      </c>
      <c r="GB262" s="775">
        <f t="shared" si="562"/>
        <v>9535.7487815667464</v>
      </c>
      <c r="GC262" s="497"/>
      <c r="GD262" s="497"/>
      <c r="GH262" s="1095">
        <f t="shared" ref="GH262:GH325" si="613">CK262</f>
        <v>4536444.4395207036</v>
      </c>
      <c r="GI262" s="1098">
        <f t="shared" ref="GI262:GI325" si="614">CL262</f>
        <v>0.125</v>
      </c>
      <c r="GJ262" s="1095">
        <f t="shared" ref="GJ262:GJ325" si="615">CM262</f>
        <v>567055.55494008795</v>
      </c>
      <c r="GK262" s="1095">
        <f t="shared" ref="GK262:GK325" si="616">CN262</f>
        <v>30000</v>
      </c>
      <c r="GL262" s="1095">
        <f t="shared" ref="GL262:GL325" si="617">CO262</f>
        <v>537055.55494008795</v>
      </c>
      <c r="GM262" s="1095">
        <f t="shared" ref="GM262:GM325" si="618">CP262</f>
        <v>29</v>
      </c>
      <c r="GN262" s="1095">
        <f t="shared" ref="GN262:GN325" si="619">CQ262</f>
        <v>18519.157066899585</v>
      </c>
      <c r="GO262" s="1098">
        <f t="shared" ref="GO262:GO325" si="620">CR262</f>
        <v>0.875</v>
      </c>
      <c r="GP262" s="1095">
        <f t="shared" ref="GP262:GP325" si="621">CS262</f>
        <v>3969388.8845806159</v>
      </c>
      <c r="GQ262" s="1095">
        <f t="shared" ref="GQ262:GQ325" si="622">CT262</f>
        <v>30774.629772727432</v>
      </c>
      <c r="GR262" s="1095">
        <f t="shared" ref="GR262:GR325" si="623">CU262</f>
        <v>35677.989474684393</v>
      </c>
      <c r="GS262" s="1095">
        <f t="shared" ref="GS262:GS325" si="624">CV262</f>
        <v>46087.970681596576</v>
      </c>
      <c r="GT262" s="1095">
        <f t="shared" ref="GT262:GT325" si="625">CW262</f>
        <v>78598.657387437357</v>
      </c>
      <c r="GU262" s="497"/>
      <c r="GV262" s="1095">
        <f t="shared" si="563"/>
        <v>4536444.4395207036</v>
      </c>
      <c r="GW262" s="1098">
        <f t="shared" si="564"/>
        <v>0.125</v>
      </c>
      <c r="GX262" s="1095">
        <f t="shared" si="565"/>
        <v>567055.55494008795</v>
      </c>
      <c r="GY262" s="1095">
        <f t="shared" si="566"/>
        <v>30000</v>
      </c>
      <c r="GZ262" s="1095">
        <f t="shared" si="567"/>
        <v>537055.55494008795</v>
      </c>
      <c r="HA262" s="1106">
        <f t="shared" si="568"/>
        <v>48</v>
      </c>
      <c r="HB262" s="770">
        <f t="shared" si="569"/>
        <v>11188.657394585165</v>
      </c>
      <c r="HC262" s="1098">
        <f t="shared" si="570"/>
        <v>0.875</v>
      </c>
      <c r="HD262" s="1102">
        <f t="shared" si="571"/>
        <v>3969388.8845806159</v>
      </c>
      <c r="HE262" s="1101">
        <f t="shared" si="572"/>
        <v>30774.629772727432</v>
      </c>
      <c r="HF262" s="1101">
        <f t="shared" si="573"/>
        <v>35677.989474684393</v>
      </c>
      <c r="HG262" s="1101">
        <f t="shared" si="574"/>
        <v>46087.970681596576</v>
      </c>
      <c r="HH262" s="1101">
        <f t="shared" si="575"/>
        <v>78598.657387437357</v>
      </c>
      <c r="HI262" s="497"/>
      <c r="HJ262" s="1102">
        <f t="shared" si="576"/>
        <v>-7330.4996723144195</v>
      </c>
      <c r="HL262" s="775"/>
      <c r="HN262" s="775"/>
      <c r="HO262" s="775"/>
      <c r="HQ262" s="702"/>
      <c r="HR262" s="1171"/>
      <c r="HS262" s="702"/>
      <c r="HT262" s="1171"/>
    </row>
    <row r="263" spans="1:228" ht="14.25" hidden="1" customHeight="1">
      <c r="A263" s="753">
        <f t="shared" si="577"/>
        <v>257</v>
      </c>
      <c r="B263" s="753" t="s">
        <v>236</v>
      </c>
      <c r="C263" s="753">
        <f t="shared" si="610"/>
        <v>9</v>
      </c>
      <c r="D263" s="753" t="s">
        <v>284</v>
      </c>
      <c r="E263" s="717" t="str">
        <f t="shared" si="497"/>
        <v>11th Floor</v>
      </c>
      <c r="F263" s="754"/>
      <c r="G263" s="756" t="s">
        <v>704</v>
      </c>
      <c r="H263" s="756"/>
      <c r="I263" s="755" t="s">
        <v>229</v>
      </c>
      <c r="J263" s="757">
        <v>22</v>
      </c>
      <c r="K263" s="758"/>
      <c r="L263" s="759" t="s">
        <v>69</v>
      </c>
      <c r="M263" s="760" t="s">
        <v>68</v>
      </c>
      <c r="N263" s="761">
        <f t="shared" si="498"/>
        <v>106005.26567735759</v>
      </c>
      <c r="O263" s="762">
        <f t="shared" si="499"/>
        <v>2332115.8449018667</v>
      </c>
      <c r="P263" s="762">
        <f t="shared" si="500"/>
        <v>22400</v>
      </c>
      <c r="Q263" s="762">
        <f t="shared" ref="Q263:Q326" si="626">$Q$5</f>
        <v>50000</v>
      </c>
      <c r="R263" s="762"/>
      <c r="S263" s="762"/>
      <c r="T263" s="762"/>
      <c r="U263" s="762"/>
      <c r="V263" s="762"/>
      <c r="W263" s="762"/>
      <c r="X263" s="762"/>
      <c r="Y263" s="762">
        <f t="shared" si="611"/>
        <v>140000</v>
      </c>
      <c r="Z263" s="762">
        <f t="shared" ref="Z263:Z326" si="627">$Z$5</f>
        <v>142461</v>
      </c>
      <c r="AA263" s="762">
        <v>45722.732758620688</v>
      </c>
      <c r="AB263" s="762"/>
      <c r="AC263" s="762"/>
      <c r="AD263" s="763">
        <f t="shared" si="501"/>
        <v>400583.7327586207</v>
      </c>
      <c r="AE263" s="763">
        <f t="shared" ref="AE263:AE326" si="628">O263+AD263</f>
        <v>2732699.5776604875</v>
      </c>
      <c r="AF263" s="762">
        <f t="shared" ref="AF263:AF326" si="629">AE263*$AF$5</f>
        <v>68317.489441512196</v>
      </c>
      <c r="AG263" s="762">
        <f t="shared" si="502"/>
        <v>2801017.0671019997</v>
      </c>
      <c r="AH263" s="762">
        <f t="shared" ref="AH263:AH326" si="630">AG263*$AH$5</f>
        <v>70025.42667755</v>
      </c>
      <c r="AI263" s="762">
        <f t="shared" si="503"/>
        <v>2871042.4937795498</v>
      </c>
      <c r="AJ263" s="762">
        <f t="shared" si="504"/>
        <v>143552.12468897749</v>
      </c>
      <c r="AK263" s="762">
        <f t="shared" si="505"/>
        <v>3014594.6184685272</v>
      </c>
      <c r="AL263" s="762">
        <f t="shared" si="506"/>
        <v>30145.946184685272</v>
      </c>
      <c r="AM263" s="762">
        <f t="shared" si="507"/>
        <v>27537.409960060559</v>
      </c>
      <c r="AN263" s="762"/>
      <c r="AO263" s="763">
        <f t="shared" si="508"/>
        <v>3072277.9746132731</v>
      </c>
      <c r="AP263" s="763">
        <f t="shared" si="509"/>
        <v>506925.8658111901</v>
      </c>
      <c r="AQ263" s="763">
        <f t="shared" si="510"/>
        <v>3579203.8404244632</v>
      </c>
      <c r="AR263" s="1178">
        <f t="shared" ref="AR263:AR326" si="631">$AR$5</f>
        <v>3000000</v>
      </c>
      <c r="AS263" s="1178">
        <f t="shared" si="511"/>
        <v>26327.447292021054</v>
      </c>
      <c r="AT263" s="1178">
        <f t="shared" si="512"/>
        <v>579203.84042446315</v>
      </c>
      <c r="AU263" s="1178">
        <f t="shared" ref="AU263:AU326" si="632">AT263*$AU$5</f>
        <v>69504.460850935575</v>
      </c>
      <c r="AV263" s="1178">
        <f t="shared" si="513"/>
        <v>648708.3012753987</v>
      </c>
      <c r="AW263" s="1178">
        <f t="shared" si="514"/>
        <v>3648708.3012753986</v>
      </c>
      <c r="AX263" s="762">
        <f t="shared" si="515"/>
        <v>45608.853765942484</v>
      </c>
      <c r="AY263" s="717" t="s">
        <v>231</v>
      </c>
      <c r="AZ263" s="717">
        <f t="shared" si="516"/>
        <v>3694317.1550413412</v>
      </c>
      <c r="BA263" s="717">
        <f t="shared" si="517"/>
        <v>138536.89331405028</v>
      </c>
      <c r="BB263" s="717"/>
      <c r="BC263" s="717">
        <f t="shared" ref="BC263:BC326" si="633">$BC$5*1.12</f>
        <v>33600</v>
      </c>
      <c r="BD263" s="717">
        <f t="shared" si="518"/>
        <v>3866454.0483553912</v>
      </c>
      <c r="BE263" s="717"/>
      <c r="BF263" s="717">
        <f t="shared" si="519"/>
        <v>3866454.0483553912</v>
      </c>
      <c r="BG263" s="1209"/>
      <c r="BH263" s="717">
        <f t="shared" si="520"/>
        <v>3866454.0483553912</v>
      </c>
      <c r="BI263" s="717"/>
      <c r="BJ263" s="717">
        <f t="shared" si="521"/>
        <v>3866454.0483553912</v>
      </c>
      <c r="BK263" s="717"/>
      <c r="BL263" s="717">
        <f t="shared" si="522"/>
        <v>3866454.0483553912</v>
      </c>
      <c r="BM263" s="717"/>
      <c r="BN263" s="717">
        <f t="shared" si="523"/>
        <v>3866454.0483553912</v>
      </c>
      <c r="BO263" s="717"/>
      <c r="BP263" s="717">
        <f t="shared" ref="BP263:BP326" si="634">BN263+BO263</f>
        <v>3866454.0483553912</v>
      </c>
      <c r="BQ263" s="717"/>
      <c r="BR263" s="717">
        <f t="shared" si="584"/>
        <v>3866454.0483553912</v>
      </c>
      <c r="BS263" s="717"/>
      <c r="BT263" s="717">
        <f t="shared" si="524"/>
        <v>3866454.0483553912</v>
      </c>
      <c r="BU263" s="717"/>
      <c r="BV263" s="1235">
        <f t="shared" si="585"/>
        <v>51400</v>
      </c>
      <c r="BW263" s="717">
        <f t="shared" si="525"/>
        <v>3917854.0483553912</v>
      </c>
      <c r="BX263" s="717"/>
      <c r="BY263" s="717">
        <f t="shared" si="526"/>
        <v>3917854.0483553912</v>
      </c>
      <c r="BZ263" s="1194">
        <f t="shared" si="527"/>
        <v>3917854.0483553912</v>
      </c>
      <c r="CA263" s="1194">
        <f t="shared" si="528"/>
        <v>3037854.0483553912</v>
      </c>
      <c r="CB263" s="1194">
        <v>40000</v>
      </c>
      <c r="CC263" s="1194">
        <f t="shared" si="529"/>
        <v>880000</v>
      </c>
      <c r="CD263" s="1194">
        <f t="shared" si="530"/>
        <v>105600</v>
      </c>
      <c r="CE263" s="1194">
        <f t="shared" si="531"/>
        <v>985600</v>
      </c>
      <c r="CF263" s="1200">
        <f t="shared" si="532"/>
        <v>4023454.0483553912</v>
      </c>
      <c r="CG263" s="757">
        <f t="shared" si="533"/>
        <v>4023454.0483553912</v>
      </c>
      <c r="CH263" s="758">
        <f t="shared" si="534"/>
        <v>0</v>
      </c>
      <c r="CI263" s="757">
        <f t="shared" ref="CI263:CI326" si="635">CG263*CI$5</f>
        <v>412404.03995642759</v>
      </c>
      <c r="CJ263" s="757">
        <f t="shared" ref="CJ263:CJ326" si="636">CG263*CJ$5</f>
        <v>100586.35120888479</v>
      </c>
      <c r="CK263" s="759">
        <f t="shared" si="593"/>
        <v>4536444.4395207036</v>
      </c>
      <c r="CL263" s="764">
        <f t="shared" si="535"/>
        <v>0.125</v>
      </c>
      <c r="CM263" s="757">
        <f t="shared" si="536"/>
        <v>567055.55494008795</v>
      </c>
      <c r="CN263" s="757">
        <f t="shared" si="578"/>
        <v>30000</v>
      </c>
      <c r="CO263" s="757">
        <f t="shared" si="537"/>
        <v>537055.55494008795</v>
      </c>
      <c r="CP263" s="755">
        <f t="shared" si="538"/>
        <v>29</v>
      </c>
      <c r="CQ263" s="757">
        <f t="shared" si="581"/>
        <v>18519.157066899585</v>
      </c>
      <c r="CR263" s="764">
        <f t="shared" si="539"/>
        <v>0.875</v>
      </c>
      <c r="CS263" s="757">
        <f t="shared" si="540"/>
        <v>3969388.8845806159</v>
      </c>
      <c r="CT263" s="1101">
        <f t="shared" si="541"/>
        <v>30774.629772727432</v>
      </c>
      <c r="CU263" s="1101">
        <f t="shared" si="542"/>
        <v>35677.989474684393</v>
      </c>
      <c r="CV263" s="1101">
        <f t="shared" si="543"/>
        <v>46087.970681596576</v>
      </c>
      <c r="CW263" s="1141">
        <f t="shared" ref="CW263:CW326" si="637">-PMT($CT$5/12,60,CS263,0)</f>
        <v>78598.657387437357</v>
      </c>
      <c r="CX263" s="1152">
        <f t="shared" si="544"/>
        <v>322446.07585375861</v>
      </c>
      <c r="CY263" s="1152">
        <f t="shared" si="545"/>
        <v>127590.3414903167</v>
      </c>
      <c r="CZ263" s="1152">
        <f t="shared" si="546"/>
        <v>92156.696571619919</v>
      </c>
      <c r="DA263" s="1152">
        <f t="shared" si="547"/>
        <v>70135.488766187846</v>
      </c>
      <c r="DB263" s="1143">
        <f t="shared" ref="DB263:DB326" si="638">AT263/AR263</f>
        <v>0.19306794680815439</v>
      </c>
      <c r="DC263" s="1143">
        <f t="shared" si="548"/>
        <v>0.32443954986368623</v>
      </c>
      <c r="DD263" s="1098" t="s">
        <v>232</v>
      </c>
      <c r="DE263" s="1144"/>
      <c r="DF263" s="705"/>
      <c r="DG263" s="765">
        <f t="shared" si="579"/>
        <v>46082</v>
      </c>
      <c r="DH263" s="1116">
        <f t="shared" ref="DH263:DH326" si="639">(YEAR(DG263)-YEAR($DH$5))*12+MONTH(DG263)-MONTH($DH$5)</f>
        <v>28</v>
      </c>
      <c r="DI263" s="497"/>
      <c r="DJ263" s="1117">
        <f t="shared" si="549"/>
        <v>46147</v>
      </c>
      <c r="DK263" s="1116">
        <f t="shared" si="550"/>
        <v>30</v>
      </c>
      <c r="DL263" s="766" t="s">
        <v>233</v>
      </c>
      <c r="DM263" s="766" t="s">
        <v>234</v>
      </c>
      <c r="DN263" s="767">
        <f t="shared" ref="DN263:DN326" si="640">DO263/J263</f>
        <v>29486.740967063579</v>
      </c>
      <c r="DO263" s="767">
        <f t="shared" ref="DO263:DO326" si="641">AV263</f>
        <v>648708.3012753987</v>
      </c>
      <c r="DP263" s="768">
        <f t="shared" ref="DP263:DP326" si="642">AV263/AR263</f>
        <v>0.21623610042513289</v>
      </c>
      <c r="DR263" s="767">
        <f t="shared" ref="DR263:DR326" si="643">CG263</f>
        <v>4023454.0483553912</v>
      </c>
      <c r="DS263" s="767">
        <f>SUM('[6]INTERNAL PRICELIST'!M263)</f>
        <v>0</v>
      </c>
      <c r="DT263" s="767">
        <f t="shared" si="551"/>
        <v>4023454.0483553912</v>
      </c>
      <c r="DV263" s="951">
        <f t="shared" ref="DV263:DV326" si="644">DR263/J263</f>
        <v>182884.27492524506</v>
      </c>
      <c r="DX263" s="781"/>
      <c r="DY263" s="782"/>
      <c r="DZ263" s="781"/>
      <c r="EA263" s="775"/>
      <c r="ED263" s="755" t="s">
        <v>704</v>
      </c>
      <c r="EE263" s="777" t="b">
        <f t="shared" ref="EE263:EE326" si="645">G263=ED263</f>
        <v>1</v>
      </c>
      <c r="EF263" s="1123" t="s">
        <v>705</v>
      </c>
      <c r="EG263" s="1123" t="s">
        <v>697</v>
      </c>
      <c r="EH263" s="1203"/>
      <c r="EP263" s="1230" t="s">
        <v>236</v>
      </c>
      <c r="EQ263" s="1145" t="s">
        <v>236</v>
      </c>
      <c r="ER263" s="753" t="b">
        <f t="shared" si="552"/>
        <v>1</v>
      </c>
      <c r="EU263" s="770">
        <v>3158898.0774007286</v>
      </c>
      <c r="EV263" s="771" t="s">
        <v>258</v>
      </c>
      <c r="EW263" s="775">
        <f t="shared" si="612"/>
        <v>-864555.97095466265</v>
      </c>
      <c r="EY263" s="775">
        <v>3125281.7816227991</v>
      </c>
      <c r="FJ263" s="994">
        <v>0.15</v>
      </c>
      <c r="FK263" s="993">
        <v>13597.661476345767</v>
      </c>
      <c r="FL263" s="993">
        <v>13965.165840571328</v>
      </c>
      <c r="FM263" s="497"/>
      <c r="FN263" s="993">
        <f t="shared" ref="FN263:FN326" si="646">CK263</f>
        <v>4536444.4395207036</v>
      </c>
      <c r="FO263" s="994">
        <f t="shared" si="553"/>
        <v>0.15</v>
      </c>
      <c r="FP263" s="775">
        <f t="shared" ref="FP263:FP326" si="647">FN263*FO263</f>
        <v>680466.66592810547</v>
      </c>
      <c r="FQ263" s="993">
        <f t="shared" ref="FQ263:FQ326" si="648">CN263</f>
        <v>30000</v>
      </c>
      <c r="FR263" s="775">
        <f t="shared" si="554"/>
        <v>650466.66592810547</v>
      </c>
      <c r="FS263" s="497">
        <f t="shared" si="555"/>
        <v>40</v>
      </c>
      <c r="FT263" s="775">
        <f t="shared" si="556"/>
        <v>16261.666648202638</v>
      </c>
      <c r="FU263" s="497"/>
      <c r="FV263" s="993">
        <f t="shared" si="557"/>
        <v>4536444.4395207036</v>
      </c>
      <c r="FW263" s="705">
        <f t="shared" si="558"/>
        <v>453644.44395207037</v>
      </c>
      <c r="FX263" s="705">
        <f t="shared" si="559"/>
        <v>113411.11098801759</v>
      </c>
      <c r="FY263" s="705">
        <v>15000</v>
      </c>
      <c r="FZ263" s="705">
        <f t="shared" si="560"/>
        <v>438644.44395207037</v>
      </c>
      <c r="GA263" s="497">
        <f t="shared" si="561"/>
        <v>46</v>
      </c>
      <c r="GB263" s="775">
        <f t="shared" si="562"/>
        <v>9535.7487815667464</v>
      </c>
      <c r="GC263" s="497"/>
      <c r="GD263" s="497"/>
      <c r="GH263" s="1095">
        <f t="shared" si="613"/>
        <v>4536444.4395207036</v>
      </c>
      <c r="GI263" s="1098">
        <f t="shared" si="614"/>
        <v>0.125</v>
      </c>
      <c r="GJ263" s="1095">
        <f t="shared" si="615"/>
        <v>567055.55494008795</v>
      </c>
      <c r="GK263" s="1095">
        <f t="shared" si="616"/>
        <v>30000</v>
      </c>
      <c r="GL263" s="1095">
        <f t="shared" si="617"/>
        <v>537055.55494008795</v>
      </c>
      <c r="GM263" s="1095">
        <f t="shared" si="618"/>
        <v>29</v>
      </c>
      <c r="GN263" s="1095">
        <f t="shared" si="619"/>
        <v>18519.157066899585</v>
      </c>
      <c r="GO263" s="1098">
        <f t="shared" si="620"/>
        <v>0.875</v>
      </c>
      <c r="GP263" s="1095">
        <f t="shared" si="621"/>
        <v>3969388.8845806159</v>
      </c>
      <c r="GQ263" s="1095">
        <f t="shared" si="622"/>
        <v>30774.629772727432</v>
      </c>
      <c r="GR263" s="1095">
        <f t="shared" si="623"/>
        <v>35677.989474684393</v>
      </c>
      <c r="GS263" s="1095">
        <f t="shared" si="624"/>
        <v>46087.970681596576</v>
      </c>
      <c r="GT263" s="1095">
        <f t="shared" si="625"/>
        <v>78598.657387437357</v>
      </c>
      <c r="GU263" s="497"/>
      <c r="GV263" s="1095">
        <f t="shared" si="563"/>
        <v>4536444.4395207036</v>
      </c>
      <c r="GW263" s="1098">
        <f t="shared" si="564"/>
        <v>0.125</v>
      </c>
      <c r="GX263" s="1095">
        <f t="shared" si="565"/>
        <v>567055.55494008795</v>
      </c>
      <c r="GY263" s="1095">
        <f t="shared" si="566"/>
        <v>30000</v>
      </c>
      <c r="GZ263" s="1095">
        <f t="shared" si="567"/>
        <v>537055.55494008795</v>
      </c>
      <c r="HA263" s="1106">
        <f t="shared" si="568"/>
        <v>48</v>
      </c>
      <c r="HB263" s="770">
        <f t="shared" si="569"/>
        <v>11188.657394585165</v>
      </c>
      <c r="HC263" s="1098">
        <f t="shared" si="570"/>
        <v>0.875</v>
      </c>
      <c r="HD263" s="1102">
        <f t="shared" si="571"/>
        <v>3969388.8845806159</v>
      </c>
      <c r="HE263" s="1101">
        <f t="shared" si="572"/>
        <v>30774.629772727432</v>
      </c>
      <c r="HF263" s="1101">
        <f t="shared" si="573"/>
        <v>35677.989474684393</v>
      </c>
      <c r="HG263" s="1101">
        <f t="shared" si="574"/>
        <v>46087.970681596576</v>
      </c>
      <c r="HH263" s="1101">
        <f t="shared" si="575"/>
        <v>78598.657387437357</v>
      </c>
      <c r="HI263" s="497"/>
      <c r="HJ263" s="1102">
        <f t="shared" si="576"/>
        <v>-7330.4996723144195</v>
      </c>
      <c r="HL263" s="775"/>
      <c r="HN263" s="775"/>
      <c r="HO263" s="775"/>
      <c r="HQ263" s="702"/>
      <c r="HR263" s="1171"/>
      <c r="HS263" s="702"/>
      <c r="HT263" s="1171"/>
    </row>
    <row r="264" spans="1:228" ht="14.25" hidden="1" customHeight="1">
      <c r="A264" s="753">
        <f t="shared" si="577"/>
        <v>258</v>
      </c>
      <c r="B264" s="753"/>
      <c r="C264" s="753">
        <f t="shared" si="610"/>
        <v>10</v>
      </c>
      <c r="D264" s="753" t="s">
        <v>284</v>
      </c>
      <c r="E264" s="717" t="str">
        <f t="shared" ref="E264:E316" si="649">D264</f>
        <v>11th Floor</v>
      </c>
      <c r="F264" s="754"/>
      <c r="G264" s="756" t="s">
        <v>706</v>
      </c>
      <c r="H264" s="756"/>
      <c r="I264" s="755" t="s">
        <v>229</v>
      </c>
      <c r="J264" s="757">
        <v>22</v>
      </c>
      <c r="K264" s="758"/>
      <c r="L264" s="759" t="s">
        <v>277</v>
      </c>
      <c r="M264" s="760" t="s">
        <v>278</v>
      </c>
      <c r="N264" s="761">
        <f t="shared" ref="N264:N327" si="650">$N$5</f>
        <v>106005.26567735759</v>
      </c>
      <c r="O264" s="762">
        <f t="shared" ref="O264:O327" si="651">J264*N264</f>
        <v>2332115.8449018667</v>
      </c>
      <c r="P264" s="762">
        <f t="shared" ref="P264:P327" si="652">$P$7</f>
        <v>22400</v>
      </c>
      <c r="Q264" s="762">
        <f t="shared" si="626"/>
        <v>50000</v>
      </c>
      <c r="R264" s="762"/>
      <c r="S264" s="762"/>
      <c r="T264" s="762"/>
      <c r="U264" s="762"/>
      <c r="V264" s="762"/>
      <c r="W264" s="762">
        <f>J264*$W$5</f>
        <v>22000</v>
      </c>
      <c r="X264" s="762"/>
      <c r="Y264" s="762">
        <f t="shared" si="611"/>
        <v>140000</v>
      </c>
      <c r="Z264" s="762">
        <f t="shared" si="627"/>
        <v>142461</v>
      </c>
      <c r="AA264" s="762">
        <v>45722.732758620688</v>
      </c>
      <c r="AB264" s="762"/>
      <c r="AC264" s="762"/>
      <c r="AD264" s="763">
        <f t="shared" ref="AD264:AD327" si="653">SUM(P264:AC264)</f>
        <v>422583.7327586207</v>
      </c>
      <c r="AE264" s="763">
        <f t="shared" si="628"/>
        <v>2754699.5776604875</v>
      </c>
      <c r="AF264" s="762">
        <f t="shared" si="629"/>
        <v>68867.489441512196</v>
      </c>
      <c r="AG264" s="762">
        <f t="shared" ref="AG264:AG327" si="654">AE264+AF264</f>
        <v>2823567.0671019997</v>
      </c>
      <c r="AH264" s="762">
        <f t="shared" si="630"/>
        <v>70589.17667755</v>
      </c>
      <c r="AI264" s="762">
        <f t="shared" ref="AI264:AI327" si="655">AG264+AH264</f>
        <v>2894156.2437795498</v>
      </c>
      <c r="AJ264" s="762">
        <f t="shared" ref="AJ264:AJ327" si="656">AI264*$AJ$5</f>
        <v>144707.81218897749</v>
      </c>
      <c r="AK264" s="762">
        <f t="shared" ref="AK264:AK327" si="657">AI264+AJ264</f>
        <v>3038864.0559685272</v>
      </c>
      <c r="AL264" s="762">
        <f t="shared" ref="AL264:AL327" si="658">AK264*AL$5</f>
        <v>30388.640559685271</v>
      </c>
      <c r="AM264" s="762">
        <f t="shared" ref="AM264:AM327" si="659">$AM$5</f>
        <v>27537.409960060559</v>
      </c>
      <c r="AN264" s="762"/>
      <c r="AO264" s="763">
        <f t="shared" ref="AO264:AO327" si="660">AK264+AL264+AM264+AN264</f>
        <v>3096790.106488273</v>
      </c>
      <c r="AP264" s="763">
        <f t="shared" ref="AP264:AP327" si="661">AO264*$AP$5</f>
        <v>510970.36757056508</v>
      </c>
      <c r="AQ264" s="763">
        <f t="shared" ref="AQ264:AQ327" si="662">AO264+AP264</f>
        <v>3607760.4740588381</v>
      </c>
      <c r="AR264" s="1178">
        <f t="shared" si="631"/>
        <v>3000000</v>
      </c>
      <c r="AS264" s="1178">
        <f t="shared" ref="AS264:AS327" si="663">AT264/J264</f>
        <v>27625.476093583551</v>
      </c>
      <c r="AT264" s="1178">
        <f t="shared" ref="AT264:AT327" si="664">AQ264-AR264</f>
        <v>607760.4740588381</v>
      </c>
      <c r="AU264" s="1178">
        <f t="shared" si="632"/>
        <v>72931.256887060576</v>
      </c>
      <c r="AV264" s="1178">
        <f t="shared" ref="AV264:AV327" si="665">AT264+AU264</f>
        <v>680691.73094589869</v>
      </c>
      <c r="AW264" s="1178">
        <f t="shared" ref="AW264:AW327" si="666">AR264+AT264+AU264</f>
        <v>3680691.7309458987</v>
      </c>
      <c r="AX264" s="762">
        <f t="shared" ref="AX264:AX327" si="667">AW264*$AX$5</f>
        <v>46008.646636823738</v>
      </c>
      <c r="AY264" s="717" t="s">
        <v>231</v>
      </c>
      <c r="AZ264" s="717">
        <f t="shared" ref="AZ264:AZ327" si="668">AW264+AX264+AY264</f>
        <v>3726700.3775827223</v>
      </c>
      <c r="BA264" s="717">
        <f t="shared" ref="BA264:BA327" si="669">AZ264*$BA$5</f>
        <v>139751.26415935208</v>
      </c>
      <c r="BB264" s="717"/>
      <c r="BC264" s="717">
        <f t="shared" si="633"/>
        <v>33600</v>
      </c>
      <c r="BD264" s="717">
        <f t="shared" ref="BD264:BD327" si="670">AZ264+BA264+BB264+BC264</f>
        <v>3900051.6417420744</v>
      </c>
      <c r="BE264" s="717"/>
      <c r="BF264" s="717">
        <f t="shared" ref="BF264:BF327" si="671">BD264+BE264</f>
        <v>3900051.6417420744</v>
      </c>
      <c r="BG264" s="1209"/>
      <c r="BH264" s="717">
        <f t="shared" ref="BH264:BH327" si="672">BF264+BG264</f>
        <v>3900051.6417420744</v>
      </c>
      <c r="BI264" s="717"/>
      <c r="BJ264" s="717">
        <f t="shared" ref="BJ264:BJ327" si="673">BH264+BI264</f>
        <v>3900051.6417420744</v>
      </c>
      <c r="BK264" s="717"/>
      <c r="BL264" s="717">
        <f t="shared" ref="BL264:BL327" si="674">BJ264+BK264</f>
        <v>3900051.6417420744</v>
      </c>
      <c r="BM264" s="717"/>
      <c r="BN264" s="717">
        <f t="shared" ref="BN264:BN327" si="675">BL264+BM264</f>
        <v>3900051.6417420744</v>
      </c>
      <c r="BO264" s="717"/>
      <c r="BP264" s="717">
        <f t="shared" si="634"/>
        <v>3900051.6417420744</v>
      </c>
      <c r="BQ264" s="717"/>
      <c r="BR264" s="717">
        <f t="shared" si="584"/>
        <v>3900051.6417420744</v>
      </c>
      <c r="BS264" s="717"/>
      <c r="BT264" s="717">
        <f t="shared" ref="BT264:BT327" si="676">BS264+BR264</f>
        <v>3900051.6417420744</v>
      </c>
      <c r="BU264" s="717"/>
      <c r="BV264" s="1235">
        <f t="shared" si="585"/>
        <v>51400</v>
      </c>
      <c r="BW264" s="717">
        <f t="shared" ref="BW264:BW327" si="677">SUM(BT264:BV264)</f>
        <v>3951451.6417420744</v>
      </c>
      <c r="BX264" s="717"/>
      <c r="BY264" s="717">
        <f t="shared" ref="BY264:BY327" si="678">BW264+BX264</f>
        <v>3951451.6417420744</v>
      </c>
      <c r="BZ264" s="1194">
        <f t="shared" ref="BZ264:BZ327" si="679">BY264</f>
        <v>3951451.6417420744</v>
      </c>
      <c r="CA264" s="1194">
        <f t="shared" ref="CA264:CA327" si="680">BZ264-CC264</f>
        <v>3027451.6417420744</v>
      </c>
      <c r="CB264" s="1194">
        <v>42000</v>
      </c>
      <c r="CC264" s="1194">
        <f t="shared" ref="CC264:CC327" si="681">CB264*J264</f>
        <v>924000</v>
      </c>
      <c r="CD264" s="1194">
        <f t="shared" ref="CD264:CD327" si="682">CC264*$CD$5</f>
        <v>110880</v>
      </c>
      <c r="CE264" s="1194">
        <f t="shared" ref="CE264:CE327" si="683">SUM(CC264:CD264)</f>
        <v>1034880</v>
      </c>
      <c r="CF264" s="1200">
        <f t="shared" ref="CF264:CF327" si="684">BZ264+CD264</f>
        <v>4062331.6417420744</v>
      </c>
      <c r="CG264" s="757">
        <f t="shared" ref="CG264:CG327" si="685">CF264</f>
        <v>4062331.6417420744</v>
      </c>
      <c r="CH264" s="758">
        <f t="shared" ref="CH264:CH327" si="686">IF(CA264&lt;=$CA$3,0,12%*CA264)</f>
        <v>0</v>
      </c>
      <c r="CI264" s="757">
        <f t="shared" si="635"/>
        <v>416388.99327856262</v>
      </c>
      <c r="CJ264" s="757">
        <f t="shared" si="636"/>
        <v>101558.29104355187</v>
      </c>
      <c r="CK264" s="759">
        <f t="shared" si="593"/>
        <v>4580278.9260641886</v>
      </c>
      <c r="CL264" s="764">
        <f t="shared" ref="CL264:CL327" si="687">$CL$5</f>
        <v>0.125</v>
      </c>
      <c r="CM264" s="757">
        <f t="shared" ref="CM264:CM327" si="688">CK264*CL264</f>
        <v>572534.86575802357</v>
      </c>
      <c r="CN264" s="757">
        <f t="shared" si="578"/>
        <v>30000</v>
      </c>
      <c r="CO264" s="757">
        <f t="shared" ref="CO264:CO327" si="689">CM264-CN264</f>
        <v>542534.86575802357</v>
      </c>
      <c r="CP264" s="755">
        <f t="shared" ref="CP264:CP327" si="690">VLOOKUP(E264,$ID$6:$IF$20,3,FALSE)</f>
        <v>29</v>
      </c>
      <c r="CQ264" s="757">
        <f t="shared" si="581"/>
        <v>18708.098819242194</v>
      </c>
      <c r="CR264" s="764">
        <f t="shared" ref="CR264:CR327" si="691">100%-CL264</f>
        <v>0.875</v>
      </c>
      <c r="CS264" s="757">
        <f t="shared" ref="CS264:CS327" si="692">CK264*CR264</f>
        <v>4007744.0603061649</v>
      </c>
      <c r="CT264" s="1101">
        <f t="shared" ref="CT264:CT327" si="693">-PMT($CT$5/12,240,CS264,0)</f>
        <v>31071.997041882361</v>
      </c>
      <c r="CU264" s="1101">
        <f t="shared" ref="CU264:CU327" si="694">-PMT($CT$5/12,180,CS264,0)</f>
        <v>36022.73663744075</v>
      </c>
      <c r="CV264" s="1101">
        <f t="shared" ref="CV264:CV327" si="695">-PMT($CT$5/12,120,CS264,0)</f>
        <v>46533.306793962234</v>
      </c>
      <c r="CW264" s="1141">
        <f t="shared" si="637"/>
        <v>79358.135837028953</v>
      </c>
      <c r="CX264" s="1152">
        <f t="shared" ref="CX264:CX327" si="696">(CK264*80%)*$CX$5</f>
        <v>325561.78869041894</v>
      </c>
      <c r="CY264" s="1152">
        <f t="shared" ref="CY264:CY327" si="697">(CK264*80%)*$CY$5</f>
        <v>128823.21388227459</v>
      </c>
      <c r="CZ264" s="1152">
        <f t="shared" ref="CZ264:CZ327" si="698">(CK264*80%)*$CZ$5</f>
        <v>93047.1828389195</v>
      </c>
      <c r="DA264" s="1152">
        <f t="shared" ref="DA264:DA327" si="699">(CK264*80%)*$DA$5</f>
        <v>70813.189811473218</v>
      </c>
      <c r="DB264" s="1143">
        <f t="shared" si="638"/>
        <v>0.20258682468627937</v>
      </c>
      <c r="DC264" s="1143">
        <f t="shared" ref="DC264:DC327" si="700">CE264/CA264</f>
        <v>0.3418320496787533</v>
      </c>
      <c r="DD264" s="1098" t="s">
        <v>232</v>
      </c>
      <c r="DE264" s="1144"/>
      <c r="DF264" s="705"/>
      <c r="DG264" s="765">
        <f t="shared" si="579"/>
        <v>46082</v>
      </c>
      <c r="DH264" s="1116">
        <f t="shared" si="639"/>
        <v>28</v>
      </c>
      <c r="DI264" s="497"/>
      <c r="DJ264" s="1117">
        <f t="shared" ref="DJ264:DJ327" si="701">DG264+65</f>
        <v>46147</v>
      </c>
      <c r="DK264" s="1116">
        <f t="shared" ref="DK264:DK327" si="702">(YEAR(DJ264)-YEAR($DK$5))*12+MONTH(DJ264)-MONTH($DK$5)+$DK$4+$DK$3</f>
        <v>30</v>
      </c>
      <c r="DL264" s="766" t="s">
        <v>233</v>
      </c>
      <c r="DM264" s="766" t="s">
        <v>234</v>
      </c>
      <c r="DN264" s="767">
        <f t="shared" si="640"/>
        <v>30940.533224813578</v>
      </c>
      <c r="DO264" s="767">
        <f t="shared" si="641"/>
        <v>680691.73094589869</v>
      </c>
      <c r="DP264" s="768">
        <f t="shared" si="642"/>
        <v>0.2268972436486329</v>
      </c>
      <c r="DR264" s="767">
        <f t="shared" si="643"/>
        <v>4062331.6417420744</v>
      </c>
      <c r="DS264" s="767">
        <f>SUM('[6]INTERNAL PRICELIST'!M264)</f>
        <v>0</v>
      </c>
      <c r="DT264" s="767">
        <f t="shared" ref="DT264:DT327" si="703">DR264-DS264</f>
        <v>4062331.6417420744</v>
      </c>
      <c r="DV264" s="951">
        <f t="shared" si="644"/>
        <v>184651.43826100338</v>
      </c>
      <c r="DX264" s="781"/>
      <c r="DY264" s="782"/>
      <c r="DZ264" s="781"/>
      <c r="EA264" s="775"/>
      <c r="ED264" s="755" t="s">
        <v>706</v>
      </c>
      <c r="EE264" s="777" t="b">
        <f t="shared" si="645"/>
        <v>1</v>
      </c>
      <c r="EF264" s="777"/>
      <c r="EG264" s="777"/>
      <c r="EH264" s="1203"/>
      <c r="EP264" s="1230" t="s">
        <v>236</v>
      </c>
      <c r="EQ264" s="1145" t="s">
        <v>236</v>
      </c>
      <c r="ER264" s="753" t="b">
        <f t="shared" ref="ER264:ER327" si="704">EP264=EQ264</f>
        <v>1</v>
      </c>
      <c r="EU264" s="770">
        <v>3186727.0324007287</v>
      </c>
      <c r="EV264" s="771" t="s">
        <v>258</v>
      </c>
      <c r="EW264" s="775">
        <f t="shared" si="612"/>
        <v>-875604.60934134573</v>
      </c>
      <c r="EY264" s="775">
        <v>3152864.4827302992</v>
      </c>
      <c r="FJ264" s="994">
        <v>0.15</v>
      </c>
      <c r="FK264" s="993">
        <v>13719.848003181623</v>
      </c>
      <c r="FL264" s="993">
        <v>14090.654705970315</v>
      </c>
      <c r="FM264" s="497"/>
      <c r="FN264" s="993">
        <f t="shared" si="646"/>
        <v>4580278.9260641886</v>
      </c>
      <c r="FO264" s="994">
        <f t="shared" ref="FO264:FO270" si="705">FJ264</f>
        <v>0.15</v>
      </c>
      <c r="FP264" s="775">
        <f t="shared" si="647"/>
        <v>687041.83890962822</v>
      </c>
      <c r="FQ264" s="993">
        <f t="shared" si="648"/>
        <v>30000</v>
      </c>
      <c r="FR264" s="775">
        <f t="shared" ref="FR264:FR327" si="706">FP264-FQ264</f>
        <v>657041.83890962822</v>
      </c>
      <c r="FS264" s="497">
        <f t="shared" ref="FS264:FS327" si="707">$FS$5</f>
        <v>40</v>
      </c>
      <c r="FT264" s="775">
        <f t="shared" ref="FT264:FT327" si="708">FR264/FS264</f>
        <v>16426.045972740707</v>
      </c>
      <c r="FU264" s="497"/>
      <c r="FV264" s="993">
        <f t="shared" ref="FV264:FV327" si="709">FN264</f>
        <v>4580278.9260641886</v>
      </c>
      <c r="FW264" s="705">
        <f t="shared" ref="FW264:FW327" si="710">FV264*$FW$5</f>
        <v>458027.89260641887</v>
      </c>
      <c r="FX264" s="705">
        <f t="shared" ref="FX264:FX327" si="711">FV264*$FX$5</f>
        <v>114506.97315160472</v>
      </c>
      <c r="FY264" s="705">
        <v>15000</v>
      </c>
      <c r="FZ264" s="705">
        <f t="shared" ref="FZ264:FZ327" si="712">FW264-FY264</f>
        <v>443027.89260641887</v>
      </c>
      <c r="GA264" s="497">
        <f t="shared" ref="GA264:GA327" si="713">$GA$5</f>
        <v>46</v>
      </c>
      <c r="GB264" s="775">
        <f t="shared" ref="GB264:GB327" si="714">FZ264/GA264</f>
        <v>9631.0411436178019</v>
      </c>
      <c r="GC264" s="497"/>
      <c r="GD264" s="497"/>
      <c r="GH264" s="1095">
        <f t="shared" si="613"/>
        <v>4580278.9260641886</v>
      </c>
      <c r="GI264" s="1098">
        <f t="shared" si="614"/>
        <v>0.125</v>
      </c>
      <c r="GJ264" s="1095">
        <f t="shared" si="615"/>
        <v>572534.86575802357</v>
      </c>
      <c r="GK264" s="1095">
        <f t="shared" si="616"/>
        <v>30000</v>
      </c>
      <c r="GL264" s="1095">
        <f t="shared" si="617"/>
        <v>542534.86575802357</v>
      </c>
      <c r="GM264" s="1095">
        <f t="shared" si="618"/>
        <v>29</v>
      </c>
      <c r="GN264" s="1095">
        <f t="shared" si="619"/>
        <v>18708.098819242194</v>
      </c>
      <c r="GO264" s="1098">
        <f t="shared" si="620"/>
        <v>0.875</v>
      </c>
      <c r="GP264" s="1095">
        <f t="shared" si="621"/>
        <v>4007744.0603061649</v>
      </c>
      <c r="GQ264" s="1095">
        <f t="shared" si="622"/>
        <v>31071.997041882361</v>
      </c>
      <c r="GR264" s="1095">
        <f t="shared" si="623"/>
        <v>36022.73663744075</v>
      </c>
      <c r="GS264" s="1095">
        <f t="shared" si="624"/>
        <v>46533.306793962234</v>
      </c>
      <c r="GT264" s="1095">
        <f t="shared" si="625"/>
        <v>79358.135837028953</v>
      </c>
      <c r="GU264" s="497"/>
      <c r="GV264" s="1095">
        <f t="shared" ref="GV264:GV327" si="715">GH264</f>
        <v>4580278.9260641886</v>
      </c>
      <c r="GW264" s="1098">
        <f t="shared" ref="GW264:GW327" si="716">GI264</f>
        <v>0.125</v>
      </c>
      <c r="GX264" s="1095">
        <f t="shared" ref="GX264:GX327" si="717">GJ264</f>
        <v>572534.86575802357</v>
      </c>
      <c r="GY264" s="1095">
        <f t="shared" ref="GY264:GY327" si="718">GK264</f>
        <v>30000</v>
      </c>
      <c r="GZ264" s="1095">
        <f t="shared" ref="GZ264:GZ327" si="719">GL264</f>
        <v>542534.86575802357</v>
      </c>
      <c r="HA264" s="1106">
        <f t="shared" ref="HA264:HA327" si="720">$HA$5</f>
        <v>48</v>
      </c>
      <c r="HB264" s="770">
        <f t="shared" ref="HB264:HB327" si="721">GZ264/HA264</f>
        <v>11302.809703292158</v>
      </c>
      <c r="HC264" s="1098">
        <f t="shared" ref="HC264:HC327" si="722">100%-GW264</f>
        <v>0.875</v>
      </c>
      <c r="HD264" s="1102">
        <f t="shared" ref="HD264:HD327" si="723">GV264*HC264</f>
        <v>4007744.0603061649</v>
      </c>
      <c r="HE264" s="1101">
        <f t="shared" ref="HE264:HE327" si="724">-PMT(7%/12,240,HD264,0)</f>
        <v>31071.997041882361</v>
      </c>
      <c r="HF264" s="1101">
        <f t="shared" ref="HF264:HF327" si="725">-PMT(7%/12,180,HD264,0)</f>
        <v>36022.73663744075</v>
      </c>
      <c r="HG264" s="1101">
        <f t="shared" ref="HG264:HG327" si="726">-PMT(7%/12,120,HD264,0)</f>
        <v>46533.306793962234</v>
      </c>
      <c r="HH264" s="1101">
        <f t="shared" ref="HH264:HH327" si="727">-PMT(7%/12,60,HD264,0)</f>
        <v>79358.135837028953</v>
      </c>
      <c r="HI264" s="497"/>
      <c r="HJ264" s="1102">
        <f t="shared" ref="HJ264:HJ327" si="728">HB264-GN264</f>
        <v>-7405.2891159500359</v>
      </c>
      <c r="HL264" s="775"/>
      <c r="HN264" s="775"/>
      <c r="HO264" s="775"/>
      <c r="HQ264" s="702"/>
      <c r="HR264" s="1171"/>
      <c r="HS264" s="702"/>
      <c r="HT264" s="1171"/>
    </row>
    <row r="265" spans="1:228" ht="14.25" hidden="1" customHeight="1">
      <c r="A265" s="753">
        <f t="shared" ref="A265:A328" si="729">A264+1</f>
        <v>259</v>
      </c>
      <c r="B265" s="753"/>
      <c r="C265" s="753">
        <f t="shared" si="610"/>
        <v>11</v>
      </c>
      <c r="D265" s="753" t="s">
        <v>284</v>
      </c>
      <c r="E265" s="717" t="str">
        <f t="shared" si="649"/>
        <v>11th Floor</v>
      </c>
      <c r="F265" s="754"/>
      <c r="G265" s="756" t="s">
        <v>707</v>
      </c>
      <c r="H265" s="756"/>
      <c r="I265" s="755" t="s">
        <v>229</v>
      </c>
      <c r="J265" s="757">
        <v>22</v>
      </c>
      <c r="K265" s="758"/>
      <c r="L265" s="759" t="s">
        <v>277</v>
      </c>
      <c r="M265" s="760" t="s">
        <v>68</v>
      </c>
      <c r="N265" s="761">
        <f t="shared" si="650"/>
        <v>106005.26567735759</v>
      </c>
      <c r="O265" s="762">
        <f t="shared" si="651"/>
        <v>2332115.8449018667</v>
      </c>
      <c r="P265" s="762">
        <f t="shared" si="652"/>
        <v>22400</v>
      </c>
      <c r="Q265" s="762">
        <f t="shared" si="626"/>
        <v>50000</v>
      </c>
      <c r="R265" s="762"/>
      <c r="S265" s="762"/>
      <c r="T265" s="762"/>
      <c r="U265" s="762"/>
      <c r="V265" s="762"/>
      <c r="W265" s="762"/>
      <c r="X265" s="762"/>
      <c r="Y265" s="762">
        <f t="shared" si="611"/>
        <v>140000</v>
      </c>
      <c r="Z265" s="762">
        <f t="shared" si="627"/>
        <v>142461</v>
      </c>
      <c r="AA265" s="762">
        <v>45722.732758620688</v>
      </c>
      <c r="AB265" s="762"/>
      <c r="AC265" s="762"/>
      <c r="AD265" s="763">
        <f t="shared" si="653"/>
        <v>400583.7327586207</v>
      </c>
      <c r="AE265" s="763">
        <f t="shared" si="628"/>
        <v>2732699.5776604875</v>
      </c>
      <c r="AF265" s="762">
        <f t="shared" si="629"/>
        <v>68317.489441512196</v>
      </c>
      <c r="AG265" s="762">
        <f t="shared" si="654"/>
        <v>2801017.0671019997</v>
      </c>
      <c r="AH265" s="762">
        <f t="shared" si="630"/>
        <v>70025.42667755</v>
      </c>
      <c r="AI265" s="762">
        <f t="shared" si="655"/>
        <v>2871042.4937795498</v>
      </c>
      <c r="AJ265" s="762">
        <f t="shared" si="656"/>
        <v>143552.12468897749</v>
      </c>
      <c r="AK265" s="762">
        <f t="shared" si="657"/>
        <v>3014594.6184685272</v>
      </c>
      <c r="AL265" s="762">
        <f t="shared" si="658"/>
        <v>30145.946184685272</v>
      </c>
      <c r="AM265" s="762">
        <f t="shared" si="659"/>
        <v>27537.409960060559</v>
      </c>
      <c r="AN265" s="762"/>
      <c r="AO265" s="763">
        <f t="shared" si="660"/>
        <v>3072277.9746132731</v>
      </c>
      <c r="AP265" s="763">
        <f t="shared" si="661"/>
        <v>506925.8658111901</v>
      </c>
      <c r="AQ265" s="763">
        <f t="shared" si="662"/>
        <v>3579203.8404244632</v>
      </c>
      <c r="AR265" s="1178">
        <f t="shared" si="631"/>
        <v>3000000</v>
      </c>
      <c r="AS265" s="1178">
        <f t="shared" si="663"/>
        <v>26327.447292021054</v>
      </c>
      <c r="AT265" s="1178">
        <f t="shared" si="664"/>
        <v>579203.84042446315</v>
      </c>
      <c r="AU265" s="1178">
        <f t="shared" si="632"/>
        <v>69504.460850935575</v>
      </c>
      <c r="AV265" s="1178">
        <f t="shared" si="665"/>
        <v>648708.3012753987</v>
      </c>
      <c r="AW265" s="1178">
        <f t="shared" si="666"/>
        <v>3648708.3012753986</v>
      </c>
      <c r="AX265" s="762">
        <f t="shared" si="667"/>
        <v>45608.853765942484</v>
      </c>
      <c r="AY265" s="717" t="s">
        <v>231</v>
      </c>
      <c r="AZ265" s="717">
        <f t="shared" si="668"/>
        <v>3694317.1550413412</v>
      </c>
      <c r="BA265" s="717">
        <f t="shared" si="669"/>
        <v>138536.89331405028</v>
      </c>
      <c r="BB265" s="717"/>
      <c r="BC265" s="717">
        <f t="shared" si="633"/>
        <v>33600</v>
      </c>
      <c r="BD265" s="717">
        <f t="shared" si="670"/>
        <v>3866454.0483553912</v>
      </c>
      <c r="BE265" s="717"/>
      <c r="BF265" s="717">
        <f t="shared" si="671"/>
        <v>3866454.0483553912</v>
      </c>
      <c r="BG265" s="1209"/>
      <c r="BH265" s="717">
        <f t="shared" si="672"/>
        <v>3866454.0483553912</v>
      </c>
      <c r="BI265" s="717"/>
      <c r="BJ265" s="717">
        <f t="shared" si="673"/>
        <v>3866454.0483553912</v>
      </c>
      <c r="BK265" s="717"/>
      <c r="BL265" s="717">
        <f t="shared" si="674"/>
        <v>3866454.0483553912</v>
      </c>
      <c r="BM265" s="717"/>
      <c r="BN265" s="717">
        <f t="shared" si="675"/>
        <v>3866454.0483553912</v>
      </c>
      <c r="BO265" s="717"/>
      <c r="BP265" s="717">
        <f t="shared" si="634"/>
        <v>3866454.0483553912</v>
      </c>
      <c r="BQ265" s="717"/>
      <c r="BR265" s="717">
        <f t="shared" si="584"/>
        <v>3866454.0483553912</v>
      </c>
      <c r="BS265" s="717"/>
      <c r="BT265" s="717">
        <f t="shared" si="676"/>
        <v>3866454.0483553912</v>
      </c>
      <c r="BU265" s="717"/>
      <c r="BV265" s="1235">
        <f t="shared" si="585"/>
        <v>51400</v>
      </c>
      <c r="BW265" s="717">
        <f t="shared" si="677"/>
        <v>3917854.0483553912</v>
      </c>
      <c r="BX265" s="717"/>
      <c r="BY265" s="717">
        <f t="shared" si="678"/>
        <v>3917854.0483553912</v>
      </c>
      <c r="BZ265" s="1194">
        <f t="shared" si="679"/>
        <v>3917854.0483553912</v>
      </c>
      <c r="CA265" s="1194">
        <f t="shared" si="680"/>
        <v>3037854.0483553912</v>
      </c>
      <c r="CB265" s="1194">
        <v>40000</v>
      </c>
      <c r="CC265" s="1194">
        <f t="shared" si="681"/>
        <v>880000</v>
      </c>
      <c r="CD265" s="1194">
        <f t="shared" si="682"/>
        <v>105600</v>
      </c>
      <c r="CE265" s="1194">
        <f t="shared" si="683"/>
        <v>985600</v>
      </c>
      <c r="CF265" s="1200">
        <f t="shared" si="684"/>
        <v>4023454.0483553912</v>
      </c>
      <c r="CG265" s="757">
        <f t="shared" si="685"/>
        <v>4023454.0483553912</v>
      </c>
      <c r="CH265" s="758">
        <f t="shared" si="686"/>
        <v>0</v>
      </c>
      <c r="CI265" s="757">
        <f t="shared" si="635"/>
        <v>412404.03995642759</v>
      </c>
      <c r="CJ265" s="757">
        <f t="shared" si="636"/>
        <v>100586.35120888479</v>
      </c>
      <c r="CK265" s="759">
        <f t="shared" si="593"/>
        <v>4536444.4395207036</v>
      </c>
      <c r="CL265" s="764">
        <f t="shared" si="687"/>
        <v>0.125</v>
      </c>
      <c r="CM265" s="757">
        <f t="shared" si="688"/>
        <v>567055.55494008795</v>
      </c>
      <c r="CN265" s="757">
        <f t="shared" ref="CN265:CN328" si="730">CN$5</f>
        <v>30000</v>
      </c>
      <c r="CO265" s="757">
        <f t="shared" si="689"/>
        <v>537055.55494008795</v>
      </c>
      <c r="CP265" s="755">
        <f t="shared" si="690"/>
        <v>29</v>
      </c>
      <c r="CQ265" s="757">
        <f t="shared" si="581"/>
        <v>18519.157066899585</v>
      </c>
      <c r="CR265" s="764">
        <f t="shared" si="691"/>
        <v>0.875</v>
      </c>
      <c r="CS265" s="757">
        <f t="shared" si="692"/>
        <v>3969388.8845806159</v>
      </c>
      <c r="CT265" s="1101">
        <f t="shared" si="693"/>
        <v>30774.629772727432</v>
      </c>
      <c r="CU265" s="1101">
        <f t="shared" si="694"/>
        <v>35677.989474684393</v>
      </c>
      <c r="CV265" s="1101">
        <f t="shared" si="695"/>
        <v>46087.970681596576</v>
      </c>
      <c r="CW265" s="1141">
        <f t="shared" si="637"/>
        <v>78598.657387437357</v>
      </c>
      <c r="CX265" s="1152">
        <f t="shared" si="696"/>
        <v>322446.07585375861</v>
      </c>
      <c r="CY265" s="1152">
        <f t="shared" si="697"/>
        <v>127590.3414903167</v>
      </c>
      <c r="CZ265" s="1152">
        <f t="shared" si="698"/>
        <v>92156.696571619919</v>
      </c>
      <c r="DA265" s="1152">
        <f t="shared" si="699"/>
        <v>70135.488766187846</v>
      </c>
      <c r="DB265" s="1143">
        <f t="shared" si="638"/>
        <v>0.19306794680815439</v>
      </c>
      <c r="DC265" s="1143">
        <f t="shared" si="700"/>
        <v>0.32443954986368623</v>
      </c>
      <c r="DD265" s="1098" t="s">
        <v>232</v>
      </c>
      <c r="DE265" s="1144"/>
      <c r="DF265" s="705"/>
      <c r="DG265" s="765">
        <f t="shared" ref="DG265:DG328" si="731">$DG$7</f>
        <v>46082</v>
      </c>
      <c r="DH265" s="1116">
        <f t="shared" si="639"/>
        <v>28</v>
      </c>
      <c r="DI265" s="497"/>
      <c r="DJ265" s="1117">
        <f t="shared" si="701"/>
        <v>46147</v>
      </c>
      <c r="DK265" s="1116">
        <f t="shared" si="702"/>
        <v>30</v>
      </c>
      <c r="DL265" s="766" t="s">
        <v>233</v>
      </c>
      <c r="DM265" s="766" t="s">
        <v>234</v>
      </c>
      <c r="DN265" s="767">
        <f t="shared" si="640"/>
        <v>29486.740967063579</v>
      </c>
      <c r="DO265" s="767">
        <f t="shared" si="641"/>
        <v>648708.3012753987</v>
      </c>
      <c r="DP265" s="768">
        <f t="shared" si="642"/>
        <v>0.21623610042513289</v>
      </c>
      <c r="DR265" s="767">
        <f t="shared" si="643"/>
        <v>4023454.0483553912</v>
      </c>
      <c r="DS265" s="767">
        <f>SUM('[6]INTERNAL PRICELIST'!M265)</f>
        <v>0</v>
      </c>
      <c r="DT265" s="767">
        <f t="shared" si="703"/>
        <v>4023454.0483553912</v>
      </c>
      <c r="DV265" s="951">
        <f t="shared" si="644"/>
        <v>182884.27492524506</v>
      </c>
      <c r="DX265" s="781"/>
      <c r="DY265" s="782"/>
      <c r="DZ265" s="781"/>
      <c r="EA265" s="775"/>
      <c r="ED265" s="755" t="s">
        <v>707</v>
      </c>
      <c r="EE265" s="777" t="b">
        <f t="shared" si="645"/>
        <v>1</v>
      </c>
      <c r="EF265" s="777"/>
      <c r="EG265" s="777"/>
      <c r="EH265" s="1203"/>
      <c r="EP265" s="1230" t="s">
        <v>236</v>
      </c>
      <c r="EQ265" s="1145" t="s">
        <v>236</v>
      </c>
      <c r="ER265" s="753" t="b">
        <f t="shared" si="704"/>
        <v>1</v>
      </c>
      <c r="EU265" s="770">
        <v>3158898.0774007286</v>
      </c>
      <c r="EV265" s="771" t="s">
        <v>258</v>
      </c>
      <c r="EW265" s="775">
        <f t="shared" si="612"/>
        <v>-864555.97095466265</v>
      </c>
      <c r="EY265" s="775">
        <v>3125281.7816227991</v>
      </c>
      <c r="FJ265" s="994">
        <v>0.15</v>
      </c>
      <c r="FK265" s="993">
        <v>13597.661476345767</v>
      </c>
      <c r="FL265" s="993">
        <v>13965.165840571328</v>
      </c>
      <c r="FM265" s="497"/>
      <c r="FN265" s="993">
        <f t="shared" si="646"/>
        <v>4536444.4395207036</v>
      </c>
      <c r="FO265" s="994">
        <f t="shared" si="705"/>
        <v>0.15</v>
      </c>
      <c r="FP265" s="775">
        <f t="shared" si="647"/>
        <v>680466.66592810547</v>
      </c>
      <c r="FQ265" s="993">
        <f t="shared" si="648"/>
        <v>30000</v>
      </c>
      <c r="FR265" s="775">
        <f t="shared" si="706"/>
        <v>650466.66592810547</v>
      </c>
      <c r="FS265" s="497">
        <f t="shared" si="707"/>
        <v>40</v>
      </c>
      <c r="FT265" s="775">
        <f t="shared" si="708"/>
        <v>16261.666648202638</v>
      </c>
      <c r="FU265" s="497"/>
      <c r="FV265" s="993">
        <f t="shared" si="709"/>
        <v>4536444.4395207036</v>
      </c>
      <c r="FW265" s="705">
        <f t="shared" si="710"/>
        <v>453644.44395207037</v>
      </c>
      <c r="FX265" s="705">
        <f t="shared" si="711"/>
        <v>113411.11098801759</v>
      </c>
      <c r="FY265" s="705">
        <v>15000</v>
      </c>
      <c r="FZ265" s="705">
        <f t="shared" si="712"/>
        <v>438644.44395207037</v>
      </c>
      <c r="GA265" s="497">
        <f t="shared" si="713"/>
        <v>46</v>
      </c>
      <c r="GB265" s="775">
        <f t="shared" si="714"/>
        <v>9535.7487815667464</v>
      </c>
      <c r="GC265" s="497"/>
      <c r="GD265" s="497"/>
      <c r="GH265" s="1095">
        <f t="shared" si="613"/>
        <v>4536444.4395207036</v>
      </c>
      <c r="GI265" s="1098">
        <f t="shared" si="614"/>
        <v>0.125</v>
      </c>
      <c r="GJ265" s="1095">
        <f t="shared" si="615"/>
        <v>567055.55494008795</v>
      </c>
      <c r="GK265" s="1095">
        <f t="shared" si="616"/>
        <v>30000</v>
      </c>
      <c r="GL265" s="1095">
        <f t="shared" si="617"/>
        <v>537055.55494008795</v>
      </c>
      <c r="GM265" s="1095">
        <f t="shared" si="618"/>
        <v>29</v>
      </c>
      <c r="GN265" s="1095">
        <f t="shared" si="619"/>
        <v>18519.157066899585</v>
      </c>
      <c r="GO265" s="1098">
        <f t="shared" si="620"/>
        <v>0.875</v>
      </c>
      <c r="GP265" s="1095">
        <f t="shared" si="621"/>
        <v>3969388.8845806159</v>
      </c>
      <c r="GQ265" s="1095">
        <f t="shared" si="622"/>
        <v>30774.629772727432</v>
      </c>
      <c r="GR265" s="1095">
        <f t="shared" si="623"/>
        <v>35677.989474684393</v>
      </c>
      <c r="GS265" s="1095">
        <f t="shared" si="624"/>
        <v>46087.970681596576</v>
      </c>
      <c r="GT265" s="1095">
        <f t="shared" si="625"/>
        <v>78598.657387437357</v>
      </c>
      <c r="GU265" s="497"/>
      <c r="GV265" s="1095">
        <f t="shared" si="715"/>
        <v>4536444.4395207036</v>
      </c>
      <c r="GW265" s="1098">
        <f t="shared" si="716"/>
        <v>0.125</v>
      </c>
      <c r="GX265" s="1095">
        <f t="shared" si="717"/>
        <v>567055.55494008795</v>
      </c>
      <c r="GY265" s="1095">
        <f t="shared" si="718"/>
        <v>30000</v>
      </c>
      <c r="GZ265" s="1095">
        <f t="shared" si="719"/>
        <v>537055.55494008795</v>
      </c>
      <c r="HA265" s="1106">
        <f t="shared" si="720"/>
        <v>48</v>
      </c>
      <c r="HB265" s="770">
        <f t="shared" si="721"/>
        <v>11188.657394585165</v>
      </c>
      <c r="HC265" s="1098">
        <f t="shared" si="722"/>
        <v>0.875</v>
      </c>
      <c r="HD265" s="1102">
        <f t="shared" si="723"/>
        <v>3969388.8845806159</v>
      </c>
      <c r="HE265" s="1101">
        <f t="shared" si="724"/>
        <v>30774.629772727432</v>
      </c>
      <c r="HF265" s="1101">
        <f t="shared" si="725"/>
        <v>35677.989474684393</v>
      </c>
      <c r="HG265" s="1101">
        <f t="shared" si="726"/>
        <v>46087.970681596576</v>
      </c>
      <c r="HH265" s="1101">
        <f t="shared" si="727"/>
        <v>78598.657387437357</v>
      </c>
      <c r="HI265" s="497"/>
      <c r="HJ265" s="1102">
        <f t="shared" si="728"/>
        <v>-7330.4996723144195</v>
      </c>
      <c r="HL265" s="775"/>
      <c r="HN265" s="775"/>
      <c r="HO265" s="775"/>
      <c r="HQ265" s="702"/>
      <c r="HR265" s="1171"/>
      <c r="HS265" s="702"/>
      <c r="HT265" s="1171"/>
    </row>
    <row r="266" spans="1:228" ht="14.25" customHeight="1">
      <c r="A266" s="753">
        <f t="shared" si="729"/>
        <v>260</v>
      </c>
      <c r="B266" s="753"/>
      <c r="C266" s="753">
        <f t="shared" si="610"/>
        <v>12</v>
      </c>
      <c r="D266" s="753" t="s">
        <v>284</v>
      </c>
      <c r="E266" s="717" t="str">
        <f t="shared" si="649"/>
        <v>11th Floor</v>
      </c>
      <c r="F266" s="754"/>
      <c r="G266" s="756" t="s">
        <v>708</v>
      </c>
      <c r="H266" s="756"/>
      <c r="I266" s="755" t="s">
        <v>229</v>
      </c>
      <c r="J266" s="757">
        <v>22</v>
      </c>
      <c r="K266" s="758"/>
      <c r="L266" s="759" t="s">
        <v>277</v>
      </c>
      <c r="M266" s="760" t="s">
        <v>68</v>
      </c>
      <c r="N266" s="761">
        <f t="shared" si="650"/>
        <v>106005.26567735759</v>
      </c>
      <c r="O266" s="762">
        <f t="shared" si="651"/>
        <v>2332115.8449018667</v>
      </c>
      <c r="P266" s="762">
        <f t="shared" si="652"/>
        <v>22400</v>
      </c>
      <c r="Q266" s="762">
        <f t="shared" si="626"/>
        <v>50000</v>
      </c>
      <c r="R266" s="762"/>
      <c r="S266" s="762"/>
      <c r="T266" s="762"/>
      <c r="U266" s="762"/>
      <c r="V266" s="762"/>
      <c r="W266" s="762"/>
      <c r="X266" s="762"/>
      <c r="Y266" s="762">
        <f t="shared" si="611"/>
        <v>140000</v>
      </c>
      <c r="Z266" s="762">
        <f t="shared" si="627"/>
        <v>142461</v>
      </c>
      <c r="AA266" s="762">
        <v>49222.732758620703</v>
      </c>
      <c r="AB266" s="762"/>
      <c r="AC266" s="762"/>
      <c r="AD266" s="763">
        <f t="shared" si="653"/>
        <v>404083.7327586207</v>
      </c>
      <c r="AE266" s="763">
        <f t="shared" si="628"/>
        <v>2736199.5776604875</v>
      </c>
      <c r="AF266" s="762">
        <f t="shared" si="629"/>
        <v>68404.989441512196</v>
      </c>
      <c r="AG266" s="762">
        <f t="shared" si="654"/>
        <v>2804604.5671019997</v>
      </c>
      <c r="AH266" s="762">
        <f t="shared" si="630"/>
        <v>70115.11417755</v>
      </c>
      <c r="AI266" s="762">
        <f t="shared" si="655"/>
        <v>2874719.6812795498</v>
      </c>
      <c r="AJ266" s="762">
        <f t="shared" si="656"/>
        <v>143735.98406397749</v>
      </c>
      <c r="AK266" s="762">
        <f t="shared" si="657"/>
        <v>3018455.6653435272</v>
      </c>
      <c r="AL266" s="762">
        <f>AK266*AL$5+29772.4420833333</f>
        <v>59956.998736768568</v>
      </c>
      <c r="AM266" s="762">
        <f t="shared" si="659"/>
        <v>27537.409960060559</v>
      </c>
      <c r="AN266" s="762"/>
      <c r="AO266" s="763">
        <f t="shared" si="660"/>
        <v>3105950.0740403561</v>
      </c>
      <c r="AP266" s="763">
        <f t="shared" si="661"/>
        <v>512481.7622166588</v>
      </c>
      <c r="AQ266" s="763">
        <f t="shared" si="662"/>
        <v>3618431.8362570149</v>
      </c>
      <c r="AR266" s="1178">
        <f t="shared" si="631"/>
        <v>3000000</v>
      </c>
      <c r="AS266" s="1178">
        <f t="shared" si="663"/>
        <v>28110.538011682496</v>
      </c>
      <c r="AT266" s="1178">
        <f t="shared" si="664"/>
        <v>618431.83625701489</v>
      </c>
      <c r="AU266" s="1178">
        <f t="shared" si="632"/>
        <v>74211.820350841779</v>
      </c>
      <c r="AV266" s="1178">
        <f t="shared" si="665"/>
        <v>692643.65660785662</v>
      </c>
      <c r="AW266" s="1178">
        <f t="shared" si="666"/>
        <v>3692643.6566078565</v>
      </c>
      <c r="AX266" s="762">
        <f t="shared" si="667"/>
        <v>46158.045707598212</v>
      </c>
      <c r="AY266" s="717">
        <v>7575.3956645161297</v>
      </c>
      <c r="AZ266" s="717">
        <f t="shared" si="668"/>
        <v>3746377.0979799707</v>
      </c>
      <c r="BA266" s="717">
        <f t="shared" si="669"/>
        <v>140489.14117424889</v>
      </c>
      <c r="BB266" s="717"/>
      <c r="BC266" s="717">
        <f t="shared" si="633"/>
        <v>33600</v>
      </c>
      <c r="BD266" s="717">
        <f t="shared" si="670"/>
        <v>3920466.2391542196</v>
      </c>
      <c r="BE266" s="717">
        <v>18367.830916129038</v>
      </c>
      <c r="BF266" s="717">
        <f t="shared" si="671"/>
        <v>3938834.0700703487</v>
      </c>
      <c r="BG266" s="1209"/>
      <c r="BH266" s="717">
        <f t="shared" si="672"/>
        <v>3938834.0700703487</v>
      </c>
      <c r="BI266" s="717">
        <v>718.43902439024396</v>
      </c>
      <c r="BJ266" s="717">
        <f t="shared" si="673"/>
        <v>3939552.5090947389</v>
      </c>
      <c r="BK266" s="717"/>
      <c r="BL266" s="717">
        <f t="shared" si="674"/>
        <v>3939552.5090947389</v>
      </c>
      <c r="BM266" s="717">
        <f>$BM$5/41</f>
        <v>1038.0487804878051</v>
      </c>
      <c r="BN266" s="717">
        <f t="shared" si="675"/>
        <v>3940590.5578752267</v>
      </c>
      <c r="BO266" s="717">
        <f>$BO$5/51</f>
        <v>7289.0781490196077</v>
      </c>
      <c r="BP266" s="717">
        <f t="shared" si="634"/>
        <v>3947879.6360242465</v>
      </c>
      <c r="BQ266" s="717">
        <f>$BQ$5/56</f>
        <v>4468.4242000000004</v>
      </c>
      <c r="BR266" s="717">
        <f t="shared" si="584"/>
        <v>3952348.0602242462</v>
      </c>
      <c r="BS266" s="1234">
        <f>$BS$5/64</f>
        <v>2651.4786794501206</v>
      </c>
      <c r="BT266" s="1235">
        <f t="shared" si="676"/>
        <v>3954999.5389036965</v>
      </c>
      <c r="BU266" s="1235">
        <f>$BU$5/65</f>
        <v>211.07692307692309</v>
      </c>
      <c r="BV266" s="1235">
        <f t="shared" si="585"/>
        <v>51400</v>
      </c>
      <c r="BW266" s="717">
        <f t="shared" si="677"/>
        <v>4006610.6158267735</v>
      </c>
      <c r="BX266" s="1234">
        <f t="shared" si="589"/>
        <v>27651.078536278128</v>
      </c>
      <c r="BY266" s="717">
        <f t="shared" si="678"/>
        <v>4034261.6943630516</v>
      </c>
      <c r="BZ266" s="1194">
        <f t="shared" si="679"/>
        <v>4034261.6943630516</v>
      </c>
      <c r="CA266" s="1194">
        <f t="shared" si="680"/>
        <v>3154261.6943630516</v>
      </c>
      <c r="CB266" s="1194">
        <f>$CB$5</f>
        <v>40000</v>
      </c>
      <c r="CC266" s="1194">
        <f t="shared" si="681"/>
        <v>880000</v>
      </c>
      <c r="CD266" s="1194">
        <f t="shared" si="682"/>
        <v>105600</v>
      </c>
      <c r="CE266" s="1194">
        <f t="shared" si="683"/>
        <v>985600</v>
      </c>
      <c r="CF266" s="1200">
        <f t="shared" si="684"/>
        <v>4139861.6943630516</v>
      </c>
      <c r="CG266" s="757">
        <f t="shared" si="685"/>
        <v>4139861.6943630516</v>
      </c>
      <c r="CH266" s="758">
        <f t="shared" si="686"/>
        <v>0</v>
      </c>
      <c r="CI266" s="757">
        <f t="shared" si="635"/>
        <v>424335.82367221278</v>
      </c>
      <c r="CJ266" s="757">
        <f t="shared" si="636"/>
        <v>103496.54235907629</v>
      </c>
      <c r="CK266" s="759">
        <f t="shared" si="593"/>
        <v>4667694.0603943411</v>
      </c>
      <c r="CL266" s="764">
        <f t="shared" si="687"/>
        <v>0.125</v>
      </c>
      <c r="CM266" s="757">
        <f t="shared" si="688"/>
        <v>583461.75754929264</v>
      </c>
      <c r="CN266" s="757">
        <f t="shared" si="730"/>
        <v>30000</v>
      </c>
      <c r="CO266" s="757">
        <f t="shared" si="689"/>
        <v>553461.75754929264</v>
      </c>
      <c r="CP266" s="755">
        <f t="shared" si="690"/>
        <v>29</v>
      </c>
      <c r="CQ266" s="757">
        <f t="shared" si="581"/>
        <v>19084.888191354919</v>
      </c>
      <c r="CR266" s="764">
        <f t="shared" si="691"/>
        <v>0.875</v>
      </c>
      <c r="CS266" s="757">
        <f t="shared" si="692"/>
        <v>4084232.3028450487</v>
      </c>
      <c r="CT266" s="1101">
        <f t="shared" si="693"/>
        <v>31665.009572159914</v>
      </c>
      <c r="CU266" s="1101">
        <f t="shared" si="694"/>
        <v>36710.234585258411</v>
      </c>
      <c r="CV266" s="1101">
        <f t="shared" si="695"/>
        <v>47421.400145891741</v>
      </c>
      <c r="CW266" s="1141">
        <f t="shared" si="637"/>
        <v>80872.694713543809</v>
      </c>
      <c r="CX266" s="1152">
        <f t="shared" si="696"/>
        <v>331775.17175082408</v>
      </c>
      <c r="CY266" s="1152">
        <f t="shared" si="697"/>
        <v>131281.81929215026</v>
      </c>
      <c r="CZ266" s="1152">
        <f t="shared" si="698"/>
        <v>94822.998704765836</v>
      </c>
      <c r="DA266" s="1152">
        <f t="shared" si="699"/>
        <v>72164.667439722311</v>
      </c>
      <c r="DB266" s="1143">
        <f t="shared" si="638"/>
        <v>0.20614394541900496</v>
      </c>
      <c r="DC266" s="1143">
        <f t="shared" si="700"/>
        <v>0.31246614754931579</v>
      </c>
      <c r="DD266" s="1098" t="s">
        <v>232</v>
      </c>
      <c r="DE266" s="1144"/>
      <c r="DF266" s="705"/>
      <c r="DG266" s="765">
        <f t="shared" si="731"/>
        <v>46082</v>
      </c>
      <c r="DH266" s="1116">
        <f t="shared" si="639"/>
        <v>28</v>
      </c>
      <c r="DI266" s="497"/>
      <c r="DJ266" s="1117">
        <f t="shared" si="701"/>
        <v>46147</v>
      </c>
      <c r="DK266" s="1116">
        <f t="shared" si="702"/>
        <v>30</v>
      </c>
      <c r="DL266" s="766" t="s">
        <v>233</v>
      </c>
      <c r="DM266" s="766" t="s">
        <v>234</v>
      </c>
      <c r="DN266" s="767">
        <f t="shared" si="640"/>
        <v>31483.802573084391</v>
      </c>
      <c r="DO266" s="767">
        <f t="shared" si="641"/>
        <v>692643.65660785662</v>
      </c>
      <c r="DP266" s="768">
        <f t="shared" si="642"/>
        <v>0.23088121886928553</v>
      </c>
      <c r="DR266" s="767">
        <f t="shared" si="643"/>
        <v>4139861.6943630516</v>
      </c>
      <c r="DS266" s="767">
        <f>SUM('[6]INTERNAL PRICELIST'!M266)</f>
        <v>0</v>
      </c>
      <c r="DT266" s="767">
        <f t="shared" si="703"/>
        <v>4139861.6943630516</v>
      </c>
      <c r="DV266" s="951">
        <f t="shared" si="644"/>
        <v>188175.53156195689</v>
      </c>
      <c r="DX266" s="781"/>
      <c r="DY266" s="782"/>
      <c r="DZ266" s="781"/>
      <c r="EA266" s="775"/>
      <c r="ED266" s="755" t="s">
        <v>708</v>
      </c>
      <c r="EE266" s="777" t="b">
        <f t="shared" si="645"/>
        <v>1</v>
      </c>
      <c r="EF266" s="777"/>
      <c r="EG266" s="777"/>
      <c r="EH266" s="1203"/>
      <c r="EO266" s="497" t="s">
        <v>330</v>
      </c>
      <c r="EP266" s="1230" t="s">
        <v>258</v>
      </c>
      <c r="EQ266" s="1145" t="s">
        <v>258</v>
      </c>
      <c r="ER266" s="753" t="b">
        <f t="shared" si="704"/>
        <v>1</v>
      </c>
      <c r="EU266" s="770">
        <v>3158898.0774007286</v>
      </c>
      <c r="EV266" s="771" t="s">
        <v>258</v>
      </c>
      <c r="EW266" s="775">
        <f t="shared" si="612"/>
        <v>-980963.61696232297</v>
      </c>
      <c r="EY266" s="775">
        <v>3125281.7816227991</v>
      </c>
      <c r="FJ266" s="994">
        <v>0.15</v>
      </c>
      <c r="FK266" s="993">
        <v>13597.661476345767</v>
      </c>
      <c r="FL266" s="993">
        <v>13965.165840571328</v>
      </c>
      <c r="FM266" s="497"/>
      <c r="FN266" s="993">
        <f t="shared" si="646"/>
        <v>4667694.0603943411</v>
      </c>
      <c r="FO266" s="994">
        <f t="shared" si="705"/>
        <v>0.15</v>
      </c>
      <c r="FP266" s="775">
        <f t="shared" si="647"/>
        <v>700154.10905915115</v>
      </c>
      <c r="FQ266" s="993">
        <f t="shared" si="648"/>
        <v>30000</v>
      </c>
      <c r="FR266" s="775">
        <f t="shared" si="706"/>
        <v>670154.10905915115</v>
      </c>
      <c r="FS266" s="497">
        <f t="shared" si="707"/>
        <v>40</v>
      </c>
      <c r="FT266" s="775">
        <f t="shared" si="708"/>
        <v>16753.852726478777</v>
      </c>
      <c r="FU266" s="497"/>
      <c r="FV266" s="993">
        <f t="shared" si="709"/>
        <v>4667694.0603943411</v>
      </c>
      <c r="FW266" s="705">
        <f t="shared" si="710"/>
        <v>466769.40603943414</v>
      </c>
      <c r="FX266" s="705">
        <f t="shared" si="711"/>
        <v>116692.35150985853</v>
      </c>
      <c r="FY266" s="705">
        <v>15000</v>
      </c>
      <c r="FZ266" s="705">
        <f t="shared" si="712"/>
        <v>451769.40603943414</v>
      </c>
      <c r="GA266" s="497">
        <f t="shared" si="713"/>
        <v>46</v>
      </c>
      <c r="GB266" s="775">
        <f t="shared" si="714"/>
        <v>9821.0740443355244</v>
      </c>
      <c r="GC266" s="497"/>
      <c r="GD266" s="497"/>
      <c r="GH266" s="1095">
        <f t="shared" si="613"/>
        <v>4667694.0603943411</v>
      </c>
      <c r="GI266" s="1098">
        <f t="shared" si="614"/>
        <v>0.125</v>
      </c>
      <c r="GJ266" s="1095">
        <f t="shared" si="615"/>
        <v>583461.75754929264</v>
      </c>
      <c r="GK266" s="1095">
        <f t="shared" si="616"/>
        <v>30000</v>
      </c>
      <c r="GL266" s="1095">
        <f t="shared" si="617"/>
        <v>553461.75754929264</v>
      </c>
      <c r="GM266" s="1095">
        <f t="shared" si="618"/>
        <v>29</v>
      </c>
      <c r="GN266" s="1095">
        <f t="shared" si="619"/>
        <v>19084.888191354919</v>
      </c>
      <c r="GO266" s="1098">
        <f t="shared" si="620"/>
        <v>0.875</v>
      </c>
      <c r="GP266" s="1095">
        <f t="shared" si="621"/>
        <v>4084232.3028450487</v>
      </c>
      <c r="GQ266" s="1095">
        <f t="shared" si="622"/>
        <v>31665.009572159914</v>
      </c>
      <c r="GR266" s="1095">
        <f t="shared" si="623"/>
        <v>36710.234585258411</v>
      </c>
      <c r="GS266" s="1095">
        <f t="shared" si="624"/>
        <v>47421.400145891741</v>
      </c>
      <c r="GT266" s="1095">
        <f t="shared" si="625"/>
        <v>80872.694713543809</v>
      </c>
      <c r="GU266" s="497"/>
      <c r="GV266" s="1095">
        <f t="shared" si="715"/>
        <v>4667694.0603943411</v>
      </c>
      <c r="GW266" s="1098">
        <f t="shared" si="716"/>
        <v>0.125</v>
      </c>
      <c r="GX266" s="1095">
        <f t="shared" si="717"/>
        <v>583461.75754929264</v>
      </c>
      <c r="GY266" s="1095">
        <f t="shared" si="718"/>
        <v>30000</v>
      </c>
      <c r="GZ266" s="1095">
        <f t="shared" si="719"/>
        <v>553461.75754929264</v>
      </c>
      <c r="HA266" s="1106">
        <f t="shared" si="720"/>
        <v>48</v>
      </c>
      <c r="HB266" s="770">
        <f t="shared" si="721"/>
        <v>11530.453282276931</v>
      </c>
      <c r="HC266" s="1098">
        <f t="shared" si="722"/>
        <v>0.875</v>
      </c>
      <c r="HD266" s="1102">
        <f t="shared" si="723"/>
        <v>4084232.3028450487</v>
      </c>
      <c r="HE266" s="1101">
        <f t="shared" si="724"/>
        <v>31665.009572159914</v>
      </c>
      <c r="HF266" s="1101">
        <f t="shared" si="725"/>
        <v>36710.234585258411</v>
      </c>
      <c r="HG266" s="1101">
        <f t="shared" si="726"/>
        <v>47421.400145891741</v>
      </c>
      <c r="HH266" s="1101">
        <f t="shared" si="727"/>
        <v>80872.694713543809</v>
      </c>
      <c r="HI266" s="497"/>
      <c r="HJ266" s="1102">
        <f t="shared" si="728"/>
        <v>-7554.4349090779888</v>
      </c>
      <c r="HL266" s="775"/>
      <c r="HN266" s="775"/>
      <c r="HO266" s="775"/>
      <c r="HQ266" s="702"/>
      <c r="HR266" s="1171"/>
      <c r="HS266" s="702"/>
      <c r="HT266" s="1171"/>
    </row>
    <row r="267" spans="1:228" ht="14.25" hidden="1" customHeight="1">
      <c r="A267" s="753">
        <f t="shared" si="729"/>
        <v>261</v>
      </c>
      <c r="B267" s="753"/>
      <c r="C267" s="753">
        <f t="shared" si="610"/>
        <v>13</v>
      </c>
      <c r="D267" s="753" t="s">
        <v>284</v>
      </c>
      <c r="E267" s="717" t="str">
        <f t="shared" si="649"/>
        <v>11th Floor</v>
      </c>
      <c r="F267" s="754"/>
      <c r="G267" s="756" t="s">
        <v>709</v>
      </c>
      <c r="H267" s="756"/>
      <c r="I267" s="755" t="s">
        <v>229</v>
      </c>
      <c r="J267" s="757">
        <v>22</v>
      </c>
      <c r="K267" s="758"/>
      <c r="L267" s="759" t="s">
        <v>277</v>
      </c>
      <c r="M267" s="760" t="s">
        <v>68</v>
      </c>
      <c r="N267" s="761">
        <f t="shared" si="650"/>
        <v>106005.26567735759</v>
      </c>
      <c r="O267" s="762">
        <f t="shared" si="651"/>
        <v>2332115.8449018667</v>
      </c>
      <c r="P267" s="762">
        <f t="shared" si="652"/>
        <v>22400</v>
      </c>
      <c r="Q267" s="762">
        <f t="shared" si="626"/>
        <v>50000</v>
      </c>
      <c r="R267" s="762"/>
      <c r="S267" s="762"/>
      <c r="T267" s="762"/>
      <c r="U267" s="762"/>
      <c r="V267" s="762"/>
      <c r="W267" s="762"/>
      <c r="X267" s="762"/>
      <c r="Y267" s="762">
        <f t="shared" si="611"/>
        <v>140000</v>
      </c>
      <c r="Z267" s="762">
        <f t="shared" si="627"/>
        <v>142461</v>
      </c>
      <c r="AA267" s="762"/>
      <c r="AB267" s="762"/>
      <c r="AC267" s="762"/>
      <c r="AD267" s="763">
        <f t="shared" si="653"/>
        <v>354861</v>
      </c>
      <c r="AE267" s="763">
        <f t="shared" si="628"/>
        <v>2686976.8449018667</v>
      </c>
      <c r="AF267" s="762">
        <f t="shared" si="629"/>
        <v>67174.421122546672</v>
      </c>
      <c r="AG267" s="762">
        <f t="shared" si="654"/>
        <v>2754151.2660244135</v>
      </c>
      <c r="AH267" s="762">
        <f t="shared" si="630"/>
        <v>68853.781650610341</v>
      </c>
      <c r="AI267" s="762">
        <f t="shared" si="655"/>
        <v>2823005.0476750238</v>
      </c>
      <c r="AJ267" s="762">
        <f t="shared" si="656"/>
        <v>141150.25238375118</v>
      </c>
      <c r="AK267" s="762">
        <f t="shared" si="657"/>
        <v>2964155.3000587751</v>
      </c>
      <c r="AL267" s="762">
        <f t="shared" si="658"/>
        <v>29641.553000587752</v>
      </c>
      <c r="AM267" s="762">
        <f t="shared" si="659"/>
        <v>27537.409960060559</v>
      </c>
      <c r="AN267" s="762"/>
      <c r="AO267" s="763">
        <f t="shared" si="660"/>
        <v>3021334.2630194235</v>
      </c>
      <c r="AP267" s="763">
        <f t="shared" si="661"/>
        <v>498520.15339820489</v>
      </c>
      <c r="AQ267" s="763">
        <f t="shared" si="662"/>
        <v>3519854.4164176285</v>
      </c>
      <c r="AR267" s="1178">
        <f t="shared" si="631"/>
        <v>3000000</v>
      </c>
      <c r="AS267" s="1178">
        <f t="shared" si="663"/>
        <v>23629.746200801295</v>
      </c>
      <c r="AT267" s="1178">
        <f t="shared" si="664"/>
        <v>519854.41641762853</v>
      </c>
      <c r="AU267" s="1178">
        <f t="shared" si="632"/>
        <v>62382.529970115422</v>
      </c>
      <c r="AV267" s="1178">
        <f t="shared" si="665"/>
        <v>582236.94638774393</v>
      </c>
      <c r="AW267" s="1178">
        <f t="shared" si="666"/>
        <v>3582236.946387744</v>
      </c>
      <c r="AX267" s="762">
        <f t="shared" si="667"/>
        <v>44777.961829846805</v>
      </c>
      <c r="AY267" s="717" t="s">
        <v>231</v>
      </c>
      <c r="AZ267" s="717">
        <f t="shared" si="668"/>
        <v>3627014.9082175908</v>
      </c>
      <c r="BA267" s="717">
        <f t="shared" si="669"/>
        <v>136013.05905815965</v>
      </c>
      <c r="BB267" s="717"/>
      <c r="BC267" s="717">
        <f t="shared" si="633"/>
        <v>33600</v>
      </c>
      <c r="BD267" s="717">
        <f t="shared" si="670"/>
        <v>3796627.9672757504</v>
      </c>
      <c r="BE267" s="717"/>
      <c r="BF267" s="717">
        <f t="shared" si="671"/>
        <v>3796627.9672757504</v>
      </c>
      <c r="BG267" s="1209"/>
      <c r="BH267" s="717">
        <f t="shared" si="672"/>
        <v>3796627.9672757504</v>
      </c>
      <c r="BI267" s="717"/>
      <c r="BJ267" s="717">
        <f t="shared" si="673"/>
        <v>3796627.9672757504</v>
      </c>
      <c r="BK267" s="717"/>
      <c r="BL267" s="717">
        <f t="shared" si="674"/>
        <v>3796627.9672757504</v>
      </c>
      <c r="BM267" s="717"/>
      <c r="BN267" s="717">
        <f t="shared" si="675"/>
        <v>3796627.9672757504</v>
      </c>
      <c r="BO267" s="717"/>
      <c r="BP267" s="717">
        <f t="shared" si="634"/>
        <v>3796627.9672757504</v>
      </c>
      <c r="BQ267" s="717"/>
      <c r="BR267" s="717">
        <f t="shared" si="584"/>
        <v>3796627.9672757504</v>
      </c>
      <c r="BS267" s="717"/>
      <c r="BT267" s="717">
        <f t="shared" si="676"/>
        <v>3796627.9672757504</v>
      </c>
      <c r="BU267" s="717"/>
      <c r="BV267" s="1235">
        <f t="shared" si="585"/>
        <v>51400</v>
      </c>
      <c r="BW267" s="717">
        <f t="shared" si="677"/>
        <v>3848027.9672757504</v>
      </c>
      <c r="BX267" s="717"/>
      <c r="BY267" s="717">
        <f t="shared" si="678"/>
        <v>3848027.9672757504</v>
      </c>
      <c r="BZ267" s="1194">
        <f t="shared" si="679"/>
        <v>3848027.9672757504</v>
      </c>
      <c r="CA267" s="1194">
        <f t="shared" si="680"/>
        <v>3034027.9672757504</v>
      </c>
      <c r="CB267" s="1194">
        <v>37000</v>
      </c>
      <c r="CC267" s="1194">
        <f t="shared" si="681"/>
        <v>814000</v>
      </c>
      <c r="CD267" s="1194">
        <f t="shared" si="682"/>
        <v>97680</v>
      </c>
      <c r="CE267" s="1194">
        <f t="shared" si="683"/>
        <v>911680</v>
      </c>
      <c r="CF267" s="1200">
        <f t="shared" si="684"/>
        <v>3945707.9672757504</v>
      </c>
      <c r="CG267" s="757">
        <f t="shared" si="685"/>
        <v>3945707.9672757504</v>
      </c>
      <c r="CH267" s="758">
        <f t="shared" si="686"/>
        <v>0</v>
      </c>
      <c r="CI267" s="757">
        <f t="shared" si="635"/>
        <v>404435.0666457644</v>
      </c>
      <c r="CJ267" s="757">
        <f t="shared" si="636"/>
        <v>98642.699181893768</v>
      </c>
      <c r="CK267" s="759">
        <f t="shared" si="593"/>
        <v>4448785.7331034085</v>
      </c>
      <c r="CL267" s="764">
        <f t="shared" si="687"/>
        <v>0.125</v>
      </c>
      <c r="CM267" s="757">
        <f t="shared" si="688"/>
        <v>556098.21663792606</v>
      </c>
      <c r="CN267" s="757">
        <f t="shared" si="730"/>
        <v>30000</v>
      </c>
      <c r="CO267" s="757">
        <f t="shared" si="689"/>
        <v>526098.21663792606</v>
      </c>
      <c r="CP267" s="755">
        <f t="shared" si="690"/>
        <v>29</v>
      </c>
      <c r="CQ267" s="757">
        <f t="shared" ref="CQ267:CQ330" si="732">CO267/CP267</f>
        <v>18141.317815100898</v>
      </c>
      <c r="CR267" s="764">
        <f t="shared" si="691"/>
        <v>0.875</v>
      </c>
      <c r="CS267" s="757">
        <f t="shared" si="692"/>
        <v>3892687.5164654823</v>
      </c>
      <c r="CT267" s="1101">
        <f t="shared" si="693"/>
        <v>30179.964882125685</v>
      </c>
      <c r="CU267" s="1101">
        <f t="shared" si="694"/>
        <v>34988.575893934983</v>
      </c>
      <c r="CV267" s="1101">
        <f t="shared" si="695"/>
        <v>45197.402761012978</v>
      </c>
      <c r="CW267" s="1141">
        <f t="shared" si="637"/>
        <v>77079.878369073165</v>
      </c>
      <c r="CX267" s="1152">
        <f t="shared" si="696"/>
        <v>316215.37992537208</v>
      </c>
      <c r="CY267" s="1152">
        <f t="shared" si="697"/>
        <v>125124.88546291657</v>
      </c>
      <c r="CZ267" s="1152">
        <f t="shared" si="698"/>
        <v>90375.93260176231</v>
      </c>
      <c r="DA267" s="1152">
        <f t="shared" si="699"/>
        <v>68780.245402987232</v>
      </c>
      <c r="DB267" s="1143">
        <f t="shared" si="638"/>
        <v>0.17328480547254285</v>
      </c>
      <c r="DC267" s="1143">
        <f t="shared" si="700"/>
        <v>0.30048503502049001</v>
      </c>
      <c r="DD267" s="1098" t="s">
        <v>232</v>
      </c>
      <c r="DE267" s="1144"/>
      <c r="DF267" s="705"/>
      <c r="DG267" s="765">
        <f t="shared" si="731"/>
        <v>46082</v>
      </c>
      <c r="DH267" s="1116">
        <f t="shared" si="639"/>
        <v>28</v>
      </c>
      <c r="DI267" s="497"/>
      <c r="DJ267" s="1117">
        <f t="shared" si="701"/>
        <v>46147</v>
      </c>
      <c r="DK267" s="1116">
        <f t="shared" si="702"/>
        <v>30</v>
      </c>
      <c r="DL267" s="766" t="s">
        <v>233</v>
      </c>
      <c r="DM267" s="766" t="s">
        <v>234</v>
      </c>
      <c r="DN267" s="767">
        <f t="shared" si="640"/>
        <v>26465.315744897453</v>
      </c>
      <c r="DO267" s="767">
        <f t="shared" si="641"/>
        <v>582236.94638774393</v>
      </c>
      <c r="DP267" s="768">
        <f t="shared" si="642"/>
        <v>0.19407898212924798</v>
      </c>
      <c r="DR267" s="767">
        <f t="shared" si="643"/>
        <v>3945707.9672757504</v>
      </c>
      <c r="DS267" s="767">
        <f>SUM('[6]INTERNAL PRICELIST'!M267)</f>
        <v>0</v>
      </c>
      <c r="DT267" s="767">
        <f t="shared" si="703"/>
        <v>3945707.9672757504</v>
      </c>
      <c r="DV267" s="951">
        <f t="shared" si="644"/>
        <v>179350.36214889775</v>
      </c>
      <c r="DX267" s="781"/>
      <c r="DY267" s="782"/>
      <c r="DZ267" s="781"/>
      <c r="EA267" s="775"/>
      <c r="ED267" s="755" t="s">
        <v>709</v>
      </c>
      <c r="EE267" s="777" t="b">
        <f t="shared" si="645"/>
        <v>1</v>
      </c>
      <c r="EF267" s="777"/>
      <c r="EG267" s="777"/>
      <c r="EH267" s="1203"/>
      <c r="EP267" s="1230" t="s">
        <v>236</v>
      </c>
      <c r="EQ267" s="1145" t="s">
        <v>236</v>
      </c>
      <c r="ER267" s="753" t="b">
        <f t="shared" si="704"/>
        <v>1</v>
      </c>
      <c r="EU267" s="770">
        <v>3158898.0774007286</v>
      </c>
      <c r="EV267" s="771" t="s">
        <v>258</v>
      </c>
      <c r="EW267" s="775">
        <f t="shared" si="612"/>
        <v>-786809.88987502176</v>
      </c>
      <c r="EY267" s="775">
        <v>3125281.7816227991</v>
      </c>
      <c r="FJ267" s="994">
        <v>0.15</v>
      </c>
      <c r="FK267" s="993">
        <v>13597.661476345767</v>
      </c>
      <c r="FL267" s="993">
        <v>13965.165840571328</v>
      </c>
      <c r="FM267" s="497"/>
      <c r="FN267" s="993">
        <f t="shared" si="646"/>
        <v>4448785.7331034085</v>
      </c>
      <c r="FO267" s="994">
        <f t="shared" si="705"/>
        <v>0.15</v>
      </c>
      <c r="FP267" s="775">
        <f t="shared" si="647"/>
        <v>667317.85996551125</v>
      </c>
      <c r="FQ267" s="993">
        <f t="shared" si="648"/>
        <v>30000</v>
      </c>
      <c r="FR267" s="775">
        <f t="shared" si="706"/>
        <v>637317.85996551125</v>
      </c>
      <c r="FS267" s="497">
        <f t="shared" si="707"/>
        <v>40</v>
      </c>
      <c r="FT267" s="775">
        <f t="shared" si="708"/>
        <v>15932.946499137781</v>
      </c>
      <c r="FU267" s="497"/>
      <c r="FV267" s="993">
        <f t="shared" si="709"/>
        <v>4448785.7331034085</v>
      </c>
      <c r="FW267" s="705">
        <f t="shared" si="710"/>
        <v>444878.57331034087</v>
      </c>
      <c r="FX267" s="705">
        <f t="shared" si="711"/>
        <v>111219.64332758522</v>
      </c>
      <c r="FY267" s="705">
        <v>15000</v>
      </c>
      <c r="FZ267" s="705">
        <f t="shared" si="712"/>
        <v>429878.57331034087</v>
      </c>
      <c r="GA267" s="497">
        <f t="shared" si="713"/>
        <v>46</v>
      </c>
      <c r="GB267" s="775">
        <f t="shared" si="714"/>
        <v>9345.1863763117581</v>
      </c>
      <c r="GC267" s="497"/>
      <c r="GD267" s="497"/>
      <c r="GH267" s="1095">
        <f t="shared" si="613"/>
        <v>4448785.7331034085</v>
      </c>
      <c r="GI267" s="1098">
        <f t="shared" si="614"/>
        <v>0.125</v>
      </c>
      <c r="GJ267" s="1095">
        <f t="shared" si="615"/>
        <v>556098.21663792606</v>
      </c>
      <c r="GK267" s="1095">
        <f t="shared" si="616"/>
        <v>30000</v>
      </c>
      <c r="GL267" s="1095">
        <f t="shared" si="617"/>
        <v>526098.21663792606</v>
      </c>
      <c r="GM267" s="1095">
        <f t="shared" si="618"/>
        <v>29</v>
      </c>
      <c r="GN267" s="1095">
        <f t="shared" si="619"/>
        <v>18141.317815100898</v>
      </c>
      <c r="GO267" s="1098">
        <f t="shared" si="620"/>
        <v>0.875</v>
      </c>
      <c r="GP267" s="1095">
        <f t="shared" si="621"/>
        <v>3892687.5164654823</v>
      </c>
      <c r="GQ267" s="1095">
        <f t="shared" si="622"/>
        <v>30179.964882125685</v>
      </c>
      <c r="GR267" s="1095">
        <f t="shared" si="623"/>
        <v>34988.575893934983</v>
      </c>
      <c r="GS267" s="1095">
        <f t="shared" si="624"/>
        <v>45197.402761012978</v>
      </c>
      <c r="GT267" s="1095">
        <f t="shared" si="625"/>
        <v>77079.878369073165</v>
      </c>
      <c r="GU267" s="497"/>
      <c r="GV267" s="1095">
        <f t="shared" si="715"/>
        <v>4448785.7331034085</v>
      </c>
      <c r="GW267" s="1098">
        <f t="shared" si="716"/>
        <v>0.125</v>
      </c>
      <c r="GX267" s="1095">
        <f t="shared" si="717"/>
        <v>556098.21663792606</v>
      </c>
      <c r="GY267" s="1095">
        <f t="shared" si="718"/>
        <v>30000</v>
      </c>
      <c r="GZ267" s="1095">
        <f t="shared" si="719"/>
        <v>526098.21663792606</v>
      </c>
      <c r="HA267" s="1106">
        <f t="shared" si="720"/>
        <v>48</v>
      </c>
      <c r="HB267" s="770">
        <f t="shared" si="721"/>
        <v>10960.379513290127</v>
      </c>
      <c r="HC267" s="1098">
        <f t="shared" si="722"/>
        <v>0.875</v>
      </c>
      <c r="HD267" s="1102">
        <f t="shared" si="723"/>
        <v>3892687.5164654823</v>
      </c>
      <c r="HE267" s="1101">
        <f t="shared" si="724"/>
        <v>30179.964882125685</v>
      </c>
      <c r="HF267" s="1101">
        <f t="shared" si="725"/>
        <v>34988.575893934983</v>
      </c>
      <c r="HG267" s="1101">
        <f t="shared" si="726"/>
        <v>45197.402761012978</v>
      </c>
      <c r="HH267" s="1101">
        <f t="shared" si="727"/>
        <v>77079.878369073165</v>
      </c>
      <c r="HI267" s="497"/>
      <c r="HJ267" s="1102">
        <f t="shared" si="728"/>
        <v>-7180.938301810771</v>
      </c>
      <c r="HL267" s="775"/>
      <c r="HN267" s="775"/>
      <c r="HO267" s="775"/>
      <c r="HQ267" s="702"/>
      <c r="HR267" s="1171"/>
      <c r="HS267" s="702"/>
      <c r="HT267" s="1171"/>
    </row>
    <row r="268" spans="1:228" ht="14.25" hidden="1" customHeight="1">
      <c r="A268" s="753">
        <f t="shared" si="729"/>
        <v>262</v>
      </c>
      <c r="B268" s="753"/>
      <c r="C268" s="753">
        <f t="shared" si="610"/>
        <v>14</v>
      </c>
      <c r="D268" s="753" t="s">
        <v>284</v>
      </c>
      <c r="E268" s="717" t="str">
        <f t="shared" si="649"/>
        <v>11th Floor</v>
      </c>
      <c r="F268" s="754"/>
      <c r="G268" s="756" t="s">
        <v>710</v>
      </c>
      <c r="H268" s="756"/>
      <c r="I268" s="755" t="s">
        <v>229</v>
      </c>
      <c r="J268" s="757">
        <v>22</v>
      </c>
      <c r="K268" s="758"/>
      <c r="L268" s="759" t="s">
        <v>277</v>
      </c>
      <c r="M268" s="760" t="s">
        <v>278</v>
      </c>
      <c r="N268" s="761">
        <f t="shared" si="650"/>
        <v>106005.26567735759</v>
      </c>
      <c r="O268" s="762">
        <f t="shared" si="651"/>
        <v>2332115.8449018667</v>
      </c>
      <c r="P268" s="762">
        <f t="shared" si="652"/>
        <v>22400</v>
      </c>
      <c r="Q268" s="762">
        <f t="shared" si="626"/>
        <v>50000</v>
      </c>
      <c r="R268" s="762"/>
      <c r="S268" s="762"/>
      <c r="T268" s="762"/>
      <c r="U268" s="762"/>
      <c r="V268" s="762"/>
      <c r="W268" s="762">
        <f t="shared" ref="W268:W269" si="733">J268*$W$5</f>
        <v>22000</v>
      </c>
      <c r="X268" s="762"/>
      <c r="Y268" s="762">
        <f t="shared" si="611"/>
        <v>140000</v>
      </c>
      <c r="Z268" s="762">
        <f t="shared" si="627"/>
        <v>142461</v>
      </c>
      <c r="AA268" s="762"/>
      <c r="AB268" s="762"/>
      <c r="AC268" s="762"/>
      <c r="AD268" s="763">
        <f t="shared" si="653"/>
        <v>376861</v>
      </c>
      <c r="AE268" s="763">
        <f t="shared" si="628"/>
        <v>2708976.8449018667</v>
      </c>
      <c r="AF268" s="762">
        <f t="shared" si="629"/>
        <v>67724.421122546672</v>
      </c>
      <c r="AG268" s="762">
        <f t="shared" si="654"/>
        <v>2776701.2660244135</v>
      </c>
      <c r="AH268" s="762">
        <f t="shared" si="630"/>
        <v>69417.531650610341</v>
      </c>
      <c r="AI268" s="762">
        <f t="shared" si="655"/>
        <v>2846118.7976750238</v>
      </c>
      <c r="AJ268" s="762">
        <f t="shared" si="656"/>
        <v>142305.93988375118</v>
      </c>
      <c r="AK268" s="762">
        <f t="shared" si="657"/>
        <v>2988424.7375587751</v>
      </c>
      <c r="AL268" s="762">
        <f t="shared" si="658"/>
        <v>29884.247375587751</v>
      </c>
      <c r="AM268" s="762">
        <f t="shared" si="659"/>
        <v>27537.409960060559</v>
      </c>
      <c r="AN268" s="762"/>
      <c r="AO268" s="763">
        <f t="shared" si="660"/>
        <v>3045846.3948944234</v>
      </c>
      <c r="AP268" s="763">
        <f t="shared" si="661"/>
        <v>502564.65515757987</v>
      </c>
      <c r="AQ268" s="763">
        <f t="shared" si="662"/>
        <v>3548411.0500520035</v>
      </c>
      <c r="AR268" s="1178">
        <f t="shared" si="631"/>
        <v>3000000</v>
      </c>
      <c r="AS268" s="1178">
        <f t="shared" si="663"/>
        <v>24927.775002363793</v>
      </c>
      <c r="AT268" s="1178">
        <f t="shared" si="664"/>
        <v>548411.05005200347</v>
      </c>
      <c r="AU268" s="1178">
        <f t="shared" si="632"/>
        <v>65809.326006240415</v>
      </c>
      <c r="AV268" s="1178">
        <f t="shared" si="665"/>
        <v>614220.37605824391</v>
      </c>
      <c r="AW268" s="1178">
        <f t="shared" si="666"/>
        <v>3614220.3760582437</v>
      </c>
      <c r="AX268" s="762">
        <f t="shared" si="667"/>
        <v>45177.754700728052</v>
      </c>
      <c r="AY268" s="717" t="s">
        <v>231</v>
      </c>
      <c r="AZ268" s="717">
        <f t="shared" si="668"/>
        <v>3659398.1307589719</v>
      </c>
      <c r="BA268" s="717">
        <f t="shared" si="669"/>
        <v>137227.42990346145</v>
      </c>
      <c r="BB268" s="717"/>
      <c r="BC268" s="717">
        <f t="shared" si="633"/>
        <v>33600</v>
      </c>
      <c r="BD268" s="717">
        <f t="shared" si="670"/>
        <v>3830225.5606624335</v>
      </c>
      <c r="BE268" s="717"/>
      <c r="BF268" s="717">
        <f t="shared" si="671"/>
        <v>3830225.5606624335</v>
      </c>
      <c r="BG268" s="1209"/>
      <c r="BH268" s="717">
        <f t="shared" si="672"/>
        <v>3830225.5606624335</v>
      </c>
      <c r="BI268" s="717"/>
      <c r="BJ268" s="717">
        <f t="shared" si="673"/>
        <v>3830225.5606624335</v>
      </c>
      <c r="BK268" s="717"/>
      <c r="BL268" s="717">
        <f t="shared" si="674"/>
        <v>3830225.5606624335</v>
      </c>
      <c r="BM268" s="717"/>
      <c r="BN268" s="717">
        <f t="shared" si="675"/>
        <v>3830225.5606624335</v>
      </c>
      <c r="BO268" s="717"/>
      <c r="BP268" s="717">
        <f t="shared" si="634"/>
        <v>3830225.5606624335</v>
      </c>
      <c r="BQ268" s="717"/>
      <c r="BR268" s="717">
        <f t="shared" si="584"/>
        <v>3830225.5606624335</v>
      </c>
      <c r="BS268" s="717"/>
      <c r="BT268" s="717">
        <f t="shared" si="676"/>
        <v>3830225.5606624335</v>
      </c>
      <c r="BU268" s="717"/>
      <c r="BV268" s="1235">
        <f t="shared" si="585"/>
        <v>51400</v>
      </c>
      <c r="BW268" s="717">
        <f t="shared" si="677"/>
        <v>3881625.5606624335</v>
      </c>
      <c r="BX268" s="717"/>
      <c r="BY268" s="717">
        <f t="shared" si="678"/>
        <v>3881625.5606624335</v>
      </c>
      <c r="BZ268" s="1194">
        <f t="shared" si="679"/>
        <v>3881625.5606624335</v>
      </c>
      <c r="CA268" s="1194">
        <f t="shared" si="680"/>
        <v>3001625.5606624335</v>
      </c>
      <c r="CB268" s="1194">
        <v>40000</v>
      </c>
      <c r="CC268" s="1194">
        <f t="shared" si="681"/>
        <v>880000</v>
      </c>
      <c r="CD268" s="1194">
        <f t="shared" si="682"/>
        <v>105600</v>
      </c>
      <c r="CE268" s="1194">
        <f t="shared" si="683"/>
        <v>985600</v>
      </c>
      <c r="CF268" s="1200">
        <f t="shared" si="684"/>
        <v>3987225.5606624335</v>
      </c>
      <c r="CG268" s="757">
        <f t="shared" si="685"/>
        <v>3987225.5606624335</v>
      </c>
      <c r="CH268" s="758">
        <f t="shared" si="686"/>
        <v>0</v>
      </c>
      <c r="CI268" s="757">
        <f t="shared" si="635"/>
        <v>408690.6199678994</v>
      </c>
      <c r="CJ268" s="757">
        <f t="shared" si="636"/>
        <v>99680.639016560846</v>
      </c>
      <c r="CK268" s="759">
        <f t="shared" si="593"/>
        <v>4495596.819646894</v>
      </c>
      <c r="CL268" s="764">
        <f t="shared" si="687"/>
        <v>0.125</v>
      </c>
      <c r="CM268" s="757">
        <f t="shared" si="688"/>
        <v>561949.60245586175</v>
      </c>
      <c r="CN268" s="757">
        <f t="shared" si="730"/>
        <v>30000</v>
      </c>
      <c r="CO268" s="757">
        <f t="shared" si="689"/>
        <v>531949.60245586175</v>
      </c>
      <c r="CP268" s="755">
        <f t="shared" si="690"/>
        <v>29</v>
      </c>
      <c r="CQ268" s="757">
        <f t="shared" si="732"/>
        <v>18343.089739857303</v>
      </c>
      <c r="CR268" s="764">
        <f t="shared" si="691"/>
        <v>0.875</v>
      </c>
      <c r="CS268" s="757">
        <f t="shared" si="692"/>
        <v>3933647.2171910321</v>
      </c>
      <c r="CT268" s="1101">
        <f t="shared" si="693"/>
        <v>30497.525005883555</v>
      </c>
      <c r="CU268" s="1101">
        <f t="shared" si="694"/>
        <v>35356.733263712769</v>
      </c>
      <c r="CV268" s="1101">
        <f t="shared" si="695"/>
        <v>45672.97961706233</v>
      </c>
      <c r="CW268" s="1141">
        <f t="shared" si="637"/>
        <v>77890.929535293079</v>
      </c>
      <c r="CX268" s="1152">
        <f t="shared" si="696"/>
        <v>319542.66660630231</v>
      </c>
      <c r="CY268" s="1152">
        <f t="shared" si="697"/>
        <v>126441.47659441672</v>
      </c>
      <c r="CZ268" s="1152">
        <f t="shared" si="698"/>
        <v>91326.887728908448</v>
      </c>
      <c r="DA268" s="1152">
        <f t="shared" si="699"/>
        <v>69503.966034458368</v>
      </c>
      <c r="DB268" s="1143">
        <f t="shared" si="638"/>
        <v>0.18280368335066782</v>
      </c>
      <c r="DC268" s="1143">
        <f t="shared" si="700"/>
        <v>0.3283554127858927</v>
      </c>
      <c r="DD268" s="1098" t="s">
        <v>232</v>
      </c>
      <c r="DE268" s="1144"/>
      <c r="DF268" s="705"/>
      <c r="DG268" s="765">
        <f t="shared" si="731"/>
        <v>46082</v>
      </c>
      <c r="DH268" s="1116">
        <f t="shared" si="639"/>
        <v>28</v>
      </c>
      <c r="DI268" s="497"/>
      <c r="DJ268" s="1117">
        <f t="shared" si="701"/>
        <v>46147</v>
      </c>
      <c r="DK268" s="1116">
        <f t="shared" si="702"/>
        <v>30</v>
      </c>
      <c r="DL268" s="766" t="s">
        <v>233</v>
      </c>
      <c r="DM268" s="766" t="s">
        <v>234</v>
      </c>
      <c r="DN268" s="767">
        <f t="shared" si="640"/>
        <v>27919.108002647452</v>
      </c>
      <c r="DO268" s="767">
        <f t="shared" si="641"/>
        <v>614220.37605824391</v>
      </c>
      <c r="DP268" s="768">
        <f t="shared" si="642"/>
        <v>0.20474012535274796</v>
      </c>
      <c r="DR268" s="767">
        <f t="shared" si="643"/>
        <v>3987225.5606624335</v>
      </c>
      <c r="DS268" s="767">
        <f>SUM('[6]INTERNAL PRICELIST'!M268)</f>
        <v>0</v>
      </c>
      <c r="DT268" s="767">
        <f t="shared" si="703"/>
        <v>3987225.5606624335</v>
      </c>
      <c r="DV268" s="951">
        <f t="shared" si="644"/>
        <v>181237.52548465607</v>
      </c>
      <c r="DX268" s="781"/>
      <c r="DY268" s="782"/>
      <c r="DZ268" s="781"/>
      <c r="EA268" s="775"/>
      <c r="ED268" s="755" t="s">
        <v>710</v>
      </c>
      <c r="EE268" s="777" t="b">
        <f t="shared" si="645"/>
        <v>1</v>
      </c>
      <c r="EF268" s="777"/>
      <c r="EG268" s="777"/>
      <c r="EH268" s="1203"/>
      <c r="EP268" s="1230" t="s">
        <v>236</v>
      </c>
      <c r="EQ268" s="1145" t="s">
        <v>236</v>
      </c>
      <c r="ER268" s="753" t="b">
        <f t="shared" si="704"/>
        <v>1</v>
      </c>
      <c r="EU268" s="770">
        <v>3186727.0324007287</v>
      </c>
      <c r="EV268" s="771" t="s">
        <v>258</v>
      </c>
      <c r="EW268" s="775">
        <f t="shared" si="612"/>
        <v>-800498.52826170484</v>
      </c>
      <c r="EY268" s="775">
        <v>3152864.4827302992</v>
      </c>
      <c r="FJ268" s="994">
        <v>0.15</v>
      </c>
      <c r="FK268" s="993">
        <v>13719.848003181623</v>
      </c>
      <c r="FL268" s="993">
        <v>14090.654705970315</v>
      </c>
      <c r="FM268" s="497"/>
      <c r="FN268" s="993">
        <f t="shared" si="646"/>
        <v>4495596.819646894</v>
      </c>
      <c r="FO268" s="994">
        <f t="shared" si="705"/>
        <v>0.15</v>
      </c>
      <c r="FP268" s="775">
        <f t="shared" si="647"/>
        <v>674339.5229470341</v>
      </c>
      <c r="FQ268" s="993">
        <f t="shared" si="648"/>
        <v>30000</v>
      </c>
      <c r="FR268" s="775">
        <f t="shared" si="706"/>
        <v>644339.5229470341</v>
      </c>
      <c r="FS268" s="497">
        <f t="shared" si="707"/>
        <v>40</v>
      </c>
      <c r="FT268" s="775">
        <f t="shared" si="708"/>
        <v>16108.488073675853</v>
      </c>
      <c r="FU268" s="497"/>
      <c r="FV268" s="993">
        <f t="shared" si="709"/>
        <v>4495596.819646894</v>
      </c>
      <c r="FW268" s="705">
        <f t="shared" si="710"/>
        <v>449559.6819646894</v>
      </c>
      <c r="FX268" s="705">
        <f t="shared" si="711"/>
        <v>112389.92049117235</v>
      </c>
      <c r="FY268" s="705">
        <v>15000</v>
      </c>
      <c r="FZ268" s="705">
        <f t="shared" si="712"/>
        <v>434559.6819646894</v>
      </c>
      <c r="GA268" s="497">
        <f t="shared" si="713"/>
        <v>46</v>
      </c>
      <c r="GB268" s="775">
        <f t="shared" si="714"/>
        <v>9446.9496079280307</v>
      </c>
      <c r="GC268" s="497"/>
      <c r="GD268" s="497"/>
      <c r="GH268" s="1095">
        <f t="shared" si="613"/>
        <v>4495596.819646894</v>
      </c>
      <c r="GI268" s="1098">
        <f t="shared" si="614"/>
        <v>0.125</v>
      </c>
      <c r="GJ268" s="1095">
        <f t="shared" si="615"/>
        <v>561949.60245586175</v>
      </c>
      <c r="GK268" s="1095">
        <f t="shared" si="616"/>
        <v>30000</v>
      </c>
      <c r="GL268" s="1095">
        <f t="shared" si="617"/>
        <v>531949.60245586175</v>
      </c>
      <c r="GM268" s="1095">
        <f t="shared" si="618"/>
        <v>29</v>
      </c>
      <c r="GN268" s="1095">
        <f t="shared" si="619"/>
        <v>18343.089739857303</v>
      </c>
      <c r="GO268" s="1098">
        <f t="shared" si="620"/>
        <v>0.875</v>
      </c>
      <c r="GP268" s="1095">
        <f t="shared" si="621"/>
        <v>3933647.2171910321</v>
      </c>
      <c r="GQ268" s="1095">
        <f t="shared" si="622"/>
        <v>30497.525005883555</v>
      </c>
      <c r="GR268" s="1095">
        <f t="shared" si="623"/>
        <v>35356.733263712769</v>
      </c>
      <c r="GS268" s="1095">
        <f t="shared" si="624"/>
        <v>45672.97961706233</v>
      </c>
      <c r="GT268" s="1095">
        <f t="shared" si="625"/>
        <v>77890.929535293079</v>
      </c>
      <c r="GU268" s="497"/>
      <c r="GV268" s="1095">
        <f t="shared" si="715"/>
        <v>4495596.819646894</v>
      </c>
      <c r="GW268" s="1098">
        <f t="shared" si="716"/>
        <v>0.125</v>
      </c>
      <c r="GX268" s="1095">
        <f t="shared" si="717"/>
        <v>561949.60245586175</v>
      </c>
      <c r="GY268" s="1095">
        <f t="shared" si="718"/>
        <v>30000</v>
      </c>
      <c r="GZ268" s="1095">
        <f t="shared" si="719"/>
        <v>531949.60245586175</v>
      </c>
      <c r="HA268" s="1106">
        <f t="shared" si="720"/>
        <v>48</v>
      </c>
      <c r="HB268" s="770">
        <f t="shared" si="721"/>
        <v>11082.283384497119</v>
      </c>
      <c r="HC268" s="1098">
        <f t="shared" si="722"/>
        <v>0.875</v>
      </c>
      <c r="HD268" s="1102">
        <f t="shared" si="723"/>
        <v>3933647.2171910321</v>
      </c>
      <c r="HE268" s="1101">
        <f t="shared" si="724"/>
        <v>30497.525005883555</v>
      </c>
      <c r="HF268" s="1101">
        <f t="shared" si="725"/>
        <v>35356.733263712769</v>
      </c>
      <c r="HG268" s="1101">
        <f t="shared" si="726"/>
        <v>45672.97961706233</v>
      </c>
      <c r="HH268" s="1101">
        <f t="shared" si="727"/>
        <v>77890.929535293079</v>
      </c>
      <c r="HI268" s="497"/>
      <c r="HJ268" s="1102">
        <f t="shared" si="728"/>
        <v>-7260.8063553601842</v>
      </c>
      <c r="HL268" s="775"/>
      <c r="HN268" s="775"/>
      <c r="HO268" s="775"/>
      <c r="HQ268" s="702"/>
      <c r="HR268" s="1171"/>
      <c r="HS268" s="702"/>
      <c r="HT268" s="1171"/>
    </row>
    <row r="269" spans="1:228" ht="14.25" customHeight="1">
      <c r="A269" s="753">
        <f t="shared" si="729"/>
        <v>263</v>
      </c>
      <c r="B269" s="753"/>
      <c r="C269" s="753">
        <f t="shared" si="610"/>
        <v>15</v>
      </c>
      <c r="D269" s="753" t="s">
        <v>284</v>
      </c>
      <c r="E269" s="717" t="str">
        <f t="shared" si="649"/>
        <v>11th Floor</v>
      </c>
      <c r="F269" s="754"/>
      <c r="G269" s="756" t="s">
        <v>711</v>
      </c>
      <c r="H269" s="756"/>
      <c r="I269" s="755" t="s">
        <v>229</v>
      </c>
      <c r="J269" s="757">
        <v>22</v>
      </c>
      <c r="K269" s="758"/>
      <c r="L269" s="759" t="s">
        <v>277</v>
      </c>
      <c r="M269" s="760" t="s">
        <v>278</v>
      </c>
      <c r="N269" s="761">
        <f t="shared" si="650"/>
        <v>106005.26567735759</v>
      </c>
      <c r="O269" s="762">
        <f t="shared" si="651"/>
        <v>2332115.8449018667</v>
      </c>
      <c r="P269" s="762">
        <f t="shared" si="652"/>
        <v>22400</v>
      </c>
      <c r="Q269" s="762">
        <f t="shared" si="626"/>
        <v>50000</v>
      </c>
      <c r="R269" s="762"/>
      <c r="S269" s="762"/>
      <c r="T269" s="762"/>
      <c r="U269" s="762"/>
      <c r="V269" s="762"/>
      <c r="W269" s="762">
        <f t="shared" si="733"/>
        <v>22000</v>
      </c>
      <c r="X269" s="762"/>
      <c r="Y269" s="762">
        <f t="shared" si="611"/>
        <v>140000</v>
      </c>
      <c r="Z269" s="762">
        <f t="shared" si="627"/>
        <v>142461</v>
      </c>
      <c r="AA269" s="762">
        <v>16000</v>
      </c>
      <c r="AB269" s="762"/>
      <c r="AC269" s="762"/>
      <c r="AD269" s="763">
        <f t="shared" si="653"/>
        <v>392861</v>
      </c>
      <c r="AE269" s="763">
        <f t="shared" si="628"/>
        <v>2724976.8449018667</v>
      </c>
      <c r="AF269" s="762">
        <f t="shared" si="629"/>
        <v>68124.421122546672</v>
      </c>
      <c r="AG269" s="762">
        <f t="shared" si="654"/>
        <v>2793101.2660244135</v>
      </c>
      <c r="AH269" s="762">
        <f t="shared" si="630"/>
        <v>69827.531650610341</v>
      </c>
      <c r="AI269" s="762">
        <f t="shared" si="655"/>
        <v>2862928.7976750238</v>
      </c>
      <c r="AJ269" s="762">
        <f t="shared" si="656"/>
        <v>143146.43988375118</v>
      </c>
      <c r="AK269" s="762">
        <f t="shared" si="657"/>
        <v>3006075.2375587751</v>
      </c>
      <c r="AL269" s="762">
        <f t="shared" si="658"/>
        <v>30060.752375587752</v>
      </c>
      <c r="AM269" s="762">
        <f t="shared" si="659"/>
        <v>27537.409960060559</v>
      </c>
      <c r="AN269" s="762"/>
      <c r="AO269" s="763">
        <f t="shared" si="660"/>
        <v>3063673.3998944233</v>
      </c>
      <c r="AP269" s="763">
        <f t="shared" si="661"/>
        <v>505506.11098257988</v>
      </c>
      <c r="AQ269" s="763">
        <f t="shared" si="662"/>
        <v>3569179.510877003</v>
      </c>
      <c r="AR269" s="1178">
        <f t="shared" si="631"/>
        <v>3000000</v>
      </c>
      <c r="AS269" s="1178">
        <f t="shared" si="663"/>
        <v>25871.795948954681</v>
      </c>
      <c r="AT269" s="1178">
        <f t="shared" si="664"/>
        <v>569179.51087700296</v>
      </c>
      <c r="AU269" s="1178">
        <f t="shared" si="632"/>
        <v>68301.54130524036</v>
      </c>
      <c r="AV269" s="1178">
        <f t="shared" si="665"/>
        <v>637481.05218224332</v>
      </c>
      <c r="AW269" s="1178">
        <f t="shared" si="666"/>
        <v>3637481.0521822432</v>
      </c>
      <c r="AX269" s="762">
        <f t="shared" si="667"/>
        <v>45468.513152278043</v>
      </c>
      <c r="AY269" s="717">
        <v>7575.3956645161297</v>
      </c>
      <c r="AZ269" s="717">
        <f t="shared" si="668"/>
        <v>3690524.9609990371</v>
      </c>
      <c r="BA269" s="717">
        <f t="shared" si="669"/>
        <v>138394.68603746389</v>
      </c>
      <c r="BB269" s="717"/>
      <c r="BC269" s="717">
        <f t="shared" si="633"/>
        <v>33600</v>
      </c>
      <c r="BD269" s="717">
        <f t="shared" si="670"/>
        <v>3862519.6470365012</v>
      </c>
      <c r="BE269" s="717">
        <v>18367.830916129038</v>
      </c>
      <c r="BF269" s="717">
        <f t="shared" si="671"/>
        <v>3880887.4779526303</v>
      </c>
      <c r="BG269" s="1209"/>
      <c r="BH269" s="717">
        <f t="shared" si="672"/>
        <v>3880887.4779526303</v>
      </c>
      <c r="BI269" s="717">
        <v>718.43902439024396</v>
      </c>
      <c r="BJ269" s="717">
        <f t="shared" si="673"/>
        <v>3881605.9169770204</v>
      </c>
      <c r="BK269" s="717"/>
      <c r="BL269" s="717">
        <f t="shared" si="674"/>
        <v>3881605.9169770204</v>
      </c>
      <c r="BM269" s="717">
        <f>$BM$5/41</f>
        <v>1038.0487804878051</v>
      </c>
      <c r="BN269" s="717">
        <f t="shared" si="675"/>
        <v>3882643.9657575083</v>
      </c>
      <c r="BO269" s="717">
        <f>$BO$5/51</f>
        <v>7289.0781490196077</v>
      </c>
      <c r="BP269" s="717">
        <f t="shared" si="634"/>
        <v>3889933.043906528</v>
      </c>
      <c r="BQ269" s="717">
        <f>$BQ$5/56</f>
        <v>4468.4242000000004</v>
      </c>
      <c r="BR269" s="717">
        <f t="shared" si="584"/>
        <v>3894401.4681065278</v>
      </c>
      <c r="BS269" s="1234">
        <f t="shared" ref="BS269:BS270" si="734">$BS$5/64</f>
        <v>2651.4786794501206</v>
      </c>
      <c r="BT269" s="1235">
        <f t="shared" si="676"/>
        <v>3897052.946785978</v>
      </c>
      <c r="BU269" s="1235">
        <f t="shared" ref="BU269:BU270" si="735">$BU$5/65</f>
        <v>211.07692307692309</v>
      </c>
      <c r="BV269" s="1235">
        <f t="shared" si="585"/>
        <v>51400</v>
      </c>
      <c r="BW269" s="717">
        <f t="shared" si="677"/>
        <v>3948664.023709055</v>
      </c>
      <c r="BX269" s="1234">
        <f t="shared" si="589"/>
        <v>27651.078536278128</v>
      </c>
      <c r="BY269" s="717">
        <f t="shared" si="678"/>
        <v>3976315.1022453331</v>
      </c>
      <c r="BZ269" s="1194">
        <f t="shared" si="679"/>
        <v>3976315.1022453331</v>
      </c>
      <c r="CA269" s="1194">
        <f t="shared" si="680"/>
        <v>3096315.1022453331</v>
      </c>
      <c r="CB269" s="1194">
        <f t="shared" ref="CB269:CB270" si="736">$CB$5</f>
        <v>40000</v>
      </c>
      <c r="CC269" s="1194">
        <f t="shared" si="681"/>
        <v>880000</v>
      </c>
      <c r="CD269" s="1194">
        <f t="shared" si="682"/>
        <v>105600</v>
      </c>
      <c r="CE269" s="1194">
        <f t="shared" si="683"/>
        <v>985600</v>
      </c>
      <c r="CF269" s="1200">
        <f t="shared" si="684"/>
        <v>4081915.1022453331</v>
      </c>
      <c r="CG269" s="757">
        <f t="shared" si="685"/>
        <v>4081915.1022453331</v>
      </c>
      <c r="CH269" s="758">
        <f t="shared" si="686"/>
        <v>0</v>
      </c>
      <c r="CI269" s="757">
        <f t="shared" si="635"/>
        <v>418396.2979801466</v>
      </c>
      <c r="CJ269" s="757">
        <f t="shared" si="636"/>
        <v>102047.87755613333</v>
      </c>
      <c r="CK269" s="759">
        <f t="shared" si="593"/>
        <v>4602359.2777816132</v>
      </c>
      <c r="CL269" s="764">
        <f t="shared" si="687"/>
        <v>0.125</v>
      </c>
      <c r="CM269" s="757">
        <f t="shared" si="688"/>
        <v>575294.90972270165</v>
      </c>
      <c r="CN269" s="757">
        <f t="shared" si="730"/>
        <v>30000</v>
      </c>
      <c r="CO269" s="757">
        <f t="shared" si="689"/>
        <v>545294.90972270165</v>
      </c>
      <c r="CP269" s="755">
        <f t="shared" si="690"/>
        <v>29</v>
      </c>
      <c r="CQ269" s="757">
        <f t="shared" si="732"/>
        <v>18803.272749058677</v>
      </c>
      <c r="CR269" s="764">
        <f t="shared" si="691"/>
        <v>0.875</v>
      </c>
      <c r="CS269" s="757">
        <f t="shared" si="692"/>
        <v>4027064.3680589115</v>
      </c>
      <c r="CT269" s="1101">
        <f t="shared" si="693"/>
        <v>31221.787182247703</v>
      </c>
      <c r="CU269" s="1101">
        <f t="shared" si="694"/>
        <v>36196.393025538135</v>
      </c>
      <c r="CV269" s="1101">
        <f t="shared" si="695"/>
        <v>46757.631949082956</v>
      </c>
      <c r="CW269" s="1141">
        <f t="shared" si="637"/>
        <v>79740.701086701738</v>
      </c>
      <c r="CX269" s="1152">
        <f t="shared" si="696"/>
        <v>327131.23869904876</v>
      </c>
      <c r="CY269" s="1152">
        <f t="shared" si="697"/>
        <v>129444.23760545948</v>
      </c>
      <c r="CZ269" s="1152">
        <f t="shared" si="698"/>
        <v>93495.739478496107</v>
      </c>
      <c r="DA269" s="1152">
        <f t="shared" si="699"/>
        <v>71154.562064672136</v>
      </c>
      <c r="DB269" s="1143">
        <f t="shared" si="638"/>
        <v>0.18972650362566765</v>
      </c>
      <c r="DC269" s="1143">
        <f t="shared" si="700"/>
        <v>0.3183138561334663</v>
      </c>
      <c r="DD269" s="1098" t="s">
        <v>232</v>
      </c>
      <c r="DE269" s="1144"/>
      <c r="DF269" s="705"/>
      <c r="DG269" s="765">
        <f t="shared" si="731"/>
        <v>46082</v>
      </c>
      <c r="DH269" s="1116">
        <f t="shared" si="639"/>
        <v>28</v>
      </c>
      <c r="DI269" s="497"/>
      <c r="DJ269" s="1117">
        <f t="shared" si="701"/>
        <v>46147</v>
      </c>
      <c r="DK269" s="1116">
        <f t="shared" si="702"/>
        <v>30</v>
      </c>
      <c r="DL269" s="766" t="s">
        <v>233</v>
      </c>
      <c r="DM269" s="766" t="s">
        <v>234</v>
      </c>
      <c r="DN269" s="767">
        <f t="shared" si="640"/>
        <v>28976.411462829241</v>
      </c>
      <c r="DO269" s="767">
        <f t="shared" si="641"/>
        <v>637481.05218224332</v>
      </c>
      <c r="DP269" s="768">
        <f t="shared" si="642"/>
        <v>0.21249368406074778</v>
      </c>
      <c r="DR269" s="767">
        <f t="shared" si="643"/>
        <v>4081915.1022453331</v>
      </c>
      <c r="DS269" s="767">
        <f>SUM('[6]INTERNAL PRICELIST'!M269)</f>
        <v>0</v>
      </c>
      <c r="DT269" s="767">
        <f t="shared" si="703"/>
        <v>4081915.1022453331</v>
      </c>
      <c r="DV269" s="951">
        <f t="shared" si="644"/>
        <v>185541.59555660604</v>
      </c>
      <c r="DX269" s="781"/>
      <c r="DY269" s="782"/>
      <c r="DZ269" s="781"/>
      <c r="EA269" s="775"/>
      <c r="ED269" s="755" t="s">
        <v>711</v>
      </c>
      <c r="EE269" s="777" t="b">
        <f t="shared" si="645"/>
        <v>1</v>
      </c>
      <c r="EF269" s="777"/>
      <c r="EG269" s="777"/>
      <c r="EH269" s="1203"/>
      <c r="EP269" s="1233" t="s">
        <v>258</v>
      </c>
      <c r="EQ269" s="1145" t="s">
        <v>258</v>
      </c>
      <c r="ER269" s="823" t="b">
        <f t="shared" si="704"/>
        <v>1</v>
      </c>
      <c r="EU269" s="770">
        <v>3186727.0324007287</v>
      </c>
      <c r="EV269" s="771" t="s">
        <v>258</v>
      </c>
      <c r="EW269" s="775">
        <f t="shared" si="612"/>
        <v>-895188.06984460447</v>
      </c>
      <c r="EY269" s="775">
        <v>3152864.4827302992</v>
      </c>
      <c r="FJ269" s="994">
        <v>0.15</v>
      </c>
      <c r="FK269" s="993">
        <v>13719.848003181623</v>
      </c>
      <c r="FL269" s="993">
        <v>14090.654705970315</v>
      </c>
      <c r="FM269" s="497"/>
      <c r="FN269" s="993">
        <f t="shared" si="646"/>
        <v>4602359.2777816132</v>
      </c>
      <c r="FO269" s="994">
        <f t="shared" si="705"/>
        <v>0.15</v>
      </c>
      <c r="FP269" s="775">
        <f t="shared" si="647"/>
        <v>690353.89166724193</v>
      </c>
      <c r="FQ269" s="993">
        <f t="shared" si="648"/>
        <v>30000</v>
      </c>
      <c r="FR269" s="775">
        <f t="shared" si="706"/>
        <v>660353.89166724193</v>
      </c>
      <c r="FS269" s="497">
        <f t="shared" si="707"/>
        <v>40</v>
      </c>
      <c r="FT269" s="775">
        <f t="shared" si="708"/>
        <v>16508.84729168105</v>
      </c>
      <c r="FU269" s="497"/>
      <c r="FV269" s="993">
        <f t="shared" si="709"/>
        <v>4602359.2777816132</v>
      </c>
      <c r="FW269" s="705">
        <f t="shared" si="710"/>
        <v>460235.92777816136</v>
      </c>
      <c r="FX269" s="705">
        <f t="shared" si="711"/>
        <v>115058.98194454034</v>
      </c>
      <c r="FY269" s="705">
        <v>15000</v>
      </c>
      <c r="FZ269" s="705">
        <f t="shared" si="712"/>
        <v>445235.92777816136</v>
      </c>
      <c r="GA269" s="497">
        <f t="shared" si="713"/>
        <v>46</v>
      </c>
      <c r="GB269" s="775">
        <f t="shared" si="714"/>
        <v>9679.0419082208991</v>
      </c>
      <c r="GC269" s="497"/>
      <c r="GD269" s="497"/>
      <c r="GH269" s="1095">
        <f t="shared" si="613"/>
        <v>4602359.2777816132</v>
      </c>
      <c r="GI269" s="1098">
        <f t="shared" si="614"/>
        <v>0.125</v>
      </c>
      <c r="GJ269" s="1095">
        <f t="shared" si="615"/>
        <v>575294.90972270165</v>
      </c>
      <c r="GK269" s="1095">
        <f t="shared" si="616"/>
        <v>30000</v>
      </c>
      <c r="GL269" s="1095">
        <f t="shared" si="617"/>
        <v>545294.90972270165</v>
      </c>
      <c r="GM269" s="1095">
        <f t="shared" si="618"/>
        <v>29</v>
      </c>
      <c r="GN269" s="1095">
        <f t="shared" si="619"/>
        <v>18803.272749058677</v>
      </c>
      <c r="GO269" s="1098">
        <f t="shared" si="620"/>
        <v>0.875</v>
      </c>
      <c r="GP269" s="1095">
        <f t="shared" si="621"/>
        <v>4027064.3680589115</v>
      </c>
      <c r="GQ269" s="1095">
        <f t="shared" si="622"/>
        <v>31221.787182247703</v>
      </c>
      <c r="GR269" s="1095">
        <f t="shared" si="623"/>
        <v>36196.393025538135</v>
      </c>
      <c r="GS269" s="1095">
        <f t="shared" si="624"/>
        <v>46757.631949082956</v>
      </c>
      <c r="GT269" s="1095">
        <f t="shared" si="625"/>
        <v>79740.701086701738</v>
      </c>
      <c r="GU269" s="497"/>
      <c r="GV269" s="1095">
        <f t="shared" si="715"/>
        <v>4602359.2777816132</v>
      </c>
      <c r="GW269" s="1098">
        <f t="shared" si="716"/>
        <v>0.125</v>
      </c>
      <c r="GX269" s="1095">
        <f t="shared" si="717"/>
        <v>575294.90972270165</v>
      </c>
      <c r="GY269" s="1095">
        <f t="shared" si="718"/>
        <v>30000</v>
      </c>
      <c r="GZ269" s="1095">
        <f t="shared" si="719"/>
        <v>545294.90972270165</v>
      </c>
      <c r="HA269" s="1106">
        <f t="shared" si="720"/>
        <v>48</v>
      </c>
      <c r="HB269" s="770">
        <f t="shared" si="721"/>
        <v>11360.310619222952</v>
      </c>
      <c r="HC269" s="1098">
        <f t="shared" si="722"/>
        <v>0.875</v>
      </c>
      <c r="HD269" s="1102">
        <f t="shared" si="723"/>
        <v>4027064.3680589115</v>
      </c>
      <c r="HE269" s="1101">
        <f t="shared" si="724"/>
        <v>31221.787182247703</v>
      </c>
      <c r="HF269" s="1101">
        <f t="shared" si="725"/>
        <v>36196.393025538135</v>
      </c>
      <c r="HG269" s="1101">
        <f t="shared" si="726"/>
        <v>46757.631949082956</v>
      </c>
      <c r="HH269" s="1101">
        <f t="shared" si="727"/>
        <v>79740.701086701738</v>
      </c>
      <c r="HI269" s="497"/>
      <c r="HJ269" s="1102">
        <f t="shared" si="728"/>
        <v>-7442.9621298357251</v>
      </c>
      <c r="HL269" s="775"/>
      <c r="HN269" s="775"/>
      <c r="HO269" s="775"/>
      <c r="HQ269" s="702"/>
      <c r="HR269" s="1171"/>
      <c r="HS269" s="702"/>
      <c r="HT269" s="1171"/>
    </row>
    <row r="270" spans="1:228" ht="14.25" customHeight="1">
      <c r="A270" s="753">
        <f t="shared" si="729"/>
        <v>264</v>
      </c>
      <c r="B270" s="753"/>
      <c r="C270" s="753">
        <f t="shared" si="610"/>
        <v>16</v>
      </c>
      <c r="D270" s="753" t="s">
        <v>284</v>
      </c>
      <c r="E270" s="717" t="str">
        <f t="shared" si="649"/>
        <v>11th Floor</v>
      </c>
      <c r="F270" s="754"/>
      <c r="G270" s="756" t="s">
        <v>712</v>
      </c>
      <c r="H270" s="756"/>
      <c r="I270" s="755" t="s">
        <v>229</v>
      </c>
      <c r="J270" s="757">
        <v>22</v>
      </c>
      <c r="K270" s="758"/>
      <c r="L270" s="759" t="s">
        <v>277</v>
      </c>
      <c r="M270" s="760" t="s">
        <v>230</v>
      </c>
      <c r="N270" s="761">
        <f t="shared" si="650"/>
        <v>106005.26567735759</v>
      </c>
      <c r="O270" s="762">
        <f t="shared" si="651"/>
        <v>2332115.8449018667</v>
      </c>
      <c r="P270" s="762">
        <f t="shared" si="652"/>
        <v>22400</v>
      </c>
      <c r="Q270" s="762">
        <f t="shared" si="626"/>
        <v>50000</v>
      </c>
      <c r="R270" s="762"/>
      <c r="S270" s="762"/>
      <c r="T270" s="762"/>
      <c r="U270" s="762"/>
      <c r="V270" s="762">
        <f>J270*$V$5</f>
        <v>55000</v>
      </c>
      <c r="W270" s="762"/>
      <c r="X270" s="762"/>
      <c r="Y270" s="762">
        <f t="shared" si="611"/>
        <v>140000</v>
      </c>
      <c r="Z270" s="762">
        <f t="shared" si="627"/>
        <v>142461</v>
      </c>
      <c r="AA270" s="762">
        <v>61022.73</v>
      </c>
      <c r="AB270" s="762"/>
      <c r="AC270" s="762"/>
      <c r="AD270" s="763">
        <f t="shared" si="653"/>
        <v>470883.73</v>
      </c>
      <c r="AE270" s="763">
        <f t="shared" si="628"/>
        <v>2802999.5749018667</v>
      </c>
      <c r="AF270" s="762">
        <f t="shared" si="629"/>
        <v>70074.989372546668</v>
      </c>
      <c r="AG270" s="762">
        <f t="shared" si="654"/>
        <v>2873074.5642744135</v>
      </c>
      <c r="AH270" s="762">
        <f t="shared" si="630"/>
        <v>71826.864106860347</v>
      </c>
      <c r="AI270" s="762">
        <f t="shared" si="655"/>
        <v>2944901.428381274</v>
      </c>
      <c r="AJ270" s="762">
        <f t="shared" si="656"/>
        <v>147245.07141906369</v>
      </c>
      <c r="AK270" s="762">
        <f t="shared" si="657"/>
        <v>3092146.4998003375</v>
      </c>
      <c r="AL270" s="762">
        <f>AK270*AL$5+29772.4420833333</f>
        <v>60693.907081336671</v>
      </c>
      <c r="AM270" s="762">
        <f t="shared" si="659"/>
        <v>27537.409960060559</v>
      </c>
      <c r="AN270" s="762"/>
      <c r="AO270" s="763">
        <f t="shared" si="660"/>
        <v>3180377.8168417346</v>
      </c>
      <c r="AP270" s="763">
        <f t="shared" si="661"/>
        <v>524762.33977888618</v>
      </c>
      <c r="AQ270" s="763">
        <f t="shared" si="662"/>
        <v>3705140.1566206207</v>
      </c>
      <c r="AR270" s="1178">
        <f t="shared" si="631"/>
        <v>3000000</v>
      </c>
      <c r="AS270" s="1178">
        <f t="shared" si="663"/>
        <v>32051.825300937307</v>
      </c>
      <c r="AT270" s="1178">
        <f t="shared" si="664"/>
        <v>705140.15662062075</v>
      </c>
      <c r="AU270" s="1178">
        <f t="shared" si="632"/>
        <v>84616.818794474486</v>
      </c>
      <c r="AV270" s="1178">
        <f t="shared" si="665"/>
        <v>789756.97541509522</v>
      </c>
      <c r="AW270" s="1178">
        <f t="shared" si="666"/>
        <v>3789756.9754150952</v>
      </c>
      <c r="AX270" s="762">
        <f t="shared" si="667"/>
        <v>47371.96219268869</v>
      </c>
      <c r="AY270" s="717">
        <v>7575.3956645161297</v>
      </c>
      <c r="AZ270" s="717">
        <f t="shared" si="668"/>
        <v>3844704.3332722997</v>
      </c>
      <c r="BA270" s="717">
        <f t="shared" si="669"/>
        <v>144176.41249771122</v>
      </c>
      <c r="BB270" s="717"/>
      <c r="BC270" s="717">
        <f t="shared" si="633"/>
        <v>33600</v>
      </c>
      <c r="BD270" s="717">
        <f t="shared" si="670"/>
        <v>4022480.7457700111</v>
      </c>
      <c r="BE270" s="717"/>
      <c r="BF270" s="717">
        <f t="shared" si="671"/>
        <v>4022480.7457700111</v>
      </c>
      <c r="BG270" s="1209"/>
      <c r="BH270" s="717">
        <f t="shared" si="672"/>
        <v>4022480.7457700111</v>
      </c>
      <c r="BI270" s="717"/>
      <c r="BJ270" s="717">
        <f t="shared" si="673"/>
        <v>4022480.7457700111</v>
      </c>
      <c r="BK270" s="717"/>
      <c r="BL270" s="717">
        <f t="shared" si="674"/>
        <v>4022480.7457700111</v>
      </c>
      <c r="BM270" s="717"/>
      <c r="BN270" s="717">
        <f t="shared" si="675"/>
        <v>4022480.7457700111</v>
      </c>
      <c r="BO270" s="717"/>
      <c r="BP270" s="717">
        <f t="shared" si="634"/>
        <v>4022480.7457700111</v>
      </c>
      <c r="BQ270" s="717"/>
      <c r="BR270" s="717">
        <f t="shared" si="584"/>
        <v>4022480.7457700111</v>
      </c>
      <c r="BS270" s="1234">
        <f t="shared" si="734"/>
        <v>2651.4786794501206</v>
      </c>
      <c r="BT270" s="1235">
        <f t="shared" si="676"/>
        <v>4025132.2244494613</v>
      </c>
      <c r="BU270" s="1235">
        <f t="shared" si="735"/>
        <v>211.07692307692309</v>
      </c>
      <c r="BV270" s="1235">
        <f t="shared" si="585"/>
        <v>51400</v>
      </c>
      <c r="BW270" s="717">
        <f t="shared" si="677"/>
        <v>4076743.3013725383</v>
      </c>
      <c r="BX270" s="1234">
        <f t="shared" si="589"/>
        <v>27651.078536278128</v>
      </c>
      <c r="BY270" s="717">
        <f t="shared" si="678"/>
        <v>4104394.3799088164</v>
      </c>
      <c r="BZ270" s="1194">
        <f t="shared" si="679"/>
        <v>4104394.3799088164</v>
      </c>
      <c r="CA270" s="1194">
        <f t="shared" si="680"/>
        <v>3224394.3799088164</v>
      </c>
      <c r="CB270" s="1194">
        <f t="shared" si="736"/>
        <v>40000</v>
      </c>
      <c r="CC270" s="1194">
        <f t="shared" si="681"/>
        <v>880000</v>
      </c>
      <c r="CD270" s="1194">
        <f t="shared" si="682"/>
        <v>105600</v>
      </c>
      <c r="CE270" s="1194">
        <f t="shared" si="683"/>
        <v>985600</v>
      </c>
      <c r="CF270" s="1200">
        <f t="shared" si="684"/>
        <v>4209994.3799088169</v>
      </c>
      <c r="CG270" s="757">
        <f t="shared" si="685"/>
        <v>4209994.3799088169</v>
      </c>
      <c r="CH270" s="758">
        <f t="shared" si="686"/>
        <v>0</v>
      </c>
      <c r="CI270" s="757">
        <f t="shared" si="635"/>
        <v>431524.42394065368</v>
      </c>
      <c r="CJ270" s="757">
        <f t="shared" si="636"/>
        <v>105249.85949772043</v>
      </c>
      <c r="CK270" s="759">
        <f t="shared" si="593"/>
        <v>4746768.6633471912</v>
      </c>
      <c r="CL270" s="764">
        <f t="shared" si="687"/>
        <v>0.125</v>
      </c>
      <c r="CM270" s="757">
        <f t="shared" si="688"/>
        <v>593346.0829183989</v>
      </c>
      <c r="CN270" s="757">
        <f t="shared" si="730"/>
        <v>30000</v>
      </c>
      <c r="CO270" s="757">
        <f t="shared" si="689"/>
        <v>563346.0829183989</v>
      </c>
      <c r="CP270" s="755">
        <f t="shared" si="690"/>
        <v>29</v>
      </c>
      <c r="CQ270" s="757">
        <f t="shared" si="732"/>
        <v>19425.726997186168</v>
      </c>
      <c r="CR270" s="764">
        <f t="shared" si="691"/>
        <v>0.875</v>
      </c>
      <c r="CS270" s="757">
        <f t="shared" si="692"/>
        <v>4153422.5804287922</v>
      </c>
      <c r="CT270" s="1101">
        <f t="shared" si="693"/>
        <v>32201.441057818422</v>
      </c>
      <c r="CU270" s="1101">
        <f t="shared" si="694"/>
        <v>37332.136360862365</v>
      </c>
      <c r="CV270" s="1101">
        <f t="shared" si="695"/>
        <v>48224.75793658803</v>
      </c>
      <c r="CW270" s="1141">
        <f t="shared" si="637"/>
        <v>82242.745137041406</v>
      </c>
      <c r="CX270" s="1152">
        <f t="shared" si="696"/>
        <v>337395.71792123729</v>
      </c>
      <c r="CY270" s="1152">
        <f t="shared" si="697"/>
        <v>133505.84203253046</v>
      </c>
      <c r="CZ270" s="1152">
        <f t="shared" si="698"/>
        <v>96429.378830875576</v>
      </c>
      <c r="DA270" s="1152">
        <f t="shared" si="699"/>
        <v>73387.196669613259</v>
      </c>
      <c r="DB270" s="1143">
        <f t="shared" si="638"/>
        <v>0.23504671887354026</v>
      </c>
      <c r="DC270" s="1143">
        <f t="shared" si="700"/>
        <v>0.30566980458137138</v>
      </c>
      <c r="DD270" s="1098" t="s">
        <v>232</v>
      </c>
      <c r="DE270" s="1144"/>
      <c r="DF270" s="705"/>
      <c r="DG270" s="765">
        <f t="shared" si="731"/>
        <v>46082</v>
      </c>
      <c r="DH270" s="1116">
        <f t="shared" si="639"/>
        <v>28</v>
      </c>
      <c r="DI270" s="497"/>
      <c r="DJ270" s="1117">
        <f t="shared" si="701"/>
        <v>46147</v>
      </c>
      <c r="DK270" s="1116">
        <f t="shared" si="702"/>
        <v>30</v>
      </c>
      <c r="DL270" s="766" t="s">
        <v>233</v>
      </c>
      <c r="DM270" s="766" t="s">
        <v>234</v>
      </c>
      <c r="DN270" s="767">
        <f t="shared" si="640"/>
        <v>35898.044337049781</v>
      </c>
      <c r="DO270" s="767">
        <f t="shared" si="641"/>
        <v>789756.97541509522</v>
      </c>
      <c r="DP270" s="768">
        <f t="shared" si="642"/>
        <v>0.26325232513836505</v>
      </c>
      <c r="DR270" s="767">
        <f t="shared" si="643"/>
        <v>4209994.3799088169</v>
      </c>
      <c r="DS270" s="767">
        <f>SUM('[6]INTERNAL PRICELIST'!M270)</f>
        <v>0</v>
      </c>
      <c r="DT270" s="767">
        <f t="shared" si="703"/>
        <v>4209994.3799088169</v>
      </c>
      <c r="DV270" s="951">
        <f t="shared" si="644"/>
        <v>191363.38090494621</v>
      </c>
      <c r="DX270" s="781"/>
      <c r="DY270" s="782"/>
      <c r="DZ270" s="781"/>
      <c r="EA270" s="775"/>
      <c r="ED270" s="1133" t="s">
        <v>712</v>
      </c>
      <c r="EE270" s="777" t="b">
        <f t="shared" si="645"/>
        <v>1</v>
      </c>
      <c r="EF270" s="777"/>
      <c r="EG270" s="777"/>
      <c r="EH270" s="1203"/>
      <c r="EP270" s="1230" t="s">
        <v>258</v>
      </c>
      <c r="EQ270" s="1145" t="s">
        <v>258</v>
      </c>
      <c r="ER270" s="823" t="b">
        <f t="shared" si="704"/>
        <v>1</v>
      </c>
      <c r="EU270" s="770">
        <v>3286117.1478750589</v>
      </c>
      <c r="EV270" s="771" t="s">
        <v>258</v>
      </c>
      <c r="EW270" s="775">
        <f t="shared" si="612"/>
        <v>-923877.23203375796</v>
      </c>
      <c r="EY270" s="775">
        <v>3251375.1112525831</v>
      </c>
      <c r="FJ270" s="994">
        <v>0.15</v>
      </c>
      <c r="FK270" s="993">
        <v>14156.232804968931</v>
      </c>
      <c r="FL270" s="993">
        <v>14538.833691589714</v>
      </c>
      <c r="FM270" s="497"/>
      <c r="FN270" s="993">
        <f t="shared" si="646"/>
        <v>4746768.6633471912</v>
      </c>
      <c r="FO270" s="994">
        <f t="shared" si="705"/>
        <v>0.15</v>
      </c>
      <c r="FP270" s="775">
        <f t="shared" si="647"/>
        <v>712015.29950207868</v>
      </c>
      <c r="FQ270" s="993">
        <f t="shared" si="648"/>
        <v>30000</v>
      </c>
      <c r="FR270" s="775">
        <f t="shared" si="706"/>
        <v>682015.29950207868</v>
      </c>
      <c r="FS270" s="497">
        <f t="shared" si="707"/>
        <v>40</v>
      </c>
      <c r="FT270" s="775">
        <f t="shared" si="708"/>
        <v>17050.382487551968</v>
      </c>
      <c r="FU270" s="497"/>
      <c r="FV270" s="993">
        <f t="shared" si="709"/>
        <v>4746768.6633471912</v>
      </c>
      <c r="FW270" s="705">
        <f t="shared" si="710"/>
        <v>474676.86633471912</v>
      </c>
      <c r="FX270" s="705">
        <f t="shared" si="711"/>
        <v>118669.21658367978</v>
      </c>
      <c r="FY270" s="705">
        <v>15000</v>
      </c>
      <c r="FZ270" s="705">
        <f t="shared" si="712"/>
        <v>459676.86633471912</v>
      </c>
      <c r="GA270" s="497">
        <f t="shared" si="713"/>
        <v>46</v>
      </c>
      <c r="GB270" s="775">
        <f t="shared" si="714"/>
        <v>9992.9753551025897</v>
      </c>
      <c r="GC270" s="497"/>
      <c r="GD270" s="497"/>
      <c r="GH270" s="1095">
        <f t="shared" si="613"/>
        <v>4746768.6633471912</v>
      </c>
      <c r="GI270" s="1098">
        <f t="shared" si="614"/>
        <v>0.125</v>
      </c>
      <c r="GJ270" s="1095">
        <f t="shared" si="615"/>
        <v>593346.0829183989</v>
      </c>
      <c r="GK270" s="1095">
        <f t="shared" si="616"/>
        <v>30000</v>
      </c>
      <c r="GL270" s="1095">
        <f t="shared" si="617"/>
        <v>563346.0829183989</v>
      </c>
      <c r="GM270" s="1095">
        <f t="shared" si="618"/>
        <v>29</v>
      </c>
      <c r="GN270" s="1095">
        <f t="shared" si="619"/>
        <v>19425.726997186168</v>
      </c>
      <c r="GO270" s="1098">
        <f t="shared" si="620"/>
        <v>0.875</v>
      </c>
      <c r="GP270" s="1095">
        <f t="shared" si="621"/>
        <v>4153422.5804287922</v>
      </c>
      <c r="GQ270" s="1095">
        <f t="shared" si="622"/>
        <v>32201.441057818422</v>
      </c>
      <c r="GR270" s="1095">
        <f t="shared" si="623"/>
        <v>37332.136360862365</v>
      </c>
      <c r="GS270" s="1095">
        <f t="shared" si="624"/>
        <v>48224.75793658803</v>
      </c>
      <c r="GT270" s="1095">
        <f t="shared" si="625"/>
        <v>82242.745137041406</v>
      </c>
      <c r="GU270" s="497"/>
      <c r="GV270" s="1095">
        <f t="shared" si="715"/>
        <v>4746768.6633471912</v>
      </c>
      <c r="GW270" s="1098">
        <f t="shared" si="716"/>
        <v>0.125</v>
      </c>
      <c r="GX270" s="1095">
        <f t="shared" si="717"/>
        <v>593346.0829183989</v>
      </c>
      <c r="GY270" s="1095">
        <f t="shared" si="718"/>
        <v>30000</v>
      </c>
      <c r="GZ270" s="1095">
        <f t="shared" si="719"/>
        <v>563346.0829183989</v>
      </c>
      <c r="HA270" s="1106">
        <f t="shared" si="720"/>
        <v>48</v>
      </c>
      <c r="HB270" s="770">
        <f t="shared" si="721"/>
        <v>11736.376727466644</v>
      </c>
      <c r="HC270" s="1098">
        <f t="shared" si="722"/>
        <v>0.875</v>
      </c>
      <c r="HD270" s="1102">
        <f t="shared" si="723"/>
        <v>4153422.5804287922</v>
      </c>
      <c r="HE270" s="1101">
        <f t="shared" si="724"/>
        <v>32201.441057818422</v>
      </c>
      <c r="HF270" s="1101">
        <f t="shared" si="725"/>
        <v>37332.136360862365</v>
      </c>
      <c r="HG270" s="1101">
        <f t="shared" si="726"/>
        <v>48224.75793658803</v>
      </c>
      <c r="HH270" s="1101">
        <f t="shared" si="727"/>
        <v>82242.745137041406</v>
      </c>
      <c r="HI270" s="497"/>
      <c r="HJ270" s="1102">
        <f t="shared" si="728"/>
        <v>-7689.3502697195236</v>
      </c>
      <c r="HL270" s="775"/>
      <c r="HN270" s="775"/>
      <c r="HO270" s="775"/>
    </row>
    <row r="271" spans="1:228" ht="14.25" hidden="1" customHeight="1">
      <c r="A271" s="753">
        <f t="shared" si="729"/>
        <v>265</v>
      </c>
      <c r="B271" s="753" t="s">
        <v>236</v>
      </c>
      <c r="C271" s="753">
        <f t="shared" si="610"/>
        <v>17</v>
      </c>
      <c r="D271" s="753" t="s">
        <v>284</v>
      </c>
      <c r="E271" s="717" t="str">
        <f t="shared" si="649"/>
        <v>11th Floor</v>
      </c>
      <c r="F271" s="754"/>
      <c r="G271" s="756" t="s">
        <v>713</v>
      </c>
      <c r="H271" s="756"/>
      <c r="I271" s="755" t="s">
        <v>229</v>
      </c>
      <c r="J271" s="757">
        <v>22</v>
      </c>
      <c r="K271" s="758"/>
      <c r="L271" s="759" t="s">
        <v>69</v>
      </c>
      <c r="M271" s="760" t="s">
        <v>68</v>
      </c>
      <c r="N271" s="761">
        <f t="shared" si="650"/>
        <v>106005.26567735759</v>
      </c>
      <c r="O271" s="762">
        <f t="shared" si="651"/>
        <v>2332115.8449018667</v>
      </c>
      <c r="P271" s="762">
        <f t="shared" si="652"/>
        <v>22400</v>
      </c>
      <c r="Q271" s="762">
        <f t="shared" si="626"/>
        <v>50000</v>
      </c>
      <c r="R271" s="762"/>
      <c r="S271" s="762"/>
      <c r="T271" s="762"/>
      <c r="U271" s="762"/>
      <c r="V271" s="762"/>
      <c r="W271" s="762"/>
      <c r="X271" s="762"/>
      <c r="Y271" s="762">
        <f t="shared" si="611"/>
        <v>140000</v>
      </c>
      <c r="Z271" s="762">
        <f t="shared" si="627"/>
        <v>142461</v>
      </c>
      <c r="AA271" s="762"/>
      <c r="AB271" s="762"/>
      <c r="AC271" s="762"/>
      <c r="AD271" s="763">
        <f t="shared" si="653"/>
        <v>354861</v>
      </c>
      <c r="AE271" s="763">
        <f t="shared" si="628"/>
        <v>2686976.8449018667</v>
      </c>
      <c r="AF271" s="762">
        <f t="shared" si="629"/>
        <v>67174.421122546672</v>
      </c>
      <c r="AG271" s="762">
        <f t="shared" si="654"/>
        <v>2754151.2660244135</v>
      </c>
      <c r="AH271" s="762">
        <f t="shared" si="630"/>
        <v>68853.781650610341</v>
      </c>
      <c r="AI271" s="762">
        <f t="shared" si="655"/>
        <v>2823005.0476750238</v>
      </c>
      <c r="AJ271" s="762">
        <f t="shared" si="656"/>
        <v>141150.25238375118</v>
      </c>
      <c r="AK271" s="762">
        <f t="shared" si="657"/>
        <v>2964155.3000587751</v>
      </c>
      <c r="AL271" s="762">
        <f t="shared" si="658"/>
        <v>29641.553000587752</v>
      </c>
      <c r="AM271" s="762">
        <f t="shared" si="659"/>
        <v>27537.409960060559</v>
      </c>
      <c r="AN271" s="762"/>
      <c r="AO271" s="763">
        <f t="shared" si="660"/>
        <v>3021334.2630194235</v>
      </c>
      <c r="AP271" s="763">
        <f t="shared" si="661"/>
        <v>498520.15339820489</v>
      </c>
      <c r="AQ271" s="763">
        <f t="shared" si="662"/>
        <v>3519854.4164176285</v>
      </c>
      <c r="AR271" s="1178">
        <f t="shared" si="631"/>
        <v>3000000</v>
      </c>
      <c r="AS271" s="1178">
        <f t="shared" si="663"/>
        <v>23629.746200801295</v>
      </c>
      <c r="AT271" s="1178">
        <f t="shared" si="664"/>
        <v>519854.41641762853</v>
      </c>
      <c r="AU271" s="1178">
        <f t="shared" si="632"/>
        <v>62382.529970115422</v>
      </c>
      <c r="AV271" s="1178">
        <f t="shared" si="665"/>
        <v>582236.94638774393</v>
      </c>
      <c r="AW271" s="1178">
        <f t="shared" si="666"/>
        <v>3582236.946387744</v>
      </c>
      <c r="AX271" s="762">
        <f t="shared" si="667"/>
        <v>44777.961829846805</v>
      </c>
      <c r="AY271" s="717" t="s">
        <v>231</v>
      </c>
      <c r="AZ271" s="717">
        <f t="shared" si="668"/>
        <v>3627014.9082175908</v>
      </c>
      <c r="BA271" s="717">
        <f t="shared" si="669"/>
        <v>136013.05905815965</v>
      </c>
      <c r="BB271" s="717"/>
      <c r="BC271" s="717">
        <f t="shared" si="633"/>
        <v>33600</v>
      </c>
      <c r="BD271" s="717">
        <f t="shared" si="670"/>
        <v>3796627.9672757504</v>
      </c>
      <c r="BE271" s="717"/>
      <c r="BF271" s="717">
        <f t="shared" si="671"/>
        <v>3796627.9672757504</v>
      </c>
      <c r="BG271" s="1209"/>
      <c r="BH271" s="717">
        <f t="shared" si="672"/>
        <v>3796627.9672757504</v>
      </c>
      <c r="BI271" s="717"/>
      <c r="BJ271" s="717">
        <f t="shared" si="673"/>
        <v>3796627.9672757504</v>
      </c>
      <c r="BK271" s="717"/>
      <c r="BL271" s="717">
        <f t="shared" si="674"/>
        <v>3796627.9672757504</v>
      </c>
      <c r="BM271" s="717"/>
      <c r="BN271" s="717">
        <f t="shared" si="675"/>
        <v>3796627.9672757504</v>
      </c>
      <c r="BO271" s="717"/>
      <c r="BP271" s="717">
        <f t="shared" si="634"/>
        <v>3796627.9672757504</v>
      </c>
      <c r="BQ271" s="717"/>
      <c r="BR271" s="717">
        <f t="shared" si="584"/>
        <v>3796627.9672757504</v>
      </c>
      <c r="BS271" s="717"/>
      <c r="BT271" s="717">
        <f t="shared" si="676"/>
        <v>3796627.9672757504</v>
      </c>
      <c r="BU271" s="717"/>
      <c r="BV271" s="1235">
        <f t="shared" si="585"/>
        <v>51400</v>
      </c>
      <c r="BW271" s="717">
        <f t="shared" si="677"/>
        <v>3848027.9672757504</v>
      </c>
      <c r="BX271" s="717"/>
      <c r="BY271" s="717">
        <f t="shared" si="678"/>
        <v>3848027.9672757504</v>
      </c>
      <c r="BZ271" s="1194">
        <f t="shared" si="679"/>
        <v>3848027.9672757504</v>
      </c>
      <c r="CA271" s="1194">
        <f t="shared" si="680"/>
        <v>3034027.9672757504</v>
      </c>
      <c r="CB271" s="1194">
        <v>37000</v>
      </c>
      <c r="CC271" s="1194">
        <f t="shared" si="681"/>
        <v>814000</v>
      </c>
      <c r="CD271" s="1194">
        <f t="shared" si="682"/>
        <v>97680</v>
      </c>
      <c r="CE271" s="1194">
        <f t="shared" si="683"/>
        <v>911680</v>
      </c>
      <c r="CF271" s="1200">
        <f t="shared" si="684"/>
        <v>3945707.9672757504</v>
      </c>
      <c r="CG271" s="757">
        <f t="shared" si="685"/>
        <v>3945707.9672757504</v>
      </c>
      <c r="CH271" s="758">
        <f t="shared" si="686"/>
        <v>0</v>
      </c>
      <c r="CI271" s="757">
        <f t="shared" si="635"/>
        <v>404435.0666457644</v>
      </c>
      <c r="CJ271" s="757">
        <f t="shared" si="636"/>
        <v>98642.699181893768</v>
      </c>
      <c r="CK271" s="759">
        <f t="shared" si="593"/>
        <v>4448785.7331034085</v>
      </c>
      <c r="CL271" s="764">
        <f t="shared" si="687"/>
        <v>0.125</v>
      </c>
      <c r="CM271" s="757">
        <f t="shared" si="688"/>
        <v>556098.21663792606</v>
      </c>
      <c r="CN271" s="757">
        <f t="shared" si="730"/>
        <v>30000</v>
      </c>
      <c r="CO271" s="757">
        <f t="shared" si="689"/>
        <v>526098.21663792606</v>
      </c>
      <c r="CP271" s="755">
        <f t="shared" si="690"/>
        <v>29</v>
      </c>
      <c r="CQ271" s="757">
        <f t="shared" si="732"/>
        <v>18141.317815100898</v>
      </c>
      <c r="CR271" s="764">
        <f t="shared" si="691"/>
        <v>0.875</v>
      </c>
      <c r="CS271" s="757">
        <f t="shared" si="692"/>
        <v>3892687.5164654823</v>
      </c>
      <c r="CT271" s="1101">
        <f t="shared" si="693"/>
        <v>30179.964882125685</v>
      </c>
      <c r="CU271" s="1101">
        <f t="shared" si="694"/>
        <v>34988.575893934983</v>
      </c>
      <c r="CV271" s="1101">
        <f t="shared" si="695"/>
        <v>45197.402761012978</v>
      </c>
      <c r="CW271" s="1141">
        <f t="shared" si="637"/>
        <v>77079.878369073165</v>
      </c>
      <c r="CX271" s="1152">
        <f t="shared" si="696"/>
        <v>316215.37992537208</v>
      </c>
      <c r="CY271" s="1152">
        <f t="shared" si="697"/>
        <v>125124.88546291657</v>
      </c>
      <c r="CZ271" s="1152">
        <f t="shared" si="698"/>
        <v>90375.93260176231</v>
      </c>
      <c r="DA271" s="1152">
        <f t="shared" si="699"/>
        <v>68780.245402987232</v>
      </c>
      <c r="DB271" s="1143">
        <f t="shared" si="638"/>
        <v>0.17328480547254285</v>
      </c>
      <c r="DC271" s="1143">
        <f t="shared" si="700"/>
        <v>0.30048503502049001</v>
      </c>
      <c r="DD271" s="1098" t="s">
        <v>232</v>
      </c>
      <c r="DE271" s="1144"/>
      <c r="DF271" s="705"/>
      <c r="DG271" s="765">
        <f t="shared" si="731"/>
        <v>46082</v>
      </c>
      <c r="DH271" s="1116">
        <f t="shared" si="639"/>
        <v>28</v>
      </c>
      <c r="DI271" s="497"/>
      <c r="DJ271" s="1117">
        <f t="shared" si="701"/>
        <v>46147</v>
      </c>
      <c r="DK271" s="1116">
        <f t="shared" si="702"/>
        <v>30</v>
      </c>
      <c r="DL271" s="766" t="s">
        <v>233</v>
      </c>
      <c r="DM271" s="766" t="s">
        <v>234</v>
      </c>
      <c r="DN271" s="767">
        <f t="shared" si="640"/>
        <v>26465.315744897453</v>
      </c>
      <c r="DO271" s="767">
        <f t="shared" si="641"/>
        <v>582236.94638774393</v>
      </c>
      <c r="DP271" s="768">
        <f t="shared" si="642"/>
        <v>0.19407898212924798</v>
      </c>
      <c r="DR271" s="767">
        <f t="shared" si="643"/>
        <v>3945707.9672757504</v>
      </c>
      <c r="DS271" s="767">
        <f>SUM('[6]INTERNAL PRICELIST'!M271)</f>
        <v>0</v>
      </c>
      <c r="DT271" s="767">
        <f t="shared" si="703"/>
        <v>3945707.9672757504</v>
      </c>
      <c r="DV271" s="951">
        <f t="shared" si="644"/>
        <v>179350.36214889775</v>
      </c>
      <c r="DX271" s="781"/>
      <c r="DY271" s="782"/>
      <c r="DZ271" s="781"/>
      <c r="EA271" s="775"/>
      <c r="ED271" s="755" t="s">
        <v>713</v>
      </c>
      <c r="EE271" s="777" t="b">
        <f t="shared" si="645"/>
        <v>1</v>
      </c>
      <c r="EF271" s="1123" t="s">
        <v>714</v>
      </c>
      <c r="EG271" s="1123" t="s">
        <v>697</v>
      </c>
      <c r="EH271" s="1203"/>
      <c r="EP271" s="1230" t="s">
        <v>236</v>
      </c>
      <c r="EQ271" s="1145" t="s">
        <v>236</v>
      </c>
      <c r="ER271" s="753" t="b">
        <f t="shared" si="704"/>
        <v>1</v>
      </c>
      <c r="EU271" s="770">
        <v>3158898.0774007286</v>
      </c>
      <c r="EV271" s="771" t="s">
        <v>258</v>
      </c>
      <c r="EW271" s="775">
        <f t="shared" si="612"/>
        <v>-786809.88987502176</v>
      </c>
      <c r="EY271" s="775">
        <v>3125281.7816227991</v>
      </c>
      <c r="FJ271" s="994">
        <v>0.15</v>
      </c>
      <c r="FK271" s="993">
        <v>13597.661476345767</v>
      </c>
      <c r="FL271" s="993">
        <v>13965.165840571328</v>
      </c>
      <c r="FM271" s="497"/>
      <c r="FN271" s="993">
        <f t="shared" si="646"/>
        <v>4448785.7331034085</v>
      </c>
      <c r="FO271" s="994">
        <f t="shared" ref="FO271:FO327" si="737">$FO$5</f>
        <v>0.15</v>
      </c>
      <c r="FP271" s="775">
        <f t="shared" si="647"/>
        <v>667317.85996551125</v>
      </c>
      <c r="FQ271" s="993">
        <f t="shared" si="648"/>
        <v>30000</v>
      </c>
      <c r="FR271" s="775">
        <f t="shared" si="706"/>
        <v>637317.85996551125</v>
      </c>
      <c r="FS271" s="497">
        <f t="shared" si="707"/>
        <v>40</v>
      </c>
      <c r="FT271" s="775">
        <f t="shared" si="708"/>
        <v>15932.946499137781</v>
      </c>
      <c r="FU271" s="497"/>
      <c r="FV271" s="993">
        <f t="shared" si="709"/>
        <v>4448785.7331034085</v>
      </c>
      <c r="FW271" s="705">
        <f t="shared" si="710"/>
        <v>444878.57331034087</v>
      </c>
      <c r="FX271" s="705">
        <f t="shared" si="711"/>
        <v>111219.64332758522</v>
      </c>
      <c r="FY271" s="705">
        <v>15000</v>
      </c>
      <c r="FZ271" s="705">
        <f t="shared" si="712"/>
        <v>429878.57331034087</v>
      </c>
      <c r="GA271" s="497">
        <f t="shared" si="713"/>
        <v>46</v>
      </c>
      <c r="GB271" s="775">
        <f t="shared" si="714"/>
        <v>9345.1863763117581</v>
      </c>
      <c r="GC271" s="497"/>
      <c r="GD271" s="497"/>
      <c r="GH271" s="1095">
        <f t="shared" si="613"/>
        <v>4448785.7331034085</v>
      </c>
      <c r="GI271" s="1098">
        <f t="shared" si="614"/>
        <v>0.125</v>
      </c>
      <c r="GJ271" s="1095">
        <f t="shared" si="615"/>
        <v>556098.21663792606</v>
      </c>
      <c r="GK271" s="1095">
        <f t="shared" si="616"/>
        <v>30000</v>
      </c>
      <c r="GL271" s="1095">
        <f t="shared" si="617"/>
        <v>526098.21663792606</v>
      </c>
      <c r="GM271" s="1095">
        <f t="shared" si="618"/>
        <v>29</v>
      </c>
      <c r="GN271" s="1095">
        <f t="shared" si="619"/>
        <v>18141.317815100898</v>
      </c>
      <c r="GO271" s="1098">
        <f t="shared" si="620"/>
        <v>0.875</v>
      </c>
      <c r="GP271" s="1095">
        <f t="shared" si="621"/>
        <v>3892687.5164654823</v>
      </c>
      <c r="GQ271" s="1095">
        <f t="shared" si="622"/>
        <v>30179.964882125685</v>
      </c>
      <c r="GR271" s="1095">
        <f t="shared" si="623"/>
        <v>34988.575893934983</v>
      </c>
      <c r="GS271" s="1095">
        <f t="shared" si="624"/>
        <v>45197.402761012978</v>
      </c>
      <c r="GT271" s="1095">
        <f t="shared" si="625"/>
        <v>77079.878369073165</v>
      </c>
      <c r="GU271" s="497"/>
      <c r="GV271" s="1095">
        <f t="shared" si="715"/>
        <v>4448785.7331034085</v>
      </c>
      <c r="GW271" s="1098">
        <f t="shared" si="716"/>
        <v>0.125</v>
      </c>
      <c r="GX271" s="1095">
        <f t="shared" si="717"/>
        <v>556098.21663792606</v>
      </c>
      <c r="GY271" s="1095">
        <f t="shared" si="718"/>
        <v>30000</v>
      </c>
      <c r="GZ271" s="1095">
        <f t="shared" si="719"/>
        <v>526098.21663792606</v>
      </c>
      <c r="HA271" s="1106">
        <f t="shared" si="720"/>
        <v>48</v>
      </c>
      <c r="HB271" s="770">
        <f t="shared" si="721"/>
        <v>10960.379513290127</v>
      </c>
      <c r="HC271" s="1098">
        <f t="shared" si="722"/>
        <v>0.875</v>
      </c>
      <c r="HD271" s="1102">
        <f t="shared" si="723"/>
        <v>3892687.5164654823</v>
      </c>
      <c r="HE271" s="1101">
        <f t="shared" si="724"/>
        <v>30179.964882125685</v>
      </c>
      <c r="HF271" s="1101">
        <f t="shared" si="725"/>
        <v>34988.575893934983</v>
      </c>
      <c r="HG271" s="1101">
        <f t="shared" si="726"/>
        <v>45197.402761012978</v>
      </c>
      <c r="HH271" s="1101">
        <f t="shared" si="727"/>
        <v>77079.878369073165</v>
      </c>
      <c r="HI271" s="497"/>
      <c r="HJ271" s="1102">
        <f t="shared" si="728"/>
        <v>-7180.938301810771</v>
      </c>
      <c r="HL271" s="775"/>
      <c r="HN271" s="775"/>
      <c r="HO271" s="775"/>
      <c r="HQ271" s="702"/>
      <c r="HR271" s="1171"/>
      <c r="HS271" s="702"/>
      <c r="HT271" s="1171"/>
    </row>
    <row r="272" spans="1:228" ht="14.25" hidden="1" customHeight="1">
      <c r="A272" s="753">
        <f t="shared" si="729"/>
        <v>266</v>
      </c>
      <c r="B272" s="753" t="s">
        <v>236</v>
      </c>
      <c r="C272" s="753">
        <f t="shared" si="610"/>
        <v>18</v>
      </c>
      <c r="D272" s="753" t="s">
        <v>284</v>
      </c>
      <c r="E272" s="717" t="str">
        <f t="shared" si="649"/>
        <v>11th Floor</v>
      </c>
      <c r="F272" s="754"/>
      <c r="G272" s="756" t="s">
        <v>715</v>
      </c>
      <c r="H272" s="756"/>
      <c r="I272" s="755" t="s">
        <v>229</v>
      </c>
      <c r="J272" s="757">
        <v>22</v>
      </c>
      <c r="K272" s="758"/>
      <c r="L272" s="759" t="s">
        <v>69</v>
      </c>
      <c r="M272" s="760" t="s">
        <v>68</v>
      </c>
      <c r="N272" s="761">
        <f t="shared" si="650"/>
        <v>106005.26567735759</v>
      </c>
      <c r="O272" s="762">
        <f t="shared" si="651"/>
        <v>2332115.8449018667</v>
      </c>
      <c r="P272" s="762">
        <f t="shared" si="652"/>
        <v>22400</v>
      </c>
      <c r="Q272" s="762">
        <f t="shared" si="626"/>
        <v>50000</v>
      </c>
      <c r="R272" s="762"/>
      <c r="S272" s="762"/>
      <c r="T272" s="762"/>
      <c r="U272" s="762"/>
      <c r="V272" s="762"/>
      <c r="W272" s="762"/>
      <c r="X272" s="762"/>
      <c r="Y272" s="762">
        <f t="shared" si="611"/>
        <v>140000</v>
      </c>
      <c r="Z272" s="762">
        <f t="shared" si="627"/>
        <v>142461</v>
      </c>
      <c r="AA272" s="762"/>
      <c r="AB272" s="762"/>
      <c r="AC272" s="762"/>
      <c r="AD272" s="763">
        <f t="shared" si="653"/>
        <v>354861</v>
      </c>
      <c r="AE272" s="763">
        <f t="shared" si="628"/>
        <v>2686976.8449018667</v>
      </c>
      <c r="AF272" s="762">
        <f t="shared" si="629"/>
        <v>67174.421122546672</v>
      </c>
      <c r="AG272" s="762">
        <f t="shared" si="654"/>
        <v>2754151.2660244135</v>
      </c>
      <c r="AH272" s="762">
        <f t="shared" si="630"/>
        <v>68853.781650610341</v>
      </c>
      <c r="AI272" s="762">
        <f t="shared" si="655"/>
        <v>2823005.0476750238</v>
      </c>
      <c r="AJ272" s="762">
        <f t="shared" si="656"/>
        <v>141150.25238375118</v>
      </c>
      <c r="AK272" s="762">
        <f t="shared" si="657"/>
        <v>2964155.3000587751</v>
      </c>
      <c r="AL272" s="762">
        <f t="shared" si="658"/>
        <v>29641.553000587752</v>
      </c>
      <c r="AM272" s="762">
        <f t="shared" si="659"/>
        <v>27537.409960060559</v>
      </c>
      <c r="AN272" s="762"/>
      <c r="AO272" s="763">
        <f t="shared" si="660"/>
        <v>3021334.2630194235</v>
      </c>
      <c r="AP272" s="763">
        <f t="shared" si="661"/>
        <v>498520.15339820489</v>
      </c>
      <c r="AQ272" s="763">
        <f t="shared" si="662"/>
        <v>3519854.4164176285</v>
      </c>
      <c r="AR272" s="1178">
        <f t="shared" si="631"/>
        <v>3000000</v>
      </c>
      <c r="AS272" s="1178">
        <f t="shared" si="663"/>
        <v>23629.746200801295</v>
      </c>
      <c r="AT272" s="1178">
        <f t="shared" si="664"/>
        <v>519854.41641762853</v>
      </c>
      <c r="AU272" s="1178">
        <f t="shared" si="632"/>
        <v>62382.529970115422</v>
      </c>
      <c r="AV272" s="1178">
        <f t="shared" si="665"/>
        <v>582236.94638774393</v>
      </c>
      <c r="AW272" s="1178">
        <f t="shared" si="666"/>
        <v>3582236.946387744</v>
      </c>
      <c r="AX272" s="762">
        <f t="shared" si="667"/>
        <v>44777.961829846805</v>
      </c>
      <c r="AY272" s="717" t="s">
        <v>231</v>
      </c>
      <c r="AZ272" s="717">
        <f t="shared" si="668"/>
        <v>3627014.9082175908</v>
      </c>
      <c r="BA272" s="717">
        <f t="shared" si="669"/>
        <v>136013.05905815965</v>
      </c>
      <c r="BB272" s="717"/>
      <c r="BC272" s="717">
        <f t="shared" si="633"/>
        <v>33600</v>
      </c>
      <c r="BD272" s="717">
        <f t="shared" si="670"/>
        <v>3796627.9672757504</v>
      </c>
      <c r="BE272" s="717"/>
      <c r="BF272" s="717">
        <f t="shared" si="671"/>
        <v>3796627.9672757504</v>
      </c>
      <c r="BG272" s="1209"/>
      <c r="BH272" s="717">
        <f t="shared" si="672"/>
        <v>3796627.9672757504</v>
      </c>
      <c r="BI272" s="717"/>
      <c r="BJ272" s="717">
        <f t="shared" si="673"/>
        <v>3796627.9672757504</v>
      </c>
      <c r="BK272" s="717"/>
      <c r="BL272" s="717">
        <f t="shared" si="674"/>
        <v>3796627.9672757504</v>
      </c>
      <c r="BM272" s="717"/>
      <c r="BN272" s="717">
        <f t="shared" si="675"/>
        <v>3796627.9672757504</v>
      </c>
      <c r="BO272" s="717"/>
      <c r="BP272" s="717">
        <f t="shared" si="634"/>
        <v>3796627.9672757504</v>
      </c>
      <c r="BQ272" s="717"/>
      <c r="BR272" s="717">
        <f t="shared" si="584"/>
        <v>3796627.9672757504</v>
      </c>
      <c r="BS272" s="717"/>
      <c r="BT272" s="717">
        <f t="shared" si="676"/>
        <v>3796627.9672757504</v>
      </c>
      <c r="BU272" s="717"/>
      <c r="BV272" s="1235">
        <f t="shared" si="585"/>
        <v>51400</v>
      </c>
      <c r="BW272" s="717">
        <f t="shared" si="677"/>
        <v>3848027.9672757504</v>
      </c>
      <c r="BX272" s="717"/>
      <c r="BY272" s="717">
        <f t="shared" si="678"/>
        <v>3848027.9672757504</v>
      </c>
      <c r="BZ272" s="1194">
        <f t="shared" si="679"/>
        <v>3848027.9672757504</v>
      </c>
      <c r="CA272" s="1194">
        <f t="shared" si="680"/>
        <v>3034027.9672757504</v>
      </c>
      <c r="CB272" s="1194">
        <v>37000</v>
      </c>
      <c r="CC272" s="1194">
        <f t="shared" si="681"/>
        <v>814000</v>
      </c>
      <c r="CD272" s="1194">
        <f t="shared" si="682"/>
        <v>97680</v>
      </c>
      <c r="CE272" s="1194">
        <f t="shared" si="683"/>
        <v>911680</v>
      </c>
      <c r="CF272" s="1200">
        <f t="shared" si="684"/>
        <v>3945707.9672757504</v>
      </c>
      <c r="CG272" s="757">
        <f t="shared" si="685"/>
        <v>3945707.9672757504</v>
      </c>
      <c r="CH272" s="758">
        <f t="shared" si="686"/>
        <v>0</v>
      </c>
      <c r="CI272" s="757">
        <f t="shared" si="635"/>
        <v>404435.0666457644</v>
      </c>
      <c r="CJ272" s="757">
        <f t="shared" si="636"/>
        <v>98642.699181893768</v>
      </c>
      <c r="CK272" s="759">
        <f t="shared" si="593"/>
        <v>4448785.7331034085</v>
      </c>
      <c r="CL272" s="764">
        <f t="shared" si="687"/>
        <v>0.125</v>
      </c>
      <c r="CM272" s="757">
        <f t="shared" si="688"/>
        <v>556098.21663792606</v>
      </c>
      <c r="CN272" s="757">
        <f t="shared" si="730"/>
        <v>30000</v>
      </c>
      <c r="CO272" s="757">
        <f t="shared" si="689"/>
        <v>526098.21663792606</v>
      </c>
      <c r="CP272" s="755">
        <f t="shared" si="690"/>
        <v>29</v>
      </c>
      <c r="CQ272" s="757">
        <f t="shared" si="732"/>
        <v>18141.317815100898</v>
      </c>
      <c r="CR272" s="764">
        <f t="shared" si="691"/>
        <v>0.875</v>
      </c>
      <c r="CS272" s="757">
        <f t="shared" si="692"/>
        <v>3892687.5164654823</v>
      </c>
      <c r="CT272" s="1101">
        <f t="shared" si="693"/>
        <v>30179.964882125685</v>
      </c>
      <c r="CU272" s="1101">
        <f t="shared" si="694"/>
        <v>34988.575893934983</v>
      </c>
      <c r="CV272" s="1101">
        <f t="shared" si="695"/>
        <v>45197.402761012978</v>
      </c>
      <c r="CW272" s="1141">
        <f t="shared" si="637"/>
        <v>77079.878369073165</v>
      </c>
      <c r="CX272" s="1152">
        <f t="shared" si="696"/>
        <v>316215.37992537208</v>
      </c>
      <c r="CY272" s="1152">
        <f t="shared" si="697"/>
        <v>125124.88546291657</v>
      </c>
      <c r="CZ272" s="1152">
        <f t="shared" si="698"/>
        <v>90375.93260176231</v>
      </c>
      <c r="DA272" s="1152">
        <f t="shared" si="699"/>
        <v>68780.245402987232</v>
      </c>
      <c r="DB272" s="1143">
        <f t="shared" si="638"/>
        <v>0.17328480547254285</v>
      </c>
      <c r="DC272" s="1143">
        <f t="shared" si="700"/>
        <v>0.30048503502049001</v>
      </c>
      <c r="DD272" s="1098" t="s">
        <v>232</v>
      </c>
      <c r="DE272" s="1144"/>
      <c r="DF272" s="705"/>
      <c r="DG272" s="765">
        <f t="shared" si="731"/>
        <v>46082</v>
      </c>
      <c r="DH272" s="1116">
        <f t="shared" si="639"/>
        <v>28</v>
      </c>
      <c r="DI272" s="497"/>
      <c r="DJ272" s="1117">
        <f t="shared" si="701"/>
        <v>46147</v>
      </c>
      <c r="DK272" s="1116">
        <f t="shared" si="702"/>
        <v>30</v>
      </c>
      <c r="DL272" s="766" t="s">
        <v>233</v>
      </c>
      <c r="DM272" s="766" t="s">
        <v>234</v>
      </c>
      <c r="DN272" s="767">
        <f t="shared" si="640"/>
        <v>26465.315744897453</v>
      </c>
      <c r="DO272" s="767">
        <f t="shared" si="641"/>
        <v>582236.94638774393</v>
      </c>
      <c r="DP272" s="768">
        <f t="shared" si="642"/>
        <v>0.19407898212924798</v>
      </c>
      <c r="DR272" s="767">
        <f t="shared" si="643"/>
        <v>3945707.9672757504</v>
      </c>
      <c r="DS272" s="767">
        <f>SUM('[6]INTERNAL PRICELIST'!M272)</f>
        <v>0</v>
      </c>
      <c r="DT272" s="767">
        <f t="shared" si="703"/>
        <v>3945707.9672757504</v>
      </c>
      <c r="DV272" s="951">
        <f t="shared" si="644"/>
        <v>179350.36214889775</v>
      </c>
      <c r="DX272" s="781"/>
      <c r="DY272" s="782"/>
      <c r="DZ272" s="781"/>
      <c r="EA272" s="775"/>
      <c r="ED272" s="755" t="s">
        <v>715</v>
      </c>
      <c r="EE272" s="777" t="b">
        <f t="shared" si="645"/>
        <v>1</v>
      </c>
      <c r="EF272" s="1123" t="s">
        <v>714</v>
      </c>
      <c r="EG272" s="1123" t="s">
        <v>697</v>
      </c>
      <c r="EH272" s="1203"/>
      <c r="EP272" s="1230" t="s">
        <v>236</v>
      </c>
      <c r="EQ272" s="1145" t="s">
        <v>236</v>
      </c>
      <c r="ER272" s="753" t="b">
        <f t="shared" si="704"/>
        <v>1</v>
      </c>
      <c r="EU272" s="770">
        <v>3158898.0774007286</v>
      </c>
      <c r="EV272" s="771" t="s">
        <v>258</v>
      </c>
      <c r="EW272" s="775">
        <f t="shared" si="612"/>
        <v>-786809.88987502176</v>
      </c>
      <c r="EY272" s="775">
        <v>3125281.7816227991</v>
      </c>
      <c r="FJ272" s="994">
        <v>0.15</v>
      </c>
      <c r="FK272" s="993">
        <v>13597.661476345767</v>
      </c>
      <c r="FL272" s="993">
        <v>13965.165840571328</v>
      </c>
      <c r="FM272" s="497"/>
      <c r="FN272" s="993">
        <f t="shared" si="646"/>
        <v>4448785.7331034085</v>
      </c>
      <c r="FO272" s="994">
        <f t="shared" si="737"/>
        <v>0.15</v>
      </c>
      <c r="FP272" s="775">
        <f t="shared" si="647"/>
        <v>667317.85996551125</v>
      </c>
      <c r="FQ272" s="993">
        <f t="shared" si="648"/>
        <v>30000</v>
      </c>
      <c r="FR272" s="775">
        <f t="shared" si="706"/>
        <v>637317.85996551125</v>
      </c>
      <c r="FS272" s="497">
        <f t="shared" si="707"/>
        <v>40</v>
      </c>
      <c r="FT272" s="775">
        <f t="shared" si="708"/>
        <v>15932.946499137781</v>
      </c>
      <c r="FU272" s="497"/>
      <c r="FV272" s="993">
        <f t="shared" si="709"/>
        <v>4448785.7331034085</v>
      </c>
      <c r="FW272" s="705">
        <f t="shared" si="710"/>
        <v>444878.57331034087</v>
      </c>
      <c r="FX272" s="705">
        <f t="shared" si="711"/>
        <v>111219.64332758522</v>
      </c>
      <c r="FY272" s="705">
        <v>15000</v>
      </c>
      <c r="FZ272" s="705">
        <f t="shared" si="712"/>
        <v>429878.57331034087</v>
      </c>
      <c r="GA272" s="497">
        <f t="shared" si="713"/>
        <v>46</v>
      </c>
      <c r="GB272" s="775">
        <f t="shared" si="714"/>
        <v>9345.1863763117581</v>
      </c>
      <c r="GC272" s="497"/>
      <c r="GD272" s="497"/>
      <c r="GH272" s="1095">
        <f t="shared" si="613"/>
        <v>4448785.7331034085</v>
      </c>
      <c r="GI272" s="1098">
        <f t="shared" si="614"/>
        <v>0.125</v>
      </c>
      <c r="GJ272" s="1095">
        <f t="shared" si="615"/>
        <v>556098.21663792606</v>
      </c>
      <c r="GK272" s="1095">
        <f t="shared" si="616"/>
        <v>30000</v>
      </c>
      <c r="GL272" s="1095">
        <f t="shared" si="617"/>
        <v>526098.21663792606</v>
      </c>
      <c r="GM272" s="1095">
        <f t="shared" si="618"/>
        <v>29</v>
      </c>
      <c r="GN272" s="1095">
        <f t="shared" si="619"/>
        <v>18141.317815100898</v>
      </c>
      <c r="GO272" s="1098">
        <f t="shared" si="620"/>
        <v>0.875</v>
      </c>
      <c r="GP272" s="1095">
        <f t="shared" si="621"/>
        <v>3892687.5164654823</v>
      </c>
      <c r="GQ272" s="1095">
        <f t="shared" si="622"/>
        <v>30179.964882125685</v>
      </c>
      <c r="GR272" s="1095">
        <f t="shared" si="623"/>
        <v>34988.575893934983</v>
      </c>
      <c r="GS272" s="1095">
        <f t="shared" si="624"/>
        <v>45197.402761012978</v>
      </c>
      <c r="GT272" s="1095">
        <f t="shared" si="625"/>
        <v>77079.878369073165</v>
      </c>
      <c r="GU272" s="497"/>
      <c r="GV272" s="1095">
        <f t="shared" si="715"/>
        <v>4448785.7331034085</v>
      </c>
      <c r="GW272" s="1098">
        <f t="shared" si="716"/>
        <v>0.125</v>
      </c>
      <c r="GX272" s="1095">
        <f t="shared" si="717"/>
        <v>556098.21663792606</v>
      </c>
      <c r="GY272" s="1095">
        <f t="shared" si="718"/>
        <v>30000</v>
      </c>
      <c r="GZ272" s="1095">
        <f t="shared" si="719"/>
        <v>526098.21663792606</v>
      </c>
      <c r="HA272" s="1106">
        <f t="shared" si="720"/>
        <v>48</v>
      </c>
      <c r="HB272" s="770">
        <f t="shared" si="721"/>
        <v>10960.379513290127</v>
      </c>
      <c r="HC272" s="1098">
        <f t="shared" si="722"/>
        <v>0.875</v>
      </c>
      <c r="HD272" s="1102">
        <f t="shared" si="723"/>
        <v>3892687.5164654823</v>
      </c>
      <c r="HE272" s="1101">
        <f t="shared" si="724"/>
        <v>30179.964882125685</v>
      </c>
      <c r="HF272" s="1101">
        <f t="shared" si="725"/>
        <v>34988.575893934983</v>
      </c>
      <c r="HG272" s="1101">
        <f t="shared" si="726"/>
        <v>45197.402761012978</v>
      </c>
      <c r="HH272" s="1101">
        <f t="shared" si="727"/>
        <v>77079.878369073165</v>
      </c>
      <c r="HI272" s="497"/>
      <c r="HJ272" s="1102">
        <f t="shared" si="728"/>
        <v>-7180.938301810771</v>
      </c>
      <c r="HL272" s="775"/>
      <c r="HN272" s="775"/>
      <c r="HO272" s="775"/>
      <c r="HQ272" s="702"/>
      <c r="HR272" s="1171"/>
      <c r="HS272" s="702"/>
      <c r="HT272" s="1171"/>
    </row>
    <row r="273" spans="1:228" ht="14.25" hidden="1" customHeight="1">
      <c r="A273" s="753">
        <f t="shared" si="729"/>
        <v>267</v>
      </c>
      <c r="B273" s="753" t="s">
        <v>236</v>
      </c>
      <c r="C273" s="753">
        <f t="shared" si="610"/>
        <v>19</v>
      </c>
      <c r="D273" s="753" t="s">
        <v>284</v>
      </c>
      <c r="E273" s="717" t="str">
        <f t="shared" si="649"/>
        <v>11th Floor</v>
      </c>
      <c r="F273" s="754"/>
      <c r="G273" s="756" t="s">
        <v>716</v>
      </c>
      <c r="H273" s="756"/>
      <c r="I273" s="755" t="s">
        <v>229</v>
      </c>
      <c r="J273" s="757">
        <v>22</v>
      </c>
      <c r="K273" s="758"/>
      <c r="L273" s="759" t="s">
        <v>69</v>
      </c>
      <c r="M273" s="760" t="s">
        <v>68</v>
      </c>
      <c r="N273" s="761">
        <f t="shared" si="650"/>
        <v>106005.26567735759</v>
      </c>
      <c r="O273" s="762">
        <f t="shared" si="651"/>
        <v>2332115.8449018667</v>
      </c>
      <c r="P273" s="762">
        <f t="shared" si="652"/>
        <v>22400</v>
      </c>
      <c r="Q273" s="762">
        <f t="shared" si="626"/>
        <v>50000</v>
      </c>
      <c r="R273" s="762"/>
      <c r="S273" s="762"/>
      <c r="T273" s="762"/>
      <c r="U273" s="762"/>
      <c r="V273" s="762"/>
      <c r="W273" s="762"/>
      <c r="X273" s="762"/>
      <c r="Y273" s="762">
        <f t="shared" si="611"/>
        <v>140000</v>
      </c>
      <c r="Z273" s="762">
        <f t="shared" si="627"/>
        <v>142461</v>
      </c>
      <c r="AA273" s="762"/>
      <c r="AB273" s="762"/>
      <c r="AC273" s="762"/>
      <c r="AD273" s="763">
        <f t="shared" si="653"/>
        <v>354861</v>
      </c>
      <c r="AE273" s="763">
        <f t="shared" si="628"/>
        <v>2686976.8449018667</v>
      </c>
      <c r="AF273" s="762">
        <f t="shared" si="629"/>
        <v>67174.421122546672</v>
      </c>
      <c r="AG273" s="762">
        <f t="shared" si="654"/>
        <v>2754151.2660244135</v>
      </c>
      <c r="AH273" s="762">
        <f t="shared" si="630"/>
        <v>68853.781650610341</v>
      </c>
      <c r="AI273" s="762">
        <f t="shared" si="655"/>
        <v>2823005.0476750238</v>
      </c>
      <c r="AJ273" s="762">
        <f t="shared" si="656"/>
        <v>141150.25238375118</v>
      </c>
      <c r="AK273" s="762">
        <f t="shared" si="657"/>
        <v>2964155.3000587751</v>
      </c>
      <c r="AL273" s="762">
        <f t="shared" si="658"/>
        <v>29641.553000587752</v>
      </c>
      <c r="AM273" s="762">
        <f t="shared" si="659"/>
        <v>27537.409960060559</v>
      </c>
      <c r="AN273" s="762"/>
      <c r="AO273" s="763">
        <f t="shared" si="660"/>
        <v>3021334.2630194235</v>
      </c>
      <c r="AP273" s="763">
        <f t="shared" si="661"/>
        <v>498520.15339820489</v>
      </c>
      <c r="AQ273" s="763">
        <f t="shared" si="662"/>
        <v>3519854.4164176285</v>
      </c>
      <c r="AR273" s="1178">
        <f t="shared" si="631"/>
        <v>3000000</v>
      </c>
      <c r="AS273" s="1178">
        <f t="shared" si="663"/>
        <v>23629.746200801295</v>
      </c>
      <c r="AT273" s="1178">
        <f t="shared" si="664"/>
        <v>519854.41641762853</v>
      </c>
      <c r="AU273" s="1178">
        <f t="shared" si="632"/>
        <v>62382.529970115422</v>
      </c>
      <c r="AV273" s="1178">
        <f t="shared" si="665"/>
        <v>582236.94638774393</v>
      </c>
      <c r="AW273" s="1178">
        <f t="shared" si="666"/>
        <v>3582236.946387744</v>
      </c>
      <c r="AX273" s="762">
        <f t="shared" si="667"/>
        <v>44777.961829846805</v>
      </c>
      <c r="AY273" s="717" t="s">
        <v>231</v>
      </c>
      <c r="AZ273" s="717">
        <f t="shared" si="668"/>
        <v>3627014.9082175908</v>
      </c>
      <c r="BA273" s="717">
        <f t="shared" si="669"/>
        <v>136013.05905815965</v>
      </c>
      <c r="BB273" s="717"/>
      <c r="BC273" s="717">
        <f t="shared" si="633"/>
        <v>33600</v>
      </c>
      <c r="BD273" s="717">
        <f t="shared" si="670"/>
        <v>3796627.9672757504</v>
      </c>
      <c r="BE273" s="717"/>
      <c r="BF273" s="717">
        <f t="shared" si="671"/>
        <v>3796627.9672757504</v>
      </c>
      <c r="BG273" s="1209"/>
      <c r="BH273" s="717">
        <f t="shared" si="672"/>
        <v>3796627.9672757504</v>
      </c>
      <c r="BI273" s="717"/>
      <c r="BJ273" s="717">
        <f t="shared" si="673"/>
        <v>3796627.9672757504</v>
      </c>
      <c r="BK273" s="717"/>
      <c r="BL273" s="717">
        <f t="shared" si="674"/>
        <v>3796627.9672757504</v>
      </c>
      <c r="BM273" s="717"/>
      <c r="BN273" s="717">
        <f t="shared" si="675"/>
        <v>3796627.9672757504</v>
      </c>
      <c r="BO273" s="717"/>
      <c r="BP273" s="717">
        <f t="shared" si="634"/>
        <v>3796627.9672757504</v>
      </c>
      <c r="BQ273" s="717"/>
      <c r="BR273" s="717">
        <f t="shared" si="584"/>
        <v>3796627.9672757504</v>
      </c>
      <c r="BS273" s="717"/>
      <c r="BT273" s="717">
        <f t="shared" si="676"/>
        <v>3796627.9672757504</v>
      </c>
      <c r="BU273" s="717"/>
      <c r="BV273" s="1235">
        <f t="shared" si="585"/>
        <v>51400</v>
      </c>
      <c r="BW273" s="717">
        <f t="shared" si="677"/>
        <v>3848027.9672757504</v>
      </c>
      <c r="BX273" s="717"/>
      <c r="BY273" s="717">
        <f t="shared" si="678"/>
        <v>3848027.9672757504</v>
      </c>
      <c r="BZ273" s="1194">
        <f t="shared" si="679"/>
        <v>3848027.9672757504</v>
      </c>
      <c r="CA273" s="1194">
        <f t="shared" si="680"/>
        <v>3034027.9672757504</v>
      </c>
      <c r="CB273" s="1194">
        <v>37000</v>
      </c>
      <c r="CC273" s="1194">
        <f t="shared" si="681"/>
        <v>814000</v>
      </c>
      <c r="CD273" s="1194">
        <f t="shared" si="682"/>
        <v>97680</v>
      </c>
      <c r="CE273" s="1194">
        <f t="shared" si="683"/>
        <v>911680</v>
      </c>
      <c r="CF273" s="1200">
        <f t="shared" si="684"/>
        <v>3945707.9672757504</v>
      </c>
      <c r="CG273" s="757">
        <f t="shared" si="685"/>
        <v>3945707.9672757504</v>
      </c>
      <c r="CH273" s="758">
        <f t="shared" si="686"/>
        <v>0</v>
      </c>
      <c r="CI273" s="757">
        <f t="shared" si="635"/>
        <v>404435.0666457644</v>
      </c>
      <c r="CJ273" s="757">
        <f t="shared" si="636"/>
        <v>98642.699181893768</v>
      </c>
      <c r="CK273" s="759">
        <f t="shared" si="593"/>
        <v>4448785.7331034085</v>
      </c>
      <c r="CL273" s="764">
        <f t="shared" si="687"/>
        <v>0.125</v>
      </c>
      <c r="CM273" s="757">
        <f t="shared" si="688"/>
        <v>556098.21663792606</v>
      </c>
      <c r="CN273" s="757">
        <f t="shared" si="730"/>
        <v>30000</v>
      </c>
      <c r="CO273" s="757">
        <f t="shared" si="689"/>
        <v>526098.21663792606</v>
      </c>
      <c r="CP273" s="755">
        <f t="shared" si="690"/>
        <v>29</v>
      </c>
      <c r="CQ273" s="757">
        <f t="shared" si="732"/>
        <v>18141.317815100898</v>
      </c>
      <c r="CR273" s="764">
        <f t="shared" si="691"/>
        <v>0.875</v>
      </c>
      <c r="CS273" s="757">
        <f t="shared" si="692"/>
        <v>3892687.5164654823</v>
      </c>
      <c r="CT273" s="1101">
        <f t="shared" si="693"/>
        <v>30179.964882125685</v>
      </c>
      <c r="CU273" s="1101">
        <f t="shared" si="694"/>
        <v>34988.575893934983</v>
      </c>
      <c r="CV273" s="1101">
        <f t="shared" si="695"/>
        <v>45197.402761012978</v>
      </c>
      <c r="CW273" s="1141">
        <f t="shared" si="637"/>
        <v>77079.878369073165</v>
      </c>
      <c r="CX273" s="1152">
        <f t="shared" si="696"/>
        <v>316215.37992537208</v>
      </c>
      <c r="CY273" s="1152">
        <f t="shared" si="697"/>
        <v>125124.88546291657</v>
      </c>
      <c r="CZ273" s="1152">
        <f t="shared" si="698"/>
        <v>90375.93260176231</v>
      </c>
      <c r="DA273" s="1152">
        <f t="shared" si="699"/>
        <v>68780.245402987232</v>
      </c>
      <c r="DB273" s="1143">
        <f t="shared" si="638"/>
        <v>0.17328480547254285</v>
      </c>
      <c r="DC273" s="1143">
        <f t="shared" si="700"/>
        <v>0.30048503502049001</v>
      </c>
      <c r="DD273" s="1098" t="s">
        <v>232</v>
      </c>
      <c r="DE273" s="1144"/>
      <c r="DF273" s="705"/>
      <c r="DG273" s="765">
        <f t="shared" si="731"/>
        <v>46082</v>
      </c>
      <c r="DH273" s="1116">
        <f t="shared" si="639"/>
        <v>28</v>
      </c>
      <c r="DI273" s="497"/>
      <c r="DJ273" s="1117">
        <f t="shared" si="701"/>
        <v>46147</v>
      </c>
      <c r="DK273" s="1116">
        <f t="shared" si="702"/>
        <v>30</v>
      </c>
      <c r="DL273" s="766" t="s">
        <v>233</v>
      </c>
      <c r="DM273" s="766" t="s">
        <v>234</v>
      </c>
      <c r="DN273" s="767">
        <f t="shared" si="640"/>
        <v>26465.315744897453</v>
      </c>
      <c r="DO273" s="767">
        <f t="shared" si="641"/>
        <v>582236.94638774393</v>
      </c>
      <c r="DP273" s="768">
        <f t="shared" si="642"/>
        <v>0.19407898212924798</v>
      </c>
      <c r="DR273" s="767">
        <f t="shared" si="643"/>
        <v>3945707.9672757504</v>
      </c>
      <c r="DS273" s="767">
        <f>SUM('[6]INTERNAL PRICELIST'!M273)</f>
        <v>0</v>
      </c>
      <c r="DT273" s="767">
        <f t="shared" si="703"/>
        <v>3945707.9672757504</v>
      </c>
      <c r="DV273" s="951">
        <f t="shared" si="644"/>
        <v>179350.36214889775</v>
      </c>
      <c r="DX273" s="781"/>
      <c r="DY273" s="782"/>
      <c r="DZ273" s="781"/>
      <c r="EA273" s="775"/>
      <c r="ED273" s="755" t="s">
        <v>716</v>
      </c>
      <c r="EE273" s="777" t="b">
        <f t="shared" si="645"/>
        <v>1</v>
      </c>
      <c r="EF273" s="1123" t="s">
        <v>717</v>
      </c>
      <c r="EG273" s="1123" t="s">
        <v>697</v>
      </c>
      <c r="EH273" s="1203"/>
      <c r="EP273" s="1230" t="s">
        <v>236</v>
      </c>
      <c r="EQ273" s="1145" t="s">
        <v>236</v>
      </c>
      <c r="ER273" s="753" t="b">
        <f t="shared" si="704"/>
        <v>1</v>
      </c>
      <c r="EU273" s="770">
        <v>2606860</v>
      </c>
      <c r="EV273" s="771" t="s">
        <v>236</v>
      </c>
      <c r="FJ273" s="994">
        <v>0.15</v>
      </c>
      <c r="FK273" s="993">
        <v>13597.661476345767</v>
      </c>
      <c r="FL273" s="993">
        <v>13965.165840571328</v>
      </c>
      <c r="FM273" s="497"/>
      <c r="FN273" s="993">
        <f t="shared" si="646"/>
        <v>4448785.7331034085</v>
      </c>
      <c r="FO273" s="994">
        <f t="shared" si="737"/>
        <v>0.15</v>
      </c>
      <c r="FP273" s="775">
        <f t="shared" si="647"/>
        <v>667317.85996551125</v>
      </c>
      <c r="FQ273" s="993">
        <f t="shared" si="648"/>
        <v>30000</v>
      </c>
      <c r="FR273" s="775">
        <f t="shared" si="706"/>
        <v>637317.85996551125</v>
      </c>
      <c r="FS273" s="497">
        <f t="shared" si="707"/>
        <v>40</v>
      </c>
      <c r="FT273" s="775">
        <f t="shared" si="708"/>
        <v>15932.946499137781</v>
      </c>
      <c r="FU273" s="497"/>
      <c r="FV273" s="993">
        <f t="shared" si="709"/>
        <v>4448785.7331034085</v>
      </c>
      <c r="FW273" s="705">
        <f t="shared" si="710"/>
        <v>444878.57331034087</v>
      </c>
      <c r="FX273" s="705">
        <f t="shared" si="711"/>
        <v>111219.64332758522</v>
      </c>
      <c r="FY273" s="705">
        <v>15000</v>
      </c>
      <c r="FZ273" s="705">
        <f t="shared" si="712"/>
        <v>429878.57331034087</v>
      </c>
      <c r="GA273" s="497">
        <f t="shared" si="713"/>
        <v>46</v>
      </c>
      <c r="GB273" s="775">
        <f t="shared" si="714"/>
        <v>9345.1863763117581</v>
      </c>
      <c r="GC273" s="497"/>
      <c r="GD273" s="497"/>
      <c r="GH273" s="1095">
        <f t="shared" si="613"/>
        <v>4448785.7331034085</v>
      </c>
      <c r="GI273" s="1098">
        <f t="shared" si="614"/>
        <v>0.125</v>
      </c>
      <c r="GJ273" s="1095">
        <f t="shared" si="615"/>
        <v>556098.21663792606</v>
      </c>
      <c r="GK273" s="1095">
        <f t="shared" si="616"/>
        <v>30000</v>
      </c>
      <c r="GL273" s="1095">
        <f t="shared" si="617"/>
        <v>526098.21663792606</v>
      </c>
      <c r="GM273" s="1095">
        <f t="shared" si="618"/>
        <v>29</v>
      </c>
      <c r="GN273" s="1095">
        <f t="shared" si="619"/>
        <v>18141.317815100898</v>
      </c>
      <c r="GO273" s="1098">
        <f t="shared" si="620"/>
        <v>0.875</v>
      </c>
      <c r="GP273" s="1095">
        <f t="shared" si="621"/>
        <v>3892687.5164654823</v>
      </c>
      <c r="GQ273" s="1095">
        <f t="shared" si="622"/>
        <v>30179.964882125685</v>
      </c>
      <c r="GR273" s="1095">
        <f t="shared" si="623"/>
        <v>34988.575893934983</v>
      </c>
      <c r="GS273" s="1095">
        <f t="shared" si="624"/>
        <v>45197.402761012978</v>
      </c>
      <c r="GT273" s="1095">
        <f t="shared" si="625"/>
        <v>77079.878369073165</v>
      </c>
      <c r="GU273" s="497"/>
      <c r="GV273" s="1095">
        <f t="shared" si="715"/>
        <v>4448785.7331034085</v>
      </c>
      <c r="GW273" s="1098">
        <f t="shared" si="716"/>
        <v>0.125</v>
      </c>
      <c r="GX273" s="1095">
        <f t="shared" si="717"/>
        <v>556098.21663792606</v>
      </c>
      <c r="GY273" s="1095">
        <f t="shared" si="718"/>
        <v>30000</v>
      </c>
      <c r="GZ273" s="1095">
        <f t="shared" si="719"/>
        <v>526098.21663792606</v>
      </c>
      <c r="HA273" s="1106">
        <f t="shared" si="720"/>
        <v>48</v>
      </c>
      <c r="HB273" s="770">
        <f t="shared" si="721"/>
        <v>10960.379513290127</v>
      </c>
      <c r="HC273" s="1098">
        <f t="shared" si="722"/>
        <v>0.875</v>
      </c>
      <c r="HD273" s="1102">
        <f t="shared" si="723"/>
        <v>3892687.5164654823</v>
      </c>
      <c r="HE273" s="1101">
        <f t="shared" si="724"/>
        <v>30179.964882125685</v>
      </c>
      <c r="HF273" s="1101">
        <f t="shared" si="725"/>
        <v>34988.575893934983</v>
      </c>
      <c r="HG273" s="1101">
        <f t="shared" si="726"/>
        <v>45197.402761012978</v>
      </c>
      <c r="HH273" s="1101">
        <f t="shared" si="727"/>
        <v>77079.878369073165</v>
      </c>
      <c r="HI273" s="497"/>
      <c r="HJ273" s="1102">
        <f t="shared" si="728"/>
        <v>-7180.938301810771</v>
      </c>
      <c r="HL273" s="775"/>
      <c r="HN273" s="775"/>
      <c r="HO273" s="775"/>
      <c r="HQ273" s="702"/>
      <c r="HR273" s="1171"/>
      <c r="HS273" s="702"/>
      <c r="HT273" s="1171"/>
    </row>
    <row r="274" spans="1:228" ht="14.25" hidden="1" customHeight="1">
      <c r="A274" s="753">
        <f t="shared" si="729"/>
        <v>268</v>
      </c>
      <c r="B274" s="753" t="s">
        <v>236</v>
      </c>
      <c r="C274" s="753">
        <f t="shared" si="610"/>
        <v>20</v>
      </c>
      <c r="D274" s="753" t="s">
        <v>284</v>
      </c>
      <c r="E274" s="717" t="str">
        <f t="shared" si="649"/>
        <v>11th Floor</v>
      </c>
      <c r="F274" s="754"/>
      <c r="G274" s="756" t="s">
        <v>718</v>
      </c>
      <c r="H274" s="756"/>
      <c r="I274" s="755" t="s">
        <v>229</v>
      </c>
      <c r="J274" s="757">
        <v>22</v>
      </c>
      <c r="K274" s="758"/>
      <c r="L274" s="759" t="s">
        <v>69</v>
      </c>
      <c r="M274" s="760" t="s">
        <v>68</v>
      </c>
      <c r="N274" s="761">
        <f t="shared" si="650"/>
        <v>106005.26567735759</v>
      </c>
      <c r="O274" s="762">
        <f t="shared" si="651"/>
        <v>2332115.8449018667</v>
      </c>
      <c r="P274" s="762">
        <f t="shared" si="652"/>
        <v>22400</v>
      </c>
      <c r="Q274" s="762">
        <f t="shared" si="626"/>
        <v>50000</v>
      </c>
      <c r="R274" s="762"/>
      <c r="S274" s="762"/>
      <c r="T274" s="762"/>
      <c r="U274" s="762"/>
      <c r="V274" s="762"/>
      <c r="W274" s="762"/>
      <c r="X274" s="762"/>
      <c r="Y274" s="762">
        <f t="shared" si="611"/>
        <v>140000</v>
      </c>
      <c r="Z274" s="762">
        <f t="shared" si="627"/>
        <v>142461</v>
      </c>
      <c r="AA274" s="762"/>
      <c r="AB274" s="762"/>
      <c r="AC274" s="762"/>
      <c r="AD274" s="763">
        <f t="shared" si="653"/>
        <v>354861</v>
      </c>
      <c r="AE274" s="763">
        <f t="shared" si="628"/>
        <v>2686976.8449018667</v>
      </c>
      <c r="AF274" s="762">
        <f t="shared" si="629"/>
        <v>67174.421122546672</v>
      </c>
      <c r="AG274" s="762">
        <f t="shared" si="654"/>
        <v>2754151.2660244135</v>
      </c>
      <c r="AH274" s="762">
        <f t="shared" si="630"/>
        <v>68853.781650610341</v>
      </c>
      <c r="AI274" s="762">
        <f t="shared" si="655"/>
        <v>2823005.0476750238</v>
      </c>
      <c r="AJ274" s="762">
        <f t="shared" si="656"/>
        <v>141150.25238375118</v>
      </c>
      <c r="AK274" s="762">
        <f t="shared" si="657"/>
        <v>2964155.3000587751</v>
      </c>
      <c r="AL274" s="762">
        <f t="shared" si="658"/>
        <v>29641.553000587752</v>
      </c>
      <c r="AM274" s="762">
        <f t="shared" si="659"/>
        <v>27537.409960060559</v>
      </c>
      <c r="AN274" s="762"/>
      <c r="AO274" s="763">
        <f t="shared" si="660"/>
        <v>3021334.2630194235</v>
      </c>
      <c r="AP274" s="763">
        <f t="shared" si="661"/>
        <v>498520.15339820489</v>
      </c>
      <c r="AQ274" s="763">
        <f t="shared" si="662"/>
        <v>3519854.4164176285</v>
      </c>
      <c r="AR274" s="1178">
        <f t="shared" si="631"/>
        <v>3000000</v>
      </c>
      <c r="AS274" s="1178">
        <f t="shared" si="663"/>
        <v>23629.746200801295</v>
      </c>
      <c r="AT274" s="1178">
        <f t="shared" si="664"/>
        <v>519854.41641762853</v>
      </c>
      <c r="AU274" s="1178">
        <f t="shared" si="632"/>
        <v>62382.529970115422</v>
      </c>
      <c r="AV274" s="1178">
        <f t="shared" si="665"/>
        <v>582236.94638774393</v>
      </c>
      <c r="AW274" s="1178">
        <f t="shared" si="666"/>
        <v>3582236.946387744</v>
      </c>
      <c r="AX274" s="762">
        <f t="shared" si="667"/>
        <v>44777.961829846805</v>
      </c>
      <c r="AY274" s="717" t="s">
        <v>231</v>
      </c>
      <c r="AZ274" s="717">
        <f t="shared" si="668"/>
        <v>3627014.9082175908</v>
      </c>
      <c r="BA274" s="717">
        <f t="shared" si="669"/>
        <v>136013.05905815965</v>
      </c>
      <c r="BB274" s="717"/>
      <c r="BC274" s="717">
        <f t="shared" si="633"/>
        <v>33600</v>
      </c>
      <c r="BD274" s="717">
        <f t="shared" si="670"/>
        <v>3796627.9672757504</v>
      </c>
      <c r="BE274" s="717"/>
      <c r="BF274" s="717">
        <f t="shared" si="671"/>
        <v>3796627.9672757504</v>
      </c>
      <c r="BG274" s="1209"/>
      <c r="BH274" s="717">
        <f t="shared" si="672"/>
        <v>3796627.9672757504</v>
      </c>
      <c r="BI274" s="717"/>
      <c r="BJ274" s="717">
        <f t="shared" si="673"/>
        <v>3796627.9672757504</v>
      </c>
      <c r="BK274" s="717"/>
      <c r="BL274" s="717">
        <f t="shared" si="674"/>
        <v>3796627.9672757504</v>
      </c>
      <c r="BM274" s="717"/>
      <c r="BN274" s="717">
        <f t="shared" si="675"/>
        <v>3796627.9672757504</v>
      </c>
      <c r="BO274" s="717"/>
      <c r="BP274" s="717">
        <f t="shared" si="634"/>
        <v>3796627.9672757504</v>
      </c>
      <c r="BQ274" s="717"/>
      <c r="BR274" s="717">
        <f t="shared" ref="BR274:BR337" si="738">BP274+BQ274</f>
        <v>3796627.9672757504</v>
      </c>
      <c r="BS274" s="717"/>
      <c r="BT274" s="717">
        <f t="shared" si="676"/>
        <v>3796627.9672757504</v>
      </c>
      <c r="BU274" s="717"/>
      <c r="BV274" s="1235">
        <f t="shared" ref="BV274:BV337" si="739">$BV$2+$BV$3-BC274</f>
        <v>51400</v>
      </c>
      <c r="BW274" s="717">
        <f t="shared" si="677"/>
        <v>3848027.9672757504</v>
      </c>
      <c r="BX274" s="717"/>
      <c r="BY274" s="717">
        <f t="shared" si="678"/>
        <v>3848027.9672757504</v>
      </c>
      <c r="BZ274" s="1194">
        <f t="shared" si="679"/>
        <v>3848027.9672757504</v>
      </c>
      <c r="CA274" s="1194">
        <f t="shared" si="680"/>
        <v>3034027.9672757504</v>
      </c>
      <c r="CB274" s="1194">
        <v>37000</v>
      </c>
      <c r="CC274" s="1194">
        <f t="shared" si="681"/>
        <v>814000</v>
      </c>
      <c r="CD274" s="1194">
        <f t="shared" si="682"/>
        <v>97680</v>
      </c>
      <c r="CE274" s="1194">
        <f t="shared" si="683"/>
        <v>911680</v>
      </c>
      <c r="CF274" s="1200">
        <f t="shared" si="684"/>
        <v>3945707.9672757504</v>
      </c>
      <c r="CG274" s="757">
        <f t="shared" si="685"/>
        <v>3945707.9672757504</v>
      </c>
      <c r="CH274" s="758">
        <f t="shared" si="686"/>
        <v>0</v>
      </c>
      <c r="CI274" s="757">
        <f t="shared" si="635"/>
        <v>404435.0666457644</v>
      </c>
      <c r="CJ274" s="757">
        <f t="shared" si="636"/>
        <v>98642.699181893768</v>
      </c>
      <c r="CK274" s="759">
        <f t="shared" si="593"/>
        <v>4448785.7331034085</v>
      </c>
      <c r="CL274" s="764">
        <f t="shared" si="687"/>
        <v>0.125</v>
      </c>
      <c r="CM274" s="757">
        <f t="shared" si="688"/>
        <v>556098.21663792606</v>
      </c>
      <c r="CN274" s="757">
        <f t="shared" si="730"/>
        <v>30000</v>
      </c>
      <c r="CO274" s="757">
        <f t="shared" si="689"/>
        <v>526098.21663792606</v>
      </c>
      <c r="CP274" s="755">
        <f t="shared" si="690"/>
        <v>29</v>
      </c>
      <c r="CQ274" s="757">
        <f t="shared" si="732"/>
        <v>18141.317815100898</v>
      </c>
      <c r="CR274" s="764">
        <f t="shared" si="691"/>
        <v>0.875</v>
      </c>
      <c r="CS274" s="757">
        <f t="shared" si="692"/>
        <v>3892687.5164654823</v>
      </c>
      <c r="CT274" s="1101">
        <f t="shared" si="693"/>
        <v>30179.964882125685</v>
      </c>
      <c r="CU274" s="1101">
        <f t="shared" si="694"/>
        <v>34988.575893934983</v>
      </c>
      <c r="CV274" s="1101">
        <f t="shared" si="695"/>
        <v>45197.402761012978</v>
      </c>
      <c r="CW274" s="1141">
        <f t="shared" si="637"/>
        <v>77079.878369073165</v>
      </c>
      <c r="CX274" s="1152">
        <f t="shared" si="696"/>
        <v>316215.37992537208</v>
      </c>
      <c r="CY274" s="1152">
        <f t="shared" si="697"/>
        <v>125124.88546291657</v>
      </c>
      <c r="CZ274" s="1152">
        <f t="shared" si="698"/>
        <v>90375.93260176231</v>
      </c>
      <c r="DA274" s="1152">
        <f t="shared" si="699"/>
        <v>68780.245402987232</v>
      </c>
      <c r="DB274" s="1143">
        <f t="shared" si="638"/>
        <v>0.17328480547254285</v>
      </c>
      <c r="DC274" s="1143">
        <f t="shared" si="700"/>
        <v>0.30048503502049001</v>
      </c>
      <c r="DD274" s="1098" t="s">
        <v>232</v>
      </c>
      <c r="DE274" s="1144"/>
      <c r="DF274" s="705"/>
      <c r="DG274" s="765">
        <f t="shared" si="731"/>
        <v>46082</v>
      </c>
      <c r="DH274" s="1116">
        <f t="shared" si="639"/>
        <v>28</v>
      </c>
      <c r="DI274" s="497"/>
      <c r="DJ274" s="1117">
        <f t="shared" si="701"/>
        <v>46147</v>
      </c>
      <c r="DK274" s="1116">
        <f t="shared" si="702"/>
        <v>30</v>
      </c>
      <c r="DL274" s="766" t="s">
        <v>233</v>
      </c>
      <c r="DM274" s="766" t="s">
        <v>234</v>
      </c>
      <c r="DN274" s="767">
        <f t="shared" si="640"/>
        <v>26465.315744897453</v>
      </c>
      <c r="DO274" s="767">
        <f t="shared" si="641"/>
        <v>582236.94638774393</v>
      </c>
      <c r="DP274" s="768">
        <f t="shared" si="642"/>
        <v>0.19407898212924798</v>
      </c>
      <c r="DR274" s="767">
        <f t="shared" si="643"/>
        <v>3945707.9672757504</v>
      </c>
      <c r="DS274" s="767">
        <f>SUM('[6]INTERNAL PRICELIST'!M274)</f>
        <v>0</v>
      </c>
      <c r="DT274" s="767">
        <f t="shared" si="703"/>
        <v>3945707.9672757504</v>
      </c>
      <c r="DV274" s="951">
        <f t="shared" si="644"/>
        <v>179350.36214889775</v>
      </c>
      <c r="DX274" s="781"/>
      <c r="DY274" s="782"/>
      <c r="DZ274" s="781"/>
      <c r="EA274" s="775"/>
      <c r="ED274" s="755" t="s">
        <v>718</v>
      </c>
      <c r="EE274" s="777" t="b">
        <f t="shared" si="645"/>
        <v>1</v>
      </c>
      <c r="EF274" s="1123" t="s">
        <v>719</v>
      </c>
      <c r="EG274" s="1123" t="s">
        <v>697</v>
      </c>
      <c r="EH274" s="1203"/>
      <c r="EP274" s="1230" t="s">
        <v>236</v>
      </c>
      <c r="EQ274" s="1145" t="s">
        <v>236</v>
      </c>
      <c r="ER274" s="753" t="b">
        <f t="shared" si="704"/>
        <v>1</v>
      </c>
      <c r="EU274" s="770">
        <v>3158898.0774007286</v>
      </c>
      <c r="EV274" s="771" t="s">
        <v>258</v>
      </c>
      <c r="EW274" s="775">
        <f>EU274-CG274</f>
        <v>-786809.88987502176</v>
      </c>
      <c r="EY274" s="775">
        <v>3125281.7816227991</v>
      </c>
      <c r="FJ274" s="994">
        <v>0.15</v>
      </c>
      <c r="FK274" s="993">
        <v>13597.661476345767</v>
      </c>
      <c r="FL274" s="993">
        <v>13965.165840571328</v>
      </c>
      <c r="FM274" s="497"/>
      <c r="FN274" s="993">
        <f t="shared" si="646"/>
        <v>4448785.7331034085</v>
      </c>
      <c r="FO274" s="994">
        <f t="shared" si="737"/>
        <v>0.15</v>
      </c>
      <c r="FP274" s="775">
        <f t="shared" si="647"/>
        <v>667317.85996551125</v>
      </c>
      <c r="FQ274" s="993">
        <f t="shared" si="648"/>
        <v>30000</v>
      </c>
      <c r="FR274" s="775">
        <f t="shared" si="706"/>
        <v>637317.85996551125</v>
      </c>
      <c r="FS274" s="497">
        <f t="shared" si="707"/>
        <v>40</v>
      </c>
      <c r="FT274" s="775">
        <f t="shared" si="708"/>
        <v>15932.946499137781</v>
      </c>
      <c r="FU274" s="497"/>
      <c r="FV274" s="993">
        <f t="shared" si="709"/>
        <v>4448785.7331034085</v>
      </c>
      <c r="FW274" s="705">
        <f t="shared" si="710"/>
        <v>444878.57331034087</v>
      </c>
      <c r="FX274" s="705">
        <f t="shared" si="711"/>
        <v>111219.64332758522</v>
      </c>
      <c r="FY274" s="705">
        <v>15000</v>
      </c>
      <c r="FZ274" s="705">
        <f t="shared" si="712"/>
        <v>429878.57331034087</v>
      </c>
      <c r="GA274" s="497">
        <f t="shared" si="713"/>
        <v>46</v>
      </c>
      <c r="GB274" s="775">
        <f t="shared" si="714"/>
        <v>9345.1863763117581</v>
      </c>
      <c r="GC274" s="497"/>
      <c r="GD274" s="497"/>
      <c r="GH274" s="1095">
        <f t="shared" si="613"/>
        <v>4448785.7331034085</v>
      </c>
      <c r="GI274" s="1098">
        <f t="shared" si="614"/>
        <v>0.125</v>
      </c>
      <c r="GJ274" s="1095">
        <f t="shared" si="615"/>
        <v>556098.21663792606</v>
      </c>
      <c r="GK274" s="1095">
        <f t="shared" si="616"/>
        <v>30000</v>
      </c>
      <c r="GL274" s="1095">
        <f t="shared" si="617"/>
        <v>526098.21663792606</v>
      </c>
      <c r="GM274" s="1095">
        <f t="shared" si="618"/>
        <v>29</v>
      </c>
      <c r="GN274" s="1095">
        <f t="shared" si="619"/>
        <v>18141.317815100898</v>
      </c>
      <c r="GO274" s="1098">
        <f t="shared" si="620"/>
        <v>0.875</v>
      </c>
      <c r="GP274" s="1095">
        <f t="shared" si="621"/>
        <v>3892687.5164654823</v>
      </c>
      <c r="GQ274" s="1095">
        <f t="shared" si="622"/>
        <v>30179.964882125685</v>
      </c>
      <c r="GR274" s="1095">
        <f t="shared" si="623"/>
        <v>34988.575893934983</v>
      </c>
      <c r="GS274" s="1095">
        <f t="shared" si="624"/>
        <v>45197.402761012978</v>
      </c>
      <c r="GT274" s="1095">
        <f t="shared" si="625"/>
        <v>77079.878369073165</v>
      </c>
      <c r="GU274" s="497"/>
      <c r="GV274" s="1095">
        <f t="shared" si="715"/>
        <v>4448785.7331034085</v>
      </c>
      <c r="GW274" s="1098">
        <f t="shared" si="716"/>
        <v>0.125</v>
      </c>
      <c r="GX274" s="1095">
        <f t="shared" si="717"/>
        <v>556098.21663792606</v>
      </c>
      <c r="GY274" s="1095">
        <f t="shared" si="718"/>
        <v>30000</v>
      </c>
      <c r="GZ274" s="1095">
        <f t="shared" si="719"/>
        <v>526098.21663792606</v>
      </c>
      <c r="HA274" s="1106">
        <f t="shared" si="720"/>
        <v>48</v>
      </c>
      <c r="HB274" s="770">
        <f t="shared" si="721"/>
        <v>10960.379513290127</v>
      </c>
      <c r="HC274" s="1098">
        <f t="shared" si="722"/>
        <v>0.875</v>
      </c>
      <c r="HD274" s="1102">
        <f t="shared" si="723"/>
        <v>3892687.5164654823</v>
      </c>
      <c r="HE274" s="1101">
        <f t="shared" si="724"/>
        <v>30179.964882125685</v>
      </c>
      <c r="HF274" s="1101">
        <f t="shared" si="725"/>
        <v>34988.575893934983</v>
      </c>
      <c r="HG274" s="1101">
        <f t="shared" si="726"/>
        <v>45197.402761012978</v>
      </c>
      <c r="HH274" s="1101">
        <f t="shared" si="727"/>
        <v>77079.878369073165</v>
      </c>
      <c r="HI274" s="497"/>
      <c r="HJ274" s="1102">
        <f t="shared" si="728"/>
        <v>-7180.938301810771</v>
      </c>
      <c r="HL274" s="775"/>
      <c r="HN274" s="775"/>
      <c r="HO274" s="775"/>
      <c r="HQ274" s="702"/>
      <c r="HR274" s="1171"/>
      <c r="HS274" s="702"/>
      <c r="HT274" s="1171"/>
    </row>
    <row r="275" spans="1:228" ht="14.25" hidden="1" customHeight="1">
      <c r="A275" s="753">
        <f t="shared" si="729"/>
        <v>269</v>
      </c>
      <c r="B275" s="753"/>
      <c r="C275" s="753">
        <f t="shared" si="610"/>
        <v>21</v>
      </c>
      <c r="D275" s="753" t="s">
        <v>284</v>
      </c>
      <c r="E275" s="717" t="str">
        <f t="shared" si="649"/>
        <v>11th Floor</v>
      </c>
      <c r="F275" s="754"/>
      <c r="G275" s="756" t="s">
        <v>720</v>
      </c>
      <c r="H275" s="756"/>
      <c r="I275" s="755" t="s">
        <v>229</v>
      </c>
      <c r="J275" s="757">
        <v>22</v>
      </c>
      <c r="K275" s="758"/>
      <c r="L275" s="759" t="s">
        <v>69</v>
      </c>
      <c r="M275" s="760" t="s">
        <v>68</v>
      </c>
      <c r="N275" s="761">
        <f t="shared" si="650"/>
        <v>106005.26567735759</v>
      </c>
      <c r="O275" s="762">
        <f t="shared" si="651"/>
        <v>2332115.8449018667</v>
      </c>
      <c r="P275" s="762">
        <f t="shared" si="652"/>
        <v>22400</v>
      </c>
      <c r="Q275" s="762">
        <f t="shared" si="626"/>
        <v>50000</v>
      </c>
      <c r="R275" s="762"/>
      <c r="S275" s="762"/>
      <c r="T275" s="762"/>
      <c r="U275" s="762"/>
      <c r="V275" s="762"/>
      <c r="W275" s="762"/>
      <c r="X275" s="762"/>
      <c r="Y275" s="762">
        <f t="shared" si="611"/>
        <v>140000</v>
      </c>
      <c r="Z275" s="762">
        <f t="shared" si="627"/>
        <v>142461</v>
      </c>
      <c r="AA275" s="762"/>
      <c r="AB275" s="762"/>
      <c r="AC275" s="762"/>
      <c r="AD275" s="763">
        <f t="shared" si="653"/>
        <v>354861</v>
      </c>
      <c r="AE275" s="763">
        <f t="shared" si="628"/>
        <v>2686976.8449018667</v>
      </c>
      <c r="AF275" s="762">
        <f t="shared" si="629"/>
        <v>67174.421122546672</v>
      </c>
      <c r="AG275" s="762">
        <f t="shared" si="654"/>
        <v>2754151.2660244135</v>
      </c>
      <c r="AH275" s="762">
        <f t="shared" si="630"/>
        <v>68853.781650610341</v>
      </c>
      <c r="AI275" s="762">
        <f t="shared" si="655"/>
        <v>2823005.0476750238</v>
      </c>
      <c r="AJ275" s="762">
        <f t="shared" si="656"/>
        <v>141150.25238375118</v>
      </c>
      <c r="AK275" s="762">
        <f t="shared" si="657"/>
        <v>2964155.3000587751</v>
      </c>
      <c r="AL275" s="762">
        <f t="shared" si="658"/>
        <v>29641.553000587752</v>
      </c>
      <c r="AM275" s="762">
        <f t="shared" si="659"/>
        <v>27537.409960060559</v>
      </c>
      <c r="AN275" s="762"/>
      <c r="AO275" s="763">
        <f t="shared" si="660"/>
        <v>3021334.2630194235</v>
      </c>
      <c r="AP275" s="763">
        <f t="shared" si="661"/>
        <v>498520.15339820489</v>
      </c>
      <c r="AQ275" s="763">
        <f t="shared" si="662"/>
        <v>3519854.4164176285</v>
      </c>
      <c r="AR275" s="1178">
        <f t="shared" si="631"/>
        <v>3000000</v>
      </c>
      <c r="AS275" s="1178">
        <f t="shared" si="663"/>
        <v>23629.746200801295</v>
      </c>
      <c r="AT275" s="1178">
        <f t="shared" si="664"/>
        <v>519854.41641762853</v>
      </c>
      <c r="AU275" s="1178">
        <f t="shared" si="632"/>
        <v>62382.529970115422</v>
      </c>
      <c r="AV275" s="1178">
        <f t="shared" si="665"/>
        <v>582236.94638774393</v>
      </c>
      <c r="AW275" s="1178">
        <f t="shared" si="666"/>
        <v>3582236.946387744</v>
      </c>
      <c r="AX275" s="762">
        <f t="shared" si="667"/>
        <v>44777.961829846805</v>
      </c>
      <c r="AY275" s="717" t="s">
        <v>231</v>
      </c>
      <c r="AZ275" s="717">
        <f t="shared" si="668"/>
        <v>3627014.9082175908</v>
      </c>
      <c r="BA275" s="717">
        <f t="shared" si="669"/>
        <v>136013.05905815965</v>
      </c>
      <c r="BB275" s="717"/>
      <c r="BC275" s="717">
        <f t="shared" si="633"/>
        <v>33600</v>
      </c>
      <c r="BD275" s="717">
        <f t="shared" si="670"/>
        <v>3796627.9672757504</v>
      </c>
      <c r="BE275" s="717"/>
      <c r="BF275" s="717">
        <f t="shared" si="671"/>
        <v>3796627.9672757504</v>
      </c>
      <c r="BG275" s="1209"/>
      <c r="BH275" s="717">
        <f t="shared" si="672"/>
        <v>3796627.9672757504</v>
      </c>
      <c r="BI275" s="717"/>
      <c r="BJ275" s="717">
        <f t="shared" si="673"/>
        <v>3796627.9672757504</v>
      </c>
      <c r="BK275" s="717"/>
      <c r="BL275" s="717">
        <f t="shared" si="674"/>
        <v>3796627.9672757504</v>
      </c>
      <c r="BM275" s="717"/>
      <c r="BN275" s="717">
        <f t="shared" si="675"/>
        <v>3796627.9672757504</v>
      </c>
      <c r="BO275" s="717"/>
      <c r="BP275" s="717">
        <f t="shared" si="634"/>
        <v>3796627.9672757504</v>
      </c>
      <c r="BQ275" s="717"/>
      <c r="BR275" s="717">
        <f t="shared" si="738"/>
        <v>3796627.9672757504</v>
      </c>
      <c r="BS275" s="717"/>
      <c r="BT275" s="717">
        <f t="shared" si="676"/>
        <v>3796627.9672757504</v>
      </c>
      <c r="BU275" s="717"/>
      <c r="BV275" s="1235">
        <f t="shared" si="739"/>
        <v>51400</v>
      </c>
      <c r="BW275" s="717">
        <f t="shared" si="677"/>
        <v>3848027.9672757504</v>
      </c>
      <c r="BX275" s="717"/>
      <c r="BY275" s="717">
        <f t="shared" si="678"/>
        <v>3848027.9672757504</v>
      </c>
      <c r="BZ275" s="1194">
        <f t="shared" si="679"/>
        <v>3848027.9672757504</v>
      </c>
      <c r="CA275" s="1194">
        <f t="shared" si="680"/>
        <v>3034027.9672757504</v>
      </c>
      <c r="CB275" s="1194">
        <v>37000</v>
      </c>
      <c r="CC275" s="1194">
        <f t="shared" si="681"/>
        <v>814000</v>
      </c>
      <c r="CD275" s="1194">
        <f t="shared" si="682"/>
        <v>97680</v>
      </c>
      <c r="CE275" s="1194">
        <f t="shared" si="683"/>
        <v>911680</v>
      </c>
      <c r="CF275" s="1200">
        <f t="shared" si="684"/>
        <v>3945707.9672757504</v>
      </c>
      <c r="CG275" s="757">
        <f t="shared" si="685"/>
        <v>3945707.9672757504</v>
      </c>
      <c r="CH275" s="758">
        <f t="shared" si="686"/>
        <v>0</v>
      </c>
      <c r="CI275" s="757">
        <f t="shared" si="635"/>
        <v>404435.0666457644</v>
      </c>
      <c r="CJ275" s="757">
        <f t="shared" si="636"/>
        <v>98642.699181893768</v>
      </c>
      <c r="CK275" s="759">
        <f t="shared" si="593"/>
        <v>4448785.7331034085</v>
      </c>
      <c r="CL275" s="764">
        <f t="shared" si="687"/>
        <v>0.125</v>
      </c>
      <c r="CM275" s="757">
        <f t="shared" si="688"/>
        <v>556098.21663792606</v>
      </c>
      <c r="CN275" s="757">
        <f t="shared" si="730"/>
        <v>30000</v>
      </c>
      <c r="CO275" s="757">
        <f t="shared" si="689"/>
        <v>526098.21663792606</v>
      </c>
      <c r="CP275" s="755">
        <f t="shared" si="690"/>
        <v>29</v>
      </c>
      <c r="CQ275" s="757">
        <f t="shared" si="732"/>
        <v>18141.317815100898</v>
      </c>
      <c r="CR275" s="764">
        <f t="shared" si="691"/>
        <v>0.875</v>
      </c>
      <c r="CS275" s="757">
        <f t="shared" si="692"/>
        <v>3892687.5164654823</v>
      </c>
      <c r="CT275" s="1101">
        <f t="shared" si="693"/>
        <v>30179.964882125685</v>
      </c>
      <c r="CU275" s="1101">
        <f t="shared" si="694"/>
        <v>34988.575893934983</v>
      </c>
      <c r="CV275" s="1101">
        <f t="shared" si="695"/>
        <v>45197.402761012978</v>
      </c>
      <c r="CW275" s="1141">
        <f t="shared" si="637"/>
        <v>77079.878369073165</v>
      </c>
      <c r="CX275" s="1152">
        <f t="shared" si="696"/>
        <v>316215.37992537208</v>
      </c>
      <c r="CY275" s="1152">
        <f t="shared" si="697"/>
        <v>125124.88546291657</v>
      </c>
      <c r="CZ275" s="1152">
        <f t="shared" si="698"/>
        <v>90375.93260176231</v>
      </c>
      <c r="DA275" s="1152">
        <f t="shared" si="699"/>
        <v>68780.245402987232</v>
      </c>
      <c r="DB275" s="1143">
        <f t="shared" si="638"/>
        <v>0.17328480547254285</v>
      </c>
      <c r="DC275" s="1143">
        <f t="shared" si="700"/>
        <v>0.30048503502049001</v>
      </c>
      <c r="DD275" s="1098" t="s">
        <v>232</v>
      </c>
      <c r="DE275" s="1144"/>
      <c r="DF275" s="705"/>
      <c r="DG275" s="765">
        <f t="shared" si="731"/>
        <v>46082</v>
      </c>
      <c r="DH275" s="1116">
        <f t="shared" si="639"/>
        <v>28</v>
      </c>
      <c r="DI275" s="497"/>
      <c r="DJ275" s="1117">
        <f t="shared" si="701"/>
        <v>46147</v>
      </c>
      <c r="DK275" s="1116">
        <f t="shared" si="702"/>
        <v>30</v>
      </c>
      <c r="DL275" s="766" t="s">
        <v>233</v>
      </c>
      <c r="DM275" s="766" t="s">
        <v>234</v>
      </c>
      <c r="DN275" s="767">
        <f t="shared" si="640"/>
        <v>26465.315744897453</v>
      </c>
      <c r="DO275" s="767">
        <f t="shared" si="641"/>
        <v>582236.94638774393</v>
      </c>
      <c r="DP275" s="768">
        <f t="shared" si="642"/>
        <v>0.19407898212924798</v>
      </c>
      <c r="DR275" s="767">
        <f t="shared" si="643"/>
        <v>3945707.9672757504</v>
      </c>
      <c r="DS275" s="767">
        <f>SUM('[6]INTERNAL PRICELIST'!M275)</f>
        <v>0</v>
      </c>
      <c r="DT275" s="767">
        <f t="shared" si="703"/>
        <v>3945707.9672757504</v>
      </c>
      <c r="DV275" s="951">
        <f t="shared" si="644"/>
        <v>179350.36214889775</v>
      </c>
      <c r="DX275" s="781"/>
      <c r="DY275" s="782"/>
      <c r="DZ275" s="781"/>
      <c r="EA275" s="775"/>
      <c r="ED275" s="755" t="s">
        <v>720</v>
      </c>
      <c r="EE275" s="777" t="b">
        <f t="shared" si="645"/>
        <v>1</v>
      </c>
      <c r="EF275" s="777"/>
      <c r="EG275" s="777"/>
      <c r="EH275" s="1203"/>
      <c r="EP275" s="1230" t="s">
        <v>236</v>
      </c>
      <c r="EQ275" s="1145" t="s">
        <v>236</v>
      </c>
      <c r="ER275" s="753" t="b">
        <f t="shared" si="704"/>
        <v>1</v>
      </c>
      <c r="EU275" s="770">
        <v>3158898.0774007286</v>
      </c>
      <c r="EV275" s="771" t="s">
        <v>258</v>
      </c>
      <c r="EW275" s="775">
        <f>EU275-CG275</f>
        <v>-786809.88987502176</v>
      </c>
      <c r="FJ275" s="994">
        <v>0.15</v>
      </c>
      <c r="FK275" s="993">
        <v>13597.661476345767</v>
      </c>
      <c r="FL275" s="993">
        <v>13965.165840571328</v>
      </c>
      <c r="FM275" s="497"/>
      <c r="FN275" s="993">
        <f t="shared" si="646"/>
        <v>4448785.7331034085</v>
      </c>
      <c r="FO275" s="994">
        <f>FJ275</f>
        <v>0.15</v>
      </c>
      <c r="FP275" s="775">
        <f t="shared" si="647"/>
        <v>667317.85996551125</v>
      </c>
      <c r="FQ275" s="993">
        <f t="shared" si="648"/>
        <v>30000</v>
      </c>
      <c r="FR275" s="775">
        <f t="shared" si="706"/>
        <v>637317.85996551125</v>
      </c>
      <c r="FS275" s="497">
        <f t="shared" si="707"/>
        <v>40</v>
      </c>
      <c r="FT275" s="775">
        <f t="shared" si="708"/>
        <v>15932.946499137781</v>
      </c>
      <c r="FU275" s="497"/>
      <c r="FV275" s="993">
        <f t="shared" si="709"/>
        <v>4448785.7331034085</v>
      </c>
      <c r="FW275" s="705">
        <f t="shared" si="710"/>
        <v>444878.57331034087</v>
      </c>
      <c r="FX275" s="705">
        <f t="shared" si="711"/>
        <v>111219.64332758522</v>
      </c>
      <c r="FY275" s="705">
        <v>15000</v>
      </c>
      <c r="FZ275" s="705">
        <f t="shared" si="712"/>
        <v>429878.57331034087</v>
      </c>
      <c r="GA275" s="497">
        <f t="shared" si="713"/>
        <v>46</v>
      </c>
      <c r="GB275" s="775">
        <f t="shared" si="714"/>
        <v>9345.1863763117581</v>
      </c>
      <c r="GC275" s="497"/>
      <c r="GD275" s="497"/>
      <c r="GH275" s="1095">
        <f t="shared" si="613"/>
        <v>4448785.7331034085</v>
      </c>
      <c r="GI275" s="1098">
        <f t="shared" si="614"/>
        <v>0.125</v>
      </c>
      <c r="GJ275" s="1095">
        <f t="shared" si="615"/>
        <v>556098.21663792606</v>
      </c>
      <c r="GK275" s="1095">
        <f t="shared" si="616"/>
        <v>30000</v>
      </c>
      <c r="GL275" s="1095">
        <f t="shared" si="617"/>
        <v>526098.21663792606</v>
      </c>
      <c r="GM275" s="1095">
        <f t="shared" si="618"/>
        <v>29</v>
      </c>
      <c r="GN275" s="1095">
        <f t="shared" si="619"/>
        <v>18141.317815100898</v>
      </c>
      <c r="GO275" s="1098">
        <f t="shared" si="620"/>
        <v>0.875</v>
      </c>
      <c r="GP275" s="1095">
        <f t="shared" si="621"/>
        <v>3892687.5164654823</v>
      </c>
      <c r="GQ275" s="1095">
        <f t="shared" si="622"/>
        <v>30179.964882125685</v>
      </c>
      <c r="GR275" s="1095">
        <f t="shared" si="623"/>
        <v>34988.575893934983</v>
      </c>
      <c r="GS275" s="1095">
        <f t="shared" si="624"/>
        <v>45197.402761012978</v>
      </c>
      <c r="GT275" s="1095">
        <f t="shared" si="625"/>
        <v>77079.878369073165</v>
      </c>
      <c r="GU275" s="497"/>
      <c r="GV275" s="1095">
        <f t="shared" si="715"/>
        <v>4448785.7331034085</v>
      </c>
      <c r="GW275" s="1098">
        <f t="shared" si="716"/>
        <v>0.125</v>
      </c>
      <c r="GX275" s="1095">
        <f t="shared" si="717"/>
        <v>556098.21663792606</v>
      </c>
      <c r="GY275" s="1095">
        <f t="shared" si="718"/>
        <v>30000</v>
      </c>
      <c r="GZ275" s="1095">
        <f t="shared" si="719"/>
        <v>526098.21663792606</v>
      </c>
      <c r="HA275" s="1106">
        <f t="shared" si="720"/>
        <v>48</v>
      </c>
      <c r="HB275" s="770">
        <f t="shared" si="721"/>
        <v>10960.379513290127</v>
      </c>
      <c r="HC275" s="1098">
        <f t="shared" si="722"/>
        <v>0.875</v>
      </c>
      <c r="HD275" s="1102">
        <f t="shared" si="723"/>
        <v>3892687.5164654823</v>
      </c>
      <c r="HE275" s="1101">
        <f t="shared" si="724"/>
        <v>30179.964882125685</v>
      </c>
      <c r="HF275" s="1101">
        <f t="shared" si="725"/>
        <v>34988.575893934983</v>
      </c>
      <c r="HG275" s="1101">
        <f t="shared" si="726"/>
        <v>45197.402761012978</v>
      </c>
      <c r="HH275" s="1101">
        <f t="shared" si="727"/>
        <v>77079.878369073165</v>
      </c>
      <c r="HI275" s="497"/>
      <c r="HJ275" s="1102">
        <f t="shared" si="728"/>
        <v>-7180.938301810771</v>
      </c>
      <c r="HL275" s="775"/>
      <c r="HN275" s="775"/>
      <c r="HO275" s="775"/>
      <c r="HQ275" s="702"/>
      <c r="HR275" s="1171"/>
      <c r="HS275" s="702"/>
      <c r="HT275" s="1171"/>
    </row>
    <row r="276" spans="1:228" ht="14.25" hidden="1" customHeight="1">
      <c r="A276" s="753">
        <f t="shared" si="729"/>
        <v>270</v>
      </c>
      <c r="B276" s="753" t="s">
        <v>236</v>
      </c>
      <c r="C276" s="753">
        <f t="shared" si="610"/>
        <v>22</v>
      </c>
      <c r="D276" s="753" t="s">
        <v>284</v>
      </c>
      <c r="E276" s="717" t="str">
        <f t="shared" si="649"/>
        <v>11th Floor</v>
      </c>
      <c r="F276" s="754"/>
      <c r="G276" s="756" t="s">
        <v>721</v>
      </c>
      <c r="H276" s="756"/>
      <c r="I276" s="755" t="s">
        <v>229</v>
      </c>
      <c r="J276" s="757">
        <v>22</v>
      </c>
      <c r="K276" s="758"/>
      <c r="L276" s="759" t="s">
        <v>69</v>
      </c>
      <c r="M276" s="760" t="s">
        <v>68</v>
      </c>
      <c r="N276" s="761">
        <f t="shared" si="650"/>
        <v>106005.26567735759</v>
      </c>
      <c r="O276" s="762">
        <f t="shared" si="651"/>
        <v>2332115.8449018667</v>
      </c>
      <c r="P276" s="762">
        <f t="shared" si="652"/>
        <v>22400</v>
      </c>
      <c r="Q276" s="762">
        <f t="shared" si="626"/>
        <v>50000</v>
      </c>
      <c r="R276" s="762"/>
      <c r="S276" s="762"/>
      <c r="T276" s="762"/>
      <c r="U276" s="762"/>
      <c r="V276" s="762"/>
      <c r="W276" s="762"/>
      <c r="X276" s="762"/>
      <c r="Y276" s="762">
        <f t="shared" si="611"/>
        <v>140000</v>
      </c>
      <c r="Z276" s="762">
        <f t="shared" si="627"/>
        <v>142461</v>
      </c>
      <c r="AA276" s="762"/>
      <c r="AB276" s="762"/>
      <c r="AC276" s="762"/>
      <c r="AD276" s="763">
        <f t="shared" si="653"/>
        <v>354861</v>
      </c>
      <c r="AE276" s="763">
        <f t="shared" si="628"/>
        <v>2686976.8449018667</v>
      </c>
      <c r="AF276" s="762">
        <f t="shared" si="629"/>
        <v>67174.421122546672</v>
      </c>
      <c r="AG276" s="762">
        <f t="shared" si="654"/>
        <v>2754151.2660244135</v>
      </c>
      <c r="AH276" s="762">
        <f t="shared" si="630"/>
        <v>68853.781650610341</v>
      </c>
      <c r="AI276" s="762">
        <f t="shared" si="655"/>
        <v>2823005.0476750238</v>
      </c>
      <c r="AJ276" s="762">
        <f t="shared" si="656"/>
        <v>141150.25238375118</v>
      </c>
      <c r="AK276" s="762">
        <f t="shared" si="657"/>
        <v>2964155.3000587751</v>
      </c>
      <c r="AL276" s="762">
        <f t="shared" si="658"/>
        <v>29641.553000587752</v>
      </c>
      <c r="AM276" s="762">
        <f t="shared" si="659"/>
        <v>27537.409960060559</v>
      </c>
      <c r="AN276" s="762"/>
      <c r="AO276" s="763">
        <f t="shared" si="660"/>
        <v>3021334.2630194235</v>
      </c>
      <c r="AP276" s="763">
        <f t="shared" si="661"/>
        <v>498520.15339820489</v>
      </c>
      <c r="AQ276" s="763">
        <f t="shared" si="662"/>
        <v>3519854.4164176285</v>
      </c>
      <c r="AR276" s="1178">
        <f t="shared" si="631"/>
        <v>3000000</v>
      </c>
      <c r="AS276" s="1178">
        <f t="shared" si="663"/>
        <v>23629.746200801295</v>
      </c>
      <c r="AT276" s="1178">
        <f t="shared" si="664"/>
        <v>519854.41641762853</v>
      </c>
      <c r="AU276" s="1178">
        <f t="shared" si="632"/>
        <v>62382.529970115422</v>
      </c>
      <c r="AV276" s="1178">
        <f t="shared" si="665"/>
        <v>582236.94638774393</v>
      </c>
      <c r="AW276" s="1178">
        <f t="shared" si="666"/>
        <v>3582236.946387744</v>
      </c>
      <c r="AX276" s="762">
        <f t="shared" si="667"/>
        <v>44777.961829846805</v>
      </c>
      <c r="AY276" s="717" t="s">
        <v>231</v>
      </c>
      <c r="AZ276" s="717">
        <f t="shared" si="668"/>
        <v>3627014.9082175908</v>
      </c>
      <c r="BA276" s="717">
        <f t="shared" si="669"/>
        <v>136013.05905815965</v>
      </c>
      <c r="BB276" s="717"/>
      <c r="BC276" s="717">
        <f t="shared" si="633"/>
        <v>33600</v>
      </c>
      <c r="BD276" s="717">
        <f t="shared" si="670"/>
        <v>3796627.9672757504</v>
      </c>
      <c r="BE276" s="717"/>
      <c r="BF276" s="717">
        <f t="shared" si="671"/>
        <v>3796627.9672757504</v>
      </c>
      <c r="BG276" s="1209"/>
      <c r="BH276" s="717">
        <f t="shared" si="672"/>
        <v>3796627.9672757504</v>
      </c>
      <c r="BI276" s="717"/>
      <c r="BJ276" s="717">
        <f t="shared" si="673"/>
        <v>3796627.9672757504</v>
      </c>
      <c r="BK276" s="717"/>
      <c r="BL276" s="717">
        <f t="shared" si="674"/>
        <v>3796627.9672757504</v>
      </c>
      <c r="BM276" s="717"/>
      <c r="BN276" s="717">
        <f t="shared" si="675"/>
        <v>3796627.9672757504</v>
      </c>
      <c r="BO276" s="717"/>
      <c r="BP276" s="717">
        <f t="shared" si="634"/>
        <v>3796627.9672757504</v>
      </c>
      <c r="BQ276" s="717"/>
      <c r="BR276" s="717">
        <f t="shared" si="738"/>
        <v>3796627.9672757504</v>
      </c>
      <c r="BS276" s="717"/>
      <c r="BT276" s="717">
        <f t="shared" si="676"/>
        <v>3796627.9672757504</v>
      </c>
      <c r="BU276" s="717"/>
      <c r="BV276" s="1235">
        <f t="shared" si="739"/>
        <v>51400</v>
      </c>
      <c r="BW276" s="717">
        <f t="shared" si="677"/>
        <v>3848027.9672757504</v>
      </c>
      <c r="BX276" s="717"/>
      <c r="BY276" s="717">
        <f t="shared" si="678"/>
        <v>3848027.9672757504</v>
      </c>
      <c r="BZ276" s="1194">
        <f t="shared" si="679"/>
        <v>3848027.9672757504</v>
      </c>
      <c r="CA276" s="1194">
        <f t="shared" si="680"/>
        <v>3034027.9672757504</v>
      </c>
      <c r="CB276" s="1194">
        <v>37000</v>
      </c>
      <c r="CC276" s="1194">
        <f t="shared" si="681"/>
        <v>814000</v>
      </c>
      <c r="CD276" s="1194">
        <f t="shared" si="682"/>
        <v>97680</v>
      </c>
      <c r="CE276" s="1194">
        <f t="shared" si="683"/>
        <v>911680</v>
      </c>
      <c r="CF276" s="1200">
        <f t="shared" si="684"/>
        <v>3945707.9672757504</v>
      </c>
      <c r="CG276" s="757">
        <f t="shared" si="685"/>
        <v>3945707.9672757504</v>
      </c>
      <c r="CH276" s="758">
        <f t="shared" si="686"/>
        <v>0</v>
      </c>
      <c r="CI276" s="757">
        <f t="shared" si="635"/>
        <v>404435.0666457644</v>
      </c>
      <c r="CJ276" s="757">
        <f t="shared" si="636"/>
        <v>98642.699181893768</v>
      </c>
      <c r="CK276" s="759">
        <f t="shared" si="593"/>
        <v>4448785.7331034085</v>
      </c>
      <c r="CL276" s="764">
        <f t="shared" si="687"/>
        <v>0.125</v>
      </c>
      <c r="CM276" s="757">
        <f t="shared" si="688"/>
        <v>556098.21663792606</v>
      </c>
      <c r="CN276" s="757">
        <f t="shared" si="730"/>
        <v>30000</v>
      </c>
      <c r="CO276" s="757">
        <f t="shared" si="689"/>
        <v>526098.21663792606</v>
      </c>
      <c r="CP276" s="755">
        <f t="shared" si="690"/>
        <v>29</v>
      </c>
      <c r="CQ276" s="757">
        <f t="shared" si="732"/>
        <v>18141.317815100898</v>
      </c>
      <c r="CR276" s="764">
        <f t="shared" si="691"/>
        <v>0.875</v>
      </c>
      <c r="CS276" s="757">
        <f t="shared" si="692"/>
        <v>3892687.5164654823</v>
      </c>
      <c r="CT276" s="1101">
        <f t="shared" si="693"/>
        <v>30179.964882125685</v>
      </c>
      <c r="CU276" s="1101">
        <f t="shared" si="694"/>
        <v>34988.575893934983</v>
      </c>
      <c r="CV276" s="1101">
        <f t="shared" si="695"/>
        <v>45197.402761012978</v>
      </c>
      <c r="CW276" s="1141">
        <f t="shared" si="637"/>
        <v>77079.878369073165</v>
      </c>
      <c r="CX276" s="1152">
        <f t="shared" si="696"/>
        <v>316215.37992537208</v>
      </c>
      <c r="CY276" s="1152">
        <f t="shared" si="697"/>
        <v>125124.88546291657</v>
      </c>
      <c r="CZ276" s="1152">
        <f t="shared" si="698"/>
        <v>90375.93260176231</v>
      </c>
      <c r="DA276" s="1152">
        <f t="shared" si="699"/>
        <v>68780.245402987232</v>
      </c>
      <c r="DB276" s="1143">
        <f t="shared" si="638"/>
        <v>0.17328480547254285</v>
      </c>
      <c r="DC276" s="1143">
        <f t="shared" si="700"/>
        <v>0.30048503502049001</v>
      </c>
      <c r="DD276" s="1098" t="s">
        <v>232</v>
      </c>
      <c r="DE276" s="1144"/>
      <c r="DF276" s="705"/>
      <c r="DG276" s="765">
        <f t="shared" si="731"/>
        <v>46082</v>
      </c>
      <c r="DH276" s="1116">
        <f t="shared" si="639"/>
        <v>28</v>
      </c>
      <c r="DI276" s="497"/>
      <c r="DJ276" s="1117">
        <f t="shared" si="701"/>
        <v>46147</v>
      </c>
      <c r="DK276" s="1116">
        <f t="shared" si="702"/>
        <v>30</v>
      </c>
      <c r="DL276" s="766" t="s">
        <v>233</v>
      </c>
      <c r="DM276" s="766" t="s">
        <v>234</v>
      </c>
      <c r="DN276" s="767">
        <f t="shared" si="640"/>
        <v>26465.315744897453</v>
      </c>
      <c r="DO276" s="767">
        <f t="shared" si="641"/>
        <v>582236.94638774393</v>
      </c>
      <c r="DP276" s="768">
        <f t="shared" si="642"/>
        <v>0.19407898212924798</v>
      </c>
      <c r="DR276" s="767">
        <f t="shared" si="643"/>
        <v>3945707.9672757504</v>
      </c>
      <c r="DS276" s="767">
        <f>SUM('[6]INTERNAL PRICELIST'!M276)</f>
        <v>0</v>
      </c>
      <c r="DT276" s="767">
        <f t="shared" si="703"/>
        <v>3945707.9672757504</v>
      </c>
      <c r="DV276" s="951">
        <f t="shared" si="644"/>
        <v>179350.36214889775</v>
      </c>
      <c r="DX276" s="781"/>
      <c r="DY276" s="782"/>
      <c r="DZ276" s="781"/>
      <c r="EA276" s="775"/>
      <c r="ED276" s="755" t="s">
        <v>721</v>
      </c>
      <c r="EE276" s="777" t="b">
        <f t="shared" si="645"/>
        <v>1</v>
      </c>
      <c r="EF276" s="1123" t="s">
        <v>722</v>
      </c>
      <c r="EG276" s="1123" t="s">
        <v>697</v>
      </c>
      <c r="EH276" s="1203"/>
      <c r="EP276" s="1230" t="s">
        <v>236</v>
      </c>
      <c r="EQ276" s="1145" t="s">
        <v>236</v>
      </c>
      <c r="ER276" s="753" t="b">
        <f t="shared" si="704"/>
        <v>1</v>
      </c>
      <c r="EU276" s="770">
        <v>2606860</v>
      </c>
      <c r="EV276" s="771" t="s">
        <v>236</v>
      </c>
      <c r="FJ276" s="994">
        <v>0.15</v>
      </c>
      <c r="FK276" s="993">
        <v>13597.661476345767</v>
      </c>
      <c r="FL276" s="993">
        <v>13965.165840571328</v>
      </c>
      <c r="FM276" s="497"/>
      <c r="FN276" s="993">
        <f t="shared" si="646"/>
        <v>4448785.7331034085</v>
      </c>
      <c r="FO276" s="994">
        <f t="shared" si="737"/>
        <v>0.15</v>
      </c>
      <c r="FP276" s="775">
        <f t="shared" si="647"/>
        <v>667317.85996551125</v>
      </c>
      <c r="FQ276" s="993">
        <f t="shared" si="648"/>
        <v>30000</v>
      </c>
      <c r="FR276" s="775">
        <f t="shared" si="706"/>
        <v>637317.85996551125</v>
      </c>
      <c r="FS276" s="497">
        <f t="shared" si="707"/>
        <v>40</v>
      </c>
      <c r="FT276" s="775">
        <f t="shared" si="708"/>
        <v>15932.946499137781</v>
      </c>
      <c r="FU276" s="497"/>
      <c r="FV276" s="993">
        <f t="shared" si="709"/>
        <v>4448785.7331034085</v>
      </c>
      <c r="FW276" s="705">
        <f t="shared" si="710"/>
        <v>444878.57331034087</v>
      </c>
      <c r="FX276" s="705">
        <f t="shared" si="711"/>
        <v>111219.64332758522</v>
      </c>
      <c r="FY276" s="705">
        <v>15000</v>
      </c>
      <c r="FZ276" s="705">
        <f t="shared" si="712"/>
        <v>429878.57331034087</v>
      </c>
      <c r="GA276" s="497">
        <f t="shared" si="713"/>
        <v>46</v>
      </c>
      <c r="GB276" s="775">
        <f t="shared" si="714"/>
        <v>9345.1863763117581</v>
      </c>
      <c r="GC276" s="497"/>
      <c r="GD276" s="497"/>
      <c r="GH276" s="1095">
        <f t="shared" si="613"/>
        <v>4448785.7331034085</v>
      </c>
      <c r="GI276" s="1098">
        <f t="shared" si="614"/>
        <v>0.125</v>
      </c>
      <c r="GJ276" s="1095">
        <f t="shared" si="615"/>
        <v>556098.21663792606</v>
      </c>
      <c r="GK276" s="1095">
        <f t="shared" si="616"/>
        <v>30000</v>
      </c>
      <c r="GL276" s="1095">
        <f t="shared" si="617"/>
        <v>526098.21663792606</v>
      </c>
      <c r="GM276" s="1095">
        <f t="shared" si="618"/>
        <v>29</v>
      </c>
      <c r="GN276" s="1095">
        <f t="shared" si="619"/>
        <v>18141.317815100898</v>
      </c>
      <c r="GO276" s="1098">
        <f t="shared" si="620"/>
        <v>0.875</v>
      </c>
      <c r="GP276" s="1095">
        <f t="shared" si="621"/>
        <v>3892687.5164654823</v>
      </c>
      <c r="GQ276" s="1095">
        <f t="shared" si="622"/>
        <v>30179.964882125685</v>
      </c>
      <c r="GR276" s="1095">
        <f t="shared" si="623"/>
        <v>34988.575893934983</v>
      </c>
      <c r="GS276" s="1095">
        <f t="shared" si="624"/>
        <v>45197.402761012978</v>
      </c>
      <c r="GT276" s="1095">
        <f t="shared" si="625"/>
        <v>77079.878369073165</v>
      </c>
      <c r="GU276" s="497"/>
      <c r="GV276" s="1095">
        <f t="shared" si="715"/>
        <v>4448785.7331034085</v>
      </c>
      <c r="GW276" s="1098">
        <f t="shared" si="716"/>
        <v>0.125</v>
      </c>
      <c r="GX276" s="1095">
        <f t="shared" si="717"/>
        <v>556098.21663792606</v>
      </c>
      <c r="GY276" s="1095">
        <f t="shared" si="718"/>
        <v>30000</v>
      </c>
      <c r="GZ276" s="1095">
        <f t="shared" si="719"/>
        <v>526098.21663792606</v>
      </c>
      <c r="HA276" s="1106">
        <f t="shared" si="720"/>
        <v>48</v>
      </c>
      <c r="HB276" s="770">
        <f t="shared" si="721"/>
        <v>10960.379513290127</v>
      </c>
      <c r="HC276" s="1098">
        <f t="shared" si="722"/>
        <v>0.875</v>
      </c>
      <c r="HD276" s="1102">
        <f t="shared" si="723"/>
        <v>3892687.5164654823</v>
      </c>
      <c r="HE276" s="1101">
        <f t="shared" si="724"/>
        <v>30179.964882125685</v>
      </c>
      <c r="HF276" s="1101">
        <f t="shared" si="725"/>
        <v>34988.575893934983</v>
      </c>
      <c r="HG276" s="1101">
        <f t="shared" si="726"/>
        <v>45197.402761012978</v>
      </c>
      <c r="HH276" s="1101">
        <f t="shared" si="727"/>
        <v>77079.878369073165</v>
      </c>
      <c r="HI276" s="497"/>
      <c r="HJ276" s="1102">
        <f t="shared" si="728"/>
        <v>-7180.938301810771</v>
      </c>
      <c r="HL276" s="775"/>
      <c r="HN276" s="775"/>
      <c r="HO276" s="775"/>
      <c r="HQ276" s="702"/>
      <c r="HR276" s="1171"/>
      <c r="HS276" s="702"/>
      <c r="HT276" s="1171"/>
    </row>
    <row r="277" spans="1:228" ht="14.25" hidden="1" customHeight="1">
      <c r="A277" s="753">
        <f t="shared" si="729"/>
        <v>271</v>
      </c>
      <c r="B277" s="753" t="s">
        <v>236</v>
      </c>
      <c r="C277" s="753">
        <f t="shared" si="610"/>
        <v>23</v>
      </c>
      <c r="D277" s="753" t="s">
        <v>284</v>
      </c>
      <c r="E277" s="717" t="str">
        <f t="shared" si="649"/>
        <v>11th Floor</v>
      </c>
      <c r="F277" s="754"/>
      <c r="G277" s="756" t="s">
        <v>723</v>
      </c>
      <c r="H277" s="756"/>
      <c r="I277" s="755" t="s">
        <v>229</v>
      </c>
      <c r="J277" s="757">
        <v>22</v>
      </c>
      <c r="K277" s="758"/>
      <c r="L277" s="759" t="s">
        <v>69</v>
      </c>
      <c r="M277" s="760" t="s">
        <v>68</v>
      </c>
      <c r="N277" s="761">
        <f t="shared" si="650"/>
        <v>106005.26567735759</v>
      </c>
      <c r="O277" s="762">
        <f t="shared" si="651"/>
        <v>2332115.8449018667</v>
      </c>
      <c r="P277" s="762">
        <f t="shared" si="652"/>
        <v>22400</v>
      </c>
      <c r="Q277" s="762">
        <f t="shared" si="626"/>
        <v>50000</v>
      </c>
      <c r="R277" s="762"/>
      <c r="S277" s="762"/>
      <c r="T277" s="762"/>
      <c r="U277" s="762"/>
      <c r="V277" s="762"/>
      <c r="W277" s="762"/>
      <c r="X277" s="762"/>
      <c r="Y277" s="762">
        <f t="shared" si="611"/>
        <v>140000</v>
      </c>
      <c r="Z277" s="762">
        <f t="shared" si="627"/>
        <v>142461</v>
      </c>
      <c r="AA277" s="762"/>
      <c r="AB277" s="762"/>
      <c r="AC277" s="762"/>
      <c r="AD277" s="763">
        <f t="shared" si="653"/>
        <v>354861</v>
      </c>
      <c r="AE277" s="763">
        <f t="shared" si="628"/>
        <v>2686976.8449018667</v>
      </c>
      <c r="AF277" s="762">
        <f t="shared" si="629"/>
        <v>67174.421122546672</v>
      </c>
      <c r="AG277" s="762">
        <f t="shared" si="654"/>
        <v>2754151.2660244135</v>
      </c>
      <c r="AH277" s="762">
        <f t="shared" si="630"/>
        <v>68853.781650610341</v>
      </c>
      <c r="AI277" s="762">
        <f t="shared" si="655"/>
        <v>2823005.0476750238</v>
      </c>
      <c r="AJ277" s="762">
        <f t="shared" si="656"/>
        <v>141150.25238375118</v>
      </c>
      <c r="AK277" s="762">
        <f t="shared" si="657"/>
        <v>2964155.3000587751</v>
      </c>
      <c r="AL277" s="762">
        <f t="shared" si="658"/>
        <v>29641.553000587752</v>
      </c>
      <c r="AM277" s="762">
        <f t="shared" si="659"/>
        <v>27537.409960060559</v>
      </c>
      <c r="AN277" s="762"/>
      <c r="AO277" s="763">
        <f t="shared" si="660"/>
        <v>3021334.2630194235</v>
      </c>
      <c r="AP277" s="763">
        <f t="shared" si="661"/>
        <v>498520.15339820489</v>
      </c>
      <c r="AQ277" s="763">
        <f t="shared" si="662"/>
        <v>3519854.4164176285</v>
      </c>
      <c r="AR277" s="1178">
        <f t="shared" si="631"/>
        <v>3000000</v>
      </c>
      <c r="AS277" s="1178">
        <f t="shared" si="663"/>
        <v>23629.746200801295</v>
      </c>
      <c r="AT277" s="1178">
        <f t="shared" si="664"/>
        <v>519854.41641762853</v>
      </c>
      <c r="AU277" s="1178">
        <f t="shared" si="632"/>
        <v>62382.529970115422</v>
      </c>
      <c r="AV277" s="1178">
        <f t="shared" si="665"/>
        <v>582236.94638774393</v>
      </c>
      <c r="AW277" s="1178">
        <f t="shared" si="666"/>
        <v>3582236.946387744</v>
      </c>
      <c r="AX277" s="762">
        <f t="shared" si="667"/>
        <v>44777.961829846805</v>
      </c>
      <c r="AY277" s="717" t="s">
        <v>231</v>
      </c>
      <c r="AZ277" s="717">
        <f t="shared" si="668"/>
        <v>3627014.9082175908</v>
      </c>
      <c r="BA277" s="717">
        <f t="shared" si="669"/>
        <v>136013.05905815965</v>
      </c>
      <c r="BB277" s="717"/>
      <c r="BC277" s="717">
        <f t="shared" si="633"/>
        <v>33600</v>
      </c>
      <c r="BD277" s="717">
        <f t="shared" si="670"/>
        <v>3796627.9672757504</v>
      </c>
      <c r="BE277" s="717"/>
      <c r="BF277" s="717">
        <f t="shared" si="671"/>
        <v>3796627.9672757504</v>
      </c>
      <c r="BG277" s="1209"/>
      <c r="BH277" s="717">
        <f t="shared" si="672"/>
        <v>3796627.9672757504</v>
      </c>
      <c r="BI277" s="717"/>
      <c r="BJ277" s="717">
        <f t="shared" si="673"/>
        <v>3796627.9672757504</v>
      </c>
      <c r="BK277" s="717"/>
      <c r="BL277" s="717">
        <f t="shared" si="674"/>
        <v>3796627.9672757504</v>
      </c>
      <c r="BM277" s="717"/>
      <c r="BN277" s="717">
        <f t="shared" si="675"/>
        <v>3796627.9672757504</v>
      </c>
      <c r="BO277" s="717"/>
      <c r="BP277" s="717">
        <f t="shared" si="634"/>
        <v>3796627.9672757504</v>
      </c>
      <c r="BQ277" s="717"/>
      <c r="BR277" s="717">
        <f t="shared" si="738"/>
        <v>3796627.9672757504</v>
      </c>
      <c r="BS277" s="717"/>
      <c r="BT277" s="717">
        <f t="shared" si="676"/>
        <v>3796627.9672757504</v>
      </c>
      <c r="BU277" s="717"/>
      <c r="BV277" s="1235">
        <f t="shared" si="739"/>
        <v>51400</v>
      </c>
      <c r="BW277" s="717">
        <f t="shared" si="677"/>
        <v>3848027.9672757504</v>
      </c>
      <c r="BX277" s="717"/>
      <c r="BY277" s="717">
        <f t="shared" si="678"/>
        <v>3848027.9672757504</v>
      </c>
      <c r="BZ277" s="1194">
        <f t="shared" si="679"/>
        <v>3848027.9672757504</v>
      </c>
      <c r="CA277" s="1194">
        <f t="shared" si="680"/>
        <v>3034027.9672757504</v>
      </c>
      <c r="CB277" s="1194">
        <v>37000</v>
      </c>
      <c r="CC277" s="1194">
        <f t="shared" si="681"/>
        <v>814000</v>
      </c>
      <c r="CD277" s="1194">
        <f t="shared" si="682"/>
        <v>97680</v>
      </c>
      <c r="CE277" s="1194">
        <f t="shared" si="683"/>
        <v>911680</v>
      </c>
      <c r="CF277" s="1200">
        <f t="shared" si="684"/>
        <v>3945707.9672757504</v>
      </c>
      <c r="CG277" s="757">
        <f t="shared" si="685"/>
        <v>3945707.9672757504</v>
      </c>
      <c r="CH277" s="758">
        <f t="shared" si="686"/>
        <v>0</v>
      </c>
      <c r="CI277" s="757">
        <f t="shared" si="635"/>
        <v>404435.0666457644</v>
      </c>
      <c r="CJ277" s="757">
        <f t="shared" si="636"/>
        <v>98642.699181893768</v>
      </c>
      <c r="CK277" s="759">
        <f t="shared" si="593"/>
        <v>4448785.7331034085</v>
      </c>
      <c r="CL277" s="764">
        <f t="shared" si="687"/>
        <v>0.125</v>
      </c>
      <c r="CM277" s="757">
        <f t="shared" si="688"/>
        <v>556098.21663792606</v>
      </c>
      <c r="CN277" s="757">
        <f t="shared" si="730"/>
        <v>30000</v>
      </c>
      <c r="CO277" s="757">
        <f t="shared" si="689"/>
        <v>526098.21663792606</v>
      </c>
      <c r="CP277" s="755">
        <f t="shared" si="690"/>
        <v>29</v>
      </c>
      <c r="CQ277" s="757">
        <f t="shared" si="732"/>
        <v>18141.317815100898</v>
      </c>
      <c r="CR277" s="764">
        <f t="shared" si="691"/>
        <v>0.875</v>
      </c>
      <c r="CS277" s="757">
        <f t="shared" si="692"/>
        <v>3892687.5164654823</v>
      </c>
      <c r="CT277" s="1101">
        <f t="shared" si="693"/>
        <v>30179.964882125685</v>
      </c>
      <c r="CU277" s="1101">
        <f t="shared" si="694"/>
        <v>34988.575893934983</v>
      </c>
      <c r="CV277" s="1101">
        <f t="shared" si="695"/>
        <v>45197.402761012978</v>
      </c>
      <c r="CW277" s="1141">
        <f t="shared" si="637"/>
        <v>77079.878369073165</v>
      </c>
      <c r="CX277" s="1152">
        <f t="shared" si="696"/>
        <v>316215.37992537208</v>
      </c>
      <c r="CY277" s="1152">
        <f t="shared" si="697"/>
        <v>125124.88546291657</v>
      </c>
      <c r="CZ277" s="1152">
        <f t="shared" si="698"/>
        <v>90375.93260176231</v>
      </c>
      <c r="DA277" s="1152">
        <f t="shared" si="699"/>
        <v>68780.245402987232</v>
      </c>
      <c r="DB277" s="1143">
        <f t="shared" si="638"/>
        <v>0.17328480547254285</v>
      </c>
      <c r="DC277" s="1143">
        <f t="shared" si="700"/>
        <v>0.30048503502049001</v>
      </c>
      <c r="DD277" s="1098" t="s">
        <v>232</v>
      </c>
      <c r="DE277" s="1144"/>
      <c r="DF277" s="705"/>
      <c r="DG277" s="765">
        <f t="shared" si="731"/>
        <v>46082</v>
      </c>
      <c r="DH277" s="1116">
        <f t="shared" si="639"/>
        <v>28</v>
      </c>
      <c r="DI277" s="497"/>
      <c r="DJ277" s="1117">
        <f t="shared" si="701"/>
        <v>46147</v>
      </c>
      <c r="DK277" s="1116">
        <f t="shared" si="702"/>
        <v>30</v>
      </c>
      <c r="DL277" s="766" t="s">
        <v>233</v>
      </c>
      <c r="DM277" s="766" t="s">
        <v>234</v>
      </c>
      <c r="DN277" s="767">
        <f t="shared" si="640"/>
        <v>26465.315744897453</v>
      </c>
      <c r="DO277" s="767">
        <f t="shared" si="641"/>
        <v>582236.94638774393</v>
      </c>
      <c r="DP277" s="768">
        <f t="shared" si="642"/>
        <v>0.19407898212924798</v>
      </c>
      <c r="DR277" s="767">
        <f t="shared" si="643"/>
        <v>3945707.9672757504</v>
      </c>
      <c r="DS277" s="767">
        <f>SUM('[6]INTERNAL PRICELIST'!M277)</f>
        <v>0</v>
      </c>
      <c r="DT277" s="767">
        <f t="shared" si="703"/>
        <v>3945707.9672757504</v>
      </c>
      <c r="DV277" s="951">
        <f t="shared" si="644"/>
        <v>179350.36214889775</v>
      </c>
      <c r="DX277" s="781"/>
      <c r="DY277" s="782"/>
      <c r="DZ277" s="781"/>
      <c r="EA277" s="775"/>
      <c r="ED277" s="755" t="s">
        <v>723</v>
      </c>
      <c r="EE277" s="777" t="b">
        <f t="shared" si="645"/>
        <v>1</v>
      </c>
      <c r="EF277" s="1123" t="s">
        <v>724</v>
      </c>
      <c r="EG277" s="1123" t="s">
        <v>697</v>
      </c>
      <c r="EH277" s="1203"/>
      <c r="EP277" s="1230" t="s">
        <v>236</v>
      </c>
      <c r="EQ277" s="1145" t="s">
        <v>236</v>
      </c>
      <c r="ER277" s="753" t="b">
        <f t="shared" si="704"/>
        <v>1</v>
      </c>
      <c r="EU277" s="770">
        <v>3158898.0774007286</v>
      </c>
      <c r="EV277" s="771" t="s">
        <v>258</v>
      </c>
      <c r="EW277" s="775">
        <f>EU277-CG277</f>
        <v>-786809.88987502176</v>
      </c>
      <c r="EY277" s="775">
        <v>3125281.7816227991</v>
      </c>
      <c r="FJ277" s="994">
        <v>0.15</v>
      </c>
      <c r="FK277" s="993">
        <v>13597.661476345767</v>
      </c>
      <c r="FL277" s="993">
        <v>13965.165840571328</v>
      </c>
      <c r="FM277" s="497"/>
      <c r="FN277" s="993">
        <f t="shared" si="646"/>
        <v>4448785.7331034085</v>
      </c>
      <c r="FO277" s="994">
        <f t="shared" si="737"/>
        <v>0.15</v>
      </c>
      <c r="FP277" s="775">
        <f t="shared" si="647"/>
        <v>667317.85996551125</v>
      </c>
      <c r="FQ277" s="993">
        <f t="shared" si="648"/>
        <v>30000</v>
      </c>
      <c r="FR277" s="775">
        <f t="shared" si="706"/>
        <v>637317.85996551125</v>
      </c>
      <c r="FS277" s="497">
        <f t="shared" si="707"/>
        <v>40</v>
      </c>
      <c r="FT277" s="775">
        <f t="shared" si="708"/>
        <v>15932.946499137781</v>
      </c>
      <c r="FU277" s="497"/>
      <c r="FV277" s="993">
        <f t="shared" si="709"/>
        <v>4448785.7331034085</v>
      </c>
      <c r="FW277" s="705">
        <f t="shared" si="710"/>
        <v>444878.57331034087</v>
      </c>
      <c r="FX277" s="705">
        <f t="shared" si="711"/>
        <v>111219.64332758522</v>
      </c>
      <c r="FY277" s="705">
        <v>15000</v>
      </c>
      <c r="FZ277" s="705">
        <f t="shared" si="712"/>
        <v>429878.57331034087</v>
      </c>
      <c r="GA277" s="497">
        <f t="shared" si="713"/>
        <v>46</v>
      </c>
      <c r="GB277" s="775">
        <f t="shared" si="714"/>
        <v>9345.1863763117581</v>
      </c>
      <c r="GC277" s="497"/>
      <c r="GD277" s="497"/>
      <c r="GH277" s="1095">
        <f t="shared" si="613"/>
        <v>4448785.7331034085</v>
      </c>
      <c r="GI277" s="1098">
        <f t="shared" si="614"/>
        <v>0.125</v>
      </c>
      <c r="GJ277" s="1095">
        <f t="shared" si="615"/>
        <v>556098.21663792606</v>
      </c>
      <c r="GK277" s="1095">
        <f t="shared" si="616"/>
        <v>30000</v>
      </c>
      <c r="GL277" s="1095">
        <f t="shared" si="617"/>
        <v>526098.21663792606</v>
      </c>
      <c r="GM277" s="1095">
        <f t="shared" si="618"/>
        <v>29</v>
      </c>
      <c r="GN277" s="1095">
        <f t="shared" si="619"/>
        <v>18141.317815100898</v>
      </c>
      <c r="GO277" s="1098">
        <f t="shared" si="620"/>
        <v>0.875</v>
      </c>
      <c r="GP277" s="1095">
        <f t="shared" si="621"/>
        <v>3892687.5164654823</v>
      </c>
      <c r="GQ277" s="1095">
        <f t="shared" si="622"/>
        <v>30179.964882125685</v>
      </c>
      <c r="GR277" s="1095">
        <f t="shared" si="623"/>
        <v>34988.575893934983</v>
      </c>
      <c r="GS277" s="1095">
        <f t="shared" si="624"/>
        <v>45197.402761012978</v>
      </c>
      <c r="GT277" s="1095">
        <f t="shared" si="625"/>
        <v>77079.878369073165</v>
      </c>
      <c r="GU277" s="497"/>
      <c r="GV277" s="1095">
        <f t="shared" si="715"/>
        <v>4448785.7331034085</v>
      </c>
      <c r="GW277" s="1098">
        <f t="shared" si="716"/>
        <v>0.125</v>
      </c>
      <c r="GX277" s="1095">
        <f t="shared" si="717"/>
        <v>556098.21663792606</v>
      </c>
      <c r="GY277" s="1095">
        <f t="shared" si="718"/>
        <v>30000</v>
      </c>
      <c r="GZ277" s="1095">
        <f t="shared" si="719"/>
        <v>526098.21663792606</v>
      </c>
      <c r="HA277" s="1106">
        <f t="shared" si="720"/>
        <v>48</v>
      </c>
      <c r="HB277" s="770">
        <f t="shared" si="721"/>
        <v>10960.379513290127</v>
      </c>
      <c r="HC277" s="1098">
        <f t="shared" si="722"/>
        <v>0.875</v>
      </c>
      <c r="HD277" s="1102">
        <f t="shared" si="723"/>
        <v>3892687.5164654823</v>
      </c>
      <c r="HE277" s="1101">
        <f t="shared" si="724"/>
        <v>30179.964882125685</v>
      </c>
      <c r="HF277" s="1101">
        <f t="shared" si="725"/>
        <v>34988.575893934983</v>
      </c>
      <c r="HG277" s="1101">
        <f t="shared" si="726"/>
        <v>45197.402761012978</v>
      </c>
      <c r="HH277" s="1101">
        <f t="shared" si="727"/>
        <v>77079.878369073165</v>
      </c>
      <c r="HI277" s="497"/>
      <c r="HJ277" s="1102">
        <f t="shared" si="728"/>
        <v>-7180.938301810771</v>
      </c>
      <c r="HL277" s="775"/>
      <c r="HN277" s="775"/>
      <c r="HO277" s="775"/>
      <c r="HQ277" s="702"/>
      <c r="HR277" s="1171"/>
      <c r="HS277" s="702"/>
      <c r="HT277" s="1171"/>
    </row>
    <row r="278" spans="1:228" ht="14.25" hidden="1" customHeight="1">
      <c r="A278" s="753">
        <f t="shared" si="729"/>
        <v>272</v>
      </c>
      <c r="B278" s="753"/>
      <c r="C278" s="753">
        <f t="shared" si="610"/>
        <v>24</v>
      </c>
      <c r="D278" s="753" t="s">
        <v>284</v>
      </c>
      <c r="E278" s="717" t="str">
        <f t="shared" si="649"/>
        <v>11th Floor</v>
      </c>
      <c r="F278" s="754"/>
      <c r="G278" s="756" t="s">
        <v>725</v>
      </c>
      <c r="H278" s="756"/>
      <c r="I278" s="755" t="s">
        <v>229</v>
      </c>
      <c r="J278" s="757">
        <v>22</v>
      </c>
      <c r="K278" s="758"/>
      <c r="L278" s="759" t="s">
        <v>69</v>
      </c>
      <c r="M278" s="760" t="s">
        <v>68</v>
      </c>
      <c r="N278" s="761">
        <f t="shared" si="650"/>
        <v>106005.26567735759</v>
      </c>
      <c r="O278" s="762">
        <f t="shared" si="651"/>
        <v>2332115.8449018667</v>
      </c>
      <c r="P278" s="762">
        <f t="shared" si="652"/>
        <v>22400</v>
      </c>
      <c r="Q278" s="762">
        <f t="shared" si="626"/>
        <v>50000</v>
      </c>
      <c r="R278" s="762"/>
      <c r="S278" s="762"/>
      <c r="T278" s="762"/>
      <c r="U278" s="762"/>
      <c r="V278" s="762"/>
      <c r="W278" s="762"/>
      <c r="X278" s="762"/>
      <c r="Y278" s="762">
        <f t="shared" si="611"/>
        <v>140000</v>
      </c>
      <c r="Z278" s="762">
        <f t="shared" si="627"/>
        <v>142461</v>
      </c>
      <c r="AA278" s="762">
        <v>49222.732758620703</v>
      </c>
      <c r="AB278" s="762"/>
      <c r="AC278" s="762"/>
      <c r="AD278" s="763">
        <f t="shared" si="653"/>
        <v>404083.7327586207</v>
      </c>
      <c r="AE278" s="763">
        <f t="shared" si="628"/>
        <v>2736199.5776604875</v>
      </c>
      <c r="AF278" s="762">
        <f t="shared" si="629"/>
        <v>68404.989441512196</v>
      </c>
      <c r="AG278" s="762">
        <f t="shared" si="654"/>
        <v>2804604.5671019997</v>
      </c>
      <c r="AH278" s="762">
        <f t="shared" si="630"/>
        <v>70115.11417755</v>
      </c>
      <c r="AI278" s="762">
        <f t="shared" si="655"/>
        <v>2874719.6812795498</v>
      </c>
      <c r="AJ278" s="762">
        <f t="shared" si="656"/>
        <v>143735.98406397749</v>
      </c>
      <c r="AK278" s="762">
        <f t="shared" si="657"/>
        <v>3018455.6653435272</v>
      </c>
      <c r="AL278" s="762">
        <f t="shared" si="658"/>
        <v>30184.556653435273</v>
      </c>
      <c r="AM278" s="762">
        <f t="shared" si="659"/>
        <v>27537.409960060559</v>
      </c>
      <c r="AN278" s="762"/>
      <c r="AO278" s="763">
        <f t="shared" si="660"/>
        <v>3076177.6319570229</v>
      </c>
      <c r="AP278" s="763">
        <f t="shared" si="661"/>
        <v>507569.30927290878</v>
      </c>
      <c r="AQ278" s="763">
        <f t="shared" si="662"/>
        <v>3583746.9412299315</v>
      </c>
      <c r="AR278" s="1178">
        <f t="shared" si="631"/>
        <v>3000000</v>
      </c>
      <c r="AS278" s="1178">
        <f t="shared" si="663"/>
        <v>26533.951874087797</v>
      </c>
      <c r="AT278" s="1178">
        <f t="shared" si="664"/>
        <v>583746.94122993154</v>
      </c>
      <c r="AU278" s="1178">
        <f t="shared" si="632"/>
        <v>70049.632947591788</v>
      </c>
      <c r="AV278" s="1178">
        <f t="shared" si="665"/>
        <v>653796.57417752338</v>
      </c>
      <c r="AW278" s="1178">
        <f t="shared" si="666"/>
        <v>3653796.5741775231</v>
      </c>
      <c r="AX278" s="762">
        <f t="shared" si="667"/>
        <v>45672.457177219039</v>
      </c>
      <c r="AY278" s="717">
        <v>7575.3956645161297</v>
      </c>
      <c r="AZ278" s="717">
        <f t="shared" si="668"/>
        <v>3707044.427019258</v>
      </c>
      <c r="BA278" s="717">
        <f t="shared" si="669"/>
        <v>139014.16601322216</v>
      </c>
      <c r="BB278" s="717"/>
      <c r="BC278" s="717">
        <f t="shared" si="633"/>
        <v>33600</v>
      </c>
      <c r="BD278" s="717">
        <f t="shared" si="670"/>
        <v>3879658.5930324802</v>
      </c>
      <c r="BE278" s="717">
        <v>18367.830916129038</v>
      </c>
      <c r="BF278" s="717">
        <f t="shared" si="671"/>
        <v>3898026.4239486093</v>
      </c>
      <c r="BG278" s="1209"/>
      <c r="BH278" s="717">
        <f t="shared" si="672"/>
        <v>3898026.4239486093</v>
      </c>
      <c r="BI278" s="717"/>
      <c r="BJ278" s="717">
        <f t="shared" si="673"/>
        <v>3898026.4239486093</v>
      </c>
      <c r="BK278" s="717"/>
      <c r="BL278" s="717">
        <f t="shared" si="674"/>
        <v>3898026.4239486093</v>
      </c>
      <c r="BM278" s="717"/>
      <c r="BN278" s="717">
        <f t="shared" si="675"/>
        <v>3898026.4239486093</v>
      </c>
      <c r="BO278" s="717"/>
      <c r="BP278" s="717">
        <f t="shared" si="634"/>
        <v>3898026.4239486093</v>
      </c>
      <c r="BQ278" s="717"/>
      <c r="BR278" s="717">
        <f t="shared" si="738"/>
        <v>3898026.4239486093</v>
      </c>
      <c r="BS278" s="717"/>
      <c r="BT278" s="717">
        <f t="shared" si="676"/>
        <v>3898026.4239486093</v>
      </c>
      <c r="BU278" s="717"/>
      <c r="BV278" s="1235">
        <f t="shared" si="739"/>
        <v>51400</v>
      </c>
      <c r="BW278" s="717">
        <f t="shared" si="677"/>
        <v>3949426.4239486093</v>
      </c>
      <c r="BX278" s="717"/>
      <c r="BY278" s="717">
        <f t="shared" si="678"/>
        <v>3949426.4239486093</v>
      </c>
      <c r="BZ278" s="1194">
        <f t="shared" si="679"/>
        <v>3949426.4239486093</v>
      </c>
      <c r="CA278" s="1194">
        <f t="shared" si="680"/>
        <v>3036426.4239486093</v>
      </c>
      <c r="CB278" s="1194">
        <v>41500</v>
      </c>
      <c r="CC278" s="1194">
        <f t="shared" si="681"/>
        <v>913000</v>
      </c>
      <c r="CD278" s="1194">
        <f t="shared" si="682"/>
        <v>109560</v>
      </c>
      <c r="CE278" s="1194">
        <f t="shared" si="683"/>
        <v>1022560</v>
      </c>
      <c r="CF278" s="1200">
        <f t="shared" si="684"/>
        <v>4058986.4239486093</v>
      </c>
      <c r="CG278" s="757">
        <f t="shared" si="685"/>
        <v>4058986.4239486093</v>
      </c>
      <c r="CH278" s="758">
        <f t="shared" si="686"/>
        <v>0</v>
      </c>
      <c r="CI278" s="757">
        <f t="shared" si="635"/>
        <v>416046.1084547324</v>
      </c>
      <c r="CJ278" s="757">
        <f t="shared" si="636"/>
        <v>101474.66059871524</v>
      </c>
      <c r="CK278" s="759">
        <f t="shared" si="593"/>
        <v>4576507.1930020563</v>
      </c>
      <c r="CL278" s="764">
        <f t="shared" si="687"/>
        <v>0.125</v>
      </c>
      <c r="CM278" s="757">
        <f t="shared" si="688"/>
        <v>572063.39912525704</v>
      </c>
      <c r="CN278" s="757">
        <f t="shared" si="730"/>
        <v>30000</v>
      </c>
      <c r="CO278" s="757">
        <f t="shared" si="689"/>
        <v>542063.39912525704</v>
      </c>
      <c r="CP278" s="755">
        <f t="shared" si="690"/>
        <v>29</v>
      </c>
      <c r="CQ278" s="757">
        <f t="shared" si="732"/>
        <v>18691.841349146795</v>
      </c>
      <c r="CR278" s="764">
        <f t="shared" si="691"/>
        <v>0.875</v>
      </c>
      <c r="CS278" s="757">
        <f t="shared" si="692"/>
        <v>4004443.7938767993</v>
      </c>
      <c r="CT278" s="1101">
        <f t="shared" si="693"/>
        <v>31046.410111382906</v>
      </c>
      <c r="CU278" s="1101">
        <f t="shared" si="694"/>
        <v>35993.072909760165</v>
      </c>
      <c r="CV278" s="1101">
        <f t="shared" si="695"/>
        <v>46494.987902349247</v>
      </c>
      <c r="CW278" s="1141">
        <f t="shared" si="637"/>
        <v>79292.78660622504</v>
      </c>
      <c r="CX278" s="1152">
        <f t="shared" si="696"/>
        <v>325293.69755841757</v>
      </c>
      <c r="CY278" s="1152">
        <f t="shared" si="697"/>
        <v>128717.13152728853</v>
      </c>
      <c r="CZ278" s="1152">
        <f t="shared" si="698"/>
        <v>92970.561056378108</v>
      </c>
      <c r="DA278" s="1152">
        <f t="shared" si="699"/>
        <v>70754.877107474531</v>
      </c>
      <c r="DB278" s="1143">
        <f t="shared" si="638"/>
        <v>0.1945823137433105</v>
      </c>
      <c r="DC278" s="1143">
        <f t="shared" si="700"/>
        <v>0.33676429368910887</v>
      </c>
      <c r="DD278" s="1098" t="s">
        <v>232</v>
      </c>
      <c r="DE278" s="1144"/>
      <c r="DF278" s="705"/>
      <c r="DG278" s="765">
        <f t="shared" si="731"/>
        <v>46082</v>
      </c>
      <c r="DH278" s="1116">
        <f t="shared" si="639"/>
        <v>28</v>
      </c>
      <c r="DI278" s="497"/>
      <c r="DJ278" s="1117">
        <f t="shared" si="701"/>
        <v>46147</v>
      </c>
      <c r="DK278" s="1116">
        <f t="shared" si="702"/>
        <v>30</v>
      </c>
      <c r="DL278" s="766" t="s">
        <v>233</v>
      </c>
      <c r="DM278" s="766" t="s">
        <v>234</v>
      </c>
      <c r="DN278" s="767">
        <f t="shared" si="640"/>
        <v>29718.026098978335</v>
      </c>
      <c r="DO278" s="767">
        <f t="shared" si="641"/>
        <v>653796.57417752338</v>
      </c>
      <c r="DP278" s="768">
        <f t="shared" si="642"/>
        <v>0.2179321913925078</v>
      </c>
      <c r="DR278" s="767">
        <f t="shared" si="643"/>
        <v>4058986.4239486093</v>
      </c>
      <c r="DS278" s="767">
        <f>SUM('[6]INTERNAL PRICELIST'!M278)</f>
        <v>0</v>
      </c>
      <c r="DT278" s="767">
        <f t="shared" si="703"/>
        <v>4058986.4239486093</v>
      </c>
      <c r="DV278" s="951">
        <f t="shared" si="644"/>
        <v>184499.38290675497</v>
      </c>
      <c r="DX278" s="781"/>
      <c r="DY278" s="782"/>
      <c r="DZ278" s="781"/>
      <c r="EA278" s="775"/>
      <c r="ED278" s="755" t="s">
        <v>725</v>
      </c>
      <c r="EE278" s="777" t="b">
        <f t="shared" si="645"/>
        <v>1</v>
      </c>
      <c r="EF278" s="777"/>
      <c r="EG278" s="777"/>
      <c r="EH278" s="1203"/>
      <c r="EP278" s="1230" t="s">
        <v>236</v>
      </c>
      <c r="EQ278" s="1145" t="s">
        <v>236</v>
      </c>
      <c r="ER278" s="753" t="b">
        <f t="shared" si="704"/>
        <v>1</v>
      </c>
      <c r="EU278" s="770">
        <v>2921765.65</v>
      </c>
      <c r="EV278" s="771" t="s">
        <v>236</v>
      </c>
      <c r="FJ278" s="994">
        <v>0.15</v>
      </c>
      <c r="FK278" s="993">
        <v>13597.661476345767</v>
      </c>
      <c r="FL278" s="993">
        <v>13965.165840571328</v>
      </c>
      <c r="FM278" s="497"/>
      <c r="FN278" s="993">
        <f t="shared" si="646"/>
        <v>4576507.1930020563</v>
      </c>
      <c r="FO278" s="994">
        <f t="shared" si="737"/>
        <v>0.15</v>
      </c>
      <c r="FP278" s="775">
        <f t="shared" si="647"/>
        <v>686476.07895030838</v>
      </c>
      <c r="FQ278" s="993">
        <f t="shared" si="648"/>
        <v>30000</v>
      </c>
      <c r="FR278" s="775">
        <f t="shared" si="706"/>
        <v>656476.07895030838</v>
      </c>
      <c r="FS278" s="497">
        <f t="shared" si="707"/>
        <v>40</v>
      </c>
      <c r="FT278" s="775">
        <f t="shared" si="708"/>
        <v>16411.901973757711</v>
      </c>
      <c r="FU278" s="497"/>
      <c r="FV278" s="993">
        <f t="shared" si="709"/>
        <v>4576507.1930020563</v>
      </c>
      <c r="FW278" s="705">
        <f t="shared" si="710"/>
        <v>457650.71930020564</v>
      </c>
      <c r="FX278" s="705">
        <f t="shared" si="711"/>
        <v>114412.67982505141</v>
      </c>
      <c r="FY278" s="705">
        <v>15000</v>
      </c>
      <c r="FZ278" s="705">
        <f t="shared" si="712"/>
        <v>442650.71930020564</v>
      </c>
      <c r="GA278" s="497">
        <f t="shared" si="713"/>
        <v>46</v>
      </c>
      <c r="GB278" s="775">
        <f t="shared" si="714"/>
        <v>9622.8417239175142</v>
      </c>
      <c r="GC278" s="497"/>
      <c r="GD278" s="497"/>
      <c r="GH278" s="1095">
        <f t="shared" si="613"/>
        <v>4576507.1930020563</v>
      </c>
      <c r="GI278" s="1098">
        <f t="shared" si="614"/>
        <v>0.125</v>
      </c>
      <c r="GJ278" s="1095">
        <f t="shared" si="615"/>
        <v>572063.39912525704</v>
      </c>
      <c r="GK278" s="1095">
        <f t="shared" si="616"/>
        <v>30000</v>
      </c>
      <c r="GL278" s="1095">
        <f t="shared" si="617"/>
        <v>542063.39912525704</v>
      </c>
      <c r="GM278" s="1095">
        <f t="shared" si="618"/>
        <v>29</v>
      </c>
      <c r="GN278" s="1095">
        <f t="shared" si="619"/>
        <v>18691.841349146795</v>
      </c>
      <c r="GO278" s="1098">
        <f t="shared" si="620"/>
        <v>0.875</v>
      </c>
      <c r="GP278" s="1095">
        <f t="shared" si="621"/>
        <v>4004443.7938767993</v>
      </c>
      <c r="GQ278" s="1095">
        <f t="shared" si="622"/>
        <v>31046.410111382906</v>
      </c>
      <c r="GR278" s="1095">
        <f t="shared" si="623"/>
        <v>35993.072909760165</v>
      </c>
      <c r="GS278" s="1095">
        <f t="shared" si="624"/>
        <v>46494.987902349247</v>
      </c>
      <c r="GT278" s="1095">
        <f t="shared" si="625"/>
        <v>79292.78660622504</v>
      </c>
      <c r="GU278" s="497"/>
      <c r="GV278" s="1095">
        <f t="shared" si="715"/>
        <v>4576507.1930020563</v>
      </c>
      <c r="GW278" s="1098">
        <f t="shared" si="716"/>
        <v>0.125</v>
      </c>
      <c r="GX278" s="1095">
        <f t="shared" si="717"/>
        <v>572063.39912525704</v>
      </c>
      <c r="GY278" s="1095">
        <f t="shared" si="718"/>
        <v>30000</v>
      </c>
      <c r="GZ278" s="1095">
        <f t="shared" si="719"/>
        <v>542063.39912525704</v>
      </c>
      <c r="HA278" s="1106">
        <f t="shared" si="720"/>
        <v>48</v>
      </c>
      <c r="HB278" s="770">
        <f t="shared" si="721"/>
        <v>11292.987481776188</v>
      </c>
      <c r="HC278" s="1098">
        <f t="shared" si="722"/>
        <v>0.875</v>
      </c>
      <c r="HD278" s="1102">
        <f t="shared" si="723"/>
        <v>4004443.7938767993</v>
      </c>
      <c r="HE278" s="1101">
        <f t="shared" si="724"/>
        <v>31046.410111382906</v>
      </c>
      <c r="HF278" s="1101">
        <f t="shared" si="725"/>
        <v>35993.072909760165</v>
      </c>
      <c r="HG278" s="1101">
        <f t="shared" si="726"/>
        <v>46494.987902349247</v>
      </c>
      <c r="HH278" s="1101">
        <f t="shared" si="727"/>
        <v>79292.78660622504</v>
      </c>
      <c r="HI278" s="497"/>
      <c r="HJ278" s="1102">
        <f t="shared" si="728"/>
        <v>-7398.8538673706062</v>
      </c>
      <c r="HL278" s="775"/>
      <c r="HN278" s="775"/>
      <c r="HO278" s="775"/>
      <c r="HQ278" s="702"/>
      <c r="HR278" s="1171"/>
      <c r="HS278" s="702"/>
      <c r="HT278" s="1171"/>
    </row>
    <row r="279" spans="1:228" ht="14.25" hidden="1" customHeight="1">
      <c r="A279" s="753">
        <f t="shared" si="729"/>
        <v>273</v>
      </c>
      <c r="B279" s="753"/>
      <c r="C279" s="753">
        <f t="shared" si="610"/>
        <v>25</v>
      </c>
      <c r="D279" s="753" t="s">
        <v>284</v>
      </c>
      <c r="E279" s="717" t="str">
        <f t="shared" si="649"/>
        <v>11th Floor</v>
      </c>
      <c r="F279" s="754"/>
      <c r="G279" s="756" t="s">
        <v>726</v>
      </c>
      <c r="H279" s="756"/>
      <c r="I279" s="755" t="s">
        <v>229</v>
      </c>
      <c r="J279" s="757">
        <v>22</v>
      </c>
      <c r="K279" s="758"/>
      <c r="L279" s="759" t="s">
        <v>69</v>
      </c>
      <c r="M279" s="760" t="s">
        <v>230</v>
      </c>
      <c r="N279" s="761">
        <f t="shared" si="650"/>
        <v>106005.26567735759</v>
      </c>
      <c r="O279" s="762">
        <f t="shared" si="651"/>
        <v>2332115.8449018667</v>
      </c>
      <c r="P279" s="762">
        <f t="shared" si="652"/>
        <v>22400</v>
      </c>
      <c r="Q279" s="762">
        <f t="shared" si="626"/>
        <v>50000</v>
      </c>
      <c r="R279" s="762"/>
      <c r="S279" s="762"/>
      <c r="T279" s="762"/>
      <c r="U279" s="762"/>
      <c r="V279" s="762">
        <f t="shared" ref="V279:V280" si="740">J279*$V$5</f>
        <v>55000</v>
      </c>
      <c r="W279" s="762"/>
      <c r="X279" s="762"/>
      <c r="Y279" s="762">
        <f t="shared" si="611"/>
        <v>140000</v>
      </c>
      <c r="Z279" s="762">
        <f t="shared" si="627"/>
        <v>142461</v>
      </c>
      <c r="AA279" s="762"/>
      <c r="AB279" s="762"/>
      <c r="AC279" s="762"/>
      <c r="AD279" s="763">
        <f t="shared" si="653"/>
        <v>409861</v>
      </c>
      <c r="AE279" s="763">
        <f t="shared" si="628"/>
        <v>2741976.8449018667</v>
      </c>
      <c r="AF279" s="762">
        <f t="shared" si="629"/>
        <v>68549.421122546672</v>
      </c>
      <c r="AG279" s="762">
        <f t="shared" si="654"/>
        <v>2810526.2660244135</v>
      </c>
      <c r="AH279" s="762">
        <f t="shared" si="630"/>
        <v>70263.156650610341</v>
      </c>
      <c r="AI279" s="762">
        <f t="shared" si="655"/>
        <v>2880789.4226750238</v>
      </c>
      <c r="AJ279" s="762">
        <f t="shared" si="656"/>
        <v>144039.47113375118</v>
      </c>
      <c r="AK279" s="762">
        <f t="shared" si="657"/>
        <v>3024828.8938087751</v>
      </c>
      <c r="AL279" s="762">
        <f t="shared" si="658"/>
        <v>30248.288938087753</v>
      </c>
      <c r="AM279" s="762">
        <f t="shared" si="659"/>
        <v>27537.409960060559</v>
      </c>
      <c r="AN279" s="762"/>
      <c r="AO279" s="763">
        <f t="shared" si="660"/>
        <v>3082614.5927069234</v>
      </c>
      <c r="AP279" s="763">
        <f t="shared" si="661"/>
        <v>508631.40779664239</v>
      </c>
      <c r="AQ279" s="763">
        <f t="shared" si="662"/>
        <v>3591246.0005035657</v>
      </c>
      <c r="AR279" s="1178">
        <f t="shared" si="631"/>
        <v>3000000</v>
      </c>
      <c r="AS279" s="1178">
        <f t="shared" si="663"/>
        <v>26874.818204707528</v>
      </c>
      <c r="AT279" s="1178">
        <f t="shared" si="664"/>
        <v>591246.00050356565</v>
      </c>
      <c r="AU279" s="1178">
        <f t="shared" si="632"/>
        <v>70949.52006042788</v>
      </c>
      <c r="AV279" s="1178">
        <f t="shared" si="665"/>
        <v>662195.52056399349</v>
      </c>
      <c r="AW279" s="1178">
        <f t="shared" si="666"/>
        <v>3662195.5205639936</v>
      </c>
      <c r="AX279" s="762">
        <f t="shared" si="667"/>
        <v>45777.444007049926</v>
      </c>
      <c r="AY279" s="717" t="s">
        <v>231</v>
      </c>
      <c r="AZ279" s="717">
        <f t="shared" si="668"/>
        <v>3707972.9645710434</v>
      </c>
      <c r="BA279" s="717">
        <f t="shared" si="669"/>
        <v>139048.98617141412</v>
      </c>
      <c r="BB279" s="717"/>
      <c r="BC279" s="717">
        <f t="shared" si="633"/>
        <v>33600</v>
      </c>
      <c r="BD279" s="717">
        <f t="shared" si="670"/>
        <v>3880621.9507424575</v>
      </c>
      <c r="BE279" s="717"/>
      <c r="BF279" s="717">
        <f t="shared" si="671"/>
        <v>3880621.9507424575</v>
      </c>
      <c r="BG279" s="1209"/>
      <c r="BH279" s="717">
        <f t="shared" si="672"/>
        <v>3880621.9507424575</v>
      </c>
      <c r="BI279" s="717"/>
      <c r="BJ279" s="717">
        <f t="shared" si="673"/>
        <v>3880621.9507424575</v>
      </c>
      <c r="BK279" s="717"/>
      <c r="BL279" s="717">
        <f t="shared" si="674"/>
        <v>3880621.9507424575</v>
      </c>
      <c r="BM279" s="717"/>
      <c r="BN279" s="717">
        <f t="shared" si="675"/>
        <v>3880621.9507424575</v>
      </c>
      <c r="BO279" s="717"/>
      <c r="BP279" s="717">
        <f t="shared" si="634"/>
        <v>3880621.9507424575</v>
      </c>
      <c r="BQ279" s="717"/>
      <c r="BR279" s="717">
        <f t="shared" si="738"/>
        <v>3880621.9507424575</v>
      </c>
      <c r="BS279" s="717"/>
      <c r="BT279" s="717">
        <f t="shared" si="676"/>
        <v>3880621.9507424575</v>
      </c>
      <c r="BU279" s="717"/>
      <c r="BV279" s="1235">
        <f t="shared" si="739"/>
        <v>51400</v>
      </c>
      <c r="BW279" s="717">
        <f t="shared" si="677"/>
        <v>3932021.9507424575</v>
      </c>
      <c r="BX279" s="717"/>
      <c r="BY279" s="717">
        <f t="shared" si="678"/>
        <v>3932021.9507424575</v>
      </c>
      <c r="BZ279" s="1194">
        <f t="shared" si="679"/>
        <v>3932021.9507424575</v>
      </c>
      <c r="CA279" s="1194">
        <f t="shared" si="680"/>
        <v>3030021.9507424575</v>
      </c>
      <c r="CB279" s="1194">
        <v>41000</v>
      </c>
      <c r="CC279" s="1194">
        <f t="shared" si="681"/>
        <v>902000</v>
      </c>
      <c r="CD279" s="1194">
        <f t="shared" si="682"/>
        <v>108240</v>
      </c>
      <c r="CE279" s="1194">
        <f t="shared" si="683"/>
        <v>1010240</v>
      </c>
      <c r="CF279" s="1200">
        <f t="shared" si="684"/>
        <v>4040261.9507424575</v>
      </c>
      <c r="CG279" s="757">
        <f t="shared" si="685"/>
        <v>4040261.9507424575</v>
      </c>
      <c r="CH279" s="758">
        <f t="shared" si="686"/>
        <v>0</v>
      </c>
      <c r="CI279" s="757">
        <f t="shared" si="635"/>
        <v>414126.84995110187</v>
      </c>
      <c r="CJ279" s="757">
        <f t="shared" si="636"/>
        <v>101006.54876856145</v>
      </c>
      <c r="CK279" s="759">
        <f t="shared" si="593"/>
        <v>4555395.3494621208</v>
      </c>
      <c r="CL279" s="764">
        <f t="shared" si="687"/>
        <v>0.125</v>
      </c>
      <c r="CM279" s="757">
        <f t="shared" si="688"/>
        <v>569424.4186827651</v>
      </c>
      <c r="CN279" s="757">
        <f t="shared" si="730"/>
        <v>30000</v>
      </c>
      <c r="CO279" s="757">
        <f t="shared" si="689"/>
        <v>539424.4186827651</v>
      </c>
      <c r="CP279" s="755">
        <f t="shared" si="690"/>
        <v>29</v>
      </c>
      <c r="CQ279" s="757">
        <f t="shared" si="732"/>
        <v>18600.842023543624</v>
      </c>
      <c r="CR279" s="764">
        <f t="shared" si="691"/>
        <v>0.875</v>
      </c>
      <c r="CS279" s="757">
        <f t="shared" si="692"/>
        <v>3985970.9307793556</v>
      </c>
      <c r="CT279" s="1101">
        <f t="shared" si="693"/>
        <v>30903.190200410096</v>
      </c>
      <c r="CU279" s="1101">
        <f t="shared" si="694"/>
        <v>35827.033593804474</v>
      </c>
      <c r="CV279" s="1101">
        <f t="shared" si="695"/>
        <v>46280.502298243446</v>
      </c>
      <c r="CW279" s="1141">
        <f t="shared" si="637"/>
        <v>78927.001776423844</v>
      </c>
      <c r="CX279" s="1152">
        <f t="shared" si="696"/>
        <v>323793.08817275299</v>
      </c>
      <c r="CY279" s="1152">
        <f t="shared" si="697"/>
        <v>128123.34770326904</v>
      </c>
      <c r="CZ279" s="1152">
        <f t="shared" si="698"/>
        <v>92541.679410164681</v>
      </c>
      <c r="DA279" s="1152">
        <f t="shared" si="699"/>
        <v>70428.478430014904</v>
      </c>
      <c r="DB279" s="1143">
        <f t="shared" si="638"/>
        <v>0.19708200016785521</v>
      </c>
      <c r="DC279" s="1143">
        <f t="shared" si="700"/>
        <v>0.33341012587465158</v>
      </c>
      <c r="DD279" s="1098" t="s">
        <v>232</v>
      </c>
      <c r="DE279" s="1144"/>
      <c r="DF279" s="705"/>
      <c r="DG279" s="765">
        <f t="shared" si="731"/>
        <v>46082</v>
      </c>
      <c r="DH279" s="1116">
        <f t="shared" si="639"/>
        <v>28</v>
      </c>
      <c r="DI279" s="497"/>
      <c r="DJ279" s="1117">
        <f t="shared" si="701"/>
        <v>46147</v>
      </c>
      <c r="DK279" s="1116">
        <f t="shared" si="702"/>
        <v>30</v>
      </c>
      <c r="DL279" s="766" t="s">
        <v>233</v>
      </c>
      <c r="DM279" s="766" t="s">
        <v>234</v>
      </c>
      <c r="DN279" s="767">
        <f t="shared" si="640"/>
        <v>30099.796389272433</v>
      </c>
      <c r="DO279" s="767">
        <f t="shared" si="641"/>
        <v>662195.52056399349</v>
      </c>
      <c r="DP279" s="768">
        <f t="shared" si="642"/>
        <v>0.22073184018799782</v>
      </c>
      <c r="DR279" s="767">
        <f t="shared" si="643"/>
        <v>4040261.9507424575</v>
      </c>
      <c r="DS279" s="767">
        <f>SUM('[6]INTERNAL PRICELIST'!M279)</f>
        <v>0</v>
      </c>
      <c r="DT279" s="767">
        <f t="shared" si="703"/>
        <v>4040261.9507424575</v>
      </c>
      <c r="DV279" s="951">
        <f t="shared" si="644"/>
        <v>183648.27048829352</v>
      </c>
      <c r="DX279" s="781"/>
      <c r="DY279" s="782"/>
      <c r="DZ279" s="781"/>
      <c r="EA279" s="775"/>
      <c r="ED279" s="1133" t="s">
        <v>726</v>
      </c>
      <c r="EE279" s="777" t="b">
        <f t="shared" si="645"/>
        <v>1</v>
      </c>
      <c r="EF279" s="777"/>
      <c r="EG279" s="777"/>
      <c r="EH279" s="1203"/>
      <c r="EP279" s="1230" t="s">
        <v>236</v>
      </c>
      <c r="EQ279" s="1145" t="s">
        <v>236</v>
      </c>
      <c r="ER279" s="753" t="b">
        <f t="shared" si="704"/>
        <v>1</v>
      </c>
      <c r="EU279" s="770">
        <v>3286117.1478750589</v>
      </c>
      <c r="EV279" s="771" t="s">
        <v>258</v>
      </c>
      <c r="EW279" s="775">
        <f t="shared" ref="EW279:EW288" si="741">EU279-CG279</f>
        <v>-754144.8028673986</v>
      </c>
      <c r="EY279" s="775">
        <v>3251375.1112525831</v>
      </c>
      <c r="FJ279" s="994">
        <v>0.15</v>
      </c>
      <c r="FK279" s="993">
        <v>14156.232804968931</v>
      </c>
      <c r="FL279" s="993">
        <v>14538.833691589714</v>
      </c>
      <c r="FM279" s="497"/>
      <c r="FN279" s="993">
        <f t="shared" si="646"/>
        <v>4555395.3494621208</v>
      </c>
      <c r="FO279" s="994">
        <f t="shared" si="737"/>
        <v>0.15</v>
      </c>
      <c r="FP279" s="775">
        <f t="shared" si="647"/>
        <v>683309.30241931812</v>
      </c>
      <c r="FQ279" s="993">
        <f t="shared" si="648"/>
        <v>30000</v>
      </c>
      <c r="FR279" s="775">
        <f t="shared" si="706"/>
        <v>653309.30241931812</v>
      </c>
      <c r="FS279" s="497">
        <f t="shared" si="707"/>
        <v>40</v>
      </c>
      <c r="FT279" s="775">
        <f t="shared" si="708"/>
        <v>16332.732560482953</v>
      </c>
      <c r="FU279" s="497"/>
      <c r="FV279" s="993">
        <f t="shared" si="709"/>
        <v>4555395.3494621208</v>
      </c>
      <c r="FW279" s="705">
        <f t="shared" si="710"/>
        <v>455539.53494621208</v>
      </c>
      <c r="FX279" s="705">
        <f t="shared" si="711"/>
        <v>113884.88373655302</v>
      </c>
      <c r="FY279" s="705">
        <v>15000</v>
      </c>
      <c r="FZ279" s="705">
        <f t="shared" si="712"/>
        <v>440539.53494621208</v>
      </c>
      <c r="GA279" s="497">
        <f t="shared" si="713"/>
        <v>46</v>
      </c>
      <c r="GB279" s="775">
        <f t="shared" si="714"/>
        <v>9576.9464118741762</v>
      </c>
      <c r="GC279" s="497"/>
      <c r="GD279" s="497"/>
      <c r="GH279" s="1095">
        <f t="shared" si="613"/>
        <v>4555395.3494621208</v>
      </c>
      <c r="GI279" s="1098">
        <f t="shared" si="614"/>
        <v>0.125</v>
      </c>
      <c r="GJ279" s="1095">
        <f t="shared" si="615"/>
        <v>569424.4186827651</v>
      </c>
      <c r="GK279" s="1095">
        <f t="shared" si="616"/>
        <v>30000</v>
      </c>
      <c r="GL279" s="1095">
        <f t="shared" si="617"/>
        <v>539424.4186827651</v>
      </c>
      <c r="GM279" s="1095">
        <f t="shared" si="618"/>
        <v>29</v>
      </c>
      <c r="GN279" s="1095">
        <f t="shared" si="619"/>
        <v>18600.842023543624</v>
      </c>
      <c r="GO279" s="1098">
        <f t="shared" si="620"/>
        <v>0.875</v>
      </c>
      <c r="GP279" s="1095">
        <f t="shared" si="621"/>
        <v>3985970.9307793556</v>
      </c>
      <c r="GQ279" s="1095">
        <f t="shared" si="622"/>
        <v>30903.190200410096</v>
      </c>
      <c r="GR279" s="1095">
        <f t="shared" si="623"/>
        <v>35827.033593804474</v>
      </c>
      <c r="GS279" s="1095">
        <f t="shared" si="624"/>
        <v>46280.502298243446</v>
      </c>
      <c r="GT279" s="1095">
        <f t="shared" si="625"/>
        <v>78927.001776423844</v>
      </c>
      <c r="GU279" s="497"/>
      <c r="GV279" s="1095">
        <f t="shared" si="715"/>
        <v>4555395.3494621208</v>
      </c>
      <c r="GW279" s="1098">
        <f t="shared" si="716"/>
        <v>0.125</v>
      </c>
      <c r="GX279" s="1095">
        <f t="shared" si="717"/>
        <v>569424.4186827651</v>
      </c>
      <c r="GY279" s="1095">
        <f t="shared" si="718"/>
        <v>30000</v>
      </c>
      <c r="GZ279" s="1095">
        <f t="shared" si="719"/>
        <v>539424.4186827651</v>
      </c>
      <c r="HA279" s="1106">
        <f t="shared" si="720"/>
        <v>48</v>
      </c>
      <c r="HB279" s="770">
        <f t="shared" si="721"/>
        <v>11238.008722557606</v>
      </c>
      <c r="HC279" s="1098">
        <f t="shared" si="722"/>
        <v>0.875</v>
      </c>
      <c r="HD279" s="1102">
        <f t="shared" si="723"/>
        <v>3985970.9307793556</v>
      </c>
      <c r="HE279" s="1101">
        <f t="shared" si="724"/>
        <v>30903.190200410096</v>
      </c>
      <c r="HF279" s="1101">
        <f t="shared" si="725"/>
        <v>35827.033593804474</v>
      </c>
      <c r="HG279" s="1101">
        <f t="shared" si="726"/>
        <v>46280.502298243446</v>
      </c>
      <c r="HH279" s="1101">
        <f t="shared" si="727"/>
        <v>78927.001776423844</v>
      </c>
      <c r="HI279" s="497"/>
      <c r="HJ279" s="1102">
        <f t="shared" si="728"/>
        <v>-7362.833300986018</v>
      </c>
      <c r="HL279" s="775"/>
      <c r="HN279" s="775"/>
      <c r="HO279" s="775"/>
      <c r="HQ279" s="702"/>
      <c r="HR279" s="1171"/>
      <c r="HS279" s="702"/>
      <c r="HT279" s="1171"/>
    </row>
    <row r="280" spans="1:228" ht="14.25" hidden="1" customHeight="1">
      <c r="A280" s="753">
        <f t="shared" si="729"/>
        <v>274</v>
      </c>
      <c r="B280" s="753"/>
      <c r="C280" s="753">
        <f t="shared" si="610"/>
        <v>26</v>
      </c>
      <c r="D280" s="753" t="s">
        <v>284</v>
      </c>
      <c r="E280" s="717" t="str">
        <f t="shared" si="649"/>
        <v>11th Floor</v>
      </c>
      <c r="F280" s="754"/>
      <c r="G280" s="756" t="s">
        <v>727</v>
      </c>
      <c r="H280" s="756"/>
      <c r="I280" s="755" t="s">
        <v>229</v>
      </c>
      <c r="J280" s="757">
        <v>22</v>
      </c>
      <c r="K280" s="758"/>
      <c r="L280" s="759" t="s">
        <v>277</v>
      </c>
      <c r="M280" s="760" t="s">
        <v>230</v>
      </c>
      <c r="N280" s="761">
        <f t="shared" si="650"/>
        <v>106005.26567735759</v>
      </c>
      <c r="O280" s="762">
        <f t="shared" si="651"/>
        <v>2332115.8449018667</v>
      </c>
      <c r="P280" s="762">
        <f t="shared" si="652"/>
        <v>22400</v>
      </c>
      <c r="Q280" s="762">
        <f t="shared" si="626"/>
        <v>50000</v>
      </c>
      <c r="R280" s="762"/>
      <c r="S280" s="762"/>
      <c r="T280" s="762"/>
      <c r="U280" s="762"/>
      <c r="V280" s="762">
        <f t="shared" si="740"/>
        <v>55000</v>
      </c>
      <c r="W280" s="762"/>
      <c r="X280" s="762"/>
      <c r="Y280" s="762">
        <f t="shared" si="611"/>
        <v>140000</v>
      </c>
      <c r="Z280" s="762">
        <f t="shared" si="627"/>
        <v>142461</v>
      </c>
      <c r="AA280" s="762"/>
      <c r="AB280" s="762"/>
      <c r="AC280" s="762"/>
      <c r="AD280" s="763">
        <f t="shared" si="653"/>
        <v>409861</v>
      </c>
      <c r="AE280" s="763">
        <f t="shared" si="628"/>
        <v>2741976.8449018667</v>
      </c>
      <c r="AF280" s="762">
        <f t="shared" si="629"/>
        <v>68549.421122546672</v>
      </c>
      <c r="AG280" s="762">
        <f t="shared" si="654"/>
        <v>2810526.2660244135</v>
      </c>
      <c r="AH280" s="762">
        <f t="shared" si="630"/>
        <v>70263.156650610341</v>
      </c>
      <c r="AI280" s="762">
        <f t="shared" si="655"/>
        <v>2880789.4226750238</v>
      </c>
      <c r="AJ280" s="762">
        <f t="shared" si="656"/>
        <v>144039.47113375118</v>
      </c>
      <c r="AK280" s="762">
        <f t="shared" si="657"/>
        <v>3024828.8938087751</v>
      </c>
      <c r="AL280" s="762">
        <f t="shared" si="658"/>
        <v>30248.288938087753</v>
      </c>
      <c r="AM280" s="762">
        <f t="shared" si="659"/>
        <v>27537.409960060559</v>
      </c>
      <c r="AN280" s="762"/>
      <c r="AO280" s="763">
        <f t="shared" si="660"/>
        <v>3082614.5927069234</v>
      </c>
      <c r="AP280" s="763">
        <f t="shared" si="661"/>
        <v>508631.40779664239</v>
      </c>
      <c r="AQ280" s="763">
        <f t="shared" si="662"/>
        <v>3591246.0005035657</v>
      </c>
      <c r="AR280" s="1178">
        <f t="shared" si="631"/>
        <v>3000000</v>
      </c>
      <c r="AS280" s="1178">
        <f t="shared" si="663"/>
        <v>26874.818204707528</v>
      </c>
      <c r="AT280" s="1178">
        <f t="shared" si="664"/>
        <v>591246.00050356565</v>
      </c>
      <c r="AU280" s="1178">
        <f t="shared" si="632"/>
        <v>70949.52006042788</v>
      </c>
      <c r="AV280" s="1178">
        <f t="shared" si="665"/>
        <v>662195.52056399349</v>
      </c>
      <c r="AW280" s="1178">
        <f t="shared" si="666"/>
        <v>3662195.5205639936</v>
      </c>
      <c r="AX280" s="762">
        <f t="shared" si="667"/>
        <v>45777.444007049926</v>
      </c>
      <c r="AY280" s="717" t="s">
        <v>231</v>
      </c>
      <c r="AZ280" s="717">
        <f t="shared" si="668"/>
        <v>3707972.9645710434</v>
      </c>
      <c r="BA280" s="717">
        <f t="shared" si="669"/>
        <v>139048.98617141412</v>
      </c>
      <c r="BB280" s="717"/>
      <c r="BC280" s="717">
        <f t="shared" si="633"/>
        <v>33600</v>
      </c>
      <c r="BD280" s="717">
        <f t="shared" si="670"/>
        <v>3880621.9507424575</v>
      </c>
      <c r="BE280" s="717"/>
      <c r="BF280" s="717">
        <f t="shared" si="671"/>
        <v>3880621.9507424575</v>
      </c>
      <c r="BG280" s="1209"/>
      <c r="BH280" s="717">
        <f t="shared" si="672"/>
        <v>3880621.9507424575</v>
      </c>
      <c r="BI280" s="717"/>
      <c r="BJ280" s="717">
        <f t="shared" si="673"/>
        <v>3880621.9507424575</v>
      </c>
      <c r="BK280" s="717"/>
      <c r="BL280" s="717">
        <f t="shared" si="674"/>
        <v>3880621.9507424575</v>
      </c>
      <c r="BM280" s="717"/>
      <c r="BN280" s="717">
        <f t="shared" si="675"/>
        <v>3880621.9507424575</v>
      </c>
      <c r="BO280" s="717"/>
      <c r="BP280" s="717">
        <f t="shared" si="634"/>
        <v>3880621.9507424575</v>
      </c>
      <c r="BQ280" s="717"/>
      <c r="BR280" s="717">
        <f t="shared" si="738"/>
        <v>3880621.9507424575</v>
      </c>
      <c r="BS280" s="717"/>
      <c r="BT280" s="717">
        <f t="shared" si="676"/>
        <v>3880621.9507424575</v>
      </c>
      <c r="BU280" s="717"/>
      <c r="BV280" s="1235">
        <f t="shared" si="739"/>
        <v>51400</v>
      </c>
      <c r="BW280" s="717">
        <f t="shared" si="677"/>
        <v>3932021.9507424575</v>
      </c>
      <c r="BX280" s="717"/>
      <c r="BY280" s="717">
        <f t="shared" si="678"/>
        <v>3932021.9507424575</v>
      </c>
      <c r="BZ280" s="1194">
        <f t="shared" si="679"/>
        <v>3932021.9507424575</v>
      </c>
      <c r="CA280" s="1194">
        <f t="shared" si="680"/>
        <v>3030021.9507424575</v>
      </c>
      <c r="CB280" s="1194">
        <v>41000</v>
      </c>
      <c r="CC280" s="1194">
        <f t="shared" si="681"/>
        <v>902000</v>
      </c>
      <c r="CD280" s="1194">
        <f t="shared" si="682"/>
        <v>108240</v>
      </c>
      <c r="CE280" s="1194">
        <f t="shared" si="683"/>
        <v>1010240</v>
      </c>
      <c r="CF280" s="1200">
        <f t="shared" si="684"/>
        <v>4040261.9507424575</v>
      </c>
      <c r="CG280" s="757">
        <f t="shared" si="685"/>
        <v>4040261.9507424575</v>
      </c>
      <c r="CH280" s="758">
        <f t="shared" si="686"/>
        <v>0</v>
      </c>
      <c r="CI280" s="757">
        <f t="shared" si="635"/>
        <v>414126.84995110187</v>
      </c>
      <c r="CJ280" s="757">
        <f t="shared" si="636"/>
        <v>101006.54876856145</v>
      </c>
      <c r="CK280" s="759">
        <f t="shared" si="593"/>
        <v>4555395.3494621208</v>
      </c>
      <c r="CL280" s="764">
        <f t="shared" si="687"/>
        <v>0.125</v>
      </c>
      <c r="CM280" s="757">
        <f t="shared" si="688"/>
        <v>569424.4186827651</v>
      </c>
      <c r="CN280" s="757">
        <f t="shared" si="730"/>
        <v>30000</v>
      </c>
      <c r="CO280" s="757">
        <f t="shared" si="689"/>
        <v>539424.4186827651</v>
      </c>
      <c r="CP280" s="755">
        <f t="shared" si="690"/>
        <v>29</v>
      </c>
      <c r="CQ280" s="757">
        <f t="shared" si="732"/>
        <v>18600.842023543624</v>
      </c>
      <c r="CR280" s="764">
        <f t="shared" si="691"/>
        <v>0.875</v>
      </c>
      <c r="CS280" s="757">
        <f t="shared" si="692"/>
        <v>3985970.9307793556</v>
      </c>
      <c r="CT280" s="1101">
        <f t="shared" si="693"/>
        <v>30903.190200410096</v>
      </c>
      <c r="CU280" s="1101">
        <f t="shared" si="694"/>
        <v>35827.033593804474</v>
      </c>
      <c r="CV280" s="1101">
        <f t="shared" si="695"/>
        <v>46280.502298243446</v>
      </c>
      <c r="CW280" s="1141">
        <f t="shared" si="637"/>
        <v>78927.001776423844</v>
      </c>
      <c r="CX280" s="1152">
        <f t="shared" si="696"/>
        <v>323793.08817275299</v>
      </c>
      <c r="CY280" s="1152">
        <f t="shared" si="697"/>
        <v>128123.34770326904</v>
      </c>
      <c r="CZ280" s="1152">
        <f t="shared" si="698"/>
        <v>92541.679410164681</v>
      </c>
      <c r="DA280" s="1152">
        <f t="shared" si="699"/>
        <v>70428.478430014904</v>
      </c>
      <c r="DB280" s="1143">
        <f t="shared" si="638"/>
        <v>0.19708200016785521</v>
      </c>
      <c r="DC280" s="1143">
        <f t="shared" si="700"/>
        <v>0.33341012587465158</v>
      </c>
      <c r="DD280" s="1098" t="s">
        <v>232</v>
      </c>
      <c r="DE280" s="1144"/>
      <c r="DF280" s="705"/>
      <c r="DG280" s="765">
        <f t="shared" si="731"/>
        <v>46082</v>
      </c>
      <c r="DH280" s="1116">
        <f t="shared" si="639"/>
        <v>28</v>
      </c>
      <c r="DI280" s="497"/>
      <c r="DJ280" s="1117">
        <f t="shared" si="701"/>
        <v>46147</v>
      </c>
      <c r="DK280" s="1116">
        <f t="shared" si="702"/>
        <v>30</v>
      </c>
      <c r="DL280" s="766" t="s">
        <v>233</v>
      </c>
      <c r="DM280" s="766" t="s">
        <v>234</v>
      </c>
      <c r="DN280" s="767">
        <f t="shared" si="640"/>
        <v>30099.796389272433</v>
      </c>
      <c r="DO280" s="767">
        <f t="shared" si="641"/>
        <v>662195.52056399349</v>
      </c>
      <c r="DP280" s="768">
        <f t="shared" si="642"/>
        <v>0.22073184018799782</v>
      </c>
      <c r="DR280" s="767">
        <f t="shared" si="643"/>
        <v>4040261.9507424575</v>
      </c>
      <c r="DS280" s="767">
        <f>SUM('[6]INTERNAL PRICELIST'!M280)</f>
        <v>0</v>
      </c>
      <c r="DT280" s="767">
        <f t="shared" si="703"/>
        <v>4040261.9507424575</v>
      </c>
      <c r="DV280" s="951">
        <f t="shared" si="644"/>
        <v>183648.27048829352</v>
      </c>
      <c r="DX280" s="781"/>
      <c r="DY280" s="782"/>
      <c r="DZ280" s="781"/>
      <c r="EA280" s="775"/>
      <c r="ED280" s="1133" t="s">
        <v>727</v>
      </c>
      <c r="EE280" s="777" t="b">
        <f t="shared" si="645"/>
        <v>1</v>
      </c>
      <c r="EF280" s="777"/>
      <c r="EG280" s="777"/>
      <c r="EH280" s="1203"/>
      <c r="EP280" s="1230" t="s">
        <v>236</v>
      </c>
      <c r="EQ280" s="1145" t="s">
        <v>236</v>
      </c>
      <c r="ER280" s="753" t="b">
        <f t="shared" si="704"/>
        <v>1</v>
      </c>
      <c r="EU280" s="770">
        <v>3286117.1478750589</v>
      </c>
      <c r="EV280" s="771" t="s">
        <v>258</v>
      </c>
      <c r="EW280" s="775">
        <f t="shared" si="741"/>
        <v>-754144.8028673986</v>
      </c>
      <c r="EY280" s="775">
        <v>3251375.1112525831</v>
      </c>
      <c r="FJ280" s="994">
        <v>0.15</v>
      </c>
      <c r="FK280" s="993">
        <v>14156.232804968931</v>
      </c>
      <c r="FL280" s="993">
        <v>14538.833691589714</v>
      </c>
      <c r="FM280" s="497"/>
      <c r="FN280" s="993">
        <f t="shared" si="646"/>
        <v>4555395.3494621208</v>
      </c>
      <c r="FO280" s="994">
        <f t="shared" si="737"/>
        <v>0.15</v>
      </c>
      <c r="FP280" s="775">
        <f t="shared" si="647"/>
        <v>683309.30241931812</v>
      </c>
      <c r="FQ280" s="993">
        <f t="shared" si="648"/>
        <v>30000</v>
      </c>
      <c r="FR280" s="775">
        <f t="shared" si="706"/>
        <v>653309.30241931812</v>
      </c>
      <c r="FS280" s="497">
        <f t="shared" si="707"/>
        <v>40</v>
      </c>
      <c r="FT280" s="775">
        <f t="shared" si="708"/>
        <v>16332.732560482953</v>
      </c>
      <c r="FU280" s="497"/>
      <c r="FV280" s="993">
        <f t="shared" si="709"/>
        <v>4555395.3494621208</v>
      </c>
      <c r="FW280" s="705">
        <f t="shared" si="710"/>
        <v>455539.53494621208</v>
      </c>
      <c r="FX280" s="705">
        <f t="shared" si="711"/>
        <v>113884.88373655302</v>
      </c>
      <c r="FY280" s="705">
        <v>15000</v>
      </c>
      <c r="FZ280" s="705">
        <f t="shared" si="712"/>
        <v>440539.53494621208</v>
      </c>
      <c r="GA280" s="497">
        <f t="shared" si="713"/>
        <v>46</v>
      </c>
      <c r="GB280" s="775">
        <f t="shared" si="714"/>
        <v>9576.9464118741762</v>
      </c>
      <c r="GC280" s="497"/>
      <c r="GD280" s="497"/>
      <c r="GH280" s="1095">
        <f t="shared" si="613"/>
        <v>4555395.3494621208</v>
      </c>
      <c r="GI280" s="1098">
        <f t="shared" si="614"/>
        <v>0.125</v>
      </c>
      <c r="GJ280" s="1095">
        <f t="shared" si="615"/>
        <v>569424.4186827651</v>
      </c>
      <c r="GK280" s="1095">
        <f t="shared" si="616"/>
        <v>30000</v>
      </c>
      <c r="GL280" s="1095">
        <f t="shared" si="617"/>
        <v>539424.4186827651</v>
      </c>
      <c r="GM280" s="1095">
        <f t="shared" si="618"/>
        <v>29</v>
      </c>
      <c r="GN280" s="1095">
        <f t="shared" si="619"/>
        <v>18600.842023543624</v>
      </c>
      <c r="GO280" s="1098">
        <f t="shared" si="620"/>
        <v>0.875</v>
      </c>
      <c r="GP280" s="1095">
        <f t="shared" si="621"/>
        <v>3985970.9307793556</v>
      </c>
      <c r="GQ280" s="1095">
        <f t="shared" si="622"/>
        <v>30903.190200410096</v>
      </c>
      <c r="GR280" s="1095">
        <f t="shared" si="623"/>
        <v>35827.033593804474</v>
      </c>
      <c r="GS280" s="1095">
        <f t="shared" si="624"/>
        <v>46280.502298243446</v>
      </c>
      <c r="GT280" s="1095">
        <f t="shared" si="625"/>
        <v>78927.001776423844</v>
      </c>
      <c r="GU280" s="497"/>
      <c r="GV280" s="1095">
        <f t="shared" si="715"/>
        <v>4555395.3494621208</v>
      </c>
      <c r="GW280" s="1098">
        <f t="shared" si="716"/>
        <v>0.125</v>
      </c>
      <c r="GX280" s="1095">
        <f t="shared" si="717"/>
        <v>569424.4186827651</v>
      </c>
      <c r="GY280" s="1095">
        <f t="shared" si="718"/>
        <v>30000</v>
      </c>
      <c r="GZ280" s="1095">
        <f t="shared" si="719"/>
        <v>539424.4186827651</v>
      </c>
      <c r="HA280" s="1106">
        <f t="shared" si="720"/>
        <v>48</v>
      </c>
      <c r="HB280" s="770">
        <f t="shared" si="721"/>
        <v>11238.008722557606</v>
      </c>
      <c r="HC280" s="1098">
        <f t="shared" si="722"/>
        <v>0.875</v>
      </c>
      <c r="HD280" s="1102">
        <f t="shared" si="723"/>
        <v>3985970.9307793556</v>
      </c>
      <c r="HE280" s="1101">
        <f t="shared" si="724"/>
        <v>30903.190200410096</v>
      </c>
      <c r="HF280" s="1101">
        <f t="shared" si="725"/>
        <v>35827.033593804474</v>
      </c>
      <c r="HG280" s="1101">
        <f t="shared" si="726"/>
        <v>46280.502298243446</v>
      </c>
      <c r="HH280" s="1101">
        <f t="shared" si="727"/>
        <v>78927.001776423844</v>
      </c>
      <c r="HI280" s="497"/>
      <c r="HJ280" s="1102">
        <f t="shared" si="728"/>
        <v>-7362.833300986018</v>
      </c>
      <c r="HL280" s="775"/>
      <c r="HN280" s="775"/>
      <c r="HO280" s="775"/>
      <c r="HQ280" s="702"/>
      <c r="HR280" s="1171"/>
      <c r="HS280" s="702"/>
      <c r="HT280" s="1171"/>
    </row>
    <row r="281" spans="1:228" ht="14.25" customHeight="1">
      <c r="A281" s="753">
        <f t="shared" si="729"/>
        <v>275</v>
      </c>
      <c r="B281" s="753"/>
      <c r="C281" s="753">
        <f t="shared" si="610"/>
        <v>27</v>
      </c>
      <c r="D281" s="753" t="s">
        <v>284</v>
      </c>
      <c r="E281" s="717" t="str">
        <f t="shared" si="649"/>
        <v>11th Floor</v>
      </c>
      <c r="F281" s="754"/>
      <c r="G281" s="756" t="s">
        <v>728</v>
      </c>
      <c r="H281" s="756"/>
      <c r="I281" s="755" t="s">
        <v>229</v>
      </c>
      <c r="J281" s="757">
        <v>22</v>
      </c>
      <c r="K281" s="758"/>
      <c r="L281" s="759" t="s">
        <v>277</v>
      </c>
      <c r="M281" s="760" t="s">
        <v>278</v>
      </c>
      <c r="N281" s="761">
        <f t="shared" si="650"/>
        <v>106005.26567735759</v>
      </c>
      <c r="O281" s="762">
        <f t="shared" si="651"/>
        <v>2332115.8449018667</v>
      </c>
      <c r="P281" s="762">
        <f t="shared" si="652"/>
        <v>22400</v>
      </c>
      <c r="Q281" s="762">
        <f t="shared" si="626"/>
        <v>50000</v>
      </c>
      <c r="R281" s="762"/>
      <c r="S281" s="762"/>
      <c r="T281" s="762"/>
      <c r="U281" s="762"/>
      <c r="V281" s="762"/>
      <c r="W281" s="762">
        <f t="shared" ref="W281:W282" si="742">J281*$W$5</f>
        <v>22000</v>
      </c>
      <c r="X281" s="762"/>
      <c r="Y281" s="762">
        <f t="shared" si="611"/>
        <v>140000</v>
      </c>
      <c r="Z281" s="762">
        <f>$Z$5</f>
        <v>142461</v>
      </c>
      <c r="AA281" s="762">
        <v>16200</v>
      </c>
      <c r="AB281" s="762"/>
      <c r="AC281" s="762"/>
      <c r="AD281" s="763">
        <f t="shared" si="653"/>
        <v>393061</v>
      </c>
      <c r="AE281" s="763">
        <f>O281+AD281</f>
        <v>2725176.8449018667</v>
      </c>
      <c r="AF281" s="762">
        <f>AE281*$AF$5</f>
        <v>68129.421122546672</v>
      </c>
      <c r="AG281" s="762">
        <f>AE281+AF281</f>
        <v>2793306.2660244135</v>
      </c>
      <c r="AH281" s="762">
        <f>AG281*$AH$5</f>
        <v>69832.656650610341</v>
      </c>
      <c r="AI281" s="762">
        <f>AG281+AH281</f>
        <v>2863138.9226750238</v>
      </c>
      <c r="AJ281" s="762">
        <f t="shared" si="656"/>
        <v>143156.94613375119</v>
      </c>
      <c r="AK281" s="762">
        <f t="shared" si="657"/>
        <v>3006295.8688087752</v>
      </c>
      <c r="AL281" s="762">
        <f>AK281*AL$5+29772.4420833333</f>
        <v>59835.400771421053</v>
      </c>
      <c r="AM281" s="762">
        <f t="shared" si="659"/>
        <v>27537.409960060559</v>
      </c>
      <c r="AN281" s="762"/>
      <c r="AO281" s="763">
        <f t="shared" si="660"/>
        <v>3093668.6795402565</v>
      </c>
      <c r="AP281" s="763">
        <f t="shared" si="661"/>
        <v>510455.33212414233</v>
      </c>
      <c r="AQ281" s="763">
        <f t="shared" si="662"/>
        <v>3604124.0116643989</v>
      </c>
      <c r="AR281" s="1178">
        <f t="shared" si="631"/>
        <v>3000000</v>
      </c>
      <c r="AS281" s="1178">
        <f t="shared" si="663"/>
        <v>27460.182348381772</v>
      </c>
      <c r="AT281" s="1178">
        <f t="shared" si="664"/>
        <v>604124.01166439895</v>
      </c>
      <c r="AU281" s="1178">
        <f t="shared" si="632"/>
        <v>72494.881399727878</v>
      </c>
      <c r="AV281" s="1178">
        <f t="shared" si="665"/>
        <v>676618.89306412684</v>
      </c>
      <c r="AW281" s="1178">
        <f t="shared" si="666"/>
        <v>3676618.8930641268</v>
      </c>
      <c r="AX281" s="762">
        <f t="shared" si="667"/>
        <v>45957.73616330159</v>
      </c>
      <c r="AY281" s="717">
        <v>7575.3956645161297</v>
      </c>
      <c r="AZ281" s="717">
        <f t="shared" si="668"/>
        <v>3730152.0248919441</v>
      </c>
      <c r="BA281" s="717">
        <f t="shared" si="669"/>
        <v>139880.70093344789</v>
      </c>
      <c r="BB281" s="717"/>
      <c r="BC281" s="717">
        <f t="shared" si="633"/>
        <v>33600</v>
      </c>
      <c r="BD281" s="717">
        <f t="shared" si="670"/>
        <v>3903632.7258253922</v>
      </c>
      <c r="BE281" s="717">
        <v>18367.830916129038</v>
      </c>
      <c r="BF281" s="717">
        <f t="shared" si="671"/>
        <v>3922000.5567415212</v>
      </c>
      <c r="BG281" s="1209"/>
      <c r="BH281" s="717">
        <f t="shared" si="672"/>
        <v>3922000.5567415212</v>
      </c>
      <c r="BI281" s="717">
        <v>718.43902439024396</v>
      </c>
      <c r="BJ281" s="717">
        <f t="shared" si="673"/>
        <v>3922718.9957659114</v>
      </c>
      <c r="BK281" s="717"/>
      <c r="BL281" s="717">
        <f t="shared" si="674"/>
        <v>3922718.9957659114</v>
      </c>
      <c r="BM281" s="717">
        <f>$BM$5/41</f>
        <v>1038.0487804878051</v>
      </c>
      <c r="BN281" s="717">
        <f t="shared" si="675"/>
        <v>3923757.0445463993</v>
      </c>
      <c r="BO281" s="717">
        <f>$BO$5/51</f>
        <v>7289.0781490196077</v>
      </c>
      <c r="BP281" s="717">
        <f t="shared" si="634"/>
        <v>3931046.122695419</v>
      </c>
      <c r="BQ281" s="717">
        <f>$BQ$5/56</f>
        <v>4468.4242000000004</v>
      </c>
      <c r="BR281" s="717">
        <f t="shared" si="738"/>
        <v>3935514.5468954188</v>
      </c>
      <c r="BS281" s="1234">
        <f>$BS$5/64</f>
        <v>2651.4786794501206</v>
      </c>
      <c r="BT281" s="1235">
        <f t="shared" si="676"/>
        <v>3938166.025574869</v>
      </c>
      <c r="BU281" s="1235">
        <f>$BU$5/65</f>
        <v>211.07692307692309</v>
      </c>
      <c r="BV281" s="1235">
        <f t="shared" si="739"/>
        <v>51400</v>
      </c>
      <c r="BW281" s="717">
        <f t="shared" si="677"/>
        <v>3989777.102497946</v>
      </c>
      <c r="BX281" s="1234">
        <f t="shared" ref="BX274:BX337" si="743">$BX$5/68</f>
        <v>27651.078536278128</v>
      </c>
      <c r="BY281" s="717">
        <f t="shared" si="678"/>
        <v>4017428.1810342241</v>
      </c>
      <c r="BZ281" s="1194">
        <f t="shared" si="679"/>
        <v>4017428.1810342241</v>
      </c>
      <c r="CA281" s="1194">
        <f t="shared" si="680"/>
        <v>3137428.1810342241</v>
      </c>
      <c r="CB281" s="1194">
        <f>$CB$5</f>
        <v>40000</v>
      </c>
      <c r="CC281" s="1194">
        <f t="shared" si="681"/>
        <v>880000</v>
      </c>
      <c r="CD281" s="1194">
        <f t="shared" si="682"/>
        <v>105600</v>
      </c>
      <c r="CE281" s="1194">
        <f t="shared" si="683"/>
        <v>985600</v>
      </c>
      <c r="CF281" s="1200">
        <f t="shared" si="684"/>
        <v>4123028.1810342241</v>
      </c>
      <c r="CG281" s="757">
        <f>CF281</f>
        <v>4123028.1810342241</v>
      </c>
      <c r="CH281" s="758">
        <f t="shared" si="686"/>
        <v>0</v>
      </c>
      <c r="CI281" s="757">
        <f>CG281*CI$5</f>
        <v>422610.38855600794</v>
      </c>
      <c r="CJ281" s="757">
        <f>CG281*CJ$5</f>
        <v>103075.7045258556</v>
      </c>
      <c r="CK281" s="759">
        <f>SUM(CG281:CJ281)</f>
        <v>4648714.2741160877</v>
      </c>
      <c r="CL281" s="764">
        <f t="shared" si="687"/>
        <v>0.125</v>
      </c>
      <c r="CM281" s="757">
        <f t="shared" si="688"/>
        <v>581089.28426451096</v>
      </c>
      <c r="CN281" s="757">
        <f t="shared" si="730"/>
        <v>30000</v>
      </c>
      <c r="CO281" s="757">
        <f t="shared" si="689"/>
        <v>551089.28426451096</v>
      </c>
      <c r="CP281" s="755">
        <f t="shared" si="690"/>
        <v>29</v>
      </c>
      <c r="CQ281" s="757">
        <f t="shared" si="732"/>
        <v>19003.078767741757</v>
      </c>
      <c r="CR281" s="764">
        <f t="shared" si="691"/>
        <v>0.875</v>
      </c>
      <c r="CS281" s="757">
        <f t="shared" si="692"/>
        <v>4067624.9898515767</v>
      </c>
      <c r="CT281" s="1101">
        <f t="shared" si="693"/>
        <v>31536.253251286631</v>
      </c>
      <c r="CU281" s="1101">
        <f t="shared" si="694"/>
        <v>36560.963361044138</v>
      </c>
      <c r="CV281" s="1101">
        <f t="shared" si="695"/>
        <v>47228.57516033377</v>
      </c>
      <c r="CW281" s="1141">
        <f t="shared" si="637"/>
        <v>80543.850011738337</v>
      </c>
      <c r="CX281" s="1152">
        <f t="shared" si="696"/>
        <v>330426.10692978278</v>
      </c>
      <c r="CY281" s="1152">
        <f t="shared" si="697"/>
        <v>130748.00091413627</v>
      </c>
      <c r="CZ281" s="1152">
        <f t="shared" si="698"/>
        <v>94437.429250899891</v>
      </c>
      <c r="DA281" s="1152">
        <f t="shared" si="699"/>
        <v>71871.231334629454</v>
      </c>
      <c r="DB281" s="1143">
        <f t="shared" si="638"/>
        <v>0.20137467055479966</v>
      </c>
      <c r="DC281" s="1143">
        <f t="shared" si="700"/>
        <v>0.31414264905184414</v>
      </c>
      <c r="DD281" s="1098" t="s">
        <v>232</v>
      </c>
      <c r="DE281" s="1144"/>
      <c r="DF281" s="705"/>
      <c r="DG281" s="765">
        <f t="shared" si="731"/>
        <v>46082</v>
      </c>
      <c r="DH281" s="1116">
        <f t="shared" si="639"/>
        <v>28</v>
      </c>
      <c r="DI281" s="497"/>
      <c r="DJ281" s="1117">
        <f t="shared" si="701"/>
        <v>46147</v>
      </c>
      <c r="DK281" s="1116">
        <f t="shared" si="702"/>
        <v>30</v>
      </c>
      <c r="DL281" s="766" t="s">
        <v>233</v>
      </c>
      <c r="DM281" s="766" t="s">
        <v>234</v>
      </c>
      <c r="DN281" s="767">
        <f t="shared" si="640"/>
        <v>30755.404230187585</v>
      </c>
      <c r="DO281" s="767">
        <f t="shared" si="641"/>
        <v>676618.89306412684</v>
      </c>
      <c r="DP281" s="768">
        <f t="shared" si="642"/>
        <v>0.22553963102137561</v>
      </c>
      <c r="DR281" s="767">
        <f t="shared" si="643"/>
        <v>4123028.1810342241</v>
      </c>
      <c r="DS281" s="767">
        <f>SUM('[6]INTERNAL PRICELIST'!M281)</f>
        <v>0</v>
      </c>
      <c r="DT281" s="767">
        <f t="shared" si="703"/>
        <v>4123028.1810342241</v>
      </c>
      <c r="DV281" s="951">
        <f t="shared" si="644"/>
        <v>187410.37186519199</v>
      </c>
      <c r="DX281" s="781"/>
      <c r="DY281" s="782"/>
      <c r="DZ281" s="781"/>
      <c r="EA281" s="775"/>
      <c r="ED281" s="755" t="s">
        <v>728</v>
      </c>
      <c r="EE281" s="777" t="b">
        <f t="shared" si="645"/>
        <v>1</v>
      </c>
      <c r="EF281" s="777"/>
      <c r="EG281" s="777"/>
      <c r="EH281" s="1203"/>
      <c r="EP281" s="1230" t="s">
        <v>258</v>
      </c>
      <c r="EQ281" s="1145" t="s">
        <v>258</v>
      </c>
      <c r="ER281" s="753" t="b">
        <f t="shared" si="704"/>
        <v>1</v>
      </c>
      <c r="EU281" s="770">
        <v>3186727.0324007287</v>
      </c>
      <c r="EV281" s="771" t="s">
        <v>258</v>
      </c>
      <c r="EW281" s="775">
        <f t="shared" si="741"/>
        <v>-936301.14863349544</v>
      </c>
      <c r="EY281" s="775">
        <v>3152864.4827302992</v>
      </c>
      <c r="FJ281" s="994">
        <v>0.15</v>
      </c>
      <c r="FK281" s="993">
        <v>13719.848003181623</v>
      </c>
      <c r="FL281" s="993">
        <v>14090.654705970315</v>
      </c>
      <c r="FM281" s="497"/>
      <c r="FN281" s="993">
        <f t="shared" si="646"/>
        <v>4648714.2741160877</v>
      </c>
      <c r="FO281" s="994">
        <f t="shared" ref="FO281:FO285" si="744">FJ281</f>
        <v>0.15</v>
      </c>
      <c r="FP281" s="775">
        <f t="shared" si="647"/>
        <v>697307.14111741318</v>
      </c>
      <c r="FQ281" s="993">
        <f t="shared" si="648"/>
        <v>30000</v>
      </c>
      <c r="FR281" s="775">
        <f t="shared" si="706"/>
        <v>667307.14111741318</v>
      </c>
      <c r="FS281" s="497">
        <f t="shared" si="707"/>
        <v>40</v>
      </c>
      <c r="FT281" s="775">
        <f t="shared" si="708"/>
        <v>16682.678527935328</v>
      </c>
      <c r="FU281" s="497"/>
      <c r="FV281" s="993">
        <f t="shared" si="709"/>
        <v>4648714.2741160877</v>
      </c>
      <c r="FW281" s="705">
        <f t="shared" si="710"/>
        <v>464871.42741160881</v>
      </c>
      <c r="FX281" s="705">
        <f t="shared" si="711"/>
        <v>116217.8568529022</v>
      </c>
      <c r="FY281" s="705">
        <v>15000</v>
      </c>
      <c r="FZ281" s="705">
        <f t="shared" si="712"/>
        <v>449871.42741160881</v>
      </c>
      <c r="GA281" s="497">
        <f t="shared" si="713"/>
        <v>46</v>
      </c>
      <c r="GB281" s="775">
        <f t="shared" si="714"/>
        <v>9779.8136393828008</v>
      </c>
      <c r="GC281" s="497"/>
      <c r="GD281" s="497"/>
      <c r="GH281" s="1095">
        <f t="shared" si="613"/>
        <v>4648714.2741160877</v>
      </c>
      <c r="GI281" s="1098">
        <f t="shared" si="614"/>
        <v>0.125</v>
      </c>
      <c r="GJ281" s="1095">
        <f t="shared" si="615"/>
        <v>581089.28426451096</v>
      </c>
      <c r="GK281" s="1095">
        <f t="shared" si="616"/>
        <v>30000</v>
      </c>
      <c r="GL281" s="1095">
        <f t="shared" si="617"/>
        <v>551089.28426451096</v>
      </c>
      <c r="GM281" s="1095">
        <f t="shared" si="618"/>
        <v>29</v>
      </c>
      <c r="GN281" s="1095">
        <f t="shared" si="619"/>
        <v>19003.078767741757</v>
      </c>
      <c r="GO281" s="1098">
        <f t="shared" si="620"/>
        <v>0.875</v>
      </c>
      <c r="GP281" s="1095">
        <f t="shared" si="621"/>
        <v>4067624.9898515767</v>
      </c>
      <c r="GQ281" s="1095">
        <f t="shared" si="622"/>
        <v>31536.253251286631</v>
      </c>
      <c r="GR281" s="1095">
        <f t="shared" si="623"/>
        <v>36560.963361044138</v>
      </c>
      <c r="GS281" s="1095">
        <f t="shared" si="624"/>
        <v>47228.57516033377</v>
      </c>
      <c r="GT281" s="1095">
        <f t="shared" si="625"/>
        <v>80543.850011738337</v>
      </c>
      <c r="GU281" s="497"/>
      <c r="GV281" s="1095">
        <f t="shared" si="715"/>
        <v>4648714.2741160877</v>
      </c>
      <c r="GW281" s="1098">
        <f t="shared" si="716"/>
        <v>0.125</v>
      </c>
      <c r="GX281" s="1095">
        <f t="shared" si="717"/>
        <v>581089.28426451096</v>
      </c>
      <c r="GY281" s="1095">
        <f t="shared" si="718"/>
        <v>30000</v>
      </c>
      <c r="GZ281" s="1095">
        <f t="shared" si="719"/>
        <v>551089.28426451096</v>
      </c>
      <c r="HA281" s="1106">
        <f t="shared" si="720"/>
        <v>48</v>
      </c>
      <c r="HB281" s="770">
        <f t="shared" si="721"/>
        <v>11481.026755510646</v>
      </c>
      <c r="HC281" s="1098">
        <f t="shared" si="722"/>
        <v>0.875</v>
      </c>
      <c r="HD281" s="1102">
        <f t="shared" si="723"/>
        <v>4067624.9898515767</v>
      </c>
      <c r="HE281" s="1101">
        <f t="shared" si="724"/>
        <v>31536.253251286631</v>
      </c>
      <c r="HF281" s="1101">
        <f t="shared" si="725"/>
        <v>36560.963361044138</v>
      </c>
      <c r="HG281" s="1101">
        <f t="shared" si="726"/>
        <v>47228.57516033377</v>
      </c>
      <c r="HH281" s="1101">
        <f t="shared" si="727"/>
        <v>80543.850011738337</v>
      </c>
      <c r="HI281" s="497"/>
      <c r="HJ281" s="1102">
        <f t="shared" si="728"/>
        <v>-7522.0520122311118</v>
      </c>
      <c r="HL281" s="775"/>
      <c r="HN281" s="775"/>
      <c r="HO281" s="775"/>
      <c r="HQ281" s="702"/>
      <c r="HR281" s="1171"/>
      <c r="HS281" s="702"/>
      <c r="HT281" s="1171"/>
    </row>
    <row r="282" spans="1:228" ht="14.25" customHeight="1">
      <c r="A282" s="753">
        <f t="shared" si="729"/>
        <v>276</v>
      </c>
      <c r="B282" s="753"/>
      <c r="C282" s="753">
        <f t="shared" si="610"/>
        <v>28</v>
      </c>
      <c r="D282" s="753" t="s">
        <v>284</v>
      </c>
      <c r="E282" s="717" t="str">
        <f t="shared" si="649"/>
        <v>11th Floor</v>
      </c>
      <c r="F282" s="754"/>
      <c r="G282" s="756" t="s">
        <v>729</v>
      </c>
      <c r="H282" s="756"/>
      <c r="I282" s="755" t="s">
        <v>229</v>
      </c>
      <c r="J282" s="757">
        <v>22</v>
      </c>
      <c r="K282" s="758"/>
      <c r="L282" s="759" t="s">
        <v>277</v>
      </c>
      <c r="M282" s="760" t="s">
        <v>278</v>
      </c>
      <c r="N282" s="761">
        <f t="shared" si="650"/>
        <v>106005.26567735759</v>
      </c>
      <c r="O282" s="762">
        <f t="shared" si="651"/>
        <v>2332115.8449018667</v>
      </c>
      <c r="P282" s="762">
        <f t="shared" si="652"/>
        <v>22400</v>
      </c>
      <c r="Q282" s="762">
        <f t="shared" si="626"/>
        <v>50000</v>
      </c>
      <c r="R282" s="762"/>
      <c r="S282" s="762"/>
      <c r="T282" s="762"/>
      <c r="U282" s="762"/>
      <c r="V282" s="762"/>
      <c r="W282" s="762">
        <f t="shared" si="742"/>
        <v>22000</v>
      </c>
      <c r="X282" s="762"/>
      <c r="Y282" s="762">
        <f t="shared" si="611"/>
        <v>140000</v>
      </c>
      <c r="Z282" s="762">
        <f t="shared" si="627"/>
        <v>142461</v>
      </c>
      <c r="AA282" s="762"/>
      <c r="AB282" s="762"/>
      <c r="AC282" s="762"/>
      <c r="AD282" s="763">
        <f t="shared" si="653"/>
        <v>376861</v>
      </c>
      <c r="AE282" s="763">
        <f t="shared" si="628"/>
        <v>2708976.8449018667</v>
      </c>
      <c r="AF282" s="762">
        <f t="shared" si="629"/>
        <v>67724.421122546672</v>
      </c>
      <c r="AG282" s="762">
        <f t="shared" si="654"/>
        <v>2776701.2660244135</v>
      </c>
      <c r="AH282" s="762">
        <f t="shared" si="630"/>
        <v>69417.531650610341</v>
      </c>
      <c r="AI282" s="762">
        <f t="shared" si="655"/>
        <v>2846118.7976750238</v>
      </c>
      <c r="AJ282" s="762">
        <f t="shared" si="656"/>
        <v>142305.93988375118</v>
      </c>
      <c r="AK282" s="762">
        <f t="shared" si="657"/>
        <v>2988424.7375587751</v>
      </c>
      <c r="AL282" s="762">
        <f t="shared" si="658"/>
        <v>29884.247375587751</v>
      </c>
      <c r="AM282" s="762">
        <f t="shared" si="659"/>
        <v>27537.409960060559</v>
      </c>
      <c r="AN282" s="762"/>
      <c r="AO282" s="763">
        <f t="shared" si="660"/>
        <v>3045846.3948944234</v>
      </c>
      <c r="AP282" s="763">
        <f t="shared" si="661"/>
        <v>502564.65515757987</v>
      </c>
      <c r="AQ282" s="763">
        <f t="shared" si="662"/>
        <v>3548411.0500520035</v>
      </c>
      <c r="AR282" s="1178">
        <f t="shared" si="631"/>
        <v>3000000</v>
      </c>
      <c r="AS282" s="1178">
        <f t="shared" si="663"/>
        <v>24927.775002363793</v>
      </c>
      <c r="AT282" s="1178">
        <f t="shared" si="664"/>
        <v>548411.05005200347</v>
      </c>
      <c r="AU282" s="1178">
        <f t="shared" si="632"/>
        <v>65809.326006240415</v>
      </c>
      <c r="AV282" s="1178">
        <f t="shared" si="665"/>
        <v>614220.37605824391</v>
      </c>
      <c r="AW282" s="1178">
        <f t="shared" si="666"/>
        <v>3614220.3760582437</v>
      </c>
      <c r="AX282" s="762">
        <f t="shared" si="667"/>
        <v>45177.754700728052</v>
      </c>
      <c r="AY282" s="717" t="s">
        <v>231</v>
      </c>
      <c r="AZ282" s="717">
        <f t="shared" si="668"/>
        <v>3659398.1307589719</v>
      </c>
      <c r="BA282" s="717">
        <f t="shared" si="669"/>
        <v>137227.42990346145</v>
      </c>
      <c r="BB282" s="717"/>
      <c r="BC282" s="717">
        <f t="shared" si="633"/>
        <v>33600</v>
      </c>
      <c r="BD282" s="717">
        <f t="shared" si="670"/>
        <v>3830225.5606624335</v>
      </c>
      <c r="BE282" s="717"/>
      <c r="BF282" s="717">
        <f t="shared" si="671"/>
        <v>3830225.5606624335</v>
      </c>
      <c r="BG282" s="1209"/>
      <c r="BH282" s="717">
        <f t="shared" si="672"/>
        <v>3830225.5606624335</v>
      </c>
      <c r="BI282" s="717"/>
      <c r="BJ282" s="717">
        <f t="shared" si="673"/>
        <v>3830225.5606624335</v>
      </c>
      <c r="BK282" s="717"/>
      <c r="BL282" s="717">
        <f t="shared" si="674"/>
        <v>3830225.5606624335</v>
      </c>
      <c r="BM282" s="717"/>
      <c r="BN282" s="717">
        <f t="shared" si="675"/>
        <v>3830225.5606624335</v>
      </c>
      <c r="BO282" s="717"/>
      <c r="BP282" s="717">
        <f t="shared" si="634"/>
        <v>3830225.5606624335</v>
      </c>
      <c r="BQ282" s="717"/>
      <c r="BR282" s="717">
        <f t="shared" si="738"/>
        <v>3830225.5606624335</v>
      </c>
      <c r="BS282" s="717"/>
      <c r="BT282" s="717">
        <f t="shared" si="676"/>
        <v>3830225.5606624335</v>
      </c>
      <c r="BU282" s="717"/>
      <c r="BV282" s="1235">
        <f t="shared" si="739"/>
        <v>51400</v>
      </c>
      <c r="BW282" s="717">
        <f t="shared" si="677"/>
        <v>3881625.5606624335</v>
      </c>
      <c r="BX282" s="717">
        <f t="shared" si="743"/>
        <v>27651.078536278128</v>
      </c>
      <c r="BY282" s="717">
        <f t="shared" si="678"/>
        <v>3909276.6391987116</v>
      </c>
      <c r="BZ282" s="1194">
        <f t="shared" si="679"/>
        <v>3909276.6391987116</v>
      </c>
      <c r="CA282" s="1194">
        <f t="shared" si="680"/>
        <v>3029276.6391987116</v>
      </c>
      <c r="CB282" s="1194">
        <v>40000</v>
      </c>
      <c r="CC282" s="1194">
        <f t="shared" si="681"/>
        <v>880000</v>
      </c>
      <c r="CD282" s="1194">
        <f t="shared" si="682"/>
        <v>105600</v>
      </c>
      <c r="CE282" s="1194">
        <f t="shared" si="683"/>
        <v>985600</v>
      </c>
      <c r="CF282" s="1200">
        <f t="shared" si="684"/>
        <v>4014876.6391987116</v>
      </c>
      <c r="CG282" s="757">
        <f t="shared" si="685"/>
        <v>4014876.6391987116</v>
      </c>
      <c r="CH282" s="758">
        <f t="shared" si="686"/>
        <v>0</v>
      </c>
      <c r="CI282" s="757">
        <f t="shared" si="635"/>
        <v>411524.85551786789</v>
      </c>
      <c r="CJ282" s="757">
        <f t="shared" si="636"/>
        <v>100371.9159799678</v>
      </c>
      <c r="CK282" s="759">
        <f t="shared" si="593"/>
        <v>4526773.4106965465</v>
      </c>
      <c r="CL282" s="764">
        <f t="shared" si="687"/>
        <v>0.125</v>
      </c>
      <c r="CM282" s="757">
        <f t="shared" si="688"/>
        <v>565846.67633706832</v>
      </c>
      <c r="CN282" s="757">
        <f t="shared" si="730"/>
        <v>30000</v>
      </c>
      <c r="CO282" s="757">
        <f t="shared" si="689"/>
        <v>535846.67633706832</v>
      </c>
      <c r="CP282" s="755">
        <f t="shared" si="690"/>
        <v>29</v>
      </c>
      <c r="CQ282" s="757">
        <f t="shared" si="732"/>
        <v>18477.471597829943</v>
      </c>
      <c r="CR282" s="764">
        <f t="shared" si="691"/>
        <v>0.875</v>
      </c>
      <c r="CS282" s="757">
        <f t="shared" si="692"/>
        <v>3960926.7343594781</v>
      </c>
      <c r="CT282" s="1101">
        <f t="shared" si="693"/>
        <v>30709.022812132484</v>
      </c>
      <c r="CU282" s="1101">
        <f t="shared" si="694"/>
        <v>35601.9292761748</v>
      </c>
      <c r="CV282" s="1101">
        <f t="shared" si="695"/>
        <v>45989.717942286996</v>
      </c>
      <c r="CW282" s="1141">
        <f t="shared" si="637"/>
        <v>78431.096670830346</v>
      </c>
      <c r="CX282" s="1152">
        <f t="shared" si="696"/>
        <v>321758.66849423025</v>
      </c>
      <c r="CY282" s="1152">
        <f t="shared" si="697"/>
        <v>127318.33774670483</v>
      </c>
      <c r="CZ282" s="1152">
        <f t="shared" si="698"/>
        <v>91960.23212005102</v>
      </c>
      <c r="DA282" s="1152">
        <f t="shared" si="699"/>
        <v>69985.970273787694</v>
      </c>
      <c r="DB282" s="1143">
        <f t="shared" si="638"/>
        <v>0.18280368335066782</v>
      </c>
      <c r="DC282" s="1143">
        <f t="shared" si="700"/>
        <v>0.32535820177212527</v>
      </c>
      <c r="DD282" s="1098" t="s">
        <v>232</v>
      </c>
      <c r="DE282" s="1144"/>
      <c r="DF282" s="705"/>
      <c r="DG282" s="765">
        <f t="shared" si="731"/>
        <v>46082</v>
      </c>
      <c r="DH282" s="1116">
        <f t="shared" si="639"/>
        <v>28</v>
      </c>
      <c r="DI282" s="497"/>
      <c r="DJ282" s="1117">
        <f t="shared" si="701"/>
        <v>46147</v>
      </c>
      <c r="DK282" s="1116">
        <f t="shared" si="702"/>
        <v>30</v>
      </c>
      <c r="DL282" s="766" t="s">
        <v>233</v>
      </c>
      <c r="DM282" s="766" t="s">
        <v>234</v>
      </c>
      <c r="DN282" s="767">
        <f t="shared" si="640"/>
        <v>27919.108002647452</v>
      </c>
      <c r="DO282" s="767">
        <f t="shared" si="641"/>
        <v>614220.37605824391</v>
      </c>
      <c r="DP282" s="768">
        <f t="shared" si="642"/>
        <v>0.20474012535274796</v>
      </c>
      <c r="DR282" s="767">
        <f t="shared" si="643"/>
        <v>4014876.6391987116</v>
      </c>
      <c r="DS282" s="767">
        <f>SUM('[6]INTERNAL PRICELIST'!M282)</f>
        <v>0</v>
      </c>
      <c r="DT282" s="767">
        <f t="shared" si="703"/>
        <v>4014876.6391987116</v>
      </c>
      <c r="DV282" s="951">
        <f t="shared" si="644"/>
        <v>182494.39269085054</v>
      </c>
      <c r="DX282" s="781"/>
      <c r="DY282" s="782"/>
      <c r="DZ282" s="781"/>
      <c r="EA282" s="775"/>
      <c r="ED282" s="755" t="s">
        <v>729</v>
      </c>
      <c r="EE282" s="777" t="b">
        <f t="shared" si="645"/>
        <v>1</v>
      </c>
      <c r="EF282" s="777"/>
      <c r="EG282" s="777"/>
      <c r="EH282" s="1203"/>
      <c r="EP282" s="1230" t="s">
        <v>258</v>
      </c>
      <c r="EQ282" s="1145" t="s">
        <v>258</v>
      </c>
      <c r="ER282" s="753" t="b">
        <f t="shared" si="704"/>
        <v>1</v>
      </c>
      <c r="EU282" s="770">
        <v>3186727.0324007287</v>
      </c>
      <c r="EV282" s="771" t="s">
        <v>258</v>
      </c>
      <c r="EW282" s="775">
        <f t="shared" si="741"/>
        <v>-828149.60679798294</v>
      </c>
      <c r="EY282" s="775">
        <v>3152864.4827302992</v>
      </c>
      <c r="FJ282" s="994">
        <v>0.15</v>
      </c>
      <c r="FK282" s="993">
        <v>13719.848003181623</v>
      </c>
      <c r="FL282" s="993">
        <v>14090.654705970315</v>
      </c>
      <c r="FM282" s="497"/>
      <c r="FN282" s="993">
        <f t="shared" si="646"/>
        <v>4526773.4106965465</v>
      </c>
      <c r="FO282" s="994">
        <f t="shared" si="744"/>
        <v>0.15</v>
      </c>
      <c r="FP282" s="775">
        <f t="shared" si="647"/>
        <v>679016.01160448196</v>
      </c>
      <c r="FQ282" s="993">
        <f t="shared" si="648"/>
        <v>30000</v>
      </c>
      <c r="FR282" s="775">
        <f t="shared" si="706"/>
        <v>649016.01160448196</v>
      </c>
      <c r="FS282" s="497">
        <f t="shared" si="707"/>
        <v>40</v>
      </c>
      <c r="FT282" s="775">
        <f t="shared" si="708"/>
        <v>16225.400290112049</v>
      </c>
      <c r="FU282" s="497"/>
      <c r="FV282" s="993">
        <f t="shared" si="709"/>
        <v>4526773.4106965465</v>
      </c>
      <c r="FW282" s="705">
        <f t="shared" si="710"/>
        <v>452677.34106965468</v>
      </c>
      <c r="FX282" s="705">
        <f t="shared" si="711"/>
        <v>113169.33526741367</v>
      </c>
      <c r="FY282" s="705">
        <v>15000</v>
      </c>
      <c r="FZ282" s="705">
        <f t="shared" si="712"/>
        <v>437677.34106965468</v>
      </c>
      <c r="GA282" s="497">
        <f t="shared" si="713"/>
        <v>46</v>
      </c>
      <c r="GB282" s="775">
        <f t="shared" si="714"/>
        <v>9514.7248058620589</v>
      </c>
      <c r="GC282" s="497"/>
      <c r="GD282" s="497"/>
      <c r="GH282" s="1095">
        <f t="shared" si="613"/>
        <v>4526773.4106965465</v>
      </c>
      <c r="GI282" s="1098">
        <f t="shared" si="614"/>
        <v>0.125</v>
      </c>
      <c r="GJ282" s="1095">
        <f t="shared" si="615"/>
        <v>565846.67633706832</v>
      </c>
      <c r="GK282" s="1095">
        <f t="shared" si="616"/>
        <v>30000</v>
      </c>
      <c r="GL282" s="1095">
        <f t="shared" si="617"/>
        <v>535846.67633706832</v>
      </c>
      <c r="GM282" s="1095">
        <f t="shared" si="618"/>
        <v>29</v>
      </c>
      <c r="GN282" s="1095">
        <f t="shared" si="619"/>
        <v>18477.471597829943</v>
      </c>
      <c r="GO282" s="1098">
        <f t="shared" si="620"/>
        <v>0.875</v>
      </c>
      <c r="GP282" s="1095">
        <f t="shared" si="621"/>
        <v>3960926.7343594781</v>
      </c>
      <c r="GQ282" s="1095">
        <f t="shared" si="622"/>
        <v>30709.022812132484</v>
      </c>
      <c r="GR282" s="1095">
        <f t="shared" si="623"/>
        <v>35601.9292761748</v>
      </c>
      <c r="GS282" s="1095">
        <f t="shared" si="624"/>
        <v>45989.717942286996</v>
      </c>
      <c r="GT282" s="1095">
        <f t="shared" si="625"/>
        <v>78431.096670830346</v>
      </c>
      <c r="GU282" s="497"/>
      <c r="GV282" s="1095">
        <f t="shared" si="715"/>
        <v>4526773.4106965465</v>
      </c>
      <c r="GW282" s="1098">
        <f t="shared" si="716"/>
        <v>0.125</v>
      </c>
      <c r="GX282" s="1095">
        <f t="shared" si="717"/>
        <v>565846.67633706832</v>
      </c>
      <c r="GY282" s="1095">
        <f t="shared" si="718"/>
        <v>30000</v>
      </c>
      <c r="GZ282" s="1095">
        <f t="shared" si="719"/>
        <v>535846.67633706832</v>
      </c>
      <c r="HA282" s="1106">
        <f t="shared" si="720"/>
        <v>48</v>
      </c>
      <c r="HB282" s="770">
        <f t="shared" si="721"/>
        <v>11163.472423688923</v>
      </c>
      <c r="HC282" s="1098">
        <f t="shared" si="722"/>
        <v>0.875</v>
      </c>
      <c r="HD282" s="1102">
        <f t="shared" si="723"/>
        <v>3960926.7343594781</v>
      </c>
      <c r="HE282" s="1101">
        <f t="shared" si="724"/>
        <v>30709.022812132484</v>
      </c>
      <c r="HF282" s="1101">
        <f t="shared" si="725"/>
        <v>35601.9292761748</v>
      </c>
      <c r="HG282" s="1101">
        <f t="shared" si="726"/>
        <v>45989.717942286996</v>
      </c>
      <c r="HH282" s="1101">
        <f t="shared" si="727"/>
        <v>78431.096670830346</v>
      </c>
      <c r="HI282" s="497"/>
      <c r="HJ282" s="1102">
        <f t="shared" si="728"/>
        <v>-7313.9991741410195</v>
      </c>
      <c r="HL282" s="775"/>
      <c r="HN282" s="775"/>
      <c r="HO282" s="775"/>
      <c r="HQ282" s="702"/>
      <c r="HR282" s="1171"/>
      <c r="HS282" s="702"/>
      <c r="HT282" s="1171"/>
    </row>
    <row r="283" spans="1:228" ht="14.25" hidden="1" customHeight="1">
      <c r="A283" s="753">
        <f t="shared" si="729"/>
        <v>277</v>
      </c>
      <c r="B283" s="753"/>
      <c r="C283" s="753">
        <f t="shared" si="610"/>
        <v>29</v>
      </c>
      <c r="D283" s="753" t="s">
        <v>284</v>
      </c>
      <c r="E283" s="717" t="str">
        <f t="shared" si="649"/>
        <v>11th Floor</v>
      </c>
      <c r="F283" s="754"/>
      <c r="G283" s="756" t="s">
        <v>730</v>
      </c>
      <c r="H283" s="756"/>
      <c r="I283" s="755" t="s">
        <v>229</v>
      </c>
      <c r="J283" s="757">
        <v>22</v>
      </c>
      <c r="K283" s="758"/>
      <c r="L283" s="759" t="s">
        <v>277</v>
      </c>
      <c r="M283" s="760" t="s">
        <v>68</v>
      </c>
      <c r="N283" s="761">
        <f t="shared" si="650"/>
        <v>106005.26567735759</v>
      </c>
      <c r="O283" s="762">
        <f t="shared" si="651"/>
        <v>2332115.8449018667</v>
      </c>
      <c r="P283" s="762">
        <f t="shared" si="652"/>
        <v>22400</v>
      </c>
      <c r="Q283" s="762">
        <f t="shared" si="626"/>
        <v>50000</v>
      </c>
      <c r="R283" s="762"/>
      <c r="S283" s="762"/>
      <c r="T283" s="762"/>
      <c r="U283" s="762"/>
      <c r="V283" s="762"/>
      <c r="W283" s="762"/>
      <c r="X283" s="762"/>
      <c r="Y283" s="762">
        <f t="shared" si="611"/>
        <v>140000</v>
      </c>
      <c r="Z283" s="762">
        <f t="shared" si="627"/>
        <v>142461</v>
      </c>
      <c r="AA283" s="762"/>
      <c r="AB283" s="762"/>
      <c r="AC283" s="762"/>
      <c r="AD283" s="763">
        <f t="shared" si="653"/>
        <v>354861</v>
      </c>
      <c r="AE283" s="763">
        <f t="shared" si="628"/>
        <v>2686976.8449018667</v>
      </c>
      <c r="AF283" s="762">
        <f t="shared" si="629"/>
        <v>67174.421122546672</v>
      </c>
      <c r="AG283" s="762">
        <f t="shared" si="654"/>
        <v>2754151.2660244135</v>
      </c>
      <c r="AH283" s="762">
        <f t="shared" si="630"/>
        <v>68853.781650610341</v>
      </c>
      <c r="AI283" s="762">
        <f t="shared" si="655"/>
        <v>2823005.0476750238</v>
      </c>
      <c r="AJ283" s="762">
        <f t="shared" si="656"/>
        <v>141150.25238375118</v>
      </c>
      <c r="AK283" s="762">
        <f t="shared" si="657"/>
        <v>2964155.3000587751</v>
      </c>
      <c r="AL283" s="762">
        <f t="shared" si="658"/>
        <v>29641.553000587752</v>
      </c>
      <c r="AM283" s="762">
        <f t="shared" si="659"/>
        <v>27537.409960060559</v>
      </c>
      <c r="AN283" s="762"/>
      <c r="AO283" s="763">
        <f t="shared" si="660"/>
        <v>3021334.2630194235</v>
      </c>
      <c r="AP283" s="763">
        <f t="shared" si="661"/>
        <v>498520.15339820489</v>
      </c>
      <c r="AQ283" s="763">
        <f t="shared" si="662"/>
        <v>3519854.4164176285</v>
      </c>
      <c r="AR283" s="1178">
        <f t="shared" si="631"/>
        <v>3000000</v>
      </c>
      <c r="AS283" s="1178">
        <f t="shared" si="663"/>
        <v>23629.746200801295</v>
      </c>
      <c r="AT283" s="1178">
        <f t="shared" si="664"/>
        <v>519854.41641762853</v>
      </c>
      <c r="AU283" s="1178">
        <f t="shared" si="632"/>
        <v>62382.529970115422</v>
      </c>
      <c r="AV283" s="1178">
        <f t="shared" si="665"/>
        <v>582236.94638774393</v>
      </c>
      <c r="AW283" s="1178">
        <f t="shared" si="666"/>
        <v>3582236.946387744</v>
      </c>
      <c r="AX283" s="762">
        <f t="shared" si="667"/>
        <v>44777.961829846805</v>
      </c>
      <c r="AY283" s="717" t="s">
        <v>231</v>
      </c>
      <c r="AZ283" s="717">
        <f t="shared" si="668"/>
        <v>3627014.9082175908</v>
      </c>
      <c r="BA283" s="717">
        <f t="shared" si="669"/>
        <v>136013.05905815965</v>
      </c>
      <c r="BB283" s="717"/>
      <c r="BC283" s="717">
        <f t="shared" si="633"/>
        <v>33600</v>
      </c>
      <c r="BD283" s="717">
        <f t="shared" si="670"/>
        <v>3796627.9672757504</v>
      </c>
      <c r="BE283" s="717"/>
      <c r="BF283" s="717">
        <f t="shared" si="671"/>
        <v>3796627.9672757504</v>
      </c>
      <c r="BG283" s="1209"/>
      <c r="BH283" s="717">
        <f t="shared" si="672"/>
        <v>3796627.9672757504</v>
      </c>
      <c r="BI283" s="717"/>
      <c r="BJ283" s="717">
        <f t="shared" si="673"/>
        <v>3796627.9672757504</v>
      </c>
      <c r="BK283" s="717"/>
      <c r="BL283" s="717">
        <f t="shared" si="674"/>
        <v>3796627.9672757504</v>
      </c>
      <c r="BM283" s="717"/>
      <c r="BN283" s="717">
        <f t="shared" si="675"/>
        <v>3796627.9672757504</v>
      </c>
      <c r="BO283" s="717"/>
      <c r="BP283" s="717">
        <f t="shared" si="634"/>
        <v>3796627.9672757504</v>
      </c>
      <c r="BQ283" s="717"/>
      <c r="BR283" s="717">
        <f t="shared" si="738"/>
        <v>3796627.9672757504</v>
      </c>
      <c r="BS283" s="717"/>
      <c r="BT283" s="717">
        <f t="shared" si="676"/>
        <v>3796627.9672757504</v>
      </c>
      <c r="BU283" s="717"/>
      <c r="BV283" s="1235">
        <f t="shared" si="739"/>
        <v>51400</v>
      </c>
      <c r="BW283" s="717">
        <f t="shared" si="677"/>
        <v>3848027.9672757504</v>
      </c>
      <c r="BX283" s="717"/>
      <c r="BY283" s="717">
        <f t="shared" si="678"/>
        <v>3848027.9672757504</v>
      </c>
      <c r="BZ283" s="1194">
        <f t="shared" si="679"/>
        <v>3848027.9672757504</v>
      </c>
      <c r="CA283" s="1194">
        <f t="shared" si="680"/>
        <v>3034027.9672757504</v>
      </c>
      <c r="CB283" s="1194">
        <v>37000</v>
      </c>
      <c r="CC283" s="1194">
        <f t="shared" si="681"/>
        <v>814000</v>
      </c>
      <c r="CD283" s="1194">
        <f t="shared" si="682"/>
        <v>97680</v>
      </c>
      <c r="CE283" s="1194">
        <f t="shared" si="683"/>
        <v>911680</v>
      </c>
      <c r="CF283" s="1200">
        <f t="shared" si="684"/>
        <v>3945707.9672757504</v>
      </c>
      <c r="CG283" s="757">
        <f t="shared" si="685"/>
        <v>3945707.9672757504</v>
      </c>
      <c r="CH283" s="758">
        <f t="shared" si="686"/>
        <v>0</v>
      </c>
      <c r="CI283" s="757">
        <f t="shared" si="635"/>
        <v>404435.0666457644</v>
      </c>
      <c r="CJ283" s="757">
        <f t="shared" si="636"/>
        <v>98642.699181893768</v>
      </c>
      <c r="CK283" s="759">
        <f t="shared" si="593"/>
        <v>4448785.7331034085</v>
      </c>
      <c r="CL283" s="764">
        <f t="shared" si="687"/>
        <v>0.125</v>
      </c>
      <c r="CM283" s="757">
        <f t="shared" si="688"/>
        <v>556098.21663792606</v>
      </c>
      <c r="CN283" s="757">
        <f t="shared" si="730"/>
        <v>30000</v>
      </c>
      <c r="CO283" s="757">
        <f t="shared" si="689"/>
        <v>526098.21663792606</v>
      </c>
      <c r="CP283" s="755">
        <f t="shared" si="690"/>
        <v>29</v>
      </c>
      <c r="CQ283" s="757">
        <f t="shared" si="732"/>
        <v>18141.317815100898</v>
      </c>
      <c r="CR283" s="764">
        <f t="shared" si="691"/>
        <v>0.875</v>
      </c>
      <c r="CS283" s="757">
        <f t="shared" si="692"/>
        <v>3892687.5164654823</v>
      </c>
      <c r="CT283" s="1101">
        <f t="shared" si="693"/>
        <v>30179.964882125685</v>
      </c>
      <c r="CU283" s="1101">
        <f t="shared" si="694"/>
        <v>34988.575893934983</v>
      </c>
      <c r="CV283" s="1101">
        <f t="shared" si="695"/>
        <v>45197.402761012978</v>
      </c>
      <c r="CW283" s="1141">
        <f t="shared" si="637"/>
        <v>77079.878369073165</v>
      </c>
      <c r="CX283" s="1152">
        <f t="shared" si="696"/>
        <v>316215.37992537208</v>
      </c>
      <c r="CY283" s="1152">
        <f t="shared" si="697"/>
        <v>125124.88546291657</v>
      </c>
      <c r="CZ283" s="1152">
        <f t="shared" si="698"/>
        <v>90375.93260176231</v>
      </c>
      <c r="DA283" s="1152">
        <f t="shared" si="699"/>
        <v>68780.245402987232</v>
      </c>
      <c r="DB283" s="1143">
        <f t="shared" si="638"/>
        <v>0.17328480547254285</v>
      </c>
      <c r="DC283" s="1143">
        <f t="shared" si="700"/>
        <v>0.30048503502049001</v>
      </c>
      <c r="DD283" s="1098" t="s">
        <v>232</v>
      </c>
      <c r="DE283" s="1144"/>
      <c r="DF283" s="705"/>
      <c r="DG283" s="765">
        <f t="shared" si="731"/>
        <v>46082</v>
      </c>
      <c r="DH283" s="1116">
        <f t="shared" si="639"/>
        <v>28</v>
      </c>
      <c r="DI283" s="497"/>
      <c r="DJ283" s="1117">
        <f t="shared" si="701"/>
        <v>46147</v>
      </c>
      <c r="DK283" s="1116">
        <f t="shared" si="702"/>
        <v>30</v>
      </c>
      <c r="DL283" s="766" t="s">
        <v>233</v>
      </c>
      <c r="DM283" s="766" t="s">
        <v>234</v>
      </c>
      <c r="DN283" s="767">
        <f t="shared" si="640"/>
        <v>26465.315744897453</v>
      </c>
      <c r="DO283" s="767">
        <f t="shared" si="641"/>
        <v>582236.94638774393</v>
      </c>
      <c r="DP283" s="768">
        <f t="shared" si="642"/>
        <v>0.19407898212924798</v>
      </c>
      <c r="DR283" s="767">
        <f t="shared" si="643"/>
        <v>3945707.9672757504</v>
      </c>
      <c r="DS283" s="767">
        <f>SUM('[6]INTERNAL PRICELIST'!M283)</f>
        <v>0</v>
      </c>
      <c r="DT283" s="767">
        <f t="shared" si="703"/>
        <v>3945707.9672757504</v>
      </c>
      <c r="DV283" s="951">
        <f t="shared" si="644"/>
        <v>179350.36214889775</v>
      </c>
      <c r="DX283" s="781"/>
      <c r="DY283" s="782"/>
      <c r="DZ283" s="781"/>
      <c r="EA283" s="775"/>
      <c r="ED283" s="755" t="s">
        <v>730</v>
      </c>
      <c r="EE283" s="777" t="b">
        <f t="shared" si="645"/>
        <v>1</v>
      </c>
      <c r="EF283" s="777"/>
      <c r="EG283" s="777"/>
      <c r="EH283" s="1203"/>
      <c r="EP283" s="1230" t="s">
        <v>236</v>
      </c>
      <c r="EQ283" s="1145" t="s">
        <v>236</v>
      </c>
      <c r="ER283" s="753" t="b">
        <f t="shared" si="704"/>
        <v>1</v>
      </c>
      <c r="EU283" s="770">
        <v>3158898.0774007286</v>
      </c>
      <c r="EV283" s="771" t="s">
        <v>258</v>
      </c>
      <c r="EW283" s="775">
        <f t="shared" si="741"/>
        <v>-786809.88987502176</v>
      </c>
      <c r="EY283" s="775">
        <v>3125281.7816227991</v>
      </c>
      <c r="FJ283" s="994">
        <v>0.15</v>
      </c>
      <c r="FK283" s="993">
        <v>13597.661476345767</v>
      </c>
      <c r="FL283" s="993">
        <v>13965.165840571328</v>
      </c>
      <c r="FM283" s="497"/>
      <c r="FN283" s="993">
        <f t="shared" si="646"/>
        <v>4448785.7331034085</v>
      </c>
      <c r="FO283" s="994">
        <f t="shared" si="744"/>
        <v>0.15</v>
      </c>
      <c r="FP283" s="775">
        <f t="shared" si="647"/>
        <v>667317.85996551125</v>
      </c>
      <c r="FQ283" s="993">
        <f t="shared" si="648"/>
        <v>30000</v>
      </c>
      <c r="FR283" s="775">
        <f t="shared" si="706"/>
        <v>637317.85996551125</v>
      </c>
      <c r="FS283" s="497">
        <f t="shared" si="707"/>
        <v>40</v>
      </c>
      <c r="FT283" s="775">
        <f t="shared" si="708"/>
        <v>15932.946499137781</v>
      </c>
      <c r="FU283" s="497"/>
      <c r="FV283" s="993">
        <f t="shared" si="709"/>
        <v>4448785.7331034085</v>
      </c>
      <c r="FW283" s="705">
        <f t="shared" si="710"/>
        <v>444878.57331034087</v>
      </c>
      <c r="FX283" s="705">
        <f t="shared" si="711"/>
        <v>111219.64332758522</v>
      </c>
      <c r="FY283" s="705">
        <v>15000</v>
      </c>
      <c r="FZ283" s="705">
        <f t="shared" si="712"/>
        <v>429878.57331034087</v>
      </c>
      <c r="GA283" s="497">
        <f t="shared" si="713"/>
        <v>46</v>
      </c>
      <c r="GB283" s="775">
        <f t="shared" si="714"/>
        <v>9345.1863763117581</v>
      </c>
      <c r="GC283" s="497"/>
      <c r="GD283" s="497"/>
      <c r="GH283" s="1095">
        <f t="shared" si="613"/>
        <v>4448785.7331034085</v>
      </c>
      <c r="GI283" s="1098">
        <f t="shared" si="614"/>
        <v>0.125</v>
      </c>
      <c r="GJ283" s="1095">
        <f t="shared" si="615"/>
        <v>556098.21663792606</v>
      </c>
      <c r="GK283" s="1095">
        <f t="shared" si="616"/>
        <v>30000</v>
      </c>
      <c r="GL283" s="1095">
        <f t="shared" si="617"/>
        <v>526098.21663792606</v>
      </c>
      <c r="GM283" s="1095">
        <f t="shared" si="618"/>
        <v>29</v>
      </c>
      <c r="GN283" s="1095">
        <f t="shared" si="619"/>
        <v>18141.317815100898</v>
      </c>
      <c r="GO283" s="1098">
        <f t="shared" si="620"/>
        <v>0.875</v>
      </c>
      <c r="GP283" s="1095">
        <f t="shared" si="621"/>
        <v>3892687.5164654823</v>
      </c>
      <c r="GQ283" s="1095">
        <f t="shared" si="622"/>
        <v>30179.964882125685</v>
      </c>
      <c r="GR283" s="1095">
        <f t="shared" si="623"/>
        <v>34988.575893934983</v>
      </c>
      <c r="GS283" s="1095">
        <f t="shared" si="624"/>
        <v>45197.402761012978</v>
      </c>
      <c r="GT283" s="1095">
        <f t="shared" si="625"/>
        <v>77079.878369073165</v>
      </c>
      <c r="GU283" s="497"/>
      <c r="GV283" s="1095">
        <f t="shared" si="715"/>
        <v>4448785.7331034085</v>
      </c>
      <c r="GW283" s="1098">
        <f t="shared" si="716"/>
        <v>0.125</v>
      </c>
      <c r="GX283" s="1095">
        <f t="shared" si="717"/>
        <v>556098.21663792606</v>
      </c>
      <c r="GY283" s="1095">
        <f t="shared" si="718"/>
        <v>30000</v>
      </c>
      <c r="GZ283" s="1095">
        <f t="shared" si="719"/>
        <v>526098.21663792606</v>
      </c>
      <c r="HA283" s="1106">
        <f t="shared" si="720"/>
        <v>48</v>
      </c>
      <c r="HB283" s="770">
        <f t="shared" si="721"/>
        <v>10960.379513290127</v>
      </c>
      <c r="HC283" s="1098">
        <f t="shared" si="722"/>
        <v>0.875</v>
      </c>
      <c r="HD283" s="1102">
        <f t="shared" si="723"/>
        <v>3892687.5164654823</v>
      </c>
      <c r="HE283" s="1101">
        <f t="shared" si="724"/>
        <v>30179.964882125685</v>
      </c>
      <c r="HF283" s="1101">
        <f t="shared" si="725"/>
        <v>34988.575893934983</v>
      </c>
      <c r="HG283" s="1101">
        <f t="shared" si="726"/>
        <v>45197.402761012978</v>
      </c>
      <c r="HH283" s="1101">
        <f t="shared" si="727"/>
        <v>77079.878369073165</v>
      </c>
      <c r="HI283" s="497"/>
      <c r="HJ283" s="1102">
        <f t="shared" si="728"/>
        <v>-7180.938301810771</v>
      </c>
      <c r="HL283" s="775"/>
      <c r="HN283" s="775"/>
      <c r="HO283" s="775"/>
      <c r="HQ283" s="702"/>
      <c r="HR283" s="1171"/>
      <c r="HS283" s="702"/>
      <c r="HT283" s="1171"/>
    </row>
    <row r="284" spans="1:228" ht="14.25" hidden="1" customHeight="1">
      <c r="A284" s="753">
        <f t="shared" si="729"/>
        <v>278</v>
      </c>
      <c r="B284" s="753"/>
      <c r="C284" s="753">
        <f t="shared" si="610"/>
        <v>30</v>
      </c>
      <c r="D284" s="753" t="s">
        <v>284</v>
      </c>
      <c r="E284" s="717" t="str">
        <f t="shared" si="649"/>
        <v>11th Floor</v>
      </c>
      <c r="F284" s="754"/>
      <c r="G284" s="756" t="s">
        <v>731</v>
      </c>
      <c r="H284" s="756"/>
      <c r="I284" s="755" t="s">
        <v>229</v>
      </c>
      <c r="J284" s="757">
        <v>22</v>
      </c>
      <c r="K284" s="758"/>
      <c r="L284" s="759" t="s">
        <v>277</v>
      </c>
      <c r="M284" s="760" t="s">
        <v>68</v>
      </c>
      <c r="N284" s="761">
        <f t="shared" si="650"/>
        <v>106005.26567735759</v>
      </c>
      <c r="O284" s="762">
        <f t="shared" si="651"/>
        <v>2332115.8449018667</v>
      </c>
      <c r="P284" s="762">
        <f t="shared" si="652"/>
        <v>22400</v>
      </c>
      <c r="Q284" s="762">
        <f t="shared" si="626"/>
        <v>50000</v>
      </c>
      <c r="R284" s="762"/>
      <c r="S284" s="762"/>
      <c r="T284" s="762"/>
      <c r="U284" s="762"/>
      <c r="V284" s="762"/>
      <c r="W284" s="762"/>
      <c r="X284" s="762"/>
      <c r="Y284" s="762">
        <f t="shared" si="611"/>
        <v>140000</v>
      </c>
      <c r="Z284" s="762">
        <f t="shared" si="627"/>
        <v>142461</v>
      </c>
      <c r="AA284" s="762"/>
      <c r="AB284" s="762"/>
      <c r="AC284" s="762"/>
      <c r="AD284" s="763">
        <f t="shared" si="653"/>
        <v>354861</v>
      </c>
      <c r="AE284" s="763">
        <f t="shared" si="628"/>
        <v>2686976.8449018667</v>
      </c>
      <c r="AF284" s="762">
        <f t="shared" si="629"/>
        <v>67174.421122546672</v>
      </c>
      <c r="AG284" s="762">
        <f t="shared" si="654"/>
        <v>2754151.2660244135</v>
      </c>
      <c r="AH284" s="762">
        <f t="shared" si="630"/>
        <v>68853.781650610341</v>
      </c>
      <c r="AI284" s="762">
        <f t="shared" si="655"/>
        <v>2823005.0476750238</v>
      </c>
      <c r="AJ284" s="762">
        <f t="shared" si="656"/>
        <v>141150.25238375118</v>
      </c>
      <c r="AK284" s="762">
        <f t="shared" si="657"/>
        <v>2964155.3000587751</v>
      </c>
      <c r="AL284" s="762">
        <f t="shared" si="658"/>
        <v>29641.553000587752</v>
      </c>
      <c r="AM284" s="762">
        <f t="shared" si="659"/>
        <v>27537.409960060559</v>
      </c>
      <c r="AN284" s="762"/>
      <c r="AO284" s="763">
        <f t="shared" si="660"/>
        <v>3021334.2630194235</v>
      </c>
      <c r="AP284" s="763">
        <f t="shared" si="661"/>
        <v>498520.15339820489</v>
      </c>
      <c r="AQ284" s="763">
        <f t="shared" si="662"/>
        <v>3519854.4164176285</v>
      </c>
      <c r="AR284" s="1178">
        <f t="shared" si="631"/>
        <v>3000000</v>
      </c>
      <c r="AS284" s="1178">
        <f t="shared" si="663"/>
        <v>23629.746200801295</v>
      </c>
      <c r="AT284" s="1178">
        <f t="shared" si="664"/>
        <v>519854.41641762853</v>
      </c>
      <c r="AU284" s="1178">
        <f t="shared" si="632"/>
        <v>62382.529970115422</v>
      </c>
      <c r="AV284" s="1178">
        <f t="shared" si="665"/>
        <v>582236.94638774393</v>
      </c>
      <c r="AW284" s="1178">
        <f t="shared" si="666"/>
        <v>3582236.946387744</v>
      </c>
      <c r="AX284" s="762">
        <f t="shared" si="667"/>
        <v>44777.961829846805</v>
      </c>
      <c r="AY284" s="717" t="s">
        <v>231</v>
      </c>
      <c r="AZ284" s="717">
        <f t="shared" si="668"/>
        <v>3627014.9082175908</v>
      </c>
      <c r="BA284" s="717">
        <f t="shared" si="669"/>
        <v>136013.05905815965</v>
      </c>
      <c r="BB284" s="717"/>
      <c r="BC284" s="717">
        <f t="shared" si="633"/>
        <v>33600</v>
      </c>
      <c r="BD284" s="717">
        <f t="shared" si="670"/>
        <v>3796627.9672757504</v>
      </c>
      <c r="BE284" s="717"/>
      <c r="BF284" s="717">
        <f t="shared" si="671"/>
        <v>3796627.9672757504</v>
      </c>
      <c r="BG284" s="1209"/>
      <c r="BH284" s="717">
        <f t="shared" si="672"/>
        <v>3796627.9672757504</v>
      </c>
      <c r="BI284" s="717"/>
      <c r="BJ284" s="717">
        <f t="shared" si="673"/>
        <v>3796627.9672757504</v>
      </c>
      <c r="BK284" s="717"/>
      <c r="BL284" s="717">
        <f t="shared" si="674"/>
        <v>3796627.9672757504</v>
      </c>
      <c r="BM284" s="717"/>
      <c r="BN284" s="717">
        <f t="shared" si="675"/>
        <v>3796627.9672757504</v>
      </c>
      <c r="BO284" s="717"/>
      <c r="BP284" s="717">
        <f t="shared" si="634"/>
        <v>3796627.9672757504</v>
      </c>
      <c r="BQ284" s="717"/>
      <c r="BR284" s="717">
        <f t="shared" si="738"/>
        <v>3796627.9672757504</v>
      </c>
      <c r="BS284" s="717"/>
      <c r="BT284" s="717">
        <f t="shared" si="676"/>
        <v>3796627.9672757504</v>
      </c>
      <c r="BU284" s="717"/>
      <c r="BV284" s="1235">
        <f t="shared" si="739"/>
        <v>51400</v>
      </c>
      <c r="BW284" s="717">
        <f t="shared" si="677"/>
        <v>3848027.9672757504</v>
      </c>
      <c r="BX284" s="717"/>
      <c r="BY284" s="717">
        <f t="shared" si="678"/>
        <v>3848027.9672757504</v>
      </c>
      <c r="BZ284" s="1194">
        <f t="shared" si="679"/>
        <v>3848027.9672757504</v>
      </c>
      <c r="CA284" s="1194">
        <f t="shared" si="680"/>
        <v>3034027.9672757504</v>
      </c>
      <c r="CB284" s="1194">
        <v>37000</v>
      </c>
      <c r="CC284" s="1194">
        <f t="shared" si="681"/>
        <v>814000</v>
      </c>
      <c r="CD284" s="1194">
        <f t="shared" si="682"/>
        <v>97680</v>
      </c>
      <c r="CE284" s="1194">
        <f t="shared" si="683"/>
        <v>911680</v>
      </c>
      <c r="CF284" s="1200">
        <f t="shared" si="684"/>
        <v>3945707.9672757504</v>
      </c>
      <c r="CG284" s="757">
        <f t="shared" si="685"/>
        <v>3945707.9672757504</v>
      </c>
      <c r="CH284" s="758">
        <f t="shared" si="686"/>
        <v>0</v>
      </c>
      <c r="CI284" s="757">
        <f t="shared" si="635"/>
        <v>404435.0666457644</v>
      </c>
      <c r="CJ284" s="757">
        <f t="shared" si="636"/>
        <v>98642.699181893768</v>
      </c>
      <c r="CK284" s="759">
        <f t="shared" si="593"/>
        <v>4448785.7331034085</v>
      </c>
      <c r="CL284" s="764">
        <f t="shared" si="687"/>
        <v>0.125</v>
      </c>
      <c r="CM284" s="757">
        <f t="shared" si="688"/>
        <v>556098.21663792606</v>
      </c>
      <c r="CN284" s="757">
        <f t="shared" si="730"/>
        <v>30000</v>
      </c>
      <c r="CO284" s="757">
        <f t="shared" si="689"/>
        <v>526098.21663792606</v>
      </c>
      <c r="CP284" s="755">
        <f t="shared" si="690"/>
        <v>29</v>
      </c>
      <c r="CQ284" s="757">
        <f t="shared" si="732"/>
        <v>18141.317815100898</v>
      </c>
      <c r="CR284" s="764">
        <f t="shared" si="691"/>
        <v>0.875</v>
      </c>
      <c r="CS284" s="757">
        <f t="shared" si="692"/>
        <v>3892687.5164654823</v>
      </c>
      <c r="CT284" s="1101">
        <f t="shared" si="693"/>
        <v>30179.964882125685</v>
      </c>
      <c r="CU284" s="1101">
        <f t="shared" si="694"/>
        <v>34988.575893934983</v>
      </c>
      <c r="CV284" s="1101">
        <f t="shared" si="695"/>
        <v>45197.402761012978</v>
      </c>
      <c r="CW284" s="1141">
        <f t="shared" si="637"/>
        <v>77079.878369073165</v>
      </c>
      <c r="CX284" s="1152">
        <f t="shared" si="696"/>
        <v>316215.37992537208</v>
      </c>
      <c r="CY284" s="1152">
        <f t="shared" si="697"/>
        <v>125124.88546291657</v>
      </c>
      <c r="CZ284" s="1152">
        <f t="shared" si="698"/>
        <v>90375.93260176231</v>
      </c>
      <c r="DA284" s="1152">
        <f t="shared" si="699"/>
        <v>68780.245402987232</v>
      </c>
      <c r="DB284" s="1143">
        <f t="shared" si="638"/>
        <v>0.17328480547254285</v>
      </c>
      <c r="DC284" s="1143">
        <f t="shared" si="700"/>
        <v>0.30048503502049001</v>
      </c>
      <c r="DD284" s="1098" t="s">
        <v>232</v>
      </c>
      <c r="DE284" s="1144"/>
      <c r="DF284" s="705"/>
      <c r="DG284" s="765">
        <f t="shared" si="731"/>
        <v>46082</v>
      </c>
      <c r="DH284" s="1116">
        <f t="shared" si="639"/>
        <v>28</v>
      </c>
      <c r="DI284" s="497"/>
      <c r="DJ284" s="1117">
        <f t="shared" si="701"/>
        <v>46147</v>
      </c>
      <c r="DK284" s="1116">
        <f t="shared" si="702"/>
        <v>30</v>
      </c>
      <c r="DL284" s="766" t="s">
        <v>233</v>
      </c>
      <c r="DM284" s="766" t="s">
        <v>234</v>
      </c>
      <c r="DN284" s="767">
        <f t="shared" si="640"/>
        <v>26465.315744897453</v>
      </c>
      <c r="DO284" s="767">
        <f t="shared" si="641"/>
        <v>582236.94638774393</v>
      </c>
      <c r="DP284" s="768">
        <f t="shared" si="642"/>
        <v>0.19407898212924798</v>
      </c>
      <c r="DR284" s="767">
        <f t="shared" si="643"/>
        <v>3945707.9672757504</v>
      </c>
      <c r="DS284" s="767">
        <f>SUM('[6]INTERNAL PRICELIST'!M284)</f>
        <v>0</v>
      </c>
      <c r="DT284" s="767">
        <f t="shared" si="703"/>
        <v>3945707.9672757504</v>
      </c>
      <c r="DV284" s="951">
        <f t="shared" si="644"/>
        <v>179350.36214889775</v>
      </c>
      <c r="DX284" s="781"/>
      <c r="DY284" s="782"/>
      <c r="DZ284" s="781"/>
      <c r="EA284" s="775"/>
      <c r="ED284" s="755" t="s">
        <v>731</v>
      </c>
      <c r="EE284" s="777" t="b">
        <f t="shared" si="645"/>
        <v>1</v>
      </c>
      <c r="EF284" s="777"/>
      <c r="EG284" s="777"/>
      <c r="EH284" s="1203"/>
      <c r="EP284" s="1230" t="s">
        <v>236</v>
      </c>
      <c r="EQ284" s="1145" t="s">
        <v>236</v>
      </c>
      <c r="ER284" s="753" t="b">
        <f t="shared" si="704"/>
        <v>1</v>
      </c>
      <c r="EU284" s="770">
        <v>3158898.0774007286</v>
      </c>
      <c r="EV284" s="771" t="s">
        <v>258</v>
      </c>
      <c r="EW284" s="775">
        <f t="shared" si="741"/>
        <v>-786809.88987502176</v>
      </c>
      <c r="EY284" s="775">
        <v>3125281.7816227991</v>
      </c>
      <c r="FJ284" s="994">
        <v>0.15</v>
      </c>
      <c r="FK284" s="993">
        <v>13597.661476345767</v>
      </c>
      <c r="FL284" s="993">
        <v>13965.165840571328</v>
      </c>
      <c r="FM284" s="497"/>
      <c r="FN284" s="993">
        <f t="shared" si="646"/>
        <v>4448785.7331034085</v>
      </c>
      <c r="FO284" s="994">
        <f t="shared" si="744"/>
        <v>0.15</v>
      </c>
      <c r="FP284" s="775">
        <f t="shared" si="647"/>
        <v>667317.85996551125</v>
      </c>
      <c r="FQ284" s="993">
        <f t="shared" si="648"/>
        <v>30000</v>
      </c>
      <c r="FR284" s="775">
        <f t="shared" si="706"/>
        <v>637317.85996551125</v>
      </c>
      <c r="FS284" s="497">
        <f t="shared" si="707"/>
        <v>40</v>
      </c>
      <c r="FT284" s="775">
        <f t="shared" si="708"/>
        <v>15932.946499137781</v>
      </c>
      <c r="FU284" s="497"/>
      <c r="FV284" s="993">
        <f t="shared" si="709"/>
        <v>4448785.7331034085</v>
      </c>
      <c r="FW284" s="705">
        <f t="shared" si="710"/>
        <v>444878.57331034087</v>
      </c>
      <c r="FX284" s="705">
        <f t="shared" si="711"/>
        <v>111219.64332758522</v>
      </c>
      <c r="FY284" s="705">
        <v>15000</v>
      </c>
      <c r="FZ284" s="705">
        <f t="shared" si="712"/>
        <v>429878.57331034087</v>
      </c>
      <c r="GA284" s="497">
        <f t="shared" si="713"/>
        <v>46</v>
      </c>
      <c r="GB284" s="775">
        <f t="shared" si="714"/>
        <v>9345.1863763117581</v>
      </c>
      <c r="GC284" s="497"/>
      <c r="GD284" s="497"/>
      <c r="GH284" s="1095">
        <f t="shared" si="613"/>
        <v>4448785.7331034085</v>
      </c>
      <c r="GI284" s="1098">
        <f t="shared" si="614"/>
        <v>0.125</v>
      </c>
      <c r="GJ284" s="1095">
        <f t="shared" si="615"/>
        <v>556098.21663792606</v>
      </c>
      <c r="GK284" s="1095">
        <f t="shared" si="616"/>
        <v>30000</v>
      </c>
      <c r="GL284" s="1095">
        <f t="shared" si="617"/>
        <v>526098.21663792606</v>
      </c>
      <c r="GM284" s="1095">
        <f t="shared" si="618"/>
        <v>29</v>
      </c>
      <c r="GN284" s="1095">
        <f t="shared" si="619"/>
        <v>18141.317815100898</v>
      </c>
      <c r="GO284" s="1098">
        <f t="shared" si="620"/>
        <v>0.875</v>
      </c>
      <c r="GP284" s="1095">
        <f t="shared" si="621"/>
        <v>3892687.5164654823</v>
      </c>
      <c r="GQ284" s="1095">
        <f t="shared" si="622"/>
        <v>30179.964882125685</v>
      </c>
      <c r="GR284" s="1095">
        <f t="shared" si="623"/>
        <v>34988.575893934983</v>
      </c>
      <c r="GS284" s="1095">
        <f t="shared" si="624"/>
        <v>45197.402761012978</v>
      </c>
      <c r="GT284" s="1095">
        <f t="shared" si="625"/>
        <v>77079.878369073165</v>
      </c>
      <c r="GU284" s="497"/>
      <c r="GV284" s="1095">
        <f t="shared" si="715"/>
        <v>4448785.7331034085</v>
      </c>
      <c r="GW284" s="1098">
        <f t="shared" si="716"/>
        <v>0.125</v>
      </c>
      <c r="GX284" s="1095">
        <f t="shared" si="717"/>
        <v>556098.21663792606</v>
      </c>
      <c r="GY284" s="1095">
        <f t="shared" si="718"/>
        <v>30000</v>
      </c>
      <c r="GZ284" s="1095">
        <f t="shared" si="719"/>
        <v>526098.21663792606</v>
      </c>
      <c r="HA284" s="1106">
        <f t="shared" si="720"/>
        <v>48</v>
      </c>
      <c r="HB284" s="770">
        <f t="shared" si="721"/>
        <v>10960.379513290127</v>
      </c>
      <c r="HC284" s="1098">
        <f t="shared" si="722"/>
        <v>0.875</v>
      </c>
      <c r="HD284" s="1102">
        <f t="shared" si="723"/>
        <v>3892687.5164654823</v>
      </c>
      <c r="HE284" s="1101">
        <f t="shared" si="724"/>
        <v>30179.964882125685</v>
      </c>
      <c r="HF284" s="1101">
        <f t="shared" si="725"/>
        <v>34988.575893934983</v>
      </c>
      <c r="HG284" s="1101">
        <f t="shared" si="726"/>
        <v>45197.402761012978</v>
      </c>
      <c r="HH284" s="1101">
        <f t="shared" si="727"/>
        <v>77079.878369073165</v>
      </c>
      <c r="HI284" s="497"/>
      <c r="HJ284" s="1102">
        <f t="shared" si="728"/>
        <v>-7180.938301810771</v>
      </c>
      <c r="HL284" s="775"/>
      <c r="HN284" s="775"/>
      <c r="HO284" s="775"/>
      <c r="HQ284" s="702"/>
      <c r="HR284" s="1171"/>
      <c r="HS284" s="702"/>
      <c r="HT284" s="1171"/>
    </row>
    <row r="285" spans="1:228" ht="14.25" hidden="1" customHeight="1">
      <c r="A285" s="753">
        <f t="shared" si="729"/>
        <v>279</v>
      </c>
      <c r="B285" s="753"/>
      <c r="C285" s="753">
        <f t="shared" si="610"/>
        <v>31</v>
      </c>
      <c r="D285" s="753" t="s">
        <v>284</v>
      </c>
      <c r="E285" s="717" t="str">
        <f t="shared" si="649"/>
        <v>11th Floor</v>
      </c>
      <c r="F285" s="754"/>
      <c r="G285" s="756" t="s">
        <v>732</v>
      </c>
      <c r="H285" s="756"/>
      <c r="I285" s="755" t="s">
        <v>229</v>
      </c>
      <c r="J285" s="757">
        <v>22</v>
      </c>
      <c r="K285" s="758"/>
      <c r="L285" s="759" t="s">
        <v>277</v>
      </c>
      <c r="M285" s="760" t="s">
        <v>278</v>
      </c>
      <c r="N285" s="761">
        <f t="shared" si="650"/>
        <v>106005.26567735759</v>
      </c>
      <c r="O285" s="762">
        <f t="shared" si="651"/>
        <v>2332115.8449018667</v>
      </c>
      <c r="P285" s="762">
        <f t="shared" si="652"/>
        <v>22400</v>
      </c>
      <c r="Q285" s="762">
        <f t="shared" si="626"/>
        <v>50000</v>
      </c>
      <c r="R285" s="762"/>
      <c r="S285" s="762"/>
      <c r="T285" s="762"/>
      <c r="U285" s="762"/>
      <c r="V285" s="762"/>
      <c r="W285" s="762">
        <f>J285*$W$5</f>
        <v>22000</v>
      </c>
      <c r="X285" s="762"/>
      <c r="Y285" s="762">
        <f t="shared" si="611"/>
        <v>140000</v>
      </c>
      <c r="Z285" s="762">
        <f t="shared" si="627"/>
        <v>142461</v>
      </c>
      <c r="AA285" s="762"/>
      <c r="AB285" s="762"/>
      <c r="AC285" s="762"/>
      <c r="AD285" s="763">
        <f t="shared" si="653"/>
        <v>376861</v>
      </c>
      <c r="AE285" s="763">
        <f t="shared" si="628"/>
        <v>2708976.8449018667</v>
      </c>
      <c r="AF285" s="762">
        <f t="shared" si="629"/>
        <v>67724.421122546672</v>
      </c>
      <c r="AG285" s="762">
        <f t="shared" si="654"/>
        <v>2776701.2660244135</v>
      </c>
      <c r="AH285" s="762">
        <f t="shared" si="630"/>
        <v>69417.531650610341</v>
      </c>
      <c r="AI285" s="762">
        <f t="shared" si="655"/>
        <v>2846118.7976750238</v>
      </c>
      <c r="AJ285" s="762">
        <f t="shared" si="656"/>
        <v>142305.93988375118</v>
      </c>
      <c r="AK285" s="762">
        <f t="shared" si="657"/>
        <v>2988424.7375587751</v>
      </c>
      <c r="AL285" s="762">
        <f t="shared" si="658"/>
        <v>29884.247375587751</v>
      </c>
      <c r="AM285" s="762">
        <f t="shared" si="659"/>
        <v>27537.409960060559</v>
      </c>
      <c r="AN285" s="762"/>
      <c r="AO285" s="763">
        <f t="shared" si="660"/>
        <v>3045846.3948944234</v>
      </c>
      <c r="AP285" s="763">
        <f t="shared" si="661"/>
        <v>502564.65515757987</v>
      </c>
      <c r="AQ285" s="763">
        <f t="shared" si="662"/>
        <v>3548411.0500520035</v>
      </c>
      <c r="AR285" s="1178">
        <f t="shared" si="631"/>
        <v>3000000</v>
      </c>
      <c r="AS285" s="1178">
        <f t="shared" si="663"/>
        <v>24927.775002363793</v>
      </c>
      <c r="AT285" s="1178">
        <f t="shared" si="664"/>
        <v>548411.05005200347</v>
      </c>
      <c r="AU285" s="1178">
        <f t="shared" si="632"/>
        <v>65809.326006240415</v>
      </c>
      <c r="AV285" s="1178">
        <f t="shared" si="665"/>
        <v>614220.37605824391</v>
      </c>
      <c r="AW285" s="1178">
        <f t="shared" si="666"/>
        <v>3614220.3760582437</v>
      </c>
      <c r="AX285" s="762">
        <f t="shared" si="667"/>
        <v>45177.754700728052</v>
      </c>
      <c r="AY285" s="717" t="s">
        <v>231</v>
      </c>
      <c r="AZ285" s="717">
        <f t="shared" si="668"/>
        <v>3659398.1307589719</v>
      </c>
      <c r="BA285" s="717">
        <f t="shared" si="669"/>
        <v>137227.42990346145</v>
      </c>
      <c r="BB285" s="717"/>
      <c r="BC285" s="717">
        <f t="shared" si="633"/>
        <v>33600</v>
      </c>
      <c r="BD285" s="717">
        <f t="shared" si="670"/>
        <v>3830225.5606624335</v>
      </c>
      <c r="BE285" s="717"/>
      <c r="BF285" s="717">
        <f t="shared" si="671"/>
        <v>3830225.5606624335</v>
      </c>
      <c r="BG285" s="1209"/>
      <c r="BH285" s="717">
        <f t="shared" si="672"/>
        <v>3830225.5606624335</v>
      </c>
      <c r="BI285" s="717"/>
      <c r="BJ285" s="717">
        <f t="shared" si="673"/>
        <v>3830225.5606624335</v>
      </c>
      <c r="BK285" s="717"/>
      <c r="BL285" s="717">
        <f t="shared" si="674"/>
        <v>3830225.5606624335</v>
      </c>
      <c r="BM285" s="717"/>
      <c r="BN285" s="717">
        <f t="shared" si="675"/>
        <v>3830225.5606624335</v>
      </c>
      <c r="BO285" s="717"/>
      <c r="BP285" s="717">
        <f t="shared" si="634"/>
        <v>3830225.5606624335</v>
      </c>
      <c r="BQ285" s="717"/>
      <c r="BR285" s="717">
        <f t="shared" si="738"/>
        <v>3830225.5606624335</v>
      </c>
      <c r="BS285" s="717"/>
      <c r="BT285" s="717">
        <f t="shared" si="676"/>
        <v>3830225.5606624335</v>
      </c>
      <c r="BU285" s="717"/>
      <c r="BV285" s="1235">
        <f t="shared" si="739"/>
        <v>51400</v>
      </c>
      <c r="BW285" s="717">
        <f t="shared" si="677"/>
        <v>3881625.5606624335</v>
      </c>
      <c r="BX285" s="717"/>
      <c r="BY285" s="717">
        <f t="shared" si="678"/>
        <v>3881625.5606624335</v>
      </c>
      <c r="BZ285" s="1194">
        <f t="shared" si="679"/>
        <v>3881625.5606624335</v>
      </c>
      <c r="CA285" s="1194">
        <f t="shared" si="680"/>
        <v>3001625.5606624335</v>
      </c>
      <c r="CB285" s="1194">
        <v>40000</v>
      </c>
      <c r="CC285" s="1194">
        <f t="shared" si="681"/>
        <v>880000</v>
      </c>
      <c r="CD285" s="1194">
        <f t="shared" si="682"/>
        <v>105600</v>
      </c>
      <c r="CE285" s="1194">
        <f t="shared" si="683"/>
        <v>985600</v>
      </c>
      <c r="CF285" s="1200">
        <f t="shared" si="684"/>
        <v>3987225.5606624335</v>
      </c>
      <c r="CG285" s="757">
        <f t="shared" si="685"/>
        <v>3987225.5606624335</v>
      </c>
      <c r="CH285" s="758">
        <f t="shared" si="686"/>
        <v>0</v>
      </c>
      <c r="CI285" s="757">
        <f t="shared" si="635"/>
        <v>408690.6199678994</v>
      </c>
      <c r="CJ285" s="757">
        <f t="shared" si="636"/>
        <v>99680.639016560846</v>
      </c>
      <c r="CK285" s="759">
        <f t="shared" si="593"/>
        <v>4495596.819646894</v>
      </c>
      <c r="CL285" s="764">
        <f t="shared" si="687"/>
        <v>0.125</v>
      </c>
      <c r="CM285" s="757">
        <f t="shared" si="688"/>
        <v>561949.60245586175</v>
      </c>
      <c r="CN285" s="757">
        <f t="shared" si="730"/>
        <v>30000</v>
      </c>
      <c r="CO285" s="757">
        <f t="shared" si="689"/>
        <v>531949.60245586175</v>
      </c>
      <c r="CP285" s="755">
        <f t="shared" si="690"/>
        <v>29</v>
      </c>
      <c r="CQ285" s="757">
        <f t="shared" si="732"/>
        <v>18343.089739857303</v>
      </c>
      <c r="CR285" s="764">
        <f t="shared" si="691"/>
        <v>0.875</v>
      </c>
      <c r="CS285" s="757">
        <f t="shared" si="692"/>
        <v>3933647.2171910321</v>
      </c>
      <c r="CT285" s="1101">
        <f t="shared" si="693"/>
        <v>30497.525005883555</v>
      </c>
      <c r="CU285" s="1101">
        <f t="shared" si="694"/>
        <v>35356.733263712769</v>
      </c>
      <c r="CV285" s="1101">
        <f t="shared" si="695"/>
        <v>45672.97961706233</v>
      </c>
      <c r="CW285" s="1141">
        <f t="shared" si="637"/>
        <v>77890.929535293079</v>
      </c>
      <c r="CX285" s="1152">
        <f t="shared" si="696"/>
        <v>319542.66660630231</v>
      </c>
      <c r="CY285" s="1152">
        <f t="shared" si="697"/>
        <v>126441.47659441672</v>
      </c>
      <c r="CZ285" s="1152">
        <f t="shared" si="698"/>
        <v>91326.887728908448</v>
      </c>
      <c r="DA285" s="1152">
        <f t="shared" si="699"/>
        <v>69503.966034458368</v>
      </c>
      <c r="DB285" s="1143">
        <f t="shared" si="638"/>
        <v>0.18280368335066782</v>
      </c>
      <c r="DC285" s="1143">
        <f t="shared" si="700"/>
        <v>0.3283554127858927</v>
      </c>
      <c r="DD285" s="1098" t="s">
        <v>232</v>
      </c>
      <c r="DE285" s="1144"/>
      <c r="DF285" s="705"/>
      <c r="DG285" s="765">
        <f t="shared" si="731"/>
        <v>46082</v>
      </c>
      <c r="DH285" s="1116">
        <f t="shared" si="639"/>
        <v>28</v>
      </c>
      <c r="DI285" s="497"/>
      <c r="DJ285" s="1117">
        <f t="shared" si="701"/>
        <v>46147</v>
      </c>
      <c r="DK285" s="1116">
        <f t="shared" si="702"/>
        <v>30</v>
      </c>
      <c r="DL285" s="766" t="s">
        <v>233</v>
      </c>
      <c r="DM285" s="766" t="s">
        <v>234</v>
      </c>
      <c r="DN285" s="767">
        <f t="shared" si="640"/>
        <v>27919.108002647452</v>
      </c>
      <c r="DO285" s="767">
        <f t="shared" si="641"/>
        <v>614220.37605824391</v>
      </c>
      <c r="DP285" s="768">
        <f t="shared" si="642"/>
        <v>0.20474012535274796</v>
      </c>
      <c r="DR285" s="767">
        <f t="shared" si="643"/>
        <v>3987225.5606624335</v>
      </c>
      <c r="DS285" s="767">
        <f>SUM('[6]INTERNAL PRICELIST'!M285)</f>
        <v>0</v>
      </c>
      <c r="DT285" s="767">
        <f t="shared" si="703"/>
        <v>3987225.5606624335</v>
      </c>
      <c r="DV285" s="951">
        <f t="shared" si="644"/>
        <v>181237.52548465607</v>
      </c>
      <c r="DX285" s="781"/>
      <c r="DY285" s="782"/>
      <c r="DZ285" s="781"/>
      <c r="EA285" s="775"/>
      <c r="ED285" s="755" t="s">
        <v>732</v>
      </c>
      <c r="EE285" s="777" t="b">
        <f t="shared" si="645"/>
        <v>1</v>
      </c>
      <c r="EF285" s="777"/>
      <c r="EG285" s="777"/>
      <c r="EH285" s="1203"/>
      <c r="EP285" s="1230" t="s">
        <v>236</v>
      </c>
      <c r="EQ285" s="1145" t="s">
        <v>236</v>
      </c>
      <c r="ER285" s="753" t="b">
        <f t="shared" si="704"/>
        <v>1</v>
      </c>
      <c r="EU285" s="770">
        <v>3186727.0324007287</v>
      </c>
      <c r="EV285" s="771" t="s">
        <v>258</v>
      </c>
      <c r="EW285" s="775">
        <f t="shared" si="741"/>
        <v>-800498.52826170484</v>
      </c>
      <c r="EY285" s="775">
        <v>3152864.4827302992</v>
      </c>
      <c r="FJ285" s="994">
        <v>0.15</v>
      </c>
      <c r="FK285" s="993">
        <v>13719.848003181623</v>
      </c>
      <c r="FL285" s="993">
        <v>14090.654705970315</v>
      </c>
      <c r="FM285" s="497"/>
      <c r="FN285" s="993">
        <f t="shared" si="646"/>
        <v>4495596.819646894</v>
      </c>
      <c r="FO285" s="994">
        <f t="shared" si="744"/>
        <v>0.15</v>
      </c>
      <c r="FP285" s="775">
        <f t="shared" si="647"/>
        <v>674339.5229470341</v>
      </c>
      <c r="FQ285" s="993">
        <f t="shared" si="648"/>
        <v>30000</v>
      </c>
      <c r="FR285" s="775">
        <f t="shared" si="706"/>
        <v>644339.5229470341</v>
      </c>
      <c r="FS285" s="497">
        <f t="shared" si="707"/>
        <v>40</v>
      </c>
      <c r="FT285" s="775">
        <f t="shared" si="708"/>
        <v>16108.488073675853</v>
      </c>
      <c r="FU285" s="497"/>
      <c r="FV285" s="993">
        <f t="shared" si="709"/>
        <v>4495596.819646894</v>
      </c>
      <c r="FW285" s="705">
        <f t="shared" si="710"/>
        <v>449559.6819646894</v>
      </c>
      <c r="FX285" s="705">
        <f t="shared" si="711"/>
        <v>112389.92049117235</v>
      </c>
      <c r="FY285" s="705">
        <v>15000</v>
      </c>
      <c r="FZ285" s="705">
        <f t="shared" si="712"/>
        <v>434559.6819646894</v>
      </c>
      <c r="GA285" s="497">
        <f t="shared" si="713"/>
        <v>46</v>
      </c>
      <c r="GB285" s="775">
        <f t="shared" si="714"/>
        <v>9446.9496079280307</v>
      </c>
      <c r="GC285" s="497"/>
      <c r="GD285" s="497"/>
      <c r="GH285" s="1095">
        <f t="shared" si="613"/>
        <v>4495596.819646894</v>
      </c>
      <c r="GI285" s="1098">
        <f t="shared" si="614"/>
        <v>0.125</v>
      </c>
      <c r="GJ285" s="1095">
        <f t="shared" si="615"/>
        <v>561949.60245586175</v>
      </c>
      <c r="GK285" s="1095">
        <f t="shared" si="616"/>
        <v>30000</v>
      </c>
      <c r="GL285" s="1095">
        <f t="shared" si="617"/>
        <v>531949.60245586175</v>
      </c>
      <c r="GM285" s="1095">
        <f t="shared" si="618"/>
        <v>29</v>
      </c>
      <c r="GN285" s="1095">
        <f t="shared" si="619"/>
        <v>18343.089739857303</v>
      </c>
      <c r="GO285" s="1098">
        <f t="shared" si="620"/>
        <v>0.875</v>
      </c>
      <c r="GP285" s="1095">
        <f t="shared" si="621"/>
        <v>3933647.2171910321</v>
      </c>
      <c r="GQ285" s="1095">
        <f t="shared" si="622"/>
        <v>30497.525005883555</v>
      </c>
      <c r="GR285" s="1095">
        <f t="shared" si="623"/>
        <v>35356.733263712769</v>
      </c>
      <c r="GS285" s="1095">
        <f t="shared" si="624"/>
        <v>45672.97961706233</v>
      </c>
      <c r="GT285" s="1095">
        <f t="shared" si="625"/>
        <v>77890.929535293079</v>
      </c>
      <c r="GU285" s="497"/>
      <c r="GV285" s="1095">
        <f t="shared" si="715"/>
        <v>4495596.819646894</v>
      </c>
      <c r="GW285" s="1098">
        <f t="shared" si="716"/>
        <v>0.125</v>
      </c>
      <c r="GX285" s="1095">
        <f t="shared" si="717"/>
        <v>561949.60245586175</v>
      </c>
      <c r="GY285" s="1095">
        <f t="shared" si="718"/>
        <v>30000</v>
      </c>
      <c r="GZ285" s="1095">
        <f t="shared" si="719"/>
        <v>531949.60245586175</v>
      </c>
      <c r="HA285" s="1106">
        <f t="shared" si="720"/>
        <v>48</v>
      </c>
      <c r="HB285" s="770">
        <f t="shared" si="721"/>
        <v>11082.283384497119</v>
      </c>
      <c r="HC285" s="1098">
        <f t="shared" si="722"/>
        <v>0.875</v>
      </c>
      <c r="HD285" s="1102">
        <f t="shared" si="723"/>
        <v>3933647.2171910321</v>
      </c>
      <c r="HE285" s="1101">
        <f t="shared" si="724"/>
        <v>30497.525005883555</v>
      </c>
      <c r="HF285" s="1101">
        <f t="shared" si="725"/>
        <v>35356.733263712769</v>
      </c>
      <c r="HG285" s="1101">
        <f t="shared" si="726"/>
        <v>45672.97961706233</v>
      </c>
      <c r="HH285" s="1101">
        <f t="shared" si="727"/>
        <v>77890.929535293079</v>
      </c>
      <c r="HI285" s="497"/>
      <c r="HJ285" s="1102">
        <f t="shared" si="728"/>
        <v>-7260.8063553601842</v>
      </c>
      <c r="HL285" s="775"/>
      <c r="HN285" s="775"/>
      <c r="HO285" s="775"/>
      <c r="HQ285" s="702"/>
      <c r="HR285" s="1171"/>
      <c r="HS285" s="702"/>
      <c r="HT285" s="1171"/>
    </row>
    <row r="286" spans="1:228" ht="14.25" hidden="1" customHeight="1">
      <c r="A286" s="753">
        <f t="shared" si="729"/>
        <v>280</v>
      </c>
      <c r="B286" s="753"/>
      <c r="C286" s="753">
        <v>1</v>
      </c>
      <c r="D286" s="753" t="s">
        <v>287</v>
      </c>
      <c r="E286" s="717" t="str">
        <f t="shared" si="649"/>
        <v>12th Floor</v>
      </c>
      <c r="F286" s="754"/>
      <c r="G286" s="756" t="s">
        <v>733</v>
      </c>
      <c r="H286" s="756"/>
      <c r="I286" s="755" t="s">
        <v>229</v>
      </c>
      <c r="J286" s="757">
        <v>22</v>
      </c>
      <c r="K286" s="758"/>
      <c r="L286" s="759" t="s">
        <v>69</v>
      </c>
      <c r="M286" s="760" t="s">
        <v>230</v>
      </c>
      <c r="N286" s="761">
        <f t="shared" si="650"/>
        <v>106005.26567735759</v>
      </c>
      <c r="O286" s="762">
        <f t="shared" si="651"/>
        <v>2332115.8449018667</v>
      </c>
      <c r="P286" s="762">
        <f t="shared" si="652"/>
        <v>22400</v>
      </c>
      <c r="Q286" s="762">
        <f t="shared" si="626"/>
        <v>50000</v>
      </c>
      <c r="R286" s="762"/>
      <c r="S286" s="762"/>
      <c r="T286" s="762"/>
      <c r="U286" s="762"/>
      <c r="V286" s="762">
        <f>J286*$V$5</f>
        <v>55000</v>
      </c>
      <c r="W286" s="762"/>
      <c r="X286" s="762"/>
      <c r="Y286" s="762">
        <f>Y285+Y5</f>
        <v>160000</v>
      </c>
      <c r="Z286" s="762">
        <f t="shared" si="627"/>
        <v>142461</v>
      </c>
      <c r="AA286" s="762"/>
      <c r="AB286" s="762"/>
      <c r="AC286" s="762"/>
      <c r="AD286" s="763">
        <f t="shared" si="653"/>
        <v>429861</v>
      </c>
      <c r="AE286" s="763">
        <f t="shared" si="628"/>
        <v>2761976.8449018667</v>
      </c>
      <c r="AF286" s="762">
        <f t="shared" si="629"/>
        <v>69049.421122546672</v>
      </c>
      <c r="AG286" s="762">
        <f t="shared" si="654"/>
        <v>2831026.2660244135</v>
      </c>
      <c r="AH286" s="762">
        <f t="shared" si="630"/>
        <v>70775.656650610341</v>
      </c>
      <c r="AI286" s="762">
        <f t="shared" si="655"/>
        <v>2901801.9226750238</v>
      </c>
      <c r="AJ286" s="762">
        <f t="shared" si="656"/>
        <v>145090.09613375118</v>
      </c>
      <c r="AK286" s="762">
        <f t="shared" si="657"/>
        <v>3046892.0188087751</v>
      </c>
      <c r="AL286" s="762">
        <f t="shared" si="658"/>
        <v>30468.920188087752</v>
      </c>
      <c r="AM286" s="762">
        <f t="shared" si="659"/>
        <v>27537.409960060559</v>
      </c>
      <c r="AN286" s="762"/>
      <c r="AO286" s="763">
        <f t="shared" si="660"/>
        <v>3104898.3489569235</v>
      </c>
      <c r="AP286" s="763">
        <f t="shared" si="661"/>
        <v>512308.22757789242</v>
      </c>
      <c r="AQ286" s="763">
        <f t="shared" si="662"/>
        <v>3617206.5765348161</v>
      </c>
      <c r="AR286" s="1178">
        <f t="shared" si="631"/>
        <v>3000000</v>
      </c>
      <c r="AS286" s="1178">
        <f t="shared" si="663"/>
        <v>28054.844387946185</v>
      </c>
      <c r="AT286" s="1178">
        <f t="shared" si="664"/>
        <v>617206.57653481606</v>
      </c>
      <c r="AU286" s="1178">
        <f t="shared" si="632"/>
        <v>74064.78918417792</v>
      </c>
      <c r="AV286" s="1178">
        <f t="shared" si="665"/>
        <v>691271.36571899394</v>
      </c>
      <c r="AW286" s="1178">
        <f t="shared" si="666"/>
        <v>3691271.3657189938</v>
      </c>
      <c r="AX286" s="762">
        <f t="shared" si="667"/>
        <v>46140.892071487426</v>
      </c>
      <c r="AY286" s="717" t="s">
        <v>231</v>
      </c>
      <c r="AZ286" s="717">
        <f t="shared" si="668"/>
        <v>3737412.2577904812</v>
      </c>
      <c r="BA286" s="717">
        <f t="shared" si="669"/>
        <v>140152.95966714303</v>
      </c>
      <c r="BB286" s="717"/>
      <c r="BC286" s="717">
        <f t="shared" si="633"/>
        <v>33600</v>
      </c>
      <c r="BD286" s="717">
        <f t="shared" si="670"/>
        <v>3911165.2174576242</v>
      </c>
      <c r="BE286" s="717"/>
      <c r="BF286" s="717">
        <f t="shared" si="671"/>
        <v>3911165.2174576242</v>
      </c>
      <c r="BG286" s="1209"/>
      <c r="BH286" s="717">
        <f t="shared" si="672"/>
        <v>3911165.2174576242</v>
      </c>
      <c r="BI286" s="717"/>
      <c r="BJ286" s="717">
        <f t="shared" si="673"/>
        <v>3911165.2174576242</v>
      </c>
      <c r="BK286" s="717"/>
      <c r="BL286" s="717">
        <f t="shared" si="674"/>
        <v>3911165.2174576242</v>
      </c>
      <c r="BM286" s="717"/>
      <c r="BN286" s="717">
        <f t="shared" si="675"/>
        <v>3911165.2174576242</v>
      </c>
      <c r="BO286" s="717"/>
      <c r="BP286" s="717">
        <f t="shared" si="634"/>
        <v>3911165.2174576242</v>
      </c>
      <c r="BQ286" s="717"/>
      <c r="BR286" s="717">
        <f t="shared" si="738"/>
        <v>3911165.2174576242</v>
      </c>
      <c r="BS286" s="717"/>
      <c r="BT286" s="717">
        <f t="shared" si="676"/>
        <v>3911165.2174576242</v>
      </c>
      <c r="BU286" s="717"/>
      <c r="BV286" s="1235">
        <f t="shared" si="739"/>
        <v>51400</v>
      </c>
      <c r="BW286" s="717">
        <f t="shared" si="677"/>
        <v>3962565.2174576242</v>
      </c>
      <c r="BX286" s="717"/>
      <c r="BY286" s="717">
        <f t="shared" si="678"/>
        <v>3962565.2174576242</v>
      </c>
      <c r="BZ286" s="1194">
        <f t="shared" si="679"/>
        <v>3962565.2174576242</v>
      </c>
      <c r="CA286" s="1194">
        <f t="shared" si="680"/>
        <v>3038565.2174576242</v>
      </c>
      <c r="CB286" s="1194">
        <v>42000</v>
      </c>
      <c r="CC286" s="1194">
        <f t="shared" si="681"/>
        <v>924000</v>
      </c>
      <c r="CD286" s="1194">
        <f t="shared" si="682"/>
        <v>110880</v>
      </c>
      <c r="CE286" s="1194">
        <f t="shared" si="683"/>
        <v>1034880</v>
      </c>
      <c r="CF286" s="1200">
        <f t="shared" si="684"/>
        <v>4073445.2174576242</v>
      </c>
      <c r="CG286" s="757">
        <f t="shared" si="685"/>
        <v>4073445.2174576242</v>
      </c>
      <c r="CH286" s="758">
        <f t="shared" si="686"/>
        <v>0</v>
      </c>
      <c r="CI286" s="757">
        <f t="shared" si="635"/>
        <v>417528.13478940644</v>
      </c>
      <c r="CJ286" s="757">
        <f t="shared" si="636"/>
        <v>101836.13043644061</v>
      </c>
      <c r="CK286" s="759">
        <f t="shared" si="593"/>
        <v>4592809.4826834714</v>
      </c>
      <c r="CL286" s="764">
        <f t="shared" si="687"/>
        <v>0.125</v>
      </c>
      <c r="CM286" s="757">
        <f t="shared" si="688"/>
        <v>574101.18533543393</v>
      </c>
      <c r="CN286" s="757">
        <f t="shared" si="730"/>
        <v>30000</v>
      </c>
      <c r="CO286" s="757">
        <f t="shared" si="689"/>
        <v>544101.18533543393</v>
      </c>
      <c r="CP286" s="755">
        <f t="shared" si="690"/>
        <v>30</v>
      </c>
      <c r="CQ286" s="757">
        <f t="shared" si="732"/>
        <v>18136.706177847798</v>
      </c>
      <c r="CR286" s="764">
        <f t="shared" si="691"/>
        <v>0.875</v>
      </c>
      <c r="CS286" s="757">
        <f t="shared" si="692"/>
        <v>4018708.2973480374</v>
      </c>
      <c r="CT286" s="1101">
        <f t="shared" si="693"/>
        <v>31157.002654966735</v>
      </c>
      <c r="CU286" s="1101">
        <f t="shared" si="694"/>
        <v>36121.286299656378</v>
      </c>
      <c r="CV286" s="1101">
        <f t="shared" si="695"/>
        <v>46660.610882834662</v>
      </c>
      <c r="CW286" s="1141">
        <f t="shared" si="637"/>
        <v>79575.240871538525</v>
      </c>
      <c r="CX286" s="1152">
        <f t="shared" si="696"/>
        <v>326452.44851531438</v>
      </c>
      <c r="CY286" s="1152">
        <f t="shared" si="697"/>
        <v>129175.64363633259</v>
      </c>
      <c r="CZ286" s="1152">
        <f t="shared" si="698"/>
        <v>93301.737858744411</v>
      </c>
      <c r="DA286" s="1152">
        <f t="shared" si="699"/>
        <v>71006.917900667817</v>
      </c>
      <c r="DB286" s="1143">
        <f t="shared" si="638"/>
        <v>0.20573552551160534</v>
      </c>
      <c r="DC286" s="1143">
        <f t="shared" si="700"/>
        <v>0.34058179632092511</v>
      </c>
      <c r="DD286" s="1098" t="s">
        <v>232</v>
      </c>
      <c r="DE286" s="1144"/>
      <c r="DF286" s="705"/>
      <c r="DG286" s="765">
        <f t="shared" si="731"/>
        <v>46082</v>
      </c>
      <c r="DH286" s="1116">
        <f t="shared" si="639"/>
        <v>28</v>
      </c>
      <c r="DI286" s="497"/>
      <c r="DJ286" s="1117">
        <f t="shared" si="701"/>
        <v>46147</v>
      </c>
      <c r="DK286" s="1116">
        <f t="shared" si="702"/>
        <v>30</v>
      </c>
      <c r="DL286" s="766" t="s">
        <v>233</v>
      </c>
      <c r="DM286" s="766" t="s">
        <v>234</v>
      </c>
      <c r="DN286" s="767">
        <f t="shared" si="640"/>
        <v>31421.425714499725</v>
      </c>
      <c r="DO286" s="767">
        <f t="shared" si="641"/>
        <v>691271.36571899394</v>
      </c>
      <c r="DP286" s="768">
        <f t="shared" si="642"/>
        <v>0.23042378857299797</v>
      </c>
      <c r="DR286" s="767">
        <f t="shared" si="643"/>
        <v>4073445.2174576242</v>
      </c>
      <c r="DS286" s="767">
        <f>SUM('[6]INTERNAL PRICELIST'!M286)</f>
        <v>0</v>
      </c>
      <c r="DT286" s="767">
        <f t="shared" si="703"/>
        <v>4073445.2174576242</v>
      </c>
      <c r="DV286" s="951">
        <f t="shared" si="644"/>
        <v>185156.60079352837</v>
      </c>
      <c r="DX286" s="781"/>
      <c r="DY286" s="782"/>
      <c r="DZ286" s="781"/>
      <c r="EA286" s="775"/>
      <c r="ED286" s="1133" t="s">
        <v>733</v>
      </c>
      <c r="EE286" s="777" t="b">
        <f t="shared" si="645"/>
        <v>1</v>
      </c>
      <c r="EF286" s="777"/>
      <c r="EG286" s="777"/>
      <c r="EH286" s="1203"/>
      <c r="EP286" s="1230" t="s">
        <v>236</v>
      </c>
      <c r="EQ286" s="1145" t="s">
        <v>236</v>
      </c>
      <c r="ER286" s="753" t="b">
        <f t="shared" si="704"/>
        <v>1</v>
      </c>
      <c r="EU286" s="770">
        <v>3311416.1978750587</v>
      </c>
      <c r="EV286" s="771" t="s">
        <v>258</v>
      </c>
      <c r="EW286" s="775">
        <f t="shared" si="741"/>
        <v>-762029.01958256541</v>
      </c>
      <c r="EY286" s="775">
        <v>3276450.2940775836</v>
      </c>
      <c r="FJ286" s="994">
        <v>0.15</v>
      </c>
      <c r="FK286" s="993">
        <v>14267.311465728801</v>
      </c>
      <c r="FL286" s="993">
        <v>14652.914478316066</v>
      </c>
      <c r="FM286" s="497"/>
      <c r="FN286" s="993">
        <f t="shared" si="646"/>
        <v>4592809.4826834714</v>
      </c>
      <c r="FO286" s="994">
        <f t="shared" si="737"/>
        <v>0.15</v>
      </c>
      <c r="FP286" s="775">
        <f t="shared" si="647"/>
        <v>688921.42240252066</v>
      </c>
      <c r="FQ286" s="993">
        <f t="shared" si="648"/>
        <v>30000</v>
      </c>
      <c r="FR286" s="775">
        <f t="shared" si="706"/>
        <v>658921.42240252066</v>
      </c>
      <c r="FS286" s="497">
        <f t="shared" si="707"/>
        <v>40</v>
      </c>
      <c r="FT286" s="775">
        <f t="shared" si="708"/>
        <v>16473.035560063017</v>
      </c>
      <c r="FU286" s="497"/>
      <c r="FV286" s="993">
        <f t="shared" si="709"/>
        <v>4592809.4826834714</v>
      </c>
      <c r="FW286" s="705">
        <f t="shared" si="710"/>
        <v>459280.94826834719</v>
      </c>
      <c r="FX286" s="705">
        <f t="shared" si="711"/>
        <v>114820.2370670868</v>
      </c>
      <c r="FY286" s="705">
        <v>15000</v>
      </c>
      <c r="FZ286" s="705">
        <f t="shared" si="712"/>
        <v>444280.94826834719</v>
      </c>
      <c r="GA286" s="497">
        <f t="shared" si="713"/>
        <v>46</v>
      </c>
      <c r="GB286" s="775">
        <f t="shared" si="714"/>
        <v>9658.2814840945048</v>
      </c>
      <c r="GC286" s="497"/>
      <c r="GD286" s="497"/>
      <c r="GH286" s="1095">
        <f t="shared" si="613"/>
        <v>4592809.4826834714</v>
      </c>
      <c r="GI286" s="1098">
        <f t="shared" si="614"/>
        <v>0.125</v>
      </c>
      <c r="GJ286" s="1095">
        <f t="shared" si="615"/>
        <v>574101.18533543393</v>
      </c>
      <c r="GK286" s="1095">
        <f t="shared" si="616"/>
        <v>30000</v>
      </c>
      <c r="GL286" s="1095">
        <f t="shared" si="617"/>
        <v>544101.18533543393</v>
      </c>
      <c r="GM286" s="1095">
        <f t="shared" si="618"/>
        <v>30</v>
      </c>
      <c r="GN286" s="1095">
        <f t="shared" si="619"/>
        <v>18136.706177847798</v>
      </c>
      <c r="GO286" s="1098">
        <f t="shared" si="620"/>
        <v>0.875</v>
      </c>
      <c r="GP286" s="1095">
        <f t="shared" si="621"/>
        <v>4018708.2973480374</v>
      </c>
      <c r="GQ286" s="1095">
        <f t="shared" si="622"/>
        <v>31157.002654966735</v>
      </c>
      <c r="GR286" s="1095">
        <f t="shared" si="623"/>
        <v>36121.286299656378</v>
      </c>
      <c r="GS286" s="1095">
        <f t="shared" si="624"/>
        <v>46660.610882834662</v>
      </c>
      <c r="GT286" s="1095">
        <f t="shared" si="625"/>
        <v>79575.240871538525</v>
      </c>
      <c r="GU286" s="497"/>
      <c r="GV286" s="1095">
        <f t="shared" si="715"/>
        <v>4592809.4826834714</v>
      </c>
      <c r="GW286" s="1098">
        <f t="shared" si="716"/>
        <v>0.125</v>
      </c>
      <c r="GX286" s="1095">
        <f t="shared" si="717"/>
        <v>574101.18533543393</v>
      </c>
      <c r="GY286" s="1095">
        <f t="shared" si="718"/>
        <v>30000</v>
      </c>
      <c r="GZ286" s="1095">
        <f t="shared" si="719"/>
        <v>544101.18533543393</v>
      </c>
      <c r="HA286" s="1106">
        <f t="shared" si="720"/>
        <v>48</v>
      </c>
      <c r="HB286" s="770">
        <f t="shared" si="721"/>
        <v>11335.441361154873</v>
      </c>
      <c r="HC286" s="1098">
        <f t="shared" si="722"/>
        <v>0.875</v>
      </c>
      <c r="HD286" s="1102">
        <f t="shared" si="723"/>
        <v>4018708.2973480374</v>
      </c>
      <c r="HE286" s="1101">
        <f t="shared" si="724"/>
        <v>31157.002654966735</v>
      </c>
      <c r="HF286" s="1101">
        <f t="shared" si="725"/>
        <v>36121.286299656378</v>
      </c>
      <c r="HG286" s="1101">
        <f t="shared" si="726"/>
        <v>46660.610882834662</v>
      </c>
      <c r="HH286" s="1101">
        <f t="shared" si="727"/>
        <v>79575.240871538525</v>
      </c>
      <c r="HI286" s="497"/>
      <c r="HJ286" s="1102">
        <f t="shared" si="728"/>
        <v>-6801.2648166929248</v>
      </c>
      <c r="HL286" s="775"/>
      <c r="HN286" s="775"/>
      <c r="HO286" s="775"/>
      <c r="HQ286" s="702"/>
      <c r="HR286" s="1171"/>
      <c r="HS286" s="702"/>
      <c r="HT286" s="1171"/>
    </row>
    <row r="287" spans="1:228" ht="14.25" hidden="1" customHeight="1">
      <c r="A287" s="753">
        <f t="shared" si="729"/>
        <v>281</v>
      </c>
      <c r="B287" s="753"/>
      <c r="C287" s="753">
        <f>C286+1</f>
        <v>2</v>
      </c>
      <c r="D287" s="753" t="s">
        <v>287</v>
      </c>
      <c r="E287" s="717" t="str">
        <f t="shared" si="649"/>
        <v>12th Floor</v>
      </c>
      <c r="F287" s="754"/>
      <c r="G287" s="756" t="s">
        <v>734</v>
      </c>
      <c r="H287" s="756"/>
      <c r="I287" s="755" t="s">
        <v>229</v>
      </c>
      <c r="J287" s="757">
        <v>22</v>
      </c>
      <c r="K287" s="758"/>
      <c r="L287" s="759" t="s">
        <v>69</v>
      </c>
      <c r="M287" s="760" t="s">
        <v>68</v>
      </c>
      <c r="N287" s="761">
        <f t="shared" si="650"/>
        <v>106005.26567735759</v>
      </c>
      <c r="O287" s="762">
        <f t="shared" si="651"/>
        <v>2332115.8449018667</v>
      </c>
      <c r="P287" s="762">
        <f t="shared" si="652"/>
        <v>22400</v>
      </c>
      <c r="Q287" s="762">
        <f t="shared" si="626"/>
        <v>50000</v>
      </c>
      <c r="R287" s="762"/>
      <c r="S287" s="762"/>
      <c r="T287" s="762"/>
      <c r="U287" s="762"/>
      <c r="V287" s="762"/>
      <c r="W287" s="762"/>
      <c r="X287" s="762"/>
      <c r="Y287" s="762">
        <f>$Y$286</f>
        <v>160000</v>
      </c>
      <c r="Z287" s="762">
        <f t="shared" si="627"/>
        <v>142461</v>
      </c>
      <c r="AA287" s="762"/>
      <c r="AB287" s="762"/>
      <c r="AC287" s="762"/>
      <c r="AD287" s="763">
        <f t="shared" si="653"/>
        <v>374861</v>
      </c>
      <c r="AE287" s="763">
        <f t="shared" si="628"/>
        <v>2706976.8449018667</v>
      </c>
      <c r="AF287" s="762">
        <f t="shared" si="629"/>
        <v>67674.421122546672</v>
      </c>
      <c r="AG287" s="762">
        <f t="shared" si="654"/>
        <v>2774651.2660244135</v>
      </c>
      <c r="AH287" s="762">
        <f t="shared" si="630"/>
        <v>69366.281650610341</v>
      </c>
      <c r="AI287" s="762">
        <f t="shared" si="655"/>
        <v>2844017.5476750238</v>
      </c>
      <c r="AJ287" s="762">
        <f t="shared" si="656"/>
        <v>142200.87738375118</v>
      </c>
      <c r="AK287" s="762">
        <f t="shared" si="657"/>
        <v>2986218.4250587751</v>
      </c>
      <c r="AL287" s="762">
        <f t="shared" si="658"/>
        <v>29862.18425058775</v>
      </c>
      <c r="AM287" s="762">
        <f t="shared" si="659"/>
        <v>27537.409960060559</v>
      </c>
      <c r="AN287" s="762"/>
      <c r="AO287" s="763">
        <f t="shared" si="660"/>
        <v>3043618.0192694231</v>
      </c>
      <c r="AP287" s="763">
        <f t="shared" si="661"/>
        <v>502196.97317945486</v>
      </c>
      <c r="AQ287" s="763">
        <f t="shared" si="662"/>
        <v>3545814.992448878</v>
      </c>
      <c r="AR287" s="1178">
        <f t="shared" si="631"/>
        <v>3000000</v>
      </c>
      <c r="AS287" s="1178">
        <f t="shared" si="663"/>
        <v>24809.772384039909</v>
      </c>
      <c r="AT287" s="1178">
        <f t="shared" si="664"/>
        <v>545814.99244887801</v>
      </c>
      <c r="AU287" s="1178">
        <f t="shared" si="632"/>
        <v>65497.79909386536</v>
      </c>
      <c r="AV287" s="1178">
        <f t="shared" si="665"/>
        <v>611312.79154274333</v>
      </c>
      <c r="AW287" s="1178">
        <f t="shared" si="666"/>
        <v>3611312.7915427433</v>
      </c>
      <c r="AX287" s="762">
        <f t="shared" si="667"/>
        <v>45141.409894284297</v>
      </c>
      <c r="AY287" s="717" t="s">
        <v>231</v>
      </c>
      <c r="AZ287" s="717">
        <f t="shared" si="668"/>
        <v>3656454.2014370277</v>
      </c>
      <c r="BA287" s="717">
        <f t="shared" si="669"/>
        <v>137117.03255388854</v>
      </c>
      <c r="BB287" s="717"/>
      <c r="BC287" s="717">
        <f t="shared" si="633"/>
        <v>33600</v>
      </c>
      <c r="BD287" s="717">
        <f t="shared" si="670"/>
        <v>3827171.2339909161</v>
      </c>
      <c r="BE287" s="717"/>
      <c r="BF287" s="717">
        <f t="shared" si="671"/>
        <v>3827171.2339909161</v>
      </c>
      <c r="BG287" s="1209"/>
      <c r="BH287" s="717">
        <f t="shared" si="672"/>
        <v>3827171.2339909161</v>
      </c>
      <c r="BI287" s="717"/>
      <c r="BJ287" s="717">
        <f t="shared" si="673"/>
        <v>3827171.2339909161</v>
      </c>
      <c r="BK287" s="717"/>
      <c r="BL287" s="717">
        <f t="shared" si="674"/>
        <v>3827171.2339909161</v>
      </c>
      <c r="BM287" s="717"/>
      <c r="BN287" s="717">
        <f t="shared" si="675"/>
        <v>3827171.2339909161</v>
      </c>
      <c r="BO287" s="717"/>
      <c r="BP287" s="717">
        <f t="shared" si="634"/>
        <v>3827171.2339909161</v>
      </c>
      <c r="BQ287" s="717"/>
      <c r="BR287" s="717">
        <f t="shared" si="738"/>
        <v>3827171.2339909161</v>
      </c>
      <c r="BS287" s="717"/>
      <c r="BT287" s="717">
        <f t="shared" si="676"/>
        <v>3827171.2339909161</v>
      </c>
      <c r="BU287" s="717"/>
      <c r="BV287" s="1235">
        <f t="shared" si="739"/>
        <v>51400</v>
      </c>
      <c r="BW287" s="717">
        <f t="shared" si="677"/>
        <v>3878571.2339909161</v>
      </c>
      <c r="BX287" s="717"/>
      <c r="BY287" s="717">
        <f t="shared" si="678"/>
        <v>3878571.2339909161</v>
      </c>
      <c r="BZ287" s="1194">
        <f t="shared" si="679"/>
        <v>3878571.2339909161</v>
      </c>
      <c r="CA287" s="1194">
        <f t="shared" si="680"/>
        <v>3042571.2339909161</v>
      </c>
      <c r="CB287" s="1194">
        <v>38000</v>
      </c>
      <c r="CC287" s="1194">
        <f t="shared" si="681"/>
        <v>836000</v>
      </c>
      <c r="CD287" s="1194">
        <f t="shared" si="682"/>
        <v>100320</v>
      </c>
      <c r="CE287" s="1194">
        <f t="shared" si="683"/>
        <v>936320</v>
      </c>
      <c r="CF287" s="1200">
        <f t="shared" si="684"/>
        <v>3978891.2339909161</v>
      </c>
      <c r="CG287" s="757">
        <f t="shared" si="685"/>
        <v>3978891.2339909161</v>
      </c>
      <c r="CH287" s="758">
        <f t="shared" si="686"/>
        <v>0</v>
      </c>
      <c r="CI287" s="757">
        <f t="shared" si="635"/>
        <v>407836.35148406884</v>
      </c>
      <c r="CJ287" s="757">
        <f t="shared" si="636"/>
        <v>99472.280849772913</v>
      </c>
      <c r="CK287" s="759">
        <f t="shared" si="593"/>
        <v>4486199.8663247572</v>
      </c>
      <c r="CL287" s="764">
        <f t="shared" si="687"/>
        <v>0.125</v>
      </c>
      <c r="CM287" s="757">
        <f t="shared" si="688"/>
        <v>560774.98329059465</v>
      </c>
      <c r="CN287" s="757">
        <f t="shared" si="730"/>
        <v>30000</v>
      </c>
      <c r="CO287" s="757">
        <f t="shared" si="689"/>
        <v>530774.98329059465</v>
      </c>
      <c r="CP287" s="755">
        <f t="shared" si="690"/>
        <v>30</v>
      </c>
      <c r="CQ287" s="757">
        <f t="shared" si="732"/>
        <v>17692.49944301982</v>
      </c>
      <c r="CR287" s="764">
        <f t="shared" si="691"/>
        <v>0.875</v>
      </c>
      <c r="CS287" s="757">
        <f t="shared" si="692"/>
        <v>3925424.8830341627</v>
      </c>
      <c r="CT287" s="1101">
        <f t="shared" si="693"/>
        <v>30433.777336682313</v>
      </c>
      <c r="CU287" s="1101">
        <f t="shared" si="694"/>
        <v>35282.828599786866</v>
      </c>
      <c r="CV287" s="1101">
        <f t="shared" si="695"/>
        <v>45577.511345604187</v>
      </c>
      <c r="CW287" s="1141">
        <f t="shared" si="637"/>
        <v>77728.117464187817</v>
      </c>
      <c r="CX287" s="1152">
        <f t="shared" si="696"/>
        <v>318874.74026793323</v>
      </c>
      <c r="CY287" s="1152">
        <f t="shared" si="697"/>
        <v>126177.18139598006</v>
      </c>
      <c r="CZ287" s="1152">
        <f t="shared" si="698"/>
        <v>91135.991050341981</v>
      </c>
      <c r="DA287" s="1152">
        <f t="shared" si="699"/>
        <v>69358.684873640115</v>
      </c>
      <c r="DB287" s="1143">
        <f t="shared" si="638"/>
        <v>0.18193833081629268</v>
      </c>
      <c r="DC287" s="1143">
        <f t="shared" si="700"/>
        <v>0.30773971354873969</v>
      </c>
      <c r="DD287" s="1098" t="s">
        <v>232</v>
      </c>
      <c r="DE287" s="1144"/>
      <c r="DF287" s="705"/>
      <c r="DG287" s="765">
        <f t="shared" si="731"/>
        <v>46082</v>
      </c>
      <c r="DH287" s="1116">
        <f t="shared" si="639"/>
        <v>28</v>
      </c>
      <c r="DI287" s="497"/>
      <c r="DJ287" s="1117">
        <f t="shared" si="701"/>
        <v>46147</v>
      </c>
      <c r="DK287" s="1116">
        <f t="shared" si="702"/>
        <v>30</v>
      </c>
      <c r="DL287" s="766" t="s">
        <v>233</v>
      </c>
      <c r="DM287" s="766" t="s">
        <v>234</v>
      </c>
      <c r="DN287" s="767">
        <f t="shared" si="640"/>
        <v>27786.945070124697</v>
      </c>
      <c r="DO287" s="767">
        <f t="shared" si="641"/>
        <v>611312.79154274333</v>
      </c>
      <c r="DP287" s="768">
        <f t="shared" si="642"/>
        <v>0.20377093051424777</v>
      </c>
      <c r="DR287" s="767">
        <f t="shared" si="643"/>
        <v>3978891.2339909161</v>
      </c>
      <c r="DS287" s="767">
        <f>SUM('[6]INTERNAL PRICELIST'!M287)</f>
        <v>0</v>
      </c>
      <c r="DT287" s="767">
        <f t="shared" si="703"/>
        <v>3978891.2339909161</v>
      </c>
      <c r="DV287" s="951">
        <f t="shared" si="644"/>
        <v>180858.69245413254</v>
      </c>
      <c r="DX287" s="781"/>
      <c r="DY287" s="782"/>
      <c r="DZ287" s="781"/>
      <c r="EA287" s="775"/>
      <c r="ED287" s="755" t="s">
        <v>734</v>
      </c>
      <c r="EE287" s="777" t="b">
        <f t="shared" si="645"/>
        <v>1</v>
      </c>
      <c r="EF287" s="777"/>
      <c r="EG287" s="777"/>
      <c r="EH287" s="1203"/>
      <c r="EP287" s="1230" t="s">
        <v>236</v>
      </c>
      <c r="EQ287" s="1145" t="s">
        <v>236</v>
      </c>
      <c r="ER287" s="753" t="b">
        <f t="shared" si="704"/>
        <v>1</v>
      </c>
      <c r="EU287" s="770">
        <v>3184197.1274007284</v>
      </c>
      <c r="EV287" s="771" t="s">
        <v>258</v>
      </c>
      <c r="EW287" s="775">
        <f t="shared" si="741"/>
        <v>-794694.10659018764</v>
      </c>
      <c r="EY287" s="775">
        <v>3150356.9644477991</v>
      </c>
      <c r="FJ287" s="994">
        <v>0.15</v>
      </c>
      <c r="FK287" s="993">
        <v>13708.740137105633</v>
      </c>
      <c r="FL287" s="993">
        <v>14079.246627297678</v>
      </c>
      <c r="FM287" s="497"/>
      <c r="FN287" s="993">
        <f t="shared" si="646"/>
        <v>4486199.8663247572</v>
      </c>
      <c r="FO287" s="994">
        <f t="shared" si="737"/>
        <v>0.15</v>
      </c>
      <c r="FP287" s="775">
        <f t="shared" si="647"/>
        <v>672929.97994871356</v>
      </c>
      <c r="FQ287" s="993">
        <f t="shared" si="648"/>
        <v>30000</v>
      </c>
      <c r="FR287" s="775">
        <f t="shared" si="706"/>
        <v>642929.97994871356</v>
      </c>
      <c r="FS287" s="497">
        <f t="shared" si="707"/>
        <v>40</v>
      </c>
      <c r="FT287" s="775">
        <f t="shared" si="708"/>
        <v>16073.24949871784</v>
      </c>
      <c r="FU287" s="497"/>
      <c r="FV287" s="993">
        <f t="shared" si="709"/>
        <v>4486199.8663247572</v>
      </c>
      <c r="FW287" s="705">
        <f t="shared" si="710"/>
        <v>448619.98663247575</v>
      </c>
      <c r="FX287" s="705">
        <f t="shared" si="711"/>
        <v>112154.99665811894</v>
      </c>
      <c r="FY287" s="705">
        <v>15000</v>
      </c>
      <c r="FZ287" s="705">
        <f t="shared" si="712"/>
        <v>433619.98663247575</v>
      </c>
      <c r="GA287" s="497">
        <f t="shared" si="713"/>
        <v>46</v>
      </c>
      <c r="GB287" s="775">
        <f t="shared" si="714"/>
        <v>9426.5214485320812</v>
      </c>
      <c r="GC287" s="497"/>
      <c r="GD287" s="497"/>
      <c r="GH287" s="1095">
        <f t="shared" si="613"/>
        <v>4486199.8663247572</v>
      </c>
      <c r="GI287" s="1098">
        <f t="shared" si="614"/>
        <v>0.125</v>
      </c>
      <c r="GJ287" s="1095">
        <f t="shared" si="615"/>
        <v>560774.98329059465</v>
      </c>
      <c r="GK287" s="1095">
        <f t="shared" si="616"/>
        <v>30000</v>
      </c>
      <c r="GL287" s="1095">
        <f t="shared" si="617"/>
        <v>530774.98329059465</v>
      </c>
      <c r="GM287" s="1095">
        <f t="shared" si="618"/>
        <v>30</v>
      </c>
      <c r="GN287" s="1095">
        <f t="shared" si="619"/>
        <v>17692.49944301982</v>
      </c>
      <c r="GO287" s="1098">
        <f t="shared" si="620"/>
        <v>0.875</v>
      </c>
      <c r="GP287" s="1095">
        <f t="shared" si="621"/>
        <v>3925424.8830341627</v>
      </c>
      <c r="GQ287" s="1095">
        <f t="shared" si="622"/>
        <v>30433.777336682313</v>
      </c>
      <c r="GR287" s="1095">
        <f t="shared" si="623"/>
        <v>35282.828599786866</v>
      </c>
      <c r="GS287" s="1095">
        <f t="shared" si="624"/>
        <v>45577.511345604187</v>
      </c>
      <c r="GT287" s="1095">
        <f t="shared" si="625"/>
        <v>77728.117464187817</v>
      </c>
      <c r="GU287" s="497"/>
      <c r="GV287" s="1095">
        <f t="shared" si="715"/>
        <v>4486199.8663247572</v>
      </c>
      <c r="GW287" s="1098">
        <f t="shared" si="716"/>
        <v>0.125</v>
      </c>
      <c r="GX287" s="1095">
        <f t="shared" si="717"/>
        <v>560774.98329059465</v>
      </c>
      <c r="GY287" s="1095">
        <f t="shared" si="718"/>
        <v>30000</v>
      </c>
      <c r="GZ287" s="1095">
        <f t="shared" si="719"/>
        <v>530774.98329059465</v>
      </c>
      <c r="HA287" s="1106">
        <f t="shared" si="720"/>
        <v>48</v>
      </c>
      <c r="HB287" s="770">
        <f t="shared" si="721"/>
        <v>11057.812151887389</v>
      </c>
      <c r="HC287" s="1098">
        <f t="shared" si="722"/>
        <v>0.875</v>
      </c>
      <c r="HD287" s="1102">
        <f t="shared" si="723"/>
        <v>3925424.8830341627</v>
      </c>
      <c r="HE287" s="1101">
        <f t="shared" si="724"/>
        <v>30433.777336682313</v>
      </c>
      <c r="HF287" s="1101">
        <f t="shared" si="725"/>
        <v>35282.828599786866</v>
      </c>
      <c r="HG287" s="1101">
        <f t="shared" si="726"/>
        <v>45577.511345604187</v>
      </c>
      <c r="HH287" s="1101">
        <f t="shared" si="727"/>
        <v>77728.117464187817</v>
      </c>
      <c r="HI287" s="497"/>
      <c r="HJ287" s="1102">
        <f t="shared" si="728"/>
        <v>-6634.6872911324317</v>
      </c>
      <c r="HL287" s="775"/>
      <c r="HN287" s="775"/>
      <c r="HO287" s="775"/>
      <c r="HQ287" s="702"/>
      <c r="HR287" s="1171"/>
      <c r="HS287" s="702"/>
      <c r="HT287" s="1171"/>
    </row>
    <row r="288" spans="1:228" ht="14.25" hidden="1" customHeight="1">
      <c r="A288" s="753">
        <f t="shared" si="729"/>
        <v>282</v>
      </c>
      <c r="B288" s="753" t="s">
        <v>236</v>
      </c>
      <c r="C288" s="753">
        <f t="shared" ref="C288:C316" si="745">C287+1</f>
        <v>3</v>
      </c>
      <c r="D288" s="753" t="s">
        <v>287</v>
      </c>
      <c r="E288" s="717" t="str">
        <f t="shared" si="649"/>
        <v>12th Floor</v>
      </c>
      <c r="F288" s="754"/>
      <c r="G288" s="756" t="s">
        <v>735</v>
      </c>
      <c r="H288" s="756"/>
      <c r="I288" s="755" t="s">
        <v>229</v>
      </c>
      <c r="J288" s="757">
        <v>22</v>
      </c>
      <c r="K288" s="758"/>
      <c r="L288" s="759" t="s">
        <v>69</v>
      </c>
      <c r="M288" s="760" t="s">
        <v>68</v>
      </c>
      <c r="N288" s="761">
        <f t="shared" si="650"/>
        <v>106005.26567735759</v>
      </c>
      <c r="O288" s="762">
        <f t="shared" si="651"/>
        <v>2332115.8449018667</v>
      </c>
      <c r="P288" s="762">
        <f t="shared" si="652"/>
        <v>22400</v>
      </c>
      <c r="Q288" s="762">
        <f t="shared" si="626"/>
        <v>50000</v>
      </c>
      <c r="R288" s="762"/>
      <c r="S288" s="762"/>
      <c r="T288" s="762"/>
      <c r="U288" s="762"/>
      <c r="V288" s="762"/>
      <c r="W288" s="762"/>
      <c r="X288" s="762"/>
      <c r="Y288" s="762">
        <f t="shared" ref="Y288:Y316" si="746">$Y$286</f>
        <v>160000</v>
      </c>
      <c r="Z288" s="762">
        <f t="shared" si="627"/>
        <v>142461</v>
      </c>
      <c r="AA288" s="762"/>
      <c r="AB288" s="762"/>
      <c r="AC288" s="762"/>
      <c r="AD288" s="763">
        <f t="shared" si="653"/>
        <v>374861</v>
      </c>
      <c r="AE288" s="763">
        <f t="shared" si="628"/>
        <v>2706976.8449018667</v>
      </c>
      <c r="AF288" s="762">
        <f t="shared" si="629"/>
        <v>67674.421122546672</v>
      </c>
      <c r="AG288" s="762">
        <f t="shared" si="654"/>
        <v>2774651.2660244135</v>
      </c>
      <c r="AH288" s="762">
        <f t="shared" si="630"/>
        <v>69366.281650610341</v>
      </c>
      <c r="AI288" s="762">
        <f t="shared" si="655"/>
        <v>2844017.5476750238</v>
      </c>
      <c r="AJ288" s="762">
        <f t="shared" si="656"/>
        <v>142200.87738375118</v>
      </c>
      <c r="AK288" s="762">
        <f t="shared" si="657"/>
        <v>2986218.4250587751</v>
      </c>
      <c r="AL288" s="762">
        <f t="shared" si="658"/>
        <v>29862.18425058775</v>
      </c>
      <c r="AM288" s="762">
        <f t="shared" si="659"/>
        <v>27537.409960060559</v>
      </c>
      <c r="AN288" s="762"/>
      <c r="AO288" s="763">
        <f t="shared" si="660"/>
        <v>3043618.0192694231</v>
      </c>
      <c r="AP288" s="763">
        <f t="shared" si="661"/>
        <v>502196.97317945486</v>
      </c>
      <c r="AQ288" s="763">
        <f t="shared" si="662"/>
        <v>3545814.992448878</v>
      </c>
      <c r="AR288" s="1178">
        <f t="shared" si="631"/>
        <v>3000000</v>
      </c>
      <c r="AS288" s="1178">
        <f t="shared" si="663"/>
        <v>24809.772384039909</v>
      </c>
      <c r="AT288" s="1178">
        <f t="shared" si="664"/>
        <v>545814.99244887801</v>
      </c>
      <c r="AU288" s="1178">
        <f t="shared" si="632"/>
        <v>65497.79909386536</v>
      </c>
      <c r="AV288" s="1178">
        <f t="shared" si="665"/>
        <v>611312.79154274333</v>
      </c>
      <c r="AW288" s="1178">
        <f t="shared" si="666"/>
        <v>3611312.7915427433</v>
      </c>
      <c r="AX288" s="762">
        <f t="shared" si="667"/>
        <v>45141.409894284297</v>
      </c>
      <c r="AY288" s="717" t="s">
        <v>231</v>
      </c>
      <c r="AZ288" s="717">
        <f t="shared" si="668"/>
        <v>3656454.2014370277</v>
      </c>
      <c r="BA288" s="717">
        <f t="shared" si="669"/>
        <v>137117.03255388854</v>
      </c>
      <c r="BB288" s="717"/>
      <c r="BC288" s="717">
        <f t="shared" si="633"/>
        <v>33600</v>
      </c>
      <c r="BD288" s="717">
        <f t="shared" si="670"/>
        <v>3827171.2339909161</v>
      </c>
      <c r="BE288" s="717"/>
      <c r="BF288" s="717">
        <f t="shared" si="671"/>
        <v>3827171.2339909161</v>
      </c>
      <c r="BG288" s="1209"/>
      <c r="BH288" s="717">
        <f t="shared" si="672"/>
        <v>3827171.2339909161</v>
      </c>
      <c r="BI288" s="717"/>
      <c r="BJ288" s="717">
        <f t="shared" si="673"/>
        <v>3827171.2339909161</v>
      </c>
      <c r="BK288" s="717"/>
      <c r="BL288" s="717">
        <f t="shared" si="674"/>
        <v>3827171.2339909161</v>
      </c>
      <c r="BM288" s="717"/>
      <c r="BN288" s="717">
        <f t="shared" si="675"/>
        <v>3827171.2339909161</v>
      </c>
      <c r="BO288" s="717"/>
      <c r="BP288" s="717">
        <f t="shared" si="634"/>
        <v>3827171.2339909161</v>
      </c>
      <c r="BQ288" s="717"/>
      <c r="BR288" s="717">
        <f t="shared" si="738"/>
        <v>3827171.2339909161</v>
      </c>
      <c r="BS288" s="717"/>
      <c r="BT288" s="717">
        <f t="shared" si="676"/>
        <v>3827171.2339909161</v>
      </c>
      <c r="BU288" s="717"/>
      <c r="BV288" s="1235">
        <f t="shared" si="739"/>
        <v>51400</v>
      </c>
      <c r="BW288" s="717">
        <f t="shared" si="677"/>
        <v>3878571.2339909161</v>
      </c>
      <c r="BX288" s="717"/>
      <c r="BY288" s="717">
        <f t="shared" si="678"/>
        <v>3878571.2339909161</v>
      </c>
      <c r="BZ288" s="1194">
        <f t="shared" si="679"/>
        <v>3878571.2339909161</v>
      </c>
      <c r="CA288" s="1194">
        <f t="shared" si="680"/>
        <v>3042571.2339909161</v>
      </c>
      <c r="CB288" s="1194">
        <v>38000</v>
      </c>
      <c r="CC288" s="1194">
        <f t="shared" si="681"/>
        <v>836000</v>
      </c>
      <c r="CD288" s="1194">
        <f t="shared" si="682"/>
        <v>100320</v>
      </c>
      <c r="CE288" s="1194">
        <f t="shared" si="683"/>
        <v>936320</v>
      </c>
      <c r="CF288" s="1200">
        <f t="shared" si="684"/>
        <v>3978891.2339909161</v>
      </c>
      <c r="CG288" s="757">
        <f t="shared" si="685"/>
        <v>3978891.2339909161</v>
      </c>
      <c r="CH288" s="758">
        <f t="shared" si="686"/>
        <v>0</v>
      </c>
      <c r="CI288" s="757">
        <f t="shared" si="635"/>
        <v>407836.35148406884</v>
      </c>
      <c r="CJ288" s="757">
        <f t="shared" si="636"/>
        <v>99472.280849772913</v>
      </c>
      <c r="CK288" s="759">
        <f t="shared" si="593"/>
        <v>4486199.8663247572</v>
      </c>
      <c r="CL288" s="764">
        <f t="shared" si="687"/>
        <v>0.125</v>
      </c>
      <c r="CM288" s="757">
        <f t="shared" si="688"/>
        <v>560774.98329059465</v>
      </c>
      <c r="CN288" s="757">
        <f t="shared" si="730"/>
        <v>30000</v>
      </c>
      <c r="CO288" s="757">
        <f t="shared" si="689"/>
        <v>530774.98329059465</v>
      </c>
      <c r="CP288" s="755">
        <f t="shared" si="690"/>
        <v>30</v>
      </c>
      <c r="CQ288" s="757">
        <f t="shared" si="732"/>
        <v>17692.49944301982</v>
      </c>
      <c r="CR288" s="764">
        <f t="shared" si="691"/>
        <v>0.875</v>
      </c>
      <c r="CS288" s="757">
        <f t="shared" si="692"/>
        <v>3925424.8830341627</v>
      </c>
      <c r="CT288" s="1101">
        <f t="shared" si="693"/>
        <v>30433.777336682313</v>
      </c>
      <c r="CU288" s="1101">
        <f t="shared" si="694"/>
        <v>35282.828599786866</v>
      </c>
      <c r="CV288" s="1101">
        <f t="shared" si="695"/>
        <v>45577.511345604187</v>
      </c>
      <c r="CW288" s="1141">
        <f t="shared" si="637"/>
        <v>77728.117464187817</v>
      </c>
      <c r="CX288" s="1152">
        <f t="shared" si="696"/>
        <v>318874.74026793323</v>
      </c>
      <c r="CY288" s="1152">
        <f t="shared" si="697"/>
        <v>126177.18139598006</v>
      </c>
      <c r="CZ288" s="1152">
        <f t="shared" si="698"/>
        <v>91135.991050341981</v>
      </c>
      <c r="DA288" s="1152">
        <f t="shared" si="699"/>
        <v>69358.684873640115</v>
      </c>
      <c r="DB288" s="1143">
        <f t="shared" si="638"/>
        <v>0.18193833081629268</v>
      </c>
      <c r="DC288" s="1143">
        <f t="shared" si="700"/>
        <v>0.30773971354873969</v>
      </c>
      <c r="DD288" s="1098" t="s">
        <v>232</v>
      </c>
      <c r="DE288" s="1144"/>
      <c r="DF288" s="705"/>
      <c r="DG288" s="765">
        <f t="shared" si="731"/>
        <v>46082</v>
      </c>
      <c r="DH288" s="1116">
        <f t="shared" si="639"/>
        <v>28</v>
      </c>
      <c r="DI288" s="497"/>
      <c r="DJ288" s="1117">
        <f t="shared" si="701"/>
        <v>46147</v>
      </c>
      <c r="DK288" s="1116">
        <f t="shared" si="702"/>
        <v>30</v>
      </c>
      <c r="DL288" s="766" t="s">
        <v>233</v>
      </c>
      <c r="DM288" s="766" t="s">
        <v>234</v>
      </c>
      <c r="DN288" s="767">
        <f t="shared" si="640"/>
        <v>27786.945070124697</v>
      </c>
      <c r="DO288" s="767">
        <f t="shared" si="641"/>
        <v>611312.79154274333</v>
      </c>
      <c r="DP288" s="768">
        <f t="shared" si="642"/>
        <v>0.20377093051424777</v>
      </c>
      <c r="DR288" s="767">
        <f t="shared" si="643"/>
        <v>3978891.2339909161</v>
      </c>
      <c r="DS288" s="767">
        <f>SUM('[6]INTERNAL PRICELIST'!M288)</f>
        <v>0</v>
      </c>
      <c r="DT288" s="767">
        <f t="shared" si="703"/>
        <v>3978891.2339909161</v>
      </c>
      <c r="DV288" s="951">
        <f t="shared" si="644"/>
        <v>180858.69245413254</v>
      </c>
      <c r="DX288" s="781"/>
      <c r="DY288" s="782"/>
      <c r="DZ288" s="781"/>
      <c r="EA288" s="775"/>
      <c r="ED288" s="755" t="s">
        <v>735</v>
      </c>
      <c r="EE288" s="777" t="b">
        <f t="shared" si="645"/>
        <v>1</v>
      </c>
      <c r="EF288" s="1123" t="s">
        <v>736</v>
      </c>
      <c r="EG288" s="1123" t="s">
        <v>737</v>
      </c>
      <c r="EH288" s="1203"/>
      <c r="EP288" s="1230" t="s">
        <v>236</v>
      </c>
      <c r="EQ288" s="1145" t="s">
        <v>236</v>
      </c>
      <c r="ER288" s="753" t="b">
        <f t="shared" si="704"/>
        <v>1</v>
      </c>
      <c r="EU288" s="770">
        <v>3184197.1274007284</v>
      </c>
      <c r="EV288" s="771" t="s">
        <v>258</v>
      </c>
      <c r="EW288" s="775">
        <f t="shared" si="741"/>
        <v>-794694.10659018764</v>
      </c>
      <c r="EY288" s="775">
        <v>3150356.9644477991</v>
      </c>
      <c r="FJ288" s="994">
        <v>0.15</v>
      </c>
      <c r="FK288" s="993">
        <v>13708.740137105633</v>
      </c>
      <c r="FL288" s="993">
        <v>14079.246627297678</v>
      </c>
      <c r="FM288" s="497"/>
      <c r="FN288" s="993">
        <f t="shared" si="646"/>
        <v>4486199.8663247572</v>
      </c>
      <c r="FO288" s="994">
        <f t="shared" si="737"/>
        <v>0.15</v>
      </c>
      <c r="FP288" s="775">
        <f t="shared" si="647"/>
        <v>672929.97994871356</v>
      </c>
      <c r="FQ288" s="993">
        <f t="shared" si="648"/>
        <v>30000</v>
      </c>
      <c r="FR288" s="775">
        <f t="shared" si="706"/>
        <v>642929.97994871356</v>
      </c>
      <c r="FS288" s="497">
        <f t="shared" si="707"/>
        <v>40</v>
      </c>
      <c r="FT288" s="775">
        <f t="shared" si="708"/>
        <v>16073.24949871784</v>
      </c>
      <c r="FU288" s="497"/>
      <c r="FV288" s="993">
        <f t="shared" si="709"/>
        <v>4486199.8663247572</v>
      </c>
      <c r="FW288" s="705">
        <f t="shared" si="710"/>
        <v>448619.98663247575</v>
      </c>
      <c r="FX288" s="705">
        <f t="shared" si="711"/>
        <v>112154.99665811894</v>
      </c>
      <c r="FY288" s="705">
        <v>15000</v>
      </c>
      <c r="FZ288" s="705">
        <f t="shared" si="712"/>
        <v>433619.98663247575</v>
      </c>
      <c r="GA288" s="497">
        <f t="shared" si="713"/>
        <v>46</v>
      </c>
      <c r="GB288" s="775">
        <f t="shared" si="714"/>
        <v>9426.5214485320812</v>
      </c>
      <c r="GC288" s="497"/>
      <c r="GD288" s="497"/>
      <c r="GH288" s="1095">
        <f t="shared" si="613"/>
        <v>4486199.8663247572</v>
      </c>
      <c r="GI288" s="1098">
        <f t="shared" si="614"/>
        <v>0.125</v>
      </c>
      <c r="GJ288" s="1095">
        <f t="shared" si="615"/>
        <v>560774.98329059465</v>
      </c>
      <c r="GK288" s="1095">
        <f t="shared" si="616"/>
        <v>30000</v>
      </c>
      <c r="GL288" s="1095">
        <f t="shared" si="617"/>
        <v>530774.98329059465</v>
      </c>
      <c r="GM288" s="1095">
        <f t="shared" si="618"/>
        <v>30</v>
      </c>
      <c r="GN288" s="1095">
        <f t="shared" si="619"/>
        <v>17692.49944301982</v>
      </c>
      <c r="GO288" s="1098">
        <f t="shared" si="620"/>
        <v>0.875</v>
      </c>
      <c r="GP288" s="1095">
        <f t="shared" si="621"/>
        <v>3925424.8830341627</v>
      </c>
      <c r="GQ288" s="1095">
        <f t="shared" si="622"/>
        <v>30433.777336682313</v>
      </c>
      <c r="GR288" s="1095">
        <f t="shared" si="623"/>
        <v>35282.828599786866</v>
      </c>
      <c r="GS288" s="1095">
        <f t="shared" si="624"/>
        <v>45577.511345604187</v>
      </c>
      <c r="GT288" s="1095">
        <f t="shared" si="625"/>
        <v>77728.117464187817</v>
      </c>
      <c r="GU288" s="497"/>
      <c r="GV288" s="1095">
        <f t="shared" si="715"/>
        <v>4486199.8663247572</v>
      </c>
      <c r="GW288" s="1098">
        <f t="shared" si="716"/>
        <v>0.125</v>
      </c>
      <c r="GX288" s="1095">
        <f t="shared" si="717"/>
        <v>560774.98329059465</v>
      </c>
      <c r="GY288" s="1095">
        <f t="shared" si="718"/>
        <v>30000</v>
      </c>
      <c r="GZ288" s="1095">
        <f t="shared" si="719"/>
        <v>530774.98329059465</v>
      </c>
      <c r="HA288" s="1106">
        <f t="shared" si="720"/>
        <v>48</v>
      </c>
      <c r="HB288" s="770">
        <f t="shared" si="721"/>
        <v>11057.812151887389</v>
      </c>
      <c r="HC288" s="1098">
        <f t="shared" si="722"/>
        <v>0.875</v>
      </c>
      <c r="HD288" s="1102">
        <f t="shared" si="723"/>
        <v>3925424.8830341627</v>
      </c>
      <c r="HE288" s="1101">
        <f t="shared" si="724"/>
        <v>30433.777336682313</v>
      </c>
      <c r="HF288" s="1101">
        <f t="shared" si="725"/>
        <v>35282.828599786866</v>
      </c>
      <c r="HG288" s="1101">
        <f t="shared" si="726"/>
        <v>45577.511345604187</v>
      </c>
      <c r="HH288" s="1101">
        <f t="shared" si="727"/>
        <v>77728.117464187817</v>
      </c>
      <c r="HI288" s="497"/>
      <c r="HJ288" s="1102">
        <f t="shared" si="728"/>
        <v>-6634.6872911324317</v>
      </c>
      <c r="HL288" s="775"/>
      <c r="HN288" s="775"/>
      <c r="HO288" s="775"/>
      <c r="HQ288" s="702"/>
      <c r="HR288" s="1171"/>
      <c r="HS288" s="702"/>
      <c r="HT288" s="1171"/>
    </row>
    <row r="289" spans="1:228" ht="14.25" hidden="1" customHeight="1">
      <c r="A289" s="753">
        <f t="shared" si="729"/>
        <v>283</v>
      </c>
      <c r="B289" s="753" t="s">
        <v>236</v>
      </c>
      <c r="C289" s="753">
        <f t="shared" si="745"/>
        <v>4</v>
      </c>
      <c r="D289" s="753" t="s">
        <v>287</v>
      </c>
      <c r="E289" s="717" t="str">
        <f t="shared" si="649"/>
        <v>12th Floor</v>
      </c>
      <c r="F289" s="754"/>
      <c r="G289" s="756" t="s">
        <v>738</v>
      </c>
      <c r="H289" s="756"/>
      <c r="I289" s="755" t="s">
        <v>229</v>
      </c>
      <c r="J289" s="757">
        <v>22</v>
      </c>
      <c r="K289" s="758"/>
      <c r="L289" s="759" t="s">
        <v>69</v>
      </c>
      <c r="M289" s="760" t="s">
        <v>68</v>
      </c>
      <c r="N289" s="761">
        <f t="shared" si="650"/>
        <v>106005.26567735759</v>
      </c>
      <c r="O289" s="762">
        <f t="shared" si="651"/>
        <v>2332115.8449018667</v>
      </c>
      <c r="P289" s="762">
        <f t="shared" si="652"/>
        <v>22400</v>
      </c>
      <c r="Q289" s="762">
        <f t="shared" si="626"/>
        <v>50000</v>
      </c>
      <c r="R289" s="762"/>
      <c r="S289" s="762"/>
      <c r="T289" s="762"/>
      <c r="U289" s="762"/>
      <c r="V289" s="762"/>
      <c r="W289" s="762"/>
      <c r="X289" s="762"/>
      <c r="Y289" s="762">
        <f t="shared" si="746"/>
        <v>160000</v>
      </c>
      <c r="Z289" s="762">
        <f t="shared" si="627"/>
        <v>142461</v>
      </c>
      <c r="AA289" s="762"/>
      <c r="AB289" s="762"/>
      <c r="AC289" s="762"/>
      <c r="AD289" s="763">
        <f t="shared" si="653"/>
        <v>374861</v>
      </c>
      <c r="AE289" s="763">
        <f t="shared" si="628"/>
        <v>2706976.8449018667</v>
      </c>
      <c r="AF289" s="762">
        <f t="shared" si="629"/>
        <v>67674.421122546672</v>
      </c>
      <c r="AG289" s="762">
        <f t="shared" si="654"/>
        <v>2774651.2660244135</v>
      </c>
      <c r="AH289" s="762">
        <f t="shared" si="630"/>
        <v>69366.281650610341</v>
      </c>
      <c r="AI289" s="762">
        <f t="shared" si="655"/>
        <v>2844017.5476750238</v>
      </c>
      <c r="AJ289" s="762">
        <f t="shared" si="656"/>
        <v>142200.87738375118</v>
      </c>
      <c r="AK289" s="762">
        <f t="shared" si="657"/>
        <v>2986218.4250587751</v>
      </c>
      <c r="AL289" s="762">
        <f t="shared" si="658"/>
        <v>29862.18425058775</v>
      </c>
      <c r="AM289" s="762">
        <f t="shared" si="659"/>
        <v>27537.409960060559</v>
      </c>
      <c r="AN289" s="762"/>
      <c r="AO289" s="763">
        <f t="shared" si="660"/>
        <v>3043618.0192694231</v>
      </c>
      <c r="AP289" s="763">
        <f t="shared" si="661"/>
        <v>502196.97317945486</v>
      </c>
      <c r="AQ289" s="763">
        <f t="shared" si="662"/>
        <v>3545814.992448878</v>
      </c>
      <c r="AR289" s="1178">
        <f t="shared" si="631"/>
        <v>3000000</v>
      </c>
      <c r="AS289" s="1178">
        <f t="shared" si="663"/>
        <v>24809.772384039909</v>
      </c>
      <c r="AT289" s="1178">
        <f t="shared" si="664"/>
        <v>545814.99244887801</v>
      </c>
      <c r="AU289" s="1178">
        <f t="shared" si="632"/>
        <v>65497.79909386536</v>
      </c>
      <c r="AV289" s="1178">
        <f t="shared" si="665"/>
        <v>611312.79154274333</v>
      </c>
      <c r="AW289" s="1178">
        <f t="shared" si="666"/>
        <v>3611312.7915427433</v>
      </c>
      <c r="AX289" s="762">
        <f t="shared" si="667"/>
        <v>45141.409894284297</v>
      </c>
      <c r="AY289" s="717" t="s">
        <v>231</v>
      </c>
      <c r="AZ289" s="717">
        <f t="shared" si="668"/>
        <v>3656454.2014370277</v>
      </c>
      <c r="BA289" s="717">
        <f t="shared" si="669"/>
        <v>137117.03255388854</v>
      </c>
      <c r="BB289" s="717"/>
      <c r="BC289" s="717">
        <f t="shared" si="633"/>
        <v>33600</v>
      </c>
      <c r="BD289" s="717">
        <f t="shared" si="670"/>
        <v>3827171.2339909161</v>
      </c>
      <c r="BE289" s="717"/>
      <c r="BF289" s="717">
        <f t="shared" si="671"/>
        <v>3827171.2339909161</v>
      </c>
      <c r="BG289" s="1209"/>
      <c r="BH289" s="717">
        <f t="shared" si="672"/>
        <v>3827171.2339909161</v>
      </c>
      <c r="BI289" s="717"/>
      <c r="BJ289" s="717">
        <f t="shared" si="673"/>
        <v>3827171.2339909161</v>
      </c>
      <c r="BK289" s="717"/>
      <c r="BL289" s="717">
        <f t="shared" si="674"/>
        <v>3827171.2339909161</v>
      </c>
      <c r="BM289" s="717"/>
      <c r="BN289" s="717">
        <f t="shared" si="675"/>
        <v>3827171.2339909161</v>
      </c>
      <c r="BO289" s="717"/>
      <c r="BP289" s="717">
        <f t="shared" si="634"/>
        <v>3827171.2339909161</v>
      </c>
      <c r="BQ289" s="717"/>
      <c r="BR289" s="717">
        <f t="shared" si="738"/>
        <v>3827171.2339909161</v>
      </c>
      <c r="BS289" s="717"/>
      <c r="BT289" s="717">
        <f t="shared" si="676"/>
        <v>3827171.2339909161</v>
      </c>
      <c r="BU289" s="717"/>
      <c r="BV289" s="1235">
        <f t="shared" si="739"/>
        <v>51400</v>
      </c>
      <c r="BW289" s="717">
        <f t="shared" si="677"/>
        <v>3878571.2339909161</v>
      </c>
      <c r="BX289" s="717"/>
      <c r="BY289" s="717">
        <f t="shared" si="678"/>
        <v>3878571.2339909161</v>
      </c>
      <c r="BZ289" s="1194">
        <f t="shared" si="679"/>
        <v>3878571.2339909161</v>
      </c>
      <c r="CA289" s="1194">
        <f t="shared" si="680"/>
        <v>3042571.2339909161</v>
      </c>
      <c r="CB289" s="1194">
        <v>38000</v>
      </c>
      <c r="CC289" s="1194">
        <f t="shared" si="681"/>
        <v>836000</v>
      </c>
      <c r="CD289" s="1194">
        <f t="shared" si="682"/>
        <v>100320</v>
      </c>
      <c r="CE289" s="1194">
        <f t="shared" si="683"/>
        <v>936320</v>
      </c>
      <c r="CF289" s="1200">
        <f t="shared" si="684"/>
        <v>3978891.2339909161</v>
      </c>
      <c r="CG289" s="757">
        <f t="shared" si="685"/>
        <v>3978891.2339909161</v>
      </c>
      <c r="CH289" s="758">
        <f t="shared" si="686"/>
        <v>0</v>
      </c>
      <c r="CI289" s="757">
        <f t="shared" si="635"/>
        <v>407836.35148406884</v>
      </c>
      <c r="CJ289" s="757">
        <f t="shared" si="636"/>
        <v>99472.280849772913</v>
      </c>
      <c r="CK289" s="759">
        <f t="shared" si="593"/>
        <v>4486199.8663247572</v>
      </c>
      <c r="CL289" s="764">
        <f t="shared" si="687"/>
        <v>0.125</v>
      </c>
      <c r="CM289" s="757">
        <f t="shared" si="688"/>
        <v>560774.98329059465</v>
      </c>
      <c r="CN289" s="757">
        <f t="shared" si="730"/>
        <v>30000</v>
      </c>
      <c r="CO289" s="757">
        <f t="shared" si="689"/>
        <v>530774.98329059465</v>
      </c>
      <c r="CP289" s="755">
        <f t="shared" si="690"/>
        <v>30</v>
      </c>
      <c r="CQ289" s="757">
        <f t="shared" si="732"/>
        <v>17692.49944301982</v>
      </c>
      <c r="CR289" s="764">
        <f t="shared" si="691"/>
        <v>0.875</v>
      </c>
      <c r="CS289" s="757">
        <f t="shared" si="692"/>
        <v>3925424.8830341627</v>
      </c>
      <c r="CT289" s="1101">
        <f t="shared" si="693"/>
        <v>30433.777336682313</v>
      </c>
      <c r="CU289" s="1101">
        <f t="shared" si="694"/>
        <v>35282.828599786866</v>
      </c>
      <c r="CV289" s="1101">
        <f t="shared" si="695"/>
        <v>45577.511345604187</v>
      </c>
      <c r="CW289" s="1141">
        <f t="shared" si="637"/>
        <v>77728.117464187817</v>
      </c>
      <c r="CX289" s="1152">
        <f t="shared" si="696"/>
        <v>318874.74026793323</v>
      </c>
      <c r="CY289" s="1152">
        <f t="shared" si="697"/>
        <v>126177.18139598006</v>
      </c>
      <c r="CZ289" s="1152">
        <f t="shared" si="698"/>
        <v>91135.991050341981</v>
      </c>
      <c r="DA289" s="1152">
        <f t="shared" si="699"/>
        <v>69358.684873640115</v>
      </c>
      <c r="DB289" s="1143">
        <f t="shared" si="638"/>
        <v>0.18193833081629268</v>
      </c>
      <c r="DC289" s="1143">
        <f t="shared" si="700"/>
        <v>0.30773971354873969</v>
      </c>
      <c r="DD289" s="1098" t="s">
        <v>232</v>
      </c>
      <c r="DE289" s="1144"/>
      <c r="DF289" s="705"/>
      <c r="DG289" s="765">
        <f t="shared" si="731"/>
        <v>46082</v>
      </c>
      <c r="DH289" s="1116">
        <f t="shared" si="639"/>
        <v>28</v>
      </c>
      <c r="DI289" s="497"/>
      <c r="DJ289" s="1117">
        <f t="shared" si="701"/>
        <v>46147</v>
      </c>
      <c r="DK289" s="1116">
        <f t="shared" si="702"/>
        <v>30</v>
      </c>
      <c r="DL289" s="766" t="s">
        <v>233</v>
      </c>
      <c r="DM289" s="766" t="s">
        <v>234</v>
      </c>
      <c r="DN289" s="767">
        <f t="shared" si="640"/>
        <v>27786.945070124697</v>
      </c>
      <c r="DO289" s="767">
        <f t="shared" si="641"/>
        <v>611312.79154274333</v>
      </c>
      <c r="DP289" s="768">
        <f t="shared" si="642"/>
        <v>0.20377093051424777</v>
      </c>
      <c r="DR289" s="767">
        <f t="shared" si="643"/>
        <v>3978891.2339909161</v>
      </c>
      <c r="DS289" s="767">
        <f>SUM('[6]INTERNAL PRICELIST'!M289)</f>
        <v>0</v>
      </c>
      <c r="DT289" s="767">
        <f t="shared" si="703"/>
        <v>3978891.2339909161</v>
      </c>
      <c r="DV289" s="951">
        <f t="shared" si="644"/>
        <v>180858.69245413254</v>
      </c>
      <c r="DX289" s="781"/>
      <c r="DY289" s="782"/>
      <c r="DZ289" s="781"/>
      <c r="EA289" s="775"/>
      <c r="ED289" s="755" t="s">
        <v>738</v>
      </c>
      <c r="EE289" s="777" t="b">
        <f t="shared" si="645"/>
        <v>1</v>
      </c>
      <c r="EF289" s="1123" t="s">
        <v>739</v>
      </c>
      <c r="EG289" s="1123" t="s">
        <v>737</v>
      </c>
      <c r="EH289" s="1203"/>
      <c r="EP289" s="1230" t="s">
        <v>236</v>
      </c>
      <c r="EQ289" s="1145" t="s">
        <v>236</v>
      </c>
      <c r="ER289" s="753" t="b">
        <f t="shared" si="704"/>
        <v>1</v>
      </c>
      <c r="EU289" s="770">
        <v>2468160</v>
      </c>
      <c r="EV289" s="771" t="s">
        <v>236</v>
      </c>
      <c r="FJ289" s="994">
        <v>0.15</v>
      </c>
      <c r="FK289" s="993">
        <v>13708.740137105633</v>
      </c>
      <c r="FL289" s="993">
        <v>14079.246627297678</v>
      </c>
      <c r="FM289" s="497"/>
      <c r="FN289" s="993">
        <f t="shared" si="646"/>
        <v>4486199.8663247572</v>
      </c>
      <c r="FO289" s="994">
        <f t="shared" si="737"/>
        <v>0.15</v>
      </c>
      <c r="FP289" s="775">
        <f t="shared" si="647"/>
        <v>672929.97994871356</v>
      </c>
      <c r="FQ289" s="993">
        <f t="shared" si="648"/>
        <v>30000</v>
      </c>
      <c r="FR289" s="775">
        <f t="shared" si="706"/>
        <v>642929.97994871356</v>
      </c>
      <c r="FS289" s="497">
        <f t="shared" si="707"/>
        <v>40</v>
      </c>
      <c r="FT289" s="775">
        <f t="shared" si="708"/>
        <v>16073.24949871784</v>
      </c>
      <c r="FU289" s="497"/>
      <c r="FV289" s="993">
        <f t="shared" si="709"/>
        <v>4486199.8663247572</v>
      </c>
      <c r="FW289" s="705">
        <f t="shared" si="710"/>
        <v>448619.98663247575</v>
      </c>
      <c r="FX289" s="705">
        <f t="shared" si="711"/>
        <v>112154.99665811894</v>
      </c>
      <c r="FY289" s="705">
        <v>15000</v>
      </c>
      <c r="FZ289" s="705">
        <f t="shared" si="712"/>
        <v>433619.98663247575</v>
      </c>
      <c r="GA289" s="497">
        <f t="shared" si="713"/>
        <v>46</v>
      </c>
      <c r="GB289" s="775">
        <f t="shared" si="714"/>
        <v>9426.5214485320812</v>
      </c>
      <c r="GC289" s="497"/>
      <c r="GD289" s="497"/>
      <c r="GH289" s="1095">
        <f t="shared" si="613"/>
        <v>4486199.8663247572</v>
      </c>
      <c r="GI289" s="1098">
        <f t="shared" si="614"/>
        <v>0.125</v>
      </c>
      <c r="GJ289" s="1095">
        <f t="shared" si="615"/>
        <v>560774.98329059465</v>
      </c>
      <c r="GK289" s="1095">
        <f t="shared" si="616"/>
        <v>30000</v>
      </c>
      <c r="GL289" s="1095">
        <f t="shared" si="617"/>
        <v>530774.98329059465</v>
      </c>
      <c r="GM289" s="1095">
        <f t="shared" si="618"/>
        <v>30</v>
      </c>
      <c r="GN289" s="1095">
        <f t="shared" si="619"/>
        <v>17692.49944301982</v>
      </c>
      <c r="GO289" s="1098">
        <f t="shared" si="620"/>
        <v>0.875</v>
      </c>
      <c r="GP289" s="1095">
        <f t="shared" si="621"/>
        <v>3925424.8830341627</v>
      </c>
      <c r="GQ289" s="1095">
        <f t="shared" si="622"/>
        <v>30433.777336682313</v>
      </c>
      <c r="GR289" s="1095">
        <f t="shared" si="623"/>
        <v>35282.828599786866</v>
      </c>
      <c r="GS289" s="1095">
        <f t="shared" si="624"/>
        <v>45577.511345604187</v>
      </c>
      <c r="GT289" s="1095">
        <f t="shared" si="625"/>
        <v>77728.117464187817</v>
      </c>
      <c r="GU289" s="497"/>
      <c r="GV289" s="1095">
        <f t="shared" si="715"/>
        <v>4486199.8663247572</v>
      </c>
      <c r="GW289" s="1098">
        <f t="shared" si="716"/>
        <v>0.125</v>
      </c>
      <c r="GX289" s="1095">
        <f t="shared" si="717"/>
        <v>560774.98329059465</v>
      </c>
      <c r="GY289" s="1095">
        <f t="shared" si="718"/>
        <v>30000</v>
      </c>
      <c r="GZ289" s="1095">
        <f t="shared" si="719"/>
        <v>530774.98329059465</v>
      </c>
      <c r="HA289" s="1106">
        <f t="shared" si="720"/>
        <v>48</v>
      </c>
      <c r="HB289" s="770">
        <f t="shared" si="721"/>
        <v>11057.812151887389</v>
      </c>
      <c r="HC289" s="1098">
        <f t="shared" si="722"/>
        <v>0.875</v>
      </c>
      <c r="HD289" s="1102">
        <f t="shared" si="723"/>
        <v>3925424.8830341627</v>
      </c>
      <c r="HE289" s="1101">
        <f t="shared" si="724"/>
        <v>30433.777336682313</v>
      </c>
      <c r="HF289" s="1101">
        <f t="shared" si="725"/>
        <v>35282.828599786866</v>
      </c>
      <c r="HG289" s="1101">
        <f t="shared" si="726"/>
        <v>45577.511345604187</v>
      </c>
      <c r="HH289" s="1101">
        <f t="shared" si="727"/>
        <v>77728.117464187817</v>
      </c>
      <c r="HI289" s="497"/>
      <c r="HJ289" s="1102">
        <f t="shared" si="728"/>
        <v>-6634.6872911324317</v>
      </c>
      <c r="HL289" s="775"/>
      <c r="HN289" s="775"/>
      <c r="HO289" s="775"/>
      <c r="HQ289" s="702"/>
      <c r="HR289" s="1171"/>
      <c r="HS289" s="702"/>
      <c r="HT289" s="1171"/>
    </row>
    <row r="290" spans="1:228" ht="14.25" hidden="1" customHeight="1">
      <c r="A290" s="753">
        <f t="shared" si="729"/>
        <v>284</v>
      </c>
      <c r="B290" s="753" t="s">
        <v>236</v>
      </c>
      <c r="C290" s="753">
        <f t="shared" si="745"/>
        <v>5</v>
      </c>
      <c r="D290" s="753" t="s">
        <v>287</v>
      </c>
      <c r="E290" s="717" t="str">
        <f t="shared" si="649"/>
        <v>12th Floor</v>
      </c>
      <c r="F290" s="754"/>
      <c r="G290" s="756" t="s">
        <v>740</v>
      </c>
      <c r="H290" s="756"/>
      <c r="I290" s="755" t="s">
        <v>229</v>
      </c>
      <c r="J290" s="757">
        <v>22</v>
      </c>
      <c r="K290" s="758"/>
      <c r="L290" s="759" t="s">
        <v>69</v>
      </c>
      <c r="M290" s="760" t="s">
        <v>68</v>
      </c>
      <c r="N290" s="761">
        <f t="shared" si="650"/>
        <v>106005.26567735759</v>
      </c>
      <c r="O290" s="762">
        <f t="shared" si="651"/>
        <v>2332115.8449018667</v>
      </c>
      <c r="P290" s="762">
        <f t="shared" si="652"/>
        <v>22400</v>
      </c>
      <c r="Q290" s="762">
        <f t="shared" si="626"/>
        <v>50000</v>
      </c>
      <c r="R290" s="762"/>
      <c r="S290" s="762"/>
      <c r="T290" s="762"/>
      <c r="U290" s="762"/>
      <c r="V290" s="762"/>
      <c r="W290" s="762"/>
      <c r="X290" s="762"/>
      <c r="Y290" s="762">
        <f t="shared" si="746"/>
        <v>160000</v>
      </c>
      <c r="Z290" s="762">
        <f t="shared" si="627"/>
        <v>142461</v>
      </c>
      <c r="AA290" s="762"/>
      <c r="AB290" s="762"/>
      <c r="AC290" s="762"/>
      <c r="AD290" s="763">
        <f t="shared" si="653"/>
        <v>374861</v>
      </c>
      <c r="AE290" s="763">
        <f t="shared" si="628"/>
        <v>2706976.8449018667</v>
      </c>
      <c r="AF290" s="762">
        <f t="shared" si="629"/>
        <v>67674.421122546672</v>
      </c>
      <c r="AG290" s="762">
        <f t="shared" si="654"/>
        <v>2774651.2660244135</v>
      </c>
      <c r="AH290" s="762">
        <f t="shared" si="630"/>
        <v>69366.281650610341</v>
      </c>
      <c r="AI290" s="762">
        <f t="shared" si="655"/>
        <v>2844017.5476750238</v>
      </c>
      <c r="AJ290" s="762">
        <f t="shared" si="656"/>
        <v>142200.87738375118</v>
      </c>
      <c r="AK290" s="762">
        <f t="shared" si="657"/>
        <v>2986218.4250587751</v>
      </c>
      <c r="AL290" s="762">
        <f t="shared" si="658"/>
        <v>29862.18425058775</v>
      </c>
      <c r="AM290" s="762">
        <f t="shared" si="659"/>
        <v>27537.409960060559</v>
      </c>
      <c r="AN290" s="762"/>
      <c r="AO290" s="763">
        <f t="shared" si="660"/>
        <v>3043618.0192694231</v>
      </c>
      <c r="AP290" s="763">
        <f t="shared" si="661"/>
        <v>502196.97317945486</v>
      </c>
      <c r="AQ290" s="763">
        <f t="shared" si="662"/>
        <v>3545814.992448878</v>
      </c>
      <c r="AR290" s="1178">
        <f t="shared" si="631"/>
        <v>3000000</v>
      </c>
      <c r="AS290" s="1178">
        <f t="shared" si="663"/>
        <v>24809.772384039909</v>
      </c>
      <c r="AT290" s="1178">
        <f t="shared" si="664"/>
        <v>545814.99244887801</v>
      </c>
      <c r="AU290" s="1178">
        <f t="shared" si="632"/>
        <v>65497.79909386536</v>
      </c>
      <c r="AV290" s="1178">
        <f t="shared" si="665"/>
        <v>611312.79154274333</v>
      </c>
      <c r="AW290" s="1178">
        <f t="shared" si="666"/>
        <v>3611312.7915427433</v>
      </c>
      <c r="AX290" s="762">
        <f t="shared" si="667"/>
        <v>45141.409894284297</v>
      </c>
      <c r="AY290" s="717" t="s">
        <v>231</v>
      </c>
      <c r="AZ290" s="717">
        <f t="shared" si="668"/>
        <v>3656454.2014370277</v>
      </c>
      <c r="BA290" s="717">
        <f t="shared" si="669"/>
        <v>137117.03255388854</v>
      </c>
      <c r="BB290" s="717"/>
      <c r="BC290" s="717">
        <f t="shared" si="633"/>
        <v>33600</v>
      </c>
      <c r="BD290" s="717">
        <f t="shared" si="670"/>
        <v>3827171.2339909161</v>
      </c>
      <c r="BE290" s="717"/>
      <c r="BF290" s="717">
        <f t="shared" si="671"/>
        <v>3827171.2339909161</v>
      </c>
      <c r="BG290" s="1209"/>
      <c r="BH290" s="717">
        <f t="shared" si="672"/>
        <v>3827171.2339909161</v>
      </c>
      <c r="BI290" s="717"/>
      <c r="BJ290" s="717">
        <f t="shared" si="673"/>
        <v>3827171.2339909161</v>
      </c>
      <c r="BK290" s="717"/>
      <c r="BL290" s="717">
        <f t="shared" si="674"/>
        <v>3827171.2339909161</v>
      </c>
      <c r="BM290" s="717"/>
      <c r="BN290" s="717">
        <f t="shared" si="675"/>
        <v>3827171.2339909161</v>
      </c>
      <c r="BO290" s="717"/>
      <c r="BP290" s="717">
        <f t="shared" si="634"/>
        <v>3827171.2339909161</v>
      </c>
      <c r="BQ290" s="717"/>
      <c r="BR290" s="717">
        <f t="shared" si="738"/>
        <v>3827171.2339909161</v>
      </c>
      <c r="BS290" s="717"/>
      <c r="BT290" s="717">
        <f t="shared" si="676"/>
        <v>3827171.2339909161</v>
      </c>
      <c r="BU290" s="717"/>
      <c r="BV290" s="1235">
        <f t="shared" si="739"/>
        <v>51400</v>
      </c>
      <c r="BW290" s="717">
        <f t="shared" si="677"/>
        <v>3878571.2339909161</v>
      </c>
      <c r="BX290" s="717"/>
      <c r="BY290" s="717">
        <f t="shared" si="678"/>
        <v>3878571.2339909161</v>
      </c>
      <c r="BZ290" s="1194">
        <f t="shared" si="679"/>
        <v>3878571.2339909161</v>
      </c>
      <c r="CA290" s="1194">
        <f t="shared" si="680"/>
        <v>3042571.2339909161</v>
      </c>
      <c r="CB290" s="1194">
        <v>38000</v>
      </c>
      <c r="CC290" s="1194">
        <f t="shared" si="681"/>
        <v>836000</v>
      </c>
      <c r="CD290" s="1194">
        <f t="shared" si="682"/>
        <v>100320</v>
      </c>
      <c r="CE290" s="1194">
        <f t="shared" si="683"/>
        <v>936320</v>
      </c>
      <c r="CF290" s="1200">
        <f t="shared" si="684"/>
        <v>3978891.2339909161</v>
      </c>
      <c r="CG290" s="757">
        <f t="shared" si="685"/>
        <v>3978891.2339909161</v>
      </c>
      <c r="CH290" s="758">
        <f t="shared" si="686"/>
        <v>0</v>
      </c>
      <c r="CI290" s="757">
        <f t="shared" si="635"/>
        <v>407836.35148406884</v>
      </c>
      <c r="CJ290" s="757">
        <f t="shared" si="636"/>
        <v>99472.280849772913</v>
      </c>
      <c r="CK290" s="759">
        <f t="shared" si="593"/>
        <v>4486199.8663247572</v>
      </c>
      <c r="CL290" s="764">
        <f t="shared" si="687"/>
        <v>0.125</v>
      </c>
      <c r="CM290" s="757">
        <f t="shared" si="688"/>
        <v>560774.98329059465</v>
      </c>
      <c r="CN290" s="757">
        <f t="shared" si="730"/>
        <v>30000</v>
      </c>
      <c r="CO290" s="757">
        <f t="shared" si="689"/>
        <v>530774.98329059465</v>
      </c>
      <c r="CP290" s="755">
        <f t="shared" si="690"/>
        <v>30</v>
      </c>
      <c r="CQ290" s="757">
        <f t="shared" si="732"/>
        <v>17692.49944301982</v>
      </c>
      <c r="CR290" s="764">
        <f t="shared" si="691"/>
        <v>0.875</v>
      </c>
      <c r="CS290" s="757">
        <f t="shared" si="692"/>
        <v>3925424.8830341627</v>
      </c>
      <c r="CT290" s="1101">
        <f t="shared" si="693"/>
        <v>30433.777336682313</v>
      </c>
      <c r="CU290" s="1101">
        <f t="shared" si="694"/>
        <v>35282.828599786866</v>
      </c>
      <c r="CV290" s="1101">
        <f t="shared" si="695"/>
        <v>45577.511345604187</v>
      </c>
      <c r="CW290" s="1141">
        <f t="shared" si="637"/>
        <v>77728.117464187817</v>
      </c>
      <c r="CX290" s="1152">
        <f t="shared" si="696"/>
        <v>318874.74026793323</v>
      </c>
      <c r="CY290" s="1152">
        <f t="shared" si="697"/>
        <v>126177.18139598006</v>
      </c>
      <c r="CZ290" s="1152">
        <f t="shared" si="698"/>
        <v>91135.991050341981</v>
      </c>
      <c r="DA290" s="1152">
        <f t="shared" si="699"/>
        <v>69358.684873640115</v>
      </c>
      <c r="DB290" s="1143">
        <f t="shared" si="638"/>
        <v>0.18193833081629268</v>
      </c>
      <c r="DC290" s="1143">
        <f t="shared" si="700"/>
        <v>0.30773971354873969</v>
      </c>
      <c r="DD290" s="1098" t="s">
        <v>232</v>
      </c>
      <c r="DE290" s="1144"/>
      <c r="DF290" s="705"/>
      <c r="DG290" s="765">
        <f t="shared" si="731"/>
        <v>46082</v>
      </c>
      <c r="DH290" s="1116">
        <f t="shared" si="639"/>
        <v>28</v>
      </c>
      <c r="DI290" s="497"/>
      <c r="DJ290" s="1117">
        <f t="shared" si="701"/>
        <v>46147</v>
      </c>
      <c r="DK290" s="1116">
        <f t="shared" si="702"/>
        <v>30</v>
      </c>
      <c r="DL290" s="766" t="s">
        <v>233</v>
      </c>
      <c r="DM290" s="766" t="s">
        <v>234</v>
      </c>
      <c r="DN290" s="767">
        <f t="shared" si="640"/>
        <v>27786.945070124697</v>
      </c>
      <c r="DO290" s="767">
        <f t="shared" si="641"/>
        <v>611312.79154274333</v>
      </c>
      <c r="DP290" s="768">
        <f t="shared" si="642"/>
        <v>0.20377093051424777</v>
      </c>
      <c r="DR290" s="767">
        <f t="shared" si="643"/>
        <v>3978891.2339909161</v>
      </c>
      <c r="DS290" s="767">
        <f>SUM('[6]INTERNAL PRICELIST'!M290)</f>
        <v>0</v>
      </c>
      <c r="DT290" s="767">
        <f t="shared" si="703"/>
        <v>3978891.2339909161</v>
      </c>
      <c r="DV290" s="951">
        <f t="shared" si="644"/>
        <v>180858.69245413254</v>
      </c>
      <c r="DX290" s="781"/>
      <c r="DY290" s="782"/>
      <c r="DZ290" s="781"/>
      <c r="EA290" s="775"/>
      <c r="ED290" s="755" t="s">
        <v>740</v>
      </c>
      <c r="EE290" s="777" t="b">
        <f t="shared" si="645"/>
        <v>1</v>
      </c>
      <c r="EF290" s="1123" t="s">
        <v>741</v>
      </c>
      <c r="EG290" s="1123" t="s">
        <v>737</v>
      </c>
      <c r="EH290" s="1203"/>
      <c r="EP290" s="1230" t="s">
        <v>236</v>
      </c>
      <c r="EQ290" s="1145" t="s">
        <v>236</v>
      </c>
      <c r="ER290" s="753" t="b">
        <f t="shared" si="704"/>
        <v>1</v>
      </c>
      <c r="EU290" s="770">
        <v>2606860</v>
      </c>
      <c r="EV290" s="771" t="s">
        <v>236</v>
      </c>
      <c r="FJ290" s="994">
        <v>0.15</v>
      </c>
      <c r="FK290" s="993">
        <v>13708.740137105633</v>
      </c>
      <c r="FL290" s="993">
        <v>14079.246627297678</v>
      </c>
      <c r="FM290" s="497"/>
      <c r="FN290" s="993">
        <f t="shared" si="646"/>
        <v>4486199.8663247572</v>
      </c>
      <c r="FO290" s="994">
        <f t="shared" si="737"/>
        <v>0.15</v>
      </c>
      <c r="FP290" s="775">
        <f t="shared" si="647"/>
        <v>672929.97994871356</v>
      </c>
      <c r="FQ290" s="993">
        <f t="shared" si="648"/>
        <v>30000</v>
      </c>
      <c r="FR290" s="775">
        <f t="shared" si="706"/>
        <v>642929.97994871356</v>
      </c>
      <c r="FS290" s="497">
        <f t="shared" si="707"/>
        <v>40</v>
      </c>
      <c r="FT290" s="775">
        <f t="shared" si="708"/>
        <v>16073.24949871784</v>
      </c>
      <c r="FU290" s="497"/>
      <c r="FV290" s="993">
        <f t="shared" si="709"/>
        <v>4486199.8663247572</v>
      </c>
      <c r="FW290" s="705">
        <f t="shared" si="710"/>
        <v>448619.98663247575</v>
      </c>
      <c r="FX290" s="705">
        <f t="shared" si="711"/>
        <v>112154.99665811894</v>
      </c>
      <c r="FY290" s="705">
        <v>15000</v>
      </c>
      <c r="FZ290" s="705">
        <f t="shared" si="712"/>
        <v>433619.98663247575</v>
      </c>
      <c r="GA290" s="497">
        <f t="shared" si="713"/>
        <v>46</v>
      </c>
      <c r="GB290" s="775">
        <f t="shared" si="714"/>
        <v>9426.5214485320812</v>
      </c>
      <c r="GC290" s="497"/>
      <c r="GD290" s="497"/>
      <c r="GH290" s="1095">
        <f t="shared" si="613"/>
        <v>4486199.8663247572</v>
      </c>
      <c r="GI290" s="1098">
        <f t="shared" si="614"/>
        <v>0.125</v>
      </c>
      <c r="GJ290" s="1095">
        <f t="shared" si="615"/>
        <v>560774.98329059465</v>
      </c>
      <c r="GK290" s="1095">
        <f t="shared" si="616"/>
        <v>30000</v>
      </c>
      <c r="GL290" s="1095">
        <f t="shared" si="617"/>
        <v>530774.98329059465</v>
      </c>
      <c r="GM290" s="1095">
        <f t="shared" si="618"/>
        <v>30</v>
      </c>
      <c r="GN290" s="1095">
        <f t="shared" si="619"/>
        <v>17692.49944301982</v>
      </c>
      <c r="GO290" s="1098">
        <f t="shared" si="620"/>
        <v>0.875</v>
      </c>
      <c r="GP290" s="1095">
        <f t="shared" si="621"/>
        <v>3925424.8830341627</v>
      </c>
      <c r="GQ290" s="1095">
        <f t="shared" si="622"/>
        <v>30433.777336682313</v>
      </c>
      <c r="GR290" s="1095">
        <f t="shared" si="623"/>
        <v>35282.828599786866</v>
      </c>
      <c r="GS290" s="1095">
        <f t="shared" si="624"/>
        <v>45577.511345604187</v>
      </c>
      <c r="GT290" s="1095">
        <f t="shared" si="625"/>
        <v>77728.117464187817</v>
      </c>
      <c r="GU290" s="497"/>
      <c r="GV290" s="1095">
        <f t="shared" si="715"/>
        <v>4486199.8663247572</v>
      </c>
      <c r="GW290" s="1098">
        <f t="shared" si="716"/>
        <v>0.125</v>
      </c>
      <c r="GX290" s="1095">
        <f t="shared" si="717"/>
        <v>560774.98329059465</v>
      </c>
      <c r="GY290" s="1095">
        <f t="shared" si="718"/>
        <v>30000</v>
      </c>
      <c r="GZ290" s="1095">
        <f t="shared" si="719"/>
        <v>530774.98329059465</v>
      </c>
      <c r="HA290" s="1106">
        <f t="shared" si="720"/>
        <v>48</v>
      </c>
      <c r="HB290" s="770">
        <f t="shared" si="721"/>
        <v>11057.812151887389</v>
      </c>
      <c r="HC290" s="1098">
        <f t="shared" si="722"/>
        <v>0.875</v>
      </c>
      <c r="HD290" s="1102">
        <f t="shared" si="723"/>
        <v>3925424.8830341627</v>
      </c>
      <c r="HE290" s="1101">
        <f t="shared" si="724"/>
        <v>30433.777336682313</v>
      </c>
      <c r="HF290" s="1101">
        <f t="shared" si="725"/>
        <v>35282.828599786866</v>
      </c>
      <c r="HG290" s="1101">
        <f t="shared" si="726"/>
        <v>45577.511345604187</v>
      </c>
      <c r="HH290" s="1101">
        <f t="shared" si="727"/>
        <v>77728.117464187817</v>
      </c>
      <c r="HI290" s="497"/>
      <c r="HJ290" s="1102">
        <f t="shared" si="728"/>
        <v>-6634.6872911324317</v>
      </c>
      <c r="HL290" s="775"/>
      <c r="HN290" s="775"/>
      <c r="HO290" s="775"/>
      <c r="HQ290" s="702"/>
      <c r="HR290" s="1171"/>
      <c r="HS290" s="702"/>
      <c r="HT290" s="1171"/>
    </row>
    <row r="291" spans="1:228" ht="14.25" hidden="1" customHeight="1">
      <c r="A291" s="753">
        <f t="shared" si="729"/>
        <v>285</v>
      </c>
      <c r="B291" s="753" t="s">
        <v>236</v>
      </c>
      <c r="C291" s="753">
        <f t="shared" si="745"/>
        <v>6</v>
      </c>
      <c r="D291" s="753" t="s">
        <v>287</v>
      </c>
      <c r="E291" s="717" t="str">
        <f t="shared" si="649"/>
        <v>12th Floor</v>
      </c>
      <c r="F291" s="754"/>
      <c r="G291" s="756" t="s">
        <v>742</v>
      </c>
      <c r="H291" s="756"/>
      <c r="I291" s="755" t="s">
        <v>229</v>
      </c>
      <c r="J291" s="757">
        <v>22</v>
      </c>
      <c r="K291" s="758"/>
      <c r="L291" s="759" t="s">
        <v>69</v>
      </c>
      <c r="M291" s="760" t="s">
        <v>68</v>
      </c>
      <c r="N291" s="761">
        <f t="shared" si="650"/>
        <v>106005.26567735759</v>
      </c>
      <c r="O291" s="762">
        <f t="shared" si="651"/>
        <v>2332115.8449018667</v>
      </c>
      <c r="P291" s="762">
        <f t="shared" si="652"/>
        <v>22400</v>
      </c>
      <c r="Q291" s="762">
        <f t="shared" si="626"/>
        <v>50000</v>
      </c>
      <c r="R291" s="762"/>
      <c r="S291" s="762"/>
      <c r="T291" s="762"/>
      <c r="U291" s="762"/>
      <c r="V291" s="762"/>
      <c r="W291" s="762"/>
      <c r="X291" s="762"/>
      <c r="Y291" s="762">
        <f t="shared" si="746"/>
        <v>160000</v>
      </c>
      <c r="Z291" s="762">
        <f t="shared" si="627"/>
        <v>142461</v>
      </c>
      <c r="AA291" s="762"/>
      <c r="AB291" s="762"/>
      <c r="AC291" s="762"/>
      <c r="AD291" s="763">
        <f t="shared" si="653"/>
        <v>374861</v>
      </c>
      <c r="AE291" s="763">
        <f t="shared" si="628"/>
        <v>2706976.8449018667</v>
      </c>
      <c r="AF291" s="762">
        <f t="shared" si="629"/>
        <v>67674.421122546672</v>
      </c>
      <c r="AG291" s="762">
        <f t="shared" si="654"/>
        <v>2774651.2660244135</v>
      </c>
      <c r="AH291" s="762">
        <f t="shared" si="630"/>
        <v>69366.281650610341</v>
      </c>
      <c r="AI291" s="762">
        <f t="shared" si="655"/>
        <v>2844017.5476750238</v>
      </c>
      <c r="AJ291" s="762">
        <f t="shared" si="656"/>
        <v>142200.87738375118</v>
      </c>
      <c r="AK291" s="762">
        <f t="shared" si="657"/>
        <v>2986218.4250587751</v>
      </c>
      <c r="AL291" s="762">
        <f t="shared" si="658"/>
        <v>29862.18425058775</v>
      </c>
      <c r="AM291" s="762">
        <f t="shared" si="659"/>
        <v>27537.409960060559</v>
      </c>
      <c r="AN291" s="762"/>
      <c r="AO291" s="763">
        <f t="shared" si="660"/>
        <v>3043618.0192694231</v>
      </c>
      <c r="AP291" s="763">
        <f t="shared" si="661"/>
        <v>502196.97317945486</v>
      </c>
      <c r="AQ291" s="763">
        <f t="shared" si="662"/>
        <v>3545814.992448878</v>
      </c>
      <c r="AR291" s="1178">
        <f t="shared" si="631"/>
        <v>3000000</v>
      </c>
      <c r="AS291" s="1178">
        <f t="shared" si="663"/>
        <v>24809.772384039909</v>
      </c>
      <c r="AT291" s="1178">
        <f t="shared" si="664"/>
        <v>545814.99244887801</v>
      </c>
      <c r="AU291" s="1178">
        <f t="shared" si="632"/>
        <v>65497.79909386536</v>
      </c>
      <c r="AV291" s="1178">
        <f t="shared" si="665"/>
        <v>611312.79154274333</v>
      </c>
      <c r="AW291" s="1178">
        <f t="shared" si="666"/>
        <v>3611312.7915427433</v>
      </c>
      <c r="AX291" s="762">
        <f t="shared" si="667"/>
        <v>45141.409894284297</v>
      </c>
      <c r="AY291" s="717" t="s">
        <v>231</v>
      </c>
      <c r="AZ291" s="717">
        <f t="shared" si="668"/>
        <v>3656454.2014370277</v>
      </c>
      <c r="BA291" s="717">
        <f t="shared" si="669"/>
        <v>137117.03255388854</v>
      </c>
      <c r="BB291" s="717"/>
      <c r="BC291" s="717">
        <f t="shared" si="633"/>
        <v>33600</v>
      </c>
      <c r="BD291" s="717">
        <f t="shared" si="670"/>
        <v>3827171.2339909161</v>
      </c>
      <c r="BE291" s="717"/>
      <c r="BF291" s="717">
        <f t="shared" si="671"/>
        <v>3827171.2339909161</v>
      </c>
      <c r="BG291" s="1209"/>
      <c r="BH291" s="717">
        <f t="shared" si="672"/>
        <v>3827171.2339909161</v>
      </c>
      <c r="BI291" s="717"/>
      <c r="BJ291" s="717">
        <f t="shared" si="673"/>
        <v>3827171.2339909161</v>
      </c>
      <c r="BK291" s="717"/>
      <c r="BL291" s="717">
        <f t="shared" si="674"/>
        <v>3827171.2339909161</v>
      </c>
      <c r="BM291" s="717"/>
      <c r="BN291" s="717">
        <f t="shared" si="675"/>
        <v>3827171.2339909161</v>
      </c>
      <c r="BO291" s="717"/>
      <c r="BP291" s="717">
        <f t="shared" si="634"/>
        <v>3827171.2339909161</v>
      </c>
      <c r="BQ291" s="717"/>
      <c r="BR291" s="717">
        <f t="shared" si="738"/>
        <v>3827171.2339909161</v>
      </c>
      <c r="BS291" s="717"/>
      <c r="BT291" s="717">
        <f t="shared" si="676"/>
        <v>3827171.2339909161</v>
      </c>
      <c r="BU291" s="717"/>
      <c r="BV291" s="1235">
        <f t="shared" si="739"/>
        <v>51400</v>
      </c>
      <c r="BW291" s="717">
        <f t="shared" si="677"/>
        <v>3878571.2339909161</v>
      </c>
      <c r="BX291" s="717"/>
      <c r="BY291" s="717">
        <f t="shared" si="678"/>
        <v>3878571.2339909161</v>
      </c>
      <c r="BZ291" s="1194">
        <f t="shared" si="679"/>
        <v>3878571.2339909161</v>
      </c>
      <c r="CA291" s="1194">
        <f t="shared" si="680"/>
        <v>3042571.2339909161</v>
      </c>
      <c r="CB291" s="1194">
        <v>38000</v>
      </c>
      <c r="CC291" s="1194">
        <f t="shared" si="681"/>
        <v>836000</v>
      </c>
      <c r="CD291" s="1194">
        <f t="shared" si="682"/>
        <v>100320</v>
      </c>
      <c r="CE291" s="1194">
        <f t="shared" si="683"/>
        <v>936320</v>
      </c>
      <c r="CF291" s="1200">
        <f t="shared" si="684"/>
        <v>3978891.2339909161</v>
      </c>
      <c r="CG291" s="757">
        <f t="shared" si="685"/>
        <v>3978891.2339909161</v>
      </c>
      <c r="CH291" s="758">
        <f t="shared" si="686"/>
        <v>0</v>
      </c>
      <c r="CI291" s="757">
        <f t="shared" si="635"/>
        <v>407836.35148406884</v>
      </c>
      <c r="CJ291" s="757">
        <f t="shared" si="636"/>
        <v>99472.280849772913</v>
      </c>
      <c r="CK291" s="759">
        <f t="shared" ref="CK291:CK354" si="747">SUM(CG291:CJ291)</f>
        <v>4486199.8663247572</v>
      </c>
      <c r="CL291" s="764">
        <f t="shared" si="687"/>
        <v>0.125</v>
      </c>
      <c r="CM291" s="757">
        <f t="shared" si="688"/>
        <v>560774.98329059465</v>
      </c>
      <c r="CN291" s="757">
        <f t="shared" si="730"/>
        <v>30000</v>
      </c>
      <c r="CO291" s="757">
        <f t="shared" si="689"/>
        <v>530774.98329059465</v>
      </c>
      <c r="CP291" s="755">
        <f t="shared" si="690"/>
        <v>30</v>
      </c>
      <c r="CQ291" s="757">
        <f t="shared" si="732"/>
        <v>17692.49944301982</v>
      </c>
      <c r="CR291" s="764">
        <f t="shared" si="691"/>
        <v>0.875</v>
      </c>
      <c r="CS291" s="757">
        <f t="shared" si="692"/>
        <v>3925424.8830341627</v>
      </c>
      <c r="CT291" s="1101">
        <f t="shared" si="693"/>
        <v>30433.777336682313</v>
      </c>
      <c r="CU291" s="1101">
        <f t="shared" si="694"/>
        <v>35282.828599786866</v>
      </c>
      <c r="CV291" s="1101">
        <f t="shared" si="695"/>
        <v>45577.511345604187</v>
      </c>
      <c r="CW291" s="1141">
        <f t="shared" si="637"/>
        <v>77728.117464187817</v>
      </c>
      <c r="CX291" s="1152">
        <f t="shared" si="696"/>
        <v>318874.74026793323</v>
      </c>
      <c r="CY291" s="1152">
        <f t="shared" si="697"/>
        <v>126177.18139598006</v>
      </c>
      <c r="CZ291" s="1152">
        <f t="shared" si="698"/>
        <v>91135.991050341981</v>
      </c>
      <c r="DA291" s="1152">
        <f t="shared" si="699"/>
        <v>69358.684873640115</v>
      </c>
      <c r="DB291" s="1143">
        <f t="shared" si="638"/>
        <v>0.18193833081629268</v>
      </c>
      <c r="DC291" s="1143">
        <f t="shared" si="700"/>
        <v>0.30773971354873969</v>
      </c>
      <c r="DD291" s="1098" t="s">
        <v>232</v>
      </c>
      <c r="DE291" s="1144"/>
      <c r="DF291" s="705"/>
      <c r="DG291" s="765">
        <f t="shared" si="731"/>
        <v>46082</v>
      </c>
      <c r="DH291" s="1116">
        <f t="shared" si="639"/>
        <v>28</v>
      </c>
      <c r="DI291" s="497"/>
      <c r="DJ291" s="1117">
        <f t="shared" si="701"/>
        <v>46147</v>
      </c>
      <c r="DK291" s="1116">
        <f t="shared" si="702"/>
        <v>30</v>
      </c>
      <c r="DL291" s="766" t="s">
        <v>233</v>
      </c>
      <c r="DM291" s="766" t="s">
        <v>234</v>
      </c>
      <c r="DN291" s="767">
        <f t="shared" si="640"/>
        <v>27786.945070124697</v>
      </c>
      <c r="DO291" s="767">
        <f t="shared" si="641"/>
        <v>611312.79154274333</v>
      </c>
      <c r="DP291" s="768">
        <f t="shared" si="642"/>
        <v>0.20377093051424777</v>
      </c>
      <c r="DR291" s="767">
        <f t="shared" si="643"/>
        <v>3978891.2339909161</v>
      </c>
      <c r="DS291" s="767">
        <f>SUM('[6]INTERNAL PRICELIST'!M291)</f>
        <v>0</v>
      </c>
      <c r="DT291" s="767">
        <f t="shared" si="703"/>
        <v>3978891.2339909161</v>
      </c>
      <c r="DV291" s="951">
        <f t="shared" si="644"/>
        <v>180858.69245413254</v>
      </c>
      <c r="DX291" s="781"/>
      <c r="DY291" s="782"/>
      <c r="DZ291" s="781"/>
      <c r="EA291" s="775"/>
      <c r="ED291" s="755" t="s">
        <v>742</v>
      </c>
      <c r="EE291" s="777" t="b">
        <f t="shared" si="645"/>
        <v>1</v>
      </c>
      <c r="EF291" s="1123" t="s">
        <v>743</v>
      </c>
      <c r="EG291" s="1123" t="s">
        <v>737</v>
      </c>
      <c r="EH291" s="1203"/>
      <c r="EP291" s="1230" t="s">
        <v>236</v>
      </c>
      <c r="EQ291" s="1145" t="s">
        <v>236</v>
      </c>
      <c r="ER291" s="753" t="b">
        <f t="shared" si="704"/>
        <v>1</v>
      </c>
      <c r="EU291" s="770">
        <v>2468160</v>
      </c>
      <c r="EV291" s="771" t="s">
        <v>236</v>
      </c>
      <c r="FJ291" s="994">
        <v>0.15</v>
      </c>
      <c r="FK291" s="993">
        <v>13708.740137105633</v>
      </c>
      <c r="FL291" s="993">
        <v>14079.246627297678</v>
      </c>
      <c r="FM291" s="497"/>
      <c r="FN291" s="993">
        <f t="shared" si="646"/>
        <v>4486199.8663247572</v>
      </c>
      <c r="FO291" s="994">
        <f t="shared" si="737"/>
        <v>0.15</v>
      </c>
      <c r="FP291" s="775">
        <f t="shared" si="647"/>
        <v>672929.97994871356</v>
      </c>
      <c r="FQ291" s="993">
        <f t="shared" si="648"/>
        <v>30000</v>
      </c>
      <c r="FR291" s="775">
        <f t="shared" si="706"/>
        <v>642929.97994871356</v>
      </c>
      <c r="FS291" s="497">
        <f t="shared" si="707"/>
        <v>40</v>
      </c>
      <c r="FT291" s="775">
        <f t="shared" si="708"/>
        <v>16073.24949871784</v>
      </c>
      <c r="FU291" s="497"/>
      <c r="FV291" s="993">
        <f t="shared" si="709"/>
        <v>4486199.8663247572</v>
      </c>
      <c r="FW291" s="705">
        <f t="shared" si="710"/>
        <v>448619.98663247575</v>
      </c>
      <c r="FX291" s="705">
        <f t="shared" si="711"/>
        <v>112154.99665811894</v>
      </c>
      <c r="FY291" s="705">
        <v>15000</v>
      </c>
      <c r="FZ291" s="705">
        <f t="shared" si="712"/>
        <v>433619.98663247575</v>
      </c>
      <c r="GA291" s="497">
        <f t="shared" si="713"/>
        <v>46</v>
      </c>
      <c r="GB291" s="775">
        <f t="shared" si="714"/>
        <v>9426.5214485320812</v>
      </c>
      <c r="GC291" s="497"/>
      <c r="GD291" s="497"/>
      <c r="GH291" s="1095">
        <f t="shared" si="613"/>
        <v>4486199.8663247572</v>
      </c>
      <c r="GI291" s="1098">
        <f t="shared" si="614"/>
        <v>0.125</v>
      </c>
      <c r="GJ291" s="1095">
        <f t="shared" si="615"/>
        <v>560774.98329059465</v>
      </c>
      <c r="GK291" s="1095">
        <f t="shared" si="616"/>
        <v>30000</v>
      </c>
      <c r="GL291" s="1095">
        <f t="shared" si="617"/>
        <v>530774.98329059465</v>
      </c>
      <c r="GM291" s="1095">
        <f t="shared" si="618"/>
        <v>30</v>
      </c>
      <c r="GN291" s="1095">
        <f t="shared" si="619"/>
        <v>17692.49944301982</v>
      </c>
      <c r="GO291" s="1098">
        <f t="shared" si="620"/>
        <v>0.875</v>
      </c>
      <c r="GP291" s="1095">
        <f t="shared" si="621"/>
        <v>3925424.8830341627</v>
      </c>
      <c r="GQ291" s="1095">
        <f t="shared" si="622"/>
        <v>30433.777336682313</v>
      </c>
      <c r="GR291" s="1095">
        <f t="shared" si="623"/>
        <v>35282.828599786866</v>
      </c>
      <c r="GS291" s="1095">
        <f t="shared" si="624"/>
        <v>45577.511345604187</v>
      </c>
      <c r="GT291" s="1095">
        <f t="shared" si="625"/>
        <v>77728.117464187817</v>
      </c>
      <c r="GU291" s="497"/>
      <c r="GV291" s="1095">
        <f t="shared" si="715"/>
        <v>4486199.8663247572</v>
      </c>
      <c r="GW291" s="1098">
        <f t="shared" si="716"/>
        <v>0.125</v>
      </c>
      <c r="GX291" s="1095">
        <f t="shared" si="717"/>
        <v>560774.98329059465</v>
      </c>
      <c r="GY291" s="1095">
        <f t="shared" si="718"/>
        <v>30000</v>
      </c>
      <c r="GZ291" s="1095">
        <f t="shared" si="719"/>
        <v>530774.98329059465</v>
      </c>
      <c r="HA291" s="1106">
        <f t="shared" si="720"/>
        <v>48</v>
      </c>
      <c r="HB291" s="770">
        <f t="shared" si="721"/>
        <v>11057.812151887389</v>
      </c>
      <c r="HC291" s="1098">
        <f t="shared" si="722"/>
        <v>0.875</v>
      </c>
      <c r="HD291" s="1102">
        <f t="shared" si="723"/>
        <v>3925424.8830341627</v>
      </c>
      <c r="HE291" s="1101">
        <f t="shared" si="724"/>
        <v>30433.777336682313</v>
      </c>
      <c r="HF291" s="1101">
        <f t="shared" si="725"/>
        <v>35282.828599786866</v>
      </c>
      <c r="HG291" s="1101">
        <f t="shared" si="726"/>
        <v>45577.511345604187</v>
      </c>
      <c r="HH291" s="1101">
        <f t="shared" si="727"/>
        <v>77728.117464187817</v>
      </c>
      <c r="HI291" s="497"/>
      <c r="HJ291" s="1102">
        <f t="shared" si="728"/>
        <v>-6634.6872911324317</v>
      </c>
      <c r="HL291" s="775"/>
      <c r="HN291" s="775"/>
      <c r="HO291" s="775"/>
      <c r="HQ291" s="702"/>
      <c r="HR291" s="1171"/>
      <c r="HS291" s="702"/>
      <c r="HT291" s="1171"/>
    </row>
    <row r="292" spans="1:228" ht="14.25" customHeight="1">
      <c r="A292" s="753">
        <f t="shared" si="729"/>
        <v>286</v>
      </c>
      <c r="B292" s="753" t="s">
        <v>236</v>
      </c>
      <c r="C292" s="753">
        <f t="shared" si="745"/>
        <v>7</v>
      </c>
      <c r="D292" s="753" t="s">
        <v>287</v>
      </c>
      <c r="E292" s="717" t="str">
        <f t="shared" si="649"/>
        <v>12th Floor</v>
      </c>
      <c r="F292" s="754"/>
      <c r="G292" s="756" t="s">
        <v>744</v>
      </c>
      <c r="H292" s="756"/>
      <c r="I292" s="755" t="s">
        <v>229</v>
      </c>
      <c r="J292" s="757">
        <v>22</v>
      </c>
      <c r="K292" s="758"/>
      <c r="L292" s="759" t="s">
        <v>69</v>
      </c>
      <c r="M292" s="760" t="s">
        <v>68</v>
      </c>
      <c r="N292" s="761">
        <f t="shared" si="650"/>
        <v>106005.26567735759</v>
      </c>
      <c r="O292" s="762">
        <f t="shared" si="651"/>
        <v>2332115.8449018667</v>
      </c>
      <c r="P292" s="762">
        <f t="shared" si="652"/>
        <v>22400</v>
      </c>
      <c r="Q292" s="762">
        <f t="shared" si="626"/>
        <v>50000</v>
      </c>
      <c r="R292" s="762"/>
      <c r="S292" s="762"/>
      <c r="T292" s="762"/>
      <c r="U292" s="762"/>
      <c r="V292" s="762"/>
      <c r="W292" s="762"/>
      <c r="X292" s="762"/>
      <c r="Y292" s="762">
        <f t="shared" si="746"/>
        <v>160000</v>
      </c>
      <c r="Z292" s="762">
        <f t="shared" si="627"/>
        <v>142461</v>
      </c>
      <c r="AA292" s="762">
        <v>3500</v>
      </c>
      <c r="AB292" s="762"/>
      <c r="AC292" s="762"/>
      <c r="AD292" s="763">
        <f t="shared" si="653"/>
        <v>378361</v>
      </c>
      <c r="AE292" s="763">
        <f t="shared" si="628"/>
        <v>2710476.8449018667</v>
      </c>
      <c r="AF292" s="762">
        <f t="shared" si="629"/>
        <v>67761.921122546672</v>
      </c>
      <c r="AG292" s="762">
        <f t="shared" si="654"/>
        <v>2778238.7660244135</v>
      </c>
      <c r="AH292" s="762">
        <f t="shared" si="630"/>
        <v>69455.969150610341</v>
      </c>
      <c r="AI292" s="762">
        <f t="shared" si="655"/>
        <v>2847694.7351750238</v>
      </c>
      <c r="AJ292" s="762">
        <f t="shared" si="656"/>
        <v>142384.73675875118</v>
      </c>
      <c r="AK292" s="762">
        <f t="shared" si="657"/>
        <v>2990079.4719337751</v>
      </c>
      <c r="AL292" s="762">
        <f t="shared" si="658"/>
        <v>29900.794719337751</v>
      </c>
      <c r="AM292" s="762">
        <f t="shared" si="659"/>
        <v>27537.409960060559</v>
      </c>
      <c r="AN292" s="762"/>
      <c r="AO292" s="763">
        <f t="shared" si="660"/>
        <v>3047517.6766131734</v>
      </c>
      <c r="AP292" s="763">
        <f t="shared" si="661"/>
        <v>502840.41664117365</v>
      </c>
      <c r="AQ292" s="763">
        <f t="shared" si="662"/>
        <v>3550358.0932543473</v>
      </c>
      <c r="AR292" s="1178">
        <f t="shared" si="631"/>
        <v>3000000</v>
      </c>
      <c r="AS292" s="1178">
        <f t="shared" si="663"/>
        <v>25016.276966106696</v>
      </c>
      <c r="AT292" s="1178">
        <f t="shared" si="664"/>
        <v>550358.09325434733</v>
      </c>
      <c r="AU292" s="1178">
        <f t="shared" si="632"/>
        <v>66042.971190521683</v>
      </c>
      <c r="AV292" s="1178">
        <f t="shared" si="665"/>
        <v>616401.06444486906</v>
      </c>
      <c r="AW292" s="1178">
        <f t="shared" si="666"/>
        <v>3616401.0644448688</v>
      </c>
      <c r="AX292" s="762">
        <f t="shared" si="667"/>
        <v>45205.01330556086</v>
      </c>
      <c r="AY292" s="717">
        <v>7575.3956645161297</v>
      </c>
      <c r="AZ292" s="717">
        <f t="shared" si="668"/>
        <v>3669181.4734149454</v>
      </c>
      <c r="BA292" s="717">
        <f t="shared" si="669"/>
        <v>137594.30525306045</v>
      </c>
      <c r="BB292" s="717"/>
      <c r="BC292" s="717">
        <f t="shared" si="633"/>
        <v>33600</v>
      </c>
      <c r="BD292" s="717">
        <f t="shared" si="670"/>
        <v>3840375.778668006</v>
      </c>
      <c r="BE292" s="717"/>
      <c r="BF292" s="717">
        <f t="shared" si="671"/>
        <v>3840375.778668006</v>
      </c>
      <c r="BG292" s="1209"/>
      <c r="BH292" s="717">
        <f t="shared" si="672"/>
        <v>3840375.778668006</v>
      </c>
      <c r="BI292" s="717">
        <v>718.43902439024396</v>
      </c>
      <c r="BJ292" s="717">
        <f t="shared" si="673"/>
        <v>3841094.2176923961</v>
      </c>
      <c r="BK292" s="717"/>
      <c r="BL292" s="717">
        <f t="shared" si="674"/>
        <v>3841094.2176923961</v>
      </c>
      <c r="BM292" s="717">
        <f t="shared" ref="BM292:BM293" si="748">$BM$5/41</f>
        <v>1038.0487804878051</v>
      </c>
      <c r="BN292" s="717">
        <f t="shared" si="675"/>
        <v>3842132.266472884</v>
      </c>
      <c r="BO292" s="717">
        <f t="shared" ref="BO292:BO294" si="749">$BO$5/51</f>
        <v>7289.0781490196077</v>
      </c>
      <c r="BP292" s="717">
        <f t="shared" si="634"/>
        <v>3849421.3446219037</v>
      </c>
      <c r="BQ292" s="717">
        <f t="shared" ref="BQ292:BQ294" si="750">$BQ$5/56</f>
        <v>4468.4242000000004</v>
      </c>
      <c r="BR292" s="717">
        <f t="shared" si="738"/>
        <v>3853889.7688219035</v>
      </c>
      <c r="BS292" s="1234">
        <f t="shared" ref="BS292:BS294" si="751">$BS$5/64</f>
        <v>2651.4786794501206</v>
      </c>
      <c r="BT292" s="1235">
        <f t="shared" si="676"/>
        <v>3856541.2475013537</v>
      </c>
      <c r="BU292" s="1235">
        <f t="shared" ref="BU292:BU294" si="752">$BU$5/65</f>
        <v>211.07692307692309</v>
      </c>
      <c r="BV292" s="1235">
        <f t="shared" si="739"/>
        <v>51400</v>
      </c>
      <c r="BW292" s="717">
        <f t="shared" si="677"/>
        <v>3908152.3244244307</v>
      </c>
      <c r="BX292" s="1234">
        <f t="shared" si="743"/>
        <v>27651.078536278128</v>
      </c>
      <c r="BY292" s="717">
        <f t="shared" si="678"/>
        <v>3935803.4029607088</v>
      </c>
      <c r="BZ292" s="1194">
        <f t="shared" si="679"/>
        <v>3935803.4029607088</v>
      </c>
      <c r="CA292" s="1194">
        <f t="shared" si="680"/>
        <v>3055803.4029607088</v>
      </c>
      <c r="CB292" s="1194">
        <f t="shared" ref="CB292:CB294" si="753">$CB$5</f>
        <v>40000</v>
      </c>
      <c r="CC292" s="1194">
        <f t="shared" si="681"/>
        <v>880000</v>
      </c>
      <c r="CD292" s="1194">
        <f t="shared" si="682"/>
        <v>105600</v>
      </c>
      <c r="CE292" s="1194">
        <f t="shared" si="683"/>
        <v>985600</v>
      </c>
      <c r="CF292" s="1200">
        <f t="shared" si="684"/>
        <v>4041403.4029607088</v>
      </c>
      <c r="CG292" s="757">
        <f t="shared" si="685"/>
        <v>4041403.4029607088</v>
      </c>
      <c r="CH292" s="758">
        <f t="shared" si="686"/>
        <v>0</v>
      </c>
      <c r="CI292" s="757">
        <f t="shared" si="635"/>
        <v>414243.84880347265</v>
      </c>
      <c r="CJ292" s="757">
        <f t="shared" si="636"/>
        <v>101035.08507401773</v>
      </c>
      <c r="CK292" s="759">
        <f t="shared" si="747"/>
        <v>4556682.3368381988</v>
      </c>
      <c r="CL292" s="764">
        <f t="shared" si="687"/>
        <v>0.125</v>
      </c>
      <c r="CM292" s="757">
        <f t="shared" si="688"/>
        <v>569585.29210477485</v>
      </c>
      <c r="CN292" s="757">
        <f t="shared" si="730"/>
        <v>30000</v>
      </c>
      <c r="CO292" s="757">
        <f t="shared" si="689"/>
        <v>539585.29210477485</v>
      </c>
      <c r="CP292" s="755">
        <f t="shared" si="690"/>
        <v>30</v>
      </c>
      <c r="CQ292" s="757">
        <f t="shared" si="732"/>
        <v>17986.176403492496</v>
      </c>
      <c r="CR292" s="764">
        <f t="shared" si="691"/>
        <v>0.875</v>
      </c>
      <c r="CS292" s="757">
        <f t="shared" si="692"/>
        <v>3987097.0447334237</v>
      </c>
      <c r="CT292" s="1101">
        <f t="shared" si="693"/>
        <v>30911.92094990984</v>
      </c>
      <c r="CU292" s="1101">
        <f t="shared" si="694"/>
        <v>35837.155424385652</v>
      </c>
      <c r="CV292" s="1101">
        <f t="shared" si="695"/>
        <v>46293.577436106811</v>
      </c>
      <c r="CW292" s="1141">
        <f t="shared" si="637"/>
        <v>78949.300182407416</v>
      </c>
      <c r="CX292" s="1152">
        <f t="shared" si="696"/>
        <v>323884.56598861126</v>
      </c>
      <c r="CY292" s="1152">
        <f t="shared" si="697"/>
        <v>128159.54502939012</v>
      </c>
      <c r="CZ292" s="1152">
        <f t="shared" si="698"/>
        <v>92567.824226152166</v>
      </c>
      <c r="DA292" s="1152">
        <f t="shared" si="699"/>
        <v>70448.37583862654</v>
      </c>
      <c r="DB292" s="1143">
        <f t="shared" si="638"/>
        <v>0.18345269775144912</v>
      </c>
      <c r="DC292" s="1143">
        <f t="shared" si="700"/>
        <v>0.32253383808823277</v>
      </c>
      <c r="DD292" s="1098" t="s">
        <v>232</v>
      </c>
      <c r="DE292" s="1144"/>
      <c r="DF292" s="705"/>
      <c r="DG292" s="765">
        <f t="shared" si="731"/>
        <v>46082</v>
      </c>
      <c r="DH292" s="1116">
        <f t="shared" si="639"/>
        <v>28</v>
      </c>
      <c r="DI292" s="497"/>
      <c r="DJ292" s="1117">
        <f t="shared" si="701"/>
        <v>46147</v>
      </c>
      <c r="DK292" s="1116">
        <f t="shared" si="702"/>
        <v>30</v>
      </c>
      <c r="DL292" s="766" t="s">
        <v>233</v>
      </c>
      <c r="DM292" s="766" t="s">
        <v>234</v>
      </c>
      <c r="DN292" s="767">
        <f t="shared" si="640"/>
        <v>28018.230202039504</v>
      </c>
      <c r="DO292" s="767">
        <f t="shared" si="641"/>
        <v>616401.06444486906</v>
      </c>
      <c r="DP292" s="768">
        <f t="shared" si="642"/>
        <v>0.20546702148162302</v>
      </c>
      <c r="DR292" s="767">
        <f t="shared" si="643"/>
        <v>4041403.4029607088</v>
      </c>
      <c r="DS292" s="767">
        <f>SUM('[6]INTERNAL PRICELIST'!M292)</f>
        <v>0</v>
      </c>
      <c r="DT292" s="767">
        <f t="shared" si="703"/>
        <v>4041403.4029607088</v>
      </c>
      <c r="DV292" s="951">
        <f t="shared" si="644"/>
        <v>183700.15468003222</v>
      </c>
      <c r="DX292" s="781"/>
      <c r="DY292" s="782"/>
      <c r="DZ292" s="781"/>
      <c r="EA292" s="775"/>
      <c r="ED292" s="755" t="s">
        <v>744</v>
      </c>
      <c r="EE292" s="777" t="b">
        <f t="shared" si="645"/>
        <v>1</v>
      </c>
      <c r="EF292" s="1123" t="s">
        <v>745</v>
      </c>
      <c r="EG292" s="1123" t="s">
        <v>737</v>
      </c>
      <c r="EH292" s="1203"/>
      <c r="EP292" s="1230" t="s">
        <v>258</v>
      </c>
      <c r="EQ292" s="1145" t="s">
        <v>258</v>
      </c>
      <c r="ER292" s="753" t="b">
        <f t="shared" si="704"/>
        <v>1</v>
      </c>
      <c r="EU292" s="770">
        <v>2468160</v>
      </c>
      <c r="EV292" s="771" t="s">
        <v>236</v>
      </c>
      <c r="FJ292" s="994">
        <v>0.15</v>
      </c>
      <c r="FK292" s="993">
        <v>13708.740137105633</v>
      </c>
      <c r="FL292" s="993">
        <v>14079.246627297678</v>
      </c>
      <c r="FM292" s="497"/>
      <c r="FN292" s="993">
        <f t="shared" si="646"/>
        <v>4556682.3368381988</v>
      </c>
      <c r="FO292" s="994">
        <f t="shared" si="737"/>
        <v>0.15</v>
      </c>
      <c r="FP292" s="775">
        <f t="shared" si="647"/>
        <v>683502.35052572982</v>
      </c>
      <c r="FQ292" s="993">
        <f t="shared" si="648"/>
        <v>30000</v>
      </c>
      <c r="FR292" s="775">
        <f t="shared" si="706"/>
        <v>653502.35052572982</v>
      </c>
      <c r="FS292" s="497">
        <f t="shared" si="707"/>
        <v>40</v>
      </c>
      <c r="FT292" s="775">
        <f t="shared" si="708"/>
        <v>16337.558763143246</v>
      </c>
      <c r="FU292" s="497"/>
      <c r="FV292" s="993">
        <f t="shared" si="709"/>
        <v>4556682.3368381988</v>
      </c>
      <c r="FW292" s="705">
        <f t="shared" si="710"/>
        <v>455668.23368381988</v>
      </c>
      <c r="FX292" s="705">
        <f t="shared" si="711"/>
        <v>113917.05842095497</v>
      </c>
      <c r="FY292" s="705">
        <v>15000</v>
      </c>
      <c r="FZ292" s="705">
        <f t="shared" si="712"/>
        <v>440668.23368381988</v>
      </c>
      <c r="GA292" s="497">
        <f t="shared" si="713"/>
        <v>46</v>
      </c>
      <c r="GB292" s="775">
        <f t="shared" si="714"/>
        <v>9579.7442105178234</v>
      </c>
      <c r="GC292" s="497"/>
      <c r="GD292" s="497"/>
      <c r="GH292" s="1095">
        <f t="shared" si="613"/>
        <v>4556682.3368381988</v>
      </c>
      <c r="GI292" s="1098">
        <f t="shared" si="614"/>
        <v>0.125</v>
      </c>
      <c r="GJ292" s="1095">
        <f t="shared" si="615"/>
        <v>569585.29210477485</v>
      </c>
      <c r="GK292" s="1095">
        <f t="shared" si="616"/>
        <v>30000</v>
      </c>
      <c r="GL292" s="1095">
        <f t="shared" si="617"/>
        <v>539585.29210477485</v>
      </c>
      <c r="GM292" s="1095">
        <f t="shared" si="618"/>
        <v>30</v>
      </c>
      <c r="GN292" s="1095">
        <f t="shared" si="619"/>
        <v>17986.176403492496</v>
      </c>
      <c r="GO292" s="1098">
        <f t="shared" si="620"/>
        <v>0.875</v>
      </c>
      <c r="GP292" s="1095">
        <f t="shared" si="621"/>
        <v>3987097.0447334237</v>
      </c>
      <c r="GQ292" s="1095">
        <f t="shared" si="622"/>
        <v>30911.92094990984</v>
      </c>
      <c r="GR292" s="1095">
        <f t="shared" si="623"/>
        <v>35837.155424385652</v>
      </c>
      <c r="GS292" s="1095">
        <f t="shared" si="624"/>
        <v>46293.577436106811</v>
      </c>
      <c r="GT292" s="1095">
        <f t="shared" si="625"/>
        <v>78949.300182407416</v>
      </c>
      <c r="GU292" s="497"/>
      <c r="GV292" s="1095">
        <f t="shared" si="715"/>
        <v>4556682.3368381988</v>
      </c>
      <c r="GW292" s="1098">
        <f t="shared" si="716"/>
        <v>0.125</v>
      </c>
      <c r="GX292" s="1095">
        <f t="shared" si="717"/>
        <v>569585.29210477485</v>
      </c>
      <c r="GY292" s="1095">
        <f t="shared" si="718"/>
        <v>30000</v>
      </c>
      <c r="GZ292" s="1095">
        <f t="shared" si="719"/>
        <v>539585.29210477485</v>
      </c>
      <c r="HA292" s="1106">
        <f t="shared" si="720"/>
        <v>48</v>
      </c>
      <c r="HB292" s="770">
        <f t="shared" si="721"/>
        <v>11241.360252182809</v>
      </c>
      <c r="HC292" s="1098">
        <f t="shared" si="722"/>
        <v>0.875</v>
      </c>
      <c r="HD292" s="1102">
        <f t="shared" si="723"/>
        <v>3987097.0447334237</v>
      </c>
      <c r="HE292" s="1101">
        <f t="shared" si="724"/>
        <v>30911.92094990984</v>
      </c>
      <c r="HF292" s="1101">
        <f t="shared" si="725"/>
        <v>35837.155424385652</v>
      </c>
      <c r="HG292" s="1101">
        <f t="shared" si="726"/>
        <v>46293.577436106811</v>
      </c>
      <c r="HH292" s="1101">
        <f t="shared" si="727"/>
        <v>78949.300182407416</v>
      </c>
      <c r="HI292" s="497"/>
      <c r="HJ292" s="1102">
        <f t="shared" si="728"/>
        <v>-6744.8161513096875</v>
      </c>
      <c r="HL292" s="775"/>
      <c r="HN292" s="775"/>
      <c r="HO292" s="775"/>
      <c r="HQ292" s="702"/>
      <c r="HR292" s="1171"/>
      <c r="HS292" s="702"/>
      <c r="HT292" s="1171"/>
    </row>
    <row r="293" spans="1:228" ht="14.25" customHeight="1">
      <c r="A293" s="753">
        <f t="shared" si="729"/>
        <v>287</v>
      </c>
      <c r="B293" s="753" t="s">
        <v>236</v>
      </c>
      <c r="C293" s="753">
        <f t="shared" si="745"/>
        <v>8</v>
      </c>
      <c r="D293" s="753" t="s">
        <v>287</v>
      </c>
      <c r="E293" s="717" t="str">
        <f t="shared" si="649"/>
        <v>12th Floor</v>
      </c>
      <c r="F293" s="754"/>
      <c r="G293" s="756" t="s">
        <v>746</v>
      </c>
      <c r="H293" s="756"/>
      <c r="I293" s="755" t="s">
        <v>229</v>
      </c>
      <c r="J293" s="757">
        <v>22</v>
      </c>
      <c r="K293" s="758"/>
      <c r="L293" s="759" t="s">
        <v>69</v>
      </c>
      <c r="M293" s="760" t="s">
        <v>68</v>
      </c>
      <c r="N293" s="761">
        <f t="shared" si="650"/>
        <v>106005.26567735759</v>
      </c>
      <c r="O293" s="762">
        <f t="shared" si="651"/>
        <v>2332115.8449018667</v>
      </c>
      <c r="P293" s="762">
        <f t="shared" si="652"/>
        <v>22400</v>
      </c>
      <c r="Q293" s="762">
        <f t="shared" si="626"/>
        <v>50000</v>
      </c>
      <c r="R293" s="762"/>
      <c r="S293" s="762"/>
      <c r="T293" s="762"/>
      <c r="U293" s="762"/>
      <c r="V293" s="762"/>
      <c r="W293" s="762"/>
      <c r="X293" s="762"/>
      <c r="Y293" s="762">
        <f t="shared" si="746"/>
        <v>160000</v>
      </c>
      <c r="Z293" s="762">
        <f t="shared" si="627"/>
        <v>142461</v>
      </c>
      <c r="AA293" s="762"/>
      <c r="AB293" s="762"/>
      <c r="AC293" s="762"/>
      <c r="AD293" s="763">
        <f t="shared" si="653"/>
        <v>374861</v>
      </c>
      <c r="AE293" s="763">
        <f t="shared" si="628"/>
        <v>2706976.8449018667</v>
      </c>
      <c r="AF293" s="762">
        <f t="shared" si="629"/>
        <v>67674.421122546672</v>
      </c>
      <c r="AG293" s="762">
        <f t="shared" si="654"/>
        <v>2774651.2660244135</v>
      </c>
      <c r="AH293" s="762">
        <f t="shared" si="630"/>
        <v>69366.281650610341</v>
      </c>
      <c r="AI293" s="762">
        <f t="shared" si="655"/>
        <v>2844017.5476750238</v>
      </c>
      <c r="AJ293" s="762">
        <f t="shared" si="656"/>
        <v>142200.87738375118</v>
      </c>
      <c r="AK293" s="762">
        <f t="shared" si="657"/>
        <v>2986218.4250587751</v>
      </c>
      <c r="AL293" s="762">
        <f t="shared" si="658"/>
        <v>29862.18425058775</v>
      </c>
      <c r="AM293" s="762">
        <f t="shared" si="659"/>
        <v>27537.409960060559</v>
      </c>
      <c r="AN293" s="762"/>
      <c r="AO293" s="763">
        <f t="shared" si="660"/>
        <v>3043618.0192694231</v>
      </c>
      <c r="AP293" s="763">
        <f t="shared" si="661"/>
        <v>502196.97317945486</v>
      </c>
      <c r="AQ293" s="763">
        <f t="shared" si="662"/>
        <v>3545814.992448878</v>
      </c>
      <c r="AR293" s="1178">
        <f t="shared" si="631"/>
        <v>3000000</v>
      </c>
      <c r="AS293" s="1178">
        <f t="shared" si="663"/>
        <v>24809.772384039909</v>
      </c>
      <c r="AT293" s="1178">
        <f t="shared" si="664"/>
        <v>545814.99244887801</v>
      </c>
      <c r="AU293" s="1178">
        <f t="shared" si="632"/>
        <v>65497.79909386536</v>
      </c>
      <c r="AV293" s="1178">
        <f t="shared" si="665"/>
        <v>611312.79154274333</v>
      </c>
      <c r="AW293" s="1178">
        <f t="shared" si="666"/>
        <v>3611312.7915427433</v>
      </c>
      <c r="AX293" s="762">
        <f t="shared" si="667"/>
        <v>45141.409894284297</v>
      </c>
      <c r="AY293" s="717" t="s">
        <v>231</v>
      </c>
      <c r="AZ293" s="717">
        <f t="shared" si="668"/>
        <v>3656454.2014370277</v>
      </c>
      <c r="BA293" s="717">
        <f t="shared" si="669"/>
        <v>137117.03255388854</v>
      </c>
      <c r="BB293" s="717"/>
      <c r="BC293" s="717">
        <f t="shared" si="633"/>
        <v>33600</v>
      </c>
      <c r="BD293" s="717">
        <f t="shared" si="670"/>
        <v>3827171.2339909161</v>
      </c>
      <c r="BE293" s="717">
        <v>18367.830916129038</v>
      </c>
      <c r="BF293" s="717">
        <f t="shared" si="671"/>
        <v>3845539.0649070451</v>
      </c>
      <c r="BG293" s="1209"/>
      <c r="BH293" s="717">
        <f t="shared" si="672"/>
        <v>3845539.0649070451</v>
      </c>
      <c r="BI293" s="717">
        <v>718.43902439024396</v>
      </c>
      <c r="BJ293" s="717">
        <f t="shared" si="673"/>
        <v>3846257.5039314353</v>
      </c>
      <c r="BK293" s="717"/>
      <c r="BL293" s="717">
        <f t="shared" si="674"/>
        <v>3846257.5039314353</v>
      </c>
      <c r="BM293" s="717">
        <f t="shared" si="748"/>
        <v>1038.0487804878051</v>
      </c>
      <c r="BN293" s="717">
        <f t="shared" si="675"/>
        <v>3847295.5527119231</v>
      </c>
      <c r="BO293" s="717">
        <f t="shared" si="749"/>
        <v>7289.0781490196077</v>
      </c>
      <c r="BP293" s="717">
        <f t="shared" si="634"/>
        <v>3854584.6308609429</v>
      </c>
      <c r="BQ293" s="717">
        <f t="shared" si="750"/>
        <v>4468.4242000000004</v>
      </c>
      <c r="BR293" s="717">
        <f t="shared" si="738"/>
        <v>3859053.0550609427</v>
      </c>
      <c r="BS293" s="1234">
        <f t="shared" si="751"/>
        <v>2651.4786794501206</v>
      </c>
      <c r="BT293" s="1235">
        <f t="shared" si="676"/>
        <v>3861704.5337403929</v>
      </c>
      <c r="BU293" s="1235">
        <f t="shared" si="752"/>
        <v>211.07692307692309</v>
      </c>
      <c r="BV293" s="1235">
        <f t="shared" si="739"/>
        <v>51400</v>
      </c>
      <c r="BW293" s="717">
        <f t="shared" si="677"/>
        <v>3913315.6106634699</v>
      </c>
      <c r="BX293" s="1234">
        <f t="shared" si="743"/>
        <v>27651.078536278128</v>
      </c>
      <c r="BY293" s="717">
        <f t="shared" si="678"/>
        <v>3940966.689199748</v>
      </c>
      <c r="BZ293" s="1194">
        <f t="shared" si="679"/>
        <v>3940966.689199748</v>
      </c>
      <c r="CA293" s="1194">
        <f t="shared" si="680"/>
        <v>3060966.689199748</v>
      </c>
      <c r="CB293" s="1194">
        <f t="shared" si="753"/>
        <v>40000</v>
      </c>
      <c r="CC293" s="1194">
        <f t="shared" si="681"/>
        <v>880000</v>
      </c>
      <c r="CD293" s="1194">
        <f t="shared" si="682"/>
        <v>105600</v>
      </c>
      <c r="CE293" s="1194">
        <f t="shared" si="683"/>
        <v>985600</v>
      </c>
      <c r="CF293" s="1200">
        <f t="shared" si="684"/>
        <v>4046566.689199748</v>
      </c>
      <c r="CG293" s="757">
        <f t="shared" si="685"/>
        <v>4046566.689199748</v>
      </c>
      <c r="CH293" s="758">
        <f t="shared" si="686"/>
        <v>0</v>
      </c>
      <c r="CI293" s="757">
        <f t="shared" si="635"/>
        <v>414773.08564297413</v>
      </c>
      <c r="CJ293" s="757">
        <f t="shared" si="636"/>
        <v>101164.16722999371</v>
      </c>
      <c r="CK293" s="759">
        <f t="shared" si="747"/>
        <v>4562503.9420727156</v>
      </c>
      <c r="CL293" s="764">
        <f t="shared" si="687"/>
        <v>0.125</v>
      </c>
      <c r="CM293" s="757">
        <f t="shared" si="688"/>
        <v>570312.99275908945</v>
      </c>
      <c r="CN293" s="757">
        <f t="shared" si="730"/>
        <v>30000</v>
      </c>
      <c r="CO293" s="757">
        <f t="shared" si="689"/>
        <v>540312.99275908945</v>
      </c>
      <c r="CP293" s="755">
        <f t="shared" si="690"/>
        <v>30</v>
      </c>
      <c r="CQ293" s="757">
        <f t="shared" si="732"/>
        <v>18010.433091969648</v>
      </c>
      <c r="CR293" s="764">
        <f t="shared" si="691"/>
        <v>0.875</v>
      </c>
      <c r="CS293" s="757">
        <f t="shared" si="692"/>
        <v>3992190.9493136262</v>
      </c>
      <c r="CT293" s="1101">
        <f t="shared" si="693"/>
        <v>30951.413937901591</v>
      </c>
      <c r="CU293" s="1101">
        <f t="shared" si="694"/>
        <v>35882.940878842761</v>
      </c>
      <c r="CV293" s="1101">
        <f t="shared" si="695"/>
        <v>46352.721987516023</v>
      </c>
      <c r="CW293" s="1141">
        <f t="shared" si="637"/>
        <v>79050.1655983456</v>
      </c>
      <c r="CX293" s="1152">
        <f t="shared" si="696"/>
        <v>324298.36004870955</v>
      </c>
      <c r="CY293" s="1152">
        <f t="shared" si="697"/>
        <v>128323.28132326444</v>
      </c>
      <c r="CZ293" s="1152">
        <f t="shared" si="698"/>
        <v>92686.088632188592</v>
      </c>
      <c r="DA293" s="1152">
        <f t="shared" si="699"/>
        <v>70538.380496232305</v>
      </c>
      <c r="DB293" s="1143">
        <f t="shared" si="638"/>
        <v>0.18193833081629268</v>
      </c>
      <c r="DC293" s="1143">
        <f t="shared" si="700"/>
        <v>0.32198978299161857</v>
      </c>
      <c r="DD293" s="1098" t="s">
        <v>232</v>
      </c>
      <c r="DE293" s="1144"/>
      <c r="DF293" s="705"/>
      <c r="DG293" s="765">
        <f t="shared" si="731"/>
        <v>46082</v>
      </c>
      <c r="DH293" s="1116">
        <f t="shared" si="639"/>
        <v>28</v>
      </c>
      <c r="DI293" s="497"/>
      <c r="DJ293" s="1117">
        <f t="shared" si="701"/>
        <v>46147</v>
      </c>
      <c r="DK293" s="1116">
        <f t="shared" si="702"/>
        <v>30</v>
      </c>
      <c r="DL293" s="766" t="s">
        <v>233</v>
      </c>
      <c r="DM293" s="766" t="s">
        <v>234</v>
      </c>
      <c r="DN293" s="767">
        <f t="shared" si="640"/>
        <v>27786.945070124697</v>
      </c>
      <c r="DO293" s="767">
        <f t="shared" si="641"/>
        <v>611312.79154274333</v>
      </c>
      <c r="DP293" s="768">
        <f t="shared" si="642"/>
        <v>0.20377093051424777</v>
      </c>
      <c r="DR293" s="767">
        <f t="shared" si="643"/>
        <v>4046566.689199748</v>
      </c>
      <c r="DS293" s="767">
        <f>SUM('[6]INTERNAL PRICELIST'!M293)</f>
        <v>0</v>
      </c>
      <c r="DT293" s="767">
        <f t="shared" si="703"/>
        <v>4046566.689199748</v>
      </c>
      <c r="DV293" s="951">
        <f t="shared" si="644"/>
        <v>183934.84950907945</v>
      </c>
      <c r="DX293" s="781"/>
      <c r="DY293" s="782"/>
      <c r="DZ293" s="781"/>
      <c r="EA293" s="775"/>
      <c r="ED293" s="755" t="s">
        <v>746</v>
      </c>
      <c r="EE293" s="777" t="b">
        <f t="shared" si="645"/>
        <v>1</v>
      </c>
      <c r="EF293" s="1123" t="s">
        <v>747</v>
      </c>
      <c r="EG293" s="1123" t="s">
        <v>737</v>
      </c>
      <c r="EH293" s="1203"/>
      <c r="EP293" s="1230" t="s">
        <v>258</v>
      </c>
      <c r="EQ293" s="1145" t="s">
        <v>258</v>
      </c>
      <c r="ER293" s="753" t="b">
        <f t="shared" si="704"/>
        <v>1</v>
      </c>
      <c r="EU293" s="770">
        <v>2683561</v>
      </c>
      <c r="EV293" s="771" t="s">
        <v>236</v>
      </c>
      <c r="FJ293" s="994">
        <v>0.15</v>
      </c>
      <c r="FK293" s="993">
        <v>13708.740137105633</v>
      </c>
      <c r="FL293" s="993">
        <v>14079.246627297678</v>
      </c>
      <c r="FM293" s="497"/>
      <c r="FN293" s="993">
        <f t="shared" si="646"/>
        <v>4562503.9420727156</v>
      </c>
      <c r="FO293" s="994">
        <f t="shared" si="737"/>
        <v>0.15</v>
      </c>
      <c r="FP293" s="775">
        <f t="shared" si="647"/>
        <v>684375.59131090727</v>
      </c>
      <c r="FQ293" s="993">
        <f t="shared" si="648"/>
        <v>30000</v>
      </c>
      <c r="FR293" s="775">
        <f t="shared" si="706"/>
        <v>654375.59131090727</v>
      </c>
      <c r="FS293" s="497">
        <f t="shared" si="707"/>
        <v>40</v>
      </c>
      <c r="FT293" s="775">
        <f t="shared" si="708"/>
        <v>16359.389782772681</v>
      </c>
      <c r="FU293" s="497"/>
      <c r="FV293" s="993">
        <f t="shared" si="709"/>
        <v>4562503.9420727156</v>
      </c>
      <c r="FW293" s="705">
        <f t="shared" si="710"/>
        <v>456250.39420727157</v>
      </c>
      <c r="FX293" s="705">
        <f t="shared" si="711"/>
        <v>114062.59855181789</v>
      </c>
      <c r="FY293" s="705">
        <v>15000</v>
      </c>
      <c r="FZ293" s="705">
        <f t="shared" si="712"/>
        <v>441250.39420727157</v>
      </c>
      <c r="GA293" s="497">
        <f t="shared" si="713"/>
        <v>46</v>
      </c>
      <c r="GB293" s="775">
        <f t="shared" si="714"/>
        <v>9592.3998740711213</v>
      </c>
      <c r="GC293" s="497"/>
      <c r="GD293" s="497"/>
      <c r="GH293" s="1095">
        <f t="shared" si="613"/>
        <v>4562503.9420727156</v>
      </c>
      <c r="GI293" s="1098">
        <f t="shared" si="614"/>
        <v>0.125</v>
      </c>
      <c r="GJ293" s="1095">
        <f t="shared" si="615"/>
        <v>570312.99275908945</v>
      </c>
      <c r="GK293" s="1095">
        <f t="shared" si="616"/>
        <v>30000</v>
      </c>
      <c r="GL293" s="1095">
        <f t="shared" si="617"/>
        <v>540312.99275908945</v>
      </c>
      <c r="GM293" s="1095">
        <f t="shared" si="618"/>
        <v>30</v>
      </c>
      <c r="GN293" s="1095">
        <f t="shared" si="619"/>
        <v>18010.433091969648</v>
      </c>
      <c r="GO293" s="1098">
        <f t="shared" si="620"/>
        <v>0.875</v>
      </c>
      <c r="GP293" s="1095">
        <f t="shared" si="621"/>
        <v>3992190.9493136262</v>
      </c>
      <c r="GQ293" s="1095">
        <f t="shared" si="622"/>
        <v>30951.413937901591</v>
      </c>
      <c r="GR293" s="1095">
        <f t="shared" si="623"/>
        <v>35882.940878842761</v>
      </c>
      <c r="GS293" s="1095">
        <f t="shared" si="624"/>
        <v>46352.721987516023</v>
      </c>
      <c r="GT293" s="1095">
        <f t="shared" si="625"/>
        <v>79050.1655983456</v>
      </c>
      <c r="GU293" s="497"/>
      <c r="GV293" s="1095">
        <f t="shared" si="715"/>
        <v>4562503.9420727156</v>
      </c>
      <c r="GW293" s="1098">
        <f t="shared" si="716"/>
        <v>0.125</v>
      </c>
      <c r="GX293" s="1095">
        <f t="shared" si="717"/>
        <v>570312.99275908945</v>
      </c>
      <c r="GY293" s="1095">
        <f t="shared" si="718"/>
        <v>30000</v>
      </c>
      <c r="GZ293" s="1095">
        <f t="shared" si="719"/>
        <v>540312.99275908945</v>
      </c>
      <c r="HA293" s="1106">
        <f t="shared" si="720"/>
        <v>48</v>
      </c>
      <c r="HB293" s="770">
        <f t="shared" si="721"/>
        <v>11256.52068248103</v>
      </c>
      <c r="HC293" s="1098">
        <f t="shared" si="722"/>
        <v>0.875</v>
      </c>
      <c r="HD293" s="1102">
        <f t="shared" si="723"/>
        <v>3992190.9493136262</v>
      </c>
      <c r="HE293" s="1101">
        <f t="shared" si="724"/>
        <v>30951.413937901591</v>
      </c>
      <c r="HF293" s="1101">
        <f t="shared" si="725"/>
        <v>35882.940878842761</v>
      </c>
      <c r="HG293" s="1101">
        <f t="shared" si="726"/>
        <v>46352.721987516023</v>
      </c>
      <c r="HH293" s="1101">
        <f t="shared" si="727"/>
        <v>79050.1655983456</v>
      </c>
      <c r="HI293" s="497"/>
      <c r="HJ293" s="1102">
        <f t="shared" si="728"/>
        <v>-6753.9124094886174</v>
      </c>
      <c r="HL293" s="775"/>
      <c r="HN293" s="775"/>
      <c r="HO293" s="775"/>
      <c r="HQ293" s="702"/>
      <c r="HR293" s="1171"/>
      <c r="HS293" s="702"/>
      <c r="HT293" s="1171"/>
    </row>
    <row r="294" spans="1:228" ht="14.25" customHeight="1">
      <c r="A294" s="753">
        <f t="shared" si="729"/>
        <v>288</v>
      </c>
      <c r="B294" s="753" t="s">
        <v>236</v>
      </c>
      <c r="C294" s="753">
        <f t="shared" si="745"/>
        <v>9</v>
      </c>
      <c r="D294" s="753" t="s">
        <v>287</v>
      </c>
      <c r="E294" s="717" t="str">
        <f t="shared" si="649"/>
        <v>12th Floor</v>
      </c>
      <c r="F294" s="754"/>
      <c r="G294" s="756" t="s">
        <v>748</v>
      </c>
      <c r="H294" s="756"/>
      <c r="I294" s="755" t="s">
        <v>229</v>
      </c>
      <c r="J294" s="757">
        <v>22</v>
      </c>
      <c r="K294" s="758"/>
      <c r="L294" s="759" t="s">
        <v>69</v>
      </c>
      <c r="M294" s="760" t="s">
        <v>68</v>
      </c>
      <c r="N294" s="761">
        <f t="shared" si="650"/>
        <v>106005.26567735759</v>
      </c>
      <c r="O294" s="762">
        <f t="shared" si="651"/>
        <v>2332115.8449018667</v>
      </c>
      <c r="P294" s="762">
        <f t="shared" si="652"/>
        <v>22400</v>
      </c>
      <c r="Q294" s="762">
        <f t="shared" si="626"/>
        <v>50000</v>
      </c>
      <c r="R294" s="762"/>
      <c r="S294" s="762"/>
      <c r="T294" s="762"/>
      <c r="U294" s="762"/>
      <c r="V294" s="762"/>
      <c r="W294" s="762"/>
      <c r="X294" s="762"/>
      <c r="Y294" s="762">
        <f t="shared" si="746"/>
        <v>160000</v>
      </c>
      <c r="Z294" s="762">
        <f t="shared" si="627"/>
        <v>142461</v>
      </c>
      <c r="AA294" s="762"/>
      <c r="AB294" s="762"/>
      <c r="AC294" s="762"/>
      <c r="AD294" s="763">
        <f t="shared" si="653"/>
        <v>374861</v>
      </c>
      <c r="AE294" s="763">
        <f t="shared" si="628"/>
        <v>2706976.8449018667</v>
      </c>
      <c r="AF294" s="762">
        <f t="shared" si="629"/>
        <v>67674.421122546672</v>
      </c>
      <c r="AG294" s="762">
        <f t="shared" si="654"/>
        <v>2774651.2660244135</v>
      </c>
      <c r="AH294" s="762">
        <f t="shared" si="630"/>
        <v>69366.281650610341</v>
      </c>
      <c r="AI294" s="762">
        <f t="shared" si="655"/>
        <v>2844017.5476750238</v>
      </c>
      <c r="AJ294" s="762">
        <f t="shared" si="656"/>
        <v>142200.87738375118</v>
      </c>
      <c r="AK294" s="762">
        <f t="shared" si="657"/>
        <v>2986218.4250587751</v>
      </c>
      <c r="AL294" s="762">
        <f t="shared" si="658"/>
        <v>29862.18425058775</v>
      </c>
      <c r="AM294" s="762">
        <f t="shared" si="659"/>
        <v>27537.409960060559</v>
      </c>
      <c r="AN294" s="762"/>
      <c r="AO294" s="763">
        <f t="shared" si="660"/>
        <v>3043618.0192694231</v>
      </c>
      <c r="AP294" s="763">
        <f t="shared" si="661"/>
        <v>502196.97317945486</v>
      </c>
      <c r="AQ294" s="763">
        <f t="shared" si="662"/>
        <v>3545814.992448878</v>
      </c>
      <c r="AR294" s="1178">
        <f t="shared" si="631"/>
        <v>3000000</v>
      </c>
      <c r="AS294" s="1178">
        <f t="shared" si="663"/>
        <v>24809.772384039909</v>
      </c>
      <c r="AT294" s="1178">
        <f t="shared" si="664"/>
        <v>545814.99244887801</v>
      </c>
      <c r="AU294" s="1178">
        <f t="shared" si="632"/>
        <v>65497.79909386536</v>
      </c>
      <c r="AV294" s="1178">
        <f t="shared" si="665"/>
        <v>611312.79154274333</v>
      </c>
      <c r="AW294" s="1178">
        <f t="shared" si="666"/>
        <v>3611312.7915427433</v>
      </c>
      <c r="AX294" s="762">
        <f t="shared" si="667"/>
        <v>45141.409894284297</v>
      </c>
      <c r="AY294" s="717" t="s">
        <v>231</v>
      </c>
      <c r="AZ294" s="717">
        <f t="shared" si="668"/>
        <v>3656454.2014370277</v>
      </c>
      <c r="BA294" s="717">
        <f t="shared" si="669"/>
        <v>137117.03255388854</v>
      </c>
      <c r="BB294" s="717"/>
      <c r="BC294" s="717">
        <f t="shared" si="633"/>
        <v>33600</v>
      </c>
      <c r="BD294" s="717">
        <f t="shared" si="670"/>
        <v>3827171.2339909161</v>
      </c>
      <c r="BE294" s="717"/>
      <c r="BF294" s="717">
        <f t="shared" si="671"/>
        <v>3827171.2339909161</v>
      </c>
      <c r="BG294" s="1209"/>
      <c r="BH294" s="717">
        <f t="shared" si="672"/>
        <v>3827171.2339909161</v>
      </c>
      <c r="BI294" s="717"/>
      <c r="BJ294" s="717">
        <f t="shared" si="673"/>
        <v>3827171.2339909161</v>
      </c>
      <c r="BK294" s="717"/>
      <c r="BL294" s="717">
        <f t="shared" si="674"/>
        <v>3827171.2339909161</v>
      </c>
      <c r="BM294" s="717"/>
      <c r="BN294" s="717">
        <f t="shared" si="675"/>
        <v>3827171.2339909161</v>
      </c>
      <c r="BO294" s="717">
        <f t="shared" si="749"/>
        <v>7289.0781490196077</v>
      </c>
      <c r="BP294" s="717">
        <f t="shared" si="634"/>
        <v>3834460.3121399358</v>
      </c>
      <c r="BQ294" s="717">
        <f t="shared" si="750"/>
        <v>4468.4242000000004</v>
      </c>
      <c r="BR294" s="717">
        <f t="shared" si="738"/>
        <v>3838928.7363399356</v>
      </c>
      <c r="BS294" s="1234">
        <f t="shared" si="751"/>
        <v>2651.4786794501206</v>
      </c>
      <c r="BT294" s="1235">
        <f t="shared" si="676"/>
        <v>3841580.2150193858</v>
      </c>
      <c r="BU294" s="1235">
        <f t="shared" si="752"/>
        <v>211.07692307692309</v>
      </c>
      <c r="BV294" s="1235">
        <f t="shared" si="739"/>
        <v>51400</v>
      </c>
      <c r="BW294" s="717">
        <f t="shared" si="677"/>
        <v>3893191.2919424628</v>
      </c>
      <c r="BX294" s="1234">
        <f t="shared" si="743"/>
        <v>27651.078536278128</v>
      </c>
      <c r="BY294" s="717">
        <f t="shared" si="678"/>
        <v>3920842.3704787409</v>
      </c>
      <c r="BZ294" s="1194">
        <f t="shared" si="679"/>
        <v>3920842.3704787409</v>
      </c>
      <c r="CA294" s="1194">
        <f t="shared" si="680"/>
        <v>3040842.3704787409</v>
      </c>
      <c r="CB294" s="1194">
        <f t="shared" si="753"/>
        <v>40000</v>
      </c>
      <c r="CC294" s="1194">
        <f t="shared" si="681"/>
        <v>880000</v>
      </c>
      <c r="CD294" s="1194">
        <f t="shared" si="682"/>
        <v>105600</v>
      </c>
      <c r="CE294" s="1194">
        <f t="shared" si="683"/>
        <v>985600</v>
      </c>
      <c r="CF294" s="1200">
        <f t="shared" si="684"/>
        <v>4026442.3704787409</v>
      </c>
      <c r="CG294" s="757">
        <f t="shared" si="685"/>
        <v>4026442.3704787409</v>
      </c>
      <c r="CH294" s="758">
        <f t="shared" si="686"/>
        <v>0</v>
      </c>
      <c r="CI294" s="757">
        <f t="shared" si="635"/>
        <v>412710.34297407093</v>
      </c>
      <c r="CJ294" s="757">
        <f t="shared" si="636"/>
        <v>100661.05926196853</v>
      </c>
      <c r="CK294" s="759">
        <f t="shared" si="747"/>
        <v>4539813.7727147806</v>
      </c>
      <c r="CL294" s="764">
        <f t="shared" si="687"/>
        <v>0.125</v>
      </c>
      <c r="CM294" s="757">
        <f t="shared" si="688"/>
        <v>567476.72158934758</v>
      </c>
      <c r="CN294" s="757">
        <f t="shared" si="730"/>
        <v>30000</v>
      </c>
      <c r="CO294" s="757">
        <f t="shared" si="689"/>
        <v>537476.72158934758</v>
      </c>
      <c r="CP294" s="755">
        <f t="shared" si="690"/>
        <v>30</v>
      </c>
      <c r="CQ294" s="757">
        <f t="shared" si="732"/>
        <v>17915.890719644918</v>
      </c>
      <c r="CR294" s="764">
        <f t="shared" si="691"/>
        <v>0.875</v>
      </c>
      <c r="CS294" s="757">
        <f t="shared" si="692"/>
        <v>3972337.0511254333</v>
      </c>
      <c r="CT294" s="1101">
        <f t="shared" si="693"/>
        <v>30797.486876569674</v>
      </c>
      <c r="CU294" s="1101">
        <f t="shared" si="694"/>
        <v>35704.488429061021</v>
      </c>
      <c r="CV294" s="1101">
        <f t="shared" si="695"/>
        <v>46122.201394996773</v>
      </c>
      <c r="CW294" s="1141">
        <f t="shared" si="637"/>
        <v>78657.034618521313</v>
      </c>
      <c r="CX294" s="1152">
        <f t="shared" si="696"/>
        <v>322685.56479298358</v>
      </c>
      <c r="CY294" s="1152">
        <f t="shared" si="697"/>
        <v>127685.10609695042</v>
      </c>
      <c r="CZ294" s="1152">
        <f t="shared" si="698"/>
        <v>92225.143704821894</v>
      </c>
      <c r="DA294" s="1152">
        <f t="shared" si="699"/>
        <v>70187.580185697807</v>
      </c>
      <c r="DB294" s="1143">
        <f t="shared" si="638"/>
        <v>0.18193833081629268</v>
      </c>
      <c r="DC294" s="1143">
        <f t="shared" si="700"/>
        <v>0.32412071390758418</v>
      </c>
      <c r="DD294" s="1098" t="s">
        <v>232</v>
      </c>
      <c r="DE294" s="1144"/>
      <c r="DF294" s="705"/>
      <c r="DG294" s="765">
        <f t="shared" si="731"/>
        <v>46082</v>
      </c>
      <c r="DH294" s="1116">
        <f t="shared" si="639"/>
        <v>28</v>
      </c>
      <c r="DI294" s="497"/>
      <c r="DJ294" s="1117">
        <f t="shared" si="701"/>
        <v>46147</v>
      </c>
      <c r="DK294" s="1116">
        <f t="shared" si="702"/>
        <v>30</v>
      </c>
      <c r="DL294" s="766" t="s">
        <v>233</v>
      </c>
      <c r="DM294" s="766" t="s">
        <v>234</v>
      </c>
      <c r="DN294" s="767">
        <f t="shared" si="640"/>
        <v>27786.945070124697</v>
      </c>
      <c r="DO294" s="767">
        <f t="shared" si="641"/>
        <v>611312.79154274333</v>
      </c>
      <c r="DP294" s="768">
        <f t="shared" si="642"/>
        <v>0.20377093051424777</v>
      </c>
      <c r="DR294" s="767">
        <f t="shared" si="643"/>
        <v>4026442.3704787409</v>
      </c>
      <c r="DS294" s="767">
        <f>SUM('[6]INTERNAL PRICELIST'!M294)</f>
        <v>0</v>
      </c>
      <c r="DT294" s="767">
        <f t="shared" si="703"/>
        <v>4026442.3704787409</v>
      </c>
      <c r="DV294" s="951">
        <f t="shared" si="644"/>
        <v>183020.10774903369</v>
      </c>
      <c r="DX294" s="781"/>
      <c r="DY294" s="782"/>
      <c r="DZ294" s="781"/>
      <c r="EA294" s="775"/>
      <c r="ED294" s="755" t="s">
        <v>748</v>
      </c>
      <c r="EE294" s="777" t="b">
        <f t="shared" si="645"/>
        <v>1</v>
      </c>
      <c r="EF294" s="1123" t="s">
        <v>749</v>
      </c>
      <c r="EG294" s="1123" t="s">
        <v>737</v>
      </c>
      <c r="EH294" s="1203"/>
      <c r="EP294" s="1230" t="s">
        <v>258</v>
      </c>
      <c r="EQ294" s="1145" t="s">
        <v>258</v>
      </c>
      <c r="ER294" s="753" t="b">
        <f t="shared" si="704"/>
        <v>1</v>
      </c>
      <c r="EU294" s="770">
        <v>2606860</v>
      </c>
      <c r="EV294" s="771" t="s">
        <v>236</v>
      </c>
      <c r="EY294" s="775">
        <v>3150356.9644477991</v>
      </c>
      <c r="FJ294" s="994">
        <v>0.15</v>
      </c>
      <c r="FK294" s="993">
        <v>13708.740137105633</v>
      </c>
      <c r="FL294" s="993">
        <v>14079.246627297678</v>
      </c>
      <c r="FM294" s="497"/>
      <c r="FN294" s="993">
        <f t="shared" si="646"/>
        <v>4539813.7727147806</v>
      </c>
      <c r="FO294" s="994">
        <f t="shared" si="737"/>
        <v>0.15</v>
      </c>
      <c r="FP294" s="775">
        <f t="shared" si="647"/>
        <v>680972.0659072171</v>
      </c>
      <c r="FQ294" s="993">
        <f t="shared" si="648"/>
        <v>30000</v>
      </c>
      <c r="FR294" s="775">
        <f t="shared" si="706"/>
        <v>650972.0659072171</v>
      </c>
      <c r="FS294" s="497">
        <f t="shared" si="707"/>
        <v>40</v>
      </c>
      <c r="FT294" s="775">
        <f t="shared" si="708"/>
        <v>16274.301647680428</v>
      </c>
      <c r="FU294" s="497"/>
      <c r="FV294" s="993">
        <f t="shared" si="709"/>
        <v>4539813.7727147806</v>
      </c>
      <c r="FW294" s="705">
        <f t="shared" si="710"/>
        <v>453981.37727147806</v>
      </c>
      <c r="FX294" s="705">
        <f t="shared" si="711"/>
        <v>113495.34431786952</v>
      </c>
      <c r="FY294" s="705">
        <v>15000</v>
      </c>
      <c r="FZ294" s="705">
        <f t="shared" si="712"/>
        <v>438981.37727147806</v>
      </c>
      <c r="GA294" s="497">
        <f t="shared" si="713"/>
        <v>46</v>
      </c>
      <c r="GB294" s="775">
        <f t="shared" si="714"/>
        <v>9543.0734189451759</v>
      </c>
      <c r="GC294" s="497"/>
      <c r="GD294" s="497"/>
      <c r="GH294" s="1095">
        <f t="shared" si="613"/>
        <v>4539813.7727147806</v>
      </c>
      <c r="GI294" s="1098">
        <f t="shared" si="614"/>
        <v>0.125</v>
      </c>
      <c r="GJ294" s="1095">
        <f t="shared" si="615"/>
        <v>567476.72158934758</v>
      </c>
      <c r="GK294" s="1095">
        <f t="shared" si="616"/>
        <v>30000</v>
      </c>
      <c r="GL294" s="1095">
        <f t="shared" si="617"/>
        <v>537476.72158934758</v>
      </c>
      <c r="GM294" s="1095">
        <f t="shared" si="618"/>
        <v>30</v>
      </c>
      <c r="GN294" s="1095">
        <f t="shared" si="619"/>
        <v>17915.890719644918</v>
      </c>
      <c r="GO294" s="1098">
        <f t="shared" si="620"/>
        <v>0.875</v>
      </c>
      <c r="GP294" s="1095">
        <f t="shared" si="621"/>
        <v>3972337.0511254333</v>
      </c>
      <c r="GQ294" s="1095">
        <f t="shared" si="622"/>
        <v>30797.486876569674</v>
      </c>
      <c r="GR294" s="1095">
        <f t="shared" si="623"/>
        <v>35704.488429061021</v>
      </c>
      <c r="GS294" s="1095">
        <f t="shared" si="624"/>
        <v>46122.201394996773</v>
      </c>
      <c r="GT294" s="1095">
        <f t="shared" si="625"/>
        <v>78657.034618521313</v>
      </c>
      <c r="GU294" s="497"/>
      <c r="GV294" s="1095">
        <f t="shared" si="715"/>
        <v>4539813.7727147806</v>
      </c>
      <c r="GW294" s="1098">
        <f t="shared" si="716"/>
        <v>0.125</v>
      </c>
      <c r="GX294" s="1095">
        <f t="shared" si="717"/>
        <v>567476.72158934758</v>
      </c>
      <c r="GY294" s="1095">
        <f t="shared" si="718"/>
        <v>30000</v>
      </c>
      <c r="GZ294" s="1095">
        <f t="shared" si="719"/>
        <v>537476.72158934758</v>
      </c>
      <c r="HA294" s="1106">
        <f t="shared" si="720"/>
        <v>48</v>
      </c>
      <c r="HB294" s="770">
        <f t="shared" si="721"/>
        <v>11197.431699778075</v>
      </c>
      <c r="HC294" s="1098">
        <f t="shared" si="722"/>
        <v>0.875</v>
      </c>
      <c r="HD294" s="1102">
        <f t="shared" si="723"/>
        <v>3972337.0511254333</v>
      </c>
      <c r="HE294" s="1101">
        <f t="shared" si="724"/>
        <v>30797.486876569674</v>
      </c>
      <c r="HF294" s="1101">
        <f t="shared" si="725"/>
        <v>35704.488429061021</v>
      </c>
      <c r="HG294" s="1101">
        <f t="shared" si="726"/>
        <v>46122.201394996773</v>
      </c>
      <c r="HH294" s="1101">
        <f t="shared" si="727"/>
        <v>78657.034618521313</v>
      </c>
      <c r="HI294" s="497"/>
      <c r="HJ294" s="1102">
        <f t="shared" si="728"/>
        <v>-6718.4590198668429</v>
      </c>
      <c r="HL294" s="775"/>
      <c r="HN294" s="775"/>
      <c r="HO294" s="775"/>
      <c r="HQ294" s="702"/>
      <c r="HR294" s="1171"/>
      <c r="HS294" s="702"/>
      <c r="HT294" s="1171"/>
    </row>
    <row r="295" spans="1:228" ht="14.25" hidden="1" customHeight="1">
      <c r="A295" s="753">
        <f t="shared" si="729"/>
        <v>289</v>
      </c>
      <c r="B295" s="753"/>
      <c r="C295" s="753">
        <f t="shared" si="745"/>
        <v>10</v>
      </c>
      <c r="D295" s="753" t="s">
        <v>287</v>
      </c>
      <c r="E295" s="717" t="str">
        <f t="shared" si="649"/>
        <v>12th Floor</v>
      </c>
      <c r="F295" s="754"/>
      <c r="G295" s="756" t="s">
        <v>750</v>
      </c>
      <c r="H295" s="756"/>
      <c r="I295" s="755" t="s">
        <v>229</v>
      </c>
      <c r="J295" s="757">
        <v>22</v>
      </c>
      <c r="K295" s="758"/>
      <c r="L295" s="759" t="s">
        <v>277</v>
      </c>
      <c r="M295" s="760" t="s">
        <v>278</v>
      </c>
      <c r="N295" s="761">
        <f t="shared" si="650"/>
        <v>106005.26567735759</v>
      </c>
      <c r="O295" s="762">
        <f t="shared" si="651"/>
        <v>2332115.8449018667</v>
      </c>
      <c r="P295" s="762">
        <f t="shared" si="652"/>
        <v>22400</v>
      </c>
      <c r="Q295" s="762">
        <f t="shared" si="626"/>
        <v>50000</v>
      </c>
      <c r="R295" s="762"/>
      <c r="S295" s="762"/>
      <c r="T295" s="762"/>
      <c r="U295" s="762"/>
      <c r="V295" s="762"/>
      <c r="W295" s="762">
        <f>J295*$W$5</f>
        <v>22000</v>
      </c>
      <c r="X295" s="762"/>
      <c r="Y295" s="762">
        <f t="shared" si="746"/>
        <v>160000</v>
      </c>
      <c r="Z295" s="762">
        <f t="shared" si="627"/>
        <v>142461</v>
      </c>
      <c r="AA295" s="762"/>
      <c r="AB295" s="762"/>
      <c r="AC295" s="762"/>
      <c r="AD295" s="763">
        <f t="shared" si="653"/>
        <v>396861</v>
      </c>
      <c r="AE295" s="763">
        <f t="shared" si="628"/>
        <v>2728976.8449018667</v>
      </c>
      <c r="AF295" s="762">
        <f t="shared" si="629"/>
        <v>68224.421122546672</v>
      </c>
      <c r="AG295" s="762">
        <f t="shared" si="654"/>
        <v>2797201.2660244135</v>
      </c>
      <c r="AH295" s="762">
        <f t="shared" si="630"/>
        <v>69930.031650610341</v>
      </c>
      <c r="AI295" s="762">
        <f t="shared" si="655"/>
        <v>2867131.2976750238</v>
      </c>
      <c r="AJ295" s="762">
        <f t="shared" si="656"/>
        <v>143356.56488375118</v>
      </c>
      <c r="AK295" s="762">
        <f t="shared" si="657"/>
        <v>3010487.8625587751</v>
      </c>
      <c r="AL295" s="762">
        <f t="shared" si="658"/>
        <v>30104.878625587753</v>
      </c>
      <c r="AM295" s="762">
        <f t="shared" si="659"/>
        <v>27537.409960060559</v>
      </c>
      <c r="AN295" s="762"/>
      <c r="AO295" s="763">
        <f t="shared" si="660"/>
        <v>3068130.1511444231</v>
      </c>
      <c r="AP295" s="763">
        <f t="shared" si="661"/>
        <v>506241.47493882984</v>
      </c>
      <c r="AQ295" s="763">
        <f t="shared" si="662"/>
        <v>3574371.626083253</v>
      </c>
      <c r="AR295" s="1178">
        <f t="shared" si="631"/>
        <v>3000000</v>
      </c>
      <c r="AS295" s="1178">
        <f t="shared" si="663"/>
        <v>26107.801185602406</v>
      </c>
      <c r="AT295" s="1178">
        <f t="shared" si="664"/>
        <v>574371.62608325295</v>
      </c>
      <c r="AU295" s="1178">
        <f t="shared" si="632"/>
        <v>68924.595129990354</v>
      </c>
      <c r="AV295" s="1178">
        <f t="shared" si="665"/>
        <v>643296.22121324332</v>
      </c>
      <c r="AW295" s="1178">
        <f t="shared" si="666"/>
        <v>3643296.2212132434</v>
      </c>
      <c r="AX295" s="762">
        <f t="shared" si="667"/>
        <v>45541.202765165544</v>
      </c>
      <c r="AY295" s="717" t="s">
        <v>231</v>
      </c>
      <c r="AZ295" s="717">
        <f t="shared" si="668"/>
        <v>3688837.4239784088</v>
      </c>
      <c r="BA295" s="717">
        <f t="shared" si="669"/>
        <v>138331.40339919031</v>
      </c>
      <c r="BB295" s="717"/>
      <c r="BC295" s="717">
        <f t="shared" si="633"/>
        <v>33600</v>
      </c>
      <c r="BD295" s="717">
        <f t="shared" si="670"/>
        <v>3860768.8273775992</v>
      </c>
      <c r="BE295" s="717"/>
      <c r="BF295" s="717">
        <f t="shared" si="671"/>
        <v>3860768.8273775992</v>
      </c>
      <c r="BG295" s="1209"/>
      <c r="BH295" s="717">
        <f t="shared" si="672"/>
        <v>3860768.8273775992</v>
      </c>
      <c r="BI295" s="717"/>
      <c r="BJ295" s="717">
        <f t="shared" si="673"/>
        <v>3860768.8273775992</v>
      </c>
      <c r="BK295" s="717"/>
      <c r="BL295" s="717">
        <f t="shared" si="674"/>
        <v>3860768.8273775992</v>
      </c>
      <c r="BM295" s="717"/>
      <c r="BN295" s="717">
        <f t="shared" si="675"/>
        <v>3860768.8273775992</v>
      </c>
      <c r="BO295" s="717"/>
      <c r="BP295" s="717">
        <f t="shared" si="634"/>
        <v>3860768.8273775992</v>
      </c>
      <c r="BQ295" s="717"/>
      <c r="BR295" s="717">
        <f t="shared" si="738"/>
        <v>3860768.8273775992</v>
      </c>
      <c r="BS295" s="717"/>
      <c r="BT295" s="717">
        <f t="shared" si="676"/>
        <v>3860768.8273775992</v>
      </c>
      <c r="BU295" s="717"/>
      <c r="BV295" s="1235">
        <f t="shared" si="739"/>
        <v>51400</v>
      </c>
      <c r="BW295" s="717">
        <f t="shared" si="677"/>
        <v>3912168.8273775992</v>
      </c>
      <c r="BX295" s="717"/>
      <c r="BY295" s="717">
        <f t="shared" si="678"/>
        <v>3912168.8273775992</v>
      </c>
      <c r="BZ295" s="1194">
        <f t="shared" si="679"/>
        <v>3912168.8273775992</v>
      </c>
      <c r="CA295" s="1194">
        <f t="shared" si="680"/>
        <v>3032168.8273775992</v>
      </c>
      <c r="CB295" s="1194">
        <v>40000</v>
      </c>
      <c r="CC295" s="1194">
        <f t="shared" si="681"/>
        <v>880000</v>
      </c>
      <c r="CD295" s="1194">
        <f t="shared" si="682"/>
        <v>105600</v>
      </c>
      <c r="CE295" s="1194">
        <f t="shared" si="683"/>
        <v>985600</v>
      </c>
      <c r="CF295" s="1200">
        <f t="shared" si="684"/>
        <v>4017768.8273775992</v>
      </c>
      <c r="CG295" s="757">
        <f t="shared" si="685"/>
        <v>4017768.8273775992</v>
      </c>
      <c r="CH295" s="758">
        <f t="shared" si="686"/>
        <v>0</v>
      </c>
      <c r="CI295" s="757">
        <f t="shared" si="635"/>
        <v>411821.30480620387</v>
      </c>
      <c r="CJ295" s="757">
        <f t="shared" si="636"/>
        <v>100444.22068443999</v>
      </c>
      <c r="CK295" s="759">
        <f t="shared" si="747"/>
        <v>4530034.3528682431</v>
      </c>
      <c r="CL295" s="764">
        <f t="shared" si="687"/>
        <v>0.125</v>
      </c>
      <c r="CM295" s="757">
        <f t="shared" si="688"/>
        <v>566254.29410853039</v>
      </c>
      <c r="CN295" s="757">
        <f t="shared" si="730"/>
        <v>30000</v>
      </c>
      <c r="CO295" s="757">
        <f t="shared" si="689"/>
        <v>536254.29410853039</v>
      </c>
      <c r="CP295" s="755">
        <f t="shared" si="690"/>
        <v>30</v>
      </c>
      <c r="CQ295" s="757">
        <f t="shared" si="732"/>
        <v>17875.143136951014</v>
      </c>
      <c r="CR295" s="764">
        <f t="shared" si="691"/>
        <v>0.875</v>
      </c>
      <c r="CS295" s="757">
        <f t="shared" si="692"/>
        <v>3963780.0587597126</v>
      </c>
      <c r="CT295" s="1101">
        <f t="shared" si="693"/>
        <v>30731.144605837257</v>
      </c>
      <c r="CU295" s="1101">
        <f t="shared" si="694"/>
        <v>35627.575762543238</v>
      </c>
      <c r="CV295" s="1101">
        <f t="shared" si="695"/>
        <v>46022.84745796986</v>
      </c>
      <c r="CW295" s="1141">
        <f t="shared" si="637"/>
        <v>78487.595913779413</v>
      </c>
      <c r="CX295" s="1152">
        <f t="shared" si="696"/>
        <v>321990.45310459367</v>
      </c>
      <c r="CY295" s="1152">
        <f t="shared" si="697"/>
        <v>127410.05378793798</v>
      </c>
      <c r="CZ295" s="1152">
        <f t="shared" si="698"/>
        <v>92026.477317641591</v>
      </c>
      <c r="DA295" s="1152">
        <f t="shared" si="699"/>
        <v>70036.385918925502</v>
      </c>
      <c r="DB295" s="1143">
        <f t="shared" si="638"/>
        <v>0.19145720869441765</v>
      </c>
      <c r="DC295" s="1143">
        <f t="shared" si="700"/>
        <v>0.32504786379339101</v>
      </c>
      <c r="DD295" s="1098" t="s">
        <v>232</v>
      </c>
      <c r="DE295" s="1144"/>
      <c r="DF295" s="705"/>
      <c r="DG295" s="765">
        <f t="shared" si="731"/>
        <v>46082</v>
      </c>
      <c r="DH295" s="1116">
        <f t="shared" si="639"/>
        <v>28</v>
      </c>
      <c r="DI295" s="497"/>
      <c r="DJ295" s="1117">
        <f t="shared" si="701"/>
        <v>46147</v>
      </c>
      <c r="DK295" s="1116">
        <f t="shared" si="702"/>
        <v>30</v>
      </c>
      <c r="DL295" s="766" t="s">
        <v>233</v>
      </c>
      <c r="DM295" s="766" t="s">
        <v>234</v>
      </c>
      <c r="DN295" s="767">
        <f t="shared" si="640"/>
        <v>29240.737327874696</v>
      </c>
      <c r="DO295" s="767">
        <f t="shared" si="641"/>
        <v>643296.22121324332</v>
      </c>
      <c r="DP295" s="768">
        <f t="shared" si="642"/>
        <v>0.21443207373774778</v>
      </c>
      <c r="DR295" s="767">
        <f t="shared" si="643"/>
        <v>4017768.8273775992</v>
      </c>
      <c r="DS295" s="767">
        <f>SUM('[6]INTERNAL PRICELIST'!M295)</f>
        <v>0</v>
      </c>
      <c r="DT295" s="767">
        <f t="shared" si="703"/>
        <v>4017768.8273775992</v>
      </c>
      <c r="DV295" s="951">
        <f t="shared" si="644"/>
        <v>182625.85578989086</v>
      </c>
      <c r="DX295" s="781"/>
      <c r="DY295" s="782"/>
      <c r="DZ295" s="781"/>
      <c r="EA295" s="775"/>
      <c r="ED295" s="755" t="s">
        <v>750</v>
      </c>
      <c r="EE295" s="777" t="b">
        <f t="shared" si="645"/>
        <v>1</v>
      </c>
      <c r="EF295" s="777"/>
      <c r="EG295" s="777"/>
      <c r="EH295" s="1203"/>
      <c r="EP295" s="1230" t="s">
        <v>236</v>
      </c>
      <c r="EQ295" s="1145" t="s">
        <v>236</v>
      </c>
      <c r="ER295" s="753" t="b">
        <f t="shared" si="704"/>
        <v>1</v>
      </c>
      <c r="EU295" s="770">
        <v>3212026.0824007285</v>
      </c>
      <c r="EV295" s="771" t="s">
        <v>258</v>
      </c>
      <c r="EW295" s="775">
        <f>EU295-CG295</f>
        <v>-805742.74497687072</v>
      </c>
      <c r="EY295" s="775">
        <v>3177939.6655552988</v>
      </c>
      <c r="FJ295" s="994">
        <v>0.15</v>
      </c>
      <c r="FK295" s="993">
        <v>13830.926663941489</v>
      </c>
      <c r="FL295" s="993">
        <v>14204.735492696665</v>
      </c>
      <c r="FM295" s="497"/>
      <c r="FN295" s="993">
        <f t="shared" si="646"/>
        <v>4530034.3528682431</v>
      </c>
      <c r="FO295" s="994">
        <f t="shared" ref="FO295:FO298" si="754">FJ295</f>
        <v>0.15</v>
      </c>
      <c r="FP295" s="775">
        <f t="shared" si="647"/>
        <v>679505.15293023642</v>
      </c>
      <c r="FQ295" s="993">
        <f t="shared" si="648"/>
        <v>30000</v>
      </c>
      <c r="FR295" s="775">
        <f t="shared" si="706"/>
        <v>649505.15293023642</v>
      </c>
      <c r="FS295" s="497">
        <f t="shared" si="707"/>
        <v>40</v>
      </c>
      <c r="FT295" s="775">
        <f t="shared" si="708"/>
        <v>16237.628823255911</v>
      </c>
      <c r="FU295" s="497"/>
      <c r="FV295" s="993">
        <f t="shared" si="709"/>
        <v>4530034.3528682431</v>
      </c>
      <c r="FW295" s="705">
        <f t="shared" si="710"/>
        <v>453003.43528682436</v>
      </c>
      <c r="FX295" s="705">
        <f t="shared" si="711"/>
        <v>113250.85882170609</v>
      </c>
      <c r="FY295" s="705">
        <v>15000</v>
      </c>
      <c r="FZ295" s="705">
        <f t="shared" si="712"/>
        <v>438003.43528682436</v>
      </c>
      <c r="GA295" s="497">
        <f t="shared" si="713"/>
        <v>46</v>
      </c>
      <c r="GB295" s="775">
        <f t="shared" si="714"/>
        <v>9521.8138105831385</v>
      </c>
      <c r="GC295" s="497"/>
      <c r="GD295" s="497"/>
      <c r="GH295" s="1095">
        <f t="shared" si="613"/>
        <v>4530034.3528682431</v>
      </c>
      <c r="GI295" s="1098">
        <f t="shared" si="614"/>
        <v>0.125</v>
      </c>
      <c r="GJ295" s="1095">
        <f t="shared" si="615"/>
        <v>566254.29410853039</v>
      </c>
      <c r="GK295" s="1095">
        <f t="shared" si="616"/>
        <v>30000</v>
      </c>
      <c r="GL295" s="1095">
        <f t="shared" si="617"/>
        <v>536254.29410853039</v>
      </c>
      <c r="GM295" s="1095">
        <f t="shared" si="618"/>
        <v>30</v>
      </c>
      <c r="GN295" s="1095">
        <f t="shared" si="619"/>
        <v>17875.143136951014</v>
      </c>
      <c r="GO295" s="1098">
        <f t="shared" si="620"/>
        <v>0.875</v>
      </c>
      <c r="GP295" s="1095">
        <f t="shared" si="621"/>
        <v>3963780.0587597126</v>
      </c>
      <c r="GQ295" s="1095">
        <f t="shared" si="622"/>
        <v>30731.144605837257</v>
      </c>
      <c r="GR295" s="1095">
        <f t="shared" si="623"/>
        <v>35627.575762543238</v>
      </c>
      <c r="GS295" s="1095">
        <f t="shared" si="624"/>
        <v>46022.84745796986</v>
      </c>
      <c r="GT295" s="1095">
        <f t="shared" si="625"/>
        <v>78487.595913779413</v>
      </c>
      <c r="GU295" s="497"/>
      <c r="GV295" s="1095">
        <f t="shared" si="715"/>
        <v>4530034.3528682431</v>
      </c>
      <c r="GW295" s="1098">
        <f t="shared" si="716"/>
        <v>0.125</v>
      </c>
      <c r="GX295" s="1095">
        <f t="shared" si="717"/>
        <v>566254.29410853039</v>
      </c>
      <c r="GY295" s="1095">
        <f t="shared" si="718"/>
        <v>30000</v>
      </c>
      <c r="GZ295" s="1095">
        <f t="shared" si="719"/>
        <v>536254.29410853039</v>
      </c>
      <c r="HA295" s="1106">
        <f t="shared" si="720"/>
        <v>48</v>
      </c>
      <c r="HB295" s="770">
        <f t="shared" si="721"/>
        <v>11171.964460594383</v>
      </c>
      <c r="HC295" s="1098">
        <f t="shared" si="722"/>
        <v>0.875</v>
      </c>
      <c r="HD295" s="1102">
        <f t="shared" si="723"/>
        <v>3963780.0587597126</v>
      </c>
      <c r="HE295" s="1101">
        <f t="shared" si="724"/>
        <v>30731.144605837257</v>
      </c>
      <c r="HF295" s="1101">
        <f t="shared" si="725"/>
        <v>35627.575762543238</v>
      </c>
      <c r="HG295" s="1101">
        <f t="shared" si="726"/>
        <v>46022.84745796986</v>
      </c>
      <c r="HH295" s="1101">
        <f t="shared" si="727"/>
        <v>78487.595913779413</v>
      </c>
      <c r="HI295" s="497"/>
      <c r="HJ295" s="1102">
        <f t="shared" si="728"/>
        <v>-6703.1786763566306</v>
      </c>
      <c r="HL295" s="775"/>
      <c r="HN295" s="775"/>
      <c r="HO295" s="775"/>
      <c r="HQ295" s="702"/>
      <c r="HR295" s="1171"/>
      <c r="HS295" s="702"/>
      <c r="HT295" s="1171"/>
    </row>
    <row r="296" spans="1:228" ht="14.25" hidden="1" customHeight="1">
      <c r="A296" s="753">
        <f t="shared" si="729"/>
        <v>290</v>
      </c>
      <c r="B296" s="753"/>
      <c r="C296" s="753">
        <f t="shared" si="745"/>
        <v>11</v>
      </c>
      <c r="D296" s="753" t="s">
        <v>287</v>
      </c>
      <c r="E296" s="717" t="str">
        <f t="shared" si="649"/>
        <v>12th Floor</v>
      </c>
      <c r="F296" s="754"/>
      <c r="G296" s="756" t="s">
        <v>751</v>
      </c>
      <c r="H296" s="756"/>
      <c r="I296" s="755" t="s">
        <v>229</v>
      </c>
      <c r="J296" s="757">
        <v>22</v>
      </c>
      <c r="K296" s="758"/>
      <c r="L296" s="759" t="s">
        <v>277</v>
      </c>
      <c r="M296" s="760" t="s">
        <v>68</v>
      </c>
      <c r="N296" s="761">
        <f t="shared" si="650"/>
        <v>106005.26567735759</v>
      </c>
      <c r="O296" s="762">
        <f t="shared" si="651"/>
        <v>2332115.8449018667</v>
      </c>
      <c r="P296" s="762">
        <f t="shared" si="652"/>
        <v>22400</v>
      </c>
      <c r="Q296" s="762">
        <f t="shared" si="626"/>
        <v>50000</v>
      </c>
      <c r="R296" s="762"/>
      <c r="S296" s="762"/>
      <c r="T296" s="762"/>
      <c r="U296" s="762"/>
      <c r="V296" s="762"/>
      <c r="W296" s="762"/>
      <c r="X296" s="762"/>
      <c r="Y296" s="762">
        <f t="shared" si="746"/>
        <v>160000</v>
      </c>
      <c r="Z296" s="762">
        <f t="shared" si="627"/>
        <v>142461</v>
      </c>
      <c r="AA296" s="762"/>
      <c r="AB296" s="762"/>
      <c r="AC296" s="762"/>
      <c r="AD296" s="763">
        <f t="shared" si="653"/>
        <v>374861</v>
      </c>
      <c r="AE296" s="763">
        <f t="shared" si="628"/>
        <v>2706976.8449018667</v>
      </c>
      <c r="AF296" s="762">
        <f t="shared" si="629"/>
        <v>67674.421122546672</v>
      </c>
      <c r="AG296" s="762">
        <f t="shared" si="654"/>
        <v>2774651.2660244135</v>
      </c>
      <c r="AH296" s="762">
        <f t="shared" si="630"/>
        <v>69366.281650610341</v>
      </c>
      <c r="AI296" s="762">
        <f t="shared" si="655"/>
        <v>2844017.5476750238</v>
      </c>
      <c r="AJ296" s="762">
        <f t="shared" si="656"/>
        <v>142200.87738375118</v>
      </c>
      <c r="AK296" s="762">
        <f t="shared" si="657"/>
        <v>2986218.4250587751</v>
      </c>
      <c r="AL296" s="762">
        <f t="shared" si="658"/>
        <v>29862.18425058775</v>
      </c>
      <c r="AM296" s="762">
        <f t="shared" si="659"/>
        <v>27537.409960060559</v>
      </c>
      <c r="AN296" s="762"/>
      <c r="AO296" s="763">
        <f t="shared" si="660"/>
        <v>3043618.0192694231</v>
      </c>
      <c r="AP296" s="763">
        <f t="shared" si="661"/>
        <v>502196.97317945486</v>
      </c>
      <c r="AQ296" s="763">
        <f t="shared" si="662"/>
        <v>3545814.992448878</v>
      </c>
      <c r="AR296" s="1178">
        <f t="shared" si="631"/>
        <v>3000000</v>
      </c>
      <c r="AS296" s="1178">
        <f t="shared" si="663"/>
        <v>24809.772384039909</v>
      </c>
      <c r="AT296" s="1178">
        <f t="shared" si="664"/>
        <v>545814.99244887801</v>
      </c>
      <c r="AU296" s="1178">
        <f t="shared" si="632"/>
        <v>65497.79909386536</v>
      </c>
      <c r="AV296" s="1178">
        <f t="shared" si="665"/>
        <v>611312.79154274333</v>
      </c>
      <c r="AW296" s="1178">
        <f t="shared" si="666"/>
        <v>3611312.7915427433</v>
      </c>
      <c r="AX296" s="762">
        <f t="shared" si="667"/>
        <v>45141.409894284297</v>
      </c>
      <c r="AY296" s="717" t="s">
        <v>231</v>
      </c>
      <c r="AZ296" s="717">
        <f t="shared" si="668"/>
        <v>3656454.2014370277</v>
      </c>
      <c r="BA296" s="717">
        <f t="shared" si="669"/>
        <v>137117.03255388854</v>
      </c>
      <c r="BB296" s="717"/>
      <c r="BC296" s="717">
        <f t="shared" si="633"/>
        <v>33600</v>
      </c>
      <c r="BD296" s="717">
        <f t="shared" si="670"/>
        <v>3827171.2339909161</v>
      </c>
      <c r="BE296" s="717"/>
      <c r="BF296" s="717">
        <f t="shared" si="671"/>
        <v>3827171.2339909161</v>
      </c>
      <c r="BG296" s="1209"/>
      <c r="BH296" s="717">
        <f t="shared" si="672"/>
        <v>3827171.2339909161</v>
      </c>
      <c r="BI296" s="717"/>
      <c r="BJ296" s="717">
        <f t="shared" si="673"/>
        <v>3827171.2339909161</v>
      </c>
      <c r="BK296" s="717"/>
      <c r="BL296" s="717">
        <f t="shared" si="674"/>
        <v>3827171.2339909161</v>
      </c>
      <c r="BM296" s="717"/>
      <c r="BN296" s="717">
        <f t="shared" si="675"/>
        <v>3827171.2339909161</v>
      </c>
      <c r="BO296" s="717"/>
      <c r="BP296" s="717">
        <f t="shared" si="634"/>
        <v>3827171.2339909161</v>
      </c>
      <c r="BQ296" s="717"/>
      <c r="BR296" s="717">
        <f t="shared" si="738"/>
        <v>3827171.2339909161</v>
      </c>
      <c r="BS296" s="717"/>
      <c r="BT296" s="717">
        <f t="shared" si="676"/>
        <v>3827171.2339909161</v>
      </c>
      <c r="BU296" s="717"/>
      <c r="BV296" s="1235">
        <f t="shared" si="739"/>
        <v>51400</v>
      </c>
      <c r="BW296" s="717">
        <f t="shared" si="677"/>
        <v>3878571.2339909161</v>
      </c>
      <c r="BX296" s="717"/>
      <c r="BY296" s="717">
        <f t="shared" si="678"/>
        <v>3878571.2339909161</v>
      </c>
      <c r="BZ296" s="1194">
        <f t="shared" si="679"/>
        <v>3878571.2339909161</v>
      </c>
      <c r="CA296" s="1194">
        <f t="shared" si="680"/>
        <v>3042571.2339909161</v>
      </c>
      <c r="CB296" s="1194">
        <v>38000</v>
      </c>
      <c r="CC296" s="1194">
        <f t="shared" si="681"/>
        <v>836000</v>
      </c>
      <c r="CD296" s="1194">
        <f t="shared" si="682"/>
        <v>100320</v>
      </c>
      <c r="CE296" s="1194">
        <f t="shared" si="683"/>
        <v>936320</v>
      </c>
      <c r="CF296" s="1200">
        <f t="shared" si="684"/>
        <v>3978891.2339909161</v>
      </c>
      <c r="CG296" s="757">
        <f t="shared" si="685"/>
        <v>3978891.2339909161</v>
      </c>
      <c r="CH296" s="758">
        <f t="shared" si="686"/>
        <v>0</v>
      </c>
      <c r="CI296" s="757">
        <f t="shared" si="635"/>
        <v>407836.35148406884</v>
      </c>
      <c r="CJ296" s="757">
        <f t="shared" si="636"/>
        <v>99472.280849772913</v>
      </c>
      <c r="CK296" s="759">
        <f t="shared" si="747"/>
        <v>4486199.8663247572</v>
      </c>
      <c r="CL296" s="764">
        <f t="shared" si="687"/>
        <v>0.125</v>
      </c>
      <c r="CM296" s="757">
        <f t="shared" si="688"/>
        <v>560774.98329059465</v>
      </c>
      <c r="CN296" s="757">
        <f t="shared" si="730"/>
        <v>30000</v>
      </c>
      <c r="CO296" s="757">
        <f t="shared" si="689"/>
        <v>530774.98329059465</v>
      </c>
      <c r="CP296" s="755">
        <f t="shared" si="690"/>
        <v>30</v>
      </c>
      <c r="CQ296" s="757">
        <f t="shared" si="732"/>
        <v>17692.49944301982</v>
      </c>
      <c r="CR296" s="764">
        <f t="shared" si="691"/>
        <v>0.875</v>
      </c>
      <c r="CS296" s="757">
        <f t="shared" si="692"/>
        <v>3925424.8830341627</v>
      </c>
      <c r="CT296" s="1101">
        <f t="shared" si="693"/>
        <v>30433.777336682313</v>
      </c>
      <c r="CU296" s="1101">
        <f t="shared" si="694"/>
        <v>35282.828599786866</v>
      </c>
      <c r="CV296" s="1101">
        <f t="shared" si="695"/>
        <v>45577.511345604187</v>
      </c>
      <c r="CW296" s="1141">
        <f t="shared" si="637"/>
        <v>77728.117464187817</v>
      </c>
      <c r="CX296" s="1152">
        <f t="shared" si="696"/>
        <v>318874.74026793323</v>
      </c>
      <c r="CY296" s="1152">
        <f t="shared" si="697"/>
        <v>126177.18139598006</v>
      </c>
      <c r="CZ296" s="1152">
        <f t="shared" si="698"/>
        <v>91135.991050341981</v>
      </c>
      <c r="DA296" s="1152">
        <f t="shared" si="699"/>
        <v>69358.684873640115</v>
      </c>
      <c r="DB296" s="1143">
        <f t="shared" si="638"/>
        <v>0.18193833081629268</v>
      </c>
      <c r="DC296" s="1143">
        <f t="shared" si="700"/>
        <v>0.30773971354873969</v>
      </c>
      <c r="DD296" s="1098" t="s">
        <v>232</v>
      </c>
      <c r="DE296" s="1144"/>
      <c r="DF296" s="705"/>
      <c r="DG296" s="765">
        <f t="shared" si="731"/>
        <v>46082</v>
      </c>
      <c r="DH296" s="1116">
        <f t="shared" si="639"/>
        <v>28</v>
      </c>
      <c r="DI296" s="497"/>
      <c r="DJ296" s="1117">
        <f t="shared" si="701"/>
        <v>46147</v>
      </c>
      <c r="DK296" s="1116">
        <f t="shared" si="702"/>
        <v>30</v>
      </c>
      <c r="DL296" s="766" t="s">
        <v>233</v>
      </c>
      <c r="DM296" s="766" t="s">
        <v>234</v>
      </c>
      <c r="DN296" s="767">
        <f t="shared" si="640"/>
        <v>27786.945070124697</v>
      </c>
      <c r="DO296" s="767">
        <f t="shared" si="641"/>
        <v>611312.79154274333</v>
      </c>
      <c r="DP296" s="768">
        <f t="shared" si="642"/>
        <v>0.20377093051424777</v>
      </c>
      <c r="DR296" s="767">
        <f t="shared" si="643"/>
        <v>3978891.2339909161</v>
      </c>
      <c r="DS296" s="767">
        <f>SUM('[6]INTERNAL PRICELIST'!M296)</f>
        <v>0</v>
      </c>
      <c r="DT296" s="767">
        <f t="shared" si="703"/>
        <v>3978891.2339909161</v>
      </c>
      <c r="DV296" s="951">
        <f t="shared" si="644"/>
        <v>180858.69245413254</v>
      </c>
      <c r="DX296" s="781"/>
      <c r="DY296" s="782"/>
      <c r="DZ296" s="781"/>
      <c r="EA296" s="775"/>
      <c r="ED296" s="755" t="s">
        <v>751</v>
      </c>
      <c r="EE296" s="777" t="b">
        <f t="shared" si="645"/>
        <v>1</v>
      </c>
      <c r="EF296" s="777"/>
      <c r="EG296" s="777"/>
      <c r="EH296" s="1203"/>
      <c r="EP296" s="1230" t="s">
        <v>236</v>
      </c>
      <c r="EQ296" s="1145" t="s">
        <v>236</v>
      </c>
      <c r="ER296" s="753" t="b">
        <f t="shared" si="704"/>
        <v>1</v>
      </c>
      <c r="EU296" s="770">
        <v>3184197.1274007284</v>
      </c>
      <c r="EV296" s="771" t="s">
        <v>258</v>
      </c>
      <c r="EW296" s="775">
        <f>EU296-CG296</f>
        <v>-794694.10659018764</v>
      </c>
      <c r="EY296" s="775">
        <v>3150356.9644477991</v>
      </c>
      <c r="FJ296" s="994">
        <v>0.15</v>
      </c>
      <c r="FK296" s="993">
        <v>13708.740137105633</v>
      </c>
      <c r="FL296" s="993">
        <v>14079.246627297678</v>
      </c>
      <c r="FM296" s="497"/>
      <c r="FN296" s="993">
        <f t="shared" si="646"/>
        <v>4486199.8663247572</v>
      </c>
      <c r="FO296" s="994">
        <f t="shared" si="754"/>
        <v>0.15</v>
      </c>
      <c r="FP296" s="775">
        <f t="shared" si="647"/>
        <v>672929.97994871356</v>
      </c>
      <c r="FQ296" s="993">
        <f t="shared" si="648"/>
        <v>30000</v>
      </c>
      <c r="FR296" s="775">
        <f t="shared" si="706"/>
        <v>642929.97994871356</v>
      </c>
      <c r="FS296" s="497">
        <f t="shared" si="707"/>
        <v>40</v>
      </c>
      <c r="FT296" s="775">
        <f t="shared" si="708"/>
        <v>16073.24949871784</v>
      </c>
      <c r="FU296" s="497"/>
      <c r="FV296" s="993">
        <f t="shared" si="709"/>
        <v>4486199.8663247572</v>
      </c>
      <c r="FW296" s="705">
        <f t="shared" si="710"/>
        <v>448619.98663247575</v>
      </c>
      <c r="FX296" s="705">
        <f t="shared" si="711"/>
        <v>112154.99665811894</v>
      </c>
      <c r="FY296" s="705">
        <v>15000</v>
      </c>
      <c r="FZ296" s="705">
        <f t="shared" si="712"/>
        <v>433619.98663247575</v>
      </c>
      <c r="GA296" s="497">
        <f t="shared" si="713"/>
        <v>46</v>
      </c>
      <c r="GB296" s="775">
        <f t="shared" si="714"/>
        <v>9426.5214485320812</v>
      </c>
      <c r="GC296" s="497"/>
      <c r="GD296" s="497"/>
      <c r="GH296" s="1095">
        <f t="shared" si="613"/>
        <v>4486199.8663247572</v>
      </c>
      <c r="GI296" s="1098">
        <f t="shared" si="614"/>
        <v>0.125</v>
      </c>
      <c r="GJ296" s="1095">
        <f t="shared" si="615"/>
        <v>560774.98329059465</v>
      </c>
      <c r="GK296" s="1095">
        <f t="shared" si="616"/>
        <v>30000</v>
      </c>
      <c r="GL296" s="1095">
        <f t="shared" si="617"/>
        <v>530774.98329059465</v>
      </c>
      <c r="GM296" s="1095">
        <f t="shared" si="618"/>
        <v>30</v>
      </c>
      <c r="GN296" s="1095">
        <f t="shared" si="619"/>
        <v>17692.49944301982</v>
      </c>
      <c r="GO296" s="1098">
        <f t="shared" si="620"/>
        <v>0.875</v>
      </c>
      <c r="GP296" s="1095">
        <f t="shared" si="621"/>
        <v>3925424.8830341627</v>
      </c>
      <c r="GQ296" s="1095">
        <f t="shared" si="622"/>
        <v>30433.777336682313</v>
      </c>
      <c r="GR296" s="1095">
        <f t="shared" si="623"/>
        <v>35282.828599786866</v>
      </c>
      <c r="GS296" s="1095">
        <f t="shared" si="624"/>
        <v>45577.511345604187</v>
      </c>
      <c r="GT296" s="1095">
        <f t="shared" si="625"/>
        <v>77728.117464187817</v>
      </c>
      <c r="GU296" s="497"/>
      <c r="GV296" s="1095">
        <f t="shared" si="715"/>
        <v>4486199.8663247572</v>
      </c>
      <c r="GW296" s="1098">
        <f t="shared" si="716"/>
        <v>0.125</v>
      </c>
      <c r="GX296" s="1095">
        <f t="shared" si="717"/>
        <v>560774.98329059465</v>
      </c>
      <c r="GY296" s="1095">
        <f t="shared" si="718"/>
        <v>30000</v>
      </c>
      <c r="GZ296" s="1095">
        <f t="shared" si="719"/>
        <v>530774.98329059465</v>
      </c>
      <c r="HA296" s="1106">
        <f t="shared" si="720"/>
        <v>48</v>
      </c>
      <c r="HB296" s="770">
        <f t="shared" si="721"/>
        <v>11057.812151887389</v>
      </c>
      <c r="HC296" s="1098">
        <f t="shared" si="722"/>
        <v>0.875</v>
      </c>
      <c r="HD296" s="1102">
        <f t="shared" si="723"/>
        <v>3925424.8830341627</v>
      </c>
      <c r="HE296" s="1101">
        <f t="shared" si="724"/>
        <v>30433.777336682313</v>
      </c>
      <c r="HF296" s="1101">
        <f t="shared" si="725"/>
        <v>35282.828599786866</v>
      </c>
      <c r="HG296" s="1101">
        <f t="shared" si="726"/>
        <v>45577.511345604187</v>
      </c>
      <c r="HH296" s="1101">
        <f t="shared" si="727"/>
        <v>77728.117464187817</v>
      </c>
      <c r="HI296" s="497"/>
      <c r="HJ296" s="1102">
        <f t="shared" si="728"/>
        <v>-6634.6872911324317</v>
      </c>
      <c r="HL296" s="775"/>
      <c r="HN296" s="775"/>
      <c r="HO296" s="775"/>
      <c r="HQ296" s="702"/>
      <c r="HR296" s="1171"/>
      <c r="HS296" s="702"/>
      <c r="HT296" s="1171"/>
    </row>
    <row r="297" spans="1:228" ht="14.25" customHeight="1">
      <c r="A297" s="753">
        <f t="shared" si="729"/>
        <v>291</v>
      </c>
      <c r="B297" s="753"/>
      <c r="C297" s="753">
        <f t="shared" si="745"/>
        <v>12</v>
      </c>
      <c r="D297" s="753" t="s">
        <v>287</v>
      </c>
      <c r="E297" s="717" t="str">
        <f t="shared" si="649"/>
        <v>12th Floor</v>
      </c>
      <c r="F297" s="754"/>
      <c r="G297" s="756" t="s">
        <v>752</v>
      </c>
      <c r="H297" s="756"/>
      <c r="I297" s="755" t="s">
        <v>229</v>
      </c>
      <c r="J297" s="757">
        <v>22</v>
      </c>
      <c r="K297" s="758"/>
      <c r="L297" s="759" t="s">
        <v>277</v>
      </c>
      <c r="M297" s="760" t="s">
        <v>68</v>
      </c>
      <c r="N297" s="761">
        <f t="shared" si="650"/>
        <v>106005.26567735759</v>
      </c>
      <c r="O297" s="762">
        <f t="shared" si="651"/>
        <v>2332115.8449018667</v>
      </c>
      <c r="P297" s="762">
        <f t="shared" si="652"/>
        <v>22400</v>
      </c>
      <c r="Q297" s="762">
        <f t="shared" si="626"/>
        <v>50000</v>
      </c>
      <c r="R297" s="762"/>
      <c r="S297" s="762"/>
      <c r="T297" s="762"/>
      <c r="U297" s="762"/>
      <c r="V297" s="762"/>
      <c r="W297" s="762"/>
      <c r="X297" s="762"/>
      <c r="Y297" s="762">
        <f t="shared" si="746"/>
        <v>160000</v>
      </c>
      <c r="Z297" s="762">
        <f t="shared" si="627"/>
        <v>142461</v>
      </c>
      <c r="AA297" s="762"/>
      <c r="AB297" s="762"/>
      <c r="AC297" s="762"/>
      <c r="AD297" s="763">
        <f t="shared" si="653"/>
        <v>374861</v>
      </c>
      <c r="AE297" s="763">
        <f t="shared" si="628"/>
        <v>2706976.8449018667</v>
      </c>
      <c r="AF297" s="762">
        <f t="shared" si="629"/>
        <v>67674.421122546672</v>
      </c>
      <c r="AG297" s="762">
        <f t="shared" si="654"/>
        <v>2774651.2660244135</v>
      </c>
      <c r="AH297" s="762">
        <f t="shared" si="630"/>
        <v>69366.281650610341</v>
      </c>
      <c r="AI297" s="762">
        <f t="shared" si="655"/>
        <v>2844017.5476750238</v>
      </c>
      <c r="AJ297" s="762">
        <f t="shared" si="656"/>
        <v>142200.87738375118</v>
      </c>
      <c r="AK297" s="762">
        <f t="shared" si="657"/>
        <v>2986218.4250587751</v>
      </c>
      <c r="AL297" s="762">
        <f t="shared" si="658"/>
        <v>29862.18425058775</v>
      </c>
      <c r="AM297" s="762">
        <f t="shared" si="659"/>
        <v>27537.409960060559</v>
      </c>
      <c r="AN297" s="762"/>
      <c r="AO297" s="763">
        <f t="shared" si="660"/>
        <v>3043618.0192694231</v>
      </c>
      <c r="AP297" s="763">
        <f t="shared" si="661"/>
        <v>502196.97317945486</v>
      </c>
      <c r="AQ297" s="763">
        <f t="shared" si="662"/>
        <v>3545814.992448878</v>
      </c>
      <c r="AR297" s="1178">
        <f t="shared" si="631"/>
        <v>3000000</v>
      </c>
      <c r="AS297" s="1178">
        <f t="shared" si="663"/>
        <v>24809.772384039909</v>
      </c>
      <c r="AT297" s="1178">
        <f t="shared" si="664"/>
        <v>545814.99244887801</v>
      </c>
      <c r="AU297" s="1178">
        <f t="shared" si="632"/>
        <v>65497.79909386536</v>
      </c>
      <c r="AV297" s="1178">
        <f t="shared" si="665"/>
        <v>611312.79154274333</v>
      </c>
      <c r="AW297" s="1178">
        <f t="shared" si="666"/>
        <v>3611312.7915427433</v>
      </c>
      <c r="AX297" s="762">
        <f t="shared" si="667"/>
        <v>45141.409894284297</v>
      </c>
      <c r="AY297" s="717" t="s">
        <v>231</v>
      </c>
      <c r="AZ297" s="717">
        <f t="shared" si="668"/>
        <v>3656454.2014370277</v>
      </c>
      <c r="BA297" s="717">
        <f t="shared" si="669"/>
        <v>137117.03255388854</v>
      </c>
      <c r="BB297" s="717"/>
      <c r="BC297" s="717">
        <f t="shared" si="633"/>
        <v>33600</v>
      </c>
      <c r="BD297" s="717">
        <f t="shared" si="670"/>
        <v>3827171.2339909161</v>
      </c>
      <c r="BE297" s="717"/>
      <c r="BF297" s="717">
        <f t="shared" si="671"/>
        <v>3827171.2339909161</v>
      </c>
      <c r="BG297" s="1209"/>
      <c r="BH297" s="717">
        <f t="shared" si="672"/>
        <v>3827171.2339909161</v>
      </c>
      <c r="BI297" s="717"/>
      <c r="BJ297" s="717">
        <f t="shared" si="673"/>
        <v>3827171.2339909161</v>
      </c>
      <c r="BK297" s="717"/>
      <c r="BL297" s="717">
        <f t="shared" si="674"/>
        <v>3827171.2339909161</v>
      </c>
      <c r="BM297" s="717"/>
      <c r="BN297" s="717">
        <f t="shared" si="675"/>
        <v>3827171.2339909161</v>
      </c>
      <c r="BO297" s="717">
        <f t="shared" ref="BO297:BO298" si="755">$BO$5/51</f>
        <v>7289.0781490196077</v>
      </c>
      <c r="BP297" s="717">
        <f t="shared" si="634"/>
        <v>3834460.3121399358</v>
      </c>
      <c r="BQ297" s="717">
        <f t="shared" ref="BQ297:BQ298" si="756">$BQ$5/56</f>
        <v>4468.4242000000004</v>
      </c>
      <c r="BR297" s="717">
        <f t="shared" si="738"/>
        <v>3838928.7363399356</v>
      </c>
      <c r="BS297" s="1234">
        <f t="shared" ref="BS297:BS298" si="757">$BS$5/64</f>
        <v>2651.4786794501206</v>
      </c>
      <c r="BT297" s="1235">
        <f t="shared" si="676"/>
        <v>3841580.2150193858</v>
      </c>
      <c r="BU297" s="1235">
        <f t="shared" ref="BU297:BU298" si="758">$BU$5/65</f>
        <v>211.07692307692309</v>
      </c>
      <c r="BV297" s="1235">
        <f t="shared" si="739"/>
        <v>51400</v>
      </c>
      <c r="BW297" s="717">
        <f t="shared" si="677"/>
        <v>3893191.2919424628</v>
      </c>
      <c r="BX297" s="1234">
        <f t="shared" si="743"/>
        <v>27651.078536278128</v>
      </c>
      <c r="BY297" s="717">
        <f t="shared" si="678"/>
        <v>3920842.3704787409</v>
      </c>
      <c r="BZ297" s="1194">
        <f t="shared" si="679"/>
        <v>3920842.3704787409</v>
      </c>
      <c r="CA297" s="1194">
        <f t="shared" si="680"/>
        <v>3040842.3704787409</v>
      </c>
      <c r="CB297" s="1194">
        <f t="shared" ref="CB297:CB298" si="759">$CB$5</f>
        <v>40000</v>
      </c>
      <c r="CC297" s="1194">
        <f t="shared" si="681"/>
        <v>880000</v>
      </c>
      <c r="CD297" s="1194">
        <f t="shared" si="682"/>
        <v>105600</v>
      </c>
      <c r="CE297" s="1194">
        <f t="shared" si="683"/>
        <v>985600</v>
      </c>
      <c r="CF297" s="1200">
        <f t="shared" si="684"/>
        <v>4026442.3704787409</v>
      </c>
      <c r="CG297" s="757">
        <f t="shared" si="685"/>
        <v>4026442.3704787409</v>
      </c>
      <c r="CH297" s="758">
        <f t="shared" si="686"/>
        <v>0</v>
      </c>
      <c r="CI297" s="757">
        <f t="shared" si="635"/>
        <v>412710.34297407093</v>
      </c>
      <c r="CJ297" s="757">
        <f t="shared" si="636"/>
        <v>100661.05926196853</v>
      </c>
      <c r="CK297" s="759">
        <f t="shared" si="747"/>
        <v>4539813.7727147806</v>
      </c>
      <c r="CL297" s="764">
        <f t="shared" si="687"/>
        <v>0.125</v>
      </c>
      <c r="CM297" s="757">
        <f t="shared" si="688"/>
        <v>567476.72158934758</v>
      </c>
      <c r="CN297" s="757">
        <f t="shared" si="730"/>
        <v>30000</v>
      </c>
      <c r="CO297" s="757">
        <f t="shared" si="689"/>
        <v>537476.72158934758</v>
      </c>
      <c r="CP297" s="755">
        <f t="shared" si="690"/>
        <v>30</v>
      </c>
      <c r="CQ297" s="757">
        <f t="shared" si="732"/>
        <v>17915.890719644918</v>
      </c>
      <c r="CR297" s="764">
        <f t="shared" si="691"/>
        <v>0.875</v>
      </c>
      <c r="CS297" s="757">
        <f t="shared" si="692"/>
        <v>3972337.0511254333</v>
      </c>
      <c r="CT297" s="1101">
        <f t="shared" si="693"/>
        <v>30797.486876569674</v>
      </c>
      <c r="CU297" s="1101">
        <f t="shared" si="694"/>
        <v>35704.488429061021</v>
      </c>
      <c r="CV297" s="1101">
        <f t="shared" si="695"/>
        <v>46122.201394996773</v>
      </c>
      <c r="CW297" s="1141">
        <f t="shared" si="637"/>
        <v>78657.034618521313</v>
      </c>
      <c r="CX297" s="1152">
        <f t="shared" si="696"/>
        <v>322685.56479298358</v>
      </c>
      <c r="CY297" s="1152">
        <f t="shared" si="697"/>
        <v>127685.10609695042</v>
      </c>
      <c r="CZ297" s="1152">
        <f t="shared" si="698"/>
        <v>92225.143704821894</v>
      </c>
      <c r="DA297" s="1152">
        <f t="shared" si="699"/>
        <v>70187.580185697807</v>
      </c>
      <c r="DB297" s="1143">
        <f t="shared" si="638"/>
        <v>0.18193833081629268</v>
      </c>
      <c r="DC297" s="1143">
        <f t="shared" si="700"/>
        <v>0.32412071390758418</v>
      </c>
      <c r="DD297" s="1098" t="s">
        <v>232</v>
      </c>
      <c r="DE297" s="1144"/>
      <c r="DF297" s="705"/>
      <c r="DG297" s="765">
        <f t="shared" si="731"/>
        <v>46082</v>
      </c>
      <c r="DH297" s="1116">
        <f t="shared" si="639"/>
        <v>28</v>
      </c>
      <c r="DI297" s="497"/>
      <c r="DJ297" s="1117">
        <f t="shared" si="701"/>
        <v>46147</v>
      </c>
      <c r="DK297" s="1116">
        <f t="shared" si="702"/>
        <v>30</v>
      </c>
      <c r="DL297" s="766" t="s">
        <v>233</v>
      </c>
      <c r="DM297" s="766" t="s">
        <v>234</v>
      </c>
      <c r="DN297" s="767">
        <f t="shared" si="640"/>
        <v>27786.945070124697</v>
      </c>
      <c r="DO297" s="767">
        <f t="shared" si="641"/>
        <v>611312.79154274333</v>
      </c>
      <c r="DP297" s="768">
        <f t="shared" si="642"/>
        <v>0.20377093051424777</v>
      </c>
      <c r="DR297" s="767">
        <f t="shared" si="643"/>
        <v>4026442.3704787409</v>
      </c>
      <c r="DS297" s="767">
        <f>SUM('[6]INTERNAL PRICELIST'!M297)</f>
        <v>0</v>
      </c>
      <c r="DT297" s="767">
        <f t="shared" si="703"/>
        <v>4026442.3704787409</v>
      </c>
      <c r="DV297" s="951">
        <f t="shared" si="644"/>
        <v>183020.10774903369</v>
      </c>
      <c r="DX297" s="781"/>
      <c r="DY297" s="782"/>
      <c r="DZ297" s="781"/>
      <c r="EA297" s="775"/>
      <c r="ED297" s="755" t="s">
        <v>752</v>
      </c>
      <c r="EE297" s="777" t="b">
        <f t="shared" si="645"/>
        <v>1</v>
      </c>
      <c r="EF297" s="777"/>
      <c r="EG297" s="777"/>
      <c r="EH297" s="1203"/>
      <c r="EP297" s="1230" t="s">
        <v>258</v>
      </c>
      <c r="EQ297" s="1145" t="s">
        <v>258</v>
      </c>
      <c r="ER297" s="753" t="b">
        <f t="shared" si="704"/>
        <v>1</v>
      </c>
      <c r="EU297" s="770">
        <v>3184197.1274007284</v>
      </c>
      <c r="EV297" s="771" t="s">
        <v>258</v>
      </c>
      <c r="EW297" s="775">
        <f>EU297-CG297</f>
        <v>-842245.24307801249</v>
      </c>
      <c r="EY297" s="775">
        <v>3150356.9644477991</v>
      </c>
      <c r="FJ297" s="994">
        <v>0.15</v>
      </c>
      <c r="FK297" s="993">
        <v>13708.740137105633</v>
      </c>
      <c r="FL297" s="993">
        <v>14079.246627297678</v>
      </c>
      <c r="FM297" s="497"/>
      <c r="FN297" s="993">
        <f t="shared" si="646"/>
        <v>4539813.7727147806</v>
      </c>
      <c r="FO297" s="994">
        <f t="shared" si="754"/>
        <v>0.15</v>
      </c>
      <c r="FP297" s="775">
        <f t="shared" si="647"/>
        <v>680972.0659072171</v>
      </c>
      <c r="FQ297" s="993">
        <f t="shared" si="648"/>
        <v>30000</v>
      </c>
      <c r="FR297" s="775">
        <f t="shared" si="706"/>
        <v>650972.0659072171</v>
      </c>
      <c r="FS297" s="497">
        <f t="shared" si="707"/>
        <v>40</v>
      </c>
      <c r="FT297" s="775">
        <f t="shared" si="708"/>
        <v>16274.301647680428</v>
      </c>
      <c r="FU297" s="497"/>
      <c r="FV297" s="993">
        <f t="shared" si="709"/>
        <v>4539813.7727147806</v>
      </c>
      <c r="FW297" s="705">
        <f t="shared" si="710"/>
        <v>453981.37727147806</v>
      </c>
      <c r="FX297" s="705">
        <f t="shared" si="711"/>
        <v>113495.34431786952</v>
      </c>
      <c r="FY297" s="705">
        <v>15000</v>
      </c>
      <c r="FZ297" s="705">
        <f t="shared" si="712"/>
        <v>438981.37727147806</v>
      </c>
      <c r="GA297" s="497">
        <f t="shared" si="713"/>
        <v>46</v>
      </c>
      <c r="GB297" s="775">
        <f t="shared" si="714"/>
        <v>9543.0734189451759</v>
      </c>
      <c r="GC297" s="497"/>
      <c r="GD297" s="497"/>
      <c r="GH297" s="1095">
        <f t="shared" si="613"/>
        <v>4539813.7727147806</v>
      </c>
      <c r="GI297" s="1098">
        <f t="shared" si="614"/>
        <v>0.125</v>
      </c>
      <c r="GJ297" s="1095">
        <f t="shared" si="615"/>
        <v>567476.72158934758</v>
      </c>
      <c r="GK297" s="1095">
        <f t="shared" si="616"/>
        <v>30000</v>
      </c>
      <c r="GL297" s="1095">
        <f t="shared" si="617"/>
        <v>537476.72158934758</v>
      </c>
      <c r="GM297" s="1095">
        <f t="shared" si="618"/>
        <v>30</v>
      </c>
      <c r="GN297" s="1095">
        <f t="shared" si="619"/>
        <v>17915.890719644918</v>
      </c>
      <c r="GO297" s="1098">
        <f t="shared" si="620"/>
        <v>0.875</v>
      </c>
      <c r="GP297" s="1095">
        <f t="shared" si="621"/>
        <v>3972337.0511254333</v>
      </c>
      <c r="GQ297" s="1095">
        <f t="shared" si="622"/>
        <v>30797.486876569674</v>
      </c>
      <c r="GR297" s="1095">
        <f t="shared" si="623"/>
        <v>35704.488429061021</v>
      </c>
      <c r="GS297" s="1095">
        <f t="shared" si="624"/>
        <v>46122.201394996773</v>
      </c>
      <c r="GT297" s="1095">
        <f t="shared" si="625"/>
        <v>78657.034618521313</v>
      </c>
      <c r="GU297" s="497"/>
      <c r="GV297" s="1095">
        <f t="shared" si="715"/>
        <v>4539813.7727147806</v>
      </c>
      <c r="GW297" s="1098">
        <f t="shared" si="716"/>
        <v>0.125</v>
      </c>
      <c r="GX297" s="1095">
        <f t="shared" si="717"/>
        <v>567476.72158934758</v>
      </c>
      <c r="GY297" s="1095">
        <f t="shared" si="718"/>
        <v>30000</v>
      </c>
      <c r="GZ297" s="1095">
        <f t="shared" si="719"/>
        <v>537476.72158934758</v>
      </c>
      <c r="HA297" s="1106">
        <f t="shared" si="720"/>
        <v>48</v>
      </c>
      <c r="HB297" s="770">
        <f t="shared" si="721"/>
        <v>11197.431699778075</v>
      </c>
      <c r="HC297" s="1098">
        <f t="shared" si="722"/>
        <v>0.875</v>
      </c>
      <c r="HD297" s="1102">
        <f t="shared" si="723"/>
        <v>3972337.0511254333</v>
      </c>
      <c r="HE297" s="1101">
        <f t="shared" si="724"/>
        <v>30797.486876569674</v>
      </c>
      <c r="HF297" s="1101">
        <f t="shared" si="725"/>
        <v>35704.488429061021</v>
      </c>
      <c r="HG297" s="1101">
        <f t="shared" si="726"/>
        <v>46122.201394996773</v>
      </c>
      <c r="HH297" s="1101">
        <f t="shared" si="727"/>
        <v>78657.034618521313</v>
      </c>
      <c r="HI297" s="497"/>
      <c r="HJ297" s="1102">
        <f t="shared" si="728"/>
        <v>-6718.4590198668429</v>
      </c>
      <c r="HL297" s="775"/>
      <c r="HN297" s="775"/>
      <c r="HO297" s="775"/>
      <c r="HQ297" s="702"/>
      <c r="HR297" s="1171"/>
      <c r="HS297" s="702"/>
      <c r="HT297" s="1171"/>
    </row>
    <row r="298" spans="1:228" ht="14.25" customHeight="1">
      <c r="A298" s="753">
        <f t="shared" si="729"/>
        <v>292</v>
      </c>
      <c r="B298" s="753"/>
      <c r="C298" s="753">
        <f t="shared" si="745"/>
        <v>13</v>
      </c>
      <c r="D298" s="753" t="s">
        <v>287</v>
      </c>
      <c r="E298" s="717" t="str">
        <f t="shared" si="649"/>
        <v>12th Floor</v>
      </c>
      <c r="F298" s="754"/>
      <c r="G298" s="756" t="s">
        <v>753</v>
      </c>
      <c r="H298" s="756"/>
      <c r="I298" s="755" t="s">
        <v>229</v>
      </c>
      <c r="J298" s="757">
        <v>22</v>
      </c>
      <c r="K298" s="758"/>
      <c r="L298" s="759" t="s">
        <v>277</v>
      </c>
      <c r="M298" s="760" t="s">
        <v>68</v>
      </c>
      <c r="N298" s="761">
        <f t="shared" si="650"/>
        <v>106005.26567735759</v>
      </c>
      <c r="O298" s="762">
        <f t="shared" si="651"/>
        <v>2332115.8449018667</v>
      </c>
      <c r="P298" s="762">
        <f t="shared" si="652"/>
        <v>22400</v>
      </c>
      <c r="Q298" s="762">
        <f t="shared" si="626"/>
        <v>50000</v>
      </c>
      <c r="R298" s="762"/>
      <c r="S298" s="762"/>
      <c r="T298" s="762"/>
      <c r="U298" s="762"/>
      <c r="V298" s="762"/>
      <c r="W298" s="762"/>
      <c r="X298" s="762"/>
      <c r="Y298" s="762">
        <f t="shared" si="746"/>
        <v>160000</v>
      </c>
      <c r="Z298" s="762">
        <f t="shared" si="627"/>
        <v>142461</v>
      </c>
      <c r="AA298" s="762"/>
      <c r="AB298" s="762"/>
      <c r="AC298" s="762"/>
      <c r="AD298" s="763">
        <f t="shared" si="653"/>
        <v>374861</v>
      </c>
      <c r="AE298" s="763">
        <f t="shared" si="628"/>
        <v>2706976.8449018667</v>
      </c>
      <c r="AF298" s="762">
        <f t="shared" si="629"/>
        <v>67674.421122546672</v>
      </c>
      <c r="AG298" s="762">
        <f t="shared" si="654"/>
        <v>2774651.2660244135</v>
      </c>
      <c r="AH298" s="762">
        <f t="shared" si="630"/>
        <v>69366.281650610341</v>
      </c>
      <c r="AI298" s="762">
        <f t="shared" si="655"/>
        <v>2844017.5476750238</v>
      </c>
      <c r="AJ298" s="762">
        <f t="shared" si="656"/>
        <v>142200.87738375118</v>
      </c>
      <c r="AK298" s="762">
        <f t="shared" si="657"/>
        <v>2986218.4250587751</v>
      </c>
      <c r="AL298" s="762">
        <f t="shared" si="658"/>
        <v>29862.18425058775</v>
      </c>
      <c r="AM298" s="762">
        <f t="shared" si="659"/>
        <v>27537.409960060559</v>
      </c>
      <c r="AN298" s="762"/>
      <c r="AO298" s="763">
        <f t="shared" si="660"/>
        <v>3043618.0192694231</v>
      </c>
      <c r="AP298" s="763">
        <f t="shared" si="661"/>
        <v>502196.97317945486</v>
      </c>
      <c r="AQ298" s="763">
        <f t="shared" si="662"/>
        <v>3545814.992448878</v>
      </c>
      <c r="AR298" s="1178">
        <f t="shared" si="631"/>
        <v>3000000</v>
      </c>
      <c r="AS298" s="1178">
        <f t="shared" si="663"/>
        <v>24809.772384039909</v>
      </c>
      <c r="AT298" s="1178">
        <f t="shared" si="664"/>
        <v>545814.99244887801</v>
      </c>
      <c r="AU298" s="1178">
        <f t="shared" si="632"/>
        <v>65497.79909386536</v>
      </c>
      <c r="AV298" s="1178">
        <f t="shared" si="665"/>
        <v>611312.79154274333</v>
      </c>
      <c r="AW298" s="1178">
        <f t="shared" si="666"/>
        <v>3611312.7915427433</v>
      </c>
      <c r="AX298" s="762">
        <f t="shared" si="667"/>
        <v>45141.409894284297</v>
      </c>
      <c r="AY298" s="717" t="s">
        <v>231</v>
      </c>
      <c r="AZ298" s="717">
        <f t="shared" si="668"/>
        <v>3656454.2014370277</v>
      </c>
      <c r="BA298" s="717">
        <f t="shared" si="669"/>
        <v>137117.03255388854</v>
      </c>
      <c r="BB298" s="717"/>
      <c r="BC298" s="717">
        <f t="shared" si="633"/>
        <v>33600</v>
      </c>
      <c r="BD298" s="717">
        <f t="shared" si="670"/>
        <v>3827171.2339909161</v>
      </c>
      <c r="BE298" s="717"/>
      <c r="BF298" s="717">
        <f t="shared" si="671"/>
        <v>3827171.2339909161</v>
      </c>
      <c r="BG298" s="1209"/>
      <c r="BH298" s="717">
        <f t="shared" si="672"/>
        <v>3827171.2339909161</v>
      </c>
      <c r="BI298" s="717"/>
      <c r="BJ298" s="717">
        <f t="shared" si="673"/>
        <v>3827171.2339909161</v>
      </c>
      <c r="BK298" s="717"/>
      <c r="BL298" s="717">
        <f t="shared" si="674"/>
        <v>3827171.2339909161</v>
      </c>
      <c r="BM298" s="717"/>
      <c r="BN298" s="717">
        <f t="shared" si="675"/>
        <v>3827171.2339909161</v>
      </c>
      <c r="BO298" s="717">
        <f t="shared" si="755"/>
        <v>7289.0781490196077</v>
      </c>
      <c r="BP298" s="717">
        <f t="shared" si="634"/>
        <v>3834460.3121399358</v>
      </c>
      <c r="BQ298" s="717">
        <f t="shared" si="756"/>
        <v>4468.4242000000004</v>
      </c>
      <c r="BR298" s="717">
        <f t="shared" si="738"/>
        <v>3838928.7363399356</v>
      </c>
      <c r="BS298" s="1234">
        <f t="shared" si="757"/>
        <v>2651.4786794501206</v>
      </c>
      <c r="BT298" s="1235">
        <f t="shared" si="676"/>
        <v>3841580.2150193858</v>
      </c>
      <c r="BU298" s="1235">
        <f t="shared" si="758"/>
        <v>211.07692307692309</v>
      </c>
      <c r="BV298" s="1235">
        <f t="shared" si="739"/>
        <v>51400</v>
      </c>
      <c r="BW298" s="717">
        <f t="shared" si="677"/>
        <v>3893191.2919424628</v>
      </c>
      <c r="BX298" s="1234">
        <f t="shared" si="743"/>
        <v>27651.078536278128</v>
      </c>
      <c r="BY298" s="717">
        <f t="shared" si="678"/>
        <v>3920842.3704787409</v>
      </c>
      <c r="BZ298" s="1194">
        <f t="shared" si="679"/>
        <v>3920842.3704787409</v>
      </c>
      <c r="CA298" s="1194">
        <f t="shared" si="680"/>
        <v>3040842.3704787409</v>
      </c>
      <c r="CB298" s="1194">
        <f t="shared" si="759"/>
        <v>40000</v>
      </c>
      <c r="CC298" s="1194">
        <f t="shared" si="681"/>
        <v>880000</v>
      </c>
      <c r="CD298" s="1194">
        <f t="shared" si="682"/>
        <v>105600</v>
      </c>
      <c r="CE298" s="1194">
        <f t="shared" si="683"/>
        <v>985600</v>
      </c>
      <c r="CF298" s="1200">
        <f t="shared" si="684"/>
        <v>4026442.3704787409</v>
      </c>
      <c r="CG298" s="757">
        <f t="shared" si="685"/>
        <v>4026442.3704787409</v>
      </c>
      <c r="CH298" s="758">
        <f t="shared" si="686"/>
        <v>0</v>
      </c>
      <c r="CI298" s="757">
        <f t="shared" si="635"/>
        <v>412710.34297407093</v>
      </c>
      <c r="CJ298" s="757">
        <f t="shared" si="636"/>
        <v>100661.05926196853</v>
      </c>
      <c r="CK298" s="759">
        <f t="shared" si="747"/>
        <v>4539813.7727147806</v>
      </c>
      <c r="CL298" s="764">
        <f t="shared" si="687"/>
        <v>0.125</v>
      </c>
      <c r="CM298" s="757">
        <f t="shared" si="688"/>
        <v>567476.72158934758</v>
      </c>
      <c r="CN298" s="757">
        <f t="shared" si="730"/>
        <v>30000</v>
      </c>
      <c r="CO298" s="757">
        <f t="shared" si="689"/>
        <v>537476.72158934758</v>
      </c>
      <c r="CP298" s="755">
        <f t="shared" si="690"/>
        <v>30</v>
      </c>
      <c r="CQ298" s="757">
        <f t="shared" si="732"/>
        <v>17915.890719644918</v>
      </c>
      <c r="CR298" s="764">
        <f t="shared" si="691"/>
        <v>0.875</v>
      </c>
      <c r="CS298" s="757">
        <f t="shared" si="692"/>
        <v>3972337.0511254333</v>
      </c>
      <c r="CT298" s="1101">
        <f t="shared" si="693"/>
        <v>30797.486876569674</v>
      </c>
      <c r="CU298" s="1101">
        <f t="shared" si="694"/>
        <v>35704.488429061021</v>
      </c>
      <c r="CV298" s="1101">
        <f t="shared" si="695"/>
        <v>46122.201394996773</v>
      </c>
      <c r="CW298" s="1141">
        <f t="shared" si="637"/>
        <v>78657.034618521313</v>
      </c>
      <c r="CX298" s="1152">
        <f t="shared" si="696"/>
        <v>322685.56479298358</v>
      </c>
      <c r="CY298" s="1152">
        <f t="shared" si="697"/>
        <v>127685.10609695042</v>
      </c>
      <c r="CZ298" s="1152">
        <f t="shared" si="698"/>
        <v>92225.143704821894</v>
      </c>
      <c r="DA298" s="1152">
        <f t="shared" si="699"/>
        <v>70187.580185697807</v>
      </c>
      <c r="DB298" s="1143">
        <f t="shared" si="638"/>
        <v>0.18193833081629268</v>
      </c>
      <c r="DC298" s="1143">
        <f t="shared" si="700"/>
        <v>0.32412071390758418</v>
      </c>
      <c r="DD298" s="1098" t="s">
        <v>232</v>
      </c>
      <c r="DE298" s="1144"/>
      <c r="DF298" s="705"/>
      <c r="DG298" s="765">
        <f t="shared" si="731"/>
        <v>46082</v>
      </c>
      <c r="DH298" s="1116">
        <f t="shared" si="639"/>
        <v>28</v>
      </c>
      <c r="DI298" s="497"/>
      <c r="DJ298" s="1117">
        <f t="shared" si="701"/>
        <v>46147</v>
      </c>
      <c r="DK298" s="1116">
        <f t="shared" si="702"/>
        <v>30</v>
      </c>
      <c r="DL298" s="766" t="s">
        <v>233</v>
      </c>
      <c r="DM298" s="766" t="s">
        <v>234</v>
      </c>
      <c r="DN298" s="767">
        <f t="shared" si="640"/>
        <v>27786.945070124697</v>
      </c>
      <c r="DO298" s="767">
        <f t="shared" si="641"/>
        <v>611312.79154274333</v>
      </c>
      <c r="DP298" s="768">
        <f t="shared" si="642"/>
        <v>0.20377093051424777</v>
      </c>
      <c r="DR298" s="767">
        <f t="shared" si="643"/>
        <v>4026442.3704787409</v>
      </c>
      <c r="DS298" s="767">
        <f>SUM('[6]INTERNAL PRICELIST'!M298)</f>
        <v>0</v>
      </c>
      <c r="DT298" s="767">
        <f t="shared" si="703"/>
        <v>4026442.3704787409</v>
      </c>
      <c r="DV298" s="951">
        <f t="shared" si="644"/>
        <v>183020.10774903369</v>
      </c>
      <c r="DX298" s="781"/>
      <c r="DY298" s="782"/>
      <c r="DZ298" s="781"/>
      <c r="EA298" s="775"/>
      <c r="ED298" s="755" t="s">
        <v>753</v>
      </c>
      <c r="EE298" s="777" t="b">
        <f t="shared" si="645"/>
        <v>1</v>
      </c>
      <c r="EF298" s="777"/>
      <c r="EG298" s="777"/>
      <c r="EH298" s="1203"/>
      <c r="EP298" s="1230" t="s">
        <v>258</v>
      </c>
      <c r="EQ298" s="1145" t="s">
        <v>258</v>
      </c>
      <c r="ER298" s="753" t="b">
        <f t="shared" si="704"/>
        <v>1</v>
      </c>
      <c r="EU298" s="770">
        <v>3184197.1274007284</v>
      </c>
      <c r="EV298" s="771" t="s">
        <v>258</v>
      </c>
      <c r="EW298" s="775">
        <f>EU298-CG298</f>
        <v>-842245.24307801249</v>
      </c>
      <c r="EY298" s="775">
        <v>3150356.9644477991</v>
      </c>
      <c r="FJ298" s="994">
        <v>0.15</v>
      </c>
      <c r="FK298" s="993">
        <v>13708.740137105633</v>
      </c>
      <c r="FL298" s="993">
        <v>14079.246627297678</v>
      </c>
      <c r="FM298" s="497"/>
      <c r="FN298" s="993">
        <f t="shared" si="646"/>
        <v>4539813.7727147806</v>
      </c>
      <c r="FO298" s="994">
        <f t="shared" si="754"/>
        <v>0.15</v>
      </c>
      <c r="FP298" s="775">
        <f t="shared" si="647"/>
        <v>680972.0659072171</v>
      </c>
      <c r="FQ298" s="993">
        <f t="shared" si="648"/>
        <v>30000</v>
      </c>
      <c r="FR298" s="775">
        <f t="shared" si="706"/>
        <v>650972.0659072171</v>
      </c>
      <c r="FS298" s="497">
        <f t="shared" si="707"/>
        <v>40</v>
      </c>
      <c r="FT298" s="775">
        <f t="shared" si="708"/>
        <v>16274.301647680428</v>
      </c>
      <c r="FU298" s="497"/>
      <c r="FV298" s="993">
        <f t="shared" si="709"/>
        <v>4539813.7727147806</v>
      </c>
      <c r="FW298" s="705">
        <f t="shared" si="710"/>
        <v>453981.37727147806</v>
      </c>
      <c r="FX298" s="705">
        <f t="shared" si="711"/>
        <v>113495.34431786952</v>
      </c>
      <c r="FY298" s="705">
        <v>15000</v>
      </c>
      <c r="FZ298" s="705">
        <f t="shared" si="712"/>
        <v>438981.37727147806</v>
      </c>
      <c r="GA298" s="497">
        <f t="shared" si="713"/>
        <v>46</v>
      </c>
      <c r="GB298" s="775">
        <f t="shared" si="714"/>
        <v>9543.0734189451759</v>
      </c>
      <c r="GC298" s="497"/>
      <c r="GD298" s="497"/>
      <c r="GH298" s="1095">
        <f t="shared" si="613"/>
        <v>4539813.7727147806</v>
      </c>
      <c r="GI298" s="1098">
        <f t="shared" si="614"/>
        <v>0.125</v>
      </c>
      <c r="GJ298" s="1095">
        <f t="shared" si="615"/>
        <v>567476.72158934758</v>
      </c>
      <c r="GK298" s="1095">
        <f t="shared" si="616"/>
        <v>30000</v>
      </c>
      <c r="GL298" s="1095">
        <f t="shared" si="617"/>
        <v>537476.72158934758</v>
      </c>
      <c r="GM298" s="1095">
        <f t="shared" si="618"/>
        <v>30</v>
      </c>
      <c r="GN298" s="1095">
        <f t="shared" si="619"/>
        <v>17915.890719644918</v>
      </c>
      <c r="GO298" s="1098">
        <f t="shared" si="620"/>
        <v>0.875</v>
      </c>
      <c r="GP298" s="1095">
        <f t="shared" si="621"/>
        <v>3972337.0511254333</v>
      </c>
      <c r="GQ298" s="1095">
        <f t="shared" si="622"/>
        <v>30797.486876569674</v>
      </c>
      <c r="GR298" s="1095">
        <f t="shared" si="623"/>
        <v>35704.488429061021</v>
      </c>
      <c r="GS298" s="1095">
        <f t="shared" si="624"/>
        <v>46122.201394996773</v>
      </c>
      <c r="GT298" s="1095">
        <f t="shared" si="625"/>
        <v>78657.034618521313</v>
      </c>
      <c r="GU298" s="497"/>
      <c r="GV298" s="1095">
        <f t="shared" si="715"/>
        <v>4539813.7727147806</v>
      </c>
      <c r="GW298" s="1098">
        <f t="shared" si="716"/>
        <v>0.125</v>
      </c>
      <c r="GX298" s="1095">
        <f t="shared" si="717"/>
        <v>567476.72158934758</v>
      </c>
      <c r="GY298" s="1095">
        <f t="shared" si="718"/>
        <v>30000</v>
      </c>
      <c r="GZ298" s="1095">
        <f t="shared" si="719"/>
        <v>537476.72158934758</v>
      </c>
      <c r="HA298" s="1106">
        <f t="shared" si="720"/>
        <v>48</v>
      </c>
      <c r="HB298" s="770">
        <f t="shared" si="721"/>
        <v>11197.431699778075</v>
      </c>
      <c r="HC298" s="1098">
        <f t="shared" si="722"/>
        <v>0.875</v>
      </c>
      <c r="HD298" s="1102">
        <f t="shared" si="723"/>
        <v>3972337.0511254333</v>
      </c>
      <c r="HE298" s="1101">
        <f t="shared" si="724"/>
        <v>30797.486876569674</v>
      </c>
      <c r="HF298" s="1101">
        <f t="shared" si="725"/>
        <v>35704.488429061021</v>
      </c>
      <c r="HG298" s="1101">
        <f t="shared" si="726"/>
        <v>46122.201394996773</v>
      </c>
      <c r="HH298" s="1101">
        <f t="shared" si="727"/>
        <v>78657.034618521313</v>
      </c>
      <c r="HI298" s="497"/>
      <c r="HJ298" s="1102">
        <f t="shared" si="728"/>
        <v>-6718.4590198668429</v>
      </c>
      <c r="HL298" s="775"/>
      <c r="HN298" s="775"/>
      <c r="HO298" s="775"/>
      <c r="HQ298" s="702"/>
      <c r="HR298" s="1171"/>
      <c r="HS298" s="702"/>
      <c r="HT298" s="1171"/>
    </row>
    <row r="299" spans="1:228" ht="14.25" hidden="1" customHeight="1">
      <c r="A299" s="753">
        <f t="shared" si="729"/>
        <v>293</v>
      </c>
      <c r="B299" s="753" t="s">
        <v>236</v>
      </c>
      <c r="C299" s="753">
        <f t="shared" si="745"/>
        <v>14</v>
      </c>
      <c r="D299" s="753" t="s">
        <v>287</v>
      </c>
      <c r="E299" s="717" t="str">
        <f t="shared" si="649"/>
        <v>12th Floor</v>
      </c>
      <c r="F299" s="754"/>
      <c r="G299" s="756" t="s">
        <v>754</v>
      </c>
      <c r="H299" s="756"/>
      <c r="I299" s="755" t="s">
        <v>229</v>
      </c>
      <c r="J299" s="757">
        <v>22</v>
      </c>
      <c r="K299" s="758"/>
      <c r="L299" s="759" t="s">
        <v>277</v>
      </c>
      <c r="M299" s="760" t="s">
        <v>278</v>
      </c>
      <c r="N299" s="761">
        <f t="shared" si="650"/>
        <v>106005.26567735759</v>
      </c>
      <c r="O299" s="762">
        <f t="shared" si="651"/>
        <v>2332115.8449018667</v>
      </c>
      <c r="P299" s="762">
        <f t="shared" si="652"/>
        <v>22400</v>
      </c>
      <c r="Q299" s="762">
        <f t="shared" si="626"/>
        <v>50000</v>
      </c>
      <c r="R299" s="762"/>
      <c r="S299" s="762"/>
      <c r="T299" s="762"/>
      <c r="U299" s="762"/>
      <c r="V299" s="762"/>
      <c r="W299" s="762">
        <f t="shared" ref="W299:W300" si="760">J299*$W$5</f>
        <v>22000</v>
      </c>
      <c r="X299" s="762"/>
      <c r="Y299" s="762">
        <f t="shared" si="746"/>
        <v>160000</v>
      </c>
      <c r="Z299" s="762">
        <f t="shared" si="627"/>
        <v>142461</v>
      </c>
      <c r="AA299" s="762"/>
      <c r="AB299" s="762"/>
      <c r="AC299" s="762"/>
      <c r="AD299" s="763">
        <f t="shared" si="653"/>
        <v>396861</v>
      </c>
      <c r="AE299" s="763">
        <f t="shared" si="628"/>
        <v>2728976.8449018667</v>
      </c>
      <c r="AF299" s="762">
        <f t="shared" si="629"/>
        <v>68224.421122546672</v>
      </c>
      <c r="AG299" s="762">
        <f t="shared" si="654"/>
        <v>2797201.2660244135</v>
      </c>
      <c r="AH299" s="762">
        <f t="shared" si="630"/>
        <v>69930.031650610341</v>
      </c>
      <c r="AI299" s="762">
        <f t="shared" si="655"/>
        <v>2867131.2976750238</v>
      </c>
      <c r="AJ299" s="762">
        <f t="shared" si="656"/>
        <v>143356.56488375118</v>
      </c>
      <c r="AK299" s="762">
        <f t="shared" si="657"/>
        <v>3010487.8625587751</v>
      </c>
      <c r="AL299" s="762">
        <f t="shared" si="658"/>
        <v>30104.878625587753</v>
      </c>
      <c r="AM299" s="762">
        <f t="shared" si="659"/>
        <v>27537.409960060559</v>
      </c>
      <c r="AN299" s="762"/>
      <c r="AO299" s="763">
        <f t="shared" si="660"/>
        <v>3068130.1511444231</v>
      </c>
      <c r="AP299" s="763">
        <f t="shared" si="661"/>
        <v>506241.47493882984</v>
      </c>
      <c r="AQ299" s="763">
        <f t="shared" si="662"/>
        <v>3574371.626083253</v>
      </c>
      <c r="AR299" s="1178">
        <f t="shared" si="631"/>
        <v>3000000</v>
      </c>
      <c r="AS299" s="1178">
        <f t="shared" si="663"/>
        <v>26107.801185602406</v>
      </c>
      <c r="AT299" s="1178">
        <f t="shared" si="664"/>
        <v>574371.62608325295</v>
      </c>
      <c r="AU299" s="1178">
        <f t="shared" si="632"/>
        <v>68924.595129990354</v>
      </c>
      <c r="AV299" s="1178">
        <f t="shared" si="665"/>
        <v>643296.22121324332</v>
      </c>
      <c r="AW299" s="1178">
        <f t="shared" si="666"/>
        <v>3643296.2212132434</v>
      </c>
      <c r="AX299" s="762">
        <f t="shared" si="667"/>
        <v>45541.202765165544</v>
      </c>
      <c r="AY299" s="717" t="s">
        <v>231</v>
      </c>
      <c r="AZ299" s="717">
        <f t="shared" si="668"/>
        <v>3688837.4239784088</v>
      </c>
      <c r="BA299" s="717">
        <f t="shared" si="669"/>
        <v>138331.40339919031</v>
      </c>
      <c r="BB299" s="717"/>
      <c r="BC299" s="717">
        <f t="shared" si="633"/>
        <v>33600</v>
      </c>
      <c r="BD299" s="717">
        <f t="shared" si="670"/>
        <v>3860768.8273775992</v>
      </c>
      <c r="BE299" s="717"/>
      <c r="BF299" s="717">
        <f t="shared" si="671"/>
        <v>3860768.8273775992</v>
      </c>
      <c r="BG299" s="1209"/>
      <c r="BH299" s="717">
        <f t="shared" si="672"/>
        <v>3860768.8273775992</v>
      </c>
      <c r="BI299" s="717"/>
      <c r="BJ299" s="717">
        <f t="shared" si="673"/>
        <v>3860768.8273775992</v>
      </c>
      <c r="BK299" s="717"/>
      <c r="BL299" s="717">
        <f t="shared" si="674"/>
        <v>3860768.8273775992</v>
      </c>
      <c r="BM299" s="717"/>
      <c r="BN299" s="717">
        <f t="shared" si="675"/>
        <v>3860768.8273775992</v>
      </c>
      <c r="BO299" s="717"/>
      <c r="BP299" s="717">
        <f t="shared" si="634"/>
        <v>3860768.8273775992</v>
      </c>
      <c r="BQ299" s="717"/>
      <c r="BR299" s="717">
        <f t="shared" si="738"/>
        <v>3860768.8273775992</v>
      </c>
      <c r="BS299" s="717"/>
      <c r="BT299" s="717">
        <f t="shared" si="676"/>
        <v>3860768.8273775992</v>
      </c>
      <c r="BU299" s="717"/>
      <c r="BV299" s="1235">
        <f t="shared" si="739"/>
        <v>51400</v>
      </c>
      <c r="BW299" s="717">
        <f t="shared" si="677"/>
        <v>3912168.8273775992</v>
      </c>
      <c r="BX299" s="717"/>
      <c r="BY299" s="717">
        <f t="shared" si="678"/>
        <v>3912168.8273775992</v>
      </c>
      <c r="BZ299" s="1194">
        <f t="shared" si="679"/>
        <v>3912168.8273775992</v>
      </c>
      <c r="CA299" s="1194">
        <f t="shared" si="680"/>
        <v>3032168.8273775992</v>
      </c>
      <c r="CB299" s="1194">
        <v>40000</v>
      </c>
      <c r="CC299" s="1194">
        <f t="shared" si="681"/>
        <v>880000</v>
      </c>
      <c r="CD299" s="1194">
        <f t="shared" si="682"/>
        <v>105600</v>
      </c>
      <c r="CE299" s="1194">
        <f t="shared" si="683"/>
        <v>985600</v>
      </c>
      <c r="CF299" s="1200">
        <f t="shared" si="684"/>
        <v>4017768.8273775992</v>
      </c>
      <c r="CG299" s="757">
        <f t="shared" si="685"/>
        <v>4017768.8273775992</v>
      </c>
      <c r="CH299" s="758">
        <f t="shared" si="686"/>
        <v>0</v>
      </c>
      <c r="CI299" s="757">
        <f t="shared" si="635"/>
        <v>411821.30480620387</v>
      </c>
      <c r="CJ299" s="757">
        <f t="shared" si="636"/>
        <v>100444.22068443999</v>
      </c>
      <c r="CK299" s="759">
        <f t="shared" si="747"/>
        <v>4530034.3528682431</v>
      </c>
      <c r="CL299" s="764">
        <f t="shared" si="687"/>
        <v>0.125</v>
      </c>
      <c r="CM299" s="757">
        <f t="shared" si="688"/>
        <v>566254.29410853039</v>
      </c>
      <c r="CN299" s="757">
        <f t="shared" si="730"/>
        <v>30000</v>
      </c>
      <c r="CO299" s="757">
        <f t="shared" si="689"/>
        <v>536254.29410853039</v>
      </c>
      <c r="CP299" s="755">
        <f t="shared" si="690"/>
        <v>30</v>
      </c>
      <c r="CQ299" s="757">
        <f t="shared" si="732"/>
        <v>17875.143136951014</v>
      </c>
      <c r="CR299" s="764">
        <f t="shared" si="691"/>
        <v>0.875</v>
      </c>
      <c r="CS299" s="757">
        <f t="shared" si="692"/>
        <v>3963780.0587597126</v>
      </c>
      <c r="CT299" s="1101">
        <f t="shared" si="693"/>
        <v>30731.144605837257</v>
      </c>
      <c r="CU299" s="1101">
        <f t="shared" si="694"/>
        <v>35627.575762543238</v>
      </c>
      <c r="CV299" s="1101">
        <f t="shared" si="695"/>
        <v>46022.84745796986</v>
      </c>
      <c r="CW299" s="1141">
        <f t="shared" si="637"/>
        <v>78487.595913779413</v>
      </c>
      <c r="CX299" s="1152">
        <f t="shared" si="696"/>
        <v>321990.45310459367</v>
      </c>
      <c r="CY299" s="1152">
        <f t="shared" si="697"/>
        <v>127410.05378793798</v>
      </c>
      <c r="CZ299" s="1152">
        <f t="shared" si="698"/>
        <v>92026.477317641591</v>
      </c>
      <c r="DA299" s="1152">
        <f t="shared" si="699"/>
        <v>70036.385918925502</v>
      </c>
      <c r="DB299" s="1143">
        <f t="shared" si="638"/>
        <v>0.19145720869441765</v>
      </c>
      <c r="DC299" s="1143">
        <f t="shared" si="700"/>
        <v>0.32504786379339101</v>
      </c>
      <c r="DD299" s="1098" t="s">
        <v>232</v>
      </c>
      <c r="DE299" s="1144"/>
      <c r="DF299" s="705"/>
      <c r="DG299" s="765">
        <f t="shared" si="731"/>
        <v>46082</v>
      </c>
      <c r="DH299" s="1116">
        <f t="shared" si="639"/>
        <v>28</v>
      </c>
      <c r="DI299" s="497"/>
      <c r="DJ299" s="1117">
        <f t="shared" si="701"/>
        <v>46147</v>
      </c>
      <c r="DK299" s="1116">
        <f t="shared" si="702"/>
        <v>30</v>
      </c>
      <c r="DL299" s="766" t="s">
        <v>233</v>
      </c>
      <c r="DM299" s="766" t="s">
        <v>234</v>
      </c>
      <c r="DN299" s="767">
        <f t="shared" si="640"/>
        <v>29240.737327874696</v>
      </c>
      <c r="DO299" s="767">
        <f t="shared" si="641"/>
        <v>643296.22121324332</v>
      </c>
      <c r="DP299" s="768">
        <f t="shared" si="642"/>
        <v>0.21443207373774778</v>
      </c>
      <c r="DR299" s="767">
        <f t="shared" si="643"/>
        <v>4017768.8273775992</v>
      </c>
      <c r="DS299" s="767">
        <f>SUM('[6]INTERNAL PRICELIST'!M299)</f>
        <v>0</v>
      </c>
      <c r="DT299" s="767">
        <f t="shared" si="703"/>
        <v>4017768.8273775992</v>
      </c>
      <c r="DV299" s="951">
        <f t="shared" si="644"/>
        <v>182625.85578989086</v>
      </c>
      <c r="DX299" s="781"/>
      <c r="DY299" s="782"/>
      <c r="DZ299" s="781"/>
      <c r="EA299" s="775"/>
      <c r="ED299" s="755" t="s">
        <v>754</v>
      </c>
      <c r="EE299" s="777" t="b">
        <f t="shared" si="645"/>
        <v>1</v>
      </c>
      <c r="EF299" s="1123" t="s">
        <v>755</v>
      </c>
      <c r="EG299" s="1123" t="s">
        <v>737</v>
      </c>
      <c r="EH299" s="1203"/>
      <c r="EP299" s="1230" t="s">
        <v>236</v>
      </c>
      <c r="EQ299" s="1145" t="s">
        <v>236</v>
      </c>
      <c r="ER299" s="753" t="b">
        <f t="shared" si="704"/>
        <v>1</v>
      </c>
      <c r="EU299" s="770">
        <v>2468160</v>
      </c>
      <c r="EV299" s="771" t="s">
        <v>236</v>
      </c>
      <c r="FJ299" s="994">
        <v>0.15</v>
      </c>
      <c r="FK299" s="993">
        <v>13830.926663941489</v>
      </c>
      <c r="FL299" s="993">
        <v>14204.735492696665</v>
      </c>
      <c r="FM299" s="497"/>
      <c r="FN299" s="993">
        <f t="shared" si="646"/>
        <v>4530034.3528682431</v>
      </c>
      <c r="FO299" s="994">
        <f t="shared" si="737"/>
        <v>0.15</v>
      </c>
      <c r="FP299" s="775">
        <f t="shared" si="647"/>
        <v>679505.15293023642</v>
      </c>
      <c r="FQ299" s="993">
        <f t="shared" si="648"/>
        <v>30000</v>
      </c>
      <c r="FR299" s="775">
        <f t="shared" si="706"/>
        <v>649505.15293023642</v>
      </c>
      <c r="FS299" s="497">
        <f t="shared" si="707"/>
        <v>40</v>
      </c>
      <c r="FT299" s="775">
        <f t="shared" si="708"/>
        <v>16237.628823255911</v>
      </c>
      <c r="FU299" s="497"/>
      <c r="FV299" s="993">
        <f t="shared" si="709"/>
        <v>4530034.3528682431</v>
      </c>
      <c r="FW299" s="705">
        <f t="shared" si="710"/>
        <v>453003.43528682436</v>
      </c>
      <c r="FX299" s="705">
        <f t="shared" si="711"/>
        <v>113250.85882170609</v>
      </c>
      <c r="FY299" s="705">
        <v>15000</v>
      </c>
      <c r="FZ299" s="705">
        <f t="shared" si="712"/>
        <v>438003.43528682436</v>
      </c>
      <c r="GA299" s="497">
        <f t="shared" si="713"/>
        <v>46</v>
      </c>
      <c r="GB299" s="775">
        <f t="shared" si="714"/>
        <v>9521.8138105831385</v>
      </c>
      <c r="GC299" s="497"/>
      <c r="GD299" s="497"/>
      <c r="GH299" s="1095">
        <f t="shared" si="613"/>
        <v>4530034.3528682431</v>
      </c>
      <c r="GI299" s="1098">
        <f t="shared" si="614"/>
        <v>0.125</v>
      </c>
      <c r="GJ299" s="1095">
        <f t="shared" si="615"/>
        <v>566254.29410853039</v>
      </c>
      <c r="GK299" s="1095">
        <f t="shared" si="616"/>
        <v>30000</v>
      </c>
      <c r="GL299" s="1095">
        <f t="shared" si="617"/>
        <v>536254.29410853039</v>
      </c>
      <c r="GM299" s="1095">
        <f t="shared" si="618"/>
        <v>30</v>
      </c>
      <c r="GN299" s="1095">
        <f t="shared" si="619"/>
        <v>17875.143136951014</v>
      </c>
      <c r="GO299" s="1098">
        <f t="shared" si="620"/>
        <v>0.875</v>
      </c>
      <c r="GP299" s="1095">
        <f t="shared" si="621"/>
        <v>3963780.0587597126</v>
      </c>
      <c r="GQ299" s="1095">
        <f t="shared" si="622"/>
        <v>30731.144605837257</v>
      </c>
      <c r="GR299" s="1095">
        <f t="shared" si="623"/>
        <v>35627.575762543238</v>
      </c>
      <c r="GS299" s="1095">
        <f t="shared" si="624"/>
        <v>46022.84745796986</v>
      </c>
      <c r="GT299" s="1095">
        <f t="shared" si="625"/>
        <v>78487.595913779413</v>
      </c>
      <c r="GU299" s="497"/>
      <c r="GV299" s="1095">
        <f t="shared" si="715"/>
        <v>4530034.3528682431</v>
      </c>
      <c r="GW299" s="1098">
        <f t="shared" si="716"/>
        <v>0.125</v>
      </c>
      <c r="GX299" s="1095">
        <f t="shared" si="717"/>
        <v>566254.29410853039</v>
      </c>
      <c r="GY299" s="1095">
        <f t="shared" si="718"/>
        <v>30000</v>
      </c>
      <c r="GZ299" s="1095">
        <f t="shared" si="719"/>
        <v>536254.29410853039</v>
      </c>
      <c r="HA299" s="1106">
        <f t="shared" si="720"/>
        <v>48</v>
      </c>
      <c r="HB299" s="770">
        <f t="shared" si="721"/>
        <v>11171.964460594383</v>
      </c>
      <c r="HC299" s="1098">
        <f t="shared" si="722"/>
        <v>0.875</v>
      </c>
      <c r="HD299" s="1102">
        <f t="shared" si="723"/>
        <v>3963780.0587597126</v>
      </c>
      <c r="HE299" s="1101">
        <f t="shared" si="724"/>
        <v>30731.144605837257</v>
      </c>
      <c r="HF299" s="1101">
        <f t="shared" si="725"/>
        <v>35627.575762543238</v>
      </c>
      <c r="HG299" s="1101">
        <f t="shared" si="726"/>
        <v>46022.84745796986</v>
      </c>
      <c r="HH299" s="1101">
        <f t="shared" si="727"/>
        <v>78487.595913779413</v>
      </c>
      <c r="HI299" s="497"/>
      <c r="HJ299" s="1102">
        <f t="shared" si="728"/>
        <v>-6703.1786763566306</v>
      </c>
      <c r="HL299" s="775"/>
      <c r="HN299" s="775"/>
      <c r="HO299" s="775"/>
      <c r="HQ299" s="702"/>
      <c r="HR299" s="1171"/>
      <c r="HS299" s="702"/>
      <c r="HT299" s="1171"/>
    </row>
    <row r="300" spans="1:228" ht="14.25" customHeight="1">
      <c r="A300" s="753">
        <f t="shared" si="729"/>
        <v>294</v>
      </c>
      <c r="B300" s="753"/>
      <c r="C300" s="753">
        <f t="shared" si="745"/>
        <v>15</v>
      </c>
      <c r="D300" s="753" t="s">
        <v>287</v>
      </c>
      <c r="E300" s="717" t="str">
        <f t="shared" si="649"/>
        <v>12th Floor</v>
      </c>
      <c r="F300" s="754"/>
      <c r="G300" s="756" t="s">
        <v>756</v>
      </c>
      <c r="H300" s="756"/>
      <c r="I300" s="755" t="s">
        <v>229</v>
      </c>
      <c r="J300" s="757">
        <v>22</v>
      </c>
      <c r="K300" s="758"/>
      <c r="L300" s="759" t="s">
        <v>277</v>
      </c>
      <c r="M300" s="760" t="s">
        <v>278</v>
      </c>
      <c r="N300" s="761">
        <f t="shared" si="650"/>
        <v>106005.26567735759</v>
      </c>
      <c r="O300" s="762">
        <f t="shared" si="651"/>
        <v>2332115.8449018667</v>
      </c>
      <c r="P300" s="762">
        <f t="shared" si="652"/>
        <v>22400</v>
      </c>
      <c r="Q300" s="762">
        <f t="shared" si="626"/>
        <v>50000</v>
      </c>
      <c r="R300" s="762"/>
      <c r="S300" s="762"/>
      <c r="T300" s="762"/>
      <c r="U300" s="762"/>
      <c r="V300" s="762"/>
      <c r="W300" s="762">
        <f t="shared" si="760"/>
        <v>22000</v>
      </c>
      <c r="X300" s="762"/>
      <c r="Y300" s="762">
        <f t="shared" si="746"/>
        <v>160000</v>
      </c>
      <c r="Z300" s="762">
        <f t="shared" si="627"/>
        <v>142461</v>
      </c>
      <c r="AA300" s="762">
        <v>13500</v>
      </c>
      <c r="AB300" s="762"/>
      <c r="AC300" s="762"/>
      <c r="AD300" s="763">
        <f t="shared" si="653"/>
        <v>410361</v>
      </c>
      <c r="AE300" s="763">
        <f t="shared" si="628"/>
        <v>2742476.8449018667</v>
      </c>
      <c r="AF300" s="762">
        <f t="shared" si="629"/>
        <v>68561.921122546672</v>
      </c>
      <c r="AG300" s="762">
        <f t="shared" si="654"/>
        <v>2811038.7660244135</v>
      </c>
      <c r="AH300" s="762">
        <f t="shared" si="630"/>
        <v>70275.969150610341</v>
      </c>
      <c r="AI300" s="762">
        <f t="shared" si="655"/>
        <v>2881314.7351750238</v>
      </c>
      <c r="AJ300" s="762">
        <f t="shared" si="656"/>
        <v>144065.73675875118</v>
      </c>
      <c r="AK300" s="762">
        <f t="shared" si="657"/>
        <v>3025380.4719337751</v>
      </c>
      <c r="AL300" s="762">
        <f t="shared" si="658"/>
        <v>30253.804719337753</v>
      </c>
      <c r="AM300" s="762">
        <f t="shared" si="659"/>
        <v>27537.409960060559</v>
      </c>
      <c r="AN300" s="762"/>
      <c r="AO300" s="763">
        <f t="shared" si="660"/>
        <v>3083171.6866131732</v>
      </c>
      <c r="AP300" s="763">
        <f t="shared" si="661"/>
        <v>508723.32829117362</v>
      </c>
      <c r="AQ300" s="763">
        <f t="shared" si="662"/>
        <v>3591895.0149043468</v>
      </c>
      <c r="AR300" s="1178">
        <f t="shared" si="631"/>
        <v>3000000</v>
      </c>
      <c r="AS300" s="1178">
        <f t="shared" si="663"/>
        <v>26904.318859288491</v>
      </c>
      <c r="AT300" s="1178">
        <f t="shared" si="664"/>
        <v>591895.01490434678</v>
      </c>
      <c r="AU300" s="1178">
        <f t="shared" si="632"/>
        <v>71027.401788521616</v>
      </c>
      <c r="AV300" s="1178">
        <f t="shared" si="665"/>
        <v>662922.41669286834</v>
      </c>
      <c r="AW300" s="1178">
        <f t="shared" si="666"/>
        <v>3662922.4166928683</v>
      </c>
      <c r="AX300" s="762">
        <f t="shared" si="667"/>
        <v>45786.530208660857</v>
      </c>
      <c r="AY300" s="717">
        <v>7575.3956645161297</v>
      </c>
      <c r="AZ300" s="717">
        <f t="shared" si="668"/>
        <v>3716284.342566045</v>
      </c>
      <c r="BA300" s="717">
        <f t="shared" si="669"/>
        <v>139360.66284622668</v>
      </c>
      <c r="BB300" s="717"/>
      <c r="BC300" s="717">
        <f t="shared" si="633"/>
        <v>33600</v>
      </c>
      <c r="BD300" s="717">
        <f t="shared" si="670"/>
        <v>3889245.0054122717</v>
      </c>
      <c r="BE300" s="717">
        <v>18367.830916129038</v>
      </c>
      <c r="BF300" s="717">
        <f t="shared" si="671"/>
        <v>3907612.8363284008</v>
      </c>
      <c r="BG300" s="1209"/>
      <c r="BH300" s="717">
        <f t="shared" si="672"/>
        <v>3907612.8363284008</v>
      </c>
      <c r="BI300" s="717">
        <v>718.43902439024396</v>
      </c>
      <c r="BJ300" s="717">
        <f t="shared" si="673"/>
        <v>3908331.275352791</v>
      </c>
      <c r="BK300" s="717"/>
      <c r="BL300" s="717">
        <f t="shared" si="674"/>
        <v>3908331.275352791</v>
      </c>
      <c r="BM300" s="717">
        <f>$BM$5/41</f>
        <v>1038.0487804878051</v>
      </c>
      <c r="BN300" s="717">
        <f t="shared" si="675"/>
        <v>3909369.3241332788</v>
      </c>
      <c r="BO300" s="717">
        <f>$BO$5/51</f>
        <v>7289.0781490196077</v>
      </c>
      <c r="BP300" s="717">
        <f t="shared" si="634"/>
        <v>3916658.4022822985</v>
      </c>
      <c r="BQ300" s="717">
        <f>$BQ$5/56</f>
        <v>4468.4242000000004</v>
      </c>
      <c r="BR300" s="717">
        <f t="shared" si="738"/>
        <v>3921126.8264822983</v>
      </c>
      <c r="BS300" s="1234">
        <f>$BS$5/64</f>
        <v>2651.4786794501206</v>
      </c>
      <c r="BT300" s="1235">
        <f t="shared" si="676"/>
        <v>3923778.3051617485</v>
      </c>
      <c r="BU300" s="1235">
        <f>$BU$5/65</f>
        <v>211.07692307692309</v>
      </c>
      <c r="BV300" s="1235">
        <f t="shared" si="739"/>
        <v>51400</v>
      </c>
      <c r="BW300" s="717">
        <f t="shared" si="677"/>
        <v>3975389.3820848255</v>
      </c>
      <c r="BX300" s="1234">
        <f t="shared" si="743"/>
        <v>27651.078536278128</v>
      </c>
      <c r="BY300" s="717">
        <f t="shared" si="678"/>
        <v>4003040.4606211036</v>
      </c>
      <c r="BZ300" s="1194">
        <f t="shared" si="679"/>
        <v>4003040.4606211036</v>
      </c>
      <c r="CA300" s="1194">
        <f t="shared" si="680"/>
        <v>3123040.4606211036</v>
      </c>
      <c r="CB300" s="1194">
        <f>$CB$5</f>
        <v>40000</v>
      </c>
      <c r="CC300" s="1194">
        <f t="shared" si="681"/>
        <v>880000</v>
      </c>
      <c r="CD300" s="1194">
        <f t="shared" si="682"/>
        <v>105600</v>
      </c>
      <c r="CE300" s="1194">
        <f t="shared" si="683"/>
        <v>985600</v>
      </c>
      <c r="CF300" s="1200">
        <f t="shared" si="684"/>
        <v>4108640.4606211036</v>
      </c>
      <c r="CG300" s="757">
        <f t="shared" si="685"/>
        <v>4108640.4606211036</v>
      </c>
      <c r="CH300" s="758">
        <f t="shared" si="686"/>
        <v>0</v>
      </c>
      <c r="CI300" s="757">
        <f t="shared" si="635"/>
        <v>421135.64721366309</v>
      </c>
      <c r="CJ300" s="757">
        <f t="shared" si="636"/>
        <v>102716.0115155276</v>
      </c>
      <c r="CK300" s="759">
        <f t="shared" si="747"/>
        <v>4632492.1193502946</v>
      </c>
      <c r="CL300" s="764">
        <f t="shared" si="687"/>
        <v>0.125</v>
      </c>
      <c r="CM300" s="757">
        <f t="shared" si="688"/>
        <v>579061.51491878682</v>
      </c>
      <c r="CN300" s="757">
        <f t="shared" si="730"/>
        <v>30000</v>
      </c>
      <c r="CO300" s="757">
        <f t="shared" si="689"/>
        <v>549061.51491878682</v>
      </c>
      <c r="CP300" s="755">
        <f t="shared" si="690"/>
        <v>30</v>
      </c>
      <c r="CQ300" s="757">
        <f t="shared" si="732"/>
        <v>18302.050497292894</v>
      </c>
      <c r="CR300" s="764">
        <f t="shared" si="691"/>
        <v>0.875</v>
      </c>
      <c r="CS300" s="757">
        <f t="shared" si="692"/>
        <v>4053430.6044315076</v>
      </c>
      <c r="CT300" s="1101">
        <f t="shared" si="693"/>
        <v>31426.204332207191</v>
      </c>
      <c r="CU300" s="1101">
        <f t="shared" si="694"/>
        <v>36433.380212014803</v>
      </c>
      <c r="CV300" s="1101">
        <f t="shared" si="695"/>
        <v>47063.76630987705</v>
      </c>
      <c r="CW300" s="1141">
        <f t="shared" si="637"/>
        <v>80262.784167877297</v>
      </c>
      <c r="CX300" s="1152">
        <f t="shared" si="696"/>
        <v>329273.05188505375</v>
      </c>
      <c r="CY300" s="1152">
        <f t="shared" si="697"/>
        <v>130291.7426497906</v>
      </c>
      <c r="CZ300" s="1152">
        <f t="shared" si="698"/>
        <v>94107.880368637605</v>
      </c>
      <c r="DA300" s="1152">
        <f t="shared" si="699"/>
        <v>71620.429463580891</v>
      </c>
      <c r="DB300" s="1143">
        <f t="shared" si="638"/>
        <v>0.19729833830144894</v>
      </c>
      <c r="DC300" s="1143">
        <f t="shared" si="700"/>
        <v>0.31558989146236871</v>
      </c>
      <c r="DD300" s="1098" t="s">
        <v>232</v>
      </c>
      <c r="DE300" s="1144"/>
      <c r="DF300" s="705"/>
      <c r="DG300" s="765">
        <f t="shared" si="731"/>
        <v>46082</v>
      </c>
      <c r="DH300" s="1116">
        <f t="shared" si="639"/>
        <v>28</v>
      </c>
      <c r="DI300" s="497"/>
      <c r="DJ300" s="1117">
        <f t="shared" si="701"/>
        <v>46147</v>
      </c>
      <c r="DK300" s="1116">
        <f t="shared" si="702"/>
        <v>30</v>
      </c>
      <c r="DL300" s="766" t="s">
        <v>233</v>
      </c>
      <c r="DM300" s="766" t="s">
        <v>234</v>
      </c>
      <c r="DN300" s="767">
        <f t="shared" si="640"/>
        <v>30132.837122403107</v>
      </c>
      <c r="DO300" s="767">
        <f t="shared" si="641"/>
        <v>662922.41669286834</v>
      </c>
      <c r="DP300" s="768">
        <f t="shared" si="642"/>
        <v>0.22097413889762277</v>
      </c>
      <c r="DR300" s="767">
        <f t="shared" si="643"/>
        <v>4108640.4606211036</v>
      </c>
      <c r="DS300" s="767">
        <f>SUM('[6]INTERNAL PRICELIST'!M300)</f>
        <v>0</v>
      </c>
      <c r="DT300" s="767">
        <f t="shared" si="703"/>
        <v>4108640.4606211036</v>
      </c>
      <c r="DV300" s="951">
        <f t="shared" si="644"/>
        <v>186756.38457368652</v>
      </c>
      <c r="DX300" s="781"/>
      <c r="DY300" s="782"/>
      <c r="DZ300" s="781"/>
      <c r="EA300" s="775"/>
      <c r="ED300" s="755" t="s">
        <v>756</v>
      </c>
      <c r="EE300" s="777" t="b">
        <f t="shared" si="645"/>
        <v>1</v>
      </c>
      <c r="EF300" s="777"/>
      <c r="EG300" s="777"/>
      <c r="EH300" s="1203"/>
      <c r="EP300" s="1233" t="s">
        <v>258</v>
      </c>
      <c r="EQ300" s="1145" t="s">
        <v>258</v>
      </c>
      <c r="ER300" s="753" t="b">
        <f t="shared" si="704"/>
        <v>1</v>
      </c>
      <c r="EU300" s="770">
        <v>3212026.0824007285</v>
      </c>
      <c r="EV300" s="771" t="s">
        <v>258</v>
      </c>
      <c r="EW300" s="775">
        <f>EU300-CG300</f>
        <v>-896614.37822037516</v>
      </c>
      <c r="EY300" s="775">
        <v>3177939.6655552988</v>
      </c>
      <c r="FJ300" s="994">
        <v>0.15</v>
      </c>
      <c r="FK300" s="993">
        <v>13830.926663941489</v>
      </c>
      <c r="FL300" s="993">
        <v>14204.735492696665</v>
      </c>
      <c r="FM300" s="497"/>
      <c r="FN300" s="993">
        <f t="shared" si="646"/>
        <v>4632492.1193502946</v>
      </c>
      <c r="FO300" s="994">
        <f t="shared" ref="FO300:FO301" si="761">FJ300</f>
        <v>0.15</v>
      </c>
      <c r="FP300" s="775">
        <f t="shared" si="647"/>
        <v>694873.81790254416</v>
      </c>
      <c r="FQ300" s="993">
        <f t="shared" si="648"/>
        <v>30000</v>
      </c>
      <c r="FR300" s="775">
        <f t="shared" si="706"/>
        <v>664873.81790254416</v>
      </c>
      <c r="FS300" s="497">
        <f t="shared" si="707"/>
        <v>40</v>
      </c>
      <c r="FT300" s="775">
        <f t="shared" si="708"/>
        <v>16621.845447563603</v>
      </c>
      <c r="FU300" s="497"/>
      <c r="FV300" s="993">
        <f t="shared" si="709"/>
        <v>4632492.1193502946</v>
      </c>
      <c r="FW300" s="705">
        <f t="shared" si="710"/>
        <v>463249.21193502948</v>
      </c>
      <c r="FX300" s="705">
        <f t="shared" si="711"/>
        <v>115812.30298375737</v>
      </c>
      <c r="FY300" s="705">
        <v>15000</v>
      </c>
      <c r="FZ300" s="705">
        <f t="shared" si="712"/>
        <v>448249.21193502948</v>
      </c>
      <c r="GA300" s="497">
        <f t="shared" si="713"/>
        <v>46</v>
      </c>
      <c r="GB300" s="775">
        <f t="shared" si="714"/>
        <v>9744.5480855441183</v>
      </c>
      <c r="GC300" s="497"/>
      <c r="GD300" s="497"/>
      <c r="GH300" s="1095">
        <f t="shared" si="613"/>
        <v>4632492.1193502946</v>
      </c>
      <c r="GI300" s="1098">
        <f t="shared" si="614"/>
        <v>0.125</v>
      </c>
      <c r="GJ300" s="1095">
        <f t="shared" si="615"/>
        <v>579061.51491878682</v>
      </c>
      <c r="GK300" s="1095">
        <f t="shared" si="616"/>
        <v>30000</v>
      </c>
      <c r="GL300" s="1095">
        <f t="shared" si="617"/>
        <v>549061.51491878682</v>
      </c>
      <c r="GM300" s="1095">
        <f t="shared" si="618"/>
        <v>30</v>
      </c>
      <c r="GN300" s="1095">
        <f t="shared" si="619"/>
        <v>18302.050497292894</v>
      </c>
      <c r="GO300" s="1098">
        <f t="shared" si="620"/>
        <v>0.875</v>
      </c>
      <c r="GP300" s="1095">
        <f t="shared" si="621"/>
        <v>4053430.6044315076</v>
      </c>
      <c r="GQ300" s="1095">
        <f t="shared" si="622"/>
        <v>31426.204332207191</v>
      </c>
      <c r="GR300" s="1095">
        <f t="shared" si="623"/>
        <v>36433.380212014803</v>
      </c>
      <c r="GS300" s="1095">
        <f t="shared" si="624"/>
        <v>47063.76630987705</v>
      </c>
      <c r="GT300" s="1095">
        <f t="shared" si="625"/>
        <v>80262.784167877297</v>
      </c>
      <c r="GU300" s="497"/>
      <c r="GV300" s="1095">
        <f t="shared" si="715"/>
        <v>4632492.1193502946</v>
      </c>
      <c r="GW300" s="1098">
        <f t="shared" si="716"/>
        <v>0.125</v>
      </c>
      <c r="GX300" s="1095">
        <f t="shared" si="717"/>
        <v>579061.51491878682</v>
      </c>
      <c r="GY300" s="1095">
        <f t="shared" si="718"/>
        <v>30000</v>
      </c>
      <c r="GZ300" s="1095">
        <f t="shared" si="719"/>
        <v>549061.51491878682</v>
      </c>
      <c r="HA300" s="1106">
        <f t="shared" si="720"/>
        <v>48</v>
      </c>
      <c r="HB300" s="770">
        <f t="shared" si="721"/>
        <v>11438.781560808058</v>
      </c>
      <c r="HC300" s="1098">
        <f t="shared" si="722"/>
        <v>0.875</v>
      </c>
      <c r="HD300" s="1102">
        <f t="shared" si="723"/>
        <v>4053430.6044315076</v>
      </c>
      <c r="HE300" s="1101">
        <f t="shared" si="724"/>
        <v>31426.204332207191</v>
      </c>
      <c r="HF300" s="1101">
        <f t="shared" si="725"/>
        <v>36433.380212014803</v>
      </c>
      <c r="HG300" s="1101">
        <f t="shared" si="726"/>
        <v>47063.76630987705</v>
      </c>
      <c r="HH300" s="1101">
        <f t="shared" si="727"/>
        <v>80262.784167877297</v>
      </c>
      <c r="HI300" s="497"/>
      <c r="HJ300" s="1102">
        <f t="shared" si="728"/>
        <v>-6863.2689364848356</v>
      </c>
      <c r="HL300" s="775"/>
      <c r="HN300" s="775"/>
      <c r="HO300" s="775"/>
      <c r="HQ300" s="702"/>
      <c r="HR300" s="1171"/>
      <c r="HS300" s="702"/>
      <c r="HT300" s="1171"/>
    </row>
    <row r="301" spans="1:228" ht="14.25" hidden="1" customHeight="1">
      <c r="A301" s="753">
        <f t="shared" si="729"/>
        <v>295</v>
      </c>
      <c r="B301" s="753"/>
      <c r="C301" s="753">
        <f t="shared" si="745"/>
        <v>16</v>
      </c>
      <c r="D301" s="753" t="s">
        <v>287</v>
      </c>
      <c r="E301" s="717" t="str">
        <f t="shared" si="649"/>
        <v>12th Floor</v>
      </c>
      <c r="F301" s="754"/>
      <c r="G301" s="756" t="s">
        <v>757</v>
      </c>
      <c r="H301" s="756"/>
      <c r="I301" s="755" t="s">
        <v>229</v>
      </c>
      <c r="J301" s="757">
        <v>22</v>
      </c>
      <c r="K301" s="758"/>
      <c r="L301" s="759" t="s">
        <v>277</v>
      </c>
      <c r="M301" s="760" t="s">
        <v>230</v>
      </c>
      <c r="N301" s="761">
        <f t="shared" si="650"/>
        <v>106005.26567735759</v>
      </c>
      <c r="O301" s="762">
        <f t="shared" si="651"/>
        <v>2332115.8449018667</v>
      </c>
      <c r="P301" s="762">
        <f t="shared" si="652"/>
        <v>22400</v>
      </c>
      <c r="Q301" s="762">
        <f t="shared" si="626"/>
        <v>50000</v>
      </c>
      <c r="R301" s="762"/>
      <c r="S301" s="762"/>
      <c r="T301" s="762"/>
      <c r="U301" s="762"/>
      <c r="V301" s="762">
        <f>J301*$V$5</f>
        <v>55000</v>
      </c>
      <c r="W301" s="762"/>
      <c r="X301" s="762"/>
      <c r="Y301" s="762">
        <f t="shared" si="746"/>
        <v>160000</v>
      </c>
      <c r="Z301" s="762">
        <f t="shared" si="627"/>
        <v>142461</v>
      </c>
      <c r="AA301" s="762"/>
      <c r="AB301" s="762"/>
      <c r="AC301" s="762"/>
      <c r="AD301" s="763">
        <f t="shared" si="653"/>
        <v>429861</v>
      </c>
      <c r="AE301" s="763">
        <f t="shared" si="628"/>
        <v>2761976.8449018667</v>
      </c>
      <c r="AF301" s="762">
        <f t="shared" si="629"/>
        <v>69049.421122546672</v>
      </c>
      <c r="AG301" s="762">
        <f t="shared" si="654"/>
        <v>2831026.2660244135</v>
      </c>
      <c r="AH301" s="762">
        <f t="shared" si="630"/>
        <v>70775.656650610341</v>
      </c>
      <c r="AI301" s="762">
        <f t="shared" si="655"/>
        <v>2901801.9226750238</v>
      </c>
      <c r="AJ301" s="762">
        <f t="shared" si="656"/>
        <v>145090.09613375118</v>
      </c>
      <c r="AK301" s="762">
        <f t="shared" si="657"/>
        <v>3046892.0188087751</v>
      </c>
      <c r="AL301" s="762">
        <f t="shared" si="658"/>
        <v>30468.920188087752</v>
      </c>
      <c r="AM301" s="762">
        <f t="shared" si="659"/>
        <v>27537.409960060559</v>
      </c>
      <c r="AN301" s="762"/>
      <c r="AO301" s="763">
        <f t="shared" si="660"/>
        <v>3104898.3489569235</v>
      </c>
      <c r="AP301" s="763">
        <f t="shared" si="661"/>
        <v>512308.22757789242</v>
      </c>
      <c r="AQ301" s="763">
        <f t="shared" si="662"/>
        <v>3617206.5765348161</v>
      </c>
      <c r="AR301" s="1178">
        <f t="shared" si="631"/>
        <v>3000000</v>
      </c>
      <c r="AS301" s="1178">
        <f t="shared" si="663"/>
        <v>28054.844387946185</v>
      </c>
      <c r="AT301" s="1178">
        <f t="shared" si="664"/>
        <v>617206.57653481606</v>
      </c>
      <c r="AU301" s="1178">
        <f t="shared" si="632"/>
        <v>74064.78918417792</v>
      </c>
      <c r="AV301" s="1178">
        <f t="shared" si="665"/>
        <v>691271.36571899394</v>
      </c>
      <c r="AW301" s="1178">
        <f t="shared" si="666"/>
        <v>3691271.3657189938</v>
      </c>
      <c r="AX301" s="762">
        <f t="shared" si="667"/>
        <v>46140.892071487426</v>
      </c>
      <c r="AY301" s="717" t="s">
        <v>231</v>
      </c>
      <c r="AZ301" s="717">
        <f t="shared" si="668"/>
        <v>3737412.2577904812</v>
      </c>
      <c r="BA301" s="717">
        <f t="shared" si="669"/>
        <v>140152.95966714303</v>
      </c>
      <c r="BB301" s="717"/>
      <c r="BC301" s="717">
        <f t="shared" si="633"/>
        <v>33600</v>
      </c>
      <c r="BD301" s="717">
        <f t="shared" si="670"/>
        <v>3911165.2174576242</v>
      </c>
      <c r="BE301" s="717"/>
      <c r="BF301" s="717">
        <f t="shared" si="671"/>
        <v>3911165.2174576242</v>
      </c>
      <c r="BG301" s="1209"/>
      <c r="BH301" s="717">
        <f t="shared" si="672"/>
        <v>3911165.2174576242</v>
      </c>
      <c r="BI301" s="717"/>
      <c r="BJ301" s="717">
        <f t="shared" si="673"/>
        <v>3911165.2174576242</v>
      </c>
      <c r="BK301" s="717"/>
      <c r="BL301" s="717">
        <f t="shared" si="674"/>
        <v>3911165.2174576242</v>
      </c>
      <c r="BM301" s="717"/>
      <c r="BN301" s="717">
        <f t="shared" si="675"/>
        <v>3911165.2174576242</v>
      </c>
      <c r="BO301" s="717"/>
      <c r="BP301" s="717">
        <f t="shared" si="634"/>
        <v>3911165.2174576242</v>
      </c>
      <c r="BQ301" s="717"/>
      <c r="BR301" s="717">
        <f t="shared" si="738"/>
        <v>3911165.2174576242</v>
      </c>
      <c r="BS301" s="717"/>
      <c r="BT301" s="717">
        <f t="shared" si="676"/>
        <v>3911165.2174576242</v>
      </c>
      <c r="BU301" s="717"/>
      <c r="BV301" s="1235">
        <f t="shared" si="739"/>
        <v>51400</v>
      </c>
      <c r="BW301" s="717">
        <f t="shared" si="677"/>
        <v>3962565.2174576242</v>
      </c>
      <c r="BX301" s="717"/>
      <c r="BY301" s="717">
        <f t="shared" si="678"/>
        <v>3962565.2174576242</v>
      </c>
      <c r="BZ301" s="1194">
        <f t="shared" si="679"/>
        <v>3962565.2174576242</v>
      </c>
      <c r="CA301" s="1194">
        <f t="shared" si="680"/>
        <v>3038565.2174576242</v>
      </c>
      <c r="CB301" s="1194">
        <v>42000</v>
      </c>
      <c r="CC301" s="1194">
        <f t="shared" si="681"/>
        <v>924000</v>
      </c>
      <c r="CD301" s="1194">
        <f t="shared" si="682"/>
        <v>110880</v>
      </c>
      <c r="CE301" s="1194">
        <f t="shared" si="683"/>
        <v>1034880</v>
      </c>
      <c r="CF301" s="1200">
        <f t="shared" si="684"/>
        <v>4073445.2174576242</v>
      </c>
      <c r="CG301" s="757">
        <f t="shared" si="685"/>
        <v>4073445.2174576242</v>
      </c>
      <c r="CH301" s="758">
        <f t="shared" si="686"/>
        <v>0</v>
      </c>
      <c r="CI301" s="757">
        <f t="shared" si="635"/>
        <v>417528.13478940644</v>
      </c>
      <c r="CJ301" s="757">
        <f t="shared" si="636"/>
        <v>101836.13043644061</v>
      </c>
      <c r="CK301" s="759">
        <f t="shared" si="747"/>
        <v>4592809.4826834714</v>
      </c>
      <c r="CL301" s="764">
        <f t="shared" si="687"/>
        <v>0.125</v>
      </c>
      <c r="CM301" s="757">
        <f t="shared" si="688"/>
        <v>574101.18533543393</v>
      </c>
      <c r="CN301" s="757">
        <f t="shared" si="730"/>
        <v>30000</v>
      </c>
      <c r="CO301" s="757">
        <f t="shared" si="689"/>
        <v>544101.18533543393</v>
      </c>
      <c r="CP301" s="755">
        <f t="shared" si="690"/>
        <v>30</v>
      </c>
      <c r="CQ301" s="757">
        <f t="shared" si="732"/>
        <v>18136.706177847798</v>
      </c>
      <c r="CR301" s="764">
        <f t="shared" si="691"/>
        <v>0.875</v>
      </c>
      <c r="CS301" s="757">
        <f t="shared" si="692"/>
        <v>4018708.2973480374</v>
      </c>
      <c r="CT301" s="1101">
        <f t="shared" si="693"/>
        <v>31157.002654966735</v>
      </c>
      <c r="CU301" s="1101">
        <f t="shared" si="694"/>
        <v>36121.286299656378</v>
      </c>
      <c r="CV301" s="1101">
        <f t="shared" si="695"/>
        <v>46660.610882834662</v>
      </c>
      <c r="CW301" s="1141">
        <f t="shared" si="637"/>
        <v>79575.240871538525</v>
      </c>
      <c r="CX301" s="1152">
        <f t="shared" si="696"/>
        <v>326452.44851531438</v>
      </c>
      <c r="CY301" s="1152">
        <f t="shared" si="697"/>
        <v>129175.64363633259</v>
      </c>
      <c r="CZ301" s="1152">
        <f t="shared" si="698"/>
        <v>93301.737858744411</v>
      </c>
      <c r="DA301" s="1152">
        <f t="shared" si="699"/>
        <v>71006.917900667817</v>
      </c>
      <c r="DB301" s="1143">
        <f t="shared" si="638"/>
        <v>0.20573552551160534</v>
      </c>
      <c r="DC301" s="1143">
        <f t="shared" si="700"/>
        <v>0.34058179632092511</v>
      </c>
      <c r="DD301" s="1098" t="s">
        <v>232</v>
      </c>
      <c r="DE301" s="1144"/>
      <c r="DF301" s="705"/>
      <c r="DG301" s="765">
        <f t="shared" si="731"/>
        <v>46082</v>
      </c>
      <c r="DH301" s="1116">
        <f t="shared" si="639"/>
        <v>28</v>
      </c>
      <c r="DI301" s="497"/>
      <c r="DJ301" s="1117">
        <f t="shared" si="701"/>
        <v>46147</v>
      </c>
      <c r="DK301" s="1116">
        <f t="shared" si="702"/>
        <v>30</v>
      </c>
      <c r="DL301" s="766" t="s">
        <v>233</v>
      </c>
      <c r="DM301" s="766" t="s">
        <v>234</v>
      </c>
      <c r="DN301" s="767">
        <f t="shared" si="640"/>
        <v>31421.425714499725</v>
      </c>
      <c r="DO301" s="767">
        <f t="shared" si="641"/>
        <v>691271.36571899394</v>
      </c>
      <c r="DP301" s="768">
        <f t="shared" si="642"/>
        <v>0.23042378857299797</v>
      </c>
      <c r="DR301" s="767">
        <f t="shared" si="643"/>
        <v>4073445.2174576242</v>
      </c>
      <c r="DS301" s="767">
        <f>SUM('[6]INTERNAL PRICELIST'!M301)</f>
        <v>0</v>
      </c>
      <c r="DT301" s="767">
        <f t="shared" si="703"/>
        <v>4073445.2174576242</v>
      </c>
      <c r="DV301" s="951">
        <f t="shared" si="644"/>
        <v>185156.60079352837</v>
      </c>
      <c r="DX301" s="781"/>
      <c r="DY301" s="782"/>
      <c r="DZ301" s="781"/>
      <c r="EA301" s="775"/>
      <c r="ED301" s="1133" t="s">
        <v>757</v>
      </c>
      <c r="EE301" s="777" t="b">
        <f t="shared" si="645"/>
        <v>1</v>
      </c>
      <c r="EF301" s="777"/>
      <c r="EG301" s="777"/>
      <c r="EH301" s="1203"/>
      <c r="EP301" s="1230" t="s">
        <v>236</v>
      </c>
      <c r="EQ301" s="1145" t="s">
        <v>236</v>
      </c>
      <c r="ER301" s="753" t="b">
        <f t="shared" si="704"/>
        <v>1</v>
      </c>
      <c r="EU301" s="770">
        <v>3311416.1978750587</v>
      </c>
      <c r="EV301" s="771" t="s">
        <v>258</v>
      </c>
      <c r="EW301" s="775">
        <f>EU301-CG301</f>
        <v>-762029.01958256541</v>
      </c>
      <c r="EY301" s="775">
        <v>3276450.2940775836</v>
      </c>
      <c r="FJ301" s="994">
        <v>0.15</v>
      </c>
      <c r="FK301" s="993">
        <v>14267.311465728801</v>
      </c>
      <c r="FL301" s="993">
        <v>14652.914478316066</v>
      </c>
      <c r="FM301" s="497"/>
      <c r="FN301" s="993">
        <f t="shared" si="646"/>
        <v>4592809.4826834714</v>
      </c>
      <c r="FO301" s="994">
        <f t="shared" si="761"/>
        <v>0.15</v>
      </c>
      <c r="FP301" s="775">
        <f t="shared" si="647"/>
        <v>688921.42240252066</v>
      </c>
      <c r="FQ301" s="993">
        <f t="shared" si="648"/>
        <v>30000</v>
      </c>
      <c r="FR301" s="775">
        <f t="shared" si="706"/>
        <v>658921.42240252066</v>
      </c>
      <c r="FS301" s="497">
        <f t="shared" si="707"/>
        <v>40</v>
      </c>
      <c r="FT301" s="775">
        <f t="shared" si="708"/>
        <v>16473.035560063017</v>
      </c>
      <c r="FU301" s="497"/>
      <c r="FV301" s="993">
        <f t="shared" si="709"/>
        <v>4592809.4826834714</v>
      </c>
      <c r="FW301" s="705">
        <f t="shared" si="710"/>
        <v>459280.94826834719</v>
      </c>
      <c r="FX301" s="705">
        <f t="shared" si="711"/>
        <v>114820.2370670868</v>
      </c>
      <c r="FY301" s="705">
        <v>15000</v>
      </c>
      <c r="FZ301" s="705">
        <f t="shared" si="712"/>
        <v>444280.94826834719</v>
      </c>
      <c r="GA301" s="497">
        <f t="shared" si="713"/>
        <v>46</v>
      </c>
      <c r="GB301" s="775">
        <f t="shared" si="714"/>
        <v>9658.2814840945048</v>
      </c>
      <c r="GC301" s="497"/>
      <c r="GD301" s="497"/>
      <c r="GH301" s="1095">
        <f t="shared" si="613"/>
        <v>4592809.4826834714</v>
      </c>
      <c r="GI301" s="1098">
        <f t="shared" si="614"/>
        <v>0.125</v>
      </c>
      <c r="GJ301" s="1095">
        <f t="shared" si="615"/>
        <v>574101.18533543393</v>
      </c>
      <c r="GK301" s="1095">
        <f t="shared" si="616"/>
        <v>30000</v>
      </c>
      <c r="GL301" s="1095">
        <f t="shared" si="617"/>
        <v>544101.18533543393</v>
      </c>
      <c r="GM301" s="1095">
        <f t="shared" si="618"/>
        <v>30</v>
      </c>
      <c r="GN301" s="1095">
        <f t="shared" si="619"/>
        <v>18136.706177847798</v>
      </c>
      <c r="GO301" s="1098">
        <f t="shared" si="620"/>
        <v>0.875</v>
      </c>
      <c r="GP301" s="1095">
        <f t="shared" si="621"/>
        <v>4018708.2973480374</v>
      </c>
      <c r="GQ301" s="1095">
        <f t="shared" si="622"/>
        <v>31157.002654966735</v>
      </c>
      <c r="GR301" s="1095">
        <f t="shared" si="623"/>
        <v>36121.286299656378</v>
      </c>
      <c r="GS301" s="1095">
        <f t="shared" si="624"/>
        <v>46660.610882834662</v>
      </c>
      <c r="GT301" s="1095">
        <f t="shared" si="625"/>
        <v>79575.240871538525</v>
      </c>
      <c r="GU301" s="497"/>
      <c r="GV301" s="1095">
        <f t="shared" si="715"/>
        <v>4592809.4826834714</v>
      </c>
      <c r="GW301" s="1098">
        <f t="shared" si="716"/>
        <v>0.125</v>
      </c>
      <c r="GX301" s="1095">
        <f t="shared" si="717"/>
        <v>574101.18533543393</v>
      </c>
      <c r="GY301" s="1095">
        <f t="shared" si="718"/>
        <v>30000</v>
      </c>
      <c r="GZ301" s="1095">
        <f t="shared" si="719"/>
        <v>544101.18533543393</v>
      </c>
      <c r="HA301" s="1106">
        <f t="shared" si="720"/>
        <v>48</v>
      </c>
      <c r="HB301" s="770">
        <f t="shared" si="721"/>
        <v>11335.441361154873</v>
      </c>
      <c r="HC301" s="1098">
        <f t="shared" si="722"/>
        <v>0.875</v>
      </c>
      <c r="HD301" s="1102">
        <f t="shared" si="723"/>
        <v>4018708.2973480374</v>
      </c>
      <c r="HE301" s="1101">
        <f t="shared" si="724"/>
        <v>31157.002654966735</v>
      </c>
      <c r="HF301" s="1101">
        <f t="shared" si="725"/>
        <v>36121.286299656378</v>
      </c>
      <c r="HG301" s="1101">
        <f t="shared" si="726"/>
        <v>46660.610882834662</v>
      </c>
      <c r="HH301" s="1101">
        <f t="shared" si="727"/>
        <v>79575.240871538525</v>
      </c>
      <c r="HI301" s="497"/>
      <c r="HJ301" s="1102">
        <f t="shared" si="728"/>
        <v>-6801.2648166929248</v>
      </c>
      <c r="HL301" s="775"/>
      <c r="HN301" s="775"/>
      <c r="HO301" s="775"/>
      <c r="HQ301" s="702"/>
      <c r="HR301" s="1171"/>
      <c r="HS301" s="702"/>
      <c r="HT301" s="1171"/>
    </row>
    <row r="302" spans="1:228" ht="14.25" customHeight="1">
      <c r="A302" s="753">
        <f t="shared" si="729"/>
        <v>296</v>
      </c>
      <c r="B302" s="753" t="s">
        <v>236</v>
      </c>
      <c r="C302" s="753">
        <f t="shared" si="745"/>
        <v>17</v>
      </c>
      <c r="D302" s="753" t="s">
        <v>287</v>
      </c>
      <c r="E302" s="717" t="str">
        <f t="shared" si="649"/>
        <v>12th Floor</v>
      </c>
      <c r="F302" s="754"/>
      <c r="G302" s="756" t="s">
        <v>758</v>
      </c>
      <c r="H302" s="756"/>
      <c r="I302" s="755" t="s">
        <v>229</v>
      </c>
      <c r="J302" s="757">
        <v>22</v>
      </c>
      <c r="K302" s="758"/>
      <c r="L302" s="759" t="s">
        <v>69</v>
      </c>
      <c r="M302" s="760" t="s">
        <v>68</v>
      </c>
      <c r="N302" s="761">
        <f t="shared" si="650"/>
        <v>106005.26567735759</v>
      </c>
      <c r="O302" s="762">
        <f t="shared" si="651"/>
        <v>2332115.8449018667</v>
      </c>
      <c r="P302" s="762">
        <f t="shared" si="652"/>
        <v>22400</v>
      </c>
      <c r="Q302" s="762">
        <f t="shared" si="626"/>
        <v>50000</v>
      </c>
      <c r="R302" s="762"/>
      <c r="S302" s="762"/>
      <c r="T302" s="762"/>
      <c r="U302" s="762"/>
      <c r="V302" s="762"/>
      <c r="W302" s="762"/>
      <c r="X302" s="762"/>
      <c r="Y302" s="762">
        <f t="shared" si="746"/>
        <v>160000</v>
      </c>
      <c r="Z302" s="762">
        <f t="shared" si="627"/>
        <v>142461</v>
      </c>
      <c r="AA302" s="762"/>
      <c r="AB302" s="762"/>
      <c r="AC302" s="762"/>
      <c r="AD302" s="763">
        <f t="shared" si="653"/>
        <v>374861</v>
      </c>
      <c r="AE302" s="763">
        <f t="shared" si="628"/>
        <v>2706976.8449018667</v>
      </c>
      <c r="AF302" s="762">
        <f t="shared" si="629"/>
        <v>67674.421122546672</v>
      </c>
      <c r="AG302" s="762">
        <f t="shared" si="654"/>
        <v>2774651.2660244135</v>
      </c>
      <c r="AH302" s="762">
        <f t="shared" si="630"/>
        <v>69366.281650610341</v>
      </c>
      <c r="AI302" s="762">
        <f t="shared" si="655"/>
        <v>2844017.5476750238</v>
      </c>
      <c r="AJ302" s="762">
        <f t="shared" si="656"/>
        <v>142200.87738375118</v>
      </c>
      <c r="AK302" s="762">
        <f t="shared" si="657"/>
        <v>2986218.4250587751</v>
      </c>
      <c r="AL302" s="762">
        <f t="shared" si="658"/>
        <v>29862.18425058775</v>
      </c>
      <c r="AM302" s="762">
        <f t="shared" si="659"/>
        <v>27537.409960060559</v>
      </c>
      <c r="AN302" s="762"/>
      <c r="AO302" s="763">
        <f t="shared" si="660"/>
        <v>3043618.0192694231</v>
      </c>
      <c r="AP302" s="763">
        <f t="shared" si="661"/>
        <v>502196.97317945486</v>
      </c>
      <c r="AQ302" s="763">
        <f t="shared" si="662"/>
        <v>3545814.992448878</v>
      </c>
      <c r="AR302" s="1178">
        <f t="shared" si="631"/>
        <v>3000000</v>
      </c>
      <c r="AS302" s="1178">
        <f t="shared" si="663"/>
        <v>24809.772384039909</v>
      </c>
      <c r="AT302" s="1178">
        <f t="shared" si="664"/>
        <v>545814.99244887801</v>
      </c>
      <c r="AU302" s="1178">
        <f t="shared" si="632"/>
        <v>65497.79909386536</v>
      </c>
      <c r="AV302" s="1178">
        <f t="shared" si="665"/>
        <v>611312.79154274333</v>
      </c>
      <c r="AW302" s="1178">
        <f t="shared" si="666"/>
        <v>3611312.7915427433</v>
      </c>
      <c r="AX302" s="762">
        <f t="shared" si="667"/>
        <v>45141.409894284297</v>
      </c>
      <c r="AY302" s="717" t="s">
        <v>231</v>
      </c>
      <c r="AZ302" s="717">
        <f t="shared" si="668"/>
        <v>3656454.2014370277</v>
      </c>
      <c r="BA302" s="717">
        <f t="shared" si="669"/>
        <v>137117.03255388854</v>
      </c>
      <c r="BB302" s="717"/>
      <c r="BC302" s="717">
        <f t="shared" si="633"/>
        <v>33600</v>
      </c>
      <c r="BD302" s="717">
        <f t="shared" si="670"/>
        <v>3827171.2339909161</v>
      </c>
      <c r="BE302" s="717"/>
      <c r="BF302" s="717">
        <f t="shared" si="671"/>
        <v>3827171.2339909161</v>
      </c>
      <c r="BG302" s="1209"/>
      <c r="BH302" s="717">
        <f t="shared" si="672"/>
        <v>3827171.2339909161</v>
      </c>
      <c r="BI302" s="717"/>
      <c r="BJ302" s="717">
        <f t="shared" si="673"/>
        <v>3827171.2339909161</v>
      </c>
      <c r="BK302" s="717"/>
      <c r="BL302" s="717">
        <f t="shared" si="674"/>
        <v>3827171.2339909161</v>
      </c>
      <c r="BM302" s="717"/>
      <c r="BN302" s="717">
        <f t="shared" si="675"/>
        <v>3827171.2339909161</v>
      </c>
      <c r="BO302" s="717"/>
      <c r="BP302" s="717">
        <f t="shared" si="634"/>
        <v>3827171.2339909161</v>
      </c>
      <c r="BQ302" s="717"/>
      <c r="BR302" s="717">
        <f t="shared" si="738"/>
        <v>3827171.2339909161</v>
      </c>
      <c r="BS302" s="1234">
        <f>$BS$5/64</f>
        <v>2651.4786794501206</v>
      </c>
      <c r="BT302" s="1235">
        <f t="shared" si="676"/>
        <v>3829822.7126703663</v>
      </c>
      <c r="BU302" s="1235">
        <f>$BU$5/65</f>
        <v>211.07692307692309</v>
      </c>
      <c r="BV302" s="1235">
        <f t="shared" si="739"/>
        <v>51400</v>
      </c>
      <c r="BW302" s="717">
        <f t="shared" si="677"/>
        <v>3881433.7895934433</v>
      </c>
      <c r="BX302" s="1234">
        <f t="shared" si="743"/>
        <v>27651.078536278128</v>
      </c>
      <c r="BY302" s="717">
        <f t="shared" si="678"/>
        <v>3909084.8681297214</v>
      </c>
      <c r="BZ302" s="1194">
        <f t="shared" si="679"/>
        <v>3909084.8681297214</v>
      </c>
      <c r="CA302" s="1194">
        <f t="shared" si="680"/>
        <v>3029084.8681297214</v>
      </c>
      <c r="CB302" s="1194">
        <f>$CB$5</f>
        <v>40000</v>
      </c>
      <c r="CC302" s="1194">
        <f t="shared" si="681"/>
        <v>880000</v>
      </c>
      <c r="CD302" s="1194">
        <f t="shared" si="682"/>
        <v>105600</v>
      </c>
      <c r="CE302" s="1194">
        <f t="shared" si="683"/>
        <v>985600</v>
      </c>
      <c r="CF302" s="1200">
        <f t="shared" si="684"/>
        <v>4014684.8681297214</v>
      </c>
      <c r="CG302" s="757">
        <f t="shared" si="685"/>
        <v>4014684.8681297214</v>
      </c>
      <c r="CH302" s="758">
        <f t="shared" si="686"/>
        <v>0</v>
      </c>
      <c r="CI302" s="757">
        <f t="shared" si="635"/>
        <v>411505.1989832964</v>
      </c>
      <c r="CJ302" s="757">
        <f t="shared" si="636"/>
        <v>100367.12170324304</v>
      </c>
      <c r="CK302" s="759">
        <f t="shared" si="747"/>
        <v>4526557.1888162605</v>
      </c>
      <c r="CL302" s="764">
        <f t="shared" si="687"/>
        <v>0.125</v>
      </c>
      <c r="CM302" s="757">
        <f t="shared" si="688"/>
        <v>565819.64860203257</v>
      </c>
      <c r="CN302" s="757">
        <f t="shared" si="730"/>
        <v>30000</v>
      </c>
      <c r="CO302" s="757">
        <f t="shared" si="689"/>
        <v>535819.64860203257</v>
      </c>
      <c r="CP302" s="755">
        <f t="shared" si="690"/>
        <v>30</v>
      </c>
      <c r="CQ302" s="757">
        <f t="shared" si="732"/>
        <v>17860.654953401085</v>
      </c>
      <c r="CR302" s="764">
        <f t="shared" si="691"/>
        <v>0.875</v>
      </c>
      <c r="CS302" s="757">
        <f t="shared" si="692"/>
        <v>3960737.540214228</v>
      </c>
      <c r="CT302" s="1101">
        <f t="shared" si="693"/>
        <v>30707.555991938105</v>
      </c>
      <c r="CU302" s="1101">
        <f t="shared" si="694"/>
        <v>35600.228745710498</v>
      </c>
      <c r="CV302" s="1101">
        <f t="shared" si="695"/>
        <v>45987.521237838788</v>
      </c>
      <c r="CW302" s="1141">
        <f t="shared" si="637"/>
        <v>78427.35039999758</v>
      </c>
      <c r="CX302" s="1152">
        <f t="shared" si="696"/>
        <v>321743.29965245532</v>
      </c>
      <c r="CY302" s="1152">
        <f t="shared" si="697"/>
        <v>127312.25637088041</v>
      </c>
      <c r="CZ302" s="1152">
        <f t="shared" si="698"/>
        <v>91955.839628424743</v>
      </c>
      <c r="DA302" s="1152">
        <f t="shared" si="699"/>
        <v>69982.627385440239</v>
      </c>
      <c r="DB302" s="1143">
        <f t="shared" si="638"/>
        <v>0.18193833081629268</v>
      </c>
      <c r="DC302" s="1143">
        <f t="shared" si="700"/>
        <v>0.32537880016829934</v>
      </c>
      <c r="DD302" s="1098" t="s">
        <v>232</v>
      </c>
      <c r="DE302" s="1144"/>
      <c r="DF302" s="705"/>
      <c r="DG302" s="765">
        <f t="shared" si="731"/>
        <v>46082</v>
      </c>
      <c r="DH302" s="1116">
        <f t="shared" si="639"/>
        <v>28</v>
      </c>
      <c r="DI302" s="497"/>
      <c r="DJ302" s="1117">
        <f t="shared" si="701"/>
        <v>46147</v>
      </c>
      <c r="DK302" s="1116">
        <f t="shared" si="702"/>
        <v>30</v>
      </c>
      <c r="DL302" s="766" t="s">
        <v>233</v>
      </c>
      <c r="DM302" s="766" t="s">
        <v>234</v>
      </c>
      <c r="DN302" s="767">
        <f t="shared" si="640"/>
        <v>27786.945070124697</v>
      </c>
      <c r="DO302" s="767">
        <f t="shared" si="641"/>
        <v>611312.79154274333</v>
      </c>
      <c r="DP302" s="768">
        <f t="shared" si="642"/>
        <v>0.20377093051424777</v>
      </c>
      <c r="DR302" s="767">
        <f t="shared" si="643"/>
        <v>4014684.8681297214</v>
      </c>
      <c r="DS302" s="767">
        <f>SUM('[6]INTERNAL PRICELIST'!M302)</f>
        <v>0</v>
      </c>
      <c r="DT302" s="767">
        <f t="shared" si="703"/>
        <v>4014684.8681297214</v>
      </c>
      <c r="DV302" s="951">
        <f t="shared" si="644"/>
        <v>182485.67582407824</v>
      </c>
      <c r="DX302" s="781"/>
      <c r="DY302" s="782"/>
      <c r="DZ302" s="781"/>
      <c r="EA302" s="775"/>
      <c r="ED302" s="755" t="s">
        <v>758</v>
      </c>
      <c r="EE302" s="777" t="b">
        <f t="shared" si="645"/>
        <v>1</v>
      </c>
      <c r="EF302" s="1123" t="s">
        <v>759</v>
      </c>
      <c r="EG302" s="1123" t="s">
        <v>737</v>
      </c>
      <c r="EH302" s="1203"/>
      <c r="EP302" s="1230" t="s">
        <v>258</v>
      </c>
      <c r="EQ302" s="1145" t="s">
        <v>258</v>
      </c>
      <c r="ER302" s="753" t="b">
        <f t="shared" si="704"/>
        <v>1</v>
      </c>
      <c r="EU302" s="770">
        <v>2606860</v>
      </c>
      <c r="EV302" s="771" t="s">
        <v>236</v>
      </c>
      <c r="FJ302" s="994">
        <v>0.15</v>
      </c>
      <c r="FK302" s="993">
        <v>13708.740137105633</v>
      </c>
      <c r="FL302" s="993">
        <v>14079.246627297678</v>
      </c>
      <c r="FM302" s="497"/>
      <c r="FN302" s="993">
        <f t="shared" si="646"/>
        <v>4526557.1888162605</v>
      </c>
      <c r="FO302" s="994">
        <f t="shared" si="737"/>
        <v>0.15</v>
      </c>
      <c r="FP302" s="775">
        <f t="shared" si="647"/>
        <v>678983.57832243911</v>
      </c>
      <c r="FQ302" s="993">
        <f t="shared" si="648"/>
        <v>30000</v>
      </c>
      <c r="FR302" s="775">
        <f t="shared" si="706"/>
        <v>648983.57832243911</v>
      </c>
      <c r="FS302" s="497">
        <f t="shared" si="707"/>
        <v>40</v>
      </c>
      <c r="FT302" s="775">
        <f t="shared" si="708"/>
        <v>16224.589458060978</v>
      </c>
      <c r="FU302" s="497"/>
      <c r="FV302" s="993">
        <f t="shared" si="709"/>
        <v>4526557.1888162605</v>
      </c>
      <c r="FW302" s="705">
        <f t="shared" si="710"/>
        <v>452655.71888162609</v>
      </c>
      <c r="FX302" s="705">
        <f t="shared" si="711"/>
        <v>113163.92972040652</v>
      </c>
      <c r="FY302" s="705">
        <v>15000</v>
      </c>
      <c r="FZ302" s="705">
        <f t="shared" si="712"/>
        <v>437655.71888162609</v>
      </c>
      <c r="GA302" s="497">
        <f t="shared" si="713"/>
        <v>46</v>
      </c>
      <c r="GB302" s="775">
        <f t="shared" si="714"/>
        <v>9514.2547582962197</v>
      </c>
      <c r="GC302" s="497"/>
      <c r="GD302" s="497"/>
      <c r="GH302" s="1095">
        <f t="shared" si="613"/>
        <v>4526557.1888162605</v>
      </c>
      <c r="GI302" s="1098">
        <f t="shared" si="614"/>
        <v>0.125</v>
      </c>
      <c r="GJ302" s="1095">
        <f t="shared" si="615"/>
        <v>565819.64860203257</v>
      </c>
      <c r="GK302" s="1095">
        <f t="shared" si="616"/>
        <v>30000</v>
      </c>
      <c r="GL302" s="1095">
        <f t="shared" si="617"/>
        <v>535819.64860203257</v>
      </c>
      <c r="GM302" s="1095">
        <f t="shared" si="618"/>
        <v>30</v>
      </c>
      <c r="GN302" s="1095">
        <f t="shared" si="619"/>
        <v>17860.654953401085</v>
      </c>
      <c r="GO302" s="1098">
        <f t="shared" si="620"/>
        <v>0.875</v>
      </c>
      <c r="GP302" s="1095">
        <f t="shared" si="621"/>
        <v>3960737.540214228</v>
      </c>
      <c r="GQ302" s="1095">
        <f t="shared" si="622"/>
        <v>30707.555991938105</v>
      </c>
      <c r="GR302" s="1095">
        <f t="shared" si="623"/>
        <v>35600.228745710498</v>
      </c>
      <c r="GS302" s="1095">
        <f t="shared" si="624"/>
        <v>45987.521237838788</v>
      </c>
      <c r="GT302" s="1095">
        <f t="shared" si="625"/>
        <v>78427.35039999758</v>
      </c>
      <c r="GU302" s="497"/>
      <c r="GV302" s="1095">
        <f t="shared" si="715"/>
        <v>4526557.1888162605</v>
      </c>
      <c r="GW302" s="1098">
        <f t="shared" si="716"/>
        <v>0.125</v>
      </c>
      <c r="GX302" s="1095">
        <f t="shared" si="717"/>
        <v>565819.64860203257</v>
      </c>
      <c r="GY302" s="1095">
        <f t="shared" si="718"/>
        <v>30000</v>
      </c>
      <c r="GZ302" s="1095">
        <f t="shared" si="719"/>
        <v>535819.64860203257</v>
      </c>
      <c r="HA302" s="1106">
        <f t="shared" si="720"/>
        <v>48</v>
      </c>
      <c r="HB302" s="770">
        <f t="shared" si="721"/>
        <v>11162.909345875678</v>
      </c>
      <c r="HC302" s="1098">
        <f t="shared" si="722"/>
        <v>0.875</v>
      </c>
      <c r="HD302" s="1102">
        <f t="shared" si="723"/>
        <v>3960737.540214228</v>
      </c>
      <c r="HE302" s="1101">
        <f t="shared" si="724"/>
        <v>30707.555991938105</v>
      </c>
      <c r="HF302" s="1101">
        <f t="shared" si="725"/>
        <v>35600.228745710498</v>
      </c>
      <c r="HG302" s="1101">
        <f t="shared" si="726"/>
        <v>45987.521237838788</v>
      </c>
      <c r="HH302" s="1101">
        <f t="shared" si="727"/>
        <v>78427.35039999758</v>
      </c>
      <c r="HI302" s="497"/>
      <c r="HJ302" s="1102">
        <f t="shared" si="728"/>
        <v>-6697.7456075254067</v>
      </c>
      <c r="HL302" s="775"/>
      <c r="HN302" s="775"/>
      <c r="HO302" s="775"/>
      <c r="HQ302" s="702"/>
      <c r="HR302" s="1171"/>
      <c r="HS302" s="702"/>
      <c r="HT302" s="1171"/>
    </row>
    <row r="303" spans="1:228" ht="14.25" hidden="1" customHeight="1">
      <c r="A303" s="753">
        <f t="shared" si="729"/>
        <v>297</v>
      </c>
      <c r="B303" s="753" t="s">
        <v>236</v>
      </c>
      <c r="C303" s="753">
        <f t="shared" si="745"/>
        <v>18</v>
      </c>
      <c r="D303" s="753" t="s">
        <v>287</v>
      </c>
      <c r="E303" s="717" t="str">
        <f t="shared" si="649"/>
        <v>12th Floor</v>
      </c>
      <c r="F303" s="754"/>
      <c r="G303" s="756" t="s">
        <v>760</v>
      </c>
      <c r="H303" s="756"/>
      <c r="I303" s="755" t="s">
        <v>229</v>
      </c>
      <c r="J303" s="757">
        <v>22</v>
      </c>
      <c r="K303" s="758"/>
      <c r="L303" s="759" t="s">
        <v>69</v>
      </c>
      <c r="M303" s="760" t="s">
        <v>68</v>
      </c>
      <c r="N303" s="761">
        <f t="shared" si="650"/>
        <v>106005.26567735759</v>
      </c>
      <c r="O303" s="762">
        <f t="shared" si="651"/>
        <v>2332115.8449018667</v>
      </c>
      <c r="P303" s="762">
        <f t="shared" si="652"/>
        <v>22400</v>
      </c>
      <c r="Q303" s="762">
        <f t="shared" si="626"/>
        <v>50000</v>
      </c>
      <c r="R303" s="762"/>
      <c r="S303" s="762"/>
      <c r="T303" s="762"/>
      <c r="U303" s="762"/>
      <c r="V303" s="762"/>
      <c r="W303" s="762"/>
      <c r="X303" s="762"/>
      <c r="Y303" s="762">
        <f t="shared" si="746"/>
        <v>160000</v>
      </c>
      <c r="Z303" s="762">
        <f t="shared" si="627"/>
        <v>142461</v>
      </c>
      <c r="AA303" s="762"/>
      <c r="AB303" s="762"/>
      <c r="AC303" s="762"/>
      <c r="AD303" s="763">
        <f t="shared" si="653"/>
        <v>374861</v>
      </c>
      <c r="AE303" s="763">
        <f t="shared" si="628"/>
        <v>2706976.8449018667</v>
      </c>
      <c r="AF303" s="762">
        <f t="shared" si="629"/>
        <v>67674.421122546672</v>
      </c>
      <c r="AG303" s="762">
        <f t="shared" si="654"/>
        <v>2774651.2660244135</v>
      </c>
      <c r="AH303" s="762">
        <f t="shared" si="630"/>
        <v>69366.281650610341</v>
      </c>
      <c r="AI303" s="762">
        <f t="shared" si="655"/>
        <v>2844017.5476750238</v>
      </c>
      <c r="AJ303" s="762">
        <f t="shared" si="656"/>
        <v>142200.87738375118</v>
      </c>
      <c r="AK303" s="762">
        <f t="shared" si="657"/>
        <v>2986218.4250587751</v>
      </c>
      <c r="AL303" s="762">
        <f t="shared" si="658"/>
        <v>29862.18425058775</v>
      </c>
      <c r="AM303" s="762">
        <f t="shared" si="659"/>
        <v>27537.409960060559</v>
      </c>
      <c r="AN303" s="762"/>
      <c r="AO303" s="763">
        <f t="shared" si="660"/>
        <v>3043618.0192694231</v>
      </c>
      <c r="AP303" s="763">
        <f t="shared" si="661"/>
        <v>502196.97317945486</v>
      </c>
      <c r="AQ303" s="763">
        <f t="shared" si="662"/>
        <v>3545814.992448878</v>
      </c>
      <c r="AR303" s="1178">
        <f t="shared" si="631"/>
        <v>3000000</v>
      </c>
      <c r="AS303" s="1178">
        <f t="shared" si="663"/>
        <v>24809.772384039909</v>
      </c>
      <c r="AT303" s="1178">
        <f t="shared" si="664"/>
        <v>545814.99244887801</v>
      </c>
      <c r="AU303" s="1178">
        <f t="shared" si="632"/>
        <v>65497.79909386536</v>
      </c>
      <c r="AV303" s="1178">
        <f t="shared" si="665"/>
        <v>611312.79154274333</v>
      </c>
      <c r="AW303" s="1178">
        <f t="shared" si="666"/>
        <v>3611312.7915427433</v>
      </c>
      <c r="AX303" s="762">
        <f t="shared" si="667"/>
        <v>45141.409894284297</v>
      </c>
      <c r="AY303" s="717" t="s">
        <v>231</v>
      </c>
      <c r="AZ303" s="717">
        <f t="shared" si="668"/>
        <v>3656454.2014370277</v>
      </c>
      <c r="BA303" s="717">
        <f t="shared" si="669"/>
        <v>137117.03255388854</v>
      </c>
      <c r="BB303" s="717"/>
      <c r="BC303" s="717">
        <f t="shared" si="633"/>
        <v>33600</v>
      </c>
      <c r="BD303" s="717">
        <f t="shared" si="670"/>
        <v>3827171.2339909161</v>
      </c>
      <c r="BE303" s="717"/>
      <c r="BF303" s="717">
        <f t="shared" si="671"/>
        <v>3827171.2339909161</v>
      </c>
      <c r="BG303" s="1209"/>
      <c r="BH303" s="717">
        <f t="shared" si="672"/>
        <v>3827171.2339909161</v>
      </c>
      <c r="BI303" s="717"/>
      <c r="BJ303" s="717">
        <f t="shared" si="673"/>
        <v>3827171.2339909161</v>
      </c>
      <c r="BK303" s="717"/>
      <c r="BL303" s="717">
        <f t="shared" si="674"/>
        <v>3827171.2339909161</v>
      </c>
      <c r="BM303" s="717"/>
      <c r="BN303" s="717">
        <f t="shared" si="675"/>
        <v>3827171.2339909161</v>
      </c>
      <c r="BO303" s="717"/>
      <c r="BP303" s="717">
        <f t="shared" si="634"/>
        <v>3827171.2339909161</v>
      </c>
      <c r="BQ303" s="717"/>
      <c r="BR303" s="717">
        <f t="shared" si="738"/>
        <v>3827171.2339909161</v>
      </c>
      <c r="BS303" s="717"/>
      <c r="BT303" s="717">
        <f t="shared" si="676"/>
        <v>3827171.2339909161</v>
      </c>
      <c r="BU303" s="717"/>
      <c r="BV303" s="1235">
        <f t="shared" si="739"/>
        <v>51400</v>
      </c>
      <c r="BW303" s="717">
        <f t="shared" si="677"/>
        <v>3878571.2339909161</v>
      </c>
      <c r="BX303" s="717"/>
      <c r="BY303" s="717">
        <f t="shared" si="678"/>
        <v>3878571.2339909161</v>
      </c>
      <c r="BZ303" s="1194">
        <f t="shared" si="679"/>
        <v>3878571.2339909161</v>
      </c>
      <c r="CA303" s="1194">
        <f t="shared" si="680"/>
        <v>3042571.2339909161</v>
      </c>
      <c r="CB303" s="1194">
        <v>38000</v>
      </c>
      <c r="CC303" s="1194">
        <f t="shared" si="681"/>
        <v>836000</v>
      </c>
      <c r="CD303" s="1194">
        <f t="shared" si="682"/>
        <v>100320</v>
      </c>
      <c r="CE303" s="1194">
        <f t="shared" si="683"/>
        <v>936320</v>
      </c>
      <c r="CF303" s="1200">
        <f t="shared" si="684"/>
        <v>3978891.2339909161</v>
      </c>
      <c r="CG303" s="757">
        <f t="shared" si="685"/>
        <v>3978891.2339909161</v>
      </c>
      <c r="CH303" s="758">
        <f t="shared" si="686"/>
        <v>0</v>
      </c>
      <c r="CI303" s="757">
        <f t="shared" si="635"/>
        <v>407836.35148406884</v>
      </c>
      <c r="CJ303" s="757">
        <f t="shared" si="636"/>
        <v>99472.280849772913</v>
      </c>
      <c r="CK303" s="759">
        <f t="shared" si="747"/>
        <v>4486199.8663247572</v>
      </c>
      <c r="CL303" s="764">
        <f t="shared" si="687"/>
        <v>0.125</v>
      </c>
      <c r="CM303" s="757">
        <f t="shared" si="688"/>
        <v>560774.98329059465</v>
      </c>
      <c r="CN303" s="757">
        <f t="shared" si="730"/>
        <v>30000</v>
      </c>
      <c r="CO303" s="757">
        <f t="shared" si="689"/>
        <v>530774.98329059465</v>
      </c>
      <c r="CP303" s="755">
        <f t="shared" si="690"/>
        <v>30</v>
      </c>
      <c r="CQ303" s="757">
        <f t="shared" si="732"/>
        <v>17692.49944301982</v>
      </c>
      <c r="CR303" s="764">
        <f t="shared" si="691"/>
        <v>0.875</v>
      </c>
      <c r="CS303" s="757">
        <f t="shared" si="692"/>
        <v>3925424.8830341627</v>
      </c>
      <c r="CT303" s="1101">
        <f t="shared" si="693"/>
        <v>30433.777336682313</v>
      </c>
      <c r="CU303" s="1101">
        <f t="shared" si="694"/>
        <v>35282.828599786866</v>
      </c>
      <c r="CV303" s="1101">
        <f t="shared" si="695"/>
        <v>45577.511345604187</v>
      </c>
      <c r="CW303" s="1141">
        <f t="shared" si="637"/>
        <v>77728.117464187817</v>
      </c>
      <c r="CX303" s="1152">
        <f t="shared" si="696"/>
        <v>318874.74026793323</v>
      </c>
      <c r="CY303" s="1152">
        <f t="shared" si="697"/>
        <v>126177.18139598006</v>
      </c>
      <c r="CZ303" s="1152">
        <f t="shared" si="698"/>
        <v>91135.991050341981</v>
      </c>
      <c r="DA303" s="1152">
        <f t="shared" si="699"/>
        <v>69358.684873640115</v>
      </c>
      <c r="DB303" s="1143">
        <f t="shared" si="638"/>
        <v>0.18193833081629268</v>
      </c>
      <c r="DC303" s="1143">
        <f t="shared" si="700"/>
        <v>0.30773971354873969</v>
      </c>
      <c r="DD303" s="1098" t="s">
        <v>232</v>
      </c>
      <c r="DE303" s="1144"/>
      <c r="DF303" s="705"/>
      <c r="DG303" s="765">
        <f t="shared" si="731"/>
        <v>46082</v>
      </c>
      <c r="DH303" s="1116">
        <f t="shared" si="639"/>
        <v>28</v>
      </c>
      <c r="DI303" s="497"/>
      <c r="DJ303" s="1117">
        <f t="shared" si="701"/>
        <v>46147</v>
      </c>
      <c r="DK303" s="1116">
        <f t="shared" si="702"/>
        <v>30</v>
      </c>
      <c r="DL303" s="766" t="s">
        <v>233</v>
      </c>
      <c r="DM303" s="766" t="s">
        <v>234</v>
      </c>
      <c r="DN303" s="767">
        <f t="shared" si="640"/>
        <v>27786.945070124697</v>
      </c>
      <c r="DO303" s="767">
        <f t="shared" si="641"/>
        <v>611312.79154274333</v>
      </c>
      <c r="DP303" s="768">
        <f t="shared" si="642"/>
        <v>0.20377093051424777</v>
      </c>
      <c r="DR303" s="767">
        <f t="shared" si="643"/>
        <v>3978891.2339909161</v>
      </c>
      <c r="DS303" s="767">
        <f>SUM('[6]INTERNAL PRICELIST'!M303)</f>
        <v>0</v>
      </c>
      <c r="DT303" s="767">
        <f t="shared" si="703"/>
        <v>3978891.2339909161</v>
      </c>
      <c r="DV303" s="951">
        <f t="shared" si="644"/>
        <v>180858.69245413254</v>
      </c>
      <c r="DX303" s="781"/>
      <c r="DY303" s="782"/>
      <c r="DZ303" s="781"/>
      <c r="EA303" s="775"/>
      <c r="ED303" s="755" t="s">
        <v>760</v>
      </c>
      <c r="EE303" s="777" t="b">
        <f t="shared" si="645"/>
        <v>1</v>
      </c>
      <c r="EF303" s="1123" t="s">
        <v>761</v>
      </c>
      <c r="EG303" s="1123" t="s">
        <v>737</v>
      </c>
      <c r="EH303" s="1203"/>
      <c r="EP303" s="1230" t="s">
        <v>236</v>
      </c>
      <c r="EQ303" s="1145" t="s">
        <v>236</v>
      </c>
      <c r="ER303" s="753" t="b">
        <f t="shared" si="704"/>
        <v>1</v>
      </c>
      <c r="EU303" s="770">
        <v>2606860</v>
      </c>
      <c r="EV303" s="771" t="s">
        <v>236</v>
      </c>
      <c r="FJ303" s="994">
        <v>0.15</v>
      </c>
      <c r="FK303" s="993">
        <v>13708.740137105633</v>
      </c>
      <c r="FL303" s="993">
        <v>14079.246627297678</v>
      </c>
      <c r="FM303" s="497"/>
      <c r="FN303" s="993">
        <f t="shared" si="646"/>
        <v>4486199.8663247572</v>
      </c>
      <c r="FO303" s="994">
        <f t="shared" si="737"/>
        <v>0.15</v>
      </c>
      <c r="FP303" s="775">
        <f t="shared" si="647"/>
        <v>672929.97994871356</v>
      </c>
      <c r="FQ303" s="993">
        <f t="shared" si="648"/>
        <v>30000</v>
      </c>
      <c r="FR303" s="775">
        <f t="shared" si="706"/>
        <v>642929.97994871356</v>
      </c>
      <c r="FS303" s="497">
        <f t="shared" si="707"/>
        <v>40</v>
      </c>
      <c r="FT303" s="775">
        <f t="shared" si="708"/>
        <v>16073.24949871784</v>
      </c>
      <c r="FU303" s="497"/>
      <c r="FV303" s="993">
        <f t="shared" si="709"/>
        <v>4486199.8663247572</v>
      </c>
      <c r="FW303" s="705">
        <f t="shared" si="710"/>
        <v>448619.98663247575</v>
      </c>
      <c r="FX303" s="705">
        <f t="shared" si="711"/>
        <v>112154.99665811894</v>
      </c>
      <c r="FY303" s="705">
        <v>15000</v>
      </c>
      <c r="FZ303" s="705">
        <f t="shared" si="712"/>
        <v>433619.98663247575</v>
      </c>
      <c r="GA303" s="497">
        <f t="shared" si="713"/>
        <v>46</v>
      </c>
      <c r="GB303" s="775">
        <f t="shared" si="714"/>
        <v>9426.5214485320812</v>
      </c>
      <c r="GC303" s="497"/>
      <c r="GD303" s="497"/>
      <c r="GH303" s="1095">
        <f t="shared" si="613"/>
        <v>4486199.8663247572</v>
      </c>
      <c r="GI303" s="1098">
        <f t="shared" si="614"/>
        <v>0.125</v>
      </c>
      <c r="GJ303" s="1095">
        <f t="shared" si="615"/>
        <v>560774.98329059465</v>
      </c>
      <c r="GK303" s="1095">
        <f t="shared" si="616"/>
        <v>30000</v>
      </c>
      <c r="GL303" s="1095">
        <f t="shared" si="617"/>
        <v>530774.98329059465</v>
      </c>
      <c r="GM303" s="1095">
        <f t="shared" si="618"/>
        <v>30</v>
      </c>
      <c r="GN303" s="1095">
        <f t="shared" si="619"/>
        <v>17692.49944301982</v>
      </c>
      <c r="GO303" s="1098">
        <f t="shared" si="620"/>
        <v>0.875</v>
      </c>
      <c r="GP303" s="1095">
        <f t="shared" si="621"/>
        <v>3925424.8830341627</v>
      </c>
      <c r="GQ303" s="1095">
        <f t="shared" si="622"/>
        <v>30433.777336682313</v>
      </c>
      <c r="GR303" s="1095">
        <f t="shared" si="623"/>
        <v>35282.828599786866</v>
      </c>
      <c r="GS303" s="1095">
        <f t="shared" si="624"/>
        <v>45577.511345604187</v>
      </c>
      <c r="GT303" s="1095">
        <f t="shared" si="625"/>
        <v>77728.117464187817</v>
      </c>
      <c r="GU303" s="497"/>
      <c r="GV303" s="1095">
        <f t="shared" si="715"/>
        <v>4486199.8663247572</v>
      </c>
      <c r="GW303" s="1098">
        <f t="shared" si="716"/>
        <v>0.125</v>
      </c>
      <c r="GX303" s="1095">
        <f t="shared" si="717"/>
        <v>560774.98329059465</v>
      </c>
      <c r="GY303" s="1095">
        <f t="shared" si="718"/>
        <v>30000</v>
      </c>
      <c r="GZ303" s="1095">
        <f t="shared" si="719"/>
        <v>530774.98329059465</v>
      </c>
      <c r="HA303" s="1106">
        <f t="shared" si="720"/>
        <v>48</v>
      </c>
      <c r="HB303" s="770">
        <f t="shared" si="721"/>
        <v>11057.812151887389</v>
      </c>
      <c r="HC303" s="1098">
        <f t="shared" si="722"/>
        <v>0.875</v>
      </c>
      <c r="HD303" s="1102">
        <f t="shared" si="723"/>
        <v>3925424.8830341627</v>
      </c>
      <c r="HE303" s="1101">
        <f t="shared" si="724"/>
        <v>30433.777336682313</v>
      </c>
      <c r="HF303" s="1101">
        <f t="shared" si="725"/>
        <v>35282.828599786866</v>
      </c>
      <c r="HG303" s="1101">
        <f t="shared" si="726"/>
        <v>45577.511345604187</v>
      </c>
      <c r="HH303" s="1101">
        <f t="shared" si="727"/>
        <v>77728.117464187817</v>
      </c>
      <c r="HI303" s="497"/>
      <c r="HJ303" s="1102">
        <f t="shared" si="728"/>
        <v>-6634.6872911324317</v>
      </c>
      <c r="HL303" s="775"/>
      <c r="HN303" s="775"/>
      <c r="HO303" s="775"/>
      <c r="HQ303" s="702"/>
      <c r="HR303" s="1171"/>
      <c r="HS303" s="702"/>
      <c r="HT303" s="1171"/>
    </row>
    <row r="304" spans="1:228" ht="14.25" hidden="1" customHeight="1">
      <c r="A304" s="753">
        <f t="shared" si="729"/>
        <v>298</v>
      </c>
      <c r="B304" s="753" t="s">
        <v>236</v>
      </c>
      <c r="C304" s="753">
        <f t="shared" si="745"/>
        <v>19</v>
      </c>
      <c r="D304" s="753" t="s">
        <v>287</v>
      </c>
      <c r="E304" s="717" t="str">
        <f t="shared" si="649"/>
        <v>12th Floor</v>
      </c>
      <c r="F304" s="754"/>
      <c r="G304" s="756" t="s">
        <v>762</v>
      </c>
      <c r="H304" s="756"/>
      <c r="I304" s="755" t="s">
        <v>229</v>
      </c>
      <c r="J304" s="757">
        <v>22</v>
      </c>
      <c r="K304" s="758"/>
      <c r="L304" s="759" t="s">
        <v>69</v>
      </c>
      <c r="M304" s="760" t="s">
        <v>68</v>
      </c>
      <c r="N304" s="761">
        <f t="shared" si="650"/>
        <v>106005.26567735759</v>
      </c>
      <c r="O304" s="762">
        <f t="shared" si="651"/>
        <v>2332115.8449018667</v>
      </c>
      <c r="P304" s="762">
        <f t="shared" si="652"/>
        <v>22400</v>
      </c>
      <c r="Q304" s="762">
        <f t="shared" si="626"/>
        <v>50000</v>
      </c>
      <c r="R304" s="762"/>
      <c r="S304" s="762"/>
      <c r="T304" s="762"/>
      <c r="U304" s="762"/>
      <c r="V304" s="762"/>
      <c r="W304" s="762"/>
      <c r="X304" s="762"/>
      <c r="Y304" s="762">
        <f t="shared" si="746"/>
        <v>160000</v>
      </c>
      <c r="Z304" s="762">
        <f t="shared" si="627"/>
        <v>142461</v>
      </c>
      <c r="AA304" s="762"/>
      <c r="AB304" s="762"/>
      <c r="AC304" s="762"/>
      <c r="AD304" s="763">
        <f t="shared" si="653"/>
        <v>374861</v>
      </c>
      <c r="AE304" s="763">
        <f t="shared" si="628"/>
        <v>2706976.8449018667</v>
      </c>
      <c r="AF304" s="762">
        <f t="shared" si="629"/>
        <v>67674.421122546672</v>
      </c>
      <c r="AG304" s="762">
        <f t="shared" si="654"/>
        <v>2774651.2660244135</v>
      </c>
      <c r="AH304" s="762">
        <f t="shared" si="630"/>
        <v>69366.281650610341</v>
      </c>
      <c r="AI304" s="762">
        <f t="shared" si="655"/>
        <v>2844017.5476750238</v>
      </c>
      <c r="AJ304" s="762">
        <f t="shared" si="656"/>
        <v>142200.87738375118</v>
      </c>
      <c r="AK304" s="762">
        <f t="shared" si="657"/>
        <v>2986218.4250587751</v>
      </c>
      <c r="AL304" s="762">
        <f t="shared" si="658"/>
        <v>29862.18425058775</v>
      </c>
      <c r="AM304" s="762">
        <f t="shared" si="659"/>
        <v>27537.409960060559</v>
      </c>
      <c r="AN304" s="762"/>
      <c r="AO304" s="763">
        <f t="shared" si="660"/>
        <v>3043618.0192694231</v>
      </c>
      <c r="AP304" s="763">
        <f t="shared" si="661"/>
        <v>502196.97317945486</v>
      </c>
      <c r="AQ304" s="763">
        <f t="shared" si="662"/>
        <v>3545814.992448878</v>
      </c>
      <c r="AR304" s="1178">
        <f t="shared" si="631"/>
        <v>3000000</v>
      </c>
      <c r="AS304" s="1178">
        <f t="shared" si="663"/>
        <v>24809.772384039909</v>
      </c>
      <c r="AT304" s="1178">
        <f t="shared" si="664"/>
        <v>545814.99244887801</v>
      </c>
      <c r="AU304" s="1178">
        <f t="shared" si="632"/>
        <v>65497.79909386536</v>
      </c>
      <c r="AV304" s="1178">
        <f t="shared" si="665"/>
        <v>611312.79154274333</v>
      </c>
      <c r="AW304" s="1178">
        <f t="shared" si="666"/>
        <v>3611312.7915427433</v>
      </c>
      <c r="AX304" s="762">
        <f t="shared" si="667"/>
        <v>45141.409894284297</v>
      </c>
      <c r="AY304" s="717" t="s">
        <v>231</v>
      </c>
      <c r="AZ304" s="717">
        <f t="shared" si="668"/>
        <v>3656454.2014370277</v>
      </c>
      <c r="BA304" s="717">
        <f t="shared" si="669"/>
        <v>137117.03255388854</v>
      </c>
      <c r="BB304" s="717"/>
      <c r="BC304" s="717">
        <f t="shared" si="633"/>
        <v>33600</v>
      </c>
      <c r="BD304" s="717">
        <f t="shared" si="670"/>
        <v>3827171.2339909161</v>
      </c>
      <c r="BE304" s="717"/>
      <c r="BF304" s="717">
        <f t="shared" si="671"/>
        <v>3827171.2339909161</v>
      </c>
      <c r="BG304" s="1209"/>
      <c r="BH304" s="717">
        <f t="shared" si="672"/>
        <v>3827171.2339909161</v>
      </c>
      <c r="BI304" s="717"/>
      <c r="BJ304" s="717">
        <f t="shared" si="673"/>
        <v>3827171.2339909161</v>
      </c>
      <c r="BK304" s="717"/>
      <c r="BL304" s="717">
        <f t="shared" si="674"/>
        <v>3827171.2339909161</v>
      </c>
      <c r="BM304" s="717"/>
      <c r="BN304" s="717">
        <f t="shared" si="675"/>
        <v>3827171.2339909161</v>
      </c>
      <c r="BO304" s="717"/>
      <c r="BP304" s="717">
        <f t="shared" si="634"/>
        <v>3827171.2339909161</v>
      </c>
      <c r="BQ304" s="717"/>
      <c r="BR304" s="717">
        <f t="shared" si="738"/>
        <v>3827171.2339909161</v>
      </c>
      <c r="BS304" s="717"/>
      <c r="BT304" s="717">
        <f t="shared" si="676"/>
        <v>3827171.2339909161</v>
      </c>
      <c r="BU304" s="717"/>
      <c r="BV304" s="1235">
        <f t="shared" si="739"/>
        <v>51400</v>
      </c>
      <c r="BW304" s="717">
        <f t="shared" si="677"/>
        <v>3878571.2339909161</v>
      </c>
      <c r="BX304" s="717"/>
      <c r="BY304" s="717">
        <f t="shared" si="678"/>
        <v>3878571.2339909161</v>
      </c>
      <c r="BZ304" s="1194">
        <f t="shared" si="679"/>
        <v>3878571.2339909161</v>
      </c>
      <c r="CA304" s="1194">
        <f t="shared" si="680"/>
        <v>3042571.2339909161</v>
      </c>
      <c r="CB304" s="1194">
        <v>38000</v>
      </c>
      <c r="CC304" s="1194">
        <f t="shared" si="681"/>
        <v>836000</v>
      </c>
      <c r="CD304" s="1194">
        <f t="shared" si="682"/>
        <v>100320</v>
      </c>
      <c r="CE304" s="1194">
        <f t="shared" si="683"/>
        <v>936320</v>
      </c>
      <c r="CF304" s="1200">
        <f t="shared" si="684"/>
        <v>3978891.2339909161</v>
      </c>
      <c r="CG304" s="757">
        <f t="shared" si="685"/>
        <v>3978891.2339909161</v>
      </c>
      <c r="CH304" s="758">
        <f t="shared" si="686"/>
        <v>0</v>
      </c>
      <c r="CI304" s="757">
        <f t="shared" si="635"/>
        <v>407836.35148406884</v>
      </c>
      <c r="CJ304" s="757">
        <f t="shared" si="636"/>
        <v>99472.280849772913</v>
      </c>
      <c r="CK304" s="759">
        <f t="shared" si="747"/>
        <v>4486199.8663247572</v>
      </c>
      <c r="CL304" s="764">
        <f t="shared" si="687"/>
        <v>0.125</v>
      </c>
      <c r="CM304" s="757">
        <f t="shared" si="688"/>
        <v>560774.98329059465</v>
      </c>
      <c r="CN304" s="757">
        <f t="shared" si="730"/>
        <v>30000</v>
      </c>
      <c r="CO304" s="757">
        <f t="shared" si="689"/>
        <v>530774.98329059465</v>
      </c>
      <c r="CP304" s="755">
        <f t="shared" si="690"/>
        <v>30</v>
      </c>
      <c r="CQ304" s="757">
        <f t="shared" si="732"/>
        <v>17692.49944301982</v>
      </c>
      <c r="CR304" s="764">
        <f t="shared" si="691"/>
        <v>0.875</v>
      </c>
      <c r="CS304" s="757">
        <f t="shared" si="692"/>
        <v>3925424.8830341627</v>
      </c>
      <c r="CT304" s="1101">
        <f t="shared" si="693"/>
        <v>30433.777336682313</v>
      </c>
      <c r="CU304" s="1101">
        <f t="shared" si="694"/>
        <v>35282.828599786866</v>
      </c>
      <c r="CV304" s="1101">
        <f t="shared" si="695"/>
        <v>45577.511345604187</v>
      </c>
      <c r="CW304" s="1141">
        <f t="shared" si="637"/>
        <v>77728.117464187817</v>
      </c>
      <c r="CX304" s="1152">
        <f t="shared" si="696"/>
        <v>318874.74026793323</v>
      </c>
      <c r="CY304" s="1152">
        <f t="shared" si="697"/>
        <v>126177.18139598006</v>
      </c>
      <c r="CZ304" s="1152">
        <f t="shared" si="698"/>
        <v>91135.991050341981</v>
      </c>
      <c r="DA304" s="1152">
        <f t="shared" si="699"/>
        <v>69358.684873640115</v>
      </c>
      <c r="DB304" s="1143">
        <f t="shared" si="638"/>
        <v>0.18193833081629268</v>
      </c>
      <c r="DC304" s="1143">
        <f t="shared" si="700"/>
        <v>0.30773971354873969</v>
      </c>
      <c r="DD304" s="1098" t="s">
        <v>232</v>
      </c>
      <c r="DE304" s="1144"/>
      <c r="DF304" s="705"/>
      <c r="DG304" s="765">
        <f t="shared" si="731"/>
        <v>46082</v>
      </c>
      <c r="DH304" s="1116">
        <f t="shared" si="639"/>
        <v>28</v>
      </c>
      <c r="DI304" s="497"/>
      <c r="DJ304" s="1117">
        <f t="shared" si="701"/>
        <v>46147</v>
      </c>
      <c r="DK304" s="1116">
        <f t="shared" si="702"/>
        <v>30</v>
      </c>
      <c r="DL304" s="766" t="s">
        <v>233</v>
      </c>
      <c r="DM304" s="766" t="s">
        <v>234</v>
      </c>
      <c r="DN304" s="767">
        <f t="shared" si="640"/>
        <v>27786.945070124697</v>
      </c>
      <c r="DO304" s="767">
        <f t="shared" si="641"/>
        <v>611312.79154274333</v>
      </c>
      <c r="DP304" s="768">
        <f t="shared" si="642"/>
        <v>0.20377093051424777</v>
      </c>
      <c r="DR304" s="767">
        <f t="shared" si="643"/>
        <v>3978891.2339909161</v>
      </c>
      <c r="DS304" s="767">
        <f>SUM('[6]INTERNAL PRICELIST'!M304)</f>
        <v>0</v>
      </c>
      <c r="DT304" s="767">
        <f t="shared" si="703"/>
        <v>3978891.2339909161</v>
      </c>
      <c r="DV304" s="951">
        <f t="shared" si="644"/>
        <v>180858.69245413254</v>
      </c>
      <c r="DX304" s="781"/>
      <c r="DY304" s="782"/>
      <c r="DZ304" s="781"/>
      <c r="EA304" s="775"/>
      <c r="ED304" s="755" t="s">
        <v>762</v>
      </c>
      <c r="EE304" s="777" t="b">
        <f t="shared" si="645"/>
        <v>1</v>
      </c>
      <c r="EF304" s="1123" t="s">
        <v>763</v>
      </c>
      <c r="EG304" s="1123" t="s">
        <v>737</v>
      </c>
      <c r="EH304" s="1203"/>
      <c r="EP304" s="1230" t="s">
        <v>236</v>
      </c>
      <c r="EQ304" s="1145" t="s">
        <v>236</v>
      </c>
      <c r="ER304" s="753" t="b">
        <f t="shared" si="704"/>
        <v>1</v>
      </c>
      <c r="EU304" s="770">
        <v>2468160</v>
      </c>
      <c r="EV304" s="771" t="s">
        <v>236</v>
      </c>
      <c r="FJ304" s="994">
        <v>0.15</v>
      </c>
      <c r="FK304" s="993">
        <v>13708.740137105633</v>
      </c>
      <c r="FL304" s="993">
        <v>14079.246627297678</v>
      </c>
      <c r="FM304" s="497"/>
      <c r="FN304" s="993">
        <f t="shared" si="646"/>
        <v>4486199.8663247572</v>
      </c>
      <c r="FO304" s="994">
        <f t="shared" si="737"/>
        <v>0.15</v>
      </c>
      <c r="FP304" s="775">
        <f t="shared" si="647"/>
        <v>672929.97994871356</v>
      </c>
      <c r="FQ304" s="993">
        <f t="shared" si="648"/>
        <v>30000</v>
      </c>
      <c r="FR304" s="775">
        <f t="shared" si="706"/>
        <v>642929.97994871356</v>
      </c>
      <c r="FS304" s="497">
        <f t="shared" si="707"/>
        <v>40</v>
      </c>
      <c r="FT304" s="775">
        <f t="shared" si="708"/>
        <v>16073.24949871784</v>
      </c>
      <c r="FU304" s="497"/>
      <c r="FV304" s="993">
        <f t="shared" si="709"/>
        <v>4486199.8663247572</v>
      </c>
      <c r="FW304" s="705">
        <f t="shared" si="710"/>
        <v>448619.98663247575</v>
      </c>
      <c r="FX304" s="705">
        <f t="shared" si="711"/>
        <v>112154.99665811894</v>
      </c>
      <c r="FY304" s="705">
        <v>15000</v>
      </c>
      <c r="FZ304" s="705">
        <f t="shared" si="712"/>
        <v>433619.98663247575</v>
      </c>
      <c r="GA304" s="497">
        <f t="shared" si="713"/>
        <v>46</v>
      </c>
      <c r="GB304" s="775">
        <f t="shared" si="714"/>
        <v>9426.5214485320812</v>
      </c>
      <c r="GC304" s="497"/>
      <c r="GD304" s="497"/>
      <c r="GH304" s="1095">
        <f t="shared" si="613"/>
        <v>4486199.8663247572</v>
      </c>
      <c r="GI304" s="1098">
        <f t="shared" si="614"/>
        <v>0.125</v>
      </c>
      <c r="GJ304" s="1095">
        <f t="shared" si="615"/>
        <v>560774.98329059465</v>
      </c>
      <c r="GK304" s="1095">
        <f t="shared" si="616"/>
        <v>30000</v>
      </c>
      <c r="GL304" s="1095">
        <f t="shared" si="617"/>
        <v>530774.98329059465</v>
      </c>
      <c r="GM304" s="1095">
        <f t="shared" si="618"/>
        <v>30</v>
      </c>
      <c r="GN304" s="1095">
        <f t="shared" si="619"/>
        <v>17692.49944301982</v>
      </c>
      <c r="GO304" s="1098">
        <f t="shared" si="620"/>
        <v>0.875</v>
      </c>
      <c r="GP304" s="1095">
        <f t="shared" si="621"/>
        <v>3925424.8830341627</v>
      </c>
      <c r="GQ304" s="1095">
        <f t="shared" si="622"/>
        <v>30433.777336682313</v>
      </c>
      <c r="GR304" s="1095">
        <f t="shared" si="623"/>
        <v>35282.828599786866</v>
      </c>
      <c r="GS304" s="1095">
        <f t="shared" si="624"/>
        <v>45577.511345604187</v>
      </c>
      <c r="GT304" s="1095">
        <f t="shared" si="625"/>
        <v>77728.117464187817</v>
      </c>
      <c r="GU304" s="497"/>
      <c r="GV304" s="1095">
        <f t="shared" si="715"/>
        <v>4486199.8663247572</v>
      </c>
      <c r="GW304" s="1098">
        <f t="shared" si="716"/>
        <v>0.125</v>
      </c>
      <c r="GX304" s="1095">
        <f t="shared" si="717"/>
        <v>560774.98329059465</v>
      </c>
      <c r="GY304" s="1095">
        <f t="shared" si="718"/>
        <v>30000</v>
      </c>
      <c r="GZ304" s="1095">
        <f t="shared" si="719"/>
        <v>530774.98329059465</v>
      </c>
      <c r="HA304" s="1106">
        <f t="shared" si="720"/>
        <v>48</v>
      </c>
      <c r="HB304" s="770">
        <f t="shared" si="721"/>
        <v>11057.812151887389</v>
      </c>
      <c r="HC304" s="1098">
        <f t="shared" si="722"/>
        <v>0.875</v>
      </c>
      <c r="HD304" s="1102">
        <f t="shared" si="723"/>
        <v>3925424.8830341627</v>
      </c>
      <c r="HE304" s="1101">
        <f t="shared" si="724"/>
        <v>30433.777336682313</v>
      </c>
      <c r="HF304" s="1101">
        <f t="shared" si="725"/>
        <v>35282.828599786866</v>
      </c>
      <c r="HG304" s="1101">
        <f t="shared" si="726"/>
        <v>45577.511345604187</v>
      </c>
      <c r="HH304" s="1101">
        <f t="shared" si="727"/>
        <v>77728.117464187817</v>
      </c>
      <c r="HI304" s="497"/>
      <c r="HJ304" s="1102">
        <f t="shared" si="728"/>
        <v>-6634.6872911324317</v>
      </c>
      <c r="HL304" s="775"/>
      <c r="HN304" s="775"/>
      <c r="HO304" s="775"/>
      <c r="HQ304" s="702"/>
      <c r="HR304" s="1171"/>
      <c r="HS304" s="702"/>
      <c r="HT304" s="1171"/>
    </row>
    <row r="305" spans="1:228" ht="14.25" hidden="1" customHeight="1">
      <c r="A305" s="753">
        <f t="shared" si="729"/>
        <v>299</v>
      </c>
      <c r="B305" s="753" t="s">
        <v>236</v>
      </c>
      <c r="C305" s="753">
        <f t="shared" si="745"/>
        <v>20</v>
      </c>
      <c r="D305" s="753" t="s">
        <v>287</v>
      </c>
      <c r="E305" s="717" t="str">
        <f t="shared" si="649"/>
        <v>12th Floor</v>
      </c>
      <c r="F305" s="754"/>
      <c r="G305" s="756" t="s">
        <v>764</v>
      </c>
      <c r="H305" s="756"/>
      <c r="I305" s="755" t="s">
        <v>229</v>
      </c>
      <c r="J305" s="757">
        <v>22</v>
      </c>
      <c r="K305" s="758"/>
      <c r="L305" s="759" t="s">
        <v>69</v>
      </c>
      <c r="M305" s="760" t="s">
        <v>68</v>
      </c>
      <c r="N305" s="761">
        <f t="shared" si="650"/>
        <v>106005.26567735759</v>
      </c>
      <c r="O305" s="762">
        <f t="shared" si="651"/>
        <v>2332115.8449018667</v>
      </c>
      <c r="P305" s="762">
        <f t="shared" si="652"/>
        <v>22400</v>
      </c>
      <c r="Q305" s="762">
        <f t="shared" si="626"/>
        <v>50000</v>
      </c>
      <c r="R305" s="762"/>
      <c r="S305" s="762"/>
      <c r="T305" s="762"/>
      <c r="U305" s="762"/>
      <c r="V305" s="762"/>
      <c r="W305" s="762"/>
      <c r="X305" s="762"/>
      <c r="Y305" s="762">
        <f t="shared" si="746"/>
        <v>160000</v>
      </c>
      <c r="Z305" s="762">
        <f t="shared" si="627"/>
        <v>142461</v>
      </c>
      <c r="AA305" s="762"/>
      <c r="AB305" s="762"/>
      <c r="AC305" s="762"/>
      <c r="AD305" s="763">
        <f t="shared" si="653"/>
        <v>374861</v>
      </c>
      <c r="AE305" s="763">
        <f t="shared" si="628"/>
        <v>2706976.8449018667</v>
      </c>
      <c r="AF305" s="762">
        <f t="shared" si="629"/>
        <v>67674.421122546672</v>
      </c>
      <c r="AG305" s="762">
        <f t="shared" si="654"/>
        <v>2774651.2660244135</v>
      </c>
      <c r="AH305" s="762">
        <f t="shared" si="630"/>
        <v>69366.281650610341</v>
      </c>
      <c r="AI305" s="762">
        <f t="shared" si="655"/>
        <v>2844017.5476750238</v>
      </c>
      <c r="AJ305" s="762">
        <f t="shared" si="656"/>
        <v>142200.87738375118</v>
      </c>
      <c r="AK305" s="762">
        <f t="shared" si="657"/>
        <v>2986218.4250587751</v>
      </c>
      <c r="AL305" s="762">
        <f t="shared" si="658"/>
        <v>29862.18425058775</v>
      </c>
      <c r="AM305" s="762">
        <f t="shared" si="659"/>
        <v>27537.409960060559</v>
      </c>
      <c r="AN305" s="762"/>
      <c r="AO305" s="763">
        <f t="shared" si="660"/>
        <v>3043618.0192694231</v>
      </c>
      <c r="AP305" s="763">
        <f t="shared" si="661"/>
        <v>502196.97317945486</v>
      </c>
      <c r="AQ305" s="763">
        <f t="shared" si="662"/>
        <v>3545814.992448878</v>
      </c>
      <c r="AR305" s="1178">
        <f t="shared" si="631"/>
        <v>3000000</v>
      </c>
      <c r="AS305" s="1178">
        <f t="shared" si="663"/>
        <v>24809.772384039909</v>
      </c>
      <c r="AT305" s="1178">
        <f t="shared" si="664"/>
        <v>545814.99244887801</v>
      </c>
      <c r="AU305" s="1178">
        <f t="shared" si="632"/>
        <v>65497.79909386536</v>
      </c>
      <c r="AV305" s="1178">
        <f t="shared" si="665"/>
        <v>611312.79154274333</v>
      </c>
      <c r="AW305" s="1178">
        <f t="shared" si="666"/>
        <v>3611312.7915427433</v>
      </c>
      <c r="AX305" s="762">
        <f t="shared" si="667"/>
        <v>45141.409894284297</v>
      </c>
      <c r="AY305" s="717" t="s">
        <v>231</v>
      </c>
      <c r="AZ305" s="717">
        <f t="shared" si="668"/>
        <v>3656454.2014370277</v>
      </c>
      <c r="BA305" s="717">
        <f t="shared" si="669"/>
        <v>137117.03255388854</v>
      </c>
      <c r="BB305" s="717"/>
      <c r="BC305" s="717">
        <f t="shared" si="633"/>
        <v>33600</v>
      </c>
      <c r="BD305" s="717">
        <f t="shared" si="670"/>
        <v>3827171.2339909161</v>
      </c>
      <c r="BE305" s="717"/>
      <c r="BF305" s="717">
        <f t="shared" si="671"/>
        <v>3827171.2339909161</v>
      </c>
      <c r="BG305" s="1209"/>
      <c r="BH305" s="717">
        <f t="shared" si="672"/>
        <v>3827171.2339909161</v>
      </c>
      <c r="BI305" s="717"/>
      <c r="BJ305" s="717">
        <f t="shared" si="673"/>
        <v>3827171.2339909161</v>
      </c>
      <c r="BK305" s="717"/>
      <c r="BL305" s="717">
        <f t="shared" si="674"/>
        <v>3827171.2339909161</v>
      </c>
      <c r="BM305" s="717"/>
      <c r="BN305" s="717">
        <f t="shared" si="675"/>
        <v>3827171.2339909161</v>
      </c>
      <c r="BO305" s="717"/>
      <c r="BP305" s="717">
        <f t="shared" si="634"/>
        <v>3827171.2339909161</v>
      </c>
      <c r="BQ305" s="717"/>
      <c r="BR305" s="717">
        <f t="shared" si="738"/>
        <v>3827171.2339909161</v>
      </c>
      <c r="BS305" s="717"/>
      <c r="BT305" s="717">
        <f t="shared" si="676"/>
        <v>3827171.2339909161</v>
      </c>
      <c r="BU305" s="717"/>
      <c r="BV305" s="1235">
        <f t="shared" si="739"/>
        <v>51400</v>
      </c>
      <c r="BW305" s="717">
        <f t="shared" si="677"/>
        <v>3878571.2339909161</v>
      </c>
      <c r="BX305" s="717"/>
      <c r="BY305" s="717">
        <f t="shared" si="678"/>
        <v>3878571.2339909161</v>
      </c>
      <c r="BZ305" s="1194">
        <f t="shared" si="679"/>
        <v>3878571.2339909161</v>
      </c>
      <c r="CA305" s="1194">
        <f t="shared" si="680"/>
        <v>3042571.2339909161</v>
      </c>
      <c r="CB305" s="1194">
        <v>38000</v>
      </c>
      <c r="CC305" s="1194">
        <f t="shared" si="681"/>
        <v>836000</v>
      </c>
      <c r="CD305" s="1194">
        <f t="shared" si="682"/>
        <v>100320</v>
      </c>
      <c r="CE305" s="1194">
        <f t="shared" si="683"/>
        <v>936320</v>
      </c>
      <c r="CF305" s="1200">
        <f t="shared" si="684"/>
        <v>3978891.2339909161</v>
      </c>
      <c r="CG305" s="757">
        <f t="shared" si="685"/>
        <v>3978891.2339909161</v>
      </c>
      <c r="CH305" s="758">
        <f t="shared" si="686"/>
        <v>0</v>
      </c>
      <c r="CI305" s="757">
        <f t="shared" si="635"/>
        <v>407836.35148406884</v>
      </c>
      <c r="CJ305" s="757">
        <f t="shared" si="636"/>
        <v>99472.280849772913</v>
      </c>
      <c r="CK305" s="759">
        <f t="shared" si="747"/>
        <v>4486199.8663247572</v>
      </c>
      <c r="CL305" s="764">
        <f t="shared" si="687"/>
        <v>0.125</v>
      </c>
      <c r="CM305" s="757">
        <f t="shared" si="688"/>
        <v>560774.98329059465</v>
      </c>
      <c r="CN305" s="757">
        <f t="shared" si="730"/>
        <v>30000</v>
      </c>
      <c r="CO305" s="757">
        <f t="shared" si="689"/>
        <v>530774.98329059465</v>
      </c>
      <c r="CP305" s="755">
        <f t="shared" si="690"/>
        <v>30</v>
      </c>
      <c r="CQ305" s="757">
        <f t="shared" si="732"/>
        <v>17692.49944301982</v>
      </c>
      <c r="CR305" s="764">
        <f t="shared" si="691"/>
        <v>0.875</v>
      </c>
      <c r="CS305" s="757">
        <f t="shared" si="692"/>
        <v>3925424.8830341627</v>
      </c>
      <c r="CT305" s="1101">
        <f t="shared" si="693"/>
        <v>30433.777336682313</v>
      </c>
      <c r="CU305" s="1101">
        <f t="shared" si="694"/>
        <v>35282.828599786866</v>
      </c>
      <c r="CV305" s="1101">
        <f t="shared" si="695"/>
        <v>45577.511345604187</v>
      </c>
      <c r="CW305" s="1141">
        <f t="shared" si="637"/>
        <v>77728.117464187817</v>
      </c>
      <c r="CX305" s="1152">
        <f t="shared" si="696"/>
        <v>318874.74026793323</v>
      </c>
      <c r="CY305" s="1152">
        <f t="shared" si="697"/>
        <v>126177.18139598006</v>
      </c>
      <c r="CZ305" s="1152">
        <f t="shared" si="698"/>
        <v>91135.991050341981</v>
      </c>
      <c r="DA305" s="1152">
        <f t="shared" si="699"/>
        <v>69358.684873640115</v>
      </c>
      <c r="DB305" s="1143">
        <f t="shared" si="638"/>
        <v>0.18193833081629268</v>
      </c>
      <c r="DC305" s="1143">
        <f t="shared" si="700"/>
        <v>0.30773971354873969</v>
      </c>
      <c r="DD305" s="1098" t="s">
        <v>232</v>
      </c>
      <c r="DE305" s="1144"/>
      <c r="DF305" s="705"/>
      <c r="DG305" s="765">
        <f t="shared" si="731"/>
        <v>46082</v>
      </c>
      <c r="DH305" s="1116">
        <f t="shared" si="639"/>
        <v>28</v>
      </c>
      <c r="DI305" s="497"/>
      <c r="DJ305" s="1117">
        <f t="shared" si="701"/>
        <v>46147</v>
      </c>
      <c r="DK305" s="1116">
        <f t="shared" si="702"/>
        <v>30</v>
      </c>
      <c r="DL305" s="766" t="s">
        <v>233</v>
      </c>
      <c r="DM305" s="766" t="s">
        <v>234</v>
      </c>
      <c r="DN305" s="767">
        <f t="shared" si="640"/>
        <v>27786.945070124697</v>
      </c>
      <c r="DO305" s="767">
        <f t="shared" si="641"/>
        <v>611312.79154274333</v>
      </c>
      <c r="DP305" s="768">
        <f t="shared" si="642"/>
        <v>0.20377093051424777</v>
      </c>
      <c r="DR305" s="767">
        <f t="shared" si="643"/>
        <v>3978891.2339909161</v>
      </c>
      <c r="DS305" s="767">
        <f>SUM('[6]INTERNAL PRICELIST'!M305)</f>
        <v>0</v>
      </c>
      <c r="DT305" s="767">
        <f t="shared" si="703"/>
        <v>3978891.2339909161</v>
      </c>
      <c r="DV305" s="951">
        <f t="shared" si="644"/>
        <v>180858.69245413254</v>
      </c>
      <c r="DX305" s="781"/>
      <c r="DY305" s="782"/>
      <c r="DZ305" s="781"/>
      <c r="EA305" s="775"/>
      <c r="ED305" s="755" t="s">
        <v>764</v>
      </c>
      <c r="EE305" s="777" t="b">
        <f t="shared" si="645"/>
        <v>1</v>
      </c>
      <c r="EF305" s="1123" t="s">
        <v>765</v>
      </c>
      <c r="EG305" s="1123" t="s">
        <v>737</v>
      </c>
      <c r="EH305" s="1203"/>
      <c r="EP305" s="1230" t="s">
        <v>236</v>
      </c>
      <c r="EQ305" s="1145" t="s">
        <v>236</v>
      </c>
      <c r="ER305" s="753" t="b">
        <f t="shared" si="704"/>
        <v>1</v>
      </c>
      <c r="EU305" s="770">
        <v>2468160</v>
      </c>
      <c r="EV305" s="771" t="s">
        <v>236</v>
      </c>
      <c r="FJ305" s="994">
        <v>0.15</v>
      </c>
      <c r="FK305" s="993">
        <v>13708.740137105633</v>
      </c>
      <c r="FL305" s="993">
        <v>14079.246627297678</v>
      </c>
      <c r="FM305" s="497"/>
      <c r="FN305" s="993">
        <f t="shared" si="646"/>
        <v>4486199.8663247572</v>
      </c>
      <c r="FO305" s="994">
        <f t="shared" si="737"/>
        <v>0.15</v>
      </c>
      <c r="FP305" s="775">
        <f t="shared" si="647"/>
        <v>672929.97994871356</v>
      </c>
      <c r="FQ305" s="993">
        <f t="shared" si="648"/>
        <v>30000</v>
      </c>
      <c r="FR305" s="775">
        <f t="shared" si="706"/>
        <v>642929.97994871356</v>
      </c>
      <c r="FS305" s="497">
        <f t="shared" si="707"/>
        <v>40</v>
      </c>
      <c r="FT305" s="775">
        <f t="shared" si="708"/>
        <v>16073.24949871784</v>
      </c>
      <c r="FU305" s="497"/>
      <c r="FV305" s="993">
        <f t="shared" si="709"/>
        <v>4486199.8663247572</v>
      </c>
      <c r="FW305" s="705">
        <f t="shared" si="710"/>
        <v>448619.98663247575</v>
      </c>
      <c r="FX305" s="705">
        <f t="shared" si="711"/>
        <v>112154.99665811894</v>
      </c>
      <c r="FY305" s="705">
        <v>15000</v>
      </c>
      <c r="FZ305" s="705">
        <f t="shared" si="712"/>
        <v>433619.98663247575</v>
      </c>
      <c r="GA305" s="497">
        <f t="shared" si="713"/>
        <v>46</v>
      </c>
      <c r="GB305" s="775">
        <f t="shared" si="714"/>
        <v>9426.5214485320812</v>
      </c>
      <c r="GC305" s="497"/>
      <c r="GD305" s="497"/>
      <c r="GH305" s="1095">
        <f t="shared" si="613"/>
        <v>4486199.8663247572</v>
      </c>
      <c r="GI305" s="1098">
        <f t="shared" si="614"/>
        <v>0.125</v>
      </c>
      <c r="GJ305" s="1095">
        <f t="shared" si="615"/>
        <v>560774.98329059465</v>
      </c>
      <c r="GK305" s="1095">
        <f t="shared" si="616"/>
        <v>30000</v>
      </c>
      <c r="GL305" s="1095">
        <f t="shared" si="617"/>
        <v>530774.98329059465</v>
      </c>
      <c r="GM305" s="1095">
        <f t="shared" si="618"/>
        <v>30</v>
      </c>
      <c r="GN305" s="1095">
        <f t="shared" si="619"/>
        <v>17692.49944301982</v>
      </c>
      <c r="GO305" s="1098">
        <f t="shared" si="620"/>
        <v>0.875</v>
      </c>
      <c r="GP305" s="1095">
        <f t="shared" si="621"/>
        <v>3925424.8830341627</v>
      </c>
      <c r="GQ305" s="1095">
        <f t="shared" si="622"/>
        <v>30433.777336682313</v>
      </c>
      <c r="GR305" s="1095">
        <f t="shared" si="623"/>
        <v>35282.828599786866</v>
      </c>
      <c r="GS305" s="1095">
        <f t="shared" si="624"/>
        <v>45577.511345604187</v>
      </c>
      <c r="GT305" s="1095">
        <f t="shared" si="625"/>
        <v>77728.117464187817</v>
      </c>
      <c r="GU305" s="497"/>
      <c r="GV305" s="1095">
        <f t="shared" si="715"/>
        <v>4486199.8663247572</v>
      </c>
      <c r="GW305" s="1098">
        <f t="shared" si="716"/>
        <v>0.125</v>
      </c>
      <c r="GX305" s="1095">
        <f t="shared" si="717"/>
        <v>560774.98329059465</v>
      </c>
      <c r="GY305" s="1095">
        <f t="shared" si="718"/>
        <v>30000</v>
      </c>
      <c r="GZ305" s="1095">
        <f t="shared" si="719"/>
        <v>530774.98329059465</v>
      </c>
      <c r="HA305" s="1106">
        <f t="shared" si="720"/>
        <v>48</v>
      </c>
      <c r="HB305" s="770">
        <f t="shared" si="721"/>
        <v>11057.812151887389</v>
      </c>
      <c r="HC305" s="1098">
        <f t="shared" si="722"/>
        <v>0.875</v>
      </c>
      <c r="HD305" s="1102">
        <f t="shared" si="723"/>
        <v>3925424.8830341627</v>
      </c>
      <c r="HE305" s="1101">
        <f t="shared" si="724"/>
        <v>30433.777336682313</v>
      </c>
      <c r="HF305" s="1101">
        <f t="shared" si="725"/>
        <v>35282.828599786866</v>
      </c>
      <c r="HG305" s="1101">
        <f t="shared" si="726"/>
        <v>45577.511345604187</v>
      </c>
      <c r="HH305" s="1101">
        <f t="shared" si="727"/>
        <v>77728.117464187817</v>
      </c>
      <c r="HI305" s="497"/>
      <c r="HJ305" s="1102">
        <f t="shared" si="728"/>
        <v>-6634.6872911324317</v>
      </c>
      <c r="HL305" s="775"/>
      <c r="HN305" s="775"/>
      <c r="HO305" s="775"/>
      <c r="HQ305" s="702"/>
      <c r="HR305" s="1171"/>
      <c r="HS305" s="702"/>
      <c r="HT305" s="1171"/>
    </row>
    <row r="306" spans="1:228" ht="14.25" hidden="1" customHeight="1">
      <c r="A306" s="753">
        <f t="shared" si="729"/>
        <v>300</v>
      </c>
      <c r="B306" s="753" t="s">
        <v>236</v>
      </c>
      <c r="C306" s="753">
        <f t="shared" si="745"/>
        <v>21</v>
      </c>
      <c r="D306" s="753" t="s">
        <v>287</v>
      </c>
      <c r="E306" s="717" t="str">
        <f t="shared" si="649"/>
        <v>12th Floor</v>
      </c>
      <c r="F306" s="754"/>
      <c r="G306" s="756" t="s">
        <v>766</v>
      </c>
      <c r="H306" s="756"/>
      <c r="I306" s="755" t="s">
        <v>229</v>
      </c>
      <c r="J306" s="757">
        <v>22</v>
      </c>
      <c r="K306" s="758"/>
      <c r="L306" s="759" t="s">
        <v>69</v>
      </c>
      <c r="M306" s="760" t="s">
        <v>68</v>
      </c>
      <c r="N306" s="761">
        <f t="shared" si="650"/>
        <v>106005.26567735759</v>
      </c>
      <c r="O306" s="762">
        <f t="shared" si="651"/>
        <v>2332115.8449018667</v>
      </c>
      <c r="P306" s="762">
        <f t="shared" si="652"/>
        <v>22400</v>
      </c>
      <c r="Q306" s="762">
        <f t="shared" si="626"/>
        <v>50000</v>
      </c>
      <c r="R306" s="762"/>
      <c r="S306" s="762"/>
      <c r="T306" s="762"/>
      <c r="U306" s="762"/>
      <c r="V306" s="762"/>
      <c r="W306" s="762"/>
      <c r="X306" s="762"/>
      <c r="Y306" s="762">
        <f t="shared" si="746"/>
        <v>160000</v>
      </c>
      <c r="Z306" s="762">
        <f t="shared" si="627"/>
        <v>142461</v>
      </c>
      <c r="AA306" s="762"/>
      <c r="AB306" s="762"/>
      <c r="AC306" s="762"/>
      <c r="AD306" s="763">
        <f t="shared" si="653"/>
        <v>374861</v>
      </c>
      <c r="AE306" s="763">
        <f t="shared" si="628"/>
        <v>2706976.8449018667</v>
      </c>
      <c r="AF306" s="762">
        <f t="shared" si="629"/>
        <v>67674.421122546672</v>
      </c>
      <c r="AG306" s="762">
        <f t="shared" si="654"/>
        <v>2774651.2660244135</v>
      </c>
      <c r="AH306" s="762">
        <f t="shared" si="630"/>
        <v>69366.281650610341</v>
      </c>
      <c r="AI306" s="762">
        <f t="shared" si="655"/>
        <v>2844017.5476750238</v>
      </c>
      <c r="AJ306" s="762">
        <f t="shared" si="656"/>
        <v>142200.87738375118</v>
      </c>
      <c r="AK306" s="762">
        <f t="shared" si="657"/>
        <v>2986218.4250587751</v>
      </c>
      <c r="AL306" s="762">
        <f t="shared" si="658"/>
        <v>29862.18425058775</v>
      </c>
      <c r="AM306" s="762">
        <f t="shared" si="659"/>
        <v>27537.409960060559</v>
      </c>
      <c r="AN306" s="762"/>
      <c r="AO306" s="763">
        <f t="shared" si="660"/>
        <v>3043618.0192694231</v>
      </c>
      <c r="AP306" s="763">
        <f t="shared" si="661"/>
        <v>502196.97317945486</v>
      </c>
      <c r="AQ306" s="763">
        <f t="shared" si="662"/>
        <v>3545814.992448878</v>
      </c>
      <c r="AR306" s="1178">
        <f t="shared" si="631"/>
        <v>3000000</v>
      </c>
      <c r="AS306" s="1178">
        <f t="shared" si="663"/>
        <v>24809.772384039909</v>
      </c>
      <c r="AT306" s="1178">
        <f t="shared" si="664"/>
        <v>545814.99244887801</v>
      </c>
      <c r="AU306" s="1178">
        <f t="shared" si="632"/>
        <v>65497.79909386536</v>
      </c>
      <c r="AV306" s="1178">
        <f t="shared" si="665"/>
        <v>611312.79154274333</v>
      </c>
      <c r="AW306" s="1178">
        <f t="shared" si="666"/>
        <v>3611312.7915427433</v>
      </c>
      <c r="AX306" s="762">
        <f t="shared" si="667"/>
        <v>45141.409894284297</v>
      </c>
      <c r="AY306" s="717" t="s">
        <v>231</v>
      </c>
      <c r="AZ306" s="717">
        <f t="shared" si="668"/>
        <v>3656454.2014370277</v>
      </c>
      <c r="BA306" s="717">
        <f t="shared" si="669"/>
        <v>137117.03255388854</v>
      </c>
      <c r="BB306" s="717"/>
      <c r="BC306" s="717">
        <f t="shared" si="633"/>
        <v>33600</v>
      </c>
      <c r="BD306" s="717">
        <f t="shared" si="670"/>
        <v>3827171.2339909161</v>
      </c>
      <c r="BE306" s="717"/>
      <c r="BF306" s="717">
        <f t="shared" si="671"/>
        <v>3827171.2339909161</v>
      </c>
      <c r="BG306" s="1209"/>
      <c r="BH306" s="717">
        <f t="shared" si="672"/>
        <v>3827171.2339909161</v>
      </c>
      <c r="BI306" s="717"/>
      <c r="BJ306" s="717">
        <f t="shared" si="673"/>
        <v>3827171.2339909161</v>
      </c>
      <c r="BK306" s="717"/>
      <c r="BL306" s="717">
        <f t="shared" si="674"/>
        <v>3827171.2339909161</v>
      </c>
      <c r="BM306" s="717"/>
      <c r="BN306" s="717">
        <f t="shared" si="675"/>
        <v>3827171.2339909161</v>
      </c>
      <c r="BO306" s="717"/>
      <c r="BP306" s="717">
        <f t="shared" si="634"/>
        <v>3827171.2339909161</v>
      </c>
      <c r="BQ306" s="717"/>
      <c r="BR306" s="717">
        <f t="shared" si="738"/>
        <v>3827171.2339909161</v>
      </c>
      <c r="BS306" s="717"/>
      <c r="BT306" s="717">
        <f t="shared" si="676"/>
        <v>3827171.2339909161</v>
      </c>
      <c r="BU306" s="717"/>
      <c r="BV306" s="1235">
        <f t="shared" si="739"/>
        <v>51400</v>
      </c>
      <c r="BW306" s="717">
        <f t="shared" si="677"/>
        <v>3878571.2339909161</v>
      </c>
      <c r="BX306" s="717"/>
      <c r="BY306" s="717">
        <f t="shared" si="678"/>
        <v>3878571.2339909161</v>
      </c>
      <c r="BZ306" s="1194">
        <f t="shared" si="679"/>
        <v>3878571.2339909161</v>
      </c>
      <c r="CA306" s="1194">
        <f t="shared" si="680"/>
        <v>3042571.2339909161</v>
      </c>
      <c r="CB306" s="1194">
        <v>38000</v>
      </c>
      <c r="CC306" s="1194">
        <f t="shared" si="681"/>
        <v>836000</v>
      </c>
      <c r="CD306" s="1194">
        <f t="shared" si="682"/>
        <v>100320</v>
      </c>
      <c r="CE306" s="1194">
        <f t="shared" si="683"/>
        <v>936320</v>
      </c>
      <c r="CF306" s="1200">
        <f t="shared" si="684"/>
        <v>3978891.2339909161</v>
      </c>
      <c r="CG306" s="757">
        <f t="shared" si="685"/>
        <v>3978891.2339909161</v>
      </c>
      <c r="CH306" s="758">
        <f t="shared" si="686"/>
        <v>0</v>
      </c>
      <c r="CI306" s="757">
        <f t="shared" si="635"/>
        <v>407836.35148406884</v>
      </c>
      <c r="CJ306" s="757">
        <f t="shared" si="636"/>
        <v>99472.280849772913</v>
      </c>
      <c r="CK306" s="759">
        <f t="shared" si="747"/>
        <v>4486199.8663247572</v>
      </c>
      <c r="CL306" s="764">
        <f t="shared" si="687"/>
        <v>0.125</v>
      </c>
      <c r="CM306" s="757">
        <f t="shared" si="688"/>
        <v>560774.98329059465</v>
      </c>
      <c r="CN306" s="757">
        <f t="shared" si="730"/>
        <v>30000</v>
      </c>
      <c r="CO306" s="757">
        <f t="shared" si="689"/>
        <v>530774.98329059465</v>
      </c>
      <c r="CP306" s="755">
        <f t="shared" si="690"/>
        <v>30</v>
      </c>
      <c r="CQ306" s="757">
        <f t="shared" si="732"/>
        <v>17692.49944301982</v>
      </c>
      <c r="CR306" s="764">
        <f t="shared" si="691"/>
        <v>0.875</v>
      </c>
      <c r="CS306" s="757">
        <f t="shared" si="692"/>
        <v>3925424.8830341627</v>
      </c>
      <c r="CT306" s="1101">
        <f t="shared" si="693"/>
        <v>30433.777336682313</v>
      </c>
      <c r="CU306" s="1101">
        <f t="shared" si="694"/>
        <v>35282.828599786866</v>
      </c>
      <c r="CV306" s="1101">
        <f t="shared" si="695"/>
        <v>45577.511345604187</v>
      </c>
      <c r="CW306" s="1141">
        <f t="shared" si="637"/>
        <v>77728.117464187817</v>
      </c>
      <c r="CX306" s="1152">
        <f t="shared" si="696"/>
        <v>318874.74026793323</v>
      </c>
      <c r="CY306" s="1152">
        <f t="shared" si="697"/>
        <v>126177.18139598006</v>
      </c>
      <c r="CZ306" s="1152">
        <f t="shared" si="698"/>
        <v>91135.991050341981</v>
      </c>
      <c r="DA306" s="1152">
        <f t="shared" si="699"/>
        <v>69358.684873640115</v>
      </c>
      <c r="DB306" s="1143">
        <f t="shared" si="638"/>
        <v>0.18193833081629268</v>
      </c>
      <c r="DC306" s="1143">
        <f t="shared" si="700"/>
        <v>0.30773971354873969</v>
      </c>
      <c r="DD306" s="1098" t="s">
        <v>232</v>
      </c>
      <c r="DE306" s="1144"/>
      <c r="DF306" s="705"/>
      <c r="DG306" s="765">
        <f t="shared" si="731"/>
        <v>46082</v>
      </c>
      <c r="DH306" s="1116">
        <f t="shared" si="639"/>
        <v>28</v>
      </c>
      <c r="DI306" s="497"/>
      <c r="DJ306" s="1117">
        <f t="shared" si="701"/>
        <v>46147</v>
      </c>
      <c r="DK306" s="1116">
        <f t="shared" si="702"/>
        <v>30</v>
      </c>
      <c r="DL306" s="766" t="s">
        <v>233</v>
      </c>
      <c r="DM306" s="766" t="s">
        <v>234</v>
      </c>
      <c r="DN306" s="767">
        <f t="shared" si="640"/>
        <v>27786.945070124697</v>
      </c>
      <c r="DO306" s="767">
        <f t="shared" si="641"/>
        <v>611312.79154274333</v>
      </c>
      <c r="DP306" s="768">
        <f t="shared" si="642"/>
        <v>0.20377093051424777</v>
      </c>
      <c r="DR306" s="767">
        <f t="shared" si="643"/>
        <v>3978891.2339909161</v>
      </c>
      <c r="DS306" s="767">
        <f>SUM('[6]INTERNAL PRICELIST'!M306)</f>
        <v>0</v>
      </c>
      <c r="DT306" s="767">
        <f t="shared" si="703"/>
        <v>3978891.2339909161</v>
      </c>
      <c r="DV306" s="951">
        <f t="shared" si="644"/>
        <v>180858.69245413254</v>
      </c>
      <c r="DX306" s="781"/>
      <c r="DY306" s="782"/>
      <c r="DZ306" s="781"/>
      <c r="EA306" s="775"/>
      <c r="ED306" s="755" t="s">
        <v>766</v>
      </c>
      <c r="EE306" s="777" t="b">
        <f t="shared" si="645"/>
        <v>1</v>
      </c>
      <c r="EF306" s="1123" t="s">
        <v>765</v>
      </c>
      <c r="EG306" s="1123" t="s">
        <v>737</v>
      </c>
      <c r="EH306" s="1203"/>
      <c r="EP306" s="1230" t="s">
        <v>236</v>
      </c>
      <c r="EQ306" s="1145" t="s">
        <v>236</v>
      </c>
      <c r="ER306" s="753" t="b">
        <f t="shared" si="704"/>
        <v>1</v>
      </c>
      <c r="EU306" s="770">
        <v>2468160</v>
      </c>
      <c r="EV306" s="771" t="s">
        <v>236</v>
      </c>
      <c r="FJ306" s="994">
        <v>0.15</v>
      </c>
      <c r="FK306" s="993">
        <v>13708.740137105633</v>
      </c>
      <c r="FL306" s="993">
        <v>14079.246627297678</v>
      </c>
      <c r="FM306" s="497"/>
      <c r="FN306" s="993">
        <f t="shared" si="646"/>
        <v>4486199.8663247572</v>
      </c>
      <c r="FO306" s="994">
        <f t="shared" si="737"/>
        <v>0.15</v>
      </c>
      <c r="FP306" s="775">
        <f t="shared" si="647"/>
        <v>672929.97994871356</v>
      </c>
      <c r="FQ306" s="993">
        <f t="shared" si="648"/>
        <v>30000</v>
      </c>
      <c r="FR306" s="775">
        <f t="shared" si="706"/>
        <v>642929.97994871356</v>
      </c>
      <c r="FS306" s="497">
        <f t="shared" si="707"/>
        <v>40</v>
      </c>
      <c r="FT306" s="775">
        <f t="shared" si="708"/>
        <v>16073.24949871784</v>
      </c>
      <c r="FU306" s="497"/>
      <c r="FV306" s="993">
        <f t="shared" si="709"/>
        <v>4486199.8663247572</v>
      </c>
      <c r="FW306" s="705">
        <f t="shared" si="710"/>
        <v>448619.98663247575</v>
      </c>
      <c r="FX306" s="705">
        <f t="shared" si="711"/>
        <v>112154.99665811894</v>
      </c>
      <c r="FY306" s="705">
        <v>15000</v>
      </c>
      <c r="FZ306" s="705">
        <f t="shared" si="712"/>
        <v>433619.98663247575</v>
      </c>
      <c r="GA306" s="497">
        <f t="shared" si="713"/>
        <v>46</v>
      </c>
      <c r="GB306" s="775">
        <f t="shared" si="714"/>
        <v>9426.5214485320812</v>
      </c>
      <c r="GC306" s="497"/>
      <c r="GD306" s="497"/>
      <c r="GH306" s="1095">
        <f t="shared" si="613"/>
        <v>4486199.8663247572</v>
      </c>
      <c r="GI306" s="1098">
        <f t="shared" si="614"/>
        <v>0.125</v>
      </c>
      <c r="GJ306" s="1095">
        <f t="shared" si="615"/>
        <v>560774.98329059465</v>
      </c>
      <c r="GK306" s="1095">
        <f t="shared" si="616"/>
        <v>30000</v>
      </c>
      <c r="GL306" s="1095">
        <f t="shared" si="617"/>
        <v>530774.98329059465</v>
      </c>
      <c r="GM306" s="1095">
        <f t="shared" si="618"/>
        <v>30</v>
      </c>
      <c r="GN306" s="1095">
        <f t="shared" si="619"/>
        <v>17692.49944301982</v>
      </c>
      <c r="GO306" s="1098">
        <f t="shared" si="620"/>
        <v>0.875</v>
      </c>
      <c r="GP306" s="1095">
        <f t="shared" si="621"/>
        <v>3925424.8830341627</v>
      </c>
      <c r="GQ306" s="1095">
        <f t="shared" si="622"/>
        <v>30433.777336682313</v>
      </c>
      <c r="GR306" s="1095">
        <f t="shared" si="623"/>
        <v>35282.828599786866</v>
      </c>
      <c r="GS306" s="1095">
        <f t="shared" si="624"/>
        <v>45577.511345604187</v>
      </c>
      <c r="GT306" s="1095">
        <f t="shared" si="625"/>
        <v>77728.117464187817</v>
      </c>
      <c r="GU306" s="497"/>
      <c r="GV306" s="1095">
        <f t="shared" si="715"/>
        <v>4486199.8663247572</v>
      </c>
      <c r="GW306" s="1098">
        <f t="shared" si="716"/>
        <v>0.125</v>
      </c>
      <c r="GX306" s="1095">
        <f t="shared" si="717"/>
        <v>560774.98329059465</v>
      </c>
      <c r="GY306" s="1095">
        <f t="shared" si="718"/>
        <v>30000</v>
      </c>
      <c r="GZ306" s="1095">
        <f t="shared" si="719"/>
        <v>530774.98329059465</v>
      </c>
      <c r="HA306" s="1106">
        <f t="shared" si="720"/>
        <v>48</v>
      </c>
      <c r="HB306" s="770">
        <f t="shared" si="721"/>
        <v>11057.812151887389</v>
      </c>
      <c r="HC306" s="1098">
        <f t="shared" si="722"/>
        <v>0.875</v>
      </c>
      <c r="HD306" s="1102">
        <f t="shared" si="723"/>
        <v>3925424.8830341627</v>
      </c>
      <c r="HE306" s="1101">
        <f t="shared" si="724"/>
        <v>30433.777336682313</v>
      </c>
      <c r="HF306" s="1101">
        <f t="shared" si="725"/>
        <v>35282.828599786866</v>
      </c>
      <c r="HG306" s="1101">
        <f t="shared" si="726"/>
        <v>45577.511345604187</v>
      </c>
      <c r="HH306" s="1101">
        <f t="shared" si="727"/>
        <v>77728.117464187817</v>
      </c>
      <c r="HI306" s="497"/>
      <c r="HJ306" s="1102">
        <f t="shared" si="728"/>
        <v>-6634.6872911324317</v>
      </c>
      <c r="HL306" s="775"/>
      <c r="HN306" s="775"/>
      <c r="HO306" s="775"/>
      <c r="HQ306" s="702"/>
      <c r="HR306" s="1171"/>
      <c r="HS306" s="702"/>
      <c r="HT306" s="1171"/>
    </row>
    <row r="307" spans="1:228" ht="14.25" hidden="1" customHeight="1">
      <c r="A307" s="753">
        <f t="shared" si="729"/>
        <v>301</v>
      </c>
      <c r="B307" s="753" t="s">
        <v>236</v>
      </c>
      <c r="C307" s="753">
        <f t="shared" si="745"/>
        <v>22</v>
      </c>
      <c r="D307" s="753" t="s">
        <v>287</v>
      </c>
      <c r="E307" s="717" t="str">
        <f t="shared" si="649"/>
        <v>12th Floor</v>
      </c>
      <c r="F307" s="754"/>
      <c r="G307" s="756" t="s">
        <v>767</v>
      </c>
      <c r="H307" s="756"/>
      <c r="I307" s="755" t="s">
        <v>229</v>
      </c>
      <c r="J307" s="757">
        <v>22</v>
      </c>
      <c r="K307" s="758"/>
      <c r="L307" s="759" t="s">
        <v>69</v>
      </c>
      <c r="M307" s="760" t="s">
        <v>68</v>
      </c>
      <c r="N307" s="761">
        <f t="shared" si="650"/>
        <v>106005.26567735759</v>
      </c>
      <c r="O307" s="762">
        <f t="shared" si="651"/>
        <v>2332115.8449018667</v>
      </c>
      <c r="P307" s="762">
        <f t="shared" si="652"/>
        <v>22400</v>
      </c>
      <c r="Q307" s="762">
        <f t="shared" si="626"/>
        <v>50000</v>
      </c>
      <c r="R307" s="762"/>
      <c r="S307" s="762"/>
      <c r="T307" s="762"/>
      <c r="U307" s="762"/>
      <c r="V307" s="762"/>
      <c r="W307" s="762"/>
      <c r="X307" s="762"/>
      <c r="Y307" s="762">
        <f t="shared" si="746"/>
        <v>160000</v>
      </c>
      <c r="Z307" s="762">
        <f t="shared" si="627"/>
        <v>142461</v>
      </c>
      <c r="AA307" s="762"/>
      <c r="AB307" s="762"/>
      <c r="AC307" s="762"/>
      <c r="AD307" s="763">
        <f t="shared" si="653"/>
        <v>374861</v>
      </c>
      <c r="AE307" s="763">
        <f t="shared" si="628"/>
        <v>2706976.8449018667</v>
      </c>
      <c r="AF307" s="762">
        <f t="shared" si="629"/>
        <v>67674.421122546672</v>
      </c>
      <c r="AG307" s="762">
        <f t="shared" si="654"/>
        <v>2774651.2660244135</v>
      </c>
      <c r="AH307" s="762">
        <f t="shared" si="630"/>
        <v>69366.281650610341</v>
      </c>
      <c r="AI307" s="762">
        <f t="shared" si="655"/>
        <v>2844017.5476750238</v>
      </c>
      <c r="AJ307" s="762">
        <f t="shared" si="656"/>
        <v>142200.87738375118</v>
      </c>
      <c r="AK307" s="762">
        <f t="shared" si="657"/>
        <v>2986218.4250587751</v>
      </c>
      <c r="AL307" s="762">
        <f t="shared" si="658"/>
        <v>29862.18425058775</v>
      </c>
      <c r="AM307" s="762">
        <f t="shared" si="659"/>
        <v>27537.409960060559</v>
      </c>
      <c r="AN307" s="762"/>
      <c r="AO307" s="763">
        <f t="shared" si="660"/>
        <v>3043618.0192694231</v>
      </c>
      <c r="AP307" s="763">
        <f t="shared" si="661"/>
        <v>502196.97317945486</v>
      </c>
      <c r="AQ307" s="763">
        <f t="shared" si="662"/>
        <v>3545814.992448878</v>
      </c>
      <c r="AR307" s="1178">
        <f t="shared" si="631"/>
        <v>3000000</v>
      </c>
      <c r="AS307" s="1178">
        <f t="shared" si="663"/>
        <v>24809.772384039909</v>
      </c>
      <c r="AT307" s="1178">
        <f t="shared" si="664"/>
        <v>545814.99244887801</v>
      </c>
      <c r="AU307" s="1178">
        <f t="shared" si="632"/>
        <v>65497.79909386536</v>
      </c>
      <c r="AV307" s="1178">
        <f t="shared" si="665"/>
        <v>611312.79154274333</v>
      </c>
      <c r="AW307" s="1178">
        <f t="shared" si="666"/>
        <v>3611312.7915427433</v>
      </c>
      <c r="AX307" s="762">
        <f t="shared" si="667"/>
        <v>45141.409894284297</v>
      </c>
      <c r="AY307" s="717" t="s">
        <v>231</v>
      </c>
      <c r="AZ307" s="717">
        <f t="shared" si="668"/>
        <v>3656454.2014370277</v>
      </c>
      <c r="BA307" s="717">
        <f t="shared" si="669"/>
        <v>137117.03255388854</v>
      </c>
      <c r="BB307" s="717"/>
      <c r="BC307" s="717">
        <f t="shared" si="633"/>
        <v>33600</v>
      </c>
      <c r="BD307" s="717">
        <f t="shared" si="670"/>
        <v>3827171.2339909161</v>
      </c>
      <c r="BE307" s="717"/>
      <c r="BF307" s="717">
        <f t="shared" si="671"/>
        <v>3827171.2339909161</v>
      </c>
      <c r="BG307" s="1209"/>
      <c r="BH307" s="717">
        <f t="shared" si="672"/>
        <v>3827171.2339909161</v>
      </c>
      <c r="BI307" s="717"/>
      <c r="BJ307" s="717">
        <f t="shared" si="673"/>
        <v>3827171.2339909161</v>
      </c>
      <c r="BK307" s="717"/>
      <c r="BL307" s="717">
        <f t="shared" si="674"/>
        <v>3827171.2339909161</v>
      </c>
      <c r="BM307" s="717"/>
      <c r="BN307" s="717">
        <f t="shared" si="675"/>
        <v>3827171.2339909161</v>
      </c>
      <c r="BO307" s="717"/>
      <c r="BP307" s="717">
        <f t="shared" si="634"/>
        <v>3827171.2339909161</v>
      </c>
      <c r="BQ307" s="717"/>
      <c r="BR307" s="717">
        <f t="shared" si="738"/>
        <v>3827171.2339909161</v>
      </c>
      <c r="BS307" s="717"/>
      <c r="BT307" s="717">
        <f t="shared" si="676"/>
        <v>3827171.2339909161</v>
      </c>
      <c r="BU307" s="717"/>
      <c r="BV307" s="1235">
        <f t="shared" si="739"/>
        <v>51400</v>
      </c>
      <c r="BW307" s="717">
        <f t="shared" si="677"/>
        <v>3878571.2339909161</v>
      </c>
      <c r="BX307" s="717"/>
      <c r="BY307" s="717">
        <f t="shared" si="678"/>
        <v>3878571.2339909161</v>
      </c>
      <c r="BZ307" s="1194">
        <f t="shared" si="679"/>
        <v>3878571.2339909161</v>
      </c>
      <c r="CA307" s="1194">
        <f t="shared" si="680"/>
        <v>3042571.2339909161</v>
      </c>
      <c r="CB307" s="1194">
        <v>38000</v>
      </c>
      <c r="CC307" s="1194">
        <f t="shared" si="681"/>
        <v>836000</v>
      </c>
      <c r="CD307" s="1194">
        <f t="shared" si="682"/>
        <v>100320</v>
      </c>
      <c r="CE307" s="1194">
        <f t="shared" si="683"/>
        <v>936320</v>
      </c>
      <c r="CF307" s="1200">
        <f t="shared" si="684"/>
        <v>3978891.2339909161</v>
      </c>
      <c r="CG307" s="757">
        <f t="shared" si="685"/>
        <v>3978891.2339909161</v>
      </c>
      <c r="CH307" s="758">
        <f t="shared" si="686"/>
        <v>0</v>
      </c>
      <c r="CI307" s="757">
        <f t="shared" si="635"/>
        <v>407836.35148406884</v>
      </c>
      <c r="CJ307" s="757">
        <f t="shared" si="636"/>
        <v>99472.280849772913</v>
      </c>
      <c r="CK307" s="759">
        <f t="shared" si="747"/>
        <v>4486199.8663247572</v>
      </c>
      <c r="CL307" s="764">
        <f t="shared" si="687"/>
        <v>0.125</v>
      </c>
      <c r="CM307" s="757">
        <f t="shared" si="688"/>
        <v>560774.98329059465</v>
      </c>
      <c r="CN307" s="757">
        <f t="shared" si="730"/>
        <v>30000</v>
      </c>
      <c r="CO307" s="757">
        <f t="shared" si="689"/>
        <v>530774.98329059465</v>
      </c>
      <c r="CP307" s="755">
        <f t="shared" si="690"/>
        <v>30</v>
      </c>
      <c r="CQ307" s="757">
        <f t="shared" si="732"/>
        <v>17692.49944301982</v>
      </c>
      <c r="CR307" s="764">
        <f t="shared" si="691"/>
        <v>0.875</v>
      </c>
      <c r="CS307" s="757">
        <f t="shared" si="692"/>
        <v>3925424.8830341627</v>
      </c>
      <c r="CT307" s="1101">
        <f t="shared" si="693"/>
        <v>30433.777336682313</v>
      </c>
      <c r="CU307" s="1101">
        <f t="shared" si="694"/>
        <v>35282.828599786866</v>
      </c>
      <c r="CV307" s="1101">
        <f t="shared" si="695"/>
        <v>45577.511345604187</v>
      </c>
      <c r="CW307" s="1141">
        <f t="shared" si="637"/>
        <v>77728.117464187817</v>
      </c>
      <c r="CX307" s="1152">
        <f t="shared" si="696"/>
        <v>318874.74026793323</v>
      </c>
      <c r="CY307" s="1152">
        <f t="shared" si="697"/>
        <v>126177.18139598006</v>
      </c>
      <c r="CZ307" s="1152">
        <f t="shared" si="698"/>
        <v>91135.991050341981</v>
      </c>
      <c r="DA307" s="1152">
        <f t="shared" si="699"/>
        <v>69358.684873640115</v>
      </c>
      <c r="DB307" s="1143">
        <f t="shared" si="638"/>
        <v>0.18193833081629268</v>
      </c>
      <c r="DC307" s="1143">
        <f t="shared" si="700"/>
        <v>0.30773971354873969</v>
      </c>
      <c r="DD307" s="1098" t="s">
        <v>232</v>
      </c>
      <c r="DE307" s="1144"/>
      <c r="DF307" s="705"/>
      <c r="DG307" s="765">
        <f t="shared" si="731"/>
        <v>46082</v>
      </c>
      <c r="DH307" s="1116">
        <f t="shared" si="639"/>
        <v>28</v>
      </c>
      <c r="DI307" s="497"/>
      <c r="DJ307" s="1117">
        <f t="shared" si="701"/>
        <v>46147</v>
      </c>
      <c r="DK307" s="1116">
        <f t="shared" si="702"/>
        <v>30</v>
      </c>
      <c r="DL307" s="766" t="s">
        <v>233</v>
      </c>
      <c r="DM307" s="766" t="s">
        <v>234</v>
      </c>
      <c r="DN307" s="767">
        <f t="shared" si="640"/>
        <v>27786.945070124697</v>
      </c>
      <c r="DO307" s="767">
        <f t="shared" si="641"/>
        <v>611312.79154274333</v>
      </c>
      <c r="DP307" s="768">
        <f t="shared" si="642"/>
        <v>0.20377093051424777</v>
      </c>
      <c r="DR307" s="767">
        <f t="shared" si="643"/>
        <v>3978891.2339909161</v>
      </c>
      <c r="DS307" s="767">
        <f>SUM('[6]INTERNAL PRICELIST'!M307)</f>
        <v>0</v>
      </c>
      <c r="DT307" s="767">
        <f t="shared" si="703"/>
        <v>3978891.2339909161</v>
      </c>
      <c r="DV307" s="951">
        <f t="shared" si="644"/>
        <v>180858.69245413254</v>
      </c>
      <c r="DX307" s="781"/>
      <c r="DY307" s="782"/>
      <c r="DZ307" s="781"/>
      <c r="EA307" s="775"/>
      <c r="ED307" s="755" t="s">
        <v>767</v>
      </c>
      <c r="EE307" s="777" t="b">
        <f t="shared" si="645"/>
        <v>1</v>
      </c>
      <c r="EF307" s="1123" t="s">
        <v>768</v>
      </c>
      <c r="EG307" s="1123" t="s">
        <v>737</v>
      </c>
      <c r="EH307" s="1203"/>
      <c r="EP307" s="1230" t="s">
        <v>236</v>
      </c>
      <c r="EQ307" s="1145" t="s">
        <v>236</v>
      </c>
      <c r="ER307" s="753" t="b">
        <f t="shared" si="704"/>
        <v>1</v>
      </c>
      <c r="EU307" s="770">
        <v>2468160</v>
      </c>
      <c r="EV307" s="771" t="s">
        <v>236</v>
      </c>
      <c r="FJ307" s="994">
        <v>0.15</v>
      </c>
      <c r="FK307" s="993">
        <v>13708.740137105633</v>
      </c>
      <c r="FL307" s="993">
        <v>14079.246627297678</v>
      </c>
      <c r="FM307" s="497"/>
      <c r="FN307" s="993">
        <f t="shared" si="646"/>
        <v>4486199.8663247572</v>
      </c>
      <c r="FO307" s="994">
        <f t="shared" ref="FO307:FO308" si="762">FJ307</f>
        <v>0.15</v>
      </c>
      <c r="FP307" s="775">
        <f t="shared" si="647"/>
        <v>672929.97994871356</v>
      </c>
      <c r="FQ307" s="993">
        <f t="shared" si="648"/>
        <v>30000</v>
      </c>
      <c r="FR307" s="775">
        <f t="shared" si="706"/>
        <v>642929.97994871356</v>
      </c>
      <c r="FS307" s="497">
        <f t="shared" si="707"/>
        <v>40</v>
      </c>
      <c r="FT307" s="775">
        <f t="shared" si="708"/>
        <v>16073.24949871784</v>
      </c>
      <c r="FU307" s="497"/>
      <c r="FV307" s="993">
        <f t="shared" si="709"/>
        <v>4486199.8663247572</v>
      </c>
      <c r="FW307" s="705">
        <f t="shared" si="710"/>
        <v>448619.98663247575</v>
      </c>
      <c r="FX307" s="705">
        <f t="shared" si="711"/>
        <v>112154.99665811894</v>
      </c>
      <c r="FY307" s="705">
        <v>15000</v>
      </c>
      <c r="FZ307" s="705">
        <f t="shared" si="712"/>
        <v>433619.98663247575</v>
      </c>
      <c r="GA307" s="497">
        <f t="shared" si="713"/>
        <v>46</v>
      </c>
      <c r="GB307" s="775">
        <f t="shared" si="714"/>
        <v>9426.5214485320812</v>
      </c>
      <c r="GC307" s="497"/>
      <c r="GD307" s="497"/>
      <c r="GH307" s="1095">
        <f t="shared" si="613"/>
        <v>4486199.8663247572</v>
      </c>
      <c r="GI307" s="1098">
        <f t="shared" si="614"/>
        <v>0.125</v>
      </c>
      <c r="GJ307" s="1095">
        <f t="shared" si="615"/>
        <v>560774.98329059465</v>
      </c>
      <c r="GK307" s="1095">
        <f t="shared" si="616"/>
        <v>30000</v>
      </c>
      <c r="GL307" s="1095">
        <f t="shared" si="617"/>
        <v>530774.98329059465</v>
      </c>
      <c r="GM307" s="1095">
        <f t="shared" si="618"/>
        <v>30</v>
      </c>
      <c r="GN307" s="1095">
        <f t="shared" si="619"/>
        <v>17692.49944301982</v>
      </c>
      <c r="GO307" s="1098">
        <f t="shared" si="620"/>
        <v>0.875</v>
      </c>
      <c r="GP307" s="1095">
        <f t="shared" si="621"/>
        <v>3925424.8830341627</v>
      </c>
      <c r="GQ307" s="1095">
        <f t="shared" si="622"/>
        <v>30433.777336682313</v>
      </c>
      <c r="GR307" s="1095">
        <f t="shared" si="623"/>
        <v>35282.828599786866</v>
      </c>
      <c r="GS307" s="1095">
        <f t="shared" si="624"/>
        <v>45577.511345604187</v>
      </c>
      <c r="GT307" s="1095">
        <f t="shared" si="625"/>
        <v>77728.117464187817</v>
      </c>
      <c r="GU307" s="497"/>
      <c r="GV307" s="1095">
        <f t="shared" si="715"/>
        <v>4486199.8663247572</v>
      </c>
      <c r="GW307" s="1098">
        <f t="shared" si="716"/>
        <v>0.125</v>
      </c>
      <c r="GX307" s="1095">
        <f t="shared" si="717"/>
        <v>560774.98329059465</v>
      </c>
      <c r="GY307" s="1095">
        <f t="shared" si="718"/>
        <v>30000</v>
      </c>
      <c r="GZ307" s="1095">
        <f t="shared" si="719"/>
        <v>530774.98329059465</v>
      </c>
      <c r="HA307" s="1106">
        <f t="shared" si="720"/>
        <v>48</v>
      </c>
      <c r="HB307" s="770">
        <f t="shared" si="721"/>
        <v>11057.812151887389</v>
      </c>
      <c r="HC307" s="1098">
        <f t="shared" si="722"/>
        <v>0.875</v>
      </c>
      <c r="HD307" s="1102">
        <f t="shared" si="723"/>
        <v>3925424.8830341627</v>
      </c>
      <c r="HE307" s="1101">
        <f t="shared" si="724"/>
        <v>30433.777336682313</v>
      </c>
      <c r="HF307" s="1101">
        <f t="shared" si="725"/>
        <v>35282.828599786866</v>
      </c>
      <c r="HG307" s="1101">
        <f t="shared" si="726"/>
        <v>45577.511345604187</v>
      </c>
      <c r="HH307" s="1101">
        <f t="shared" si="727"/>
        <v>77728.117464187817</v>
      </c>
      <c r="HI307" s="497"/>
      <c r="HJ307" s="1102">
        <f t="shared" si="728"/>
        <v>-6634.6872911324317</v>
      </c>
      <c r="HL307" s="775"/>
      <c r="HN307" s="775"/>
      <c r="HO307" s="775"/>
      <c r="HQ307" s="702"/>
      <c r="HR307" s="1171"/>
      <c r="HS307" s="702"/>
      <c r="HT307" s="1171"/>
    </row>
    <row r="308" spans="1:228" ht="14.25" hidden="1" customHeight="1">
      <c r="A308" s="753">
        <f t="shared" si="729"/>
        <v>302</v>
      </c>
      <c r="B308" s="753" t="s">
        <v>236</v>
      </c>
      <c r="C308" s="753">
        <f t="shared" si="745"/>
        <v>23</v>
      </c>
      <c r="D308" s="753" t="s">
        <v>287</v>
      </c>
      <c r="E308" s="717" t="str">
        <f t="shared" si="649"/>
        <v>12th Floor</v>
      </c>
      <c r="F308" s="754"/>
      <c r="G308" s="756" t="s">
        <v>769</v>
      </c>
      <c r="H308" s="756"/>
      <c r="I308" s="755" t="s">
        <v>229</v>
      </c>
      <c r="J308" s="757">
        <v>22</v>
      </c>
      <c r="K308" s="758"/>
      <c r="L308" s="759" t="s">
        <v>69</v>
      </c>
      <c r="M308" s="760" t="s">
        <v>68</v>
      </c>
      <c r="N308" s="761">
        <f t="shared" si="650"/>
        <v>106005.26567735759</v>
      </c>
      <c r="O308" s="762">
        <f t="shared" si="651"/>
        <v>2332115.8449018667</v>
      </c>
      <c r="P308" s="762">
        <f t="shared" si="652"/>
        <v>22400</v>
      </c>
      <c r="Q308" s="762">
        <f t="shared" si="626"/>
        <v>50000</v>
      </c>
      <c r="R308" s="762"/>
      <c r="S308" s="762"/>
      <c r="T308" s="762"/>
      <c r="U308" s="762"/>
      <c r="V308" s="762"/>
      <c r="W308" s="762"/>
      <c r="X308" s="762"/>
      <c r="Y308" s="762">
        <f t="shared" si="746"/>
        <v>160000</v>
      </c>
      <c r="Z308" s="762">
        <f t="shared" si="627"/>
        <v>142461</v>
      </c>
      <c r="AA308" s="762"/>
      <c r="AB308" s="762"/>
      <c r="AC308" s="762"/>
      <c r="AD308" s="763">
        <f t="shared" si="653"/>
        <v>374861</v>
      </c>
      <c r="AE308" s="763">
        <f t="shared" si="628"/>
        <v>2706976.8449018667</v>
      </c>
      <c r="AF308" s="762">
        <f t="shared" si="629"/>
        <v>67674.421122546672</v>
      </c>
      <c r="AG308" s="762">
        <f t="shared" si="654"/>
        <v>2774651.2660244135</v>
      </c>
      <c r="AH308" s="762">
        <f t="shared" si="630"/>
        <v>69366.281650610341</v>
      </c>
      <c r="AI308" s="762">
        <f t="shared" si="655"/>
        <v>2844017.5476750238</v>
      </c>
      <c r="AJ308" s="762">
        <f t="shared" si="656"/>
        <v>142200.87738375118</v>
      </c>
      <c r="AK308" s="762">
        <f t="shared" si="657"/>
        <v>2986218.4250587751</v>
      </c>
      <c r="AL308" s="762">
        <f t="shared" si="658"/>
        <v>29862.18425058775</v>
      </c>
      <c r="AM308" s="762">
        <f t="shared" si="659"/>
        <v>27537.409960060559</v>
      </c>
      <c r="AN308" s="762"/>
      <c r="AO308" s="763">
        <f t="shared" si="660"/>
        <v>3043618.0192694231</v>
      </c>
      <c r="AP308" s="763">
        <f t="shared" si="661"/>
        <v>502196.97317945486</v>
      </c>
      <c r="AQ308" s="763">
        <f t="shared" si="662"/>
        <v>3545814.992448878</v>
      </c>
      <c r="AR308" s="1178">
        <f t="shared" si="631"/>
        <v>3000000</v>
      </c>
      <c r="AS308" s="1178">
        <f t="shared" si="663"/>
        <v>24809.772384039909</v>
      </c>
      <c r="AT308" s="1178">
        <f t="shared" si="664"/>
        <v>545814.99244887801</v>
      </c>
      <c r="AU308" s="1178">
        <f t="shared" si="632"/>
        <v>65497.79909386536</v>
      </c>
      <c r="AV308" s="1178">
        <f t="shared" si="665"/>
        <v>611312.79154274333</v>
      </c>
      <c r="AW308" s="1178">
        <f t="shared" si="666"/>
        <v>3611312.7915427433</v>
      </c>
      <c r="AX308" s="762">
        <f t="shared" si="667"/>
        <v>45141.409894284297</v>
      </c>
      <c r="AY308" s="717" t="s">
        <v>231</v>
      </c>
      <c r="AZ308" s="717">
        <f t="shared" si="668"/>
        <v>3656454.2014370277</v>
      </c>
      <c r="BA308" s="717">
        <f t="shared" si="669"/>
        <v>137117.03255388854</v>
      </c>
      <c r="BB308" s="717"/>
      <c r="BC308" s="717">
        <f t="shared" si="633"/>
        <v>33600</v>
      </c>
      <c r="BD308" s="717">
        <f t="shared" si="670"/>
        <v>3827171.2339909161</v>
      </c>
      <c r="BE308" s="717"/>
      <c r="BF308" s="717">
        <f t="shared" si="671"/>
        <v>3827171.2339909161</v>
      </c>
      <c r="BG308" s="1209"/>
      <c r="BH308" s="717">
        <f t="shared" si="672"/>
        <v>3827171.2339909161</v>
      </c>
      <c r="BI308" s="717"/>
      <c r="BJ308" s="717">
        <f t="shared" si="673"/>
        <v>3827171.2339909161</v>
      </c>
      <c r="BK308" s="717"/>
      <c r="BL308" s="717">
        <f t="shared" si="674"/>
        <v>3827171.2339909161</v>
      </c>
      <c r="BM308" s="717"/>
      <c r="BN308" s="717">
        <f t="shared" si="675"/>
        <v>3827171.2339909161</v>
      </c>
      <c r="BO308" s="717"/>
      <c r="BP308" s="717">
        <f t="shared" si="634"/>
        <v>3827171.2339909161</v>
      </c>
      <c r="BQ308" s="717"/>
      <c r="BR308" s="717">
        <f t="shared" si="738"/>
        <v>3827171.2339909161</v>
      </c>
      <c r="BS308" s="717"/>
      <c r="BT308" s="717">
        <f t="shared" si="676"/>
        <v>3827171.2339909161</v>
      </c>
      <c r="BU308" s="717"/>
      <c r="BV308" s="1235">
        <f t="shared" si="739"/>
        <v>51400</v>
      </c>
      <c r="BW308" s="717">
        <f t="shared" si="677"/>
        <v>3878571.2339909161</v>
      </c>
      <c r="BX308" s="717"/>
      <c r="BY308" s="717">
        <f t="shared" si="678"/>
        <v>3878571.2339909161</v>
      </c>
      <c r="BZ308" s="1194">
        <f t="shared" si="679"/>
        <v>3878571.2339909161</v>
      </c>
      <c r="CA308" s="1194">
        <f t="shared" si="680"/>
        <v>3042571.2339909161</v>
      </c>
      <c r="CB308" s="1194">
        <v>38000</v>
      </c>
      <c r="CC308" s="1194">
        <f t="shared" si="681"/>
        <v>836000</v>
      </c>
      <c r="CD308" s="1194">
        <f t="shared" si="682"/>
        <v>100320</v>
      </c>
      <c r="CE308" s="1194">
        <f t="shared" si="683"/>
        <v>936320</v>
      </c>
      <c r="CF308" s="1200">
        <f t="shared" si="684"/>
        <v>3978891.2339909161</v>
      </c>
      <c r="CG308" s="757">
        <f t="shared" si="685"/>
        <v>3978891.2339909161</v>
      </c>
      <c r="CH308" s="758">
        <f t="shared" si="686"/>
        <v>0</v>
      </c>
      <c r="CI308" s="757">
        <f t="shared" si="635"/>
        <v>407836.35148406884</v>
      </c>
      <c r="CJ308" s="757">
        <f t="shared" si="636"/>
        <v>99472.280849772913</v>
      </c>
      <c r="CK308" s="759">
        <f t="shared" si="747"/>
        <v>4486199.8663247572</v>
      </c>
      <c r="CL308" s="764">
        <f t="shared" si="687"/>
        <v>0.125</v>
      </c>
      <c r="CM308" s="757">
        <f t="shared" si="688"/>
        <v>560774.98329059465</v>
      </c>
      <c r="CN308" s="757">
        <f t="shared" si="730"/>
        <v>30000</v>
      </c>
      <c r="CO308" s="757">
        <f t="shared" si="689"/>
        <v>530774.98329059465</v>
      </c>
      <c r="CP308" s="755">
        <f t="shared" si="690"/>
        <v>30</v>
      </c>
      <c r="CQ308" s="757">
        <f t="shared" si="732"/>
        <v>17692.49944301982</v>
      </c>
      <c r="CR308" s="764">
        <f t="shared" si="691"/>
        <v>0.875</v>
      </c>
      <c r="CS308" s="757">
        <f t="shared" si="692"/>
        <v>3925424.8830341627</v>
      </c>
      <c r="CT308" s="1101">
        <f t="shared" si="693"/>
        <v>30433.777336682313</v>
      </c>
      <c r="CU308" s="1101">
        <f t="shared" si="694"/>
        <v>35282.828599786866</v>
      </c>
      <c r="CV308" s="1101">
        <f t="shared" si="695"/>
        <v>45577.511345604187</v>
      </c>
      <c r="CW308" s="1141">
        <f t="shared" si="637"/>
        <v>77728.117464187817</v>
      </c>
      <c r="CX308" s="1152">
        <f t="shared" si="696"/>
        <v>318874.74026793323</v>
      </c>
      <c r="CY308" s="1152">
        <f t="shared" si="697"/>
        <v>126177.18139598006</v>
      </c>
      <c r="CZ308" s="1152">
        <f t="shared" si="698"/>
        <v>91135.991050341981</v>
      </c>
      <c r="DA308" s="1152">
        <f t="shared" si="699"/>
        <v>69358.684873640115</v>
      </c>
      <c r="DB308" s="1143">
        <f t="shared" si="638"/>
        <v>0.18193833081629268</v>
      </c>
      <c r="DC308" s="1143">
        <f t="shared" si="700"/>
        <v>0.30773971354873969</v>
      </c>
      <c r="DD308" s="1098" t="s">
        <v>232</v>
      </c>
      <c r="DE308" s="1144"/>
      <c r="DF308" s="705"/>
      <c r="DG308" s="765">
        <f t="shared" si="731"/>
        <v>46082</v>
      </c>
      <c r="DH308" s="1116">
        <f t="shared" si="639"/>
        <v>28</v>
      </c>
      <c r="DI308" s="497"/>
      <c r="DJ308" s="1117">
        <f t="shared" si="701"/>
        <v>46147</v>
      </c>
      <c r="DK308" s="1116">
        <f t="shared" si="702"/>
        <v>30</v>
      </c>
      <c r="DL308" s="766" t="s">
        <v>233</v>
      </c>
      <c r="DM308" s="766" t="s">
        <v>234</v>
      </c>
      <c r="DN308" s="767">
        <f t="shared" si="640"/>
        <v>27786.945070124697</v>
      </c>
      <c r="DO308" s="767">
        <f t="shared" si="641"/>
        <v>611312.79154274333</v>
      </c>
      <c r="DP308" s="768">
        <f t="shared" si="642"/>
        <v>0.20377093051424777</v>
      </c>
      <c r="DR308" s="767">
        <f t="shared" si="643"/>
        <v>3978891.2339909161</v>
      </c>
      <c r="DS308" s="767">
        <f>SUM('[6]INTERNAL PRICELIST'!M308)</f>
        <v>0</v>
      </c>
      <c r="DT308" s="767">
        <f t="shared" si="703"/>
        <v>3978891.2339909161</v>
      </c>
      <c r="DV308" s="951">
        <f t="shared" si="644"/>
        <v>180858.69245413254</v>
      </c>
      <c r="DX308" s="781"/>
      <c r="DY308" s="782"/>
      <c r="DZ308" s="781"/>
      <c r="EA308" s="775"/>
      <c r="ED308" s="755" t="s">
        <v>769</v>
      </c>
      <c r="EE308" s="777" t="b">
        <f t="shared" si="645"/>
        <v>1</v>
      </c>
      <c r="EF308" s="1123" t="s">
        <v>768</v>
      </c>
      <c r="EG308" s="1123" t="s">
        <v>737</v>
      </c>
      <c r="EH308" s="1203"/>
      <c r="EP308" s="1230" t="s">
        <v>236</v>
      </c>
      <c r="EQ308" s="1145" t="s">
        <v>236</v>
      </c>
      <c r="ER308" s="753" t="b">
        <f t="shared" si="704"/>
        <v>1</v>
      </c>
      <c r="EU308" s="770">
        <v>2468160</v>
      </c>
      <c r="EV308" s="771" t="s">
        <v>236</v>
      </c>
      <c r="FJ308" s="994">
        <v>0.15</v>
      </c>
      <c r="FK308" s="993">
        <v>13708.740137105633</v>
      </c>
      <c r="FL308" s="993">
        <v>14079.246627297678</v>
      </c>
      <c r="FM308" s="497"/>
      <c r="FN308" s="993">
        <f t="shared" si="646"/>
        <v>4486199.8663247572</v>
      </c>
      <c r="FO308" s="994">
        <f t="shared" si="762"/>
        <v>0.15</v>
      </c>
      <c r="FP308" s="775">
        <f t="shared" si="647"/>
        <v>672929.97994871356</v>
      </c>
      <c r="FQ308" s="993">
        <f t="shared" si="648"/>
        <v>30000</v>
      </c>
      <c r="FR308" s="775">
        <f t="shared" si="706"/>
        <v>642929.97994871356</v>
      </c>
      <c r="FS308" s="497">
        <f t="shared" si="707"/>
        <v>40</v>
      </c>
      <c r="FT308" s="775">
        <f t="shared" si="708"/>
        <v>16073.24949871784</v>
      </c>
      <c r="FU308" s="497"/>
      <c r="FV308" s="993">
        <f t="shared" si="709"/>
        <v>4486199.8663247572</v>
      </c>
      <c r="FW308" s="705">
        <f t="shared" si="710"/>
        <v>448619.98663247575</v>
      </c>
      <c r="FX308" s="705">
        <f t="shared" si="711"/>
        <v>112154.99665811894</v>
      </c>
      <c r="FY308" s="705">
        <v>15000</v>
      </c>
      <c r="FZ308" s="705">
        <f t="shared" si="712"/>
        <v>433619.98663247575</v>
      </c>
      <c r="GA308" s="497">
        <f t="shared" si="713"/>
        <v>46</v>
      </c>
      <c r="GB308" s="775">
        <f t="shared" si="714"/>
        <v>9426.5214485320812</v>
      </c>
      <c r="GC308" s="497"/>
      <c r="GD308" s="497"/>
      <c r="GH308" s="1095">
        <f t="shared" si="613"/>
        <v>4486199.8663247572</v>
      </c>
      <c r="GI308" s="1098">
        <f t="shared" si="614"/>
        <v>0.125</v>
      </c>
      <c r="GJ308" s="1095">
        <f t="shared" si="615"/>
        <v>560774.98329059465</v>
      </c>
      <c r="GK308" s="1095">
        <f t="shared" si="616"/>
        <v>30000</v>
      </c>
      <c r="GL308" s="1095">
        <f t="shared" si="617"/>
        <v>530774.98329059465</v>
      </c>
      <c r="GM308" s="1095">
        <f t="shared" si="618"/>
        <v>30</v>
      </c>
      <c r="GN308" s="1095">
        <f t="shared" si="619"/>
        <v>17692.49944301982</v>
      </c>
      <c r="GO308" s="1098">
        <f t="shared" si="620"/>
        <v>0.875</v>
      </c>
      <c r="GP308" s="1095">
        <f t="shared" si="621"/>
        <v>3925424.8830341627</v>
      </c>
      <c r="GQ308" s="1095">
        <f t="shared" si="622"/>
        <v>30433.777336682313</v>
      </c>
      <c r="GR308" s="1095">
        <f t="shared" si="623"/>
        <v>35282.828599786866</v>
      </c>
      <c r="GS308" s="1095">
        <f t="shared" si="624"/>
        <v>45577.511345604187</v>
      </c>
      <c r="GT308" s="1095">
        <f t="shared" si="625"/>
        <v>77728.117464187817</v>
      </c>
      <c r="GU308" s="497"/>
      <c r="GV308" s="1095">
        <f t="shared" si="715"/>
        <v>4486199.8663247572</v>
      </c>
      <c r="GW308" s="1098">
        <f t="shared" si="716"/>
        <v>0.125</v>
      </c>
      <c r="GX308" s="1095">
        <f t="shared" si="717"/>
        <v>560774.98329059465</v>
      </c>
      <c r="GY308" s="1095">
        <f t="shared" si="718"/>
        <v>30000</v>
      </c>
      <c r="GZ308" s="1095">
        <f t="shared" si="719"/>
        <v>530774.98329059465</v>
      </c>
      <c r="HA308" s="1106">
        <f t="shared" si="720"/>
        <v>48</v>
      </c>
      <c r="HB308" s="770">
        <f t="shared" si="721"/>
        <v>11057.812151887389</v>
      </c>
      <c r="HC308" s="1098">
        <f t="shared" si="722"/>
        <v>0.875</v>
      </c>
      <c r="HD308" s="1102">
        <f t="shared" si="723"/>
        <v>3925424.8830341627</v>
      </c>
      <c r="HE308" s="1101">
        <f t="shared" si="724"/>
        <v>30433.777336682313</v>
      </c>
      <c r="HF308" s="1101">
        <f t="shared" si="725"/>
        <v>35282.828599786866</v>
      </c>
      <c r="HG308" s="1101">
        <f t="shared" si="726"/>
        <v>45577.511345604187</v>
      </c>
      <c r="HH308" s="1101">
        <f t="shared" si="727"/>
        <v>77728.117464187817</v>
      </c>
      <c r="HI308" s="497"/>
      <c r="HJ308" s="1102">
        <f t="shared" si="728"/>
        <v>-6634.6872911324317</v>
      </c>
      <c r="HL308" s="775"/>
      <c r="HN308" s="775"/>
      <c r="HO308" s="775"/>
      <c r="HQ308" s="702"/>
      <c r="HR308" s="1171"/>
      <c r="HS308" s="702"/>
      <c r="HT308" s="1171"/>
    </row>
    <row r="309" spans="1:228" ht="14.25" hidden="1" customHeight="1">
      <c r="A309" s="753">
        <f t="shared" si="729"/>
        <v>303</v>
      </c>
      <c r="B309" s="753"/>
      <c r="C309" s="753">
        <f t="shared" si="745"/>
        <v>24</v>
      </c>
      <c r="D309" s="753" t="s">
        <v>287</v>
      </c>
      <c r="E309" s="717" t="str">
        <f t="shared" si="649"/>
        <v>12th Floor</v>
      </c>
      <c r="F309" s="754"/>
      <c r="G309" s="756" t="s">
        <v>770</v>
      </c>
      <c r="H309" s="756"/>
      <c r="I309" s="755" t="s">
        <v>229</v>
      </c>
      <c r="J309" s="757">
        <v>22</v>
      </c>
      <c r="K309" s="758"/>
      <c r="L309" s="759" t="s">
        <v>69</v>
      </c>
      <c r="M309" s="760" t="s">
        <v>68</v>
      </c>
      <c r="N309" s="761">
        <f t="shared" si="650"/>
        <v>106005.26567735759</v>
      </c>
      <c r="O309" s="762">
        <f t="shared" si="651"/>
        <v>2332115.8449018667</v>
      </c>
      <c r="P309" s="762">
        <f t="shared" si="652"/>
        <v>22400</v>
      </c>
      <c r="Q309" s="762">
        <f t="shared" si="626"/>
        <v>50000</v>
      </c>
      <c r="R309" s="762"/>
      <c r="S309" s="762"/>
      <c r="T309" s="762"/>
      <c r="U309" s="762"/>
      <c r="V309" s="762"/>
      <c r="W309" s="762"/>
      <c r="X309" s="762"/>
      <c r="Y309" s="762">
        <f t="shared" si="746"/>
        <v>160000</v>
      </c>
      <c r="Z309" s="762">
        <f t="shared" si="627"/>
        <v>142461</v>
      </c>
      <c r="AA309" s="762"/>
      <c r="AB309" s="762"/>
      <c r="AC309" s="762"/>
      <c r="AD309" s="763">
        <f t="shared" si="653"/>
        <v>374861</v>
      </c>
      <c r="AE309" s="763">
        <f t="shared" si="628"/>
        <v>2706976.8449018667</v>
      </c>
      <c r="AF309" s="762">
        <f t="shared" si="629"/>
        <v>67674.421122546672</v>
      </c>
      <c r="AG309" s="762">
        <f t="shared" si="654"/>
        <v>2774651.2660244135</v>
      </c>
      <c r="AH309" s="762">
        <f t="shared" si="630"/>
        <v>69366.281650610341</v>
      </c>
      <c r="AI309" s="762">
        <f t="shared" si="655"/>
        <v>2844017.5476750238</v>
      </c>
      <c r="AJ309" s="762">
        <f t="shared" si="656"/>
        <v>142200.87738375118</v>
      </c>
      <c r="AK309" s="762">
        <f t="shared" si="657"/>
        <v>2986218.4250587751</v>
      </c>
      <c r="AL309" s="762">
        <f t="shared" si="658"/>
        <v>29862.18425058775</v>
      </c>
      <c r="AM309" s="762">
        <f t="shared" si="659"/>
        <v>27537.409960060559</v>
      </c>
      <c r="AN309" s="762"/>
      <c r="AO309" s="763">
        <f t="shared" si="660"/>
        <v>3043618.0192694231</v>
      </c>
      <c r="AP309" s="763">
        <f t="shared" si="661"/>
        <v>502196.97317945486</v>
      </c>
      <c r="AQ309" s="763">
        <f t="shared" si="662"/>
        <v>3545814.992448878</v>
      </c>
      <c r="AR309" s="1178">
        <f t="shared" si="631"/>
        <v>3000000</v>
      </c>
      <c r="AS309" s="1178">
        <f t="shared" si="663"/>
        <v>24809.772384039909</v>
      </c>
      <c r="AT309" s="1178">
        <f t="shared" si="664"/>
        <v>545814.99244887801</v>
      </c>
      <c r="AU309" s="1178">
        <f t="shared" si="632"/>
        <v>65497.79909386536</v>
      </c>
      <c r="AV309" s="1178">
        <f t="shared" si="665"/>
        <v>611312.79154274333</v>
      </c>
      <c r="AW309" s="1178">
        <f t="shared" si="666"/>
        <v>3611312.7915427433</v>
      </c>
      <c r="AX309" s="762">
        <f t="shared" si="667"/>
        <v>45141.409894284297</v>
      </c>
      <c r="AY309" s="717" t="s">
        <v>231</v>
      </c>
      <c r="AZ309" s="717">
        <f t="shared" si="668"/>
        <v>3656454.2014370277</v>
      </c>
      <c r="BA309" s="717">
        <f t="shared" si="669"/>
        <v>137117.03255388854</v>
      </c>
      <c r="BB309" s="717"/>
      <c r="BC309" s="717">
        <f t="shared" si="633"/>
        <v>33600</v>
      </c>
      <c r="BD309" s="717">
        <f t="shared" si="670"/>
        <v>3827171.2339909161</v>
      </c>
      <c r="BE309" s="717"/>
      <c r="BF309" s="717">
        <f t="shared" si="671"/>
        <v>3827171.2339909161</v>
      </c>
      <c r="BG309" s="1209"/>
      <c r="BH309" s="717">
        <f t="shared" si="672"/>
        <v>3827171.2339909161</v>
      </c>
      <c r="BI309" s="717"/>
      <c r="BJ309" s="717">
        <f t="shared" si="673"/>
        <v>3827171.2339909161</v>
      </c>
      <c r="BK309" s="717"/>
      <c r="BL309" s="717">
        <f t="shared" si="674"/>
        <v>3827171.2339909161</v>
      </c>
      <c r="BM309" s="717"/>
      <c r="BN309" s="717">
        <f t="shared" si="675"/>
        <v>3827171.2339909161</v>
      </c>
      <c r="BO309" s="717"/>
      <c r="BP309" s="717">
        <f t="shared" si="634"/>
        <v>3827171.2339909161</v>
      </c>
      <c r="BQ309" s="717"/>
      <c r="BR309" s="717">
        <f t="shared" si="738"/>
        <v>3827171.2339909161</v>
      </c>
      <c r="BS309" s="717"/>
      <c r="BT309" s="717">
        <f t="shared" si="676"/>
        <v>3827171.2339909161</v>
      </c>
      <c r="BU309" s="717"/>
      <c r="BV309" s="1235">
        <f t="shared" si="739"/>
        <v>51400</v>
      </c>
      <c r="BW309" s="717">
        <f t="shared" si="677"/>
        <v>3878571.2339909161</v>
      </c>
      <c r="BX309" s="717"/>
      <c r="BY309" s="717">
        <f t="shared" si="678"/>
        <v>3878571.2339909161</v>
      </c>
      <c r="BZ309" s="1194">
        <f t="shared" si="679"/>
        <v>3878571.2339909161</v>
      </c>
      <c r="CA309" s="1194">
        <f t="shared" si="680"/>
        <v>3042571.2339909161</v>
      </c>
      <c r="CB309" s="1194">
        <v>38000</v>
      </c>
      <c r="CC309" s="1194">
        <f t="shared" si="681"/>
        <v>836000</v>
      </c>
      <c r="CD309" s="1194">
        <f t="shared" si="682"/>
        <v>100320</v>
      </c>
      <c r="CE309" s="1194">
        <f t="shared" si="683"/>
        <v>936320</v>
      </c>
      <c r="CF309" s="1200">
        <f t="shared" si="684"/>
        <v>3978891.2339909161</v>
      </c>
      <c r="CG309" s="757">
        <f t="shared" si="685"/>
        <v>3978891.2339909161</v>
      </c>
      <c r="CH309" s="758">
        <f t="shared" si="686"/>
        <v>0</v>
      </c>
      <c r="CI309" s="757">
        <f t="shared" si="635"/>
        <v>407836.35148406884</v>
      </c>
      <c r="CJ309" s="757">
        <f t="shared" si="636"/>
        <v>99472.280849772913</v>
      </c>
      <c r="CK309" s="759">
        <f t="shared" si="747"/>
        <v>4486199.8663247572</v>
      </c>
      <c r="CL309" s="764">
        <f t="shared" si="687"/>
        <v>0.125</v>
      </c>
      <c r="CM309" s="757">
        <f t="shared" si="688"/>
        <v>560774.98329059465</v>
      </c>
      <c r="CN309" s="757">
        <f t="shared" si="730"/>
        <v>30000</v>
      </c>
      <c r="CO309" s="757">
        <f t="shared" si="689"/>
        <v>530774.98329059465</v>
      </c>
      <c r="CP309" s="755">
        <f t="shared" si="690"/>
        <v>30</v>
      </c>
      <c r="CQ309" s="757">
        <f t="shared" si="732"/>
        <v>17692.49944301982</v>
      </c>
      <c r="CR309" s="764">
        <f t="shared" si="691"/>
        <v>0.875</v>
      </c>
      <c r="CS309" s="757">
        <f t="shared" si="692"/>
        <v>3925424.8830341627</v>
      </c>
      <c r="CT309" s="1101">
        <f t="shared" si="693"/>
        <v>30433.777336682313</v>
      </c>
      <c r="CU309" s="1101">
        <f t="shared" si="694"/>
        <v>35282.828599786866</v>
      </c>
      <c r="CV309" s="1101">
        <f t="shared" si="695"/>
        <v>45577.511345604187</v>
      </c>
      <c r="CW309" s="1141">
        <f t="shared" si="637"/>
        <v>77728.117464187817</v>
      </c>
      <c r="CX309" s="1152">
        <f t="shared" si="696"/>
        <v>318874.74026793323</v>
      </c>
      <c r="CY309" s="1152">
        <f t="shared" si="697"/>
        <v>126177.18139598006</v>
      </c>
      <c r="CZ309" s="1152">
        <f t="shared" si="698"/>
        <v>91135.991050341981</v>
      </c>
      <c r="DA309" s="1152">
        <f t="shared" si="699"/>
        <v>69358.684873640115</v>
      </c>
      <c r="DB309" s="1143">
        <f t="shared" si="638"/>
        <v>0.18193833081629268</v>
      </c>
      <c r="DC309" s="1143">
        <f t="shared" si="700"/>
        <v>0.30773971354873969</v>
      </c>
      <c r="DD309" s="1098" t="s">
        <v>232</v>
      </c>
      <c r="DE309" s="1144"/>
      <c r="DF309" s="705"/>
      <c r="DG309" s="765">
        <f t="shared" si="731"/>
        <v>46082</v>
      </c>
      <c r="DH309" s="1116">
        <f t="shared" si="639"/>
        <v>28</v>
      </c>
      <c r="DI309" s="497"/>
      <c r="DJ309" s="1117">
        <f t="shared" si="701"/>
        <v>46147</v>
      </c>
      <c r="DK309" s="1116">
        <f t="shared" si="702"/>
        <v>30</v>
      </c>
      <c r="DL309" s="766" t="s">
        <v>233</v>
      </c>
      <c r="DM309" s="766" t="s">
        <v>234</v>
      </c>
      <c r="DN309" s="767">
        <f t="shared" si="640"/>
        <v>27786.945070124697</v>
      </c>
      <c r="DO309" s="767">
        <f t="shared" si="641"/>
        <v>611312.79154274333</v>
      </c>
      <c r="DP309" s="768">
        <f t="shared" si="642"/>
        <v>0.20377093051424777</v>
      </c>
      <c r="DR309" s="767">
        <f t="shared" si="643"/>
        <v>3978891.2339909161</v>
      </c>
      <c r="DS309" s="767">
        <f>SUM('[6]INTERNAL PRICELIST'!M309)</f>
        <v>0</v>
      </c>
      <c r="DT309" s="767">
        <f t="shared" si="703"/>
        <v>3978891.2339909161</v>
      </c>
      <c r="DV309" s="951">
        <f t="shared" si="644"/>
        <v>180858.69245413254</v>
      </c>
      <c r="DX309" s="781"/>
      <c r="DY309" s="782"/>
      <c r="DZ309" s="781"/>
      <c r="EA309" s="775"/>
      <c r="ED309" s="755" t="s">
        <v>770</v>
      </c>
      <c r="EE309" s="777" t="b">
        <f t="shared" si="645"/>
        <v>1</v>
      </c>
      <c r="EF309" s="777"/>
      <c r="EG309" s="777"/>
      <c r="EH309" s="1203"/>
      <c r="EP309" s="1230" t="s">
        <v>236</v>
      </c>
      <c r="EQ309" s="1145" t="s">
        <v>236</v>
      </c>
      <c r="ER309" s="753" t="b">
        <f t="shared" si="704"/>
        <v>1</v>
      </c>
      <c r="EU309" s="770">
        <v>3184197.1274007284</v>
      </c>
      <c r="EV309" s="771" t="s">
        <v>258</v>
      </c>
      <c r="EW309" s="775">
        <f>EU309-CG309</f>
        <v>-794694.10659018764</v>
      </c>
      <c r="FJ309" s="994">
        <v>0.15</v>
      </c>
      <c r="FK309" s="993">
        <v>13708.740137105633</v>
      </c>
      <c r="FL309" s="993">
        <v>14079.246627297678</v>
      </c>
      <c r="FM309" s="497"/>
      <c r="FN309" s="993">
        <f t="shared" si="646"/>
        <v>4486199.8663247572</v>
      </c>
      <c r="FO309" s="994">
        <f t="shared" si="737"/>
        <v>0.15</v>
      </c>
      <c r="FP309" s="775">
        <f t="shared" si="647"/>
        <v>672929.97994871356</v>
      </c>
      <c r="FQ309" s="993">
        <f t="shared" si="648"/>
        <v>30000</v>
      </c>
      <c r="FR309" s="775">
        <f t="shared" si="706"/>
        <v>642929.97994871356</v>
      </c>
      <c r="FS309" s="497">
        <f t="shared" si="707"/>
        <v>40</v>
      </c>
      <c r="FT309" s="775">
        <f t="shared" si="708"/>
        <v>16073.24949871784</v>
      </c>
      <c r="FU309" s="497"/>
      <c r="FV309" s="993">
        <f t="shared" si="709"/>
        <v>4486199.8663247572</v>
      </c>
      <c r="FW309" s="705">
        <f t="shared" si="710"/>
        <v>448619.98663247575</v>
      </c>
      <c r="FX309" s="705">
        <f t="shared" si="711"/>
        <v>112154.99665811894</v>
      </c>
      <c r="FY309" s="705">
        <v>15000</v>
      </c>
      <c r="FZ309" s="705">
        <f t="shared" si="712"/>
        <v>433619.98663247575</v>
      </c>
      <c r="GA309" s="497">
        <f t="shared" si="713"/>
        <v>46</v>
      </c>
      <c r="GB309" s="775">
        <f t="shared" si="714"/>
        <v>9426.5214485320812</v>
      </c>
      <c r="GC309" s="497"/>
      <c r="GD309" s="497"/>
      <c r="GH309" s="1095">
        <f t="shared" si="613"/>
        <v>4486199.8663247572</v>
      </c>
      <c r="GI309" s="1098">
        <f t="shared" si="614"/>
        <v>0.125</v>
      </c>
      <c r="GJ309" s="1095">
        <f t="shared" si="615"/>
        <v>560774.98329059465</v>
      </c>
      <c r="GK309" s="1095">
        <f t="shared" si="616"/>
        <v>30000</v>
      </c>
      <c r="GL309" s="1095">
        <f t="shared" si="617"/>
        <v>530774.98329059465</v>
      </c>
      <c r="GM309" s="1095">
        <f t="shared" si="618"/>
        <v>30</v>
      </c>
      <c r="GN309" s="1095">
        <f t="shared" si="619"/>
        <v>17692.49944301982</v>
      </c>
      <c r="GO309" s="1098">
        <f t="shared" si="620"/>
        <v>0.875</v>
      </c>
      <c r="GP309" s="1095">
        <f t="shared" si="621"/>
        <v>3925424.8830341627</v>
      </c>
      <c r="GQ309" s="1095">
        <f t="shared" si="622"/>
        <v>30433.777336682313</v>
      </c>
      <c r="GR309" s="1095">
        <f t="shared" si="623"/>
        <v>35282.828599786866</v>
      </c>
      <c r="GS309" s="1095">
        <f t="shared" si="624"/>
        <v>45577.511345604187</v>
      </c>
      <c r="GT309" s="1095">
        <f t="shared" si="625"/>
        <v>77728.117464187817</v>
      </c>
      <c r="GU309" s="497"/>
      <c r="GV309" s="1095">
        <f t="shared" si="715"/>
        <v>4486199.8663247572</v>
      </c>
      <c r="GW309" s="1098">
        <f t="shared" si="716"/>
        <v>0.125</v>
      </c>
      <c r="GX309" s="1095">
        <f t="shared" si="717"/>
        <v>560774.98329059465</v>
      </c>
      <c r="GY309" s="1095">
        <f t="shared" si="718"/>
        <v>30000</v>
      </c>
      <c r="GZ309" s="1095">
        <f t="shared" si="719"/>
        <v>530774.98329059465</v>
      </c>
      <c r="HA309" s="1106">
        <f t="shared" si="720"/>
        <v>48</v>
      </c>
      <c r="HB309" s="770">
        <f t="shared" si="721"/>
        <v>11057.812151887389</v>
      </c>
      <c r="HC309" s="1098">
        <f t="shared" si="722"/>
        <v>0.875</v>
      </c>
      <c r="HD309" s="1102">
        <f t="shared" si="723"/>
        <v>3925424.8830341627</v>
      </c>
      <c r="HE309" s="1101">
        <f t="shared" si="724"/>
        <v>30433.777336682313</v>
      </c>
      <c r="HF309" s="1101">
        <f t="shared" si="725"/>
        <v>35282.828599786866</v>
      </c>
      <c r="HG309" s="1101">
        <f t="shared" si="726"/>
        <v>45577.511345604187</v>
      </c>
      <c r="HH309" s="1101">
        <f t="shared" si="727"/>
        <v>77728.117464187817</v>
      </c>
      <c r="HI309" s="497"/>
      <c r="HJ309" s="1102">
        <f t="shared" si="728"/>
        <v>-6634.6872911324317</v>
      </c>
      <c r="HL309" s="775"/>
      <c r="HN309" s="775"/>
      <c r="HO309" s="775"/>
      <c r="HQ309" s="702"/>
      <c r="HR309" s="1171"/>
      <c r="HS309" s="702"/>
      <c r="HT309" s="1171"/>
    </row>
    <row r="310" spans="1:228" ht="14.25" hidden="1" customHeight="1">
      <c r="A310" s="753">
        <f t="shared" si="729"/>
        <v>304</v>
      </c>
      <c r="B310" s="753"/>
      <c r="C310" s="753">
        <f t="shared" si="745"/>
        <v>25</v>
      </c>
      <c r="D310" s="753" t="s">
        <v>287</v>
      </c>
      <c r="E310" s="717" t="str">
        <f t="shared" si="649"/>
        <v>12th Floor</v>
      </c>
      <c r="F310" s="754"/>
      <c r="G310" s="756" t="s">
        <v>771</v>
      </c>
      <c r="H310" s="756"/>
      <c r="I310" s="755" t="s">
        <v>229</v>
      </c>
      <c r="J310" s="757">
        <v>22</v>
      </c>
      <c r="K310" s="758"/>
      <c r="L310" s="759" t="s">
        <v>69</v>
      </c>
      <c r="M310" s="760" t="s">
        <v>230</v>
      </c>
      <c r="N310" s="761">
        <f t="shared" si="650"/>
        <v>106005.26567735759</v>
      </c>
      <c r="O310" s="762">
        <f t="shared" si="651"/>
        <v>2332115.8449018667</v>
      </c>
      <c r="P310" s="762">
        <f t="shared" si="652"/>
        <v>22400</v>
      </c>
      <c r="Q310" s="762">
        <f t="shared" si="626"/>
        <v>50000</v>
      </c>
      <c r="R310" s="762"/>
      <c r="S310" s="762"/>
      <c r="T310" s="762"/>
      <c r="U310" s="762"/>
      <c r="V310" s="762">
        <f t="shared" ref="V310:V311" si="763">J310*$V$5</f>
        <v>55000</v>
      </c>
      <c r="W310" s="762"/>
      <c r="X310" s="762"/>
      <c r="Y310" s="762">
        <f t="shared" si="746"/>
        <v>160000</v>
      </c>
      <c r="Z310" s="762">
        <f t="shared" si="627"/>
        <v>142461</v>
      </c>
      <c r="AA310" s="762"/>
      <c r="AB310" s="762"/>
      <c r="AC310" s="762"/>
      <c r="AD310" s="763">
        <f t="shared" si="653"/>
        <v>429861</v>
      </c>
      <c r="AE310" s="763">
        <f t="shared" si="628"/>
        <v>2761976.8449018667</v>
      </c>
      <c r="AF310" s="762">
        <f t="shared" si="629"/>
        <v>69049.421122546672</v>
      </c>
      <c r="AG310" s="762">
        <f t="shared" si="654"/>
        <v>2831026.2660244135</v>
      </c>
      <c r="AH310" s="762">
        <f t="shared" si="630"/>
        <v>70775.656650610341</v>
      </c>
      <c r="AI310" s="762">
        <f t="shared" si="655"/>
        <v>2901801.9226750238</v>
      </c>
      <c r="AJ310" s="762">
        <f t="shared" si="656"/>
        <v>145090.09613375118</v>
      </c>
      <c r="AK310" s="762">
        <f t="shared" si="657"/>
        <v>3046892.0188087751</v>
      </c>
      <c r="AL310" s="762">
        <f t="shared" si="658"/>
        <v>30468.920188087752</v>
      </c>
      <c r="AM310" s="762">
        <f t="shared" si="659"/>
        <v>27537.409960060559</v>
      </c>
      <c r="AN310" s="762"/>
      <c r="AO310" s="763">
        <f t="shared" si="660"/>
        <v>3104898.3489569235</v>
      </c>
      <c r="AP310" s="763">
        <f t="shared" si="661"/>
        <v>512308.22757789242</v>
      </c>
      <c r="AQ310" s="763">
        <f t="shared" si="662"/>
        <v>3617206.5765348161</v>
      </c>
      <c r="AR310" s="1178">
        <f t="shared" si="631"/>
        <v>3000000</v>
      </c>
      <c r="AS310" s="1178">
        <f t="shared" si="663"/>
        <v>28054.844387946185</v>
      </c>
      <c r="AT310" s="1178">
        <f t="shared" si="664"/>
        <v>617206.57653481606</v>
      </c>
      <c r="AU310" s="1178">
        <f t="shared" si="632"/>
        <v>74064.78918417792</v>
      </c>
      <c r="AV310" s="1178">
        <f t="shared" si="665"/>
        <v>691271.36571899394</v>
      </c>
      <c r="AW310" s="1178">
        <f t="shared" si="666"/>
        <v>3691271.3657189938</v>
      </c>
      <c r="AX310" s="762">
        <f t="shared" si="667"/>
        <v>46140.892071487426</v>
      </c>
      <c r="AY310" s="717" t="s">
        <v>231</v>
      </c>
      <c r="AZ310" s="717">
        <f t="shared" si="668"/>
        <v>3737412.2577904812</v>
      </c>
      <c r="BA310" s="717">
        <f t="shared" si="669"/>
        <v>140152.95966714303</v>
      </c>
      <c r="BB310" s="717"/>
      <c r="BC310" s="717">
        <f t="shared" si="633"/>
        <v>33600</v>
      </c>
      <c r="BD310" s="717">
        <f t="shared" si="670"/>
        <v>3911165.2174576242</v>
      </c>
      <c r="BE310" s="717"/>
      <c r="BF310" s="717">
        <f t="shared" si="671"/>
        <v>3911165.2174576242</v>
      </c>
      <c r="BG310" s="1209"/>
      <c r="BH310" s="717">
        <f t="shared" si="672"/>
        <v>3911165.2174576242</v>
      </c>
      <c r="BI310" s="717"/>
      <c r="BJ310" s="717">
        <f t="shared" si="673"/>
        <v>3911165.2174576242</v>
      </c>
      <c r="BK310" s="717"/>
      <c r="BL310" s="717">
        <f t="shared" si="674"/>
        <v>3911165.2174576242</v>
      </c>
      <c r="BM310" s="717"/>
      <c r="BN310" s="717">
        <f t="shared" si="675"/>
        <v>3911165.2174576242</v>
      </c>
      <c r="BO310" s="717"/>
      <c r="BP310" s="717">
        <f t="shared" si="634"/>
        <v>3911165.2174576242</v>
      </c>
      <c r="BQ310" s="717"/>
      <c r="BR310" s="717">
        <f t="shared" si="738"/>
        <v>3911165.2174576242</v>
      </c>
      <c r="BS310" s="717"/>
      <c r="BT310" s="717">
        <f t="shared" si="676"/>
        <v>3911165.2174576242</v>
      </c>
      <c r="BU310" s="717"/>
      <c r="BV310" s="1235">
        <f t="shared" si="739"/>
        <v>51400</v>
      </c>
      <c r="BW310" s="717">
        <f t="shared" si="677"/>
        <v>3962565.2174576242</v>
      </c>
      <c r="BX310" s="717"/>
      <c r="BY310" s="717">
        <f t="shared" si="678"/>
        <v>3962565.2174576242</v>
      </c>
      <c r="BZ310" s="1194">
        <f t="shared" si="679"/>
        <v>3962565.2174576242</v>
      </c>
      <c r="CA310" s="1194">
        <f t="shared" si="680"/>
        <v>3038565.2174576242</v>
      </c>
      <c r="CB310" s="1194">
        <v>42000</v>
      </c>
      <c r="CC310" s="1194">
        <f t="shared" si="681"/>
        <v>924000</v>
      </c>
      <c r="CD310" s="1194">
        <f t="shared" si="682"/>
        <v>110880</v>
      </c>
      <c r="CE310" s="1194">
        <f t="shared" si="683"/>
        <v>1034880</v>
      </c>
      <c r="CF310" s="1200">
        <f t="shared" si="684"/>
        <v>4073445.2174576242</v>
      </c>
      <c r="CG310" s="757">
        <f t="shared" si="685"/>
        <v>4073445.2174576242</v>
      </c>
      <c r="CH310" s="758">
        <f t="shared" si="686"/>
        <v>0</v>
      </c>
      <c r="CI310" s="757">
        <f t="shared" si="635"/>
        <v>417528.13478940644</v>
      </c>
      <c r="CJ310" s="757">
        <f t="shared" si="636"/>
        <v>101836.13043644061</v>
      </c>
      <c r="CK310" s="759">
        <f t="shared" si="747"/>
        <v>4592809.4826834714</v>
      </c>
      <c r="CL310" s="764">
        <f t="shared" si="687"/>
        <v>0.125</v>
      </c>
      <c r="CM310" s="757">
        <f t="shared" si="688"/>
        <v>574101.18533543393</v>
      </c>
      <c r="CN310" s="757">
        <f t="shared" si="730"/>
        <v>30000</v>
      </c>
      <c r="CO310" s="757">
        <f t="shared" si="689"/>
        <v>544101.18533543393</v>
      </c>
      <c r="CP310" s="755">
        <f t="shared" si="690"/>
        <v>30</v>
      </c>
      <c r="CQ310" s="757">
        <f t="shared" si="732"/>
        <v>18136.706177847798</v>
      </c>
      <c r="CR310" s="764">
        <f t="shared" si="691"/>
        <v>0.875</v>
      </c>
      <c r="CS310" s="757">
        <f t="shared" si="692"/>
        <v>4018708.2973480374</v>
      </c>
      <c r="CT310" s="1101">
        <f t="shared" si="693"/>
        <v>31157.002654966735</v>
      </c>
      <c r="CU310" s="1101">
        <f t="shared" si="694"/>
        <v>36121.286299656378</v>
      </c>
      <c r="CV310" s="1101">
        <f t="shared" si="695"/>
        <v>46660.610882834662</v>
      </c>
      <c r="CW310" s="1141">
        <f t="shared" si="637"/>
        <v>79575.240871538525</v>
      </c>
      <c r="CX310" s="1152">
        <f t="shared" si="696"/>
        <v>326452.44851531438</v>
      </c>
      <c r="CY310" s="1152">
        <f t="shared" si="697"/>
        <v>129175.64363633259</v>
      </c>
      <c r="CZ310" s="1152">
        <f t="shared" si="698"/>
        <v>93301.737858744411</v>
      </c>
      <c r="DA310" s="1152">
        <f t="shared" si="699"/>
        <v>71006.917900667817</v>
      </c>
      <c r="DB310" s="1143">
        <f t="shared" si="638"/>
        <v>0.20573552551160534</v>
      </c>
      <c r="DC310" s="1143">
        <f t="shared" si="700"/>
        <v>0.34058179632092511</v>
      </c>
      <c r="DD310" s="1098" t="s">
        <v>232</v>
      </c>
      <c r="DE310" s="1144"/>
      <c r="DF310" s="705"/>
      <c r="DG310" s="765">
        <f t="shared" si="731"/>
        <v>46082</v>
      </c>
      <c r="DH310" s="1116">
        <f t="shared" si="639"/>
        <v>28</v>
      </c>
      <c r="DI310" s="497"/>
      <c r="DJ310" s="1117">
        <f t="shared" si="701"/>
        <v>46147</v>
      </c>
      <c r="DK310" s="1116">
        <f t="shared" si="702"/>
        <v>30</v>
      </c>
      <c r="DL310" s="766" t="s">
        <v>233</v>
      </c>
      <c r="DM310" s="766" t="s">
        <v>234</v>
      </c>
      <c r="DN310" s="767">
        <f t="shared" si="640"/>
        <v>31421.425714499725</v>
      </c>
      <c r="DO310" s="767">
        <f t="shared" si="641"/>
        <v>691271.36571899394</v>
      </c>
      <c r="DP310" s="768">
        <f t="shared" si="642"/>
        <v>0.23042378857299797</v>
      </c>
      <c r="DR310" s="767">
        <f t="shared" si="643"/>
        <v>4073445.2174576242</v>
      </c>
      <c r="DS310" s="767">
        <f>SUM('[6]INTERNAL PRICELIST'!M310)</f>
        <v>0</v>
      </c>
      <c r="DT310" s="767">
        <f t="shared" si="703"/>
        <v>4073445.2174576242</v>
      </c>
      <c r="DV310" s="951">
        <f t="shared" si="644"/>
        <v>185156.60079352837</v>
      </c>
      <c r="DX310" s="781"/>
      <c r="DY310" s="782"/>
      <c r="DZ310" s="781"/>
      <c r="EA310" s="775"/>
      <c r="ED310" s="1133" t="s">
        <v>771</v>
      </c>
      <c r="EE310" s="777" t="b">
        <f t="shared" si="645"/>
        <v>1</v>
      </c>
      <c r="EF310" s="777"/>
      <c r="EG310" s="777"/>
      <c r="EH310" s="1203"/>
      <c r="EP310" s="1230" t="s">
        <v>236</v>
      </c>
      <c r="EQ310" s="1145" t="s">
        <v>236</v>
      </c>
      <c r="ER310" s="753" t="b">
        <f t="shared" si="704"/>
        <v>1</v>
      </c>
      <c r="EU310" s="770">
        <v>3311416.1978750587</v>
      </c>
      <c r="EV310" s="771" t="s">
        <v>258</v>
      </c>
      <c r="EW310" s="775">
        <f>EU310-CG310</f>
        <v>-762029.01958256541</v>
      </c>
      <c r="EY310" s="775">
        <v>3276450.2940775836</v>
      </c>
      <c r="FJ310" s="994">
        <v>0.15</v>
      </c>
      <c r="FK310" s="993">
        <v>14267.311465728801</v>
      </c>
      <c r="FL310" s="993">
        <v>14652.914478316066</v>
      </c>
      <c r="FM310" s="497"/>
      <c r="FN310" s="993">
        <f t="shared" si="646"/>
        <v>4592809.4826834714</v>
      </c>
      <c r="FO310" s="994">
        <f t="shared" si="737"/>
        <v>0.15</v>
      </c>
      <c r="FP310" s="775">
        <f t="shared" si="647"/>
        <v>688921.42240252066</v>
      </c>
      <c r="FQ310" s="993">
        <f t="shared" si="648"/>
        <v>30000</v>
      </c>
      <c r="FR310" s="775">
        <f t="shared" si="706"/>
        <v>658921.42240252066</v>
      </c>
      <c r="FS310" s="497">
        <f t="shared" si="707"/>
        <v>40</v>
      </c>
      <c r="FT310" s="775">
        <f t="shared" si="708"/>
        <v>16473.035560063017</v>
      </c>
      <c r="FU310" s="497"/>
      <c r="FV310" s="993">
        <f t="shared" si="709"/>
        <v>4592809.4826834714</v>
      </c>
      <c r="FW310" s="705">
        <f t="shared" si="710"/>
        <v>459280.94826834719</v>
      </c>
      <c r="FX310" s="705">
        <f t="shared" si="711"/>
        <v>114820.2370670868</v>
      </c>
      <c r="FY310" s="705">
        <v>15000</v>
      </c>
      <c r="FZ310" s="705">
        <f t="shared" si="712"/>
        <v>444280.94826834719</v>
      </c>
      <c r="GA310" s="497">
        <f t="shared" si="713"/>
        <v>46</v>
      </c>
      <c r="GB310" s="775">
        <f t="shared" si="714"/>
        <v>9658.2814840945048</v>
      </c>
      <c r="GC310" s="497"/>
      <c r="GD310" s="497"/>
      <c r="GH310" s="1095">
        <f t="shared" si="613"/>
        <v>4592809.4826834714</v>
      </c>
      <c r="GI310" s="1098">
        <f t="shared" si="614"/>
        <v>0.125</v>
      </c>
      <c r="GJ310" s="1095">
        <f t="shared" si="615"/>
        <v>574101.18533543393</v>
      </c>
      <c r="GK310" s="1095">
        <f t="shared" si="616"/>
        <v>30000</v>
      </c>
      <c r="GL310" s="1095">
        <f t="shared" si="617"/>
        <v>544101.18533543393</v>
      </c>
      <c r="GM310" s="1095">
        <f t="shared" si="618"/>
        <v>30</v>
      </c>
      <c r="GN310" s="1095">
        <f t="shared" si="619"/>
        <v>18136.706177847798</v>
      </c>
      <c r="GO310" s="1098">
        <f t="shared" si="620"/>
        <v>0.875</v>
      </c>
      <c r="GP310" s="1095">
        <f t="shared" si="621"/>
        <v>4018708.2973480374</v>
      </c>
      <c r="GQ310" s="1095">
        <f t="shared" si="622"/>
        <v>31157.002654966735</v>
      </c>
      <c r="GR310" s="1095">
        <f t="shared" si="623"/>
        <v>36121.286299656378</v>
      </c>
      <c r="GS310" s="1095">
        <f t="shared" si="624"/>
        <v>46660.610882834662</v>
      </c>
      <c r="GT310" s="1095">
        <f t="shared" si="625"/>
        <v>79575.240871538525</v>
      </c>
      <c r="GU310" s="497"/>
      <c r="GV310" s="1095">
        <f t="shared" si="715"/>
        <v>4592809.4826834714</v>
      </c>
      <c r="GW310" s="1098">
        <f t="shared" si="716"/>
        <v>0.125</v>
      </c>
      <c r="GX310" s="1095">
        <f t="shared" si="717"/>
        <v>574101.18533543393</v>
      </c>
      <c r="GY310" s="1095">
        <f t="shared" si="718"/>
        <v>30000</v>
      </c>
      <c r="GZ310" s="1095">
        <f t="shared" si="719"/>
        <v>544101.18533543393</v>
      </c>
      <c r="HA310" s="1106">
        <f t="shared" si="720"/>
        <v>48</v>
      </c>
      <c r="HB310" s="770">
        <f t="shared" si="721"/>
        <v>11335.441361154873</v>
      </c>
      <c r="HC310" s="1098">
        <f t="shared" si="722"/>
        <v>0.875</v>
      </c>
      <c r="HD310" s="1102">
        <f t="shared" si="723"/>
        <v>4018708.2973480374</v>
      </c>
      <c r="HE310" s="1101">
        <f t="shared" si="724"/>
        <v>31157.002654966735</v>
      </c>
      <c r="HF310" s="1101">
        <f t="shared" si="725"/>
        <v>36121.286299656378</v>
      </c>
      <c r="HG310" s="1101">
        <f t="shared" si="726"/>
        <v>46660.610882834662</v>
      </c>
      <c r="HH310" s="1101">
        <f t="shared" si="727"/>
        <v>79575.240871538525</v>
      </c>
      <c r="HI310" s="497"/>
      <c r="HJ310" s="1102">
        <f t="shared" si="728"/>
        <v>-6801.2648166929248</v>
      </c>
      <c r="HL310" s="775"/>
      <c r="HN310" s="775"/>
      <c r="HO310" s="775"/>
      <c r="HQ310" s="702"/>
      <c r="HR310" s="1171"/>
      <c r="HS310" s="702"/>
      <c r="HT310" s="1171"/>
    </row>
    <row r="311" spans="1:228" ht="14.25" hidden="1" customHeight="1">
      <c r="A311" s="753">
        <f t="shared" si="729"/>
        <v>305</v>
      </c>
      <c r="B311" s="753"/>
      <c r="C311" s="753">
        <f t="shared" si="745"/>
        <v>26</v>
      </c>
      <c r="D311" s="753" t="s">
        <v>287</v>
      </c>
      <c r="E311" s="717" t="str">
        <f t="shared" si="649"/>
        <v>12th Floor</v>
      </c>
      <c r="F311" s="754"/>
      <c r="G311" s="756" t="s">
        <v>772</v>
      </c>
      <c r="H311" s="756"/>
      <c r="I311" s="755" t="s">
        <v>229</v>
      </c>
      <c r="J311" s="757">
        <v>22</v>
      </c>
      <c r="K311" s="758"/>
      <c r="L311" s="759" t="s">
        <v>277</v>
      </c>
      <c r="M311" s="760" t="s">
        <v>230</v>
      </c>
      <c r="N311" s="761">
        <f t="shared" si="650"/>
        <v>106005.26567735759</v>
      </c>
      <c r="O311" s="762">
        <f t="shared" si="651"/>
        <v>2332115.8449018667</v>
      </c>
      <c r="P311" s="762">
        <f t="shared" si="652"/>
        <v>22400</v>
      </c>
      <c r="Q311" s="762">
        <f t="shared" si="626"/>
        <v>50000</v>
      </c>
      <c r="R311" s="762"/>
      <c r="S311" s="762"/>
      <c r="T311" s="762"/>
      <c r="U311" s="762"/>
      <c r="V311" s="762">
        <f t="shared" si="763"/>
        <v>55000</v>
      </c>
      <c r="W311" s="762"/>
      <c r="X311" s="762"/>
      <c r="Y311" s="762">
        <f t="shared" si="746"/>
        <v>160000</v>
      </c>
      <c r="Z311" s="762">
        <f t="shared" si="627"/>
        <v>142461</v>
      </c>
      <c r="AA311" s="762"/>
      <c r="AB311" s="762"/>
      <c r="AC311" s="762"/>
      <c r="AD311" s="763">
        <f t="shared" si="653"/>
        <v>429861</v>
      </c>
      <c r="AE311" s="763">
        <f t="shared" si="628"/>
        <v>2761976.8449018667</v>
      </c>
      <c r="AF311" s="762">
        <f t="shared" si="629"/>
        <v>69049.421122546672</v>
      </c>
      <c r="AG311" s="762">
        <f t="shared" si="654"/>
        <v>2831026.2660244135</v>
      </c>
      <c r="AH311" s="762">
        <f t="shared" si="630"/>
        <v>70775.656650610341</v>
      </c>
      <c r="AI311" s="762">
        <f t="shared" si="655"/>
        <v>2901801.9226750238</v>
      </c>
      <c r="AJ311" s="762">
        <f t="shared" si="656"/>
        <v>145090.09613375118</v>
      </c>
      <c r="AK311" s="762">
        <f t="shared" si="657"/>
        <v>3046892.0188087751</v>
      </c>
      <c r="AL311" s="762">
        <f t="shared" si="658"/>
        <v>30468.920188087752</v>
      </c>
      <c r="AM311" s="762">
        <f t="shared" si="659"/>
        <v>27537.409960060559</v>
      </c>
      <c r="AN311" s="762"/>
      <c r="AO311" s="763">
        <f t="shared" si="660"/>
        <v>3104898.3489569235</v>
      </c>
      <c r="AP311" s="763">
        <f t="shared" si="661"/>
        <v>512308.22757789242</v>
      </c>
      <c r="AQ311" s="763">
        <f t="shared" si="662"/>
        <v>3617206.5765348161</v>
      </c>
      <c r="AR311" s="1178">
        <f t="shared" si="631"/>
        <v>3000000</v>
      </c>
      <c r="AS311" s="1178">
        <f t="shared" si="663"/>
        <v>28054.844387946185</v>
      </c>
      <c r="AT311" s="1178">
        <f t="shared" si="664"/>
        <v>617206.57653481606</v>
      </c>
      <c r="AU311" s="1178">
        <f t="shared" si="632"/>
        <v>74064.78918417792</v>
      </c>
      <c r="AV311" s="1178">
        <f t="shared" si="665"/>
        <v>691271.36571899394</v>
      </c>
      <c r="AW311" s="1178">
        <f t="shared" si="666"/>
        <v>3691271.3657189938</v>
      </c>
      <c r="AX311" s="762">
        <f t="shared" si="667"/>
        <v>46140.892071487426</v>
      </c>
      <c r="AY311" s="717" t="s">
        <v>231</v>
      </c>
      <c r="AZ311" s="717">
        <f t="shared" si="668"/>
        <v>3737412.2577904812</v>
      </c>
      <c r="BA311" s="717">
        <f t="shared" si="669"/>
        <v>140152.95966714303</v>
      </c>
      <c r="BB311" s="717"/>
      <c r="BC311" s="717">
        <f t="shared" si="633"/>
        <v>33600</v>
      </c>
      <c r="BD311" s="717">
        <f t="shared" si="670"/>
        <v>3911165.2174576242</v>
      </c>
      <c r="BE311" s="717"/>
      <c r="BF311" s="717">
        <f t="shared" si="671"/>
        <v>3911165.2174576242</v>
      </c>
      <c r="BG311" s="1209"/>
      <c r="BH311" s="717">
        <f t="shared" si="672"/>
        <v>3911165.2174576242</v>
      </c>
      <c r="BI311" s="717"/>
      <c r="BJ311" s="717">
        <f t="shared" si="673"/>
        <v>3911165.2174576242</v>
      </c>
      <c r="BK311" s="717"/>
      <c r="BL311" s="717">
        <f t="shared" si="674"/>
        <v>3911165.2174576242</v>
      </c>
      <c r="BM311" s="717"/>
      <c r="BN311" s="717">
        <f t="shared" si="675"/>
        <v>3911165.2174576242</v>
      </c>
      <c r="BO311" s="717"/>
      <c r="BP311" s="717">
        <f t="shared" si="634"/>
        <v>3911165.2174576242</v>
      </c>
      <c r="BQ311" s="717"/>
      <c r="BR311" s="717">
        <f t="shared" si="738"/>
        <v>3911165.2174576242</v>
      </c>
      <c r="BS311" s="717"/>
      <c r="BT311" s="717">
        <f t="shared" si="676"/>
        <v>3911165.2174576242</v>
      </c>
      <c r="BU311" s="717"/>
      <c r="BV311" s="1235">
        <f t="shared" si="739"/>
        <v>51400</v>
      </c>
      <c r="BW311" s="717">
        <f t="shared" si="677"/>
        <v>3962565.2174576242</v>
      </c>
      <c r="BX311" s="717"/>
      <c r="BY311" s="717">
        <f t="shared" si="678"/>
        <v>3962565.2174576242</v>
      </c>
      <c r="BZ311" s="1194">
        <f t="shared" si="679"/>
        <v>3962565.2174576242</v>
      </c>
      <c r="CA311" s="1194">
        <f t="shared" si="680"/>
        <v>3038565.2174576242</v>
      </c>
      <c r="CB311" s="1194">
        <v>42000</v>
      </c>
      <c r="CC311" s="1194">
        <f t="shared" si="681"/>
        <v>924000</v>
      </c>
      <c r="CD311" s="1194">
        <f t="shared" si="682"/>
        <v>110880</v>
      </c>
      <c r="CE311" s="1194">
        <f t="shared" si="683"/>
        <v>1034880</v>
      </c>
      <c r="CF311" s="1200">
        <f t="shared" si="684"/>
        <v>4073445.2174576242</v>
      </c>
      <c r="CG311" s="757">
        <f t="shared" si="685"/>
        <v>4073445.2174576242</v>
      </c>
      <c r="CH311" s="758">
        <f t="shared" si="686"/>
        <v>0</v>
      </c>
      <c r="CI311" s="757">
        <f t="shared" si="635"/>
        <v>417528.13478940644</v>
      </c>
      <c r="CJ311" s="757">
        <f t="shared" si="636"/>
        <v>101836.13043644061</v>
      </c>
      <c r="CK311" s="759">
        <f t="shared" si="747"/>
        <v>4592809.4826834714</v>
      </c>
      <c r="CL311" s="764">
        <f t="shared" si="687"/>
        <v>0.125</v>
      </c>
      <c r="CM311" s="757">
        <f t="shared" si="688"/>
        <v>574101.18533543393</v>
      </c>
      <c r="CN311" s="757">
        <f t="shared" si="730"/>
        <v>30000</v>
      </c>
      <c r="CO311" s="757">
        <f t="shared" si="689"/>
        <v>544101.18533543393</v>
      </c>
      <c r="CP311" s="755">
        <f t="shared" si="690"/>
        <v>30</v>
      </c>
      <c r="CQ311" s="757">
        <f t="shared" si="732"/>
        <v>18136.706177847798</v>
      </c>
      <c r="CR311" s="764">
        <f t="shared" si="691"/>
        <v>0.875</v>
      </c>
      <c r="CS311" s="757">
        <f t="shared" si="692"/>
        <v>4018708.2973480374</v>
      </c>
      <c r="CT311" s="1101">
        <f t="shared" si="693"/>
        <v>31157.002654966735</v>
      </c>
      <c r="CU311" s="1101">
        <f t="shared" si="694"/>
        <v>36121.286299656378</v>
      </c>
      <c r="CV311" s="1101">
        <f t="shared" si="695"/>
        <v>46660.610882834662</v>
      </c>
      <c r="CW311" s="1141">
        <f t="shared" si="637"/>
        <v>79575.240871538525</v>
      </c>
      <c r="CX311" s="1152">
        <f t="shared" si="696"/>
        <v>326452.44851531438</v>
      </c>
      <c r="CY311" s="1152">
        <f t="shared" si="697"/>
        <v>129175.64363633259</v>
      </c>
      <c r="CZ311" s="1152">
        <f t="shared" si="698"/>
        <v>93301.737858744411</v>
      </c>
      <c r="DA311" s="1152">
        <f t="shared" si="699"/>
        <v>71006.917900667817</v>
      </c>
      <c r="DB311" s="1143">
        <f t="shared" si="638"/>
        <v>0.20573552551160534</v>
      </c>
      <c r="DC311" s="1143">
        <f t="shared" si="700"/>
        <v>0.34058179632092511</v>
      </c>
      <c r="DD311" s="1098" t="s">
        <v>232</v>
      </c>
      <c r="DE311" s="1144"/>
      <c r="DF311" s="705"/>
      <c r="DG311" s="765">
        <f t="shared" si="731"/>
        <v>46082</v>
      </c>
      <c r="DH311" s="1116">
        <f t="shared" si="639"/>
        <v>28</v>
      </c>
      <c r="DI311" s="497"/>
      <c r="DJ311" s="1117">
        <f t="shared" si="701"/>
        <v>46147</v>
      </c>
      <c r="DK311" s="1116">
        <f t="shared" si="702"/>
        <v>30</v>
      </c>
      <c r="DL311" s="766" t="s">
        <v>233</v>
      </c>
      <c r="DM311" s="766" t="s">
        <v>234</v>
      </c>
      <c r="DN311" s="767">
        <f t="shared" si="640"/>
        <v>31421.425714499725</v>
      </c>
      <c r="DO311" s="767">
        <f t="shared" si="641"/>
        <v>691271.36571899394</v>
      </c>
      <c r="DP311" s="768">
        <f t="shared" si="642"/>
        <v>0.23042378857299797</v>
      </c>
      <c r="DR311" s="767">
        <f t="shared" si="643"/>
        <v>4073445.2174576242</v>
      </c>
      <c r="DS311" s="767">
        <f>SUM('[6]INTERNAL PRICELIST'!M311)</f>
        <v>0</v>
      </c>
      <c r="DT311" s="767">
        <f t="shared" si="703"/>
        <v>4073445.2174576242</v>
      </c>
      <c r="DV311" s="951">
        <f t="shared" si="644"/>
        <v>185156.60079352837</v>
      </c>
      <c r="DX311" s="781"/>
      <c r="DY311" s="782"/>
      <c r="DZ311" s="781"/>
      <c r="EA311" s="775"/>
      <c r="ED311" s="1133" t="s">
        <v>772</v>
      </c>
      <c r="EE311" s="777" t="b">
        <f t="shared" si="645"/>
        <v>1</v>
      </c>
      <c r="EF311" s="777"/>
      <c r="EG311" s="777"/>
      <c r="EH311" s="1203"/>
      <c r="EP311" s="1230" t="s">
        <v>236</v>
      </c>
      <c r="EQ311" s="1145" t="s">
        <v>236</v>
      </c>
      <c r="ER311" s="753" t="b">
        <f t="shared" si="704"/>
        <v>1</v>
      </c>
      <c r="EU311" s="770">
        <v>3311416.1978750587</v>
      </c>
      <c r="EV311" s="771" t="s">
        <v>258</v>
      </c>
      <c r="EW311" s="775">
        <f>EU311-CG311</f>
        <v>-762029.01958256541</v>
      </c>
      <c r="EY311" s="775">
        <v>3276450.2940775836</v>
      </c>
      <c r="FJ311" s="994">
        <v>0.15</v>
      </c>
      <c r="FK311" s="993">
        <v>14267.311465728801</v>
      </c>
      <c r="FL311" s="993">
        <v>14652.914478316066</v>
      </c>
      <c r="FM311" s="497"/>
      <c r="FN311" s="993">
        <f t="shared" si="646"/>
        <v>4592809.4826834714</v>
      </c>
      <c r="FO311" s="994">
        <f t="shared" ref="FO311:FO312" si="764">FJ311</f>
        <v>0.15</v>
      </c>
      <c r="FP311" s="775">
        <f t="shared" si="647"/>
        <v>688921.42240252066</v>
      </c>
      <c r="FQ311" s="993">
        <f t="shared" si="648"/>
        <v>30000</v>
      </c>
      <c r="FR311" s="775">
        <f t="shared" si="706"/>
        <v>658921.42240252066</v>
      </c>
      <c r="FS311" s="497">
        <f t="shared" si="707"/>
        <v>40</v>
      </c>
      <c r="FT311" s="775">
        <f t="shared" si="708"/>
        <v>16473.035560063017</v>
      </c>
      <c r="FU311" s="497"/>
      <c r="FV311" s="993">
        <f t="shared" si="709"/>
        <v>4592809.4826834714</v>
      </c>
      <c r="FW311" s="705">
        <f t="shared" si="710"/>
        <v>459280.94826834719</v>
      </c>
      <c r="FX311" s="705">
        <f t="shared" si="711"/>
        <v>114820.2370670868</v>
      </c>
      <c r="FY311" s="705">
        <v>15000</v>
      </c>
      <c r="FZ311" s="705">
        <f t="shared" si="712"/>
        <v>444280.94826834719</v>
      </c>
      <c r="GA311" s="497">
        <f t="shared" si="713"/>
        <v>46</v>
      </c>
      <c r="GB311" s="775">
        <f t="shared" si="714"/>
        <v>9658.2814840945048</v>
      </c>
      <c r="GC311" s="497"/>
      <c r="GD311" s="497"/>
      <c r="GH311" s="1095">
        <f t="shared" si="613"/>
        <v>4592809.4826834714</v>
      </c>
      <c r="GI311" s="1098">
        <f t="shared" si="614"/>
        <v>0.125</v>
      </c>
      <c r="GJ311" s="1095">
        <f t="shared" si="615"/>
        <v>574101.18533543393</v>
      </c>
      <c r="GK311" s="1095">
        <f t="shared" si="616"/>
        <v>30000</v>
      </c>
      <c r="GL311" s="1095">
        <f t="shared" si="617"/>
        <v>544101.18533543393</v>
      </c>
      <c r="GM311" s="1095">
        <f t="shared" si="618"/>
        <v>30</v>
      </c>
      <c r="GN311" s="1095">
        <f t="shared" si="619"/>
        <v>18136.706177847798</v>
      </c>
      <c r="GO311" s="1098">
        <f t="shared" si="620"/>
        <v>0.875</v>
      </c>
      <c r="GP311" s="1095">
        <f t="shared" si="621"/>
        <v>4018708.2973480374</v>
      </c>
      <c r="GQ311" s="1095">
        <f t="shared" si="622"/>
        <v>31157.002654966735</v>
      </c>
      <c r="GR311" s="1095">
        <f t="shared" si="623"/>
        <v>36121.286299656378</v>
      </c>
      <c r="GS311" s="1095">
        <f t="shared" si="624"/>
        <v>46660.610882834662</v>
      </c>
      <c r="GT311" s="1095">
        <f t="shared" si="625"/>
        <v>79575.240871538525</v>
      </c>
      <c r="GU311" s="497"/>
      <c r="GV311" s="1095">
        <f t="shared" si="715"/>
        <v>4592809.4826834714</v>
      </c>
      <c r="GW311" s="1098">
        <f t="shared" si="716"/>
        <v>0.125</v>
      </c>
      <c r="GX311" s="1095">
        <f t="shared" si="717"/>
        <v>574101.18533543393</v>
      </c>
      <c r="GY311" s="1095">
        <f t="shared" si="718"/>
        <v>30000</v>
      </c>
      <c r="GZ311" s="1095">
        <f t="shared" si="719"/>
        <v>544101.18533543393</v>
      </c>
      <c r="HA311" s="1106">
        <f t="shared" si="720"/>
        <v>48</v>
      </c>
      <c r="HB311" s="770">
        <f t="shared" si="721"/>
        <v>11335.441361154873</v>
      </c>
      <c r="HC311" s="1098">
        <f t="shared" si="722"/>
        <v>0.875</v>
      </c>
      <c r="HD311" s="1102">
        <f t="shared" si="723"/>
        <v>4018708.2973480374</v>
      </c>
      <c r="HE311" s="1101">
        <f t="shared" si="724"/>
        <v>31157.002654966735</v>
      </c>
      <c r="HF311" s="1101">
        <f t="shared" si="725"/>
        <v>36121.286299656378</v>
      </c>
      <c r="HG311" s="1101">
        <f t="shared" si="726"/>
        <v>46660.610882834662</v>
      </c>
      <c r="HH311" s="1101">
        <f t="shared" si="727"/>
        <v>79575.240871538525</v>
      </c>
      <c r="HI311" s="497"/>
      <c r="HJ311" s="1102">
        <f t="shared" si="728"/>
        <v>-6801.2648166929248</v>
      </c>
      <c r="HL311" s="775"/>
      <c r="HN311" s="775"/>
      <c r="HO311" s="775"/>
      <c r="HQ311" s="702"/>
      <c r="HR311" s="1171"/>
      <c r="HS311" s="702"/>
      <c r="HT311" s="1171"/>
    </row>
    <row r="312" spans="1:228" ht="14.25" hidden="1" customHeight="1">
      <c r="A312" s="753">
        <f t="shared" si="729"/>
        <v>306</v>
      </c>
      <c r="B312" s="753"/>
      <c r="C312" s="753">
        <f t="shared" si="745"/>
        <v>27</v>
      </c>
      <c r="D312" s="753" t="s">
        <v>287</v>
      </c>
      <c r="E312" s="717" t="str">
        <f t="shared" si="649"/>
        <v>12th Floor</v>
      </c>
      <c r="F312" s="754"/>
      <c r="G312" s="756" t="s">
        <v>773</v>
      </c>
      <c r="H312" s="756"/>
      <c r="I312" s="755" t="s">
        <v>229</v>
      </c>
      <c r="J312" s="757">
        <v>22</v>
      </c>
      <c r="K312" s="758"/>
      <c r="L312" s="759" t="s">
        <v>277</v>
      </c>
      <c r="M312" s="760" t="s">
        <v>278</v>
      </c>
      <c r="N312" s="761">
        <f t="shared" si="650"/>
        <v>106005.26567735759</v>
      </c>
      <c r="O312" s="762">
        <f t="shared" si="651"/>
        <v>2332115.8449018667</v>
      </c>
      <c r="P312" s="762">
        <f t="shared" si="652"/>
        <v>22400</v>
      </c>
      <c r="Q312" s="762">
        <f t="shared" si="626"/>
        <v>50000</v>
      </c>
      <c r="R312" s="762"/>
      <c r="S312" s="762"/>
      <c r="T312" s="762"/>
      <c r="U312" s="762"/>
      <c r="V312" s="762"/>
      <c r="W312" s="762">
        <f t="shared" ref="W312:W313" si="765">J312*$W$5</f>
        <v>22000</v>
      </c>
      <c r="X312" s="762"/>
      <c r="Y312" s="762">
        <f t="shared" si="746"/>
        <v>160000</v>
      </c>
      <c r="Z312" s="762">
        <f t="shared" si="627"/>
        <v>142461</v>
      </c>
      <c r="AA312" s="762"/>
      <c r="AB312" s="762"/>
      <c r="AC312" s="762"/>
      <c r="AD312" s="763">
        <f t="shared" si="653"/>
        <v>396861</v>
      </c>
      <c r="AE312" s="763">
        <f t="shared" si="628"/>
        <v>2728976.8449018667</v>
      </c>
      <c r="AF312" s="762">
        <f t="shared" si="629"/>
        <v>68224.421122546672</v>
      </c>
      <c r="AG312" s="762">
        <f t="shared" si="654"/>
        <v>2797201.2660244135</v>
      </c>
      <c r="AH312" s="762">
        <f t="shared" si="630"/>
        <v>69930.031650610341</v>
      </c>
      <c r="AI312" s="762">
        <f t="shared" si="655"/>
        <v>2867131.2976750238</v>
      </c>
      <c r="AJ312" s="762">
        <f t="shared" si="656"/>
        <v>143356.56488375118</v>
      </c>
      <c r="AK312" s="762">
        <f t="shared" si="657"/>
        <v>3010487.8625587751</v>
      </c>
      <c r="AL312" s="762">
        <f t="shared" si="658"/>
        <v>30104.878625587753</v>
      </c>
      <c r="AM312" s="762">
        <f t="shared" si="659"/>
        <v>27537.409960060559</v>
      </c>
      <c r="AN312" s="762"/>
      <c r="AO312" s="763">
        <f t="shared" si="660"/>
        <v>3068130.1511444231</v>
      </c>
      <c r="AP312" s="763">
        <f t="shared" si="661"/>
        <v>506241.47493882984</v>
      </c>
      <c r="AQ312" s="763">
        <f t="shared" si="662"/>
        <v>3574371.626083253</v>
      </c>
      <c r="AR312" s="1178">
        <f t="shared" si="631"/>
        <v>3000000</v>
      </c>
      <c r="AS312" s="1178">
        <f t="shared" si="663"/>
        <v>26107.801185602406</v>
      </c>
      <c r="AT312" s="1178">
        <f t="shared" si="664"/>
        <v>574371.62608325295</v>
      </c>
      <c r="AU312" s="1178">
        <f t="shared" si="632"/>
        <v>68924.595129990354</v>
      </c>
      <c r="AV312" s="1178">
        <f t="shared" si="665"/>
        <v>643296.22121324332</v>
      </c>
      <c r="AW312" s="1178">
        <f t="shared" si="666"/>
        <v>3643296.2212132434</v>
      </c>
      <c r="AX312" s="762">
        <f t="shared" si="667"/>
        <v>45541.202765165544</v>
      </c>
      <c r="AY312" s="717" t="s">
        <v>231</v>
      </c>
      <c r="AZ312" s="717">
        <f t="shared" si="668"/>
        <v>3688837.4239784088</v>
      </c>
      <c r="BA312" s="717">
        <f t="shared" si="669"/>
        <v>138331.40339919031</v>
      </c>
      <c r="BB312" s="717"/>
      <c r="BC312" s="717">
        <f t="shared" si="633"/>
        <v>33600</v>
      </c>
      <c r="BD312" s="717">
        <f t="shared" si="670"/>
        <v>3860768.8273775992</v>
      </c>
      <c r="BE312" s="717"/>
      <c r="BF312" s="717">
        <f t="shared" si="671"/>
        <v>3860768.8273775992</v>
      </c>
      <c r="BG312" s="1209"/>
      <c r="BH312" s="717">
        <f t="shared" si="672"/>
        <v>3860768.8273775992</v>
      </c>
      <c r="BI312" s="717"/>
      <c r="BJ312" s="717">
        <f t="shared" si="673"/>
        <v>3860768.8273775992</v>
      </c>
      <c r="BK312" s="717"/>
      <c r="BL312" s="717">
        <f t="shared" si="674"/>
        <v>3860768.8273775992</v>
      </c>
      <c r="BM312" s="717"/>
      <c r="BN312" s="717">
        <f t="shared" si="675"/>
        <v>3860768.8273775992</v>
      </c>
      <c r="BO312" s="717"/>
      <c r="BP312" s="717">
        <f t="shared" si="634"/>
        <v>3860768.8273775992</v>
      </c>
      <c r="BQ312" s="717"/>
      <c r="BR312" s="717">
        <f t="shared" si="738"/>
        <v>3860768.8273775992</v>
      </c>
      <c r="BS312" s="717"/>
      <c r="BT312" s="717">
        <f t="shared" si="676"/>
        <v>3860768.8273775992</v>
      </c>
      <c r="BU312" s="717"/>
      <c r="BV312" s="1235">
        <f t="shared" si="739"/>
        <v>51400</v>
      </c>
      <c r="BW312" s="717">
        <f t="shared" si="677"/>
        <v>3912168.8273775992</v>
      </c>
      <c r="BX312" s="717"/>
      <c r="BY312" s="717">
        <f t="shared" si="678"/>
        <v>3912168.8273775992</v>
      </c>
      <c r="BZ312" s="1194">
        <f t="shared" si="679"/>
        <v>3912168.8273775992</v>
      </c>
      <c r="CA312" s="1194">
        <f t="shared" si="680"/>
        <v>3032168.8273775992</v>
      </c>
      <c r="CB312" s="1194">
        <v>40000</v>
      </c>
      <c r="CC312" s="1194">
        <f t="shared" si="681"/>
        <v>880000</v>
      </c>
      <c r="CD312" s="1194">
        <f t="shared" si="682"/>
        <v>105600</v>
      </c>
      <c r="CE312" s="1194">
        <f t="shared" si="683"/>
        <v>985600</v>
      </c>
      <c r="CF312" s="1200">
        <f t="shared" si="684"/>
        <v>4017768.8273775992</v>
      </c>
      <c r="CG312" s="757">
        <f t="shared" si="685"/>
        <v>4017768.8273775992</v>
      </c>
      <c r="CH312" s="758">
        <f t="shared" si="686"/>
        <v>0</v>
      </c>
      <c r="CI312" s="757">
        <f t="shared" si="635"/>
        <v>411821.30480620387</v>
      </c>
      <c r="CJ312" s="757">
        <f t="shared" si="636"/>
        <v>100444.22068443999</v>
      </c>
      <c r="CK312" s="759">
        <f t="shared" si="747"/>
        <v>4530034.3528682431</v>
      </c>
      <c r="CL312" s="764">
        <f t="shared" si="687"/>
        <v>0.125</v>
      </c>
      <c r="CM312" s="757">
        <f t="shared" si="688"/>
        <v>566254.29410853039</v>
      </c>
      <c r="CN312" s="757">
        <f t="shared" si="730"/>
        <v>30000</v>
      </c>
      <c r="CO312" s="757">
        <f t="shared" si="689"/>
        <v>536254.29410853039</v>
      </c>
      <c r="CP312" s="755">
        <f t="shared" si="690"/>
        <v>30</v>
      </c>
      <c r="CQ312" s="757">
        <f t="shared" si="732"/>
        <v>17875.143136951014</v>
      </c>
      <c r="CR312" s="764">
        <f t="shared" si="691"/>
        <v>0.875</v>
      </c>
      <c r="CS312" s="757">
        <f t="shared" si="692"/>
        <v>3963780.0587597126</v>
      </c>
      <c r="CT312" s="1101">
        <f t="shared" si="693"/>
        <v>30731.144605837257</v>
      </c>
      <c r="CU312" s="1101">
        <f t="shared" si="694"/>
        <v>35627.575762543238</v>
      </c>
      <c r="CV312" s="1101">
        <f t="shared" si="695"/>
        <v>46022.84745796986</v>
      </c>
      <c r="CW312" s="1141">
        <f t="shared" si="637"/>
        <v>78487.595913779413</v>
      </c>
      <c r="CX312" s="1152">
        <f t="shared" si="696"/>
        <v>321990.45310459367</v>
      </c>
      <c r="CY312" s="1152">
        <f t="shared" si="697"/>
        <v>127410.05378793798</v>
      </c>
      <c r="CZ312" s="1152">
        <f t="shared" si="698"/>
        <v>92026.477317641591</v>
      </c>
      <c r="DA312" s="1152">
        <f t="shared" si="699"/>
        <v>70036.385918925502</v>
      </c>
      <c r="DB312" s="1143">
        <f t="shared" si="638"/>
        <v>0.19145720869441765</v>
      </c>
      <c r="DC312" s="1143">
        <f t="shared" si="700"/>
        <v>0.32504786379339101</v>
      </c>
      <c r="DD312" s="1098" t="s">
        <v>232</v>
      </c>
      <c r="DE312" s="1144"/>
      <c r="DF312" s="705"/>
      <c r="DG312" s="765">
        <f t="shared" si="731"/>
        <v>46082</v>
      </c>
      <c r="DH312" s="1116">
        <f t="shared" si="639"/>
        <v>28</v>
      </c>
      <c r="DI312" s="497"/>
      <c r="DJ312" s="1117">
        <f t="shared" si="701"/>
        <v>46147</v>
      </c>
      <c r="DK312" s="1116">
        <f t="shared" si="702"/>
        <v>30</v>
      </c>
      <c r="DL312" s="766" t="s">
        <v>233</v>
      </c>
      <c r="DM312" s="766" t="s">
        <v>234</v>
      </c>
      <c r="DN312" s="767">
        <f t="shared" si="640"/>
        <v>29240.737327874696</v>
      </c>
      <c r="DO312" s="767">
        <f t="shared" si="641"/>
        <v>643296.22121324332</v>
      </c>
      <c r="DP312" s="768">
        <f t="shared" si="642"/>
        <v>0.21443207373774778</v>
      </c>
      <c r="DR312" s="767">
        <f t="shared" si="643"/>
        <v>4017768.8273775992</v>
      </c>
      <c r="DS312" s="767">
        <f>SUM('[6]INTERNAL PRICELIST'!M312)</f>
        <v>0</v>
      </c>
      <c r="DT312" s="767">
        <f t="shared" si="703"/>
        <v>4017768.8273775992</v>
      </c>
      <c r="DV312" s="951">
        <f t="shared" si="644"/>
        <v>182625.85578989086</v>
      </c>
      <c r="DX312" s="781"/>
      <c r="DY312" s="782"/>
      <c r="DZ312" s="781"/>
      <c r="EA312" s="775"/>
      <c r="ED312" s="755" t="s">
        <v>773</v>
      </c>
      <c r="EE312" s="777" t="b">
        <f t="shared" si="645"/>
        <v>1</v>
      </c>
      <c r="EF312" s="777"/>
      <c r="EG312" s="777"/>
      <c r="EH312" s="1203"/>
      <c r="EP312" s="1230" t="s">
        <v>236</v>
      </c>
      <c r="EQ312" s="1145" t="s">
        <v>236</v>
      </c>
      <c r="ER312" s="753" t="b">
        <f t="shared" si="704"/>
        <v>1</v>
      </c>
      <c r="EU312" s="770">
        <v>3212026.0824007285</v>
      </c>
      <c r="EV312" s="771" t="s">
        <v>258</v>
      </c>
      <c r="EW312" s="775">
        <f>EU312-CG312</f>
        <v>-805742.74497687072</v>
      </c>
      <c r="EY312" s="775">
        <v>3177939.6655552988</v>
      </c>
      <c r="FJ312" s="994">
        <v>0.15</v>
      </c>
      <c r="FK312" s="993">
        <v>13830.926663941489</v>
      </c>
      <c r="FL312" s="993">
        <v>14204.735492696665</v>
      </c>
      <c r="FM312" s="497"/>
      <c r="FN312" s="993">
        <f t="shared" si="646"/>
        <v>4530034.3528682431</v>
      </c>
      <c r="FO312" s="994">
        <f t="shared" si="764"/>
        <v>0.15</v>
      </c>
      <c r="FP312" s="775">
        <f t="shared" si="647"/>
        <v>679505.15293023642</v>
      </c>
      <c r="FQ312" s="993">
        <f t="shared" si="648"/>
        <v>30000</v>
      </c>
      <c r="FR312" s="775">
        <f t="shared" si="706"/>
        <v>649505.15293023642</v>
      </c>
      <c r="FS312" s="497">
        <f t="shared" si="707"/>
        <v>40</v>
      </c>
      <c r="FT312" s="775">
        <f t="shared" si="708"/>
        <v>16237.628823255911</v>
      </c>
      <c r="FU312" s="497"/>
      <c r="FV312" s="993">
        <f t="shared" si="709"/>
        <v>4530034.3528682431</v>
      </c>
      <c r="FW312" s="705">
        <f t="shared" si="710"/>
        <v>453003.43528682436</v>
      </c>
      <c r="FX312" s="705">
        <f t="shared" si="711"/>
        <v>113250.85882170609</v>
      </c>
      <c r="FY312" s="705">
        <v>15000</v>
      </c>
      <c r="FZ312" s="705">
        <f t="shared" si="712"/>
        <v>438003.43528682436</v>
      </c>
      <c r="GA312" s="497">
        <f t="shared" si="713"/>
        <v>46</v>
      </c>
      <c r="GB312" s="775">
        <f t="shared" si="714"/>
        <v>9521.8138105831385</v>
      </c>
      <c r="GC312" s="497"/>
      <c r="GD312" s="497"/>
      <c r="GH312" s="1095">
        <f t="shared" si="613"/>
        <v>4530034.3528682431</v>
      </c>
      <c r="GI312" s="1098">
        <f t="shared" si="614"/>
        <v>0.125</v>
      </c>
      <c r="GJ312" s="1095">
        <f t="shared" si="615"/>
        <v>566254.29410853039</v>
      </c>
      <c r="GK312" s="1095">
        <f t="shared" si="616"/>
        <v>30000</v>
      </c>
      <c r="GL312" s="1095">
        <f t="shared" si="617"/>
        <v>536254.29410853039</v>
      </c>
      <c r="GM312" s="1095">
        <f t="shared" si="618"/>
        <v>30</v>
      </c>
      <c r="GN312" s="1095">
        <f t="shared" si="619"/>
        <v>17875.143136951014</v>
      </c>
      <c r="GO312" s="1098">
        <f t="shared" si="620"/>
        <v>0.875</v>
      </c>
      <c r="GP312" s="1095">
        <f t="shared" si="621"/>
        <v>3963780.0587597126</v>
      </c>
      <c r="GQ312" s="1095">
        <f t="shared" si="622"/>
        <v>30731.144605837257</v>
      </c>
      <c r="GR312" s="1095">
        <f t="shared" si="623"/>
        <v>35627.575762543238</v>
      </c>
      <c r="GS312" s="1095">
        <f t="shared" si="624"/>
        <v>46022.84745796986</v>
      </c>
      <c r="GT312" s="1095">
        <f t="shared" si="625"/>
        <v>78487.595913779413</v>
      </c>
      <c r="GU312" s="497"/>
      <c r="GV312" s="1095">
        <f t="shared" si="715"/>
        <v>4530034.3528682431</v>
      </c>
      <c r="GW312" s="1098">
        <f t="shared" si="716"/>
        <v>0.125</v>
      </c>
      <c r="GX312" s="1095">
        <f t="shared" si="717"/>
        <v>566254.29410853039</v>
      </c>
      <c r="GY312" s="1095">
        <f t="shared" si="718"/>
        <v>30000</v>
      </c>
      <c r="GZ312" s="1095">
        <f t="shared" si="719"/>
        <v>536254.29410853039</v>
      </c>
      <c r="HA312" s="1106">
        <f t="shared" si="720"/>
        <v>48</v>
      </c>
      <c r="HB312" s="770">
        <f t="shared" si="721"/>
        <v>11171.964460594383</v>
      </c>
      <c r="HC312" s="1098">
        <f t="shared" si="722"/>
        <v>0.875</v>
      </c>
      <c r="HD312" s="1102">
        <f t="shared" si="723"/>
        <v>3963780.0587597126</v>
      </c>
      <c r="HE312" s="1101">
        <f t="shared" si="724"/>
        <v>30731.144605837257</v>
      </c>
      <c r="HF312" s="1101">
        <f t="shared" si="725"/>
        <v>35627.575762543238</v>
      </c>
      <c r="HG312" s="1101">
        <f t="shared" si="726"/>
        <v>46022.84745796986</v>
      </c>
      <c r="HH312" s="1101">
        <f t="shared" si="727"/>
        <v>78487.595913779413</v>
      </c>
      <c r="HI312" s="497"/>
      <c r="HJ312" s="1102">
        <f t="shared" si="728"/>
        <v>-6703.1786763566306</v>
      </c>
      <c r="HL312" s="775"/>
      <c r="HN312" s="775"/>
      <c r="HO312" s="775"/>
      <c r="HQ312" s="702"/>
      <c r="HR312" s="1171"/>
      <c r="HS312" s="702"/>
      <c r="HT312" s="1171"/>
    </row>
    <row r="313" spans="1:228" ht="14.25" hidden="1" customHeight="1">
      <c r="A313" s="753">
        <f t="shared" si="729"/>
        <v>307</v>
      </c>
      <c r="B313" s="753" t="s">
        <v>236</v>
      </c>
      <c r="C313" s="753">
        <f t="shared" si="745"/>
        <v>28</v>
      </c>
      <c r="D313" s="753" t="s">
        <v>287</v>
      </c>
      <c r="E313" s="717" t="str">
        <f t="shared" si="649"/>
        <v>12th Floor</v>
      </c>
      <c r="F313" s="754"/>
      <c r="G313" s="756" t="s">
        <v>774</v>
      </c>
      <c r="H313" s="756"/>
      <c r="I313" s="755" t="s">
        <v>229</v>
      </c>
      <c r="J313" s="757">
        <v>22</v>
      </c>
      <c r="K313" s="758"/>
      <c r="L313" s="759" t="s">
        <v>277</v>
      </c>
      <c r="M313" s="760" t="s">
        <v>278</v>
      </c>
      <c r="N313" s="761">
        <f t="shared" si="650"/>
        <v>106005.26567735759</v>
      </c>
      <c r="O313" s="762">
        <f t="shared" si="651"/>
        <v>2332115.8449018667</v>
      </c>
      <c r="P313" s="762">
        <f t="shared" si="652"/>
        <v>22400</v>
      </c>
      <c r="Q313" s="762">
        <f t="shared" si="626"/>
        <v>50000</v>
      </c>
      <c r="R313" s="762"/>
      <c r="S313" s="762"/>
      <c r="T313" s="762"/>
      <c r="U313" s="762"/>
      <c r="V313" s="762"/>
      <c r="W313" s="762">
        <f t="shared" si="765"/>
        <v>22000</v>
      </c>
      <c r="X313" s="762"/>
      <c r="Y313" s="762">
        <f t="shared" si="746"/>
        <v>160000</v>
      </c>
      <c r="Z313" s="762">
        <f t="shared" si="627"/>
        <v>142461</v>
      </c>
      <c r="AA313" s="762"/>
      <c r="AB313" s="762"/>
      <c r="AC313" s="762"/>
      <c r="AD313" s="763">
        <f t="shared" si="653"/>
        <v>396861</v>
      </c>
      <c r="AE313" s="763">
        <f t="shared" si="628"/>
        <v>2728976.8449018667</v>
      </c>
      <c r="AF313" s="762">
        <f t="shared" si="629"/>
        <v>68224.421122546672</v>
      </c>
      <c r="AG313" s="762">
        <f t="shared" si="654"/>
        <v>2797201.2660244135</v>
      </c>
      <c r="AH313" s="762">
        <f t="shared" si="630"/>
        <v>69930.031650610341</v>
      </c>
      <c r="AI313" s="762">
        <f t="shared" si="655"/>
        <v>2867131.2976750238</v>
      </c>
      <c r="AJ313" s="762">
        <f t="shared" si="656"/>
        <v>143356.56488375118</v>
      </c>
      <c r="AK313" s="762">
        <f t="shared" si="657"/>
        <v>3010487.8625587751</v>
      </c>
      <c r="AL313" s="762">
        <f t="shared" si="658"/>
        <v>30104.878625587753</v>
      </c>
      <c r="AM313" s="762">
        <f t="shared" si="659"/>
        <v>27537.409960060559</v>
      </c>
      <c r="AN313" s="762"/>
      <c r="AO313" s="763">
        <f t="shared" si="660"/>
        <v>3068130.1511444231</v>
      </c>
      <c r="AP313" s="763">
        <f t="shared" si="661"/>
        <v>506241.47493882984</v>
      </c>
      <c r="AQ313" s="763">
        <f t="shared" si="662"/>
        <v>3574371.626083253</v>
      </c>
      <c r="AR313" s="1178">
        <f t="shared" si="631"/>
        <v>3000000</v>
      </c>
      <c r="AS313" s="1178">
        <f t="shared" si="663"/>
        <v>26107.801185602406</v>
      </c>
      <c r="AT313" s="1178">
        <f t="shared" si="664"/>
        <v>574371.62608325295</v>
      </c>
      <c r="AU313" s="1178">
        <f t="shared" si="632"/>
        <v>68924.595129990354</v>
      </c>
      <c r="AV313" s="1178">
        <f t="shared" si="665"/>
        <v>643296.22121324332</v>
      </c>
      <c r="AW313" s="1178">
        <f t="shared" si="666"/>
        <v>3643296.2212132434</v>
      </c>
      <c r="AX313" s="762">
        <f t="shared" si="667"/>
        <v>45541.202765165544</v>
      </c>
      <c r="AY313" s="717" t="s">
        <v>231</v>
      </c>
      <c r="AZ313" s="717">
        <f t="shared" si="668"/>
        <v>3688837.4239784088</v>
      </c>
      <c r="BA313" s="717">
        <f t="shared" si="669"/>
        <v>138331.40339919031</v>
      </c>
      <c r="BB313" s="717"/>
      <c r="BC313" s="717">
        <f t="shared" si="633"/>
        <v>33600</v>
      </c>
      <c r="BD313" s="717">
        <f t="shared" si="670"/>
        <v>3860768.8273775992</v>
      </c>
      <c r="BE313" s="717"/>
      <c r="BF313" s="717">
        <f t="shared" si="671"/>
        <v>3860768.8273775992</v>
      </c>
      <c r="BG313" s="1209"/>
      <c r="BH313" s="717">
        <f t="shared" si="672"/>
        <v>3860768.8273775992</v>
      </c>
      <c r="BI313" s="717"/>
      <c r="BJ313" s="717">
        <f t="shared" si="673"/>
        <v>3860768.8273775992</v>
      </c>
      <c r="BK313" s="717"/>
      <c r="BL313" s="717">
        <f t="shared" si="674"/>
        <v>3860768.8273775992</v>
      </c>
      <c r="BM313" s="717"/>
      <c r="BN313" s="717">
        <f t="shared" si="675"/>
        <v>3860768.8273775992</v>
      </c>
      <c r="BO313" s="717"/>
      <c r="BP313" s="717">
        <f t="shared" si="634"/>
        <v>3860768.8273775992</v>
      </c>
      <c r="BQ313" s="717"/>
      <c r="BR313" s="717">
        <f t="shared" si="738"/>
        <v>3860768.8273775992</v>
      </c>
      <c r="BS313" s="717"/>
      <c r="BT313" s="717">
        <f t="shared" si="676"/>
        <v>3860768.8273775992</v>
      </c>
      <c r="BU313" s="717"/>
      <c r="BV313" s="1235">
        <f t="shared" si="739"/>
        <v>51400</v>
      </c>
      <c r="BW313" s="717">
        <f t="shared" si="677"/>
        <v>3912168.8273775992</v>
      </c>
      <c r="BX313" s="717"/>
      <c r="BY313" s="717">
        <f t="shared" si="678"/>
        <v>3912168.8273775992</v>
      </c>
      <c r="BZ313" s="1194">
        <f t="shared" si="679"/>
        <v>3912168.8273775992</v>
      </c>
      <c r="CA313" s="1194">
        <f t="shared" si="680"/>
        <v>3032168.8273775992</v>
      </c>
      <c r="CB313" s="1194">
        <v>40000</v>
      </c>
      <c r="CC313" s="1194">
        <f t="shared" si="681"/>
        <v>880000</v>
      </c>
      <c r="CD313" s="1194">
        <f t="shared" si="682"/>
        <v>105600</v>
      </c>
      <c r="CE313" s="1194">
        <f t="shared" si="683"/>
        <v>985600</v>
      </c>
      <c r="CF313" s="1200">
        <f t="shared" si="684"/>
        <v>4017768.8273775992</v>
      </c>
      <c r="CG313" s="757">
        <f t="shared" si="685"/>
        <v>4017768.8273775992</v>
      </c>
      <c r="CH313" s="758">
        <f t="shared" si="686"/>
        <v>0</v>
      </c>
      <c r="CI313" s="757">
        <f t="shared" si="635"/>
        <v>411821.30480620387</v>
      </c>
      <c r="CJ313" s="757">
        <f t="shared" si="636"/>
        <v>100444.22068443999</v>
      </c>
      <c r="CK313" s="759">
        <f t="shared" si="747"/>
        <v>4530034.3528682431</v>
      </c>
      <c r="CL313" s="764">
        <f t="shared" si="687"/>
        <v>0.125</v>
      </c>
      <c r="CM313" s="757">
        <f t="shared" si="688"/>
        <v>566254.29410853039</v>
      </c>
      <c r="CN313" s="757">
        <f t="shared" si="730"/>
        <v>30000</v>
      </c>
      <c r="CO313" s="757">
        <f t="shared" si="689"/>
        <v>536254.29410853039</v>
      </c>
      <c r="CP313" s="755">
        <f t="shared" si="690"/>
        <v>30</v>
      </c>
      <c r="CQ313" s="757">
        <f t="shared" si="732"/>
        <v>17875.143136951014</v>
      </c>
      <c r="CR313" s="764">
        <f t="shared" si="691"/>
        <v>0.875</v>
      </c>
      <c r="CS313" s="757">
        <f t="shared" si="692"/>
        <v>3963780.0587597126</v>
      </c>
      <c r="CT313" s="1101">
        <f t="shared" si="693"/>
        <v>30731.144605837257</v>
      </c>
      <c r="CU313" s="1101">
        <f t="shared" si="694"/>
        <v>35627.575762543238</v>
      </c>
      <c r="CV313" s="1101">
        <f t="shared" si="695"/>
        <v>46022.84745796986</v>
      </c>
      <c r="CW313" s="1141">
        <f t="shared" si="637"/>
        <v>78487.595913779413</v>
      </c>
      <c r="CX313" s="1152">
        <f t="shared" si="696"/>
        <v>321990.45310459367</v>
      </c>
      <c r="CY313" s="1152">
        <f t="shared" si="697"/>
        <v>127410.05378793798</v>
      </c>
      <c r="CZ313" s="1152">
        <f t="shared" si="698"/>
        <v>92026.477317641591</v>
      </c>
      <c r="DA313" s="1152">
        <f t="shared" si="699"/>
        <v>70036.385918925502</v>
      </c>
      <c r="DB313" s="1143">
        <f t="shared" si="638"/>
        <v>0.19145720869441765</v>
      </c>
      <c r="DC313" s="1143">
        <f t="shared" si="700"/>
        <v>0.32504786379339101</v>
      </c>
      <c r="DD313" s="1098" t="s">
        <v>232</v>
      </c>
      <c r="DE313" s="1144"/>
      <c r="DF313" s="705"/>
      <c r="DG313" s="765">
        <f t="shared" si="731"/>
        <v>46082</v>
      </c>
      <c r="DH313" s="1116">
        <f t="shared" si="639"/>
        <v>28</v>
      </c>
      <c r="DI313" s="497"/>
      <c r="DJ313" s="1117">
        <f t="shared" si="701"/>
        <v>46147</v>
      </c>
      <c r="DK313" s="1116">
        <f t="shared" si="702"/>
        <v>30</v>
      </c>
      <c r="DL313" s="766" t="s">
        <v>233</v>
      </c>
      <c r="DM313" s="766" t="s">
        <v>234</v>
      </c>
      <c r="DN313" s="767">
        <f t="shared" si="640"/>
        <v>29240.737327874696</v>
      </c>
      <c r="DO313" s="767">
        <f t="shared" si="641"/>
        <v>643296.22121324332</v>
      </c>
      <c r="DP313" s="768">
        <f t="shared" si="642"/>
        <v>0.21443207373774778</v>
      </c>
      <c r="DR313" s="767">
        <f t="shared" si="643"/>
        <v>4017768.8273775992</v>
      </c>
      <c r="DS313" s="767">
        <f>SUM('[6]INTERNAL PRICELIST'!M313)</f>
        <v>0</v>
      </c>
      <c r="DT313" s="767">
        <f t="shared" si="703"/>
        <v>4017768.8273775992</v>
      </c>
      <c r="DV313" s="951">
        <f t="shared" si="644"/>
        <v>182625.85578989086</v>
      </c>
      <c r="DX313" s="781"/>
      <c r="DY313" s="782"/>
      <c r="DZ313" s="781"/>
      <c r="EA313" s="775"/>
      <c r="ED313" s="755" t="s">
        <v>774</v>
      </c>
      <c r="EE313" s="777" t="b">
        <f t="shared" si="645"/>
        <v>1</v>
      </c>
      <c r="EF313" s="1123" t="s">
        <v>775</v>
      </c>
      <c r="EG313" s="1123" t="s">
        <v>737</v>
      </c>
      <c r="EH313" s="1203"/>
      <c r="EP313" s="1230" t="s">
        <v>236</v>
      </c>
      <c r="EQ313" s="1145" t="s">
        <v>236</v>
      </c>
      <c r="ER313" s="753" t="b">
        <f t="shared" si="704"/>
        <v>1</v>
      </c>
      <c r="EU313" s="770">
        <v>2369600</v>
      </c>
      <c r="EV313" s="771" t="s">
        <v>236</v>
      </c>
      <c r="FJ313" s="994">
        <v>0.15</v>
      </c>
      <c r="FK313" s="993">
        <v>13830.926663941489</v>
      </c>
      <c r="FL313" s="993">
        <v>14204.735492696665</v>
      </c>
      <c r="FM313" s="497"/>
      <c r="FN313" s="993">
        <f t="shared" si="646"/>
        <v>4530034.3528682431</v>
      </c>
      <c r="FO313" s="994">
        <f t="shared" si="737"/>
        <v>0.15</v>
      </c>
      <c r="FP313" s="775">
        <f t="shared" si="647"/>
        <v>679505.15293023642</v>
      </c>
      <c r="FQ313" s="993">
        <f t="shared" si="648"/>
        <v>30000</v>
      </c>
      <c r="FR313" s="775">
        <f t="shared" si="706"/>
        <v>649505.15293023642</v>
      </c>
      <c r="FS313" s="497">
        <f t="shared" si="707"/>
        <v>40</v>
      </c>
      <c r="FT313" s="775">
        <f t="shared" si="708"/>
        <v>16237.628823255911</v>
      </c>
      <c r="FU313" s="497"/>
      <c r="FV313" s="993">
        <f t="shared" si="709"/>
        <v>4530034.3528682431</v>
      </c>
      <c r="FW313" s="705">
        <f t="shared" si="710"/>
        <v>453003.43528682436</v>
      </c>
      <c r="FX313" s="705">
        <f t="shared" si="711"/>
        <v>113250.85882170609</v>
      </c>
      <c r="FY313" s="705">
        <v>15000</v>
      </c>
      <c r="FZ313" s="705">
        <f t="shared" si="712"/>
        <v>438003.43528682436</v>
      </c>
      <c r="GA313" s="497">
        <f t="shared" si="713"/>
        <v>46</v>
      </c>
      <c r="GB313" s="775">
        <f t="shared" si="714"/>
        <v>9521.8138105831385</v>
      </c>
      <c r="GC313" s="497"/>
      <c r="GD313" s="497"/>
      <c r="GH313" s="1095">
        <f t="shared" si="613"/>
        <v>4530034.3528682431</v>
      </c>
      <c r="GI313" s="1098">
        <f t="shared" si="614"/>
        <v>0.125</v>
      </c>
      <c r="GJ313" s="1095">
        <f t="shared" si="615"/>
        <v>566254.29410853039</v>
      </c>
      <c r="GK313" s="1095">
        <f t="shared" si="616"/>
        <v>30000</v>
      </c>
      <c r="GL313" s="1095">
        <f t="shared" si="617"/>
        <v>536254.29410853039</v>
      </c>
      <c r="GM313" s="1095">
        <f t="shared" si="618"/>
        <v>30</v>
      </c>
      <c r="GN313" s="1095">
        <f t="shared" si="619"/>
        <v>17875.143136951014</v>
      </c>
      <c r="GO313" s="1098">
        <f t="shared" si="620"/>
        <v>0.875</v>
      </c>
      <c r="GP313" s="1095">
        <f t="shared" si="621"/>
        <v>3963780.0587597126</v>
      </c>
      <c r="GQ313" s="1095">
        <f t="shared" si="622"/>
        <v>30731.144605837257</v>
      </c>
      <c r="GR313" s="1095">
        <f t="shared" si="623"/>
        <v>35627.575762543238</v>
      </c>
      <c r="GS313" s="1095">
        <f t="shared" si="624"/>
        <v>46022.84745796986</v>
      </c>
      <c r="GT313" s="1095">
        <f t="shared" si="625"/>
        <v>78487.595913779413</v>
      </c>
      <c r="GU313" s="497"/>
      <c r="GV313" s="1095">
        <f t="shared" si="715"/>
        <v>4530034.3528682431</v>
      </c>
      <c r="GW313" s="1098">
        <f t="shared" si="716"/>
        <v>0.125</v>
      </c>
      <c r="GX313" s="1095">
        <f t="shared" si="717"/>
        <v>566254.29410853039</v>
      </c>
      <c r="GY313" s="1095">
        <f t="shared" si="718"/>
        <v>30000</v>
      </c>
      <c r="GZ313" s="1095">
        <f t="shared" si="719"/>
        <v>536254.29410853039</v>
      </c>
      <c r="HA313" s="1106">
        <f t="shared" si="720"/>
        <v>48</v>
      </c>
      <c r="HB313" s="770">
        <f t="shared" si="721"/>
        <v>11171.964460594383</v>
      </c>
      <c r="HC313" s="1098">
        <f t="shared" si="722"/>
        <v>0.875</v>
      </c>
      <c r="HD313" s="1102">
        <f t="shared" si="723"/>
        <v>3963780.0587597126</v>
      </c>
      <c r="HE313" s="1101">
        <f t="shared" si="724"/>
        <v>30731.144605837257</v>
      </c>
      <c r="HF313" s="1101">
        <f t="shared" si="725"/>
        <v>35627.575762543238</v>
      </c>
      <c r="HG313" s="1101">
        <f t="shared" si="726"/>
        <v>46022.84745796986</v>
      </c>
      <c r="HH313" s="1101">
        <f t="shared" si="727"/>
        <v>78487.595913779413</v>
      </c>
      <c r="HI313" s="497"/>
      <c r="HJ313" s="1102">
        <f t="shared" si="728"/>
        <v>-6703.1786763566306</v>
      </c>
      <c r="HL313" s="775"/>
      <c r="HN313" s="775"/>
      <c r="HO313" s="775"/>
      <c r="HQ313" s="702"/>
      <c r="HR313" s="1171"/>
      <c r="HS313" s="702"/>
      <c r="HT313" s="1171"/>
    </row>
    <row r="314" spans="1:228" ht="14.25" customHeight="1">
      <c r="A314" s="753">
        <f t="shared" si="729"/>
        <v>308</v>
      </c>
      <c r="B314" s="753"/>
      <c r="C314" s="753">
        <f t="shared" si="745"/>
        <v>29</v>
      </c>
      <c r="D314" s="753" t="s">
        <v>287</v>
      </c>
      <c r="E314" s="717" t="str">
        <f t="shared" si="649"/>
        <v>12th Floor</v>
      </c>
      <c r="F314" s="754"/>
      <c r="G314" s="756" t="s">
        <v>776</v>
      </c>
      <c r="H314" s="756"/>
      <c r="I314" s="755" t="s">
        <v>229</v>
      </c>
      <c r="J314" s="757">
        <v>22</v>
      </c>
      <c r="K314" s="758"/>
      <c r="L314" s="759" t="s">
        <v>277</v>
      </c>
      <c r="M314" s="760" t="s">
        <v>68</v>
      </c>
      <c r="N314" s="761">
        <f t="shared" si="650"/>
        <v>106005.26567735759</v>
      </c>
      <c r="O314" s="762">
        <f t="shared" si="651"/>
        <v>2332115.8449018667</v>
      </c>
      <c r="P314" s="762">
        <f t="shared" si="652"/>
        <v>22400</v>
      </c>
      <c r="Q314" s="762">
        <f t="shared" si="626"/>
        <v>50000</v>
      </c>
      <c r="R314" s="762"/>
      <c r="S314" s="762"/>
      <c r="T314" s="762"/>
      <c r="U314" s="762"/>
      <c r="V314" s="762"/>
      <c r="W314" s="762"/>
      <c r="X314" s="762"/>
      <c r="Y314" s="762">
        <f t="shared" si="746"/>
        <v>160000</v>
      </c>
      <c r="Z314" s="762">
        <f t="shared" si="627"/>
        <v>142461</v>
      </c>
      <c r="AA314" s="762">
        <v>3500</v>
      </c>
      <c r="AB314" s="762"/>
      <c r="AC314" s="762"/>
      <c r="AD314" s="763">
        <f t="shared" si="653"/>
        <v>378361</v>
      </c>
      <c r="AE314" s="763">
        <f t="shared" si="628"/>
        <v>2710476.8449018667</v>
      </c>
      <c r="AF314" s="762">
        <f t="shared" si="629"/>
        <v>67761.921122546672</v>
      </c>
      <c r="AG314" s="762">
        <f t="shared" si="654"/>
        <v>2778238.7660244135</v>
      </c>
      <c r="AH314" s="762">
        <f t="shared" si="630"/>
        <v>69455.969150610341</v>
      </c>
      <c r="AI314" s="762">
        <f t="shared" si="655"/>
        <v>2847694.7351750238</v>
      </c>
      <c r="AJ314" s="762">
        <f t="shared" si="656"/>
        <v>142384.73675875118</v>
      </c>
      <c r="AK314" s="762">
        <f t="shared" si="657"/>
        <v>2990079.4719337751</v>
      </c>
      <c r="AL314" s="762">
        <f t="shared" si="658"/>
        <v>29900.794719337751</v>
      </c>
      <c r="AM314" s="762">
        <f t="shared" si="659"/>
        <v>27537.409960060559</v>
      </c>
      <c r="AN314" s="762"/>
      <c r="AO314" s="763">
        <f t="shared" si="660"/>
        <v>3047517.6766131734</v>
      </c>
      <c r="AP314" s="763">
        <f t="shared" si="661"/>
        <v>502840.41664117365</v>
      </c>
      <c r="AQ314" s="763">
        <f t="shared" si="662"/>
        <v>3550358.0932543473</v>
      </c>
      <c r="AR314" s="1178">
        <f t="shared" si="631"/>
        <v>3000000</v>
      </c>
      <c r="AS314" s="1178">
        <f t="shared" si="663"/>
        <v>25016.276966106696</v>
      </c>
      <c r="AT314" s="1178">
        <f t="shared" si="664"/>
        <v>550358.09325434733</v>
      </c>
      <c r="AU314" s="1178">
        <f t="shared" si="632"/>
        <v>66042.971190521683</v>
      </c>
      <c r="AV314" s="1178">
        <f t="shared" si="665"/>
        <v>616401.06444486906</v>
      </c>
      <c r="AW314" s="1178">
        <f t="shared" si="666"/>
        <v>3616401.0644448688</v>
      </c>
      <c r="AX314" s="762">
        <f t="shared" si="667"/>
        <v>45205.01330556086</v>
      </c>
      <c r="AY314" s="717">
        <v>7575.3956645161297</v>
      </c>
      <c r="AZ314" s="717">
        <f t="shared" si="668"/>
        <v>3669181.4734149454</v>
      </c>
      <c r="BA314" s="717">
        <f t="shared" si="669"/>
        <v>137594.30525306045</v>
      </c>
      <c r="BB314" s="717"/>
      <c r="BC314" s="717">
        <f t="shared" si="633"/>
        <v>33600</v>
      </c>
      <c r="BD314" s="717">
        <f t="shared" si="670"/>
        <v>3840375.778668006</v>
      </c>
      <c r="BE314" s="717">
        <v>18367.830916129038</v>
      </c>
      <c r="BF314" s="717">
        <f t="shared" si="671"/>
        <v>3858743.609584135</v>
      </c>
      <c r="BG314" s="1209"/>
      <c r="BH314" s="717">
        <f t="shared" si="672"/>
        <v>3858743.609584135</v>
      </c>
      <c r="BI314" s="717">
        <v>718.43902439024396</v>
      </c>
      <c r="BJ314" s="717">
        <f t="shared" si="673"/>
        <v>3859462.0486085252</v>
      </c>
      <c r="BK314" s="717"/>
      <c r="BL314" s="717">
        <f t="shared" si="674"/>
        <v>3859462.0486085252</v>
      </c>
      <c r="BM314" s="717">
        <f>$BM$5/41</f>
        <v>1038.0487804878051</v>
      </c>
      <c r="BN314" s="717">
        <f t="shared" si="675"/>
        <v>3860500.097389013</v>
      </c>
      <c r="BO314" s="717">
        <f>$BO$5/51</f>
        <v>7289.0781490196077</v>
      </c>
      <c r="BP314" s="717">
        <f t="shared" si="634"/>
        <v>3867789.1755380328</v>
      </c>
      <c r="BQ314" s="717">
        <f>$BQ$5/56</f>
        <v>4468.4242000000004</v>
      </c>
      <c r="BR314" s="717">
        <f t="shared" si="738"/>
        <v>3872257.5997380326</v>
      </c>
      <c r="BS314" s="1234">
        <f>$BS$5/64</f>
        <v>2651.4786794501206</v>
      </c>
      <c r="BT314" s="1235">
        <f t="shared" si="676"/>
        <v>3874909.0784174828</v>
      </c>
      <c r="BU314" s="1235">
        <f>$BU$5/65</f>
        <v>211.07692307692309</v>
      </c>
      <c r="BV314" s="1235">
        <f t="shared" si="739"/>
        <v>51400</v>
      </c>
      <c r="BW314" s="717">
        <f t="shared" si="677"/>
        <v>3926520.1553405598</v>
      </c>
      <c r="BX314" s="1234">
        <f t="shared" si="743"/>
        <v>27651.078536278128</v>
      </c>
      <c r="BY314" s="717">
        <f t="shared" si="678"/>
        <v>3954171.2338768379</v>
      </c>
      <c r="BZ314" s="1194">
        <f t="shared" si="679"/>
        <v>3954171.2338768379</v>
      </c>
      <c r="CA314" s="1194">
        <f t="shared" si="680"/>
        <v>3074171.2338768379</v>
      </c>
      <c r="CB314" s="1194">
        <f>$CB$5</f>
        <v>40000</v>
      </c>
      <c r="CC314" s="1194">
        <f t="shared" si="681"/>
        <v>880000</v>
      </c>
      <c r="CD314" s="1194">
        <f t="shared" si="682"/>
        <v>105600</v>
      </c>
      <c r="CE314" s="1194">
        <f t="shared" si="683"/>
        <v>985600</v>
      </c>
      <c r="CF314" s="1200">
        <f t="shared" si="684"/>
        <v>4059771.2338768379</v>
      </c>
      <c r="CG314" s="757">
        <f t="shared" si="685"/>
        <v>4059771.2338768379</v>
      </c>
      <c r="CH314" s="758">
        <f t="shared" si="686"/>
        <v>0</v>
      </c>
      <c r="CI314" s="757">
        <f t="shared" si="635"/>
        <v>416126.55147237587</v>
      </c>
      <c r="CJ314" s="757">
        <f t="shared" si="636"/>
        <v>101494.28084692096</v>
      </c>
      <c r="CK314" s="759">
        <f t="shared" si="747"/>
        <v>4577392.0661961343</v>
      </c>
      <c r="CL314" s="764">
        <f t="shared" si="687"/>
        <v>0.125</v>
      </c>
      <c r="CM314" s="757">
        <f t="shared" si="688"/>
        <v>572174.00827451679</v>
      </c>
      <c r="CN314" s="757">
        <f t="shared" si="730"/>
        <v>30000</v>
      </c>
      <c r="CO314" s="757">
        <f t="shared" si="689"/>
        <v>542174.00827451679</v>
      </c>
      <c r="CP314" s="755">
        <f t="shared" si="690"/>
        <v>30</v>
      </c>
      <c r="CQ314" s="757">
        <f t="shared" si="732"/>
        <v>18072.466942483894</v>
      </c>
      <c r="CR314" s="764">
        <f t="shared" si="691"/>
        <v>0.875</v>
      </c>
      <c r="CS314" s="757">
        <f t="shared" si="692"/>
        <v>4005218.0579216173</v>
      </c>
      <c r="CT314" s="1101">
        <f t="shared" si="693"/>
        <v>31052.412972281261</v>
      </c>
      <c r="CU314" s="1101">
        <f t="shared" si="694"/>
        <v>36000.032213886028</v>
      </c>
      <c r="CV314" s="1101">
        <f t="shared" si="695"/>
        <v>46503.977764424992</v>
      </c>
      <c r="CW314" s="1141">
        <f t="shared" si="637"/>
        <v>79308.117962299119</v>
      </c>
      <c r="CX314" s="1152">
        <f t="shared" si="696"/>
        <v>325356.59348778753</v>
      </c>
      <c r="CY314" s="1152">
        <f t="shared" si="697"/>
        <v>128742.01914015654</v>
      </c>
      <c r="CZ314" s="1152">
        <f t="shared" si="698"/>
        <v>92988.537026664562</v>
      </c>
      <c r="DA314" s="1152">
        <f t="shared" si="699"/>
        <v>70768.55764843346</v>
      </c>
      <c r="DB314" s="1143">
        <f t="shared" si="638"/>
        <v>0.18345269775144912</v>
      </c>
      <c r="DC314" s="1143">
        <f t="shared" si="700"/>
        <v>0.32060673430902537</v>
      </c>
      <c r="DD314" s="1098" t="s">
        <v>232</v>
      </c>
      <c r="DE314" s="1144"/>
      <c r="DF314" s="705"/>
      <c r="DG314" s="765">
        <f t="shared" si="731"/>
        <v>46082</v>
      </c>
      <c r="DH314" s="1116">
        <f t="shared" si="639"/>
        <v>28</v>
      </c>
      <c r="DI314" s="497"/>
      <c r="DJ314" s="1117">
        <f t="shared" si="701"/>
        <v>46147</v>
      </c>
      <c r="DK314" s="1116">
        <f t="shared" si="702"/>
        <v>30</v>
      </c>
      <c r="DL314" s="766" t="s">
        <v>233</v>
      </c>
      <c r="DM314" s="766" t="s">
        <v>234</v>
      </c>
      <c r="DN314" s="767">
        <f t="shared" si="640"/>
        <v>28018.230202039504</v>
      </c>
      <c r="DO314" s="767">
        <f t="shared" si="641"/>
        <v>616401.06444486906</v>
      </c>
      <c r="DP314" s="768">
        <f t="shared" si="642"/>
        <v>0.20546702148162302</v>
      </c>
      <c r="DR314" s="767">
        <f t="shared" si="643"/>
        <v>4059771.2338768379</v>
      </c>
      <c r="DS314" s="767">
        <f>SUM('[6]INTERNAL PRICELIST'!M314)</f>
        <v>0</v>
      </c>
      <c r="DT314" s="767">
        <f t="shared" si="703"/>
        <v>4059771.2338768379</v>
      </c>
      <c r="DV314" s="951">
        <f t="shared" si="644"/>
        <v>184535.05608531082</v>
      </c>
      <c r="DX314" s="781"/>
      <c r="DY314" s="782"/>
      <c r="DZ314" s="781"/>
      <c r="EA314" s="775"/>
      <c r="ED314" s="755" t="s">
        <v>776</v>
      </c>
      <c r="EE314" s="777" t="b">
        <f t="shared" si="645"/>
        <v>1</v>
      </c>
      <c r="EF314" s="777"/>
      <c r="EG314" s="777"/>
      <c r="EH314" s="1203"/>
      <c r="EP314" s="1230" t="s">
        <v>258</v>
      </c>
      <c r="EQ314" s="1145" t="s">
        <v>258</v>
      </c>
      <c r="ER314" s="753" t="b">
        <f t="shared" si="704"/>
        <v>1</v>
      </c>
      <c r="EU314" s="770">
        <v>2369600</v>
      </c>
      <c r="EV314" s="771" t="s">
        <v>236</v>
      </c>
      <c r="FJ314" s="994">
        <v>0.15</v>
      </c>
      <c r="FK314" s="993">
        <v>13708.740137105633</v>
      </c>
      <c r="FL314" s="993">
        <v>14079.246627297678</v>
      </c>
      <c r="FM314" s="497"/>
      <c r="FN314" s="993">
        <f t="shared" si="646"/>
        <v>4577392.0661961343</v>
      </c>
      <c r="FO314" s="994">
        <f t="shared" si="737"/>
        <v>0.15</v>
      </c>
      <c r="FP314" s="775">
        <f t="shared" si="647"/>
        <v>686608.80992942012</v>
      </c>
      <c r="FQ314" s="993">
        <f t="shared" si="648"/>
        <v>30000</v>
      </c>
      <c r="FR314" s="775">
        <f t="shared" si="706"/>
        <v>656608.80992942012</v>
      </c>
      <c r="FS314" s="497">
        <f t="shared" si="707"/>
        <v>40</v>
      </c>
      <c r="FT314" s="775">
        <f t="shared" si="708"/>
        <v>16415.220248235502</v>
      </c>
      <c r="FU314" s="497"/>
      <c r="FV314" s="993">
        <f t="shared" si="709"/>
        <v>4577392.0661961343</v>
      </c>
      <c r="FW314" s="705">
        <f t="shared" si="710"/>
        <v>457739.20661961345</v>
      </c>
      <c r="FX314" s="705">
        <f t="shared" si="711"/>
        <v>114434.80165490336</v>
      </c>
      <c r="FY314" s="705">
        <v>15000</v>
      </c>
      <c r="FZ314" s="705">
        <f t="shared" si="712"/>
        <v>442739.20661961345</v>
      </c>
      <c r="GA314" s="497">
        <f t="shared" si="713"/>
        <v>46</v>
      </c>
      <c r="GB314" s="775">
        <f t="shared" si="714"/>
        <v>9624.7653612959439</v>
      </c>
      <c r="GC314" s="497"/>
      <c r="GD314" s="497"/>
      <c r="GH314" s="1095">
        <f t="shared" si="613"/>
        <v>4577392.0661961343</v>
      </c>
      <c r="GI314" s="1098">
        <f t="shared" si="614"/>
        <v>0.125</v>
      </c>
      <c r="GJ314" s="1095">
        <f t="shared" si="615"/>
        <v>572174.00827451679</v>
      </c>
      <c r="GK314" s="1095">
        <f t="shared" si="616"/>
        <v>30000</v>
      </c>
      <c r="GL314" s="1095">
        <f t="shared" si="617"/>
        <v>542174.00827451679</v>
      </c>
      <c r="GM314" s="1095">
        <f t="shared" si="618"/>
        <v>30</v>
      </c>
      <c r="GN314" s="1095">
        <f t="shared" si="619"/>
        <v>18072.466942483894</v>
      </c>
      <c r="GO314" s="1098">
        <f t="shared" si="620"/>
        <v>0.875</v>
      </c>
      <c r="GP314" s="1095">
        <f t="shared" si="621"/>
        <v>4005218.0579216173</v>
      </c>
      <c r="GQ314" s="1095">
        <f t="shared" si="622"/>
        <v>31052.412972281261</v>
      </c>
      <c r="GR314" s="1095">
        <f t="shared" si="623"/>
        <v>36000.032213886028</v>
      </c>
      <c r="GS314" s="1095">
        <f t="shared" si="624"/>
        <v>46503.977764424992</v>
      </c>
      <c r="GT314" s="1095">
        <f t="shared" si="625"/>
        <v>79308.117962299119</v>
      </c>
      <c r="GU314" s="497"/>
      <c r="GV314" s="1095">
        <f t="shared" si="715"/>
        <v>4577392.0661961343</v>
      </c>
      <c r="GW314" s="1098">
        <f t="shared" si="716"/>
        <v>0.125</v>
      </c>
      <c r="GX314" s="1095">
        <f t="shared" si="717"/>
        <v>572174.00827451679</v>
      </c>
      <c r="GY314" s="1095">
        <f t="shared" si="718"/>
        <v>30000</v>
      </c>
      <c r="GZ314" s="1095">
        <f t="shared" si="719"/>
        <v>542174.00827451679</v>
      </c>
      <c r="HA314" s="1106">
        <f t="shared" si="720"/>
        <v>48</v>
      </c>
      <c r="HB314" s="770">
        <f t="shared" si="721"/>
        <v>11295.291839052434</v>
      </c>
      <c r="HC314" s="1098">
        <f t="shared" si="722"/>
        <v>0.875</v>
      </c>
      <c r="HD314" s="1102">
        <f t="shared" si="723"/>
        <v>4005218.0579216173</v>
      </c>
      <c r="HE314" s="1101">
        <f t="shared" si="724"/>
        <v>31052.412972281261</v>
      </c>
      <c r="HF314" s="1101">
        <f t="shared" si="725"/>
        <v>36000.032213886028</v>
      </c>
      <c r="HG314" s="1101">
        <f t="shared" si="726"/>
        <v>46503.977764424992</v>
      </c>
      <c r="HH314" s="1101">
        <f t="shared" si="727"/>
        <v>79308.117962299119</v>
      </c>
      <c r="HI314" s="497"/>
      <c r="HJ314" s="1102">
        <f t="shared" si="728"/>
        <v>-6777.1751034314602</v>
      </c>
      <c r="HL314" s="775"/>
      <c r="HN314" s="775"/>
      <c r="HO314" s="775"/>
      <c r="HQ314" s="702"/>
      <c r="HR314" s="1171"/>
      <c r="HS314" s="702"/>
      <c r="HT314" s="1171"/>
    </row>
    <row r="315" spans="1:228" ht="14.25" hidden="1" customHeight="1">
      <c r="A315" s="753">
        <f t="shared" si="729"/>
        <v>309</v>
      </c>
      <c r="B315" s="753"/>
      <c r="C315" s="753">
        <f t="shared" si="745"/>
        <v>30</v>
      </c>
      <c r="D315" s="753" t="s">
        <v>287</v>
      </c>
      <c r="E315" s="717" t="str">
        <f t="shared" si="649"/>
        <v>12th Floor</v>
      </c>
      <c r="F315" s="754"/>
      <c r="G315" s="756" t="s">
        <v>777</v>
      </c>
      <c r="H315" s="756"/>
      <c r="I315" s="755" t="s">
        <v>229</v>
      </c>
      <c r="J315" s="757">
        <v>22</v>
      </c>
      <c r="K315" s="758"/>
      <c r="L315" s="759" t="s">
        <v>277</v>
      </c>
      <c r="M315" s="760" t="s">
        <v>68</v>
      </c>
      <c r="N315" s="761">
        <f t="shared" si="650"/>
        <v>106005.26567735759</v>
      </c>
      <c r="O315" s="762">
        <f t="shared" si="651"/>
        <v>2332115.8449018667</v>
      </c>
      <c r="P315" s="762">
        <f t="shared" si="652"/>
        <v>22400</v>
      </c>
      <c r="Q315" s="762">
        <f t="shared" si="626"/>
        <v>50000</v>
      </c>
      <c r="R315" s="762"/>
      <c r="S315" s="762"/>
      <c r="T315" s="762"/>
      <c r="U315" s="762"/>
      <c r="V315" s="762"/>
      <c r="W315" s="762"/>
      <c r="X315" s="762"/>
      <c r="Y315" s="762">
        <f t="shared" si="746"/>
        <v>160000</v>
      </c>
      <c r="Z315" s="762">
        <f t="shared" si="627"/>
        <v>142461</v>
      </c>
      <c r="AA315" s="762"/>
      <c r="AB315" s="762"/>
      <c r="AC315" s="762"/>
      <c r="AD315" s="763">
        <f t="shared" si="653"/>
        <v>374861</v>
      </c>
      <c r="AE315" s="763">
        <f t="shared" si="628"/>
        <v>2706976.8449018667</v>
      </c>
      <c r="AF315" s="762">
        <f t="shared" si="629"/>
        <v>67674.421122546672</v>
      </c>
      <c r="AG315" s="762">
        <f t="shared" si="654"/>
        <v>2774651.2660244135</v>
      </c>
      <c r="AH315" s="762">
        <f t="shared" si="630"/>
        <v>69366.281650610341</v>
      </c>
      <c r="AI315" s="762">
        <f t="shared" si="655"/>
        <v>2844017.5476750238</v>
      </c>
      <c r="AJ315" s="762">
        <f t="shared" si="656"/>
        <v>142200.87738375118</v>
      </c>
      <c r="AK315" s="762">
        <f t="shared" si="657"/>
        <v>2986218.4250587751</v>
      </c>
      <c r="AL315" s="762">
        <f t="shared" si="658"/>
        <v>29862.18425058775</v>
      </c>
      <c r="AM315" s="762">
        <f t="shared" si="659"/>
        <v>27537.409960060559</v>
      </c>
      <c r="AN315" s="762"/>
      <c r="AO315" s="763">
        <f t="shared" si="660"/>
        <v>3043618.0192694231</v>
      </c>
      <c r="AP315" s="763">
        <f t="shared" si="661"/>
        <v>502196.97317945486</v>
      </c>
      <c r="AQ315" s="763">
        <f t="shared" si="662"/>
        <v>3545814.992448878</v>
      </c>
      <c r="AR315" s="1178">
        <f t="shared" si="631"/>
        <v>3000000</v>
      </c>
      <c r="AS315" s="1178">
        <f t="shared" si="663"/>
        <v>24809.772384039909</v>
      </c>
      <c r="AT315" s="1178">
        <f t="shared" si="664"/>
        <v>545814.99244887801</v>
      </c>
      <c r="AU315" s="1178">
        <f t="shared" si="632"/>
        <v>65497.79909386536</v>
      </c>
      <c r="AV315" s="1178">
        <f t="shared" si="665"/>
        <v>611312.79154274333</v>
      </c>
      <c r="AW315" s="1178">
        <f t="shared" si="666"/>
        <v>3611312.7915427433</v>
      </c>
      <c r="AX315" s="762">
        <f t="shared" si="667"/>
        <v>45141.409894284297</v>
      </c>
      <c r="AY315" s="717" t="s">
        <v>231</v>
      </c>
      <c r="AZ315" s="717">
        <f t="shared" si="668"/>
        <v>3656454.2014370277</v>
      </c>
      <c r="BA315" s="717">
        <f t="shared" si="669"/>
        <v>137117.03255388854</v>
      </c>
      <c r="BB315" s="717"/>
      <c r="BC315" s="717">
        <f t="shared" si="633"/>
        <v>33600</v>
      </c>
      <c r="BD315" s="717">
        <f t="shared" si="670"/>
        <v>3827171.2339909161</v>
      </c>
      <c r="BE315" s="717"/>
      <c r="BF315" s="717">
        <f t="shared" si="671"/>
        <v>3827171.2339909161</v>
      </c>
      <c r="BG315" s="1209"/>
      <c r="BH315" s="717">
        <f t="shared" si="672"/>
        <v>3827171.2339909161</v>
      </c>
      <c r="BI315" s="717"/>
      <c r="BJ315" s="717">
        <f t="shared" si="673"/>
        <v>3827171.2339909161</v>
      </c>
      <c r="BK315" s="717"/>
      <c r="BL315" s="717">
        <f t="shared" si="674"/>
        <v>3827171.2339909161</v>
      </c>
      <c r="BM315" s="717"/>
      <c r="BN315" s="717">
        <f t="shared" si="675"/>
        <v>3827171.2339909161</v>
      </c>
      <c r="BO315" s="717"/>
      <c r="BP315" s="717">
        <f t="shared" si="634"/>
        <v>3827171.2339909161</v>
      </c>
      <c r="BQ315" s="717"/>
      <c r="BR315" s="717">
        <f t="shared" si="738"/>
        <v>3827171.2339909161</v>
      </c>
      <c r="BS315" s="717"/>
      <c r="BT315" s="717">
        <f t="shared" si="676"/>
        <v>3827171.2339909161</v>
      </c>
      <c r="BU315" s="717"/>
      <c r="BV315" s="1235">
        <f t="shared" si="739"/>
        <v>51400</v>
      </c>
      <c r="BW315" s="717">
        <f t="shared" si="677"/>
        <v>3878571.2339909161</v>
      </c>
      <c r="BX315" s="717"/>
      <c r="BY315" s="717">
        <f t="shared" si="678"/>
        <v>3878571.2339909161</v>
      </c>
      <c r="BZ315" s="1194">
        <f t="shared" si="679"/>
        <v>3878571.2339909161</v>
      </c>
      <c r="CA315" s="1194">
        <f t="shared" si="680"/>
        <v>3042571.2339909161</v>
      </c>
      <c r="CB315" s="1194">
        <v>38000</v>
      </c>
      <c r="CC315" s="1194">
        <f t="shared" si="681"/>
        <v>836000</v>
      </c>
      <c r="CD315" s="1194">
        <f t="shared" si="682"/>
        <v>100320</v>
      </c>
      <c r="CE315" s="1194">
        <f t="shared" si="683"/>
        <v>936320</v>
      </c>
      <c r="CF315" s="1200">
        <f t="shared" si="684"/>
        <v>3978891.2339909161</v>
      </c>
      <c r="CG315" s="757">
        <f t="shared" si="685"/>
        <v>3978891.2339909161</v>
      </c>
      <c r="CH315" s="758">
        <f t="shared" si="686"/>
        <v>0</v>
      </c>
      <c r="CI315" s="757">
        <f t="shared" si="635"/>
        <v>407836.35148406884</v>
      </c>
      <c r="CJ315" s="757">
        <f t="shared" si="636"/>
        <v>99472.280849772913</v>
      </c>
      <c r="CK315" s="759">
        <f t="shared" si="747"/>
        <v>4486199.8663247572</v>
      </c>
      <c r="CL315" s="764">
        <f t="shared" si="687"/>
        <v>0.125</v>
      </c>
      <c r="CM315" s="757">
        <f t="shared" si="688"/>
        <v>560774.98329059465</v>
      </c>
      <c r="CN315" s="757">
        <f t="shared" si="730"/>
        <v>30000</v>
      </c>
      <c r="CO315" s="757">
        <f t="shared" si="689"/>
        <v>530774.98329059465</v>
      </c>
      <c r="CP315" s="755">
        <f t="shared" si="690"/>
        <v>30</v>
      </c>
      <c r="CQ315" s="757">
        <f t="shared" si="732"/>
        <v>17692.49944301982</v>
      </c>
      <c r="CR315" s="764">
        <f t="shared" si="691"/>
        <v>0.875</v>
      </c>
      <c r="CS315" s="757">
        <f t="shared" si="692"/>
        <v>3925424.8830341627</v>
      </c>
      <c r="CT315" s="1101">
        <f t="shared" si="693"/>
        <v>30433.777336682313</v>
      </c>
      <c r="CU315" s="1101">
        <f t="shared" si="694"/>
        <v>35282.828599786866</v>
      </c>
      <c r="CV315" s="1101">
        <f t="shared" si="695"/>
        <v>45577.511345604187</v>
      </c>
      <c r="CW315" s="1141">
        <f t="shared" si="637"/>
        <v>77728.117464187817</v>
      </c>
      <c r="CX315" s="1152">
        <f t="shared" si="696"/>
        <v>318874.74026793323</v>
      </c>
      <c r="CY315" s="1152">
        <f t="shared" si="697"/>
        <v>126177.18139598006</v>
      </c>
      <c r="CZ315" s="1152">
        <f t="shared" si="698"/>
        <v>91135.991050341981</v>
      </c>
      <c r="DA315" s="1152">
        <f t="shared" si="699"/>
        <v>69358.684873640115</v>
      </c>
      <c r="DB315" s="1143">
        <f t="shared" si="638"/>
        <v>0.18193833081629268</v>
      </c>
      <c r="DC315" s="1143">
        <f t="shared" si="700"/>
        <v>0.30773971354873969</v>
      </c>
      <c r="DD315" s="1098" t="s">
        <v>232</v>
      </c>
      <c r="DE315" s="1144"/>
      <c r="DF315" s="705"/>
      <c r="DG315" s="765">
        <f t="shared" si="731"/>
        <v>46082</v>
      </c>
      <c r="DH315" s="1116">
        <f t="shared" si="639"/>
        <v>28</v>
      </c>
      <c r="DI315" s="497"/>
      <c r="DJ315" s="1117">
        <f t="shared" si="701"/>
        <v>46147</v>
      </c>
      <c r="DK315" s="1116">
        <f t="shared" si="702"/>
        <v>30</v>
      </c>
      <c r="DL315" s="766" t="s">
        <v>233</v>
      </c>
      <c r="DM315" s="766" t="s">
        <v>234</v>
      </c>
      <c r="DN315" s="767">
        <f t="shared" si="640"/>
        <v>27786.945070124697</v>
      </c>
      <c r="DO315" s="767">
        <f t="shared" si="641"/>
        <v>611312.79154274333</v>
      </c>
      <c r="DP315" s="768">
        <f t="shared" si="642"/>
        <v>0.20377093051424777</v>
      </c>
      <c r="DR315" s="767">
        <f t="shared" si="643"/>
        <v>3978891.2339909161</v>
      </c>
      <c r="DS315" s="767">
        <f>SUM('[6]INTERNAL PRICELIST'!M315)</f>
        <v>0</v>
      </c>
      <c r="DT315" s="767">
        <f t="shared" si="703"/>
        <v>3978891.2339909161</v>
      </c>
      <c r="DV315" s="951">
        <f t="shared" si="644"/>
        <v>180858.69245413254</v>
      </c>
      <c r="DX315" s="781"/>
      <c r="DY315" s="782"/>
      <c r="DZ315" s="781"/>
      <c r="EA315" s="775"/>
      <c r="ED315" s="755" t="s">
        <v>777</v>
      </c>
      <c r="EE315" s="777" t="b">
        <f t="shared" si="645"/>
        <v>1</v>
      </c>
      <c r="EF315" s="777"/>
      <c r="EG315" s="777"/>
      <c r="EH315" s="1203"/>
      <c r="EP315" s="1230" t="s">
        <v>236</v>
      </c>
      <c r="EQ315" s="1145" t="s">
        <v>236</v>
      </c>
      <c r="ER315" s="753" t="b">
        <f t="shared" si="704"/>
        <v>1</v>
      </c>
      <c r="EU315" s="770">
        <v>3184197.1274007284</v>
      </c>
      <c r="EV315" s="771" t="s">
        <v>258</v>
      </c>
      <c r="EW315" s="775">
        <f>EU315-CG315</f>
        <v>-794694.10659018764</v>
      </c>
      <c r="EY315" s="775">
        <v>3150356.9644477991</v>
      </c>
      <c r="FJ315" s="994">
        <v>0.15</v>
      </c>
      <c r="FK315" s="993">
        <v>13708.740137105633</v>
      </c>
      <c r="FL315" s="993">
        <v>14079.246627297678</v>
      </c>
      <c r="FM315" s="497"/>
      <c r="FN315" s="993">
        <f t="shared" si="646"/>
        <v>4486199.8663247572</v>
      </c>
      <c r="FO315" s="994">
        <f t="shared" ref="FO315:FO316" si="766">FJ315</f>
        <v>0.15</v>
      </c>
      <c r="FP315" s="775">
        <f t="shared" si="647"/>
        <v>672929.97994871356</v>
      </c>
      <c r="FQ315" s="993">
        <f t="shared" si="648"/>
        <v>30000</v>
      </c>
      <c r="FR315" s="775">
        <f t="shared" si="706"/>
        <v>642929.97994871356</v>
      </c>
      <c r="FS315" s="497">
        <f t="shared" si="707"/>
        <v>40</v>
      </c>
      <c r="FT315" s="775">
        <f t="shared" si="708"/>
        <v>16073.24949871784</v>
      </c>
      <c r="FU315" s="497"/>
      <c r="FV315" s="993">
        <f t="shared" si="709"/>
        <v>4486199.8663247572</v>
      </c>
      <c r="FW315" s="705">
        <f t="shared" si="710"/>
        <v>448619.98663247575</v>
      </c>
      <c r="FX315" s="705">
        <f t="shared" si="711"/>
        <v>112154.99665811894</v>
      </c>
      <c r="FY315" s="705">
        <v>15000</v>
      </c>
      <c r="FZ315" s="705">
        <f t="shared" si="712"/>
        <v>433619.98663247575</v>
      </c>
      <c r="GA315" s="497">
        <f t="shared" si="713"/>
        <v>46</v>
      </c>
      <c r="GB315" s="775">
        <f t="shared" si="714"/>
        <v>9426.5214485320812</v>
      </c>
      <c r="GC315" s="497"/>
      <c r="GD315" s="497"/>
      <c r="GH315" s="1095">
        <f t="shared" si="613"/>
        <v>4486199.8663247572</v>
      </c>
      <c r="GI315" s="1098">
        <f t="shared" si="614"/>
        <v>0.125</v>
      </c>
      <c r="GJ315" s="1095">
        <f t="shared" si="615"/>
        <v>560774.98329059465</v>
      </c>
      <c r="GK315" s="1095">
        <f t="shared" si="616"/>
        <v>30000</v>
      </c>
      <c r="GL315" s="1095">
        <f t="shared" si="617"/>
        <v>530774.98329059465</v>
      </c>
      <c r="GM315" s="1095">
        <f t="shared" si="618"/>
        <v>30</v>
      </c>
      <c r="GN315" s="1095">
        <f t="shared" si="619"/>
        <v>17692.49944301982</v>
      </c>
      <c r="GO315" s="1098">
        <f t="shared" si="620"/>
        <v>0.875</v>
      </c>
      <c r="GP315" s="1095">
        <f t="shared" si="621"/>
        <v>3925424.8830341627</v>
      </c>
      <c r="GQ315" s="1095">
        <f t="shared" si="622"/>
        <v>30433.777336682313</v>
      </c>
      <c r="GR315" s="1095">
        <f t="shared" si="623"/>
        <v>35282.828599786866</v>
      </c>
      <c r="GS315" s="1095">
        <f t="shared" si="624"/>
        <v>45577.511345604187</v>
      </c>
      <c r="GT315" s="1095">
        <f t="shared" si="625"/>
        <v>77728.117464187817</v>
      </c>
      <c r="GU315" s="497"/>
      <c r="GV315" s="1095">
        <f t="shared" si="715"/>
        <v>4486199.8663247572</v>
      </c>
      <c r="GW315" s="1098">
        <f t="shared" si="716"/>
        <v>0.125</v>
      </c>
      <c r="GX315" s="1095">
        <f t="shared" si="717"/>
        <v>560774.98329059465</v>
      </c>
      <c r="GY315" s="1095">
        <f t="shared" si="718"/>
        <v>30000</v>
      </c>
      <c r="GZ315" s="1095">
        <f t="shared" si="719"/>
        <v>530774.98329059465</v>
      </c>
      <c r="HA315" s="1106">
        <f t="shared" si="720"/>
        <v>48</v>
      </c>
      <c r="HB315" s="770">
        <f t="shared" si="721"/>
        <v>11057.812151887389</v>
      </c>
      <c r="HC315" s="1098">
        <f t="shared" si="722"/>
        <v>0.875</v>
      </c>
      <c r="HD315" s="1102">
        <f t="shared" si="723"/>
        <v>3925424.8830341627</v>
      </c>
      <c r="HE315" s="1101">
        <f t="shared" si="724"/>
        <v>30433.777336682313</v>
      </c>
      <c r="HF315" s="1101">
        <f t="shared" si="725"/>
        <v>35282.828599786866</v>
      </c>
      <c r="HG315" s="1101">
        <f t="shared" si="726"/>
        <v>45577.511345604187</v>
      </c>
      <c r="HH315" s="1101">
        <f t="shared" si="727"/>
        <v>77728.117464187817</v>
      </c>
      <c r="HI315" s="497"/>
      <c r="HJ315" s="1102">
        <f t="shared" si="728"/>
        <v>-6634.6872911324317</v>
      </c>
      <c r="HL315" s="775"/>
      <c r="HN315" s="775"/>
      <c r="HO315" s="775"/>
      <c r="HQ315" s="702"/>
      <c r="HR315" s="1171"/>
      <c r="HS315" s="702"/>
      <c r="HT315" s="1171"/>
    </row>
    <row r="316" spans="1:228" ht="14.25" hidden="1" customHeight="1">
      <c r="A316" s="753">
        <f t="shared" si="729"/>
        <v>310</v>
      </c>
      <c r="B316" s="753"/>
      <c r="C316" s="753">
        <f t="shared" si="745"/>
        <v>31</v>
      </c>
      <c r="D316" s="753" t="s">
        <v>287</v>
      </c>
      <c r="E316" s="717" t="str">
        <f t="shared" si="649"/>
        <v>12th Floor</v>
      </c>
      <c r="F316" s="754"/>
      <c r="G316" s="756" t="s">
        <v>778</v>
      </c>
      <c r="H316" s="756"/>
      <c r="I316" s="755" t="s">
        <v>229</v>
      </c>
      <c r="J316" s="757">
        <v>22</v>
      </c>
      <c r="K316" s="758"/>
      <c r="L316" s="759" t="s">
        <v>277</v>
      </c>
      <c r="M316" s="760" t="s">
        <v>278</v>
      </c>
      <c r="N316" s="761">
        <f t="shared" si="650"/>
        <v>106005.26567735759</v>
      </c>
      <c r="O316" s="762">
        <f t="shared" si="651"/>
        <v>2332115.8449018667</v>
      </c>
      <c r="P316" s="762">
        <f t="shared" si="652"/>
        <v>22400</v>
      </c>
      <c r="Q316" s="762">
        <f t="shared" si="626"/>
        <v>50000</v>
      </c>
      <c r="R316" s="762"/>
      <c r="S316" s="762"/>
      <c r="T316" s="762"/>
      <c r="U316" s="762"/>
      <c r="V316" s="762"/>
      <c r="W316" s="762">
        <f>J316*$W$5</f>
        <v>22000</v>
      </c>
      <c r="X316" s="762"/>
      <c r="Y316" s="762">
        <f t="shared" si="746"/>
        <v>160000</v>
      </c>
      <c r="Z316" s="762">
        <f t="shared" si="627"/>
        <v>142461</v>
      </c>
      <c r="AA316" s="762"/>
      <c r="AB316" s="762"/>
      <c r="AC316" s="762"/>
      <c r="AD316" s="763">
        <f t="shared" si="653"/>
        <v>396861</v>
      </c>
      <c r="AE316" s="763">
        <f t="shared" si="628"/>
        <v>2728976.8449018667</v>
      </c>
      <c r="AF316" s="762">
        <f t="shared" si="629"/>
        <v>68224.421122546672</v>
      </c>
      <c r="AG316" s="762">
        <f t="shared" si="654"/>
        <v>2797201.2660244135</v>
      </c>
      <c r="AH316" s="762">
        <f t="shared" si="630"/>
        <v>69930.031650610341</v>
      </c>
      <c r="AI316" s="762">
        <f t="shared" si="655"/>
        <v>2867131.2976750238</v>
      </c>
      <c r="AJ316" s="762">
        <f t="shared" si="656"/>
        <v>143356.56488375118</v>
      </c>
      <c r="AK316" s="762">
        <f t="shared" si="657"/>
        <v>3010487.8625587751</v>
      </c>
      <c r="AL316" s="762">
        <f t="shared" si="658"/>
        <v>30104.878625587753</v>
      </c>
      <c r="AM316" s="762">
        <f t="shared" si="659"/>
        <v>27537.409960060559</v>
      </c>
      <c r="AN316" s="762"/>
      <c r="AO316" s="763">
        <f t="shared" si="660"/>
        <v>3068130.1511444231</v>
      </c>
      <c r="AP316" s="763">
        <f t="shared" si="661"/>
        <v>506241.47493882984</v>
      </c>
      <c r="AQ316" s="763">
        <f t="shared" si="662"/>
        <v>3574371.626083253</v>
      </c>
      <c r="AR316" s="1178">
        <f t="shared" si="631"/>
        <v>3000000</v>
      </c>
      <c r="AS316" s="1178">
        <f t="shared" si="663"/>
        <v>26107.801185602406</v>
      </c>
      <c r="AT316" s="1178">
        <f t="shared" si="664"/>
        <v>574371.62608325295</v>
      </c>
      <c r="AU316" s="1178">
        <f t="shared" si="632"/>
        <v>68924.595129990354</v>
      </c>
      <c r="AV316" s="1178">
        <f t="shared" si="665"/>
        <v>643296.22121324332</v>
      </c>
      <c r="AW316" s="1178">
        <f t="shared" si="666"/>
        <v>3643296.2212132434</v>
      </c>
      <c r="AX316" s="762">
        <f t="shared" si="667"/>
        <v>45541.202765165544</v>
      </c>
      <c r="AY316" s="717" t="s">
        <v>231</v>
      </c>
      <c r="AZ316" s="717">
        <f t="shared" si="668"/>
        <v>3688837.4239784088</v>
      </c>
      <c r="BA316" s="717">
        <f t="shared" si="669"/>
        <v>138331.40339919031</v>
      </c>
      <c r="BB316" s="717"/>
      <c r="BC316" s="717">
        <f t="shared" si="633"/>
        <v>33600</v>
      </c>
      <c r="BD316" s="717">
        <f t="shared" si="670"/>
        <v>3860768.8273775992</v>
      </c>
      <c r="BE316" s="717"/>
      <c r="BF316" s="717">
        <f t="shared" si="671"/>
        <v>3860768.8273775992</v>
      </c>
      <c r="BG316" s="1209"/>
      <c r="BH316" s="717">
        <f t="shared" si="672"/>
        <v>3860768.8273775992</v>
      </c>
      <c r="BI316" s="717"/>
      <c r="BJ316" s="717">
        <f t="shared" si="673"/>
        <v>3860768.8273775992</v>
      </c>
      <c r="BK316" s="717"/>
      <c r="BL316" s="717">
        <f t="shared" si="674"/>
        <v>3860768.8273775992</v>
      </c>
      <c r="BM316" s="717"/>
      <c r="BN316" s="717">
        <f t="shared" si="675"/>
        <v>3860768.8273775992</v>
      </c>
      <c r="BO316" s="717"/>
      <c r="BP316" s="717">
        <f t="shared" si="634"/>
        <v>3860768.8273775992</v>
      </c>
      <c r="BQ316" s="717"/>
      <c r="BR316" s="717">
        <f t="shared" si="738"/>
        <v>3860768.8273775992</v>
      </c>
      <c r="BS316" s="717"/>
      <c r="BT316" s="717">
        <f t="shared" si="676"/>
        <v>3860768.8273775992</v>
      </c>
      <c r="BU316" s="717"/>
      <c r="BV316" s="1235">
        <f t="shared" si="739"/>
        <v>51400</v>
      </c>
      <c r="BW316" s="717">
        <f t="shared" si="677"/>
        <v>3912168.8273775992</v>
      </c>
      <c r="BX316" s="717"/>
      <c r="BY316" s="717">
        <f t="shared" si="678"/>
        <v>3912168.8273775992</v>
      </c>
      <c r="BZ316" s="1194">
        <f t="shared" si="679"/>
        <v>3912168.8273775992</v>
      </c>
      <c r="CA316" s="1194">
        <f t="shared" si="680"/>
        <v>3032168.8273775992</v>
      </c>
      <c r="CB316" s="1194">
        <v>40000</v>
      </c>
      <c r="CC316" s="1194">
        <f t="shared" si="681"/>
        <v>880000</v>
      </c>
      <c r="CD316" s="1194">
        <f t="shared" si="682"/>
        <v>105600</v>
      </c>
      <c r="CE316" s="1194">
        <f t="shared" si="683"/>
        <v>985600</v>
      </c>
      <c r="CF316" s="1200">
        <f t="shared" si="684"/>
        <v>4017768.8273775992</v>
      </c>
      <c r="CG316" s="757">
        <f t="shared" si="685"/>
        <v>4017768.8273775992</v>
      </c>
      <c r="CH316" s="758">
        <f t="shared" si="686"/>
        <v>0</v>
      </c>
      <c r="CI316" s="757">
        <f t="shared" si="635"/>
        <v>411821.30480620387</v>
      </c>
      <c r="CJ316" s="757">
        <f t="shared" si="636"/>
        <v>100444.22068443999</v>
      </c>
      <c r="CK316" s="759">
        <f t="shared" si="747"/>
        <v>4530034.3528682431</v>
      </c>
      <c r="CL316" s="764">
        <f t="shared" si="687"/>
        <v>0.125</v>
      </c>
      <c r="CM316" s="757">
        <f t="shared" si="688"/>
        <v>566254.29410853039</v>
      </c>
      <c r="CN316" s="757">
        <f t="shared" si="730"/>
        <v>30000</v>
      </c>
      <c r="CO316" s="757">
        <f t="shared" si="689"/>
        <v>536254.29410853039</v>
      </c>
      <c r="CP316" s="755">
        <f t="shared" si="690"/>
        <v>30</v>
      </c>
      <c r="CQ316" s="757">
        <f t="shared" si="732"/>
        <v>17875.143136951014</v>
      </c>
      <c r="CR316" s="764">
        <f t="shared" si="691"/>
        <v>0.875</v>
      </c>
      <c r="CS316" s="757">
        <f t="shared" si="692"/>
        <v>3963780.0587597126</v>
      </c>
      <c r="CT316" s="1101">
        <f t="shared" si="693"/>
        <v>30731.144605837257</v>
      </c>
      <c r="CU316" s="1101">
        <f t="shared" si="694"/>
        <v>35627.575762543238</v>
      </c>
      <c r="CV316" s="1101">
        <f t="shared" si="695"/>
        <v>46022.84745796986</v>
      </c>
      <c r="CW316" s="1141">
        <f t="shared" si="637"/>
        <v>78487.595913779413</v>
      </c>
      <c r="CX316" s="1152">
        <f t="shared" si="696"/>
        <v>321990.45310459367</v>
      </c>
      <c r="CY316" s="1152">
        <f t="shared" si="697"/>
        <v>127410.05378793798</v>
      </c>
      <c r="CZ316" s="1152">
        <f t="shared" si="698"/>
        <v>92026.477317641591</v>
      </c>
      <c r="DA316" s="1152">
        <f t="shared" si="699"/>
        <v>70036.385918925502</v>
      </c>
      <c r="DB316" s="1143">
        <f t="shared" si="638"/>
        <v>0.19145720869441765</v>
      </c>
      <c r="DC316" s="1143">
        <f t="shared" si="700"/>
        <v>0.32504786379339101</v>
      </c>
      <c r="DD316" s="1098" t="s">
        <v>232</v>
      </c>
      <c r="DE316" s="1144"/>
      <c r="DF316" s="705"/>
      <c r="DG316" s="765">
        <f t="shared" si="731"/>
        <v>46082</v>
      </c>
      <c r="DH316" s="1116">
        <f t="shared" si="639"/>
        <v>28</v>
      </c>
      <c r="DI316" s="497"/>
      <c r="DJ316" s="1117">
        <f t="shared" si="701"/>
        <v>46147</v>
      </c>
      <c r="DK316" s="1116">
        <f t="shared" si="702"/>
        <v>30</v>
      </c>
      <c r="DL316" s="766" t="s">
        <v>233</v>
      </c>
      <c r="DM316" s="766" t="s">
        <v>234</v>
      </c>
      <c r="DN316" s="767">
        <f t="shared" si="640"/>
        <v>29240.737327874696</v>
      </c>
      <c r="DO316" s="767">
        <f t="shared" si="641"/>
        <v>643296.22121324332</v>
      </c>
      <c r="DP316" s="768">
        <f t="shared" si="642"/>
        <v>0.21443207373774778</v>
      </c>
      <c r="DR316" s="767">
        <f t="shared" si="643"/>
        <v>4017768.8273775992</v>
      </c>
      <c r="DS316" s="767">
        <f>SUM('[6]INTERNAL PRICELIST'!M316)</f>
        <v>0</v>
      </c>
      <c r="DT316" s="767">
        <f t="shared" si="703"/>
        <v>4017768.8273775992</v>
      </c>
      <c r="DV316" s="951">
        <f t="shared" si="644"/>
        <v>182625.85578989086</v>
      </c>
      <c r="DX316" s="781"/>
      <c r="DY316" s="782"/>
      <c r="DZ316" s="781"/>
      <c r="EA316" s="775"/>
      <c r="ED316" s="755" t="s">
        <v>778</v>
      </c>
      <c r="EE316" s="777" t="b">
        <f t="shared" si="645"/>
        <v>1</v>
      </c>
      <c r="EF316" s="777"/>
      <c r="EG316" s="777"/>
      <c r="EH316" s="1203"/>
      <c r="EP316" s="1230" t="s">
        <v>236</v>
      </c>
      <c r="EQ316" s="1145" t="s">
        <v>236</v>
      </c>
      <c r="ER316" s="753" t="b">
        <f t="shared" si="704"/>
        <v>1</v>
      </c>
      <c r="EU316" s="770">
        <v>3212026.0824007285</v>
      </c>
      <c r="EV316" s="771" t="s">
        <v>258</v>
      </c>
      <c r="EW316" s="775">
        <f>EU316-CG316</f>
        <v>-805742.74497687072</v>
      </c>
      <c r="EY316" s="775">
        <v>3177939.6655552988</v>
      </c>
      <c r="FJ316" s="994">
        <v>0.15</v>
      </c>
      <c r="FK316" s="993">
        <v>13830.926663941489</v>
      </c>
      <c r="FL316" s="993">
        <v>14204.735492696665</v>
      </c>
      <c r="FM316" s="497"/>
      <c r="FN316" s="993">
        <f t="shared" si="646"/>
        <v>4530034.3528682431</v>
      </c>
      <c r="FO316" s="994">
        <f t="shared" si="766"/>
        <v>0.15</v>
      </c>
      <c r="FP316" s="775">
        <f t="shared" si="647"/>
        <v>679505.15293023642</v>
      </c>
      <c r="FQ316" s="993">
        <f t="shared" si="648"/>
        <v>30000</v>
      </c>
      <c r="FR316" s="775">
        <f t="shared" si="706"/>
        <v>649505.15293023642</v>
      </c>
      <c r="FS316" s="497">
        <f t="shared" si="707"/>
        <v>40</v>
      </c>
      <c r="FT316" s="775">
        <f t="shared" si="708"/>
        <v>16237.628823255911</v>
      </c>
      <c r="FU316" s="497"/>
      <c r="FV316" s="993">
        <f t="shared" si="709"/>
        <v>4530034.3528682431</v>
      </c>
      <c r="FW316" s="705">
        <f t="shared" si="710"/>
        <v>453003.43528682436</v>
      </c>
      <c r="FX316" s="705">
        <f t="shared" si="711"/>
        <v>113250.85882170609</v>
      </c>
      <c r="FY316" s="705">
        <v>15000</v>
      </c>
      <c r="FZ316" s="705">
        <f t="shared" si="712"/>
        <v>438003.43528682436</v>
      </c>
      <c r="GA316" s="497">
        <f t="shared" si="713"/>
        <v>46</v>
      </c>
      <c r="GB316" s="775">
        <f t="shared" si="714"/>
        <v>9521.8138105831385</v>
      </c>
      <c r="GC316" s="497"/>
      <c r="GD316" s="497"/>
      <c r="GH316" s="1095">
        <f t="shared" si="613"/>
        <v>4530034.3528682431</v>
      </c>
      <c r="GI316" s="1098">
        <f t="shared" si="614"/>
        <v>0.125</v>
      </c>
      <c r="GJ316" s="1095">
        <f t="shared" si="615"/>
        <v>566254.29410853039</v>
      </c>
      <c r="GK316" s="1095">
        <f t="shared" si="616"/>
        <v>30000</v>
      </c>
      <c r="GL316" s="1095">
        <f t="shared" si="617"/>
        <v>536254.29410853039</v>
      </c>
      <c r="GM316" s="1095">
        <f t="shared" si="618"/>
        <v>30</v>
      </c>
      <c r="GN316" s="1095">
        <f t="shared" si="619"/>
        <v>17875.143136951014</v>
      </c>
      <c r="GO316" s="1098">
        <f t="shared" si="620"/>
        <v>0.875</v>
      </c>
      <c r="GP316" s="1095">
        <f t="shared" si="621"/>
        <v>3963780.0587597126</v>
      </c>
      <c r="GQ316" s="1095">
        <f t="shared" si="622"/>
        <v>30731.144605837257</v>
      </c>
      <c r="GR316" s="1095">
        <f t="shared" si="623"/>
        <v>35627.575762543238</v>
      </c>
      <c r="GS316" s="1095">
        <f t="shared" si="624"/>
        <v>46022.84745796986</v>
      </c>
      <c r="GT316" s="1095">
        <f t="shared" si="625"/>
        <v>78487.595913779413</v>
      </c>
      <c r="GU316" s="497"/>
      <c r="GV316" s="1095">
        <f t="shared" si="715"/>
        <v>4530034.3528682431</v>
      </c>
      <c r="GW316" s="1098">
        <f t="shared" si="716"/>
        <v>0.125</v>
      </c>
      <c r="GX316" s="1095">
        <f t="shared" si="717"/>
        <v>566254.29410853039</v>
      </c>
      <c r="GY316" s="1095">
        <f t="shared" si="718"/>
        <v>30000</v>
      </c>
      <c r="GZ316" s="1095">
        <f t="shared" si="719"/>
        <v>536254.29410853039</v>
      </c>
      <c r="HA316" s="1106">
        <f t="shared" si="720"/>
        <v>48</v>
      </c>
      <c r="HB316" s="770">
        <f t="shared" si="721"/>
        <v>11171.964460594383</v>
      </c>
      <c r="HC316" s="1098">
        <f t="shared" si="722"/>
        <v>0.875</v>
      </c>
      <c r="HD316" s="1102">
        <f t="shared" si="723"/>
        <v>3963780.0587597126</v>
      </c>
      <c r="HE316" s="1101">
        <f t="shared" si="724"/>
        <v>30731.144605837257</v>
      </c>
      <c r="HF316" s="1101">
        <f t="shared" si="725"/>
        <v>35627.575762543238</v>
      </c>
      <c r="HG316" s="1101">
        <f t="shared" si="726"/>
        <v>46022.84745796986</v>
      </c>
      <c r="HH316" s="1101">
        <f t="shared" si="727"/>
        <v>78487.595913779413</v>
      </c>
      <c r="HI316" s="497"/>
      <c r="HJ316" s="1102">
        <f t="shared" si="728"/>
        <v>-6703.1786763566306</v>
      </c>
      <c r="HL316" s="775"/>
      <c r="HN316" s="775"/>
      <c r="HO316" s="775"/>
      <c r="HQ316" s="702"/>
      <c r="HR316" s="1171"/>
      <c r="HS316" s="702"/>
      <c r="HT316" s="1171"/>
    </row>
    <row r="317" spans="1:228" ht="14.25" customHeight="1">
      <c r="A317" s="753">
        <f t="shared" si="729"/>
        <v>311</v>
      </c>
      <c r="B317" s="753"/>
      <c r="C317" s="753">
        <v>1</v>
      </c>
      <c r="D317" s="753" t="s">
        <v>779</v>
      </c>
      <c r="E317" s="717" t="s">
        <v>292</v>
      </c>
      <c r="F317" s="754"/>
      <c r="G317" s="756" t="s">
        <v>780</v>
      </c>
      <c r="H317" s="756"/>
      <c r="I317" s="755" t="s">
        <v>229</v>
      </c>
      <c r="J317" s="757">
        <v>22</v>
      </c>
      <c r="K317" s="758"/>
      <c r="L317" s="759" t="s">
        <v>69</v>
      </c>
      <c r="M317" s="760" t="s">
        <v>230</v>
      </c>
      <c r="N317" s="761">
        <f t="shared" si="650"/>
        <v>106005.26567735759</v>
      </c>
      <c r="O317" s="762">
        <f t="shared" si="651"/>
        <v>2332115.8449018667</v>
      </c>
      <c r="P317" s="762">
        <f t="shared" si="652"/>
        <v>22400</v>
      </c>
      <c r="Q317" s="762">
        <f t="shared" si="626"/>
        <v>50000</v>
      </c>
      <c r="R317" s="762"/>
      <c r="S317" s="762"/>
      <c r="T317" s="762"/>
      <c r="U317" s="762"/>
      <c r="V317" s="762">
        <f>J317*$V$5</f>
        <v>55000</v>
      </c>
      <c r="W317" s="762"/>
      <c r="X317" s="762"/>
      <c r="Y317" s="762">
        <f>Y316+Y5</f>
        <v>180000</v>
      </c>
      <c r="Z317" s="762">
        <f t="shared" si="627"/>
        <v>142461</v>
      </c>
      <c r="AA317" s="762"/>
      <c r="AB317" s="762"/>
      <c r="AC317" s="762"/>
      <c r="AD317" s="763">
        <f t="shared" si="653"/>
        <v>449861</v>
      </c>
      <c r="AE317" s="763">
        <f t="shared" si="628"/>
        <v>2781976.8449018667</v>
      </c>
      <c r="AF317" s="762">
        <f t="shared" si="629"/>
        <v>69549.421122546672</v>
      </c>
      <c r="AG317" s="762">
        <f t="shared" si="654"/>
        <v>2851526.2660244135</v>
      </c>
      <c r="AH317" s="762">
        <f t="shared" si="630"/>
        <v>71288.156650610341</v>
      </c>
      <c r="AI317" s="762">
        <f t="shared" si="655"/>
        <v>2922814.4226750238</v>
      </c>
      <c r="AJ317" s="762">
        <f t="shared" si="656"/>
        <v>146140.72113375118</v>
      </c>
      <c r="AK317" s="762">
        <f t="shared" si="657"/>
        <v>3068955.1438087751</v>
      </c>
      <c r="AL317" s="762">
        <f t="shared" si="658"/>
        <v>30689.55143808775</v>
      </c>
      <c r="AM317" s="762">
        <f t="shared" si="659"/>
        <v>27537.409960060559</v>
      </c>
      <c r="AN317" s="762"/>
      <c r="AO317" s="763">
        <f t="shared" si="660"/>
        <v>3127182.1052069231</v>
      </c>
      <c r="AP317" s="763">
        <f t="shared" si="661"/>
        <v>515985.04735914234</v>
      </c>
      <c r="AQ317" s="763">
        <f t="shared" si="662"/>
        <v>3643167.1525660655</v>
      </c>
      <c r="AR317" s="1178">
        <f t="shared" si="631"/>
        <v>3000000</v>
      </c>
      <c r="AS317" s="1178">
        <f t="shared" si="663"/>
        <v>29234.870571184798</v>
      </c>
      <c r="AT317" s="1178">
        <f t="shared" si="664"/>
        <v>643167.15256606555</v>
      </c>
      <c r="AU317" s="1178">
        <f t="shared" si="632"/>
        <v>77180.058307927859</v>
      </c>
      <c r="AV317" s="1178">
        <f t="shared" si="665"/>
        <v>720347.21087399335</v>
      </c>
      <c r="AW317" s="1178">
        <f t="shared" si="666"/>
        <v>3720347.2108739936</v>
      </c>
      <c r="AX317" s="762">
        <f t="shared" si="667"/>
        <v>46504.340135924926</v>
      </c>
      <c r="AY317" s="717" t="s">
        <v>231</v>
      </c>
      <c r="AZ317" s="717">
        <f t="shared" si="668"/>
        <v>3766851.5510099186</v>
      </c>
      <c r="BA317" s="717">
        <f t="shared" si="669"/>
        <v>141256.93316287195</v>
      </c>
      <c r="BB317" s="717"/>
      <c r="BC317" s="717">
        <f t="shared" si="633"/>
        <v>33600</v>
      </c>
      <c r="BD317" s="717">
        <f t="shared" si="670"/>
        <v>3941708.4841727903</v>
      </c>
      <c r="BE317" s="717"/>
      <c r="BF317" s="717">
        <f t="shared" si="671"/>
        <v>3941708.4841727903</v>
      </c>
      <c r="BG317" s="1209"/>
      <c r="BH317" s="717">
        <f t="shared" si="672"/>
        <v>3941708.4841727903</v>
      </c>
      <c r="BI317" s="717"/>
      <c r="BJ317" s="717">
        <f t="shared" si="673"/>
        <v>3941708.4841727903</v>
      </c>
      <c r="BK317" s="717"/>
      <c r="BL317" s="717">
        <f t="shared" si="674"/>
        <v>3941708.4841727903</v>
      </c>
      <c r="BM317" s="717"/>
      <c r="BN317" s="717">
        <f t="shared" si="675"/>
        <v>3941708.4841727903</v>
      </c>
      <c r="BO317" s="717">
        <f t="shared" ref="BO317:BO318" si="767">$BO$5/51</f>
        <v>7289.0781490196077</v>
      </c>
      <c r="BP317" s="717">
        <f t="shared" si="634"/>
        <v>3948997.5623218101</v>
      </c>
      <c r="BQ317" s="717">
        <f t="shared" ref="BQ317:BQ318" si="768">$BQ$5/56</f>
        <v>4468.4242000000004</v>
      </c>
      <c r="BR317" s="717">
        <f t="shared" si="738"/>
        <v>3953465.9865218098</v>
      </c>
      <c r="BS317" s="1234">
        <f t="shared" ref="BS317:BS318" si="769">$BS$5/64</f>
        <v>2651.4786794501206</v>
      </c>
      <c r="BT317" s="1235">
        <f t="shared" si="676"/>
        <v>3956117.4652012601</v>
      </c>
      <c r="BU317" s="1235">
        <f t="shared" ref="BU317:BU318" si="770">$BU$5/65</f>
        <v>211.07692307692309</v>
      </c>
      <c r="BV317" s="1235">
        <f t="shared" si="739"/>
        <v>51400</v>
      </c>
      <c r="BW317" s="717">
        <f t="shared" si="677"/>
        <v>4007728.5421243371</v>
      </c>
      <c r="BX317" s="1234">
        <f t="shared" si="743"/>
        <v>27651.078536278128</v>
      </c>
      <c r="BY317" s="717">
        <f t="shared" si="678"/>
        <v>4035379.6206606152</v>
      </c>
      <c r="BZ317" s="1194">
        <f t="shared" si="679"/>
        <v>4035379.6206606152</v>
      </c>
      <c r="CA317" s="1194">
        <f t="shared" si="680"/>
        <v>3155379.6206606152</v>
      </c>
      <c r="CB317" s="1194">
        <f t="shared" ref="CB317:CB318" si="771">$CB$5</f>
        <v>40000</v>
      </c>
      <c r="CC317" s="1194">
        <f t="shared" si="681"/>
        <v>880000</v>
      </c>
      <c r="CD317" s="1194">
        <f t="shared" si="682"/>
        <v>105600</v>
      </c>
      <c r="CE317" s="1194">
        <f t="shared" si="683"/>
        <v>985600</v>
      </c>
      <c r="CF317" s="1200">
        <f t="shared" si="684"/>
        <v>4140979.6206606152</v>
      </c>
      <c r="CG317" s="757">
        <f t="shared" si="685"/>
        <v>4140979.6206606152</v>
      </c>
      <c r="CH317" s="758">
        <f t="shared" si="686"/>
        <v>0</v>
      </c>
      <c r="CI317" s="757">
        <f t="shared" si="635"/>
        <v>424450.41111771303</v>
      </c>
      <c r="CJ317" s="757">
        <f t="shared" si="636"/>
        <v>103524.49051651539</v>
      </c>
      <c r="CK317" s="759">
        <f t="shared" si="747"/>
        <v>4668954.5222948436</v>
      </c>
      <c r="CL317" s="764">
        <f t="shared" si="687"/>
        <v>0.125</v>
      </c>
      <c r="CM317" s="757">
        <f t="shared" si="688"/>
        <v>583619.31528685545</v>
      </c>
      <c r="CN317" s="757">
        <f t="shared" si="730"/>
        <v>30000</v>
      </c>
      <c r="CO317" s="757">
        <f t="shared" si="689"/>
        <v>553619.31528685545</v>
      </c>
      <c r="CP317" s="755">
        <f t="shared" si="690"/>
        <v>31</v>
      </c>
      <c r="CQ317" s="757">
        <f t="shared" si="732"/>
        <v>17858.687589898564</v>
      </c>
      <c r="CR317" s="764">
        <f t="shared" si="691"/>
        <v>0.875</v>
      </c>
      <c r="CS317" s="757">
        <f t="shared" si="692"/>
        <v>4085335.2070079884</v>
      </c>
      <c r="CT317" s="1101">
        <f t="shared" si="693"/>
        <v>31673.560376396083</v>
      </c>
      <c r="CU317" s="1101">
        <f t="shared" si="694"/>
        <v>36720.147799675324</v>
      </c>
      <c r="CV317" s="1101">
        <f t="shared" si="695"/>
        <v>47434.20579840002</v>
      </c>
      <c r="CW317" s="1141">
        <f t="shared" si="637"/>
        <v>80894.533537845142</v>
      </c>
      <c r="CX317" s="1152">
        <f t="shared" si="696"/>
        <v>331864.76416157628</v>
      </c>
      <c r="CY317" s="1152">
        <f t="shared" si="697"/>
        <v>131317.27057265525</v>
      </c>
      <c r="CZ317" s="1152">
        <f t="shared" si="698"/>
        <v>94848.60466257119</v>
      </c>
      <c r="DA317" s="1152">
        <f t="shared" si="699"/>
        <v>72184.154752449598</v>
      </c>
      <c r="DB317" s="1143">
        <f t="shared" si="638"/>
        <v>0.21438905085535517</v>
      </c>
      <c r="DC317" s="1143">
        <f t="shared" si="700"/>
        <v>0.31235544323939485</v>
      </c>
      <c r="DD317" s="1098" t="s">
        <v>232</v>
      </c>
      <c r="DE317" s="1144"/>
      <c r="DF317" s="705"/>
      <c r="DG317" s="765">
        <f t="shared" si="731"/>
        <v>46082</v>
      </c>
      <c r="DH317" s="1116">
        <f t="shared" si="639"/>
        <v>28</v>
      </c>
      <c r="DI317" s="497"/>
      <c r="DJ317" s="1117">
        <f t="shared" si="701"/>
        <v>46147</v>
      </c>
      <c r="DK317" s="1116">
        <f t="shared" si="702"/>
        <v>30</v>
      </c>
      <c r="DL317" s="766" t="s">
        <v>233</v>
      </c>
      <c r="DM317" s="766" t="s">
        <v>234</v>
      </c>
      <c r="DN317" s="767">
        <f t="shared" si="640"/>
        <v>32743.055039726969</v>
      </c>
      <c r="DO317" s="767">
        <f t="shared" si="641"/>
        <v>720347.21087399335</v>
      </c>
      <c r="DP317" s="768">
        <f t="shared" si="642"/>
        <v>0.24011573695799779</v>
      </c>
      <c r="DR317" s="767">
        <f t="shared" si="643"/>
        <v>4140979.6206606152</v>
      </c>
      <c r="DS317" s="767">
        <f>SUM('[6]INTERNAL PRICELIST'!M317)</f>
        <v>0</v>
      </c>
      <c r="DT317" s="767">
        <f t="shared" si="703"/>
        <v>4140979.6206606152</v>
      </c>
      <c r="DV317" s="951">
        <f t="shared" si="644"/>
        <v>188226.34639366434</v>
      </c>
      <c r="DX317" s="781"/>
      <c r="DY317" s="782"/>
      <c r="DZ317" s="781"/>
      <c r="EA317" s="775"/>
      <c r="ED317" s="1133" t="s">
        <v>780</v>
      </c>
      <c r="EE317" s="777" t="b">
        <f t="shared" si="645"/>
        <v>1</v>
      </c>
      <c r="EF317" s="777"/>
      <c r="EG317" s="777"/>
      <c r="EH317" s="1203"/>
      <c r="EP317" s="1230" t="s">
        <v>258</v>
      </c>
      <c r="EQ317" s="1145" t="s">
        <v>258</v>
      </c>
      <c r="ER317" s="753" t="b">
        <f t="shared" si="704"/>
        <v>1</v>
      </c>
      <c r="EU317" s="770">
        <v>3336715.2478750586</v>
      </c>
      <c r="EV317" s="771" t="s">
        <v>258</v>
      </c>
      <c r="EW317" s="775">
        <f>EU317-CG317</f>
        <v>-804264.3727855566</v>
      </c>
      <c r="EY317" s="775">
        <v>3301525.4769025831</v>
      </c>
      <c r="FJ317" s="994">
        <v>0.15</v>
      </c>
      <c r="FK317" s="993">
        <v>14378.390126488668</v>
      </c>
      <c r="FL317" s="993">
        <v>14766.995265042415</v>
      </c>
      <c r="FM317" s="497"/>
      <c r="FN317" s="993">
        <f t="shared" si="646"/>
        <v>4668954.5222948436</v>
      </c>
      <c r="FO317" s="994">
        <f t="shared" si="737"/>
        <v>0.15</v>
      </c>
      <c r="FP317" s="775">
        <f t="shared" si="647"/>
        <v>700343.17834422656</v>
      </c>
      <c r="FQ317" s="993">
        <f t="shared" si="648"/>
        <v>30000</v>
      </c>
      <c r="FR317" s="775">
        <f t="shared" si="706"/>
        <v>670343.17834422656</v>
      </c>
      <c r="FS317" s="497">
        <f t="shared" si="707"/>
        <v>40</v>
      </c>
      <c r="FT317" s="775">
        <f t="shared" si="708"/>
        <v>16758.579458605665</v>
      </c>
      <c r="FU317" s="497"/>
      <c r="FV317" s="993">
        <f t="shared" si="709"/>
        <v>4668954.5222948436</v>
      </c>
      <c r="FW317" s="705">
        <f t="shared" si="710"/>
        <v>466895.45222948439</v>
      </c>
      <c r="FX317" s="705">
        <f t="shared" si="711"/>
        <v>116723.8630573711</v>
      </c>
      <c r="FY317" s="705">
        <v>15000</v>
      </c>
      <c r="FZ317" s="705">
        <f t="shared" si="712"/>
        <v>451895.45222948439</v>
      </c>
      <c r="GA317" s="497">
        <f t="shared" si="713"/>
        <v>46</v>
      </c>
      <c r="GB317" s="775">
        <f t="shared" si="714"/>
        <v>9823.8141789018355</v>
      </c>
      <c r="GC317" s="497"/>
      <c r="GD317" s="497"/>
      <c r="GH317" s="1095">
        <f t="shared" si="613"/>
        <v>4668954.5222948436</v>
      </c>
      <c r="GI317" s="1098">
        <f t="shared" si="614"/>
        <v>0.125</v>
      </c>
      <c r="GJ317" s="1095">
        <f t="shared" si="615"/>
        <v>583619.31528685545</v>
      </c>
      <c r="GK317" s="1095">
        <f t="shared" si="616"/>
        <v>30000</v>
      </c>
      <c r="GL317" s="1095">
        <f t="shared" si="617"/>
        <v>553619.31528685545</v>
      </c>
      <c r="GM317" s="1095">
        <f t="shared" si="618"/>
        <v>31</v>
      </c>
      <c r="GN317" s="1095">
        <f t="shared" si="619"/>
        <v>17858.687589898564</v>
      </c>
      <c r="GO317" s="1098">
        <f t="shared" si="620"/>
        <v>0.875</v>
      </c>
      <c r="GP317" s="1095">
        <f t="shared" si="621"/>
        <v>4085335.2070079884</v>
      </c>
      <c r="GQ317" s="1095">
        <f t="shared" si="622"/>
        <v>31673.560376396083</v>
      </c>
      <c r="GR317" s="1095">
        <f t="shared" si="623"/>
        <v>36720.147799675324</v>
      </c>
      <c r="GS317" s="1095">
        <f t="shared" si="624"/>
        <v>47434.20579840002</v>
      </c>
      <c r="GT317" s="1095">
        <f t="shared" si="625"/>
        <v>80894.533537845142</v>
      </c>
      <c r="GU317" s="497"/>
      <c r="GV317" s="1095">
        <f t="shared" si="715"/>
        <v>4668954.5222948436</v>
      </c>
      <c r="GW317" s="1098">
        <f t="shared" si="716"/>
        <v>0.125</v>
      </c>
      <c r="GX317" s="1095">
        <f t="shared" si="717"/>
        <v>583619.31528685545</v>
      </c>
      <c r="GY317" s="1095">
        <f t="shared" si="718"/>
        <v>30000</v>
      </c>
      <c r="GZ317" s="1095">
        <f t="shared" si="719"/>
        <v>553619.31528685545</v>
      </c>
      <c r="HA317" s="1106">
        <f t="shared" si="720"/>
        <v>48</v>
      </c>
      <c r="HB317" s="770">
        <f t="shared" si="721"/>
        <v>11533.735735142822</v>
      </c>
      <c r="HC317" s="1098">
        <f t="shared" si="722"/>
        <v>0.875</v>
      </c>
      <c r="HD317" s="1102">
        <f t="shared" si="723"/>
        <v>4085335.2070079884</v>
      </c>
      <c r="HE317" s="1101">
        <f t="shared" si="724"/>
        <v>31673.560376396083</v>
      </c>
      <c r="HF317" s="1101">
        <f t="shared" si="725"/>
        <v>36720.147799675324</v>
      </c>
      <c r="HG317" s="1101">
        <f t="shared" si="726"/>
        <v>47434.20579840002</v>
      </c>
      <c r="HH317" s="1101">
        <f t="shared" si="727"/>
        <v>80894.533537845142</v>
      </c>
      <c r="HI317" s="497"/>
      <c r="HJ317" s="1102">
        <f t="shared" si="728"/>
        <v>-6324.9518547557418</v>
      </c>
      <c r="HL317" s="775"/>
      <c r="HN317" s="775"/>
      <c r="HO317" s="775"/>
      <c r="HQ317" s="702"/>
      <c r="HR317" s="1171"/>
      <c r="HS317" s="702"/>
      <c r="HT317" s="1171"/>
    </row>
    <row r="318" spans="1:228" ht="14.25" customHeight="1">
      <c r="A318" s="753">
        <f t="shared" si="729"/>
        <v>312</v>
      </c>
      <c r="B318" s="753"/>
      <c r="C318" s="753">
        <f>C317+1</f>
        <v>2</v>
      </c>
      <c r="D318" s="753" t="s">
        <v>779</v>
      </c>
      <c r="E318" s="717" t="s">
        <v>292</v>
      </c>
      <c r="F318" s="754"/>
      <c r="G318" s="756" t="s">
        <v>781</v>
      </c>
      <c r="H318" s="756"/>
      <c r="I318" s="755" t="s">
        <v>229</v>
      </c>
      <c r="J318" s="757">
        <v>22</v>
      </c>
      <c r="K318" s="758"/>
      <c r="L318" s="759" t="s">
        <v>69</v>
      </c>
      <c r="M318" s="760" t="s">
        <v>68</v>
      </c>
      <c r="N318" s="761">
        <f t="shared" si="650"/>
        <v>106005.26567735759</v>
      </c>
      <c r="O318" s="762">
        <f t="shared" si="651"/>
        <v>2332115.8449018667</v>
      </c>
      <c r="P318" s="762">
        <f t="shared" si="652"/>
        <v>22400</v>
      </c>
      <c r="Q318" s="762">
        <f t="shared" si="626"/>
        <v>50000</v>
      </c>
      <c r="R318" s="762"/>
      <c r="S318" s="762"/>
      <c r="T318" s="762"/>
      <c r="U318" s="762"/>
      <c r="V318" s="762"/>
      <c r="W318" s="762"/>
      <c r="X318" s="762"/>
      <c r="Y318" s="762">
        <f>$Y$317</f>
        <v>180000</v>
      </c>
      <c r="Z318" s="762">
        <f t="shared" si="627"/>
        <v>142461</v>
      </c>
      <c r="AA318" s="762"/>
      <c r="AB318" s="762"/>
      <c r="AC318" s="762"/>
      <c r="AD318" s="763">
        <f t="shared" si="653"/>
        <v>394861</v>
      </c>
      <c r="AE318" s="763">
        <f t="shared" si="628"/>
        <v>2726976.8449018667</v>
      </c>
      <c r="AF318" s="762">
        <f t="shared" si="629"/>
        <v>68174.421122546672</v>
      </c>
      <c r="AG318" s="762">
        <f t="shared" si="654"/>
        <v>2795151.2660244135</v>
      </c>
      <c r="AH318" s="762">
        <f t="shared" si="630"/>
        <v>69878.781650610341</v>
      </c>
      <c r="AI318" s="762">
        <f t="shared" si="655"/>
        <v>2865030.0476750238</v>
      </c>
      <c r="AJ318" s="762">
        <f t="shared" si="656"/>
        <v>143251.50238375118</v>
      </c>
      <c r="AK318" s="762">
        <f t="shared" si="657"/>
        <v>3008281.5500587751</v>
      </c>
      <c r="AL318" s="762">
        <f t="shared" si="658"/>
        <v>30082.815500587752</v>
      </c>
      <c r="AM318" s="762">
        <f t="shared" si="659"/>
        <v>27537.409960060559</v>
      </c>
      <c r="AN318" s="762"/>
      <c r="AO318" s="763">
        <f t="shared" si="660"/>
        <v>3065901.7755194232</v>
      </c>
      <c r="AP318" s="763">
        <f t="shared" si="661"/>
        <v>505873.79296070483</v>
      </c>
      <c r="AQ318" s="763">
        <f t="shared" si="662"/>
        <v>3571775.568480128</v>
      </c>
      <c r="AR318" s="1178">
        <f t="shared" si="631"/>
        <v>3000000</v>
      </c>
      <c r="AS318" s="1178">
        <f t="shared" si="663"/>
        <v>25989.798567278543</v>
      </c>
      <c r="AT318" s="1178">
        <f t="shared" si="664"/>
        <v>571775.56848012796</v>
      </c>
      <c r="AU318" s="1178">
        <f t="shared" si="632"/>
        <v>68613.06821761535</v>
      </c>
      <c r="AV318" s="1178">
        <f t="shared" si="665"/>
        <v>640388.63669774332</v>
      </c>
      <c r="AW318" s="1178">
        <f t="shared" si="666"/>
        <v>3640388.6366977431</v>
      </c>
      <c r="AX318" s="762">
        <f t="shared" si="667"/>
        <v>45504.85795872179</v>
      </c>
      <c r="AY318" s="717" t="s">
        <v>231</v>
      </c>
      <c r="AZ318" s="717">
        <f t="shared" si="668"/>
        <v>3685893.494656465</v>
      </c>
      <c r="BA318" s="717">
        <f t="shared" si="669"/>
        <v>138221.00604961743</v>
      </c>
      <c r="BB318" s="717"/>
      <c r="BC318" s="717">
        <f t="shared" si="633"/>
        <v>33600</v>
      </c>
      <c r="BD318" s="717">
        <f t="shared" si="670"/>
        <v>3857714.5007060822</v>
      </c>
      <c r="BE318" s="717"/>
      <c r="BF318" s="717">
        <f t="shared" si="671"/>
        <v>3857714.5007060822</v>
      </c>
      <c r="BG318" s="1209"/>
      <c r="BH318" s="717">
        <f t="shared" si="672"/>
        <v>3857714.5007060822</v>
      </c>
      <c r="BI318" s="717"/>
      <c r="BJ318" s="717">
        <f t="shared" si="673"/>
        <v>3857714.5007060822</v>
      </c>
      <c r="BK318" s="717"/>
      <c r="BL318" s="717">
        <f t="shared" si="674"/>
        <v>3857714.5007060822</v>
      </c>
      <c r="BM318" s="717"/>
      <c r="BN318" s="717">
        <f t="shared" si="675"/>
        <v>3857714.5007060822</v>
      </c>
      <c r="BO318" s="717">
        <f t="shared" si="767"/>
        <v>7289.0781490196077</v>
      </c>
      <c r="BP318" s="717">
        <f t="shared" si="634"/>
        <v>3865003.578855102</v>
      </c>
      <c r="BQ318" s="717">
        <f t="shared" si="768"/>
        <v>4468.4242000000004</v>
      </c>
      <c r="BR318" s="717">
        <f t="shared" si="738"/>
        <v>3869472.0030551017</v>
      </c>
      <c r="BS318" s="1234">
        <f t="shared" si="769"/>
        <v>2651.4786794501206</v>
      </c>
      <c r="BT318" s="1235">
        <f t="shared" si="676"/>
        <v>3872123.481734552</v>
      </c>
      <c r="BU318" s="1235">
        <f t="shared" si="770"/>
        <v>211.07692307692309</v>
      </c>
      <c r="BV318" s="1235">
        <f t="shared" si="739"/>
        <v>51400</v>
      </c>
      <c r="BW318" s="717">
        <f t="shared" si="677"/>
        <v>3923734.5586576289</v>
      </c>
      <c r="BX318" s="1234">
        <f t="shared" si="743"/>
        <v>27651.078536278128</v>
      </c>
      <c r="BY318" s="717">
        <f t="shared" si="678"/>
        <v>3951385.6371939071</v>
      </c>
      <c r="BZ318" s="1194">
        <f t="shared" si="679"/>
        <v>3951385.6371939071</v>
      </c>
      <c r="CA318" s="1194">
        <f t="shared" si="680"/>
        <v>3071385.6371939071</v>
      </c>
      <c r="CB318" s="1194">
        <f t="shared" si="771"/>
        <v>40000</v>
      </c>
      <c r="CC318" s="1194">
        <f t="shared" si="681"/>
        <v>880000</v>
      </c>
      <c r="CD318" s="1194">
        <f t="shared" si="682"/>
        <v>105600</v>
      </c>
      <c r="CE318" s="1194">
        <f t="shared" si="683"/>
        <v>985600</v>
      </c>
      <c r="CF318" s="1200">
        <f t="shared" si="684"/>
        <v>4056985.6371939071</v>
      </c>
      <c r="CG318" s="757">
        <f t="shared" si="685"/>
        <v>4056985.6371939071</v>
      </c>
      <c r="CH318" s="758">
        <f t="shared" si="686"/>
        <v>0</v>
      </c>
      <c r="CI318" s="757">
        <f t="shared" si="635"/>
        <v>415841.02781237545</v>
      </c>
      <c r="CJ318" s="757">
        <f t="shared" si="636"/>
        <v>101424.64092984768</v>
      </c>
      <c r="CK318" s="759">
        <f t="shared" si="747"/>
        <v>4574251.3059361307</v>
      </c>
      <c r="CL318" s="764">
        <f t="shared" si="687"/>
        <v>0.125</v>
      </c>
      <c r="CM318" s="757">
        <f t="shared" si="688"/>
        <v>571781.41324201634</v>
      </c>
      <c r="CN318" s="757">
        <f t="shared" si="730"/>
        <v>30000</v>
      </c>
      <c r="CO318" s="757">
        <f t="shared" si="689"/>
        <v>541781.41324201634</v>
      </c>
      <c r="CP318" s="755">
        <f t="shared" si="690"/>
        <v>31</v>
      </c>
      <c r="CQ318" s="757">
        <f t="shared" si="732"/>
        <v>17476.819782000526</v>
      </c>
      <c r="CR318" s="764">
        <f t="shared" si="691"/>
        <v>0.875</v>
      </c>
      <c r="CS318" s="757">
        <f t="shared" si="692"/>
        <v>4002469.8926941142</v>
      </c>
      <c r="CT318" s="1101">
        <f t="shared" si="693"/>
        <v>31031.106476523379</v>
      </c>
      <c r="CU318" s="1101">
        <f t="shared" si="694"/>
        <v>35975.330927891497</v>
      </c>
      <c r="CV318" s="1101">
        <f t="shared" si="695"/>
        <v>46472.069235904302</v>
      </c>
      <c r="CW318" s="1141">
        <f t="shared" si="637"/>
        <v>79253.700997007661</v>
      </c>
      <c r="CX318" s="1152">
        <f t="shared" si="696"/>
        <v>325133.351291275</v>
      </c>
      <c r="CY318" s="1152">
        <f t="shared" si="697"/>
        <v>128653.6832904717</v>
      </c>
      <c r="CZ318" s="1152">
        <f t="shared" si="698"/>
        <v>92924.733293555037</v>
      </c>
      <c r="DA318" s="1152">
        <f t="shared" si="699"/>
        <v>70720.000070164955</v>
      </c>
      <c r="DB318" s="1143">
        <f t="shared" si="638"/>
        <v>0.19059185616004265</v>
      </c>
      <c r="DC318" s="1143">
        <f t="shared" si="700"/>
        <v>0.3208975089498915</v>
      </c>
      <c r="DD318" s="1098" t="s">
        <v>232</v>
      </c>
      <c r="DE318" s="1144"/>
      <c r="DF318" s="705"/>
      <c r="DG318" s="765">
        <f t="shared" si="731"/>
        <v>46082</v>
      </c>
      <c r="DH318" s="1116">
        <f t="shared" si="639"/>
        <v>28</v>
      </c>
      <c r="DI318" s="497"/>
      <c r="DJ318" s="1117">
        <f t="shared" si="701"/>
        <v>46147</v>
      </c>
      <c r="DK318" s="1116">
        <f t="shared" si="702"/>
        <v>30</v>
      </c>
      <c r="DL318" s="766" t="s">
        <v>233</v>
      </c>
      <c r="DM318" s="766" t="s">
        <v>234</v>
      </c>
      <c r="DN318" s="767">
        <f t="shared" si="640"/>
        <v>29108.57439535197</v>
      </c>
      <c r="DO318" s="767">
        <f t="shared" si="641"/>
        <v>640388.63669774332</v>
      </c>
      <c r="DP318" s="768">
        <f t="shared" si="642"/>
        <v>0.21346287889924778</v>
      </c>
      <c r="DR318" s="767">
        <f t="shared" si="643"/>
        <v>4056985.6371939071</v>
      </c>
      <c r="DS318" s="767">
        <f>SUM('[6]INTERNAL PRICELIST'!M318)</f>
        <v>0</v>
      </c>
      <c r="DT318" s="767">
        <f t="shared" si="703"/>
        <v>4056985.6371939071</v>
      </c>
      <c r="DV318" s="951">
        <f t="shared" si="644"/>
        <v>184408.43805426851</v>
      </c>
      <c r="DX318" s="781"/>
      <c r="DY318" s="782"/>
      <c r="DZ318" s="781"/>
      <c r="EA318" s="775"/>
      <c r="ED318" s="755" t="s">
        <v>781</v>
      </c>
      <c r="EE318" s="777" t="b">
        <f t="shared" si="645"/>
        <v>1</v>
      </c>
      <c r="EF318" s="777"/>
      <c r="EG318" s="777"/>
      <c r="EH318" s="1203"/>
      <c r="EP318" s="1230" t="s">
        <v>258</v>
      </c>
      <c r="EQ318" s="1145" t="s">
        <v>258</v>
      </c>
      <c r="ER318" s="753" t="b">
        <f t="shared" si="704"/>
        <v>1</v>
      </c>
      <c r="EU318" s="770">
        <v>3209496.1774007287</v>
      </c>
      <c r="EV318" s="771" t="s">
        <v>258</v>
      </c>
      <c r="EW318" s="775">
        <f>EU318-CG318</f>
        <v>-847489.45979317836</v>
      </c>
      <c r="EY318" s="775">
        <v>3175432.1472727996</v>
      </c>
      <c r="FJ318" s="994">
        <v>0.15</v>
      </c>
      <c r="FK318" s="993">
        <v>13819.818797865502</v>
      </c>
      <c r="FL318" s="993">
        <v>14193.32741402403</v>
      </c>
      <c r="FM318" s="497"/>
      <c r="FN318" s="993">
        <f t="shared" si="646"/>
        <v>4574251.3059361307</v>
      </c>
      <c r="FO318" s="994">
        <f t="shared" si="737"/>
        <v>0.15</v>
      </c>
      <c r="FP318" s="775">
        <f t="shared" si="647"/>
        <v>686137.69589041953</v>
      </c>
      <c r="FQ318" s="993">
        <f t="shared" si="648"/>
        <v>30000</v>
      </c>
      <c r="FR318" s="775">
        <f t="shared" si="706"/>
        <v>656137.69589041953</v>
      </c>
      <c r="FS318" s="497">
        <f t="shared" si="707"/>
        <v>40</v>
      </c>
      <c r="FT318" s="775">
        <f t="shared" si="708"/>
        <v>16403.442397260489</v>
      </c>
      <c r="FU318" s="497"/>
      <c r="FV318" s="993">
        <f t="shared" si="709"/>
        <v>4574251.3059361307</v>
      </c>
      <c r="FW318" s="705">
        <f t="shared" si="710"/>
        <v>457425.13059361308</v>
      </c>
      <c r="FX318" s="705">
        <f t="shared" si="711"/>
        <v>114356.28264840327</v>
      </c>
      <c r="FY318" s="705">
        <v>15000</v>
      </c>
      <c r="FZ318" s="705">
        <f t="shared" si="712"/>
        <v>442425.13059361308</v>
      </c>
      <c r="GA318" s="497">
        <f t="shared" si="713"/>
        <v>46</v>
      </c>
      <c r="GB318" s="775">
        <f t="shared" si="714"/>
        <v>9617.9376216002838</v>
      </c>
      <c r="GC318" s="497"/>
      <c r="GD318" s="497"/>
      <c r="GH318" s="1095">
        <f t="shared" si="613"/>
        <v>4574251.3059361307</v>
      </c>
      <c r="GI318" s="1098">
        <f t="shared" si="614"/>
        <v>0.125</v>
      </c>
      <c r="GJ318" s="1095">
        <f t="shared" si="615"/>
        <v>571781.41324201634</v>
      </c>
      <c r="GK318" s="1095">
        <f t="shared" si="616"/>
        <v>30000</v>
      </c>
      <c r="GL318" s="1095">
        <f t="shared" si="617"/>
        <v>541781.41324201634</v>
      </c>
      <c r="GM318" s="1095">
        <f t="shared" si="618"/>
        <v>31</v>
      </c>
      <c r="GN318" s="1095">
        <f t="shared" si="619"/>
        <v>17476.819782000526</v>
      </c>
      <c r="GO318" s="1098">
        <f t="shared" si="620"/>
        <v>0.875</v>
      </c>
      <c r="GP318" s="1095">
        <f t="shared" si="621"/>
        <v>4002469.8926941142</v>
      </c>
      <c r="GQ318" s="1095">
        <f t="shared" si="622"/>
        <v>31031.106476523379</v>
      </c>
      <c r="GR318" s="1095">
        <f t="shared" si="623"/>
        <v>35975.330927891497</v>
      </c>
      <c r="GS318" s="1095">
        <f t="shared" si="624"/>
        <v>46472.069235904302</v>
      </c>
      <c r="GT318" s="1095">
        <f t="shared" si="625"/>
        <v>79253.700997007661</v>
      </c>
      <c r="GU318" s="497"/>
      <c r="GV318" s="1095">
        <f t="shared" si="715"/>
        <v>4574251.3059361307</v>
      </c>
      <c r="GW318" s="1098">
        <f t="shared" si="716"/>
        <v>0.125</v>
      </c>
      <c r="GX318" s="1095">
        <f t="shared" si="717"/>
        <v>571781.41324201634</v>
      </c>
      <c r="GY318" s="1095">
        <f t="shared" si="718"/>
        <v>30000</v>
      </c>
      <c r="GZ318" s="1095">
        <f t="shared" si="719"/>
        <v>541781.41324201634</v>
      </c>
      <c r="HA318" s="1106">
        <f t="shared" si="720"/>
        <v>48</v>
      </c>
      <c r="HB318" s="770">
        <f t="shared" si="721"/>
        <v>11287.112775875341</v>
      </c>
      <c r="HC318" s="1098">
        <f t="shared" si="722"/>
        <v>0.875</v>
      </c>
      <c r="HD318" s="1102">
        <f t="shared" si="723"/>
        <v>4002469.8926941142</v>
      </c>
      <c r="HE318" s="1101">
        <f t="shared" si="724"/>
        <v>31031.106476523379</v>
      </c>
      <c r="HF318" s="1101">
        <f t="shared" si="725"/>
        <v>35975.330927891497</v>
      </c>
      <c r="HG318" s="1101">
        <f t="shared" si="726"/>
        <v>46472.069235904302</v>
      </c>
      <c r="HH318" s="1101">
        <f t="shared" si="727"/>
        <v>79253.700997007661</v>
      </c>
      <c r="HI318" s="497"/>
      <c r="HJ318" s="1102">
        <f t="shared" si="728"/>
        <v>-6189.7070061251852</v>
      </c>
      <c r="HL318" s="775"/>
      <c r="HN318" s="775"/>
      <c r="HO318" s="775"/>
      <c r="HQ318" s="702"/>
      <c r="HR318" s="1171"/>
      <c r="HS318" s="702"/>
      <c r="HT318" s="1171"/>
    </row>
    <row r="319" spans="1:228" ht="14.25" hidden="1" customHeight="1">
      <c r="A319" s="753">
        <f t="shared" si="729"/>
        <v>313</v>
      </c>
      <c r="B319" s="753"/>
      <c r="C319" s="753">
        <f t="shared" ref="C319:C347" si="772">C318+1</f>
        <v>3</v>
      </c>
      <c r="D319" s="753" t="s">
        <v>779</v>
      </c>
      <c r="E319" s="717" t="s">
        <v>292</v>
      </c>
      <c r="F319" s="754"/>
      <c r="G319" s="756" t="s">
        <v>782</v>
      </c>
      <c r="H319" s="756"/>
      <c r="I319" s="755" t="s">
        <v>229</v>
      </c>
      <c r="J319" s="757">
        <v>22</v>
      </c>
      <c r="K319" s="758"/>
      <c r="L319" s="759" t="s">
        <v>69</v>
      </c>
      <c r="M319" s="760" t="s">
        <v>68</v>
      </c>
      <c r="N319" s="761">
        <f t="shared" si="650"/>
        <v>106005.26567735759</v>
      </c>
      <c r="O319" s="762">
        <f t="shared" si="651"/>
        <v>2332115.8449018667</v>
      </c>
      <c r="P319" s="762">
        <f t="shared" si="652"/>
        <v>22400</v>
      </c>
      <c r="Q319" s="762">
        <f t="shared" si="626"/>
        <v>50000</v>
      </c>
      <c r="R319" s="762"/>
      <c r="S319" s="762"/>
      <c r="T319" s="762"/>
      <c r="U319" s="762"/>
      <c r="V319" s="762"/>
      <c r="W319" s="762"/>
      <c r="X319" s="762"/>
      <c r="Y319" s="762">
        <f t="shared" ref="Y319:Y347" si="773">$Y$317</f>
        <v>180000</v>
      </c>
      <c r="Z319" s="762">
        <f t="shared" si="627"/>
        <v>142461</v>
      </c>
      <c r="AA319" s="762"/>
      <c r="AB319" s="762"/>
      <c r="AC319" s="762"/>
      <c r="AD319" s="763">
        <f t="shared" si="653"/>
        <v>394861</v>
      </c>
      <c r="AE319" s="763">
        <f t="shared" si="628"/>
        <v>2726976.8449018667</v>
      </c>
      <c r="AF319" s="762">
        <f t="shared" si="629"/>
        <v>68174.421122546672</v>
      </c>
      <c r="AG319" s="762">
        <f t="shared" si="654"/>
        <v>2795151.2660244135</v>
      </c>
      <c r="AH319" s="762">
        <f t="shared" si="630"/>
        <v>69878.781650610341</v>
      </c>
      <c r="AI319" s="762">
        <f t="shared" si="655"/>
        <v>2865030.0476750238</v>
      </c>
      <c r="AJ319" s="762">
        <f t="shared" si="656"/>
        <v>143251.50238375118</v>
      </c>
      <c r="AK319" s="762">
        <f t="shared" si="657"/>
        <v>3008281.5500587751</v>
      </c>
      <c r="AL319" s="762">
        <f t="shared" si="658"/>
        <v>30082.815500587752</v>
      </c>
      <c r="AM319" s="762">
        <f t="shared" si="659"/>
        <v>27537.409960060559</v>
      </c>
      <c r="AN319" s="762"/>
      <c r="AO319" s="763">
        <f t="shared" si="660"/>
        <v>3065901.7755194232</v>
      </c>
      <c r="AP319" s="763">
        <f t="shared" si="661"/>
        <v>505873.79296070483</v>
      </c>
      <c r="AQ319" s="763">
        <f t="shared" si="662"/>
        <v>3571775.568480128</v>
      </c>
      <c r="AR319" s="1178">
        <f t="shared" si="631"/>
        <v>3000000</v>
      </c>
      <c r="AS319" s="1178">
        <f t="shared" si="663"/>
        <v>25989.798567278543</v>
      </c>
      <c r="AT319" s="1178">
        <f t="shared" si="664"/>
        <v>571775.56848012796</v>
      </c>
      <c r="AU319" s="1178">
        <f t="shared" si="632"/>
        <v>68613.06821761535</v>
      </c>
      <c r="AV319" s="1178">
        <f t="shared" si="665"/>
        <v>640388.63669774332</v>
      </c>
      <c r="AW319" s="1178">
        <f t="shared" si="666"/>
        <v>3640388.6366977431</v>
      </c>
      <c r="AX319" s="762">
        <f t="shared" si="667"/>
        <v>45504.85795872179</v>
      </c>
      <c r="AY319" s="717" t="s">
        <v>231</v>
      </c>
      <c r="AZ319" s="717">
        <f t="shared" si="668"/>
        <v>3685893.494656465</v>
      </c>
      <c r="BA319" s="717">
        <f t="shared" si="669"/>
        <v>138221.00604961743</v>
      </c>
      <c r="BB319" s="717"/>
      <c r="BC319" s="717">
        <f t="shared" si="633"/>
        <v>33600</v>
      </c>
      <c r="BD319" s="717">
        <f t="shared" si="670"/>
        <v>3857714.5007060822</v>
      </c>
      <c r="BE319" s="717"/>
      <c r="BF319" s="717">
        <f t="shared" si="671"/>
        <v>3857714.5007060822</v>
      </c>
      <c r="BG319" s="1209"/>
      <c r="BH319" s="717">
        <f t="shared" si="672"/>
        <v>3857714.5007060822</v>
      </c>
      <c r="BI319" s="717"/>
      <c r="BJ319" s="717">
        <f t="shared" si="673"/>
        <v>3857714.5007060822</v>
      </c>
      <c r="BK319" s="717"/>
      <c r="BL319" s="717">
        <f t="shared" si="674"/>
        <v>3857714.5007060822</v>
      </c>
      <c r="BM319" s="717"/>
      <c r="BN319" s="717">
        <f t="shared" si="675"/>
        <v>3857714.5007060822</v>
      </c>
      <c r="BO319" s="717"/>
      <c r="BP319" s="717">
        <f t="shared" si="634"/>
        <v>3857714.5007060822</v>
      </c>
      <c r="BQ319" s="717"/>
      <c r="BR319" s="717">
        <f t="shared" si="738"/>
        <v>3857714.5007060822</v>
      </c>
      <c r="BS319" s="717"/>
      <c r="BT319" s="717">
        <f t="shared" si="676"/>
        <v>3857714.5007060822</v>
      </c>
      <c r="BU319" s="717"/>
      <c r="BV319" s="1235">
        <f t="shared" si="739"/>
        <v>51400</v>
      </c>
      <c r="BW319" s="717">
        <f t="shared" si="677"/>
        <v>3909114.5007060822</v>
      </c>
      <c r="BX319" s="717"/>
      <c r="BY319" s="717">
        <f t="shared" si="678"/>
        <v>3909114.5007060822</v>
      </c>
      <c r="BZ319" s="1194">
        <f t="shared" si="679"/>
        <v>3909114.5007060822</v>
      </c>
      <c r="CA319" s="1194">
        <f t="shared" si="680"/>
        <v>3029114.5007060822</v>
      </c>
      <c r="CB319" s="1194">
        <v>40000</v>
      </c>
      <c r="CC319" s="1194">
        <f t="shared" si="681"/>
        <v>880000</v>
      </c>
      <c r="CD319" s="1194">
        <f t="shared" si="682"/>
        <v>105600</v>
      </c>
      <c r="CE319" s="1194">
        <f t="shared" si="683"/>
        <v>985600</v>
      </c>
      <c r="CF319" s="1200">
        <f t="shared" si="684"/>
        <v>4014714.5007060822</v>
      </c>
      <c r="CG319" s="757">
        <f t="shared" si="685"/>
        <v>4014714.5007060822</v>
      </c>
      <c r="CH319" s="758">
        <f t="shared" si="686"/>
        <v>0</v>
      </c>
      <c r="CI319" s="757">
        <f t="shared" si="635"/>
        <v>411508.23632237338</v>
      </c>
      <c r="CJ319" s="757">
        <f t="shared" si="636"/>
        <v>100367.86251765206</v>
      </c>
      <c r="CK319" s="759">
        <f t="shared" si="747"/>
        <v>4526590.5995461075</v>
      </c>
      <c r="CL319" s="764">
        <f t="shared" si="687"/>
        <v>0.125</v>
      </c>
      <c r="CM319" s="757">
        <f t="shared" si="688"/>
        <v>565823.82494326343</v>
      </c>
      <c r="CN319" s="757">
        <f t="shared" si="730"/>
        <v>30000</v>
      </c>
      <c r="CO319" s="757">
        <f t="shared" si="689"/>
        <v>535823.82494326343</v>
      </c>
      <c r="CP319" s="755">
        <f t="shared" si="690"/>
        <v>31</v>
      </c>
      <c r="CQ319" s="757">
        <f t="shared" si="732"/>
        <v>17284.639514298822</v>
      </c>
      <c r="CR319" s="764">
        <f t="shared" si="691"/>
        <v>0.875</v>
      </c>
      <c r="CS319" s="757">
        <f t="shared" si="692"/>
        <v>3960766.7746028439</v>
      </c>
      <c r="CT319" s="1101">
        <f t="shared" si="693"/>
        <v>30707.782645841882</v>
      </c>
      <c r="CU319" s="1101">
        <f t="shared" si="694"/>
        <v>35600.491512660185</v>
      </c>
      <c r="CV319" s="1101">
        <f t="shared" si="695"/>
        <v>45987.860673879099</v>
      </c>
      <c r="CW319" s="1141">
        <f t="shared" si="637"/>
        <v>78427.929275930772</v>
      </c>
      <c r="CX319" s="1152">
        <f t="shared" si="696"/>
        <v>321745.67445476446</v>
      </c>
      <c r="CY319" s="1152">
        <f t="shared" si="697"/>
        <v>127313.19606858582</v>
      </c>
      <c r="CZ319" s="1152">
        <f t="shared" si="698"/>
        <v>91956.518358768255</v>
      </c>
      <c r="DA319" s="1152">
        <f t="shared" si="699"/>
        <v>69983.143930478778</v>
      </c>
      <c r="DB319" s="1143">
        <f t="shared" si="638"/>
        <v>0.19059185616004265</v>
      </c>
      <c r="DC319" s="1143">
        <f t="shared" si="700"/>
        <v>0.32537561712185459</v>
      </c>
      <c r="DD319" s="1098" t="s">
        <v>232</v>
      </c>
      <c r="DE319" s="1144"/>
      <c r="DF319" s="705"/>
      <c r="DG319" s="765">
        <f t="shared" si="731"/>
        <v>46082</v>
      </c>
      <c r="DH319" s="1116">
        <f t="shared" si="639"/>
        <v>28</v>
      </c>
      <c r="DI319" s="497"/>
      <c r="DJ319" s="1117">
        <f t="shared" si="701"/>
        <v>46147</v>
      </c>
      <c r="DK319" s="1116">
        <f t="shared" si="702"/>
        <v>30</v>
      </c>
      <c r="DL319" s="766" t="s">
        <v>233</v>
      </c>
      <c r="DM319" s="766" t="s">
        <v>234</v>
      </c>
      <c r="DN319" s="767">
        <f t="shared" si="640"/>
        <v>29108.57439535197</v>
      </c>
      <c r="DO319" s="767">
        <f t="shared" si="641"/>
        <v>640388.63669774332</v>
      </c>
      <c r="DP319" s="768">
        <f t="shared" si="642"/>
        <v>0.21346287889924778</v>
      </c>
      <c r="DR319" s="767">
        <f t="shared" si="643"/>
        <v>4014714.5007060822</v>
      </c>
      <c r="DS319" s="767">
        <f>SUM('[6]INTERNAL PRICELIST'!M319)</f>
        <v>0</v>
      </c>
      <c r="DT319" s="767">
        <f t="shared" si="703"/>
        <v>4014714.5007060822</v>
      </c>
      <c r="DV319" s="951">
        <f t="shared" si="644"/>
        <v>182487.02275936736</v>
      </c>
      <c r="DX319" s="781"/>
      <c r="DY319" s="782"/>
      <c r="DZ319" s="781"/>
      <c r="EA319" s="775"/>
      <c r="ED319" s="755" t="s">
        <v>782</v>
      </c>
      <c r="EE319" s="777" t="b">
        <f t="shared" si="645"/>
        <v>1</v>
      </c>
      <c r="EF319" s="777"/>
      <c r="EG319" s="777"/>
      <c r="EH319" s="1203"/>
      <c r="EP319" s="1230" t="s">
        <v>236</v>
      </c>
      <c r="EQ319" s="1145" t="s">
        <v>236</v>
      </c>
      <c r="ER319" s="753" t="b">
        <f t="shared" si="704"/>
        <v>1</v>
      </c>
      <c r="EU319" s="770">
        <v>2968833.65</v>
      </c>
      <c r="EV319" s="771" t="s">
        <v>236</v>
      </c>
      <c r="FJ319" s="994">
        <v>0.15</v>
      </c>
      <c r="FK319" s="993">
        <v>13819.818797865502</v>
      </c>
      <c r="FL319" s="993">
        <v>14193.32741402403</v>
      </c>
      <c r="FM319" s="497"/>
      <c r="FN319" s="993">
        <f t="shared" si="646"/>
        <v>4526590.5995461075</v>
      </c>
      <c r="FO319" s="994">
        <f t="shared" si="737"/>
        <v>0.15</v>
      </c>
      <c r="FP319" s="775">
        <f t="shared" si="647"/>
        <v>678988.5899319161</v>
      </c>
      <c r="FQ319" s="993">
        <f t="shared" si="648"/>
        <v>30000</v>
      </c>
      <c r="FR319" s="775">
        <f t="shared" si="706"/>
        <v>648988.5899319161</v>
      </c>
      <c r="FS319" s="497">
        <f t="shared" si="707"/>
        <v>40</v>
      </c>
      <c r="FT319" s="775">
        <f t="shared" si="708"/>
        <v>16224.714748297902</v>
      </c>
      <c r="FU319" s="497"/>
      <c r="FV319" s="993">
        <f t="shared" si="709"/>
        <v>4526590.5995461075</v>
      </c>
      <c r="FW319" s="705">
        <f t="shared" si="710"/>
        <v>452659.05995461077</v>
      </c>
      <c r="FX319" s="705">
        <f t="shared" si="711"/>
        <v>113164.76498865269</v>
      </c>
      <c r="FY319" s="705">
        <v>15000</v>
      </c>
      <c r="FZ319" s="705">
        <f t="shared" si="712"/>
        <v>437659.05995461077</v>
      </c>
      <c r="GA319" s="497">
        <f t="shared" si="713"/>
        <v>46</v>
      </c>
      <c r="GB319" s="775">
        <f t="shared" si="714"/>
        <v>9514.327390317625</v>
      </c>
      <c r="GC319" s="497"/>
      <c r="GD319" s="497"/>
      <c r="GH319" s="1095">
        <f t="shared" si="613"/>
        <v>4526590.5995461075</v>
      </c>
      <c r="GI319" s="1098">
        <f t="shared" si="614"/>
        <v>0.125</v>
      </c>
      <c r="GJ319" s="1095">
        <f t="shared" si="615"/>
        <v>565823.82494326343</v>
      </c>
      <c r="GK319" s="1095">
        <f t="shared" si="616"/>
        <v>30000</v>
      </c>
      <c r="GL319" s="1095">
        <f t="shared" si="617"/>
        <v>535823.82494326343</v>
      </c>
      <c r="GM319" s="1095">
        <f t="shared" si="618"/>
        <v>31</v>
      </c>
      <c r="GN319" s="1095">
        <f t="shared" si="619"/>
        <v>17284.639514298822</v>
      </c>
      <c r="GO319" s="1098">
        <f t="shared" si="620"/>
        <v>0.875</v>
      </c>
      <c r="GP319" s="1095">
        <f t="shared" si="621"/>
        <v>3960766.7746028439</v>
      </c>
      <c r="GQ319" s="1095">
        <f t="shared" si="622"/>
        <v>30707.782645841882</v>
      </c>
      <c r="GR319" s="1095">
        <f t="shared" si="623"/>
        <v>35600.491512660185</v>
      </c>
      <c r="GS319" s="1095">
        <f t="shared" si="624"/>
        <v>45987.860673879099</v>
      </c>
      <c r="GT319" s="1095">
        <f t="shared" si="625"/>
        <v>78427.929275930772</v>
      </c>
      <c r="GU319" s="497"/>
      <c r="GV319" s="1095">
        <f t="shared" si="715"/>
        <v>4526590.5995461075</v>
      </c>
      <c r="GW319" s="1098">
        <f t="shared" si="716"/>
        <v>0.125</v>
      </c>
      <c r="GX319" s="1095">
        <f t="shared" si="717"/>
        <v>565823.82494326343</v>
      </c>
      <c r="GY319" s="1095">
        <f t="shared" si="718"/>
        <v>30000</v>
      </c>
      <c r="GZ319" s="1095">
        <f t="shared" si="719"/>
        <v>535823.82494326343</v>
      </c>
      <c r="HA319" s="1106">
        <f t="shared" si="720"/>
        <v>48</v>
      </c>
      <c r="HB319" s="770">
        <f t="shared" si="721"/>
        <v>11162.996352984655</v>
      </c>
      <c r="HC319" s="1098">
        <f t="shared" si="722"/>
        <v>0.875</v>
      </c>
      <c r="HD319" s="1102">
        <f t="shared" si="723"/>
        <v>3960766.7746028439</v>
      </c>
      <c r="HE319" s="1101">
        <f t="shared" si="724"/>
        <v>30707.782645841882</v>
      </c>
      <c r="HF319" s="1101">
        <f t="shared" si="725"/>
        <v>35600.491512660185</v>
      </c>
      <c r="HG319" s="1101">
        <f t="shared" si="726"/>
        <v>45987.860673879099</v>
      </c>
      <c r="HH319" s="1101">
        <f t="shared" si="727"/>
        <v>78427.929275930772</v>
      </c>
      <c r="HI319" s="497"/>
      <c r="HJ319" s="1102">
        <f t="shared" si="728"/>
        <v>-6121.6431613141667</v>
      </c>
      <c r="HL319" s="775"/>
      <c r="HN319" s="775"/>
      <c r="HO319" s="775"/>
      <c r="HQ319" s="702"/>
      <c r="HR319" s="1171"/>
      <c r="HS319" s="702"/>
      <c r="HT319" s="1171"/>
    </row>
    <row r="320" spans="1:228" ht="14.25" hidden="1" customHeight="1">
      <c r="A320" s="753">
        <f t="shared" si="729"/>
        <v>314</v>
      </c>
      <c r="B320" s="753"/>
      <c r="C320" s="753">
        <f t="shared" si="772"/>
        <v>4</v>
      </c>
      <c r="D320" s="753" t="s">
        <v>779</v>
      </c>
      <c r="E320" s="717" t="s">
        <v>292</v>
      </c>
      <c r="F320" s="754"/>
      <c r="G320" s="756" t="s">
        <v>783</v>
      </c>
      <c r="H320" s="756"/>
      <c r="I320" s="755" t="s">
        <v>229</v>
      </c>
      <c r="J320" s="757">
        <v>22</v>
      </c>
      <c r="K320" s="758"/>
      <c r="L320" s="759" t="s">
        <v>69</v>
      </c>
      <c r="M320" s="760" t="s">
        <v>68</v>
      </c>
      <c r="N320" s="761">
        <f t="shared" si="650"/>
        <v>106005.26567735759</v>
      </c>
      <c r="O320" s="762">
        <f t="shared" si="651"/>
        <v>2332115.8449018667</v>
      </c>
      <c r="P320" s="762">
        <f t="shared" si="652"/>
        <v>22400</v>
      </c>
      <c r="Q320" s="762">
        <f t="shared" si="626"/>
        <v>50000</v>
      </c>
      <c r="R320" s="762"/>
      <c r="S320" s="762"/>
      <c r="T320" s="762"/>
      <c r="U320" s="762"/>
      <c r="V320" s="762"/>
      <c r="W320" s="762"/>
      <c r="X320" s="762"/>
      <c r="Y320" s="762">
        <f t="shared" si="773"/>
        <v>180000</v>
      </c>
      <c r="Z320" s="762">
        <f t="shared" si="627"/>
        <v>142461</v>
      </c>
      <c r="AA320" s="762"/>
      <c r="AB320" s="762"/>
      <c r="AC320" s="762"/>
      <c r="AD320" s="763">
        <f t="shared" si="653"/>
        <v>394861</v>
      </c>
      <c r="AE320" s="763">
        <f t="shared" si="628"/>
        <v>2726976.8449018667</v>
      </c>
      <c r="AF320" s="762">
        <f t="shared" si="629"/>
        <v>68174.421122546672</v>
      </c>
      <c r="AG320" s="762">
        <f t="shared" si="654"/>
        <v>2795151.2660244135</v>
      </c>
      <c r="AH320" s="762">
        <f t="shared" si="630"/>
        <v>69878.781650610341</v>
      </c>
      <c r="AI320" s="762">
        <f t="shared" si="655"/>
        <v>2865030.0476750238</v>
      </c>
      <c r="AJ320" s="762">
        <f t="shared" si="656"/>
        <v>143251.50238375118</v>
      </c>
      <c r="AK320" s="762">
        <f t="shared" si="657"/>
        <v>3008281.5500587751</v>
      </c>
      <c r="AL320" s="762">
        <f t="shared" si="658"/>
        <v>30082.815500587752</v>
      </c>
      <c r="AM320" s="762">
        <f t="shared" si="659"/>
        <v>27537.409960060559</v>
      </c>
      <c r="AN320" s="762"/>
      <c r="AO320" s="763">
        <f t="shared" si="660"/>
        <v>3065901.7755194232</v>
      </c>
      <c r="AP320" s="763">
        <f t="shared" si="661"/>
        <v>505873.79296070483</v>
      </c>
      <c r="AQ320" s="763">
        <f t="shared" si="662"/>
        <v>3571775.568480128</v>
      </c>
      <c r="AR320" s="1178">
        <f t="shared" si="631"/>
        <v>3000000</v>
      </c>
      <c r="AS320" s="1178">
        <f t="shared" si="663"/>
        <v>25989.798567278543</v>
      </c>
      <c r="AT320" s="1178">
        <f t="shared" si="664"/>
        <v>571775.56848012796</v>
      </c>
      <c r="AU320" s="1178">
        <f t="shared" si="632"/>
        <v>68613.06821761535</v>
      </c>
      <c r="AV320" s="1178">
        <f t="shared" si="665"/>
        <v>640388.63669774332</v>
      </c>
      <c r="AW320" s="1178">
        <f t="shared" si="666"/>
        <v>3640388.6366977431</v>
      </c>
      <c r="AX320" s="762">
        <f t="shared" si="667"/>
        <v>45504.85795872179</v>
      </c>
      <c r="AY320" s="717" t="s">
        <v>231</v>
      </c>
      <c r="AZ320" s="717">
        <f t="shared" si="668"/>
        <v>3685893.494656465</v>
      </c>
      <c r="BA320" s="717">
        <f t="shared" si="669"/>
        <v>138221.00604961743</v>
      </c>
      <c r="BB320" s="717"/>
      <c r="BC320" s="717">
        <f t="shared" si="633"/>
        <v>33600</v>
      </c>
      <c r="BD320" s="717">
        <f t="shared" si="670"/>
        <v>3857714.5007060822</v>
      </c>
      <c r="BE320" s="717"/>
      <c r="BF320" s="717">
        <f t="shared" si="671"/>
        <v>3857714.5007060822</v>
      </c>
      <c r="BG320" s="1209"/>
      <c r="BH320" s="717">
        <f t="shared" si="672"/>
        <v>3857714.5007060822</v>
      </c>
      <c r="BI320" s="717"/>
      <c r="BJ320" s="717">
        <f t="shared" si="673"/>
        <v>3857714.5007060822</v>
      </c>
      <c r="BK320" s="717"/>
      <c r="BL320" s="717">
        <f t="shared" si="674"/>
        <v>3857714.5007060822</v>
      </c>
      <c r="BM320" s="717"/>
      <c r="BN320" s="717">
        <f t="shared" si="675"/>
        <v>3857714.5007060822</v>
      </c>
      <c r="BO320" s="717"/>
      <c r="BP320" s="717">
        <f t="shared" si="634"/>
        <v>3857714.5007060822</v>
      </c>
      <c r="BQ320" s="717"/>
      <c r="BR320" s="717">
        <f t="shared" si="738"/>
        <v>3857714.5007060822</v>
      </c>
      <c r="BS320" s="717"/>
      <c r="BT320" s="717">
        <f t="shared" si="676"/>
        <v>3857714.5007060822</v>
      </c>
      <c r="BU320" s="717"/>
      <c r="BV320" s="1235">
        <f t="shared" si="739"/>
        <v>51400</v>
      </c>
      <c r="BW320" s="717">
        <f t="shared" si="677"/>
        <v>3909114.5007060822</v>
      </c>
      <c r="BX320" s="717"/>
      <c r="BY320" s="717">
        <f t="shared" si="678"/>
        <v>3909114.5007060822</v>
      </c>
      <c r="BZ320" s="1194">
        <f t="shared" si="679"/>
        <v>3909114.5007060822</v>
      </c>
      <c r="CA320" s="1194">
        <f t="shared" si="680"/>
        <v>3029114.5007060822</v>
      </c>
      <c r="CB320" s="1194">
        <v>40000</v>
      </c>
      <c r="CC320" s="1194">
        <f t="shared" si="681"/>
        <v>880000</v>
      </c>
      <c r="CD320" s="1194">
        <f t="shared" si="682"/>
        <v>105600</v>
      </c>
      <c r="CE320" s="1194">
        <f t="shared" si="683"/>
        <v>985600</v>
      </c>
      <c r="CF320" s="1200">
        <f t="shared" si="684"/>
        <v>4014714.5007060822</v>
      </c>
      <c r="CG320" s="757">
        <f t="shared" si="685"/>
        <v>4014714.5007060822</v>
      </c>
      <c r="CH320" s="758">
        <f t="shared" si="686"/>
        <v>0</v>
      </c>
      <c r="CI320" s="757">
        <f t="shared" si="635"/>
        <v>411508.23632237338</v>
      </c>
      <c r="CJ320" s="757">
        <f t="shared" si="636"/>
        <v>100367.86251765206</v>
      </c>
      <c r="CK320" s="759">
        <f t="shared" si="747"/>
        <v>4526590.5995461075</v>
      </c>
      <c r="CL320" s="764">
        <f t="shared" si="687"/>
        <v>0.125</v>
      </c>
      <c r="CM320" s="757">
        <f t="shared" si="688"/>
        <v>565823.82494326343</v>
      </c>
      <c r="CN320" s="757">
        <f t="shared" si="730"/>
        <v>30000</v>
      </c>
      <c r="CO320" s="757">
        <f t="shared" si="689"/>
        <v>535823.82494326343</v>
      </c>
      <c r="CP320" s="755">
        <f t="shared" si="690"/>
        <v>31</v>
      </c>
      <c r="CQ320" s="757">
        <f t="shared" si="732"/>
        <v>17284.639514298822</v>
      </c>
      <c r="CR320" s="764">
        <f t="shared" si="691"/>
        <v>0.875</v>
      </c>
      <c r="CS320" s="757">
        <f t="shared" si="692"/>
        <v>3960766.7746028439</v>
      </c>
      <c r="CT320" s="1101">
        <f t="shared" si="693"/>
        <v>30707.782645841882</v>
      </c>
      <c r="CU320" s="1101">
        <f t="shared" si="694"/>
        <v>35600.491512660185</v>
      </c>
      <c r="CV320" s="1101">
        <f t="shared" si="695"/>
        <v>45987.860673879099</v>
      </c>
      <c r="CW320" s="1141">
        <f t="shared" si="637"/>
        <v>78427.929275930772</v>
      </c>
      <c r="CX320" s="1152">
        <f t="shared" si="696"/>
        <v>321745.67445476446</v>
      </c>
      <c r="CY320" s="1152">
        <f t="shared" si="697"/>
        <v>127313.19606858582</v>
      </c>
      <c r="CZ320" s="1152">
        <f t="shared" si="698"/>
        <v>91956.518358768255</v>
      </c>
      <c r="DA320" s="1152">
        <f t="shared" si="699"/>
        <v>69983.143930478778</v>
      </c>
      <c r="DB320" s="1143">
        <f t="shared" si="638"/>
        <v>0.19059185616004265</v>
      </c>
      <c r="DC320" s="1143">
        <f t="shared" si="700"/>
        <v>0.32537561712185459</v>
      </c>
      <c r="DD320" s="1098" t="s">
        <v>232</v>
      </c>
      <c r="DE320" s="1144"/>
      <c r="DF320" s="705"/>
      <c r="DG320" s="765">
        <f t="shared" si="731"/>
        <v>46082</v>
      </c>
      <c r="DH320" s="1116">
        <f t="shared" si="639"/>
        <v>28</v>
      </c>
      <c r="DI320" s="497"/>
      <c r="DJ320" s="1117">
        <f t="shared" si="701"/>
        <v>46147</v>
      </c>
      <c r="DK320" s="1116">
        <f t="shared" si="702"/>
        <v>30</v>
      </c>
      <c r="DL320" s="766" t="s">
        <v>233</v>
      </c>
      <c r="DM320" s="766" t="s">
        <v>234</v>
      </c>
      <c r="DN320" s="767">
        <f t="shared" si="640"/>
        <v>29108.57439535197</v>
      </c>
      <c r="DO320" s="767">
        <f t="shared" si="641"/>
        <v>640388.63669774332</v>
      </c>
      <c r="DP320" s="768">
        <f t="shared" si="642"/>
        <v>0.21346287889924778</v>
      </c>
      <c r="DR320" s="767">
        <f t="shared" si="643"/>
        <v>4014714.5007060822</v>
      </c>
      <c r="DS320" s="767">
        <f>SUM('[6]INTERNAL PRICELIST'!M320)</f>
        <v>0</v>
      </c>
      <c r="DT320" s="767">
        <f t="shared" si="703"/>
        <v>4014714.5007060822</v>
      </c>
      <c r="DV320" s="951">
        <f t="shared" si="644"/>
        <v>182487.02275936736</v>
      </c>
      <c r="DX320" s="781"/>
      <c r="DY320" s="782"/>
      <c r="DZ320" s="781"/>
      <c r="EA320" s="775"/>
      <c r="ED320" s="755" t="s">
        <v>783</v>
      </c>
      <c r="EE320" s="777" t="b">
        <f t="shared" si="645"/>
        <v>1</v>
      </c>
      <c r="EF320" s="777"/>
      <c r="EG320" s="777"/>
      <c r="EH320" s="1203"/>
      <c r="EP320" s="1230" t="s">
        <v>236</v>
      </c>
      <c r="EQ320" s="1145" t="s">
        <v>236</v>
      </c>
      <c r="ER320" s="753" t="b">
        <f t="shared" si="704"/>
        <v>1</v>
      </c>
      <c r="EU320" s="770">
        <v>3209496.1774007287</v>
      </c>
      <c r="EV320" s="771" t="s">
        <v>258</v>
      </c>
      <c r="EW320" s="775">
        <f t="shared" ref="EW320:EW351" si="774">EU320-CG320</f>
        <v>-805218.32330535352</v>
      </c>
      <c r="EY320" s="775">
        <v>3175432.1472727996</v>
      </c>
      <c r="FJ320" s="994">
        <v>0.15</v>
      </c>
      <c r="FK320" s="993">
        <v>13819.818797865502</v>
      </c>
      <c r="FL320" s="993">
        <v>14193.32741402403</v>
      </c>
      <c r="FM320" s="497"/>
      <c r="FN320" s="993">
        <f t="shared" si="646"/>
        <v>4526590.5995461075</v>
      </c>
      <c r="FO320" s="994">
        <f t="shared" si="737"/>
        <v>0.15</v>
      </c>
      <c r="FP320" s="775">
        <f t="shared" si="647"/>
        <v>678988.5899319161</v>
      </c>
      <c r="FQ320" s="993">
        <f t="shared" si="648"/>
        <v>30000</v>
      </c>
      <c r="FR320" s="775">
        <f t="shared" si="706"/>
        <v>648988.5899319161</v>
      </c>
      <c r="FS320" s="497">
        <f t="shared" si="707"/>
        <v>40</v>
      </c>
      <c r="FT320" s="775">
        <f t="shared" si="708"/>
        <v>16224.714748297902</v>
      </c>
      <c r="FU320" s="497"/>
      <c r="FV320" s="993">
        <f t="shared" si="709"/>
        <v>4526590.5995461075</v>
      </c>
      <c r="FW320" s="705">
        <f t="shared" si="710"/>
        <v>452659.05995461077</v>
      </c>
      <c r="FX320" s="705">
        <f t="shared" si="711"/>
        <v>113164.76498865269</v>
      </c>
      <c r="FY320" s="705">
        <v>15000</v>
      </c>
      <c r="FZ320" s="705">
        <f t="shared" si="712"/>
        <v>437659.05995461077</v>
      </c>
      <c r="GA320" s="497">
        <f t="shared" si="713"/>
        <v>46</v>
      </c>
      <c r="GB320" s="775">
        <f t="shared" si="714"/>
        <v>9514.327390317625</v>
      </c>
      <c r="GC320" s="497"/>
      <c r="GD320" s="497"/>
      <c r="GH320" s="1095">
        <f t="shared" si="613"/>
        <v>4526590.5995461075</v>
      </c>
      <c r="GI320" s="1098">
        <f t="shared" si="614"/>
        <v>0.125</v>
      </c>
      <c r="GJ320" s="1095">
        <f t="shared" si="615"/>
        <v>565823.82494326343</v>
      </c>
      <c r="GK320" s="1095">
        <f t="shared" si="616"/>
        <v>30000</v>
      </c>
      <c r="GL320" s="1095">
        <f t="shared" si="617"/>
        <v>535823.82494326343</v>
      </c>
      <c r="GM320" s="1095">
        <f t="shared" si="618"/>
        <v>31</v>
      </c>
      <c r="GN320" s="1095">
        <f t="shared" si="619"/>
        <v>17284.639514298822</v>
      </c>
      <c r="GO320" s="1098">
        <f t="shared" si="620"/>
        <v>0.875</v>
      </c>
      <c r="GP320" s="1095">
        <f t="shared" si="621"/>
        <v>3960766.7746028439</v>
      </c>
      <c r="GQ320" s="1095">
        <f t="shared" si="622"/>
        <v>30707.782645841882</v>
      </c>
      <c r="GR320" s="1095">
        <f t="shared" si="623"/>
        <v>35600.491512660185</v>
      </c>
      <c r="GS320" s="1095">
        <f t="shared" si="624"/>
        <v>45987.860673879099</v>
      </c>
      <c r="GT320" s="1095">
        <f t="shared" si="625"/>
        <v>78427.929275930772</v>
      </c>
      <c r="GU320" s="497"/>
      <c r="GV320" s="1095">
        <f t="shared" si="715"/>
        <v>4526590.5995461075</v>
      </c>
      <c r="GW320" s="1098">
        <f t="shared" si="716"/>
        <v>0.125</v>
      </c>
      <c r="GX320" s="1095">
        <f t="shared" si="717"/>
        <v>565823.82494326343</v>
      </c>
      <c r="GY320" s="1095">
        <f t="shared" si="718"/>
        <v>30000</v>
      </c>
      <c r="GZ320" s="1095">
        <f t="shared" si="719"/>
        <v>535823.82494326343</v>
      </c>
      <c r="HA320" s="1106">
        <f t="shared" si="720"/>
        <v>48</v>
      </c>
      <c r="HB320" s="770">
        <f t="shared" si="721"/>
        <v>11162.996352984655</v>
      </c>
      <c r="HC320" s="1098">
        <f t="shared" si="722"/>
        <v>0.875</v>
      </c>
      <c r="HD320" s="1102">
        <f t="shared" si="723"/>
        <v>3960766.7746028439</v>
      </c>
      <c r="HE320" s="1101">
        <f t="shared" si="724"/>
        <v>30707.782645841882</v>
      </c>
      <c r="HF320" s="1101">
        <f t="shared" si="725"/>
        <v>35600.491512660185</v>
      </c>
      <c r="HG320" s="1101">
        <f t="shared" si="726"/>
        <v>45987.860673879099</v>
      </c>
      <c r="HH320" s="1101">
        <f t="shared" si="727"/>
        <v>78427.929275930772</v>
      </c>
      <c r="HI320" s="497"/>
      <c r="HJ320" s="1102">
        <f t="shared" si="728"/>
        <v>-6121.6431613141667</v>
      </c>
      <c r="HL320" s="775"/>
      <c r="HN320" s="775"/>
      <c r="HO320" s="775"/>
      <c r="HQ320" s="702"/>
      <c r="HR320" s="1171"/>
      <c r="HS320" s="702"/>
      <c r="HT320" s="1171"/>
    </row>
    <row r="321" spans="1:228" ht="14.25" hidden="1" customHeight="1">
      <c r="A321" s="753">
        <f t="shared" si="729"/>
        <v>315</v>
      </c>
      <c r="B321" s="753"/>
      <c r="C321" s="753">
        <f t="shared" si="772"/>
        <v>5</v>
      </c>
      <c r="D321" s="753" t="s">
        <v>779</v>
      </c>
      <c r="E321" s="717" t="s">
        <v>292</v>
      </c>
      <c r="F321" s="754"/>
      <c r="G321" s="756" t="s">
        <v>784</v>
      </c>
      <c r="H321" s="756"/>
      <c r="I321" s="755" t="s">
        <v>229</v>
      </c>
      <c r="J321" s="757">
        <v>22</v>
      </c>
      <c r="K321" s="758"/>
      <c r="L321" s="759" t="s">
        <v>69</v>
      </c>
      <c r="M321" s="760" t="s">
        <v>68</v>
      </c>
      <c r="N321" s="761">
        <f t="shared" si="650"/>
        <v>106005.26567735759</v>
      </c>
      <c r="O321" s="762">
        <f t="shared" si="651"/>
        <v>2332115.8449018667</v>
      </c>
      <c r="P321" s="762">
        <f t="shared" si="652"/>
        <v>22400</v>
      </c>
      <c r="Q321" s="762">
        <f t="shared" si="626"/>
        <v>50000</v>
      </c>
      <c r="R321" s="762"/>
      <c r="S321" s="762"/>
      <c r="T321" s="762"/>
      <c r="U321" s="762"/>
      <c r="V321" s="762"/>
      <c r="W321" s="762"/>
      <c r="X321" s="762"/>
      <c r="Y321" s="762">
        <f t="shared" si="773"/>
        <v>180000</v>
      </c>
      <c r="Z321" s="762">
        <f t="shared" si="627"/>
        <v>142461</v>
      </c>
      <c r="AA321" s="762"/>
      <c r="AB321" s="762"/>
      <c r="AC321" s="762"/>
      <c r="AD321" s="763">
        <f t="shared" si="653"/>
        <v>394861</v>
      </c>
      <c r="AE321" s="763">
        <f t="shared" si="628"/>
        <v>2726976.8449018667</v>
      </c>
      <c r="AF321" s="762">
        <f t="shared" si="629"/>
        <v>68174.421122546672</v>
      </c>
      <c r="AG321" s="762">
        <f t="shared" si="654"/>
        <v>2795151.2660244135</v>
      </c>
      <c r="AH321" s="762">
        <f t="shared" si="630"/>
        <v>69878.781650610341</v>
      </c>
      <c r="AI321" s="762">
        <f t="shared" si="655"/>
        <v>2865030.0476750238</v>
      </c>
      <c r="AJ321" s="762">
        <f t="shared" si="656"/>
        <v>143251.50238375118</v>
      </c>
      <c r="AK321" s="762">
        <f t="shared" si="657"/>
        <v>3008281.5500587751</v>
      </c>
      <c r="AL321" s="762">
        <f t="shared" si="658"/>
        <v>30082.815500587752</v>
      </c>
      <c r="AM321" s="762">
        <f t="shared" si="659"/>
        <v>27537.409960060559</v>
      </c>
      <c r="AN321" s="762"/>
      <c r="AO321" s="763">
        <f t="shared" si="660"/>
        <v>3065901.7755194232</v>
      </c>
      <c r="AP321" s="763">
        <f t="shared" si="661"/>
        <v>505873.79296070483</v>
      </c>
      <c r="AQ321" s="763">
        <f t="shared" si="662"/>
        <v>3571775.568480128</v>
      </c>
      <c r="AR321" s="1178">
        <f t="shared" si="631"/>
        <v>3000000</v>
      </c>
      <c r="AS321" s="1178">
        <f t="shared" si="663"/>
        <v>25989.798567278543</v>
      </c>
      <c r="AT321" s="1178">
        <f t="shared" si="664"/>
        <v>571775.56848012796</v>
      </c>
      <c r="AU321" s="1178">
        <f t="shared" si="632"/>
        <v>68613.06821761535</v>
      </c>
      <c r="AV321" s="1178">
        <f t="shared" si="665"/>
        <v>640388.63669774332</v>
      </c>
      <c r="AW321" s="1178">
        <f t="shared" si="666"/>
        <v>3640388.6366977431</v>
      </c>
      <c r="AX321" s="762">
        <f t="shared" si="667"/>
        <v>45504.85795872179</v>
      </c>
      <c r="AY321" s="717" t="s">
        <v>231</v>
      </c>
      <c r="AZ321" s="717">
        <f t="shared" si="668"/>
        <v>3685893.494656465</v>
      </c>
      <c r="BA321" s="717">
        <f t="shared" si="669"/>
        <v>138221.00604961743</v>
      </c>
      <c r="BB321" s="717"/>
      <c r="BC321" s="717">
        <f t="shared" si="633"/>
        <v>33600</v>
      </c>
      <c r="BD321" s="717">
        <f t="shared" si="670"/>
        <v>3857714.5007060822</v>
      </c>
      <c r="BE321" s="717"/>
      <c r="BF321" s="717">
        <f t="shared" si="671"/>
        <v>3857714.5007060822</v>
      </c>
      <c r="BG321" s="1209"/>
      <c r="BH321" s="717">
        <f t="shared" si="672"/>
        <v>3857714.5007060822</v>
      </c>
      <c r="BI321" s="717"/>
      <c r="BJ321" s="717">
        <f t="shared" si="673"/>
        <v>3857714.5007060822</v>
      </c>
      <c r="BK321" s="717"/>
      <c r="BL321" s="717">
        <f t="shared" si="674"/>
        <v>3857714.5007060822</v>
      </c>
      <c r="BM321" s="717"/>
      <c r="BN321" s="717">
        <f t="shared" si="675"/>
        <v>3857714.5007060822</v>
      </c>
      <c r="BO321" s="717"/>
      <c r="BP321" s="717">
        <f t="shared" si="634"/>
        <v>3857714.5007060822</v>
      </c>
      <c r="BQ321" s="717"/>
      <c r="BR321" s="717">
        <f t="shared" si="738"/>
        <v>3857714.5007060822</v>
      </c>
      <c r="BS321" s="717"/>
      <c r="BT321" s="717">
        <f t="shared" si="676"/>
        <v>3857714.5007060822</v>
      </c>
      <c r="BU321" s="717"/>
      <c r="BV321" s="1235">
        <f t="shared" si="739"/>
        <v>51400</v>
      </c>
      <c r="BW321" s="717">
        <f t="shared" si="677"/>
        <v>3909114.5007060822</v>
      </c>
      <c r="BX321" s="717"/>
      <c r="BY321" s="717">
        <f t="shared" si="678"/>
        <v>3909114.5007060822</v>
      </c>
      <c r="BZ321" s="1194">
        <f t="shared" si="679"/>
        <v>3909114.5007060822</v>
      </c>
      <c r="CA321" s="1194">
        <f t="shared" si="680"/>
        <v>3029114.5007060822</v>
      </c>
      <c r="CB321" s="1194">
        <v>40000</v>
      </c>
      <c r="CC321" s="1194">
        <f t="shared" si="681"/>
        <v>880000</v>
      </c>
      <c r="CD321" s="1194">
        <f t="shared" si="682"/>
        <v>105600</v>
      </c>
      <c r="CE321" s="1194">
        <f t="shared" si="683"/>
        <v>985600</v>
      </c>
      <c r="CF321" s="1200">
        <f t="shared" si="684"/>
        <v>4014714.5007060822</v>
      </c>
      <c r="CG321" s="757">
        <f t="shared" si="685"/>
        <v>4014714.5007060822</v>
      </c>
      <c r="CH321" s="758">
        <f t="shared" si="686"/>
        <v>0</v>
      </c>
      <c r="CI321" s="757">
        <f t="shared" si="635"/>
        <v>411508.23632237338</v>
      </c>
      <c r="CJ321" s="757">
        <f t="shared" si="636"/>
        <v>100367.86251765206</v>
      </c>
      <c r="CK321" s="759">
        <f t="shared" si="747"/>
        <v>4526590.5995461075</v>
      </c>
      <c r="CL321" s="764">
        <f t="shared" si="687"/>
        <v>0.125</v>
      </c>
      <c r="CM321" s="757">
        <f t="shared" si="688"/>
        <v>565823.82494326343</v>
      </c>
      <c r="CN321" s="757">
        <f t="shared" si="730"/>
        <v>30000</v>
      </c>
      <c r="CO321" s="757">
        <f t="shared" si="689"/>
        <v>535823.82494326343</v>
      </c>
      <c r="CP321" s="755">
        <f t="shared" si="690"/>
        <v>31</v>
      </c>
      <c r="CQ321" s="757">
        <f t="shared" si="732"/>
        <v>17284.639514298822</v>
      </c>
      <c r="CR321" s="764">
        <f t="shared" si="691"/>
        <v>0.875</v>
      </c>
      <c r="CS321" s="757">
        <f t="shared" si="692"/>
        <v>3960766.7746028439</v>
      </c>
      <c r="CT321" s="1101">
        <f t="shared" si="693"/>
        <v>30707.782645841882</v>
      </c>
      <c r="CU321" s="1101">
        <f t="shared" si="694"/>
        <v>35600.491512660185</v>
      </c>
      <c r="CV321" s="1101">
        <f t="shared" si="695"/>
        <v>45987.860673879099</v>
      </c>
      <c r="CW321" s="1141">
        <f t="shared" si="637"/>
        <v>78427.929275930772</v>
      </c>
      <c r="CX321" s="1152">
        <f t="shared" si="696"/>
        <v>321745.67445476446</v>
      </c>
      <c r="CY321" s="1152">
        <f t="shared" si="697"/>
        <v>127313.19606858582</v>
      </c>
      <c r="CZ321" s="1152">
        <f t="shared" si="698"/>
        <v>91956.518358768255</v>
      </c>
      <c r="DA321" s="1152">
        <f t="shared" si="699"/>
        <v>69983.143930478778</v>
      </c>
      <c r="DB321" s="1143">
        <f t="shared" si="638"/>
        <v>0.19059185616004265</v>
      </c>
      <c r="DC321" s="1143">
        <f t="shared" si="700"/>
        <v>0.32537561712185459</v>
      </c>
      <c r="DD321" s="1098" t="s">
        <v>232</v>
      </c>
      <c r="DE321" s="1144"/>
      <c r="DF321" s="705"/>
      <c r="DG321" s="765">
        <f t="shared" si="731"/>
        <v>46082</v>
      </c>
      <c r="DH321" s="1116">
        <f t="shared" si="639"/>
        <v>28</v>
      </c>
      <c r="DI321" s="497"/>
      <c r="DJ321" s="1117">
        <f t="shared" si="701"/>
        <v>46147</v>
      </c>
      <c r="DK321" s="1116">
        <f t="shared" si="702"/>
        <v>30</v>
      </c>
      <c r="DL321" s="766" t="s">
        <v>233</v>
      </c>
      <c r="DM321" s="766" t="s">
        <v>234</v>
      </c>
      <c r="DN321" s="767">
        <f t="shared" si="640"/>
        <v>29108.57439535197</v>
      </c>
      <c r="DO321" s="767">
        <f t="shared" si="641"/>
        <v>640388.63669774332</v>
      </c>
      <c r="DP321" s="768">
        <f t="shared" si="642"/>
        <v>0.21346287889924778</v>
      </c>
      <c r="DR321" s="767">
        <f t="shared" si="643"/>
        <v>4014714.5007060822</v>
      </c>
      <c r="DS321" s="767">
        <f>SUM('[6]INTERNAL PRICELIST'!M321)</f>
        <v>0</v>
      </c>
      <c r="DT321" s="767">
        <f t="shared" si="703"/>
        <v>4014714.5007060822</v>
      </c>
      <c r="DV321" s="951">
        <f t="shared" si="644"/>
        <v>182487.02275936736</v>
      </c>
      <c r="DX321" s="781"/>
      <c r="DY321" s="782"/>
      <c r="DZ321" s="781"/>
      <c r="EA321" s="775"/>
      <c r="ED321" s="755" t="s">
        <v>784</v>
      </c>
      <c r="EE321" s="777" t="b">
        <f t="shared" si="645"/>
        <v>1</v>
      </c>
      <c r="EF321" s="777"/>
      <c r="EG321" s="777"/>
      <c r="EH321" s="1203"/>
      <c r="EP321" s="1230" t="s">
        <v>236</v>
      </c>
      <c r="EQ321" s="1145" t="s">
        <v>236</v>
      </c>
      <c r="ER321" s="753" t="b">
        <f t="shared" si="704"/>
        <v>1</v>
      </c>
      <c r="EU321" s="770">
        <v>3209496.1774007287</v>
      </c>
      <c r="EV321" s="771" t="s">
        <v>258</v>
      </c>
      <c r="EW321" s="775">
        <f t="shared" si="774"/>
        <v>-805218.32330535352</v>
      </c>
      <c r="EY321" s="775">
        <v>3175432.1472727996</v>
      </c>
      <c r="FJ321" s="994">
        <v>0.15</v>
      </c>
      <c r="FK321" s="993">
        <v>13819.818797865502</v>
      </c>
      <c r="FL321" s="993">
        <v>14193.32741402403</v>
      </c>
      <c r="FM321" s="497"/>
      <c r="FN321" s="993">
        <f t="shared" si="646"/>
        <v>4526590.5995461075</v>
      </c>
      <c r="FO321" s="994">
        <f t="shared" si="737"/>
        <v>0.15</v>
      </c>
      <c r="FP321" s="775">
        <f t="shared" si="647"/>
        <v>678988.5899319161</v>
      </c>
      <c r="FQ321" s="993">
        <f t="shared" si="648"/>
        <v>30000</v>
      </c>
      <c r="FR321" s="775">
        <f t="shared" si="706"/>
        <v>648988.5899319161</v>
      </c>
      <c r="FS321" s="497">
        <f t="shared" si="707"/>
        <v>40</v>
      </c>
      <c r="FT321" s="775">
        <f t="shared" si="708"/>
        <v>16224.714748297902</v>
      </c>
      <c r="FU321" s="497"/>
      <c r="FV321" s="993">
        <f t="shared" si="709"/>
        <v>4526590.5995461075</v>
      </c>
      <c r="FW321" s="705">
        <f t="shared" si="710"/>
        <v>452659.05995461077</v>
      </c>
      <c r="FX321" s="705">
        <f t="shared" si="711"/>
        <v>113164.76498865269</v>
      </c>
      <c r="FY321" s="705">
        <v>15000</v>
      </c>
      <c r="FZ321" s="705">
        <f t="shared" si="712"/>
        <v>437659.05995461077</v>
      </c>
      <c r="GA321" s="497">
        <f t="shared" si="713"/>
        <v>46</v>
      </c>
      <c r="GB321" s="775">
        <f t="shared" si="714"/>
        <v>9514.327390317625</v>
      </c>
      <c r="GC321" s="497"/>
      <c r="GD321" s="497"/>
      <c r="GH321" s="1095">
        <f t="shared" si="613"/>
        <v>4526590.5995461075</v>
      </c>
      <c r="GI321" s="1098">
        <f t="shared" si="614"/>
        <v>0.125</v>
      </c>
      <c r="GJ321" s="1095">
        <f t="shared" si="615"/>
        <v>565823.82494326343</v>
      </c>
      <c r="GK321" s="1095">
        <f t="shared" si="616"/>
        <v>30000</v>
      </c>
      <c r="GL321" s="1095">
        <f t="shared" si="617"/>
        <v>535823.82494326343</v>
      </c>
      <c r="GM321" s="1095">
        <f t="shared" si="618"/>
        <v>31</v>
      </c>
      <c r="GN321" s="1095">
        <f t="shared" si="619"/>
        <v>17284.639514298822</v>
      </c>
      <c r="GO321" s="1098">
        <f t="shared" si="620"/>
        <v>0.875</v>
      </c>
      <c r="GP321" s="1095">
        <f t="shared" si="621"/>
        <v>3960766.7746028439</v>
      </c>
      <c r="GQ321" s="1095">
        <f t="shared" si="622"/>
        <v>30707.782645841882</v>
      </c>
      <c r="GR321" s="1095">
        <f t="shared" si="623"/>
        <v>35600.491512660185</v>
      </c>
      <c r="GS321" s="1095">
        <f t="shared" si="624"/>
        <v>45987.860673879099</v>
      </c>
      <c r="GT321" s="1095">
        <f t="shared" si="625"/>
        <v>78427.929275930772</v>
      </c>
      <c r="GU321" s="497"/>
      <c r="GV321" s="1095">
        <f t="shared" si="715"/>
        <v>4526590.5995461075</v>
      </c>
      <c r="GW321" s="1098">
        <f t="shared" si="716"/>
        <v>0.125</v>
      </c>
      <c r="GX321" s="1095">
        <f t="shared" si="717"/>
        <v>565823.82494326343</v>
      </c>
      <c r="GY321" s="1095">
        <f t="shared" si="718"/>
        <v>30000</v>
      </c>
      <c r="GZ321" s="1095">
        <f t="shared" si="719"/>
        <v>535823.82494326343</v>
      </c>
      <c r="HA321" s="1106">
        <f t="shared" si="720"/>
        <v>48</v>
      </c>
      <c r="HB321" s="770">
        <f t="shared" si="721"/>
        <v>11162.996352984655</v>
      </c>
      <c r="HC321" s="1098">
        <f t="shared" si="722"/>
        <v>0.875</v>
      </c>
      <c r="HD321" s="1102">
        <f t="shared" si="723"/>
        <v>3960766.7746028439</v>
      </c>
      <c r="HE321" s="1101">
        <f t="shared" si="724"/>
        <v>30707.782645841882</v>
      </c>
      <c r="HF321" s="1101">
        <f t="shared" si="725"/>
        <v>35600.491512660185</v>
      </c>
      <c r="HG321" s="1101">
        <f t="shared" si="726"/>
        <v>45987.860673879099</v>
      </c>
      <c r="HH321" s="1101">
        <f t="shared" si="727"/>
        <v>78427.929275930772</v>
      </c>
      <c r="HI321" s="497"/>
      <c r="HJ321" s="1102">
        <f t="shared" si="728"/>
        <v>-6121.6431613141667</v>
      </c>
      <c r="HL321" s="775"/>
      <c r="HN321" s="775"/>
      <c r="HO321" s="775"/>
      <c r="HQ321" s="702"/>
      <c r="HR321" s="1171"/>
      <c r="HS321" s="702"/>
      <c r="HT321" s="1171"/>
    </row>
    <row r="322" spans="1:228" ht="14.25" hidden="1" customHeight="1">
      <c r="A322" s="753">
        <f t="shared" si="729"/>
        <v>316</v>
      </c>
      <c r="B322" s="753"/>
      <c r="C322" s="753">
        <f t="shared" si="772"/>
        <v>6</v>
      </c>
      <c r="D322" s="753" t="s">
        <v>779</v>
      </c>
      <c r="E322" s="717" t="s">
        <v>292</v>
      </c>
      <c r="F322" s="754"/>
      <c r="G322" s="756" t="s">
        <v>785</v>
      </c>
      <c r="H322" s="756"/>
      <c r="I322" s="755" t="s">
        <v>229</v>
      </c>
      <c r="J322" s="757">
        <v>22</v>
      </c>
      <c r="K322" s="758"/>
      <c r="L322" s="759" t="s">
        <v>69</v>
      </c>
      <c r="M322" s="760" t="s">
        <v>68</v>
      </c>
      <c r="N322" s="761">
        <f t="shared" si="650"/>
        <v>106005.26567735759</v>
      </c>
      <c r="O322" s="762">
        <f t="shared" si="651"/>
        <v>2332115.8449018667</v>
      </c>
      <c r="P322" s="762">
        <f t="shared" si="652"/>
        <v>22400</v>
      </c>
      <c r="Q322" s="762">
        <f t="shared" si="626"/>
        <v>50000</v>
      </c>
      <c r="R322" s="762"/>
      <c r="S322" s="762"/>
      <c r="T322" s="762"/>
      <c r="U322" s="762"/>
      <c r="V322" s="762"/>
      <c r="W322" s="762"/>
      <c r="X322" s="762"/>
      <c r="Y322" s="762">
        <f t="shared" si="773"/>
        <v>180000</v>
      </c>
      <c r="Z322" s="762">
        <f t="shared" si="627"/>
        <v>142461</v>
      </c>
      <c r="AA322" s="762"/>
      <c r="AB322" s="762"/>
      <c r="AC322" s="762"/>
      <c r="AD322" s="763">
        <f t="shared" si="653"/>
        <v>394861</v>
      </c>
      <c r="AE322" s="763">
        <f t="shared" si="628"/>
        <v>2726976.8449018667</v>
      </c>
      <c r="AF322" s="762">
        <f t="shared" si="629"/>
        <v>68174.421122546672</v>
      </c>
      <c r="AG322" s="762">
        <f t="shared" si="654"/>
        <v>2795151.2660244135</v>
      </c>
      <c r="AH322" s="762">
        <f t="shared" si="630"/>
        <v>69878.781650610341</v>
      </c>
      <c r="AI322" s="762">
        <f t="shared" si="655"/>
        <v>2865030.0476750238</v>
      </c>
      <c r="AJ322" s="762">
        <f t="shared" si="656"/>
        <v>143251.50238375118</v>
      </c>
      <c r="AK322" s="762">
        <f t="shared" si="657"/>
        <v>3008281.5500587751</v>
      </c>
      <c r="AL322" s="762">
        <f t="shared" si="658"/>
        <v>30082.815500587752</v>
      </c>
      <c r="AM322" s="762">
        <f t="shared" si="659"/>
        <v>27537.409960060559</v>
      </c>
      <c r="AN322" s="762"/>
      <c r="AO322" s="763">
        <f t="shared" si="660"/>
        <v>3065901.7755194232</v>
      </c>
      <c r="AP322" s="763">
        <f t="shared" si="661"/>
        <v>505873.79296070483</v>
      </c>
      <c r="AQ322" s="763">
        <f t="shared" si="662"/>
        <v>3571775.568480128</v>
      </c>
      <c r="AR322" s="1178">
        <f t="shared" si="631"/>
        <v>3000000</v>
      </c>
      <c r="AS322" s="1178">
        <f t="shared" si="663"/>
        <v>25989.798567278543</v>
      </c>
      <c r="AT322" s="1178">
        <f t="shared" si="664"/>
        <v>571775.56848012796</v>
      </c>
      <c r="AU322" s="1178">
        <f t="shared" si="632"/>
        <v>68613.06821761535</v>
      </c>
      <c r="AV322" s="1178">
        <f t="shared" si="665"/>
        <v>640388.63669774332</v>
      </c>
      <c r="AW322" s="1178">
        <f t="shared" si="666"/>
        <v>3640388.6366977431</v>
      </c>
      <c r="AX322" s="762">
        <f t="shared" si="667"/>
        <v>45504.85795872179</v>
      </c>
      <c r="AY322" s="717" t="s">
        <v>231</v>
      </c>
      <c r="AZ322" s="717">
        <f t="shared" si="668"/>
        <v>3685893.494656465</v>
      </c>
      <c r="BA322" s="717">
        <f t="shared" si="669"/>
        <v>138221.00604961743</v>
      </c>
      <c r="BB322" s="717"/>
      <c r="BC322" s="717">
        <f t="shared" si="633"/>
        <v>33600</v>
      </c>
      <c r="BD322" s="717">
        <f t="shared" si="670"/>
        <v>3857714.5007060822</v>
      </c>
      <c r="BE322" s="717"/>
      <c r="BF322" s="717">
        <f t="shared" si="671"/>
        <v>3857714.5007060822</v>
      </c>
      <c r="BG322" s="1209"/>
      <c r="BH322" s="717">
        <f t="shared" si="672"/>
        <v>3857714.5007060822</v>
      </c>
      <c r="BI322" s="717"/>
      <c r="BJ322" s="717">
        <f t="shared" si="673"/>
        <v>3857714.5007060822</v>
      </c>
      <c r="BK322" s="717"/>
      <c r="BL322" s="717">
        <f t="shared" si="674"/>
        <v>3857714.5007060822</v>
      </c>
      <c r="BM322" s="717"/>
      <c r="BN322" s="717">
        <f t="shared" si="675"/>
        <v>3857714.5007060822</v>
      </c>
      <c r="BO322" s="717"/>
      <c r="BP322" s="717">
        <f t="shared" si="634"/>
        <v>3857714.5007060822</v>
      </c>
      <c r="BQ322" s="717"/>
      <c r="BR322" s="717">
        <f t="shared" si="738"/>
        <v>3857714.5007060822</v>
      </c>
      <c r="BS322" s="717"/>
      <c r="BT322" s="717">
        <f t="shared" si="676"/>
        <v>3857714.5007060822</v>
      </c>
      <c r="BU322" s="717"/>
      <c r="BV322" s="1235">
        <f t="shared" si="739"/>
        <v>51400</v>
      </c>
      <c r="BW322" s="717">
        <f t="shared" si="677"/>
        <v>3909114.5007060822</v>
      </c>
      <c r="BX322" s="717"/>
      <c r="BY322" s="717">
        <f t="shared" si="678"/>
        <v>3909114.5007060822</v>
      </c>
      <c r="BZ322" s="1194">
        <f t="shared" si="679"/>
        <v>3909114.5007060822</v>
      </c>
      <c r="CA322" s="1194">
        <f t="shared" si="680"/>
        <v>3029114.5007060822</v>
      </c>
      <c r="CB322" s="1194">
        <v>40000</v>
      </c>
      <c r="CC322" s="1194">
        <f t="shared" si="681"/>
        <v>880000</v>
      </c>
      <c r="CD322" s="1194">
        <f t="shared" si="682"/>
        <v>105600</v>
      </c>
      <c r="CE322" s="1194">
        <f t="shared" si="683"/>
        <v>985600</v>
      </c>
      <c r="CF322" s="1200">
        <f t="shared" si="684"/>
        <v>4014714.5007060822</v>
      </c>
      <c r="CG322" s="757">
        <f t="shared" si="685"/>
        <v>4014714.5007060822</v>
      </c>
      <c r="CH322" s="758">
        <f t="shared" si="686"/>
        <v>0</v>
      </c>
      <c r="CI322" s="757">
        <f t="shared" si="635"/>
        <v>411508.23632237338</v>
      </c>
      <c r="CJ322" s="757">
        <f t="shared" si="636"/>
        <v>100367.86251765206</v>
      </c>
      <c r="CK322" s="759">
        <f t="shared" si="747"/>
        <v>4526590.5995461075</v>
      </c>
      <c r="CL322" s="764">
        <f t="shared" si="687"/>
        <v>0.125</v>
      </c>
      <c r="CM322" s="757">
        <f t="shared" si="688"/>
        <v>565823.82494326343</v>
      </c>
      <c r="CN322" s="757">
        <f t="shared" si="730"/>
        <v>30000</v>
      </c>
      <c r="CO322" s="757">
        <f t="shared" si="689"/>
        <v>535823.82494326343</v>
      </c>
      <c r="CP322" s="755">
        <f t="shared" si="690"/>
        <v>31</v>
      </c>
      <c r="CQ322" s="757">
        <f t="shared" si="732"/>
        <v>17284.639514298822</v>
      </c>
      <c r="CR322" s="764">
        <f t="shared" si="691"/>
        <v>0.875</v>
      </c>
      <c r="CS322" s="757">
        <f t="shared" si="692"/>
        <v>3960766.7746028439</v>
      </c>
      <c r="CT322" s="1101">
        <f t="shared" si="693"/>
        <v>30707.782645841882</v>
      </c>
      <c r="CU322" s="1101">
        <f t="shared" si="694"/>
        <v>35600.491512660185</v>
      </c>
      <c r="CV322" s="1101">
        <f t="shared" si="695"/>
        <v>45987.860673879099</v>
      </c>
      <c r="CW322" s="1141">
        <f t="shared" si="637"/>
        <v>78427.929275930772</v>
      </c>
      <c r="CX322" s="1152">
        <f t="shared" si="696"/>
        <v>321745.67445476446</v>
      </c>
      <c r="CY322" s="1152">
        <f t="shared" si="697"/>
        <v>127313.19606858582</v>
      </c>
      <c r="CZ322" s="1152">
        <f t="shared" si="698"/>
        <v>91956.518358768255</v>
      </c>
      <c r="DA322" s="1152">
        <f t="shared" si="699"/>
        <v>69983.143930478778</v>
      </c>
      <c r="DB322" s="1143">
        <f t="shared" si="638"/>
        <v>0.19059185616004265</v>
      </c>
      <c r="DC322" s="1143">
        <f t="shared" si="700"/>
        <v>0.32537561712185459</v>
      </c>
      <c r="DD322" s="1098" t="s">
        <v>232</v>
      </c>
      <c r="DE322" s="1144"/>
      <c r="DF322" s="705"/>
      <c r="DG322" s="765">
        <f t="shared" si="731"/>
        <v>46082</v>
      </c>
      <c r="DH322" s="1116">
        <f t="shared" si="639"/>
        <v>28</v>
      </c>
      <c r="DI322" s="497"/>
      <c r="DJ322" s="1117">
        <f t="shared" si="701"/>
        <v>46147</v>
      </c>
      <c r="DK322" s="1116">
        <f t="shared" si="702"/>
        <v>30</v>
      </c>
      <c r="DL322" s="766" t="s">
        <v>233</v>
      </c>
      <c r="DM322" s="766" t="s">
        <v>234</v>
      </c>
      <c r="DN322" s="767">
        <f t="shared" si="640"/>
        <v>29108.57439535197</v>
      </c>
      <c r="DO322" s="767">
        <f t="shared" si="641"/>
        <v>640388.63669774332</v>
      </c>
      <c r="DP322" s="768">
        <f t="shared" si="642"/>
        <v>0.21346287889924778</v>
      </c>
      <c r="DR322" s="767">
        <f t="shared" si="643"/>
        <v>4014714.5007060822</v>
      </c>
      <c r="DS322" s="767">
        <f>SUM('[6]INTERNAL PRICELIST'!M322)</f>
        <v>0</v>
      </c>
      <c r="DT322" s="767">
        <f t="shared" si="703"/>
        <v>4014714.5007060822</v>
      </c>
      <c r="DV322" s="951">
        <f t="shared" si="644"/>
        <v>182487.02275936736</v>
      </c>
      <c r="DX322" s="781"/>
      <c r="DY322" s="782"/>
      <c r="DZ322" s="781"/>
      <c r="EA322" s="775"/>
      <c r="ED322" s="755" t="s">
        <v>785</v>
      </c>
      <c r="EE322" s="777" t="b">
        <f t="shared" si="645"/>
        <v>1</v>
      </c>
      <c r="EF322" s="777"/>
      <c r="EG322" s="777"/>
      <c r="EH322" s="1203"/>
      <c r="EP322" s="1230" t="s">
        <v>236</v>
      </c>
      <c r="EQ322" s="1145" t="s">
        <v>236</v>
      </c>
      <c r="ER322" s="753" t="b">
        <f t="shared" si="704"/>
        <v>1</v>
      </c>
      <c r="EU322" s="770">
        <v>3209496.1774007287</v>
      </c>
      <c r="EV322" s="771" t="s">
        <v>258</v>
      </c>
      <c r="EW322" s="775">
        <f t="shared" si="774"/>
        <v>-805218.32330535352</v>
      </c>
      <c r="EY322" s="775">
        <v>3175432.1472727996</v>
      </c>
      <c r="FJ322" s="994">
        <v>0.15</v>
      </c>
      <c r="FK322" s="993">
        <v>13819.818797865502</v>
      </c>
      <c r="FL322" s="993">
        <v>14193.32741402403</v>
      </c>
      <c r="FM322" s="497"/>
      <c r="FN322" s="993">
        <f t="shared" si="646"/>
        <v>4526590.5995461075</v>
      </c>
      <c r="FO322" s="994">
        <f t="shared" si="737"/>
        <v>0.15</v>
      </c>
      <c r="FP322" s="775">
        <f t="shared" si="647"/>
        <v>678988.5899319161</v>
      </c>
      <c r="FQ322" s="993">
        <f t="shared" si="648"/>
        <v>30000</v>
      </c>
      <c r="FR322" s="775">
        <f t="shared" si="706"/>
        <v>648988.5899319161</v>
      </c>
      <c r="FS322" s="497">
        <f t="shared" si="707"/>
        <v>40</v>
      </c>
      <c r="FT322" s="775">
        <f t="shared" si="708"/>
        <v>16224.714748297902</v>
      </c>
      <c r="FU322" s="497"/>
      <c r="FV322" s="993">
        <f t="shared" si="709"/>
        <v>4526590.5995461075</v>
      </c>
      <c r="FW322" s="705">
        <f t="shared" si="710"/>
        <v>452659.05995461077</v>
      </c>
      <c r="FX322" s="705">
        <f t="shared" si="711"/>
        <v>113164.76498865269</v>
      </c>
      <c r="FY322" s="705">
        <v>15000</v>
      </c>
      <c r="FZ322" s="705">
        <f t="shared" si="712"/>
        <v>437659.05995461077</v>
      </c>
      <c r="GA322" s="497">
        <f t="shared" si="713"/>
        <v>46</v>
      </c>
      <c r="GB322" s="775">
        <f t="shared" si="714"/>
        <v>9514.327390317625</v>
      </c>
      <c r="GC322" s="497"/>
      <c r="GD322" s="497"/>
      <c r="GH322" s="1095">
        <f t="shared" si="613"/>
        <v>4526590.5995461075</v>
      </c>
      <c r="GI322" s="1098">
        <f t="shared" si="614"/>
        <v>0.125</v>
      </c>
      <c r="GJ322" s="1095">
        <f t="shared" si="615"/>
        <v>565823.82494326343</v>
      </c>
      <c r="GK322" s="1095">
        <f t="shared" si="616"/>
        <v>30000</v>
      </c>
      <c r="GL322" s="1095">
        <f t="shared" si="617"/>
        <v>535823.82494326343</v>
      </c>
      <c r="GM322" s="1095">
        <f t="shared" si="618"/>
        <v>31</v>
      </c>
      <c r="GN322" s="1095">
        <f t="shared" si="619"/>
        <v>17284.639514298822</v>
      </c>
      <c r="GO322" s="1098">
        <f t="shared" si="620"/>
        <v>0.875</v>
      </c>
      <c r="GP322" s="1095">
        <f t="shared" si="621"/>
        <v>3960766.7746028439</v>
      </c>
      <c r="GQ322" s="1095">
        <f t="shared" si="622"/>
        <v>30707.782645841882</v>
      </c>
      <c r="GR322" s="1095">
        <f t="shared" si="623"/>
        <v>35600.491512660185</v>
      </c>
      <c r="GS322" s="1095">
        <f t="shared" si="624"/>
        <v>45987.860673879099</v>
      </c>
      <c r="GT322" s="1095">
        <f t="shared" si="625"/>
        <v>78427.929275930772</v>
      </c>
      <c r="GU322" s="497"/>
      <c r="GV322" s="1095">
        <f t="shared" si="715"/>
        <v>4526590.5995461075</v>
      </c>
      <c r="GW322" s="1098">
        <f t="shared" si="716"/>
        <v>0.125</v>
      </c>
      <c r="GX322" s="1095">
        <f t="shared" si="717"/>
        <v>565823.82494326343</v>
      </c>
      <c r="GY322" s="1095">
        <f t="shared" si="718"/>
        <v>30000</v>
      </c>
      <c r="GZ322" s="1095">
        <f t="shared" si="719"/>
        <v>535823.82494326343</v>
      </c>
      <c r="HA322" s="1106">
        <f t="shared" si="720"/>
        <v>48</v>
      </c>
      <c r="HB322" s="770">
        <f t="shared" si="721"/>
        <v>11162.996352984655</v>
      </c>
      <c r="HC322" s="1098">
        <f t="shared" si="722"/>
        <v>0.875</v>
      </c>
      <c r="HD322" s="1102">
        <f t="shared" si="723"/>
        <v>3960766.7746028439</v>
      </c>
      <c r="HE322" s="1101">
        <f t="shared" si="724"/>
        <v>30707.782645841882</v>
      </c>
      <c r="HF322" s="1101">
        <f t="shared" si="725"/>
        <v>35600.491512660185</v>
      </c>
      <c r="HG322" s="1101">
        <f t="shared" si="726"/>
        <v>45987.860673879099</v>
      </c>
      <c r="HH322" s="1101">
        <f t="shared" si="727"/>
        <v>78427.929275930772</v>
      </c>
      <c r="HI322" s="497"/>
      <c r="HJ322" s="1102">
        <f t="shared" si="728"/>
        <v>-6121.6431613141667</v>
      </c>
      <c r="HL322" s="775"/>
      <c r="HN322" s="775"/>
      <c r="HO322" s="775"/>
      <c r="HQ322" s="702"/>
      <c r="HR322" s="1171"/>
      <c r="HS322" s="702"/>
      <c r="HT322" s="1171"/>
    </row>
    <row r="323" spans="1:228" ht="14.25" hidden="1" customHeight="1">
      <c r="A323" s="753">
        <f t="shared" si="729"/>
        <v>317</v>
      </c>
      <c r="B323" s="753"/>
      <c r="C323" s="753">
        <f t="shared" si="772"/>
        <v>7</v>
      </c>
      <c r="D323" s="753" t="s">
        <v>779</v>
      </c>
      <c r="E323" s="717" t="s">
        <v>292</v>
      </c>
      <c r="F323" s="754"/>
      <c r="G323" s="756" t="s">
        <v>786</v>
      </c>
      <c r="H323" s="756"/>
      <c r="I323" s="755" t="s">
        <v>229</v>
      </c>
      <c r="J323" s="757">
        <v>22</v>
      </c>
      <c r="K323" s="758"/>
      <c r="L323" s="759" t="s">
        <v>69</v>
      </c>
      <c r="M323" s="760" t="s">
        <v>68</v>
      </c>
      <c r="N323" s="761">
        <f t="shared" si="650"/>
        <v>106005.26567735759</v>
      </c>
      <c r="O323" s="762">
        <f t="shared" si="651"/>
        <v>2332115.8449018667</v>
      </c>
      <c r="P323" s="762">
        <f t="shared" si="652"/>
        <v>22400</v>
      </c>
      <c r="Q323" s="762">
        <f t="shared" si="626"/>
        <v>50000</v>
      </c>
      <c r="R323" s="762"/>
      <c r="S323" s="762"/>
      <c r="T323" s="762"/>
      <c r="U323" s="762"/>
      <c r="V323" s="762"/>
      <c r="W323" s="762"/>
      <c r="X323" s="762"/>
      <c r="Y323" s="762">
        <f t="shared" si="773"/>
        <v>180000</v>
      </c>
      <c r="Z323" s="762">
        <f t="shared" si="627"/>
        <v>142461</v>
      </c>
      <c r="AA323" s="762"/>
      <c r="AB323" s="762"/>
      <c r="AC323" s="762"/>
      <c r="AD323" s="763">
        <f t="shared" si="653"/>
        <v>394861</v>
      </c>
      <c r="AE323" s="763">
        <f t="shared" si="628"/>
        <v>2726976.8449018667</v>
      </c>
      <c r="AF323" s="762">
        <f t="shared" si="629"/>
        <v>68174.421122546672</v>
      </c>
      <c r="AG323" s="762">
        <f t="shared" si="654"/>
        <v>2795151.2660244135</v>
      </c>
      <c r="AH323" s="762">
        <f t="shared" si="630"/>
        <v>69878.781650610341</v>
      </c>
      <c r="AI323" s="762">
        <f t="shared" si="655"/>
        <v>2865030.0476750238</v>
      </c>
      <c r="AJ323" s="762">
        <f t="shared" si="656"/>
        <v>143251.50238375118</v>
      </c>
      <c r="AK323" s="762">
        <f t="shared" si="657"/>
        <v>3008281.5500587751</v>
      </c>
      <c r="AL323" s="762">
        <f t="shared" si="658"/>
        <v>30082.815500587752</v>
      </c>
      <c r="AM323" s="762">
        <f t="shared" si="659"/>
        <v>27537.409960060559</v>
      </c>
      <c r="AN323" s="762"/>
      <c r="AO323" s="763">
        <f t="shared" si="660"/>
        <v>3065901.7755194232</v>
      </c>
      <c r="AP323" s="763">
        <f t="shared" si="661"/>
        <v>505873.79296070483</v>
      </c>
      <c r="AQ323" s="763">
        <f t="shared" si="662"/>
        <v>3571775.568480128</v>
      </c>
      <c r="AR323" s="1178">
        <f t="shared" si="631"/>
        <v>3000000</v>
      </c>
      <c r="AS323" s="1178">
        <f t="shared" si="663"/>
        <v>25989.798567278543</v>
      </c>
      <c r="AT323" s="1178">
        <f t="shared" si="664"/>
        <v>571775.56848012796</v>
      </c>
      <c r="AU323" s="1178">
        <f t="shared" si="632"/>
        <v>68613.06821761535</v>
      </c>
      <c r="AV323" s="1178">
        <f t="shared" si="665"/>
        <v>640388.63669774332</v>
      </c>
      <c r="AW323" s="1178">
        <f t="shared" si="666"/>
        <v>3640388.6366977431</v>
      </c>
      <c r="AX323" s="762">
        <f t="shared" si="667"/>
        <v>45504.85795872179</v>
      </c>
      <c r="AY323" s="717" t="s">
        <v>231</v>
      </c>
      <c r="AZ323" s="717">
        <f t="shared" si="668"/>
        <v>3685893.494656465</v>
      </c>
      <c r="BA323" s="717">
        <f t="shared" si="669"/>
        <v>138221.00604961743</v>
      </c>
      <c r="BB323" s="717"/>
      <c r="BC323" s="717">
        <f t="shared" si="633"/>
        <v>33600</v>
      </c>
      <c r="BD323" s="717">
        <f t="shared" si="670"/>
        <v>3857714.5007060822</v>
      </c>
      <c r="BE323" s="717"/>
      <c r="BF323" s="717">
        <f t="shared" si="671"/>
        <v>3857714.5007060822</v>
      </c>
      <c r="BG323" s="1209"/>
      <c r="BH323" s="717">
        <f t="shared" si="672"/>
        <v>3857714.5007060822</v>
      </c>
      <c r="BI323" s="717"/>
      <c r="BJ323" s="717">
        <f t="shared" si="673"/>
        <v>3857714.5007060822</v>
      </c>
      <c r="BK323" s="717"/>
      <c r="BL323" s="717">
        <f t="shared" si="674"/>
        <v>3857714.5007060822</v>
      </c>
      <c r="BM323" s="717"/>
      <c r="BN323" s="717">
        <f t="shared" si="675"/>
        <v>3857714.5007060822</v>
      </c>
      <c r="BO323" s="717"/>
      <c r="BP323" s="717">
        <f t="shared" si="634"/>
        <v>3857714.5007060822</v>
      </c>
      <c r="BQ323" s="717"/>
      <c r="BR323" s="717">
        <f t="shared" si="738"/>
        <v>3857714.5007060822</v>
      </c>
      <c r="BS323" s="717"/>
      <c r="BT323" s="717">
        <f t="shared" si="676"/>
        <v>3857714.5007060822</v>
      </c>
      <c r="BU323" s="717"/>
      <c r="BV323" s="1235">
        <f t="shared" si="739"/>
        <v>51400</v>
      </c>
      <c r="BW323" s="717">
        <f t="shared" si="677"/>
        <v>3909114.5007060822</v>
      </c>
      <c r="BX323" s="717"/>
      <c r="BY323" s="717">
        <f t="shared" si="678"/>
        <v>3909114.5007060822</v>
      </c>
      <c r="BZ323" s="1194">
        <f t="shared" si="679"/>
        <v>3909114.5007060822</v>
      </c>
      <c r="CA323" s="1194">
        <f t="shared" si="680"/>
        <v>3029114.5007060822</v>
      </c>
      <c r="CB323" s="1194">
        <v>40000</v>
      </c>
      <c r="CC323" s="1194">
        <f t="shared" si="681"/>
        <v>880000</v>
      </c>
      <c r="CD323" s="1194">
        <f t="shared" si="682"/>
        <v>105600</v>
      </c>
      <c r="CE323" s="1194">
        <f t="shared" si="683"/>
        <v>985600</v>
      </c>
      <c r="CF323" s="1200">
        <f t="shared" si="684"/>
        <v>4014714.5007060822</v>
      </c>
      <c r="CG323" s="757">
        <f t="shared" si="685"/>
        <v>4014714.5007060822</v>
      </c>
      <c r="CH323" s="758">
        <f t="shared" si="686"/>
        <v>0</v>
      </c>
      <c r="CI323" s="757">
        <f t="shared" si="635"/>
        <v>411508.23632237338</v>
      </c>
      <c r="CJ323" s="757">
        <f t="shared" si="636"/>
        <v>100367.86251765206</v>
      </c>
      <c r="CK323" s="759">
        <f t="shared" si="747"/>
        <v>4526590.5995461075</v>
      </c>
      <c r="CL323" s="764">
        <f t="shared" si="687"/>
        <v>0.125</v>
      </c>
      <c r="CM323" s="757">
        <f t="shared" si="688"/>
        <v>565823.82494326343</v>
      </c>
      <c r="CN323" s="757">
        <f t="shared" si="730"/>
        <v>30000</v>
      </c>
      <c r="CO323" s="757">
        <f t="shared" si="689"/>
        <v>535823.82494326343</v>
      </c>
      <c r="CP323" s="755">
        <f t="shared" si="690"/>
        <v>31</v>
      </c>
      <c r="CQ323" s="757">
        <f t="shared" si="732"/>
        <v>17284.639514298822</v>
      </c>
      <c r="CR323" s="764">
        <f t="shared" si="691"/>
        <v>0.875</v>
      </c>
      <c r="CS323" s="757">
        <f t="shared" si="692"/>
        <v>3960766.7746028439</v>
      </c>
      <c r="CT323" s="1101">
        <f t="shared" si="693"/>
        <v>30707.782645841882</v>
      </c>
      <c r="CU323" s="1101">
        <f t="shared" si="694"/>
        <v>35600.491512660185</v>
      </c>
      <c r="CV323" s="1101">
        <f t="shared" si="695"/>
        <v>45987.860673879099</v>
      </c>
      <c r="CW323" s="1141">
        <f t="shared" si="637"/>
        <v>78427.929275930772</v>
      </c>
      <c r="CX323" s="1152">
        <f t="shared" si="696"/>
        <v>321745.67445476446</v>
      </c>
      <c r="CY323" s="1152">
        <f t="shared" si="697"/>
        <v>127313.19606858582</v>
      </c>
      <c r="CZ323" s="1152">
        <f t="shared" si="698"/>
        <v>91956.518358768255</v>
      </c>
      <c r="DA323" s="1152">
        <f t="shared" si="699"/>
        <v>69983.143930478778</v>
      </c>
      <c r="DB323" s="1143">
        <f t="shared" si="638"/>
        <v>0.19059185616004265</v>
      </c>
      <c r="DC323" s="1143">
        <f t="shared" si="700"/>
        <v>0.32537561712185459</v>
      </c>
      <c r="DD323" s="1098" t="s">
        <v>232</v>
      </c>
      <c r="DE323" s="1144"/>
      <c r="DF323" s="705"/>
      <c r="DG323" s="765">
        <f t="shared" si="731"/>
        <v>46082</v>
      </c>
      <c r="DH323" s="1116">
        <f t="shared" si="639"/>
        <v>28</v>
      </c>
      <c r="DI323" s="497"/>
      <c r="DJ323" s="1117">
        <f t="shared" si="701"/>
        <v>46147</v>
      </c>
      <c r="DK323" s="1116">
        <f t="shared" si="702"/>
        <v>30</v>
      </c>
      <c r="DL323" s="766" t="s">
        <v>233</v>
      </c>
      <c r="DM323" s="766" t="s">
        <v>234</v>
      </c>
      <c r="DN323" s="767">
        <f t="shared" si="640"/>
        <v>29108.57439535197</v>
      </c>
      <c r="DO323" s="767">
        <f t="shared" si="641"/>
        <v>640388.63669774332</v>
      </c>
      <c r="DP323" s="768">
        <f t="shared" si="642"/>
        <v>0.21346287889924778</v>
      </c>
      <c r="DR323" s="767">
        <f t="shared" si="643"/>
        <v>4014714.5007060822</v>
      </c>
      <c r="DS323" s="767">
        <f>SUM('[6]INTERNAL PRICELIST'!M323)</f>
        <v>0</v>
      </c>
      <c r="DT323" s="767">
        <f t="shared" si="703"/>
        <v>4014714.5007060822</v>
      </c>
      <c r="DV323" s="951">
        <f t="shared" si="644"/>
        <v>182487.02275936736</v>
      </c>
      <c r="DX323" s="781"/>
      <c r="DY323" s="782"/>
      <c r="DZ323" s="781"/>
      <c r="EA323" s="775"/>
      <c r="ED323" s="755" t="s">
        <v>786</v>
      </c>
      <c r="EE323" s="777" t="b">
        <f t="shared" si="645"/>
        <v>1</v>
      </c>
      <c r="EF323" s="777"/>
      <c r="EG323" s="777"/>
      <c r="EH323" s="1203"/>
      <c r="EP323" s="1230" t="s">
        <v>236</v>
      </c>
      <c r="EQ323" s="1145" t="s">
        <v>236</v>
      </c>
      <c r="ER323" s="753" t="b">
        <f t="shared" si="704"/>
        <v>1</v>
      </c>
      <c r="EU323" s="770">
        <v>3209496.1774007287</v>
      </c>
      <c r="EV323" s="771" t="s">
        <v>258</v>
      </c>
      <c r="EW323" s="775">
        <f t="shared" si="774"/>
        <v>-805218.32330535352</v>
      </c>
      <c r="EY323" s="775">
        <v>3175432.1472727996</v>
      </c>
      <c r="FJ323" s="994">
        <v>0.15</v>
      </c>
      <c r="FK323" s="993">
        <v>13819.818797865502</v>
      </c>
      <c r="FL323" s="993">
        <v>14193.32741402403</v>
      </c>
      <c r="FM323" s="497"/>
      <c r="FN323" s="993">
        <f t="shared" si="646"/>
        <v>4526590.5995461075</v>
      </c>
      <c r="FO323" s="994">
        <f t="shared" ref="FO323:FO326" si="775">FJ323</f>
        <v>0.15</v>
      </c>
      <c r="FP323" s="775">
        <f t="shared" si="647"/>
        <v>678988.5899319161</v>
      </c>
      <c r="FQ323" s="993">
        <f t="shared" si="648"/>
        <v>30000</v>
      </c>
      <c r="FR323" s="775">
        <f t="shared" si="706"/>
        <v>648988.5899319161</v>
      </c>
      <c r="FS323" s="497">
        <f t="shared" si="707"/>
        <v>40</v>
      </c>
      <c r="FT323" s="775">
        <f t="shared" si="708"/>
        <v>16224.714748297902</v>
      </c>
      <c r="FU323" s="497"/>
      <c r="FV323" s="993">
        <f t="shared" si="709"/>
        <v>4526590.5995461075</v>
      </c>
      <c r="FW323" s="705">
        <f t="shared" si="710"/>
        <v>452659.05995461077</v>
      </c>
      <c r="FX323" s="705">
        <f t="shared" si="711"/>
        <v>113164.76498865269</v>
      </c>
      <c r="FY323" s="705">
        <v>15000</v>
      </c>
      <c r="FZ323" s="705">
        <f t="shared" si="712"/>
        <v>437659.05995461077</v>
      </c>
      <c r="GA323" s="497">
        <f t="shared" si="713"/>
        <v>46</v>
      </c>
      <c r="GB323" s="775">
        <f t="shared" si="714"/>
        <v>9514.327390317625</v>
      </c>
      <c r="GC323" s="497"/>
      <c r="GD323" s="497"/>
      <c r="GH323" s="1095">
        <f t="shared" si="613"/>
        <v>4526590.5995461075</v>
      </c>
      <c r="GI323" s="1098">
        <f t="shared" si="614"/>
        <v>0.125</v>
      </c>
      <c r="GJ323" s="1095">
        <f t="shared" si="615"/>
        <v>565823.82494326343</v>
      </c>
      <c r="GK323" s="1095">
        <f t="shared" si="616"/>
        <v>30000</v>
      </c>
      <c r="GL323" s="1095">
        <f t="shared" si="617"/>
        <v>535823.82494326343</v>
      </c>
      <c r="GM323" s="1095">
        <f t="shared" si="618"/>
        <v>31</v>
      </c>
      <c r="GN323" s="1095">
        <f t="shared" si="619"/>
        <v>17284.639514298822</v>
      </c>
      <c r="GO323" s="1098">
        <f t="shared" si="620"/>
        <v>0.875</v>
      </c>
      <c r="GP323" s="1095">
        <f t="shared" si="621"/>
        <v>3960766.7746028439</v>
      </c>
      <c r="GQ323" s="1095">
        <f t="shared" si="622"/>
        <v>30707.782645841882</v>
      </c>
      <c r="GR323" s="1095">
        <f t="shared" si="623"/>
        <v>35600.491512660185</v>
      </c>
      <c r="GS323" s="1095">
        <f t="shared" si="624"/>
        <v>45987.860673879099</v>
      </c>
      <c r="GT323" s="1095">
        <f t="shared" si="625"/>
        <v>78427.929275930772</v>
      </c>
      <c r="GU323" s="497"/>
      <c r="GV323" s="1095">
        <f t="shared" si="715"/>
        <v>4526590.5995461075</v>
      </c>
      <c r="GW323" s="1098">
        <f t="shared" si="716"/>
        <v>0.125</v>
      </c>
      <c r="GX323" s="1095">
        <f t="shared" si="717"/>
        <v>565823.82494326343</v>
      </c>
      <c r="GY323" s="1095">
        <f t="shared" si="718"/>
        <v>30000</v>
      </c>
      <c r="GZ323" s="1095">
        <f t="shared" si="719"/>
        <v>535823.82494326343</v>
      </c>
      <c r="HA323" s="1106">
        <f t="shared" si="720"/>
        <v>48</v>
      </c>
      <c r="HB323" s="770">
        <f t="shared" si="721"/>
        <v>11162.996352984655</v>
      </c>
      <c r="HC323" s="1098">
        <f t="shared" si="722"/>
        <v>0.875</v>
      </c>
      <c r="HD323" s="1102">
        <f t="shared" si="723"/>
        <v>3960766.7746028439</v>
      </c>
      <c r="HE323" s="1101">
        <f t="shared" si="724"/>
        <v>30707.782645841882</v>
      </c>
      <c r="HF323" s="1101">
        <f t="shared" si="725"/>
        <v>35600.491512660185</v>
      </c>
      <c r="HG323" s="1101">
        <f t="shared" si="726"/>
        <v>45987.860673879099</v>
      </c>
      <c r="HH323" s="1101">
        <f t="shared" si="727"/>
        <v>78427.929275930772</v>
      </c>
      <c r="HI323" s="497"/>
      <c r="HJ323" s="1102">
        <f t="shared" si="728"/>
        <v>-6121.6431613141667</v>
      </c>
      <c r="HL323" s="775"/>
      <c r="HN323" s="775"/>
      <c r="HO323" s="775"/>
      <c r="HQ323" s="702"/>
      <c r="HR323" s="1171"/>
      <c r="HS323" s="702"/>
      <c r="HT323" s="1171"/>
    </row>
    <row r="324" spans="1:228" ht="14.25" hidden="1" customHeight="1">
      <c r="A324" s="753">
        <f t="shared" si="729"/>
        <v>318</v>
      </c>
      <c r="B324" s="753"/>
      <c r="C324" s="753">
        <f t="shared" si="772"/>
        <v>8</v>
      </c>
      <c r="D324" s="753" t="s">
        <v>779</v>
      </c>
      <c r="E324" s="717" t="s">
        <v>292</v>
      </c>
      <c r="F324" s="754"/>
      <c r="G324" s="756" t="s">
        <v>787</v>
      </c>
      <c r="H324" s="756"/>
      <c r="I324" s="755" t="s">
        <v>229</v>
      </c>
      <c r="J324" s="757">
        <v>22</v>
      </c>
      <c r="K324" s="758"/>
      <c r="L324" s="759" t="s">
        <v>69</v>
      </c>
      <c r="M324" s="760" t="s">
        <v>68</v>
      </c>
      <c r="N324" s="761">
        <f t="shared" si="650"/>
        <v>106005.26567735759</v>
      </c>
      <c r="O324" s="762">
        <f t="shared" si="651"/>
        <v>2332115.8449018667</v>
      </c>
      <c r="P324" s="762">
        <f t="shared" si="652"/>
        <v>22400</v>
      </c>
      <c r="Q324" s="762">
        <f t="shared" si="626"/>
        <v>50000</v>
      </c>
      <c r="R324" s="762"/>
      <c r="S324" s="762"/>
      <c r="T324" s="762"/>
      <c r="U324" s="762"/>
      <c r="V324" s="762"/>
      <c r="W324" s="762"/>
      <c r="X324" s="762"/>
      <c r="Y324" s="762">
        <f t="shared" si="773"/>
        <v>180000</v>
      </c>
      <c r="Z324" s="762">
        <f t="shared" si="627"/>
        <v>142461</v>
      </c>
      <c r="AA324" s="762"/>
      <c r="AB324" s="762"/>
      <c r="AC324" s="762"/>
      <c r="AD324" s="763">
        <f t="shared" si="653"/>
        <v>394861</v>
      </c>
      <c r="AE324" s="763">
        <f t="shared" si="628"/>
        <v>2726976.8449018667</v>
      </c>
      <c r="AF324" s="762">
        <f t="shared" si="629"/>
        <v>68174.421122546672</v>
      </c>
      <c r="AG324" s="762">
        <f t="shared" si="654"/>
        <v>2795151.2660244135</v>
      </c>
      <c r="AH324" s="762">
        <f t="shared" si="630"/>
        <v>69878.781650610341</v>
      </c>
      <c r="AI324" s="762">
        <f t="shared" si="655"/>
        <v>2865030.0476750238</v>
      </c>
      <c r="AJ324" s="762">
        <f t="shared" si="656"/>
        <v>143251.50238375118</v>
      </c>
      <c r="AK324" s="762">
        <f t="shared" si="657"/>
        <v>3008281.5500587751</v>
      </c>
      <c r="AL324" s="762">
        <f t="shared" si="658"/>
        <v>30082.815500587752</v>
      </c>
      <c r="AM324" s="762">
        <f t="shared" si="659"/>
        <v>27537.409960060559</v>
      </c>
      <c r="AN324" s="762"/>
      <c r="AO324" s="763">
        <f t="shared" si="660"/>
        <v>3065901.7755194232</v>
      </c>
      <c r="AP324" s="763">
        <f t="shared" si="661"/>
        <v>505873.79296070483</v>
      </c>
      <c r="AQ324" s="763">
        <f t="shared" si="662"/>
        <v>3571775.568480128</v>
      </c>
      <c r="AR324" s="1178">
        <f t="shared" si="631"/>
        <v>3000000</v>
      </c>
      <c r="AS324" s="1178">
        <f t="shared" si="663"/>
        <v>25989.798567278543</v>
      </c>
      <c r="AT324" s="1178">
        <f t="shared" si="664"/>
        <v>571775.56848012796</v>
      </c>
      <c r="AU324" s="1178">
        <f t="shared" si="632"/>
        <v>68613.06821761535</v>
      </c>
      <c r="AV324" s="1178">
        <f t="shared" si="665"/>
        <v>640388.63669774332</v>
      </c>
      <c r="AW324" s="1178">
        <f t="shared" si="666"/>
        <v>3640388.6366977431</v>
      </c>
      <c r="AX324" s="762">
        <f t="shared" si="667"/>
        <v>45504.85795872179</v>
      </c>
      <c r="AY324" s="717" t="s">
        <v>231</v>
      </c>
      <c r="AZ324" s="717">
        <f t="shared" si="668"/>
        <v>3685893.494656465</v>
      </c>
      <c r="BA324" s="717">
        <f t="shared" si="669"/>
        <v>138221.00604961743</v>
      </c>
      <c r="BB324" s="717"/>
      <c r="BC324" s="717">
        <f t="shared" si="633"/>
        <v>33600</v>
      </c>
      <c r="BD324" s="717">
        <f t="shared" si="670"/>
        <v>3857714.5007060822</v>
      </c>
      <c r="BE324" s="717"/>
      <c r="BF324" s="717">
        <f t="shared" si="671"/>
        <v>3857714.5007060822</v>
      </c>
      <c r="BG324" s="1209"/>
      <c r="BH324" s="717">
        <f t="shared" si="672"/>
        <v>3857714.5007060822</v>
      </c>
      <c r="BI324" s="717"/>
      <c r="BJ324" s="717">
        <f t="shared" si="673"/>
        <v>3857714.5007060822</v>
      </c>
      <c r="BK324" s="717"/>
      <c r="BL324" s="717">
        <f t="shared" si="674"/>
        <v>3857714.5007060822</v>
      </c>
      <c r="BM324" s="717"/>
      <c r="BN324" s="717">
        <f t="shared" si="675"/>
        <v>3857714.5007060822</v>
      </c>
      <c r="BO324" s="717"/>
      <c r="BP324" s="717">
        <f t="shared" si="634"/>
        <v>3857714.5007060822</v>
      </c>
      <c r="BQ324" s="717"/>
      <c r="BR324" s="717">
        <f t="shared" si="738"/>
        <v>3857714.5007060822</v>
      </c>
      <c r="BS324" s="717"/>
      <c r="BT324" s="717">
        <f t="shared" si="676"/>
        <v>3857714.5007060822</v>
      </c>
      <c r="BU324" s="717"/>
      <c r="BV324" s="1235">
        <f t="shared" si="739"/>
        <v>51400</v>
      </c>
      <c r="BW324" s="717">
        <f t="shared" si="677"/>
        <v>3909114.5007060822</v>
      </c>
      <c r="BX324" s="717"/>
      <c r="BY324" s="717">
        <f t="shared" si="678"/>
        <v>3909114.5007060822</v>
      </c>
      <c r="BZ324" s="1194">
        <f t="shared" si="679"/>
        <v>3909114.5007060822</v>
      </c>
      <c r="CA324" s="1194">
        <f t="shared" si="680"/>
        <v>3029114.5007060822</v>
      </c>
      <c r="CB324" s="1194">
        <v>40000</v>
      </c>
      <c r="CC324" s="1194">
        <f t="shared" si="681"/>
        <v>880000</v>
      </c>
      <c r="CD324" s="1194">
        <f t="shared" si="682"/>
        <v>105600</v>
      </c>
      <c r="CE324" s="1194">
        <f t="shared" si="683"/>
        <v>985600</v>
      </c>
      <c r="CF324" s="1200">
        <f t="shared" si="684"/>
        <v>4014714.5007060822</v>
      </c>
      <c r="CG324" s="757">
        <f t="shared" si="685"/>
        <v>4014714.5007060822</v>
      </c>
      <c r="CH324" s="758">
        <f t="shared" si="686"/>
        <v>0</v>
      </c>
      <c r="CI324" s="757">
        <f t="shared" si="635"/>
        <v>411508.23632237338</v>
      </c>
      <c r="CJ324" s="757">
        <f t="shared" si="636"/>
        <v>100367.86251765206</v>
      </c>
      <c r="CK324" s="759">
        <f t="shared" si="747"/>
        <v>4526590.5995461075</v>
      </c>
      <c r="CL324" s="764">
        <f t="shared" si="687"/>
        <v>0.125</v>
      </c>
      <c r="CM324" s="757">
        <f t="shared" si="688"/>
        <v>565823.82494326343</v>
      </c>
      <c r="CN324" s="757">
        <f t="shared" si="730"/>
        <v>30000</v>
      </c>
      <c r="CO324" s="757">
        <f t="shared" si="689"/>
        <v>535823.82494326343</v>
      </c>
      <c r="CP324" s="755">
        <f t="shared" si="690"/>
        <v>31</v>
      </c>
      <c r="CQ324" s="757">
        <f t="shared" si="732"/>
        <v>17284.639514298822</v>
      </c>
      <c r="CR324" s="764">
        <f t="shared" si="691"/>
        <v>0.875</v>
      </c>
      <c r="CS324" s="757">
        <f t="shared" si="692"/>
        <v>3960766.7746028439</v>
      </c>
      <c r="CT324" s="1101">
        <f t="shared" si="693"/>
        <v>30707.782645841882</v>
      </c>
      <c r="CU324" s="1101">
        <f t="shared" si="694"/>
        <v>35600.491512660185</v>
      </c>
      <c r="CV324" s="1101">
        <f t="shared" si="695"/>
        <v>45987.860673879099</v>
      </c>
      <c r="CW324" s="1141">
        <f t="shared" si="637"/>
        <v>78427.929275930772</v>
      </c>
      <c r="CX324" s="1152">
        <f t="shared" si="696"/>
        <v>321745.67445476446</v>
      </c>
      <c r="CY324" s="1152">
        <f t="shared" si="697"/>
        <v>127313.19606858582</v>
      </c>
      <c r="CZ324" s="1152">
        <f t="shared" si="698"/>
        <v>91956.518358768255</v>
      </c>
      <c r="DA324" s="1152">
        <f t="shared" si="699"/>
        <v>69983.143930478778</v>
      </c>
      <c r="DB324" s="1143">
        <f t="shared" si="638"/>
        <v>0.19059185616004265</v>
      </c>
      <c r="DC324" s="1143">
        <f t="shared" si="700"/>
        <v>0.32537561712185459</v>
      </c>
      <c r="DD324" s="1098" t="s">
        <v>232</v>
      </c>
      <c r="DE324" s="1144"/>
      <c r="DF324" s="705"/>
      <c r="DG324" s="765">
        <f t="shared" si="731"/>
        <v>46082</v>
      </c>
      <c r="DH324" s="1116">
        <f t="shared" si="639"/>
        <v>28</v>
      </c>
      <c r="DI324" s="497"/>
      <c r="DJ324" s="1117">
        <f t="shared" si="701"/>
        <v>46147</v>
      </c>
      <c r="DK324" s="1116">
        <f t="shared" si="702"/>
        <v>30</v>
      </c>
      <c r="DL324" s="766" t="s">
        <v>233</v>
      </c>
      <c r="DM324" s="766" t="s">
        <v>234</v>
      </c>
      <c r="DN324" s="767">
        <f t="shared" si="640"/>
        <v>29108.57439535197</v>
      </c>
      <c r="DO324" s="767">
        <f t="shared" si="641"/>
        <v>640388.63669774332</v>
      </c>
      <c r="DP324" s="768">
        <f t="shared" si="642"/>
        <v>0.21346287889924778</v>
      </c>
      <c r="DR324" s="767">
        <f t="shared" si="643"/>
        <v>4014714.5007060822</v>
      </c>
      <c r="DS324" s="767">
        <f>SUM('[6]INTERNAL PRICELIST'!M324)</f>
        <v>0</v>
      </c>
      <c r="DT324" s="767">
        <f t="shared" si="703"/>
        <v>4014714.5007060822</v>
      </c>
      <c r="DV324" s="951">
        <f t="shared" si="644"/>
        <v>182487.02275936736</v>
      </c>
      <c r="DX324" s="781"/>
      <c r="DY324" s="782"/>
      <c r="DZ324" s="781"/>
      <c r="EA324" s="775"/>
      <c r="ED324" s="755" t="s">
        <v>787</v>
      </c>
      <c r="EE324" s="777" t="b">
        <f t="shared" si="645"/>
        <v>1</v>
      </c>
      <c r="EF324" s="777"/>
      <c r="EG324" s="777"/>
      <c r="EH324" s="1203"/>
      <c r="EP324" s="1230" t="s">
        <v>236</v>
      </c>
      <c r="EQ324" s="1145" t="s">
        <v>236</v>
      </c>
      <c r="ER324" s="753" t="b">
        <f t="shared" si="704"/>
        <v>1</v>
      </c>
      <c r="EU324" s="770">
        <v>3209496.1774007287</v>
      </c>
      <c r="EV324" s="771" t="s">
        <v>258</v>
      </c>
      <c r="EW324" s="775">
        <f t="shared" si="774"/>
        <v>-805218.32330535352</v>
      </c>
      <c r="EY324" s="775">
        <v>3175432.1472727996</v>
      </c>
      <c r="FJ324" s="994">
        <v>0.15</v>
      </c>
      <c r="FK324" s="993">
        <v>13819.818797865502</v>
      </c>
      <c r="FL324" s="993">
        <v>14193.32741402403</v>
      </c>
      <c r="FM324" s="497"/>
      <c r="FN324" s="993">
        <f t="shared" si="646"/>
        <v>4526590.5995461075</v>
      </c>
      <c r="FO324" s="994">
        <f t="shared" si="775"/>
        <v>0.15</v>
      </c>
      <c r="FP324" s="775">
        <f t="shared" si="647"/>
        <v>678988.5899319161</v>
      </c>
      <c r="FQ324" s="993">
        <f t="shared" si="648"/>
        <v>30000</v>
      </c>
      <c r="FR324" s="775">
        <f t="shared" si="706"/>
        <v>648988.5899319161</v>
      </c>
      <c r="FS324" s="497">
        <f t="shared" si="707"/>
        <v>40</v>
      </c>
      <c r="FT324" s="775">
        <f t="shared" si="708"/>
        <v>16224.714748297902</v>
      </c>
      <c r="FU324" s="497"/>
      <c r="FV324" s="993">
        <f t="shared" si="709"/>
        <v>4526590.5995461075</v>
      </c>
      <c r="FW324" s="705">
        <f t="shared" si="710"/>
        <v>452659.05995461077</v>
      </c>
      <c r="FX324" s="705">
        <f t="shared" si="711"/>
        <v>113164.76498865269</v>
      </c>
      <c r="FY324" s="705">
        <v>15000</v>
      </c>
      <c r="FZ324" s="705">
        <f t="shared" si="712"/>
        <v>437659.05995461077</v>
      </c>
      <c r="GA324" s="497">
        <f t="shared" si="713"/>
        <v>46</v>
      </c>
      <c r="GB324" s="775">
        <f t="shared" si="714"/>
        <v>9514.327390317625</v>
      </c>
      <c r="GC324" s="497"/>
      <c r="GD324" s="497"/>
      <c r="GH324" s="1095">
        <f t="shared" si="613"/>
        <v>4526590.5995461075</v>
      </c>
      <c r="GI324" s="1098">
        <f t="shared" si="614"/>
        <v>0.125</v>
      </c>
      <c r="GJ324" s="1095">
        <f t="shared" si="615"/>
        <v>565823.82494326343</v>
      </c>
      <c r="GK324" s="1095">
        <f t="shared" si="616"/>
        <v>30000</v>
      </c>
      <c r="GL324" s="1095">
        <f t="shared" si="617"/>
        <v>535823.82494326343</v>
      </c>
      <c r="GM324" s="1095">
        <f t="shared" si="618"/>
        <v>31</v>
      </c>
      <c r="GN324" s="1095">
        <f t="shared" si="619"/>
        <v>17284.639514298822</v>
      </c>
      <c r="GO324" s="1098">
        <f t="shared" si="620"/>
        <v>0.875</v>
      </c>
      <c r="GP324" s="1095">
        <f t="shared" si="621"/>
        <v>3960766.7746028439</v>
      </c>
      <c r="GQ324" s="1095">
        <f t="shared" si="622"/>
        <v>30707.782645841882</v>
      </c>
      <c r="GR324" s="1095">
        <f t="shared" si="623"/>
        <v>35600.491512660185</v>
      </c>
      <c r="GS324" s="1095">
        <f t="shared" si="624"/>
        <v>45987.860673879099</v>
      </c>
      <c r="GT324" s="1095">
        <f t="shared" si="625"/>
        <v>78427.929275930772</v>
      </c>
      <c r="GU324" s="497"/>
      <c r="GV324" s="1095">
        <f t="shared" si="715"/>
        <v>4526590.5995461075</v>
      </c>
      <c r="GW324" s="1098">
        <f t="shared" si="716"/>
        <v>0.125</v>
      </c>
      <c r="GX324" s="1095">
        <f t="shared" si="717"/>
        <v>565823.82494326343</v>
      </c>
      <c r="GY324" s="1095">
        <f t="shared" si="718"/>
        <v>30000</v>
      </c>
      <c r="GZ324" s="1095">
        <f t="shared" si="719"/>
        <v>535823.82494326343</v>
      </c>
      <c r="HA324" s="1106">
        <f t="shared" si="720"/>
        <v>48</v>
      </c>
      <c r="HB324" s="770">
        <f t="shared" si="721"/>
        <v>11162.996352984655</v>
      </c>
      <c r="HC324" s="1098">
        <f t="shared" si="722"/>
        <v>0.875</v>
      </c>
      <c r="HD324" s="1102">
        <f t="shared" si="723"/>
        <v>3960766.7746028439</v>
      </c>
      <c r="HE324" s="1101">
        <f t="shared" si="724"/>
        <v>30707.782645841882</v>
      </c>
      <c r="HF324" s="1101">
        <f t="shared" si="725"/>
        <v>35600.491512660185</v>
      </c>
      <c r="HG324" s="1101">
        <f t="shared" si="726"/>
        <v>45987.860673879099</v>
      </c>
      <c r="HH324" s="1101">
        <f t="shared" si="727"/>
        <v>78427.929275930772</v>
      </c>
      <c r="HI324" s="497"/>
      <c r="HJ324" s="1102">
        <f t="shared" si="728"/>
        <v>-6121.6431613141667</v>
      </c>
      <c r="HL324" s="775"/>
      <c r="HN324" s="775"/>
      <c r="HO324" s="775"/>
      <c r="HQ324" s="702"/>
      <c r="HR324" s="1171"/>
      <c r="HS324" s="702"/>
      <c r="HT324" s="1171"/>
    </row>
    <row r="325" spans="1:228" ht="14.25" customHeight="1">
      <c r="A325" s="753">
        <f t="shared" si="729"/>
        <v>319</v>
      </c>
      <c r="B325" s="753"/>
      <c r="C325" s="753">
        <f t="shared" si="772"/>
        <v>9</v>
      </c>
      <c r="D325" s="753" t="s">
        <v>779</v>
      </c>
      <c r="E325" s="717" t="s">
        <v>292</v>
      </c>
      <c r="F325" s="754"/>
      <c r="G325" s="756" t="s">
        <v>788</v>
      </c>
      <c r="H325" s="756"/>
      <c r="I325" s="755" t="s">
        <v>229</v>
      </c>
      <c r="J325" s="757">
        <v>22</v>
      </c>
      <c r="K325" s="758"/>
      <c r="L325" s="759" t="s">
        <v>69</v>
      </c>
      <c r="M325" s="760" t="s">
        <v>68</v>
      </c>
      <c r="N325" s="761">
        <f t="shared" si="650"/>
        <v>106005.26567735759</v>
      </c>
      <c r="O325" s="762">
        <f t="shared" si="651"/>
        <v>2332115.8449018667</v>
      </c>
      <c r="P325" s="762">
        <f t="shared" si="652"/>
        <v>22400</v>
      </c>
      <c r="Q325" s="762">
        <f t="shared" si="626"/>
        <v>50000</v>
      </c>
      <c r="R325" s="762"/>
      <c r="S325" s="762"/>
      <c r="T325" s="762"/>
      <c r="U325" s="762"/>
      <c r="V325" s="762"/>
      <c r="W325" s="762"/>
      <c r="X325" s="762"/>
      <c r="Y325" s="762">
        <f t="shared" si="773"/>
        <v>180000</v>
      </c>
      <c r="Z325" s="762">
        <f t="shared" si="627"/>
        <v>142461</v>
      </c>
      <c r="AA325" s="762"/>
      <c r="AB325" s="762"/>
      <c r="AC325" s="762"/>
      <c r="AD325" s="763">
        <f t="shared" si="653"/>
        <v>394861</v>
      </c>
      <c r="AE325" s="763">
        <f t="shared" si="628"/>
        <v>2726976.8449018667</v>
      </c>
      <c r="AF325" s="762">
        <f t="shared" si="629"/>
        <v>68174.421122546672</v>
      </c>
      <c r="AG325" s="762">
        <f t="shared" si="654"/>
        <v>2795151.2660244135</v>
      </c>
      <c r="AH325" s="762">
        <f t="shared" si="630"/>
        <v>69878.781650610341</v>
      </c>
      <c r="AI325" s="762">
        <f t="shared" si="655"/>
        <v>2865030.0476750238</v>
      </c>
      <c r="AJ325" s="762">
        <f t="shared" si="656"/>
        <v>143251.50238375118</v>
      </c>
      <c r="AK325" s="762">
        <f t="shared" si="657"/>
        <v>3008281.5500587751</v>
      </c>
      <c r="AL325" s="762">
        <f t="shared" si="658"/>
        <v>30082.815500587752</v>
      </c>
      <c r="AM325" s="762">
        <f t="shared" si="659"/>
        <v>27537.409960060559</v>
      </c>
      <c r="AN325" s="762"/>
      <c r="AO325" s="763">
        <f t="shared" si="660"/>
        <v>3065901.7755194232</v>
      </c>
      <c r="AP325" s="763">
        <f t="shared" si="661"/>
        <v>505873.79296070483</v>
      </c>
      <c r="AQ325" s="763">
        <f t="shared" si="662"/>
        <v>3571775.568480128</v>
      </c>
      <c r="AR325" s="1178">
        <f t="shared" si="631"/>
        <v>3000000</v>
      </c>
      <c r="AS325" s="1178">
        <f t="shared" si="663"/>
        <v>25989.798567278543</v>
      </c>
      <c r="AT325" s="1178">
        <f t="shared" si="664"/>
        <v>571775.56848012796</v>
      </c>
      <c r="AU325" s="1178">
        <f t="shared" si="632"/>
        <v>68613.06821761535</v>
      </c>
      <c r="AV325" s="1178">
        <f t="shared" si="665"/>
        <v>640388.63669774332</v>
      </c>
      <c r="AW325" s="1178">
        <f t="shared" si="666"/>
        <v>3640388.6366977431</v>
      </c>
      <c r="AX325" s="762">
        <f t="shared" si="667"/>
        <v>45504.85795872179</v>
      </c>
      <c r="AY325" s="717" t="s">
        <v>231</v>
      </c>
      <c r="AZ325" s="717">
        <f t="shared" si="668"/>
        <v>3685893.494656465</v>
      </c>
      <c r="BA325" s="717">
        <f t="shared" si="669"/>
        <v>138221.00604961743</v>
      </c>
      <c r="BB325" s="717"/>
      <c r="BC325" s="717">
        <f t="shared" si="633"/>
        <v>33600</v>
      </c>
      <c r="BD325" s="717">
        <f t="shared" si="670"/>
        <v>3857714.5007060822</v>
      </c>
      <c r="BE325" s="717"/>
      <c r="BF325" s="717">
        <f t="shared" si="671"/>
        <v>3857714.5007060822</v>
      </c>
      <c r="BG325" s="1209"/>
      <c r="BH325" s="717">
        <f t="shared" si="672"/>
        <v>3857714.5007060822</v>
      </c>
      <c r="BI325" s="717"/>
      <c r="BJ325" s="717">
        <f t="shared" si="673"/>
        <v>3857714.5007060822</v>
      </c>
      <c r="BK325" s="717"/>
      <c r="BL325" s="717">
        <f t="shared" si="674"/>
        <v>3857714.5007060822</v>
      </c>
      <c r="BM325" s="717"/>
      <c r="BN325" s="717">
        <f t="shared" si="675"/>
        <v>3857714.5007060822</v>
      </c>
      <c r="BO325" s="717">
        <f t="shared" ref="BO325:BO327" si="776">$BO$5/51</f>
        <v>7289.0781490196077</v>
      </c>
      <c r="BP325" s="717">
        <f t="shared" si="634"/>
        <v>3865003.578855102</v>
      </c>
      <c r="BQ325" s="717">
        <f t="shared" ref="BQ325:BQ327" si="777">$BQ$5/56</f>
        <v>4468.4242000000004</v>
      </c>
      <c r="BR325" s="717">
        <f t="shared" si="738"/>
        <v>3869472.0030551017</v>
      </c>
      <c r="BS325" s="1234">
        <f t="shared" ref="BS325:BS327" si="778">$BS$5/64</f>
        <v>2651.4786794501206</v>
      </c>
      <c r="BT325" s="1235">
        <f t="shared" si="676"/>
        <v>3872123.481734552</v>
      </c>
      <c r="BU325" s="1235">
        <f t="shared" ref="BU325:BU327" si="779">$BU$5/65</f>
        <v>211.07692307692309</v>
      </c>
      <c r="BV325" s="1235">
        <f t="shared" si="739"/>
        <v>51400</v>
      </c>
      <c r="BW325" s="717">
        <f t="shared" si="677"/>
        <v>3923734.5586576289</v>
      </c>
      <c r="BX325" s="1234">
        <f t="shared" si="743"/>
        <v>27651.078536278128</v>
      </c>
      <c r="BY325" s="717">
        <f t="shared" si="678"/>
        <v>3951385.6371939071</v>
      </c>
      <c r="BZ325" s="1194">
        <f t="shared" si="679"/>
        <v>3951385.6371939071</v>
      </c>
      <c r="CA325" s="1194">
        <f t="shared" si="680"/>
        <v>3071385.6371939071</v>
      </c>
      <c r="CB325" s="1194">
        <f t="shared" ref="CB325:CB327" si="780">$CB$5</f>
        <v>40000</v>
      </c>
      <c r="CC325" s="1194">
        <f t="shared" si="681"/>
        <v>880000</v>
      </c>
      <c r="CD325" s="1194">
        <f t="shared" si="682"/>
        <v>105600</v>
      </c>
      <c r="CE325" s="1194">
        <f t="shared" si="683"/>
        <v>985600</v>
      </c>
      <c r="CF325" s="1200">
        <f t="shared" si="684"/>
        <v>4056985.6371939071</v>
      </c>
      <c r="CG325" s="757">
        <f t="shared" si="685"/>
        <v>4056985.6371939071</v>
      </c>
      <c r="CH325" s="758">
        <f t="shared" si="686"/>
        <v>0</v>
      </c>
      <c r="CI325" s="757">
        <f t="shared" si="635"/>
        <v>415841.02781237545</v>
      </c>
      <c r="CJ325" s="757">
        <f t="shared" si="636"/>
        <v>101424.64092984768</v>
      </c>
      <c r="CK325" s="759">
        <f t="shared" si="747"/>
        <v>4574251.3059361307</v>
      </c>
      <c r="CL325" s="764">
        <f t="shared" si="687"/>
        <v>0.125</v>
      </c>
      <c r="CM325" s="757">
        <f t="shared" si="688"/>
        <v>571781.41324201634</v>
      </c>
      <c r="CN325" s="757">
        <f t="shared" si="730"/>
        <v>30000</v>
      </c>
      <c r="CO325" s="757">
        <f t="shared" si="689"/>
        <v>541781.41324201634</v>
      </c>
      <c r="CP325" s="755">
        <f t="shared" si="690"/>
        <v>31</v>
      </c>
      <c r="CQ325" s="757">
        <f t="shared" si="732"/>
        <v>17476.819782000526</v>
      </c>
      <c r="CR325" s="764">
        <f t="shared" si="691"/>
        <v>0.875</v>
      </c>
      <c r="CS325" s="757">
        <f t="shared" si="692"/>
        <v>4002469.8926941142</v>
      </c>
      <c r="CT325" s="1101">
        <f t="shared" si="693"/>
        <v>31031.106476523379</v>
      </c>
      <c r="CU325" s="1101">
        <f t="shared" si="694"/>
        <v>35975.330927891497</v>
      </c>
      <c r="CV325" s="1101">
        <f t="shared" si="695"/>
        <v>46472.069235904302</v>
      </c>
      <c r="CW325" s="1141">
        <f t="shared" si="637"/>
        <v>79253.700997007661</v>
      </c>
      <c r="CX325" s="1152">
        <f t="shared" si="696"/>
        <v>325133.351291275</v>
      </c>
      <c r="CY325" s="1152">
        <f t="shared" si="697"/>
        <v>128653.6832904717</v>
      </c>
      <c r="CZ325" s="1152">
        <f t="shared" si="698"/>
        <v>92924.733293555037</v>
      </c>
      <c r="DA325" s="1152">
        <f t="shared" si="699"/>
        <v>70720.000070164955</v>
      </c>
      <c r="DB325" s="1143">
        <f t="shared" si="638"/>
        <v>0.19059185616004265</v>
      </c>
      <c r="DC325" s="1143">
        <f t="shared" si="700"/>
        <v>0.3208975089498915</v>
      </c>
      <c r="DD325" s="1098" t="s">
        <v>232</v>
      </c>
      <c r="DE325" s="1144"/>
      <c r="DF325" s="705"/>
      <c r="DG325" s="765">
        <f t="shared" si="731"/>
        <v>46082</v>
      </c>
      <c r="DH325" s="1116">
        <f t="shared" si="639"/>
        <v>28</v>
      </c>
      <c r="DI325" s="497"/>
      <c r="DJ325" s="1117">
        <f t="shared" si="701"/>
        <v>46147</v>
      </c>
      <c r="DK325" s="1116">
        <f t="shared" si="702"/>
        <v>30</v>
      </c>
      <c r="DL325" s="766" t="s">
        <v>233</v>
      </c>
      <c r="DM325" s="766" t="s">
        <v>234</v>
      </c>
      <c r="DN325" s="767">
        <f t="shared" si="640"/>
        <v>29108.57439535197</v>
      </c>
      <c r="DO325" s="767">
        <f t="shared" si="641"/>
        <v>640388.63669774332</v>
      </c>
      <c r="DP325" s="768">
        <f t="shared" si="642"/>
        <v>0.21346287889924778</v>
      </c>
      <c r="DR325" s="767">
        <f t="shared" si="643"/>
        <v>4056985.6371939071</v>
      </c>
      <c r="DS325" s="767">
        <f>SUM('[6]INTERNAL PRICELIST'!M325)</f>
        <v>0</v>
      </c>
      <c r="DT325" s="767">
        <f t="shared" si="703"/>
        <v>4056985.6371939071</v>
      </c>
      <c r="DV325" s="951">
        <f t="shared" si="644"/>
        <v>184408.43805426851</v>
      </c>
      <c r="DX325" s="781"/>
      <c r="DY325" s="782"/>
      <c r="DZ325" s="781"/>
      <c r="EA325" s="775"/>
      <c r="ED325" s="755" t="s">
        <v>788</v>
      </c>
      <c r="EE325" s="777" t="b">
        <f t="shared" si="645"/>
        <v>1</v>
      </c>
      <c r="EF325" s="777"/>
      <c r="EG325" s="777"/>
      <c r="EH325" s="1203"/>
      <c r="EP325" s="1230" t="s">
        <v>258</v>
      </c>
      <c r="EQ325" s="1145" t="s">
        <v>258</v>
      </c>
      <c r="ER325" s="753" t="b">
        <f t="shared" si="704"/>
        <v>1</v>
      </c>
      <c r="EU325" s="770">
        <v>3209496.1774007287</v>
      </c>
      <c r="EV325" s="771" t="s">
        <v>258</v>
      </c>
      <c r="EW325" s="775">
        <f t="shared" si="774"/>
        <v>-847489.45979317836</v>
      </c>
      <c r="EY325" s="775">
        <v>3175432.1472727996</v>
      </c>
      <c r="FJ325" s="994">
        <v>0.15</v>
      </c>
      <c r="FK325" s="993">
        <v>13819.818797865502</v>
      </c>
      <c r="FL325" s="993">
        <v>14193.32741402403</v>
      </c>
      <c r="FM325" s="497"/>
      <c r="FN325" s="993">
        <f t="shared" si="646"/>
        <v>4574251.3059361307</v>
      </c>
      <c r="FO325" s="994">
        <f t="shared" si="775"/>
        <v>0.15</v>
      </c>
      <c r="FP325" s="775">
        <f t="shared" si="647"/>
        <v>686137.69589041953</v>
      </c>
      <c r="FQ325" s="993">
        <f t="shared" si="648"/>
        <v>30000</v>
      </c>
      <c r="FR325" s="775">
        <f t="shared" si="706"/>
        <v>656137.69589041953</v>
      </c>
      <c r="FS325" s="497">
        <f t="shared" si="707"/>
        <v>40</v>
      </c>
      <c r="FT325" s="775">
        <f t="shared" si="708"/>
        <v>16403.442397260489</v>
      </c>
      <c r="FU325" s="497"/>
      <c r="FV325" s="993">
        <f t="shared" si="709"/>
        <v>4574251.3059361307</v>
      </c>
      <c r="FW325" s="705">
        <f t="shared" si="710"/>
        <v>457425.13059361308</v>
      </c>
      <c r="FX325" s="705">
        <f t="shared" si="711"/>
        <v>114356.28264840327</v>
      </c>
      <c r="FY325" s="705">
        <v>15000</v>
      </c>
      <c r="FZ325" s="705">
        <f t="shared" si="712"/>
        <v>442425.13059361308</v>
      </c>
      <c r="GA325" s="497">
        <f t="shared" si="713"/>
        <v>46</v>
      </c>
      <c r="GB325" s="775">
        <f t="shared" si="714"/>
        <v>9617.9376216002838</v>
      </c>
      <c r="GC325" s="497"/>
      <c r="GD325" s="497"/>
      <c r="GH325" s="1095">
        <f t="shared" si="613"/>
        <v>4574251.3059361307</v>
      </c>
      <c r="GI325" s="1098">
        <f t="shared" si="614"/>
        <v>0.125</v>
      </c>
      <c r="GJ325" s="1095">
        <f t="shared" si="615"/>
        <v>571781.41324201634</v>
      </c>
      <c r="GK325" s="1095">
        <f t="shared" si="616"/>
        <v>30000</v>
      </c>
      <c r="GL325" s="1095">
        <f t="shared" si="617"/>
        <v>541781.41324201634</v>
      </c>
      <c r="GM325" s="1095">
        <f t="shared" si="618"/>
        <v>31</v>
      </c>
      <c r="GN325" s="1095">
        <f t="shared" si="619"/>
        <v>17476.819782000526</v>
      </c>
      <c r="GO325" s="1098">
        <f t="shared" si="620"/>
        <v>0.875</v>
      </c>
      <c r="GP325" s="1095">
        <f t="shared" si="621"/>
        <v>4002469.8926941142</v>
      </c>
      <c r="GQ325" s="1095">
        <f t="shared" si="622"/>
        <v>31031.106476523379</v>
      </c>
      <c r="GR325" s="1095">
        <f t="shared" si="623"/>
        <v>35975.330927891497</v>
      </c>
      <c r="GS325" s="1095">
        <f t="shared" si="624"/>
        <v>46472.069235904302</v>
      </c>
      <c r="GT325" s="1095">
        <f t="shared" si="625"/>
        <v>79253.700997007661</v>
      </c>
      <c r="GU325" s="497"/>
      <c r="GV325" s="1095">
        <f t="shared" si="715"/>
        <v>4574251.3059361307</v>
      </c>
      <c r="GW325" s="1098">
        <f t="shared" si="716"/>
        <v>0.125</v>
      </c>
      <c r="GX325" s="1095">
        <f t="shared" si="717"/>
        <v>571781.41324201634</v>
      </c>
      <c r="GY325" s="1095">
        <f t="shared" si="718"/>
        <v>30000</v>
      </c>
      <c r="GZ325" s="1095">
        <f t="shared" si="719"/>
        <v>541781.41324201634</v>
      </c>
      <c r="HA325" s="1106">
        <f t="shared" si="720"/>
        <v>48</v>
      </c>
      <c r="HB325" s="770">
        <f t="shared" si="721"/>
        <v>11287.112775875341</v>
      </c>
      <c r="HC325" s="1098">
        <f t="shared" si="722"/>
        <v>0.875</v>
      </c>
      <c r="HD325" s="1102">
        <f t="shared" si="723"/>
        <v>4002469.8926941142</v>
      </c>
      <c r="HE325" s="1101">
        <f t="shared" si="724"/>
        <v>31031.106476523379</v>
      </c>
      <c r="HF325" s="1101">
        <f t="shared" si="725"/>
        <v>35975.330927891497</v>
      </c>
      <c r="HG325" s="1101">
        <f t="shared" si="726"/>
        <v>46472.069235904302</v>
      </c>
      <c r="HH325" s="1101">
        <f t="shared" si="727"/>
        <v>79253.700997007661</v>
      </c>
      <c r="HI325" s="497"/>
      <c r="HJ325" s="1102">
        <f t="shared" si="728"/>
        <v>-6189.7070061251852</v>
      </c>
      <c r="HL325" s="775"/>
      <c r="HN325" s="775"/>
      <c r="HO325" s="775"/>
      <c r="HQ325" s="702"/>
      <c r="HR325" s="1171"/>
      <c r="HS325" s="702"/>
      <c r="HT325" s="1171"/>
    </row>
    <row r="326" spans="1:228" ht="14.25" customHeight="1">
      <c r="A326" s="753">
        <f t="shared" si="729"/>
        <v>320</v>
      </c>
      <c r="B326" s="753"/>
      <c r="C326" s="753">
        <f t="shared" si="772"/>
        <v>10</v>
      </c>
      <c r="D326" s="753" t="s">
        <v>779</v>
      </c>
      <c r="E326" s="717" t="s">
        <v>292</v>
      </c>
      <c r="F326" s="754"/>
      <c r="G326" s="756" t="s">
        <v>789</v>
      </c>
      <c r="H326" s="756"/>
      <c r="I326" s="755" t="s">
        <v>229</v>
      </c>
      <c r="J326" s="757">
        <v>22</v>
      </c>
      <c r="K326" s="758"/>
      <c r="L326" s="759" t="s">
        <v>277</v>
      </c>
      <c r="M326" s="760" t="s">
        <v>278</v>
      </c>
      <c r="N326" s="761">
        <f t="shared" si="650"/>
        <v>106005.26567735759</v>
      </c>
      <c r="O326" s="762">
        <f t="shared" si="651"/>
        <v>2332115.8449018667</v>
      </c>
      <c r="P326" s="762">
        <f t="shared" si="652"/>
        <v>22400</v>
      </c>
      <c r="Q326" s="762">
        <f t="shared" si="626"/>
        <v>50000</v>
      </c>
      <c r="R326" s="762"/>
      <c r="S326" s="762"/>
      <c r="T326" s="762"/>
      <c r="U326" s="762"/>
      <c r="V326" s="762"/>
      <c r="W326" s="762">
        <f>J326*$W$5</f>
        <v>22000</v>
      </c>
      <c r="X326" s="762"/>
      <c r="Y326" s="762">
        <f t="shared" si="773"/>
        <v>180000</v>
      </c>
      <c r="Z326" s="762">
        <f t="shared" si="627"/>
        <v>142461</v>
      </c>
      <c r="AA326" s="762">
        <v>49222.732758620703</v>
      </c>
      <c r="AB326" s="762"/>
      <c r="AC326" s="762"/>
      <c r="AD326" s="763">
        <f t="shared" si="653"/>
        <v>466083.7327586207</v>
      </c>
      <c r="AE326" s="763">
        <f t="shared" si="628"/>
        <v>2798199.5776604875</v>
      </c>
      <c r="AF326" s="762">
        <f t="shared" si="629"/>
        <v>69954.989441512196</v>
      </c>
      <c r="AG326" s="762">
        <f t="shared" si="654"/>
        <v>2868154.5671019997</v>
      </c>
      <c r="AH326" s="762">
        <f t="shared" si="630"/>
        <v>71703.86417755</v>
      </c>
      <c r="AI326" s="762">
        <f t="shared" si="655"/>
        <v>2939858.4312795498</v>
      </c>
      <c r="AJ326" s="762">
        <f t="shared" si="656"/>
        <v>146992.92156397749</v>
      </c>
      <c r="AK326" s="762">
        <f t="shared" si="657"/>
        <v>3086851.3528435272</v>
      </c>
      <c r="AL326" s="762">
        <f t="shared" si="658"/>
        <v>30868.513528435273</v>
      </c>
      <c r="AM326" s="762">
        <f t="shared" si="659"/>
        <v>27537.409960060559</v>
      </c>
      <c r="AN326" s="762"/>
      <c r="AO326" s="763">
        <f t="shared" si="660"/>
        <v>3145257.2763320231</v>
      </c>
      <c r="AP326" s="763">
        <f t="shared" si="661"/>
        <v>518967.45059478382</v>
      </c>
      <c r="AQ326" s="763">
        <f t="shared" si="662"/>
        <v>3664224.7269268068</v>
      </c>
      <c r="AR326" s="1178">
        <f t="shared" si="631"/>
        <v>3000000</v>
      </c>
      <c r="AS326" s="1178">
        <f t="shared" si="663"/>
        <v>30192.033042127583</v>
      </c>
      <c r="AT326" s="1178">
        <f t="shared" si="664"/>
        <v>664224.72692680685</v>
      </c>
      <c r="AU326" s="1178">
        <f t="shared" si="632"/>
        <v>79706.967231216826</v>
      </c>
      <c r="AV326" s="1178">
        <f t="shared" si="665"/>
        <v>743931.69415802369</v>
      </c>
      <c r="AW326" s="1178">
        <f t="shared" si="666"/>
        <v>3743931.6941580237</v>
      </c>
      <c r="AX326" s="762">
        <f t="shared" si="667"/>
        <v>46799.1461769753</v>
      </c>
      <c r="AY326" s="717">
        <v>7575.3956645161297</v>
      </c>
      <c r="AZ326" s="717">
        <f t="shared" si="668"/>
        <v>3798306.2359995148</v>
      </c>
      <c r="BA326" s="717">
        <f t="shared" si="669"/>
        <v>142436.4838499818</v>
      </c>
      <c r="BB326" s="717"/>
      <c r="BC326" s="717">
        <f t="shared" si="633"/>
        <v>33600</v>
      </c>
      <c r="BD326" s="717">
        <f t="shared" si="670"/>
        <v>3974342.7198494966</v>
      </c>
      <c r="BE326" s="717">
        <v>18367.830916129038</v>
      </c>
      <c r="BF326" s="717">
        <f t="shared" si="671"/>
        <v>3992710.5507656257</v>
      </c>
      <c r="BG326" s="1209"/>
      <c r="BH326" s="717">
        <f t="shared" si="672"/>
        <v>3992710.5507656257</v>
      </c>
      <c r="BI326" s="717">
        <v>718.43902439024396</v>
      </c>
      <c r="BJ326" s="717">
        <f t="shared" si="673"/>
        <v>3993428.9897900159</v>
      </c>
      <c r="BK326" s="717"/>
      <c r="BL326" s="717">
        <f t="shared" si="674"/>
        <v>3993428.9897900159</v>
      </c>
      <c r="BM326" s="717">
        <f t="shared" ref="BM326:BM327" si="781">$BM$5/41</f>
        <v>1038.0487804878051</v>
      </c>
      <c r="BN326" s="717">
        <f t="shared" si="675"/>
        <v>3994467.0385705037</v>
      </c>
      <c r="BO326" s="717">
        <f t="shared" si="776"/>
        <v>7289.0781490196077</v>
      </c>
      <c r="BP326" s="717">
        <f t="shared" si="634"/>
        <v>4001756.1167195234</v>
      </c>
      <c r="BQ326" s="717">
        <f t="shared" si="777"/>
        <v>4468.4242000000004</v>
      </c>
      <c r="BR326" s="717">
        <f t="shared" si="738"/>
        <v>4006224.5409195232</v>
      </c>
      <c r="BS326" s="1234">
        <f t="shared" si="778"/>
        <v>2651.4786794501206</v>
      </c>
      <c r="BT326" s="1235">
        <f t="shared" si="676"/>
        <v>4008876.0195989734</v>
      </c>
      <c r="BU326" s="1235">
        <f t="shared" si="779"/>
        <v>211.07692307692309</v>
      </c>
      <c r="BV326" s="1235">
        <f t="shared" si="739"/>
        <v>51400</v>
      </c>
      <c r="BW326" s="717">
        <f t="shared" si="677"/>
        <v>4060487.0965220504</v>
      </c>
      <c r="BX326" s="1234">
        <f t="shared" si="743"/>
        <v>27651.078536278128</v>
      </c>
      <c r="BY326" s="717">
        <f t="shared" si="678"/>
        <v>4088138.1750583285</v>
      </c>
      <c r="BZ326" s="1194">
        <f t="shared" si="679"/>
        <v>4088138.1750583285</v>
      </c>
      <c r="CA326" s="1194">
        <f t="shared" si="680"/>
        <v>3208138.1750583285</v>
      </c>
      <c r="CB326" s="1194">
        <f t="shared" si="780"/>
        <v>40000</v>
      </c>
      <c r="CC326" s="1194">
        <f t="shared" si="681"/>
        <v>880000</v>
      </c>
      <c r="CD326" s="1194">
        <f t="shared" si="682"/>
        <v>105600</v>
      </c>
      <c r="CE326" s="1194">
        <f t="shared" si="683"/>
        <v>985600</v>
      </c>
      <c r="CF326" s="1200">
        <f t="shared" si="684"/>
        <v>4193738.1750583285</v>
      </c>
      <c r="CG326" s="757">
        <f t="shared" si="685"/>
        <v>4193738.1750583285</v>
      </c>
      <c r="CH326" s="758">
        <f t="shared" si="686"/>
        <v>0</v>
      </c>
      <c r="CI326" s="757">
        <f t="shared" si="635"/>
        <v>429858.16294347867</v>
      </c>
      <c r="CJ326" s="757">
        <f t="shared" si="636"/>
        <v>104843.45437645822</v>
      </c>
      <c r="CK326" s="759">
        <f t="shared" si="747"/>
        <v>4728439.7923782654</v>
      </c>
      <c r="CL326" s="764">
        <f t="shared" si="687"/>
        <v>0.125</v>
      </c>
      <c r="CM326" s="757">
        <f t="shared" si="688"/>
        <v>591054.97404728318</v>
      </c>
      <c r="CN326" s="757">
        <f t="shared" si="730"/>
        <v>30000</v>
      </c>
      <c r="CO326" s="757">
        <f t="shared" si="689"/>
        <v>561054.97404728318</v>
      </c>
      <c r="CP326" s="755">
        <f t="shared" si="690"/>
        <v>31</v>
      </c>
      <c r="CQ326" s="757">
        <f t="shared" si="732"/>
        <v>18098.54754991236</v>
      </c>
      <c r="CR326" s="764">
        <f t="shared" si="691"/>
        <v>0.875</v>
      </c>
      <c r="CS326" s="757">
        <f t="shared" si="692"/>
        <v>4137384.8183309822</v>
      </c>
      <c r="CT326" s="1101">
        <f t="shared" si="693"/>
        <v>32077.100458977016</v>
      </c>
      <c r="CU326" s="1101">
        <f t="shared" si="694"/>
        <v>37187.984421115194</v>
      </c>
      <c r="CV326" s="1101">
        <f t="shared" si="695"/>
        <v>48038.545919863354</v>
      </c>
      <c r="CW326" s="1141">
        <f t="shared" si="637"/>
        <v>81925.178225599768</v>
      </c>
      <c r="CX326" s="1152">
        <f t="shared" si="696"/>
        <v>336092.91952977626</v>
      </c>
      <c r="CY326" s="1152">
        <f t="shared" si="697"/>
        <v>132990.33105532464</v>
      </c>
      <c r="CZ326" s="1152">
        <f t="shared" si="698"/>
        <v>96057.032553322104</v>
      </c>
      <c r="DA326" s="1152">
        <f t="shared" si="699"/>
        <v>73103.8240104578</v>
      </c>
      <c r="DB326" s="1143">
        <f t="shared" si="638"/>
        <v>0.2214082423089356</v>
      </c>
      <c r="DC326" s="1143">
        <f t="shared" si="700"/>
        <v>0.30721868766830168</v>
      </c>
      <c r="DD326" s="1098" t="s">
        <v>232</v>
      </c>
      <c r="DE326" s="1144"/>
      <c r="DF326" s="705"/>
      <c r="DG326" s="765">
        <f t="shared" si="731"/>
        <v>46082</v>
      </c>
      <c r="DH326" s="1116">
        <f t="shared" si="639"/>
        <v>28</v>
      </c>
      <c r="DI326" s="497"/>
      <c r="DJ326" s="1117">
        <f t="shared" si="701"/>
        <v>46147</v>
      </c>
      <c r="DK326" s="1116">
        <f t="shared" si="702"/>
        <v>30</v>
      </c>
      <c r="DL326" s="766" t="s">
        <v>233</v>
      </c>
      <c r="DM326" s="766" t="s">
        <v>234</v>
      </c>
      <c r="DN326" s="767">
        <f t="shared" si="640"/>
        <v>33815.077007182896</v>
      </c>
      <c r="DO326" s="767">
        <f t="shared" si="641"/>
        <v>743931.69415802369</v>
      </c>
      <c r="DP326" s="768">
        <f t="shared" si="642"/>
        <v>0.24797723138600788</v>
      </c>
      <c r="DR326" s="767">
        <f t="shared" si="643"/>
        <v>4193738.1750583285</v>
      </c>
      <c r="DS326" s="767">
        <f>SUM('[6]INTERNAL PRICELIST'!M326)</f>
        <v>0</v>
      </c>
      <c r="DT326" s="767">
        <f t="shared" si="703"/>
        <v>4193738.1750583285</v>
      </c>
      <c r="DV326" s="951">
        <f t="shared" si="644"/>
        <v>190624.46250265129</v>
      </c>
      <c r="DX326" s="781"/>
      <c r="DY326" s="782"/>
      <c r="DZ326" s="781"/>
      <c r="EA326" s="775"/>
      <c r="ED326" s="755" t="s">
        <v>789</v>
      </c>
      <c r="EE326" s="777" t="b">
        <f t="shared" si="645"/>
        <v>1</v>
      </c>
      <c r="EF326" s="777"/>
      <c r="EG326" s="777"/>
      <c r="EH326" s="1203"/>
      <c r="EP326" s="1230" t="s">
        <v>258</v>
      </c>
      <c r="EQ326" s="1145" t="s">
        <v>258</v>
      </c>
      <c r="ER326" s="753" t="b">
        <f t="shared" si="704"/>
        <v>1</v>
      </c>
      <c r="EU326" s="770">
        <v>3237325.1324007288</v>
      </c>
      <c r="EV326" s="771" t="s">
        <v>258</v>
      </c>
      <c r="EW326" s="775">
        <f t="shared" si="774"/>
        <v>-956413.04265759978</v>
      </c>
      <c r="EY326" s="775">
        <v>3203014.8483802993</v>
      </c>
      <c r="FJ326" s="994">
        <v>0.15</v>
      </c>
      <c r="FK326" s="993">
        <v>13942.005324701358</v>
      </c>
      <c r="FL326" s="993">
        <v>14318.816279423017</v>
      </c>
      <c r="FM326" s="497"/>
      <c r="FN326" s="993">
        <f t="shared" si="646"/>
        <v>4728439.7923782654</v>
      </c>
      <c r="FO326" s="994">
        <f t="shared" si="775"/>
        <v>0.15</v>
      </c>
      <c r="FP326" s="775">
        <f t="shared" si="647"/>
        <v>709265.96885673981</v>
      </c>
      <c r="FQ326" s="993">
        <f t="shared" si="648"/>
        <v>30000</v>
      </c>
      <c r="FR326" s="775">
        <f t="shared" si="706"/>
        <v>679265.96885673981</v>
      </c>
      <c r="FS326" s="497">
        <f t="shared" si="707"/>
        <v>40</v>
      </c>
      <c r="FT326" s="775">
        <f t="shared" si="708"/>
        <v>16981.649221418495</v>
      </c>
      <c r="FU326" s="497"/>
      <c r="FV326" s="993">
        <f t="shared" si="709"/>
        <v>4728439.7923782654</v>
      </c>
      <c r="FW326" s="705">
        <f t="shared" si="710"/>
        <v>472843.97923782654</v>
      </c>
      <c r="FX326" s="705">
        <f t="shared" si="711"/>
        <v>118210.99480945664</v>
      </c>
      <c r="FY326" s="705">
        <v>15000</v>
      </c>
      <c r="FZ326" s="705">
        <f t="shared" si="712"/>
        <v>457843.97923782654</v>
      </c>
      <c r="GA326" s="497">
        <f t="shared" si="713"/>
        <v>46</v>
      </c>
      <c r="GB326" s="775">
        <f t="shared" si="714"/>
        <v>9953.1299834310121</v>
      </c>
      <c r="GC326" s="497"/>
      <c r="GD326" s="497"/>
      <c r="GH326" s="1095">
        <f t="shared" ref="GH326:GH378" si="782">CK326</f>
        <v>4728439.7923782654</v>
      </c>
      <c r="GI326" s="1098">
        <f t="shared" ref="GI326:GI378" si="783">CL326</f>
        <v>0.125</v>
      </c>
      <c r="GJ326" s="1095">
        <f t="shared" ref="GJ326:GJ378" si="784">CM326</f>
        <v>591054.97404728318</v>
      </c>
      <c r="GK326" s="1095">
        <f t="shared" ref="GK326:GK378" si="785">CN326</f>
        <v>30000</v>
      </c>
      <c r="GL326" s="1095">
        <f t="shared" ref="GL326:GL378" si="786">CO326</f>
        <v>561054.97404728318</v>
      </c>
      <c r="GM326" s="1095">
        <f t="shared" ref="GM326:GM378" si="787">CP326</f>
        <v>31</v>
      </c>
      <c r="GN326" s="1095">
        <f t="shared" ref="GN326:GN378" si="788">CQ326</f>
        <v>18098.54754991236</v>
      </c>
      <c r="GO326" s="1098">
        <f t="shared" ref="GO326:GO378" si="789">CR326</f>
        <v>0.875</v>
      </c>
      <c r="GP326" s="1095">
        <f t="shared" ref="GP326:GP378" si="790">CS326</f>
        <v>4137384.8183309822</v>
      </c>
      <c r="GQ326" s="1095">
        <f t="shared" ref="GQ326:GQ378" si="791">CT326</f>
        <v>32077.100458977016</v>
      </c>
      <c r="GR326" s="1095">
        <f t="shared" ref="GR326:GR378" si="792">CU326</f>
        <v>37187.984421115194</v>
      </c>
      <c r="GS326" s="1095">
        <f t="shared" ref="GS326:GS378" si="793">CV326</f>
        <v>48038.545919863354</v>
      </c>
      <c r="GT326" s="1095">
        <f t="shared" ref="GT326:GT378" si="794">CW326</f>
        <v>81925.178225599768</v>
      </c>
      <c r="GU326" s="497"/>
      <c r="GV326" s="1095">
        <f t="shared" si="715"/>
        <v>4728439.7923782654</v>
      </c>
      <c r="GW326" s="1098">
        <f t="shared" si="716"/>
        <v>0.125</v>
      </c>
      <c r="GX326" s="1095">
        <f t="shared" si="717"/>
        <v>591054.97404728318</v>
      </c>
      <c r="GY326" s="1095">
        <f t="shared" si="718"/>
        <v>30000</v>
      </c>
      <c r="GZ326" s="1095">
        <f t="shared" si="719"/>
        <v>561054.97404728318</v>
      </c>
      <c r="HA326" s="1106">
        <f t="shared" si="720"/>
        <v>48</v>
      </c>
      <c r="HB326" s="770">
        <f t="shared" si="721"/>
        <v>11688.645292651732</v>
      </c>
      <c r="HC326" s="1098">
        <f t="shared" si="722"/>
        <v>0.875</v>
      </c>
      <c r="HD326" s="1102">
        <f t="shared" si="723"/>
        <v>4137384.8183309822</v>
      </c>
      <c r="HE326" s="1101">
        <f t="shared" si="724"/>
        <v>32077.100458977016</v>
      </c>
      <c r="HF326" s="1101">
        <f t="shared" si="725"/>
        <v>37187.984421115194</v>
      </c>
      <c r="HG326" s="1101">
        <f t="shared" si="726"/>
        <v>48038.545919863354</v>
      </c>
      <c r="HH326" s="1101">
        <f t="shared" si="727"/>
        <v>81925.178225599768</v>
      </c>
      <c r="HI326" s="497"/>
      <c r="HJ326" s="1102">
        <f t="shared" si="728"/>
        <v>-6409.9022572606282</v>
      </c>
      <c r="HL326" s="775"/>
      <c r="HN326" s="775"/>
      <c r="HO326" s="775"/>
      <c r="HQ326" s="702"/>
      <c r="HR326" s="1171"/>
      <c r="HS326" s="702"/>
      <c r="HT326" s="1171"/>
    </row>
    <row r="327" spans="1:228" ht="14.25" customHeight="1">
      <c r="A327" s="753">
        <f t="shared" si="729"/>
        <v>321</v>
      </c>
      <c r="B327" s="753"/>
      <c r="C327" s="753">
        <f t="shared" si="772"/>
        <v>11</v>
      </c>
      <c r="D327" s="753" t="s">
        <v>779</v>
      </c>
      <c r="E327" s="717" t="s">
        <v>292</v>
      </c>
      <c r="F327" s="754"/>
      <c r="G327" s="756" t="s">
        <v>790</v>
      </c>
      <c r="H327" s="756"/>
      <c r="I327" s="755" t="s">
        <v>229</v>
      </c>
      <c r="J327" s="757">
        <v>22</v>
      </c>
      <c r="K327" s="758"/>
      <c r="L327" s="759" t="s">
        <v>277</v>
      </c>
      <c r="M327" s="760" t="s">
        <v>68</v>
      </c>
      <c r="N327" s="761">
        <f t="shared" si="650"/>
        <v>106005.26567735759</v>
      </c>
      <c r="O327" s="762">
        <f t="shared" si="651"/>
        <v>2332115.8449018667</v>
      </c>
      <c r="P327" s="762">
        <f t="shared" si="652"/>
        <v>22400</v>
      </c>
      <c r="Q327" s="762">
        <f t="shared" ref="Q327:Q378" si="795">$Q$5</f>
        <v>50000</v>
      </c>
      <c r="R327" s="762"/>
      <c r="S327" s="762"/>
      <c r="T327" s="762"/>
      <c r="U327" s="762"/>
      <c r="V327" s="762"/>
      <c r="W327" s="762"/>
      <c r="X327" s="762"/>
      <c r="Y327" s="762">
        <f t="shared" si="773"/>
        <v>180000</v>
      </c>
      <c r="Z327" s="762">
        <f t="shared" ref="Z327:Z378" si="796">$Z$5</f>
        <v>142461</v>
      </c>
      <c r="AA327" s="762"/>
      <c r="AB327" s="762"/>
      <c r="AC327" s="762"/>
      <c r="AD327" s="763">
        <f t="shared" si="653"/>
        <v>394861</v>
      </c>
      <c r="AE327" s="763">
        <f t="shared" ref="AE327:AE378" si="797">O327+AD327</f>
        <v>2726976.8449018667</v>
      </c>
      <c r="AF327" s="762">
        <f t="shared" ref="AF327:AF378" si="798">AE327*$AF$5</f>
        <v>68174.421122546672</v>
      </c>
      <c r="AG327" s="762">
        <f t="shared" si="654"/>
        <v>2795151.2660244135</v>
      </c>
      <c r="AH327" s="762">
        <f t="shared" ref="AH327:AH378" si="799">AG327*$AH$5</f>
        <v>69878.781650610341</v>
      </c>
      <c r="AI327" s="762">
        <f t="shared" si="655"/>
        <v>2865030.0476750238</v>
      </c>
      <c r="AJ327" s="762">
        <f t="shared" si="656"/>
        <v>143251.50238375118</v>
      </c>
      <c r="AK327" s="762">
        <f t="shared" si="657"/>
        <v>3008281.5500587751</v>
      </c>
      <c r="AL327" s="762">
        <f t="shared" si="658"/>
        <v>30082.815500587752</v>
      </c>
      <c r="AM327" s="762">
        <f t="shared" si="659"/>
        <v>27537.409960060559</v>
      </c>
      <c r="AN327" s="762"/>
      <c r="AO327" s="763">
        <f t="shared" si="660"/>
        <v>3065901.7755194232</v>
      </c>
      <c r="AP327" s="763">
        <f t="shared" si="661"/>
        <v>505873.79296070483</v>
      </c>
      <c r="AQ327" s="763">
        <f t="shared" si="662"/>
        <v>3571775.568480128</v>
      </c>
      <c r="AR327" s="1178">
        <f t="shared" ref="AR327:AR378" si="800">$AR$5</f>
        <v>3000000</v>
      </c>
      <c r="AS327" s="1178">
        <f t="shared" si="663"/>
        <v>25989.798567278543</v>
      </c>
      <c r="AT327" s="1178">
        <f t="shared" si="664"/>
        <v>571775.56848012796</v>
      </c>
      <c r="AU327" s="1178">
        <f t="shared" ref="AU327:AU378" si="801">AT327*$AU$5</f>
        <v>68613.06821761535</v>
      </c>
      <c r="AV327" s="1178">
        <f t="shared" si="665"/>
        <v>640388.63669774332</v>
      </c>
      <c r="AW327" s="1178">
        <f t="shared" si="666"/>
        <v>3640388.6366977431</v>
      </c>
      <c r="AX327" s="762">
        <f t="shared" si="667"/>
        <v>45504.85795872179</v>
      </c>
      <c r="AY327" s="717" t="s">
        <v>231</v>
      </c>
      <c r="AZ327" s="717">
        <f t="shared" si="668"/>
        <v>3685893.494656465</v>
      </c>
      <c r="BA327" s="717">
        <f t="shared" si="669"/>
        <v>138221.00604961743</v>
      </c>
      <c r="BB327" s="717"/>
      <c r="BC327" s="717">
        <f t="shared" ref="BC327:BC377" si="802">$BC$5*1.12</f>
        <v>33600</v>
      </c>
      <c r="BD327" s="717">
        <f t="shared" si="670"/>
        <v>3857714.5007060822</v>
      </c>
      <c r="BE327" s="717"/>
      <c r="BF327" s="717">
        <f t="shared" si="671"/>
        <v>3857714.5007060822</v>
      </c>
      <c r="BG327" s="1209"/>
      <c r="BH327" s="717">
        <f t="shared" si="672"/>
        <v>3857714.5007060822</v>
      </c>
      <c r="BI327" s="717">
        <v>718.43902439024396</v>
      </c>
      <c r="BJ327" s="717">
        <f t="shared" si="673"/>
        <v>3858432.9397304724</v>
      </c>
      <c r="BK327" s="717"/>
      <c r="BL327" s="717">
        <f t="shared" si="674"/>
        <v>3858432.9397304724</v>
      </c>
      <c r="BM327" s="717">
        <f t="shared" si="781"/>
        <v>1038.0487804878051</v>
      </c>
      <c r="BN327" s="717">
        <f t="shared" si="675"/>
        <v>3859470.9885109602</v>
      </c>
      <c r="BO327" s="717">
        <f t="shared" si="776"/>
        <v>7289.0781490196077</v>
      </c>
      <c r="BP327" s="717">
        <f t="shared" ref="BP327:BP377" si="803">BN327+BO327</f>
        <v>3866760.06665998</v>
      </c>
      <c r="BQ327" s="717">
        <f t="shared" si="777"/>
        <v>4468.4242000000004</v>
      </c>
      <c r="BR327" s="717">
        <f t="shared" si="738"/>
        <v>3871228.4908599798</v>
      </c>
      <c r="BS327" s="1234">
        <f t="shared" si="778"/>
        <v>2651.4786794501206</v>
      </c>
      <c r="BT327" s="1235">
        <f t="shared" si="676"/>
        <v>3873879.96953943</v>
      </c>
      <c r="BU327" s="1235">
        <f t="shared" si="779"/>
        <v>211.07692307692309</v>
      </c>
      <c r="BV327" s="1235">
        <f t="shared" si="739"/>
        <v>51400</v>
      </c>
      <c r="BW327" s="717">
        <f t="shared" si="677"/>
        <v>3925491.046462507</v>
      </c>
      <c r="BX327" s="1234">
        <f t="shared" si="743"/>
        <v>27651.078536278128</v>
      </c>
      <c r="BY327" s="717">
        <f t="shared" si="678"/>
        <v>3953142.1249987851</v>
      </c>
      <c r="BZ327" s="1194">
        <f t="shared" si="679"/>
        <v>3953142.1249987851</v>
      </c>
      <c r="CA327" s="1194">
        <f t="shared" si="680"/>
        <v>3073142.1249987851</v>
      </c>
      <c r="CB327" s="1194">
        <f t="shared" si="780"/>
        <v>40000</v>
      </c>
      <c r="CC327" s="1194">
        <f t="shared" si="681"/>
        <v>880000</v>
      </c>
      <c r="CD327" s="1194">
        <f t="shared" si="682"/>
        <v>105600</v>
      </c>
      <c r="CE327" s="1194">
        <f t="shared" si="683"/>
        <v>985600</v>
      </c>
      <c r="CF327" s="1200">
        <f t="shared" si="684"/>
        <v>4058742.1249987851</v>
      </c>
      <c r="CG327" s="757">
        <f t="shared" si="685"/>
        <v>4058742.1249987851</v>
      </c>
      <c r="CH327" s="758">
        <f t="shared" si="686"/>
        <v>0</v>
      </c>
      <c r="CI327" s="757">
        <f t="shared" ref="CI327:CI378" si="804">CG327*CI$5</f>
        <v>416021.06781237543</v>
      </c>
      <c r="CJ327" s="757">
        <f t="shared" ref="CJ327:CJ378" si="805">CG327*CJ$5</f>
        <v>101468.55312496964</v>
      </c>
      <c r="CK327" s="759">
        <f t="shared" si="747"/>
        <v>4576231.7459361302</v>
      </c>
      <c r="CL327" s="764">
        <f t="shared" si="687"/>
        <v>0.125</v>
      </c>
      <c r="CM327" s="757">
        <f t="shared" si="688"/>
        <v>572028.96824201627</v>
      </c>
      <c r="CN327" s="757">
        <f t="shared" si="730"/>
        <v>30000</v>
      </c>
      <c r="CO327" s="757">
        <f t="shared" si="689"/>
        <v>542028.96824201627</v>
      </c>
      <c r="CP327" s="755">
        <f t="shared" si="690"/>
        <v>31</v>
      </c>
      <c r="CQ327" s="757">
        <f t="shared" si="732"/>
        <v>17484.805427161817</v>
      </c>
      <c r="CR327" s="764">
        <f t="shared" si="691"/>
        <v>0.875</v>
      </c>
      <c r="CS327" s="757">
        <f t="shared" si="692"/>
        <v>4004202.777694114</v>
      </c>
      <c r="CT327" s="1101">
        <f t="shared" si="693"/>
        <v>31044.541515483877</v>
      </c>
      <c r="CU327" s="1101">
        <f t="shared" si="694"/>
        <v>35990.90658817286</v>
      </c>
      <c r="CV327" s="1101">
        <f t="shared" si="695"/>
        <v>46492.189500105378</v>
      </c>
      <c r="CW327" s="1141">
        <f t="shared" ref="CW327:CW378" si="806">-PMT($CT$5/12,60,CS327,0)</f>
        <v>79288.014196940247</v>
      </c>
      <c r="CX327" s="1152">
        <f t="shared" si="696"/>
        <v>325274.11904782464</v>
      </c>
      <c r="CY327" s="1152">
        <f t="shared" si="697"/>
        <v>128709.38440601931</v>
      </c>
      <c r="CZ327" s="1152">
        <f t="shared" si="698"/>
        <v>92964.965420409339</v>
      </c>
      <c r="DA327" s="1152">
        <f t="shared" si="699"/>
        <v>70750.618570892519</v>
      </c>
      <c r="DB327" s="1143">
        <f t="shared" ref="DB327:DB378" si="807">AT327/AR327</f>
        <v>0.19059185616004265</v>
      </c>
      <c r="DC327" s="1143">
        <f t="shared" si="700"/>
        <v>0.32071409648858645</v>
      </c>
      <c r="DD327" s="1098" t="s">
        <v>232</v>
      </c>
      <c r="DE327" s="1144"/>
      <c r="DF327" s="705"/>
      <c r="DG327" s="765">
        <f t="shared" si="731"/>
        <v>46082</v>
      </c>
      <c r="DH327" s="1116">
        <f t="shared" ref="DH327:DH378" si="808">(YEAR(DG327)-YEAR($DH$5))*12+MONTH(DG327)-MONTH($DH$5)</f>
        <v>28</v>
      </c>
      <c r="DI327" s="497"/>
      <c r="DJ327" s="1117">
        <f t="shared" si="701"/>
        <v>46147</v>
      </c>
      <c r="DK327" s="1116">
        <f t="shared" si="702"/>
        <v>30</v>
      </c>
      <c r="DL327" s="766" t="s">
        <v>233</v>
      </c>
      <c r="DM327" s="766" t="s">
        <v>234</v>
      </c>
      <c r="DN327" s="767">
        <f t="shared" ref="DN327:DN378" si="809">DO327/J327</f>
        <v>29108.57439535197</v>
      </c>
      <c r="DO327" s="767">
        <f t="shared" ref="DO327:DO378" si="810">AV327</f>
        <v>640388.63669774332</v>
      </c>
      <c r="DP327" s="768">
        <f t="shared" ref="DP327:DP378" si="811">AV327/AR327</f>
        <v>0.21346287889924778</v>
      </c>
      <c r="DR327" s="767">
        <f t="shared" ref="DR327:DR378" si="812">CG327</f>
        <v>4058742.1249987851</v>
      </c>
      <c r="DS327" s="767">
        <f>SUM('[6]INTERNAL PRICELIST'!M327)</f>
        <v>0</v>
      </c>
      <c r="DT327" s="767">
        <f t="shared" si="703"/>
        <v>4058742.1249987851</v>
      </c>
      <c r="DV327" s="951">
        <f t="shared" ref="DV327:DV378" si="813">DR327/J327</f>
        <v>184488.27840903567</v>
      </c>
      <c r="DX327" s="781"/>
      <c r="DY327" s="782"/>
      <c r="DZ327" s="781"/>
      <c r="EA327" s="775"/>
      <c r="ED327" s="755" t="s">
        <v>790</v>
      </c>
      <c r="EE327" s="777" t="b">
        <f t="shared" ref="EE327:EE378" si="814">G327=ED327</f>
        <v>1</v>
      </c>
      <c r="EF327" s="777"/>
      <c r="EG327" s="777"/>
      <c r="EH327" s="1203"/>
      <c r="EP327" s="1230" t="s">
        <v>258</v>
      </c>
      <c r="EQ327" s="1145" t="s">
        <v>258</v>
      </c>
      <c r="ER327" s="753" t="b">
        <f t="shared" si="704"/>
        <v>1</v>
      </c>
      <c r="EU327" s="770">
        <v>3209496.1774007287</v>
      </c>
      <c r="EV327" s="771" t="s">
        <v>258</v>
      </c>
      <c r="EW327" s="775">
        <f t="shared" si="774"/>
        <v>-849245.9475980564</v>
      </c>
      <c r="EY327" s="775">
        <v>3175432.1472727996</v>
      </c>
      <c r="FJ327" s="994">
        <v>0.15</v>
      </c>
      <c r="FK327" s="993">
        <v>13819.818797865502</v>
      </c>
      <c r="FL327" s="993">
        <v>14193.32741402403</v>
      </c>
      <c r="FM327" s="497"/>
      <c r="FN327" s="993">
        <f t="shared" ref="FN327:FN378" si="815">CK327</f>
        <v>4576231.7459361302</v>
      </c>
      <c r="FO327" s="994">
        <f t="shared" si="737"/>
        <v>0.15</v>
      </c>
      <c r="FP327" s="775">
        <f t="shared" ref="FP327:FP378" si="816">FN327*FO327</f>
        <v>686434.76189041953</v>
      </c>
      <c r="FQ327" s="993">
        <f t="shared" ref="FQ327:FQ378" si="817">CN327</f>
        <v>30000</v>
      </c>
      <c r="FR327" s="775">
        <f t="shared" si="706"/>
        <v>656434.76189041953</v>
      </c>
      <c r="FS327" s="497">
        <f t="shared" si="707"/>
        <v>40</v>
      </c>
      <c r="FT327" s="775">
        <f t="shared" si="708"/>
        <v>16410.869047260487</v>
      </c>
      <c r="FU327" s="497"/>
      <c r="FV327" s="993">
        <f t="shared" si="709"/>
        <v>4576231.7459361302</v>
      </c>
      <c r="FW327" s="705">
        <f t="shared" si="710"/>
        <v>457623.17459361302</v>
      </c>
      <c r="FX327" s="705">
        <f t="shared" si="711"/>
        <v>114405.79364840325</v>
      </c>
      <c r="FY327" s="705">
        <v>15000</v>
      </c>
      <c r="FZ327" s="705">
        <f t="shared" si="712"/>
        <v>442623.17459361302</v>
      </c>
      <c r="GA327" s="497">
        <f t="shared" si="713"/>
        <v>46</v>
      </c>
      <c r="GB327" s="775">
        <f t="shared" si="714"/>
        <v>9622.2429259481087</v>
      </c>
      <c r="GC327" s="497"/>
      <c r="GD327" s="497"/>
      <c r="GH327" s="1095">
        <f t="shared" si="782"/>
        <v>4576231.7459361302</v>
      </c>
      <c r="GI327" s="1098">
        <f t="shared" si="783"/>
        <v>0.125</v>
      </c>
      <c r="GJ327" s="1095">
        <f t="shared" si="784"/>
        <v>572028.96824201627</v>
      </c>
      <c r="GK327" s="1095">
        <f t="shared" si="785"/>
        <v>30000</v>
      </c>
      <c r="GL327" s="1095">
        <f t="shared" si="786"/>
        <v>542028.96824201627</v>
      </c>
      <c r="GM327" s="1095">
        <f t="shared" si="787"/>
        <v>31</v>
      </c>
      <c r="GN327" s="1095">
        <f t="shared" si="788"/>
        <v>17484.805427161817</v>
      </c>
      <c r="GO327" s="1098">
        <f t="shared" si="789"/>
        <v>0.875</v>
      </c>
      <c r="GP327" s="1095">
        <f t="shared" si="790"/>
        <v>4004202.777694114</v>
      </c>
      <c r="GQ327" s="1095">
        <f t="shared" si="791"/>
        <v>31044.541515483877</v>
      </c>
      <c r="GR327" s="1095">
        <f t="shared" si="792"/>
        <v>35990.90658817286</v>
      </c>
      <c r="GS327" s="1095">
        <f t="shared" si="793"/>
        <v>46492.189500105378</v>
      </c>
      <c r="GT327" s="1095">
        <f t="shared" si="794"/>
        <v>79288.014196940247</v>
      </c>
      <c r="GU327" s="497"/>
      <c r="GV327" s="1095">
        <f t="shared" si="715"/>
        <v>4576231.7459361302</v>
      </c>
      <c r="GW327" s="1098">
        <f t="shared" si="716"/>
        <v>0.125</v>
      </c>
      <c r="GX327" s="1095">
        <f t="shared" si="717"/>
        <v>572028.96824201627</v>
      </c>
      <c r="GY327" s="1095">
        <f t="shared" si="718"/>
        <v>30000</v>
      </c>
      <c r="GZ327" s="1095">
        <f t="shared" si="719"/>
        <v>542028.96824201627</v>
      </c>
      <c r="HA327" s="1106">
        <f t="shared" si="720"/>
        <v>48</v>
      </c>
      <c r="HB327" s="770">
        <f t="shared" si="721"/>
        <v>11292.270171708673</v>
      </c>
      <c r="HC327" s="1098">
        <f t="shared" si="722"/>
        <v>0.875</v>
      </c>
      <c r="HD327" s="1102">
        <f t="shared" si="723"/>
        <v>4004202.777694114</v>
      </c>
      <c r="HE327" s="1101">
        <f t="shared" si="724"/>
        <v>31044.541515483877</v>
      </c>
      <c r="HF327" s="1101">
        <f t="shared" si="725"/>
        <v>35990.90658817286</v>
      </c>
      <c r="HG327" s="1101">
        <f t="shared" si="726"/>
        <v>46492.189500105378</v>
      </c>
      <c r="HH327" s="1101">
        <f t="shared" si="727"/>
        <v>79288.014196940247</v>
      </c>
      <c r="HI327" s="497"/>
      <c r="HJ327" s="1102">
        <f t="shared" si="728"/>
        <v>-6192.5352554531437</v>
      </c>
      <c r="HL327" s="775"/>
      <c r="HN327" s="775"/>
      <c r="HO327" s="775"/>
      <c r="HQ327" s="702"/>
      <c r="HR327" s="1171"/>
      <c r="HS327" s="702"/>
      <c r="HT327" s="1171"/>
    </row>
    <row r="328" spans="1:228" ht="14.25" hidden="1" customHeight="1">
      <c r="A328" s="753">
        <f t="shared" si="729"/>
        <v>322</v>
      </c>
      <c r="B328" s="753"/>
      <c r="C328" s="753">
        <f t="shared" si="772"/>
        <v>12</v>
      </c>
      <c r="D328" s="753" t="s">
        <v>779</v>
      </c>
      <c r="E328" s="717" t="s">
        <v>292</v>
      </c>
      <c r="F328" s="754"/>
      <c r="G328" s="756" t="s">
        <v>791</v>
      </c>
      <c r="H328" s="756"/>
      <c r="I328" s="755" t="s">
        <v>229</v>
      </c>
      <c r="J328" s="757">
        <v>22</v>
      </c>
      <c r="K328" s="758"/>
      <c r="L328" s="759" t="s">
        <v>277</v>
      </c>
      <c r="M328" s="760" t="s">
        <v>68</v>
      </c>
      <c r="N328" s="761">
        <f t="shared" ref="N328:N378" si="818">$N$5</f>
        <v>106005.26567735759</v>
      </c>
      <c r="O328" s="762">
        <f t="shared" ref="O328:O378" si="819">J328*N328</f>
        <v>2332115.8449018667</v>
      </c>
      <c r="P328" s="762">
        <f t="shared" ref="P328:P378" si="820">$P$7</f>
        <v>22400</v>
      </c>
      <c r="Q328" s="762">
        <f t="shared" si="795"/>
        <v>50000</v>
      </c>
      <c r="R328" s="762"/>
      <c r="S328" s="762"/>
      <c r="T328" s="762"/>
      <c r="U328" s="762"/>
      <c r="V328" s="762"/>
      <c r="W328" s="762"/>
      <c r="X328" s="762"/>
      <c r="Y328" s="762">
        <f t="shared" si="773"/>
        <v>180000</v>
      </c>
      <c r="Z328" s="762">
        <f t="shared" si="796"/>
        <v>142461</v>
      </c>
      <c r="AA328" s="762"/>
      <c r="AB328" s="762"/>
      <c r="AC328" s="762"/>
      <c r="AD328" s="763">
        <f t="shared" ref="AD328:AD378" si="821">SUM(P328:AC328)</f>
        <v>394861</v>
      </c>
      <c r="AE328" s="763">
        <f t="shared" si="797"/>
        <v>2726976.8449018667</v>
      </c>
      <c r="AF328" s="762">
        <f t="shared" si="798"/>
        <v>68174.421122546672</v>
      </c>
      <c r="AG328" s="762">
        <f t="shared" ref="AG328:AG378" si="822">AE328+AF328</f>
        <v>2795151.2660244135</v>
      </c>
      <c r="AH328" s="762">
        <f t="shared" si="799"/>
        <v>69878.781650610341</v>
      </c>
      <c r="AI328" s="762">
        <f t="shared" ref="AI328:AI378" si="823">AG328+AH328</f>
        <v>2865030.0476750238</v>
      </c>
      <c r="AJ328" s="762">
        <f t="shared" ref="AJ328:AJ378" si="824">AI328*$AJ$5</f>
        <v>143251.50238375118</v>
      </c>
      <c r="AK328" s="762">
        <f t="shared" ref="AK328:AK378" si="825">AI328+AJ328</f>
        <v>3008281.5500587751</v>
      </c>
      <c r="AL328" s="762">
        <f t="shared" ref="AL328:AL378" si="826">AK328*AL$5</f>
        <v>30082.815500587752</v>
      </c>
      <c r="AM328" s="762">
        <f t="shared" ref="AM328:AM378" si="827">$AM$5</f>
        <v>27537.409960060559</v>
      </c>
      <c r="AN328" s="762"/>
      <c r="AO328" s="763">
        <f t="shared" ref="AO328:AO378" si="828">AK328+AL328+AM328+AN328</f>
        <v>3065901.7755194232</v>
      </c>
      <c r="AP328" s="763">
        <f t="shared" ref="AP328:AP378" si="829">AO328*$AP$5</f>
        <v>505873.79296070483</v>
      </c>
      <c r="AQ328" s="763">
        <f t="shared" ref="AQ328:AQ378" si="830">AO328+AP328</f>
        <v>3571775.568480128</v>
      </c>
      <c r="AR328" s="1178">
        <f t="shared" si="800"/>
        <v>3000000</v>
      </c>
      <c r="AS328" s="1178">
        <f t="shared" ref="AS328:AS378" si="831">AT328/J328</f>
        <v>25989.798567278543</v>
      </c>
      <c r="AT328" s="1178">
        <f t="shared" ref="AT328:AT378" si="832">AQ328-AR328</f>
        <v>571775.56848012796</v>
      </c>
      <c r="AU328" s="1178">
        <f t="shared" si="801"/>
        <v>68613.06821761535</v>
      </c>
      <c r="AV328" s="1178">
        <f t="shared" ref="AV328:AV378" si="833">AT328+AU328</f>
        <v>640388.63669774332</v>
      </c>
      <c r="AW328" s="1178">
        <f t="shared" ref="AW328:AW378" si="834">AR328+AT328+AU328</f>
        <v>3640388.6366977431</v>
      </c>
      <c r="AX328" s="762">
        <f t="shared" ref="AX328:AX378" si="835">AW328*$AX$5</f>
        <v>45504.85795872179</v>
      </c>
      <c r="AY328" s="717" t="s">
        <v>231</v>
      </c>
      <c r="AZ328" s="717">
        <f t="shared" ref="AZ328:AZ377" si="836">AW328+AX328+AY328</f>
        <v>3685893.494656465</v>
      </c>
      <c r="BA328" s="717">
        <f t="shared" ref="BA328:BA378" si="837">AZ328*$BA$5</f>
        <v>138221.00604961743</v>
      </c>
      <c r="BB328" s="717"/>
      <c r="BC328" s="717">
        <f t="shared" si="802"/>
        <v>33600</v>
      </c>
      <c r="BD328" s="717">
        <f t="shared" ref="BD328:BD378" si="838">AZ328+BA328+BB328+BC328</f>
        <v>3857714.5007060822</v>
      </c>
      <c r="BE328" s="717"/>
      <c r="BF328" s="717">
        <f t="shared" ref="BF328:BF378" si="839">BD328+BE328</f>
        <v>3857714.5007060822</v>
      </c>
      <c r="BG328" s="1209"/>
      <c r="BH328" s="717">
        <f t="shared" ref="BH328:BH378" si="840">BF328+BG328</f>
        <v>3857714.5007060822</v>
      </c>
      <c r="BI328" s="717"/>
      <c r="BJ328" s="717">
        <f t="shared" ref="BJ328:BJ378" si="841">BH328+BI328</f>
        <v>3857714.5007060822</v>
      </c>
      <c r="BK328" s="717"/>
      <c r="BL328" s="717">
        <f t="shared" ref="BL328:BL378" si="842">BJ328+BK328</f>
        <v>3857714.5007060822</v>
      </c>
      <c r="BM328" s="717"/>
      <c r="BN328" s="717">
        <f t="shared" ref="BN328:BN378" si="843">BL328+BM328</f>
        <v>3857714.5007060822</v>
      </c>
      <c r="BO328" s="717"/>
      <c r="BP328" s="717">
        <f t="shared" si="803"/>
        <v>3857714.5007060822</v>
      </c>
      <c r="BQ328" s="717"/>
      <c r="BR328" s="717">
        <f t="shared" si="738"/>
        <v>3857714.5007060822</v>
      </c>
      <c r="BS328" s="717"/>
      <c r="BT328" s="717">
        <f t="shared" ref="BT328:BT378" si="844">BS328+BR328</f>
        <v>3857714.5007060822</v>
      </c>
      <c r="BU328" s="717"/>
      <c r="BV328" s="1235">
        <f t="shared" si="739"/>
        <v>51400</v>
      </c>
      <c r="BW328" s="717">
        <f t="shared" ref="BW328:BW378" si="845">SUM(BT328:BV328)</f>
        <v>3909114.5007060822</v>
      </c>
      <c r="BX328" s="717"/>
      <c r="BY328" s="717">
        <f t="shared" ref="BY328:BY378" si="846">BW328+BX328</f>
        <v>3909114.5007060822</v>
      </c>
      <c r="BZ328" s="1194">
        <f t="shared" ref="BZ328:BZ378" si="847">BY328</f>
        <v>3909114.5007060822</v>
      </c>
      <c r="CA328" s="1194">
        <f t="shared" ref="CA328:CA378" si="848">BZ328-CC328</f>
        <v>3029114.5007060822</v>
      </c>
      <c r="CB328" s="1194">
        <v>40000</v>
      </c>
      <c r="CC328" s="1194">
        <f t="shared" ref="CC328:CC378" si="849">CB328*J328</f>
        <v>880000</v>
      </c>
      <c r="CD328" s="1194">
        <f t="shared" ref="CD328:CD378" si="850">CC328*$CD$5</f>
        <v>105600</v>
      </c>
      <c r="CE328" s="1194">
        <f t="shared" ref="CE328:CE378" si="851">SUM(CC328:CD328)</f>
        <v>985600</v>
      </c>
      <c r="CF328" s="1200">
        <f t="shared" ref="CF328:CF378" si="852">BZ328+CD328</f>
        <v>4014714.5007060822</v>
      </c>
      <c r="CG328" s="757">
        <f t="shared" ref="CG328:CG378" si="853">CF328</f>
        <v>4014714.5007060822</v>
      </c>
      <c r="CH328" s="758">
        <f t="shared" ref="CH328:CH378" si="854">IF(CA328&lt;=$CA$3,0,12%*CA328)</f>
        <v>0</v>
      </c>
      <c r="CI328" s="757">
        <f t="shared" si="804"/>
        <v>411508.23632237338</v>
      </c>
      <c r="CJ328" s="757">
        <f t="shared" si="805"/>
        <v>100367.86251765206</v>
      </c>
      <c r="CK328" s="759">
        <f t="shared" si="747"/>
        <v>4526590.5995461075</v>
      </c>
      <c r="CL328" s="764">
        <f t="shared" ref="CL328:CL378" si="855">$CL$5</f>
        <v>0.125</v>
      </c>
      <c r="CM328" s="757">
        <f t="shared" ref="CM328:CM378" si="856">CK328*CL328</f>
        <v>565823.82494326343</v>
      </c>
      <c r="CN328" s="757">
        <f t="shared" si="730"/>
        <v>30000</v>
      </c>
      <c r="CO328" s="757">
        <f t="shared" ref="CO328:CO378" si="857">CM328-CN328</f>
        <v>535823.82494326343</v>
      </c>
      <c r="CP328" s="755">
        <f t="shared" ref="CP328:CP378" si="858">VLOOKUP(E328,$ID$6:$IF$20,3,FALSE)</f>
        <v>31</v>
      </c>
      <c r="CQ328" s="757">
        <f t="shared" si="732"/>
        <v>17284.639514298822</v>
      </c>
      <c r="CR328" s="764">
        <f t="shared" ref="CR328:CR378" si="859">100%-CL328</f>
        <v>0.875</v>
      </c>
      <c r="CS328" s="757">
        <f t="shared" ref="CS328:CS378" si="860">CK328*CR328</f>
        <v>3960766.7746028439</v>
      </c>
      <c r="CT328" s="1101">
        <f t="shared" ref="CT328:CT378" si="861">-PMT($CT$5/12,240,CS328,0)</f>
        <v>30707.782645841882</v>
      </c>
      <c r="CU328" s="1101">
        <f t="shared" ref="CU328:CU378" si="862">-PMT($CT$5/12,180,CS328,0)</f>
        <v>35600.491512660185</v>
      </c>
      <c r="CV328" s="1101">
        <f t="shared" ref="CV328:CV378" si="863">-PMT($CT$5/12,120,CS328,0)</f>
        <v>45987.860673879099</v>
      </c>
      <c r="CW328" s="1141">
        <f t="shared" si="806"/>
        <v>78427.929275930772</v>
      </c>
      <c r="CX328" s="1152">
        <f t="shared" ref="CX328:CX378" si="864">(CK328*80%)*$CX$5</f>
        <v>321745.67445476446</v>
      </c>
      <c r="CY328" s="1152">
        <f t="shared" ref="CY328:CY378" si="865">(CK328*80%)*$CY$5</f>
        <v>127313.19606858582</v>
      </c>
      <c r="CZ328" s="1152">
        <f t="shared" ref="CZ328:CZ378" si="866">(CK328*80%)*$CZ$5</f>
        <v>91956.518358768255</v>
      </c>
      <c r="DA328" s="1152">
        <f t="shared" ref="DA328:DA378" si="867">(CK328*80%)*$DA$5</f>
        <v>69983.143930478778</v>
      </c>
      <c r="DB328" s="1143">
        <f t="shared" si="807"/>
        <v>0.19059185616004265</v>
      </c>
      <c r="DC328" s="1143">
        <f t="shared" ref="DC328:DC378" si="868">CE328/CA328</f>
        <v>0.32537561712185459</v>
      </c>
      <c r="DD328" s="1098" t="s">
        <v>232</v>
      </c>
      <c r="DE328" s="1144"/>
      <c r="DF328" s="705"/>
      <c r="DG328" s="765">
        <f t="shared" si="731"/>
        <v>46082</v>
      </c>
      <c r="DH328" s="1116">
        <f t="shared" si="808"/>
        <v>28</v>
      </c>
      <c r="DI328" s="497"/>
      <c r="DJ328" s="1117">
        <f t="shared" ref="DJ328:DJ378" si="869">DG328+65</f>
        <v>46147</v>
      </c>
      <c r="DK328" s="1116">
        <f t="shared" ref="DK328:DK378" si="870">(YEAR(DJ328)-YEAR($DK$5))*12+MONTH(DJ328)-MONTH($DK$5)+$DK$4+$DK$3</f>
        <v>30</v>
      </c>
      <c r="DL328" s="766" t="s">
        <v>233</v>
      </c>
      <c r="DM328" s="766" t="s">
        <v>234</v>
      </c>
      <c r="DN328" s="767">
        <f t="shared" si="809"/>
        <v>29108.57439535197</v>
      </c>
      <c r="DO328" s="767">
        <f t="shared" si="810"/>
        <v>640388.63669774332</v>
      </c>
      <c r="DP328" s="768">
        <f t="shared" si="811"/>
        <v>0.21346287889924778</v>
      </c>
      <c r="DR328" s="767">
        <f t="shared" si="812"/>
        <v>4014714.5007060822</v>
      </c>
      <c r="DS328" s="767">
        <f>SUM('[6]INTERNAL PRICELIST'!M328)</f>
        <v>0</v>
      </c>
      <c r="DT328" s="767">
        <f t="shared" ref="DT328:DT378" si="871">DR328-DS328</f>
        <v>4014714.5007060822</v>
      </c>
      <c r="DV328" s="951">
        <f t="shared" si="813"/>
        <v>182487.02275936736</v>
      </c>
      <c r="DX328" s="781"/>
      <c r="DY328" s="782"/>
      <c r="DZ328" s="781"/>
      <c r="EA328" s="775"/>
      <c r="ED328" s="755" t="s">
        <v>791</v>
      </c>
      <c r="EE328" s="777" t="b">
        <f t="shared" si="814"/>
        <v>1</v>
      </c>
      <c r="EF328" s="777"/>
      <c r="EG328" s="777"/>
      <c r="EH328" s="1203"/>
      <c r="EP328" s="1230" t="s">
        <v>236</v>
      </c>
      <c r="EQ328" s="1145" t="s">
        <v>236</v>
      </c>
      <c r="ER328" s="753" t="b">
        <f t="shared" ref="ER328:ER378" si="872">EP328=EQ328</f>
        <v>1</v>
      </c>
      <c r="EU328" s="770">
        <v>3209496.1774007287</v>
      </c>
      <c r="EV328" s="771" t="s">
        <v>258</v>
      </c>
      <c r="EW328" s="775">
        <f t="shared" si="774"/>
        <v>-805218.32330535352</v>
      </c>
      <c r="EY328" s="775">
        <v>3175432.1472727996</v>
      </c>
      <c r="FJ328" s="994">
        <v>0.15</v>
      </c>
      <c r="FK328" s="993">
        <v>13819.818797865502</v>
      </c>
      <c r="FL328" s="993">
        <v>14193.32741402403</v>
      </c>
      <c r="FM328" s="497"/>
      <c r="FN328" s="993">
        <f t="shared" si="815"/>
        <v>4526590.5995461075</v>
      </c>
      <c r="FO328" s="994">
        <f t="shared" ref="FO328:FO332" si="873">FJ328</f>
        <v>0.15</v>
      </c>
      <c r="FP328" s="775">
        <f t="shared" si="816"/>
        <v>678988.5899319161</v>
      </c>
      <c r="FQ328" s="993">
        <f t="shared" si="817"/>
        <v>30000</v>
      </c>
      <c r="FR328" s="775">
        <f t="shared" ref="FR328:FR378" si="874">FP328-FQ328</f>
        <v>648988.5899319161</v>
      </c>
      <c r="FS328" s="497">
        <f t="shared" ref="FS328:FS378" si="875">$FS$5</f>
        <v>40</v>
      </c>
      <c r="FT328" s="775">
        <f t="shared" ref="FT328:FT378" si="876">FR328/FS328</f>
        <v>16224.714748297902</v>
      </c>
      <c r="FU328" s="497"/>
      <c r="FV328" s="993">
        <f t="shared" ref="FV328:FV378" si="877">FN328</f>
        <v>4526590.5995461075</v>
      </c>
      <c r="FW328" s="705">
        <f t="shared" ref="FW328:FW378" si="878">FV328*$FW$5</f>
        <v>452659.05995461077</v>
      </c>
      <c r="FX328" s="705">
        <f t="shared" ref="FX328:FX378" si="879">FV328*$FX$5</f>
        <v>113164.76498865269</v>
      </c>
      <c r="FY328" s="705">
        <v>15000</v>
      </c>
      <c r="FZ328" s="705">
        <f t="shared" ref="FZ328:FZ378" si="880">FW328-FY328</f>
        <v>437659.05995461077</v>
      </c>
      <c r="GA328" s="497">
        <f t="shared" ref="GA328:GA378" si="881">$GA$5</f>
        <v>46</v>
      </c>
      <c r="GB328" s="775">
        <f t="shared" ref="GB328:GB378" si="882">FZ328/GA328</f>
        <v>9514.327390317625</v>
      </c>
      <c r="GC328" s="497"/>
      <c r="GD328" s="497"/>
      <c r="GH328" s="1095">
        <f t="shared" si="782"/>
        <v>4526590.5995461075</v>
      </c>
      <c r="GI328" s="1098">
        <f t="shared" si="783"/>
        <v>0.125</v>
      </c>
      <c r="GJ328" s="1095">
        <f t="shared" si="784"/>
        <v>565823.82494326343</v>
      </c>
      <c r="GK328" s="1095">
        <f t="shared" si="785"/>
        <v>30000</v>
      </c>
      <c r="GL328" s="1095">
        <f t="shared" si="786"/>
        <v>535823.82494326343</v>
      </c>
      <c r="GM328" s="1095">
        <f t="shared" si="787"/>
        <v>31</v>
      </c>
      <c r="GN328" s="1095">
        <f t="shared" si="788"/>
        <v>17284.639514298822</v>
      </c>
      <c r="GO328" s="1098">
        <f t="shared" si="789"/>
        <v>0.875</v>
      </c>
      <c r="GP328" s="1095">
        <f t="shared" si="790"/>
        <v>3960766.7746028439</v>
      </c>
      <c r="GQ328" s="1095">
        <f t="shared" si="791"/>
        <v>30707.782645841882</v>
      </c>
      <c r="GR328" s="1095">
        <f t="shared" si="792"/>
        <v>35600.491512660185</v>
      </c>
      <c r="GS328" s="1095">
        <f t="shared" si="793"/>
        <v>45987.860673879099</v>
      </c>
      <c r="GT328" s="1095">
        <f t="shared" si="794"/>
        <v>78427.929275930772</v>
      </c>
      <c r="GU328" s="497"/>
      <c r="GV328" s="1095">
        <f t="shared" ref="GV328:GV378" si="883">GH328</f>
        <v>4526590.5995461075</v>
      </c>
      <c r="GW328" s="1098">
        <f t="shared" ref="GW328:GW378" si="884">GI328</f>
        <v>0.125</v>
      </c>
      <c r="GX328" s="1095">
        <f t="shared" ref="GX328:GX378" si="885">GJ328</f>
        <v>565823.82494326343</v>
      </c>
      <c r="GY328" s="1095">
        <f t="shared" ref="GY328:GY378" si="886">GK328</f>
        <v>30000</v>
      </c>
      <c r="GZ328" s="1095">
        <f t="shared" ref="GZ328:GZ378" si="887">GL328</f>
        <v>535823.82494326343</v>
      </c>
      <c r="HA328" s="1106">
        <f t="shared" ref="HA328:HA378" si="888">$HA$5</f>
        <v>48</v>
      </c>
      <c r="HB328" s="770">
        <f t="shared" ref="HB328:HB378" si="889">GZ328/HA328</f>
        <v>11162.996352984655</v>
      </c>
      <c r="HC328" s="1098">
        <f t="shared" ref="HC328:HC378" si="890">100%-GW328</f>
        <v>0.875</v>
      </c>
      <c r="HD328" s="1102">
        <f t="shared" ref="HD328:HD378" si="891">GV328*HC328</f>
        <v>3960766.7746028439</v>
      </c>
      <c r="HE328" s="1101">
        <f t="shared" ref="HE328:HE378" si="892">-PMT(7%/12,240,HD328,0)</f>
        <v>30707.782645841882</v>
      </c>
      <c r="HF328" s="1101">
        <f t="shared" ref="HF328:HF378" si="893">-PMT(7%/12,180,HD328,0)</f>
        <v>35600.491512660185</v>
      </c>
      <c r="HG328" s="1101">
        <f t="shared" ref="HG328:HG378" si="894">-PMT(7%/12,120,HD328,0)</f>
        <v>45987.860673879099</v>
      </c>
      <c r="HH328" s="1101">
        <f t="shared" ref="HH328:HH378" si="895">-PMT(7%/12,60,HD328,0)</f>
        <v>78427.929275930772</v>
      </c>
      <c r="HI328" s="497"/>
      <c r="HJ328" s="1102">
        <f t="shared" ref="HJ328:HJ378" si="896">HB328-GN328</f>
        <v>-6121.6431613141667</v>
      </c>
      <c r="HL328" s="775"/>
      <c r="HN328" s="775"/>
      <c r="HO328" s="775"/>
      <c r="HQ328" s="702"/>
      <c r="HR328" s="1171"/>
      <c r="HS328" s="702"/>
      <c r="HT328" s="1171"/>
    </row>
    <row r="329" spans="1:228" ht="14.25" customHeight="1">
      <c r="A329" s="753">
        <f t="shared" ref="A329:A378" si="897">A328+1</f>
        <v>323</v>
      </c>
      <c r="B329" s="753"/>
      <c r="C329" s="753">
        <f t="shared" si="772"/>
        <v>13</v>
      </c>
      <c r="D329" s="753" t="s">
        <v>779</v>
      </c>
      <c r="E329" s="717" t="s">
        <v>292</v>
      </c>
      <c r="F329" s="754"/>
      <c r="G329" s="756" t="s">
        <v>792</v>
      </c>
      <c r="H329" s="756"/>
      <c r="I329" s="755" t="s">
        <v>229</v>
      </c>
      <c r="J329" s="757">
        <v>22</v>
      </c>
      <c r="K329" s="758"/>
      <c r="L329" s="759" t="s">
        <v>277</v>
      </c>
      <c r="M329" s="760" t="s">
        <v>68</v>
      </c>
      <c r="N329" s="761">
        <f t="shared" si="818"/>
        <v>106005.26567735759</v>
      </c>
      <c r="O329" s="762">
        <f t="shared" si="819"/>
        <v>2332115.8449018667</v>
      </c>
      <c r="P329" s="762">
        <f t="shared" si="820"/>
        <v>22400</v>
      </c>
      <c r="Q329" s="762">
        <f t="shared" si="795"/>
        <v>50000</v>
      </c>
      <c r="R329" s="762"/>
      <c r="S329" s="762"/>
      <c r="T329" s="762"/>
      <c r="U329" s="762"/>
      <c r="V329" s="762"/>
      <c r="W329" s="762"/>
      <c r="X329" s="762"/>
      <c r="Y329" s="762">
        <f t="shared" si="773"/>
        <v>180000</v>
      </c>
      <c r="Z329" s="762">
        <f t="shared" si="796"/>
        <v>142461</v>
      </c>
      <c r="AA329" s="762"/>
      <c r="AB329" s="762"/>
      <c r="AC329" s="762"/>
      <c r="AD329" s="763">
        <f t="shared" si="821"/>
        <v>394861</v>
      </c>
      <c r="AE329" s="763">
        <f t="shared" si="797"/>
        <v>2726976.8449018667</v>
      </c>
      <c r="AF329" s="762">
        <f t="shared" si="798"/>
        <v>68174.421122546672</v>
      </c>
      <c r="AG329" s="762">
        <f t="shared" si="822"/>
        <v>2795151.2660244135</v>
      </c>
      <c r="AH329" s="762">
        <f t="shared" si="799"/>
        <v>69878.781650610341</v>
      </c>
      <c r="AI329" s="762">
        <f t="shared" si="823"/>
        <v>2865030.0476750238</v>
      </c>
      <c r="AJ329" s="762">
        <f t="shared" si="824"/>
        <v>143251.50238375118</v>
      </c>
      <c r="AK329" s="762">
        <f t="shared" si="825"/>
        <v>3008281.5500587751</v>
      </c>
      <c r="AL329" s="762">
        <f t="shared" si="826"/>
        <v>30082.815500587752</v>
      </c>
      <c r="AM329" s="762">
        <f t="shared" si="827"/>
        <v>27537.409960060559</v>
      </c>
      <c r="AN329" s="762"/>
      <c r="AO329" s="763">
        <f t="shared" si="828"/>
        <v>3065901.7755194232</v>
      </c>
      <c r="AP329" s="763">
        <f t="shared" si="829"/>
        <v>505873.79296070483</v>
      </c>
      <c r="AQ329" s="763">
        <f t="shared" si="830"/>
        <v>3571775.568480128</v>
      </c>
      <c r="AR329" s="1178">
        <f t="shared" si="800"/>
        <v>3000000</v>
      </c>
      <c r="AS329" s="1178">
        <f t="shared" si="831"/>
        <v>25989.798567278543</v>
      </c>
      <c r="AT329" s="1178">
        <f t="shared" si="832"/>
        <v>571775.56848012796</v>
      </c>
      <c r="AU329" s="1178">
        <f t="shared" si="801"/>
        <v>68613.06821761535</v>
      </c>
      <c r="AV329" s="1178">
        <f t="shared" si="833"/>
        <v>640388.63669774332</v>
      </c>
      <c r="AW329" s="1178">
        <f t="shared" si="834"/>
        <v>3640388.6366977431</v>
      </c>
      <c r="AX329" s="762">
        <f t="shared" si="835"/>
        <v>45504.85795872179</v>
      </c>
      <c r="AY329" s="717" t="s">
        <v>231</v>
      </c>
      <c r="AZ329" s="717">
        <f t="shared" si="836"/>
        <v>3685893.494656465</v>
      </c>
      <c r="BA329" s="717">
        <f t="shared" si="837"/>
        <v>138221.00604961743</v>
      </c>
      <c r="BB329" s="717"/>
      <c r="BC329" s="717">
        <f t="shared" si="802"/>
        <v>33600</v>
      </c>
      <c r="BD329" s="717">
        <f t="shared" si="838"/>
        <v>3857714.5007060822</v>
      </c>
      <c r="BE329" s="717"/>
      <c r="BF329" s="717">
        <f t="shared" si="839"/>
        <v>3857714.5007060822</v>
      </c>
      <c r="BG329" s="1209"/>
      <c r="BH329" s="717">
        <f t="shared" si="840"/>
        <v>3857714.5007060822</v>
      </c>
      <c r="BI329" s="717"/>
      <c r="BJ329" s="717">
        <f t="shared" si="841"/>
        <v>3857714.5007060822</v>
      </c>
      <c r="BK329" s="717"/>
      <c r="BL329" s="717">
        <f t="shared" si="842"/>
        <v>3857714.5007060822</v>
      </c>
      <c r="BM329" s="717"/>
      <c r="BN329" s="717">
        <f t="shared" si="843"/>
        <v>3857714.5007060822</v>
      </c>
      <c r="BO329" s="717"/>
      <c r="BP329" s="717">
        <f t="shared" si="803"/>
        <v>3857714.5007060822</v>
      </c>
      <c r="BQ329" s="717"/>
      <c r="BR329" s="717">
        <f t="shared" si="738"/>
        <v>3857714.5007060822</v>
      </c>
      <c r="BS329" s="1234">
        <f>$BS$5/64</f>
        <v>2651.4786794501206</v>
      </c>
      <c r="BT329" s="1235">
        <f t="shared" si="844"/>
        <v>3860365.9793855324</v>
      </c>
      <c r="BU329" s="1235">
        <f>$BU$5/65</f>
        <v>211.07692307692309</v>
      </c>
      <c r="BV329" s="1235">
        <f t="shared" si="739"/>
        <v>51400</v>
      </c>
      <c r="BW329" s="717">
        <f t="shared" si="845"/>
        <v>3911977.0563086094</v>
      </c>
      <c r="BX329" s="1234">
        <f t="shared" si="743"/>
        <v>27651.078536278128</v>
      </c>
      <c r="BY329" s="717">
        <f t="shared" si="846"/>
        <v>3939628.1348448875</v>
      </c>
      <c r="BZ329" s="1194">
        <f t="shared" si="847"/>
        <v>3939628.1348448875</v>
      </c>
      <c r="CA329" s="1194">
        <f t="shared" si="848"/>
        <v>3059628.1348448875</v>
      </c>
      <c r="CB329" s="1194">
        <f>$CB$5</f>
        <v>40000</v>
      </c>
      <c r="CC329" s="1194">
        <f t="shared" si="849"/>
        <v>880000</v>
      </c>
      <c r="CD329" s="1194">
        <f t="shared" si="850"/>
        <v>105600</v>
      </c>
      <c r="CE329" s="1194">
        <f t="shared" si="851"/>
        <v>985600</v>
      </c>
      <c r="CF329" s="1200">
        <f t="shared" si="852"/>
        <v>4045228.1348448875</v>
      </c>
      <c r="CG329" s="757">
        <f t="shared" si="853"/>
        <v>4045228.1348448875</v>
      </c>
      <c r="CH329" s="758">
        <f t="shared" si="854"/>
        <v>0</v>
      </c>
      <c r="CI329" s="757">
        <f t="shared" si="804"/>
        <v>414635.88382160093</v>
      </c>
      <c r="CJ329" s="757">
        <f t="shared" si="805"/>
        <v>101130.70337112219</v>
      </c>
      <c r="CK329" s="759">
        <f t="shared" si="747"/>
        <v>4560994.7220376106</v>
      </c>
      <c r="CL329" s="764">
        <f t="shared" si="855"/>
        <v>0.125</v>
      </c>
      <c r="CM329" s="757">
        <f t="shared" si="856"/>
        <v>570124.34025470132</v>
      </c>
      <c r="CN329" s="757">
        <f t="shared" ref="CN329:CN378" si="898">CN$5</f>
        <v>30000</v>
      </c>
      <c r="CO329" s="757">
        <f t="shared" si="857"/>
        <v>540124.34025470132</v>
      </c>
      <c r="CP329" s="755">
        <f t="shared" si="858"/>
        <v>31</v>
      </c>
      <c r="CQ329" s="757">
        <f t="shared" si="732"/>
        <v>17423.365814667784</v>
      </c>
      <c r="CR329" s="764">
        <f t="shared" si="859"/>
        <v>0.875</v>
      </c>
      <c r="CS329" s="757">
        <f t="shared" si="860"/>
        <v>3990870.3817829094</v>
      </c>
      <c r="CT329" s="1101">
        <f t="shared" si="861"/>
        <v>30941.175591891813</v>
      </c>
      <c r="CU329" s="1101">
        <f t="shared" si="862"/>
        <v>35871.071244540974</v>
      </c>
      <c r="CV329" s="1101">
        <f t="shared" si="863"/>
        <v>46337.389078746317</v>
      </c>
      <c r="CW329" s="1141">
        <f t="shared" si="806"/>
        <v>79024.016778483943</v>
      </c>
      <c r="CX329" s="1152">
        <f t="shared" si="864"/>
        <v>324191.08615074668</v>
      </c>
      <c r="CY329" s="1152">
        <f t="shared" si="865"/>
        <v>128280.83356440169</v>
      </c>
      <c r="CZ329" s="1152">
        <f t="shared" si="866"/>
        <v>92655.4292171579</v>
      </c>
      <c r="DA329" s="1152">
        <f t="shared" si="867"/>
        <v>70515.047269907373</v>
      </c>
      <c r="DB329" s="1143">
        <f t="shared" si="807"/>
        <v>0.19059185616004265</v>
      </c>
      <c r="DC329" s="1143">
        <f t="shared" si="868"/>
        <v>0.32213065005364339</v>
      </c>
      <c r="DD329" s="1098" t="s">
        <v>232</v>
      </c>
      <c r="DE329" s="1144"/>
      <c r="DF329" s="705"/>
      <c r="DG329" s="765">
        <f t="shared" ref="DG329:DG378" si="899">$DG$7</f>
        <v>46082</v>
      </c>
      <c r="DH329" s="1116">
        <f t="shared" si="808"/>
        <v>28</v>
      </c>
      <c r="DI329" s="497"/>
      <c r="DJ329" s="1117">
        <f t="shared" si="869"/>
        <v>46147</v>
      </c>
      <c r="DK329" s="1116">
        <f t="shared" si="870"/>
        <v>30</v>
      </c>
      <c r="DL329" s="766" t="s">
        <v>233</v>
      </c>
      <c r="DM329" s="766" t="s">
        <v>234</v>
      </c>
      <c r="DN329" s="767">
        <f t="shared" si="809"/>
        <v>29108.57439535197</v>
      </c>
      <c r="DO329" s="767">
        <f t="shared" si="810"/>
        <v>640388.63669774332</v>
      </c>
      <c r="DP329" s="768">
        <f t="shared" si="811"/>
        <v>0.21346287889924778</v>
      </c>
      <c r="DR329" s="767">
        <f t="shared" si="812"/>
        <v>4045228.1348448875</v>
      </c>
      <c r="DS329" s="767">
        <f>SUM('[6]INTERNAL PRICELIST'!M329)</f>
        <v>0</v>
      </c>
      <c r="DT329" s="767">
        <f t="shared" si="871"/>
        <v>4045228.1348448875</v>
      </c>
      <c r="DV329" s="951">
        <f t="shared" si="813"/>
        <v>183874.00612931306</v>
      </c>
      <c r="DX329" s="781"/>
      <c r="DY329" s="782"/>
      <c r="DZ329" s="781"/>
      <c r="EA329" s="775"/>
      <c r="ED329" s="755" t="s">
        <v>792</v>
      </c>
      <c r="EE329" s="777" t="b">
        <f t="shared" si="814"/>
        <v>1</v>
      </c>
      <c r="EF329" s="777"/>
      <c r="EG329" s="777"/>
      <c r="EH329" s="1203"/>
      <c r="EP329" s="1230" t="s">
        <v>258</v>
      </c>
      <c r="EQ329" s="1145" t="s">
        <v>258</v>
      </c>
      <c r="ER329" s="823" t="b">
        <f t="shared" si="872"/>
        <v>1</v>
      </c>
      <c r="EU329" s="770">
        <v>3209496.1774007287</v>
      </c>
      <c r="EV329" s="771" t="s">
        <v>258</v>
      </c>
      <c r="EW329" s="775">
        <f t="shared" si="774"/>
        <v>-835731.95744415885</v>
      </c>
      <c r="EY329" s="775">
        <v>3175432.1472727996</v>
      </c>
      <c r="FJ329" s="994">
        <v>0.15</v>
      </c>
      <c r="FK329" s="993">
        <v>13819.818797865502</v>
      </c>
      <c r="FL329" s="993">
        <v>14193.32741402403</v>
      </c>
      <c r="FM329" s="497"/>
      <c r="FN329" s="993">
        <f t="shared" si="815"/>
        <v>4560994.7220376106</v>
      </c>
      <c r="FO329" s="994">
        <f t="shared" si="873"/>
        <v>0.15</v>
      </c>
      <c r="FP329" s="775">
        <f t="shared" si="816"/>
        <v>684149.20830564154</v>
      </c>
      <c r="FQ329" s="993">
        <f t="shared" si="817"/>
        <v>30000</v>
      </c>
      <c r="FR329" s="775">
        <f t="shared" si="874"/>
        <v>654149.20830564154</v>
      </c>
      <c r="FS329" s="497">
        <f t="shared" si="875"/>
        <v>40</v>
      </c>
      <c r="FT329" s="775">
        <f t="shared" si="876"/>
        <v>16353.730207641038</v>
      </c>
      <c r="FU329" s="497"/>
      <c r="FV329" s="993">
        <f t="shared" si="877"/>
        <v>4560994.7220376106</v>
      </c>
      <c r="FW329" s="705">
        <f t="shared" si="878"/>
        <v>456099.47220376111</v>
      </c>
      <c r="FX329" s="705">
        <f t="shared" si="879"/>
        <v>114024.86805094028</v>
      </c>
      <c r="FY329" s="705">
        <v>15000</v>
      </c>
      <c r="FZ329" s="705">
        <f t="shared" si="880"/>
        <v>441099.47220376111</v>
      </c>
      <c r="GA329" s="497">
        <f t="shared" si="881"/>
        <v>46</v>
      </c>
      <c r="GB329" s="775">
        <f t="shared" si="882"/>
        <v>9589.1189609513276</v>
      </c>
      <c r="GC329" s="497"/>
      <c r="GD329" s="497"/>
      <c r="GH329" s="1095">
        <f t="shared" si="782"/>
        <v>4560994.7220376106</v>
      </c>
      <c r="GI329" s="1098">
        <f t="shared" si="783"/>
        <v>0.125</v>
      </c>
      <c r="GJ329" s="1095">
        <f t="shared" si="784"/>
        <v>570124.34025470132</v>
      </c>
      <c r="GK329" s="1095">
        <f t="shared" si="785"/>
        <v>30000</v>
      </c>
      <c r="GL329" s="1095">
        <f t="shared" si="786"/>
        <v>540124.34025470132</v>
      </c>
      <c r="GM329" s="1095">
        <f t="shared" si="787"/>
        <v>31</v>
      </c>
      <c r="GN329" s="1095">
        <f t="shared" si="788"/>
        <v>17423.365814667784</v>
      </c>
      <c r="GO329" s="1098">
        <f t="shared" si="789"/>
        <v>0.875</v>
      </c>
      <c r="GP329" s="1095">
        <f t="shared" si="790"/>
        <v>3990870.3817829094</v>
      </c>
      <c r="GQ329" s="1095">
        <f t="shared" si="791"/>
        <v>30941.175591891813</v>
      </c>
      <c r="GR329" s="1095">
        <f t="shared" si="792"/>
        <v>35871.071244540974</v>
      </c>
      <c r="GS329" s="1095">
        <f t="shared" si="793"/>
        <v>46337.389078746317</v>
      </c>
      <c r="GT329" s="1095">
        <f t="shared" si="794"/>
        <v>79024.016778483943</v>
      </c>
      <c r="GU329" s="497"/>
      <c r="GV329" s="1095">
        <f t="shared" si="883"/>
        <v>4560994.7220376106</v>
      </c>
      <c r="GW329" s="1098">
        <f t="shared" si="884"/>
        <v>0.125</v>
      </c>
      <c r="GX329" s="1095">
        <f t="shared" si="885"/>
        <v>570124.34025470132</v>
      </c>
      <c r="GY329" s="1095">
        <f t="shared" si="886"/>
        <v>30000</v>
      </c>
      <c r="GZ329" s="1095">
        <f t="shared" si="887"/>
        <v>540124.34025470132</v>
      </c>
      <c r="HA329" s="1106">
        <f t="shared" si="888"/>
        <v>48</v>
      </c>
      <c r="HB329" s="770">
        <f t="shared" si="889"/>
        <v>11252.590421972944</v>
      </c>
      <c r="HC329" s="1098">
        <f t="shared" si="890"/>
        <v>0.875</v>
      </c>
      <c r="HD329" s="1102">
        <f t="shared" si="891"/>
        <v>3990870.3817829094</v>
      </c>
      <c r="HE329" s="1101">
        <f t="shared" si="892"/>
        <v>30941.175591891813</v>
      </c>
      <c r="HF329" s="1101">
        <f t="shared" si="893"/>
        <v>35871.071244540974</v>
      </c>
      <c r="HG329" s="1101">
        <f t="shared" si="894"/>
        <v>46337.389078746317</v>
      </c>
      <c r="HH329" s="1101">
        <f t="shared" si="895"/>
        <v>79024.016778483943</v>
      </c>
      <c r="HI329" s="497"/>
      <c r="HJ329" s="1102">
        <f t="shared" si="896"/>
        <v>-6170.7753926948408</v>
      </c>
      <c r="HL329" s="775"/>
      <c r="HN329" s="775"/>
      <c r="HO329" s="775"/>
      <c r="HQ329" s="702"/>
      <c r="HR329" s="1171"/>
      <c r="HS329" s="702"/>
      <c r="HT329" s="1171"/>
    </row>
    <row r="330" spans="1:228" ht="14.25" hidden="1" customHeight="1">
      <c r="A330" s="753">
        <f t="shared" si="897"/>
        <v>324</v>
      </c>
      <c r="B330" s="753"/>
      <c r="C330" s="753">
        <f t="shared" si="772"/>
        <v>14</v>
      </c>
      <c r="D330" s="753" t="s">
        <v>779</v>
      </c>
      <c r="E330" s="717" t="s">
        <v>292</v>
      </c>
      <c r="F330" s="754"/>
      <c r="G330" s="756" t="s">
        <v>793</v>
      </c>
      <c r="H330" s="756"/>
      <c r="I330" s="755" t="s">
        <v>229</v>
      </c>
      <c r="J330" s="757">
        <v>22</v>
      </c>
      <c r="K330" s="758"/>
      <c r="L330" s="759" t="s">
        <v>277</v>
      </c>
      <c r="M330" s="760" t="s">
        <v>278</v>
      </c>
      <c r="N330" s="761">
        <f t="shared" si="818"/>
        <v>106005.26567735759</v>
      </c>
      <c r="O330" s="762">
        <f t="shared" si="819"/>
        <v>2332115.8449018667</v>
      </c>
      <c r="P330" s="762">
        <f t="shared" si="820"/>
        <v>22400</v>
      </c>
      <c r="Q330" s="762">
        <f t="shared" si="795"/>
        <v>50000</v>
      </c>
      <c r="R330" s="762"/>
      <c r="S330" s="762"/>
      <c r="T330" s="762"/>
      <c r="U330" s="762"/>
      <c r="V330" s="762"/>
      <c r="W330" s="762">
        <f t="shared" ref="W330:W331" si="900">J330*$W$5</f>
        <v>22000</v>
      </c>
      <c r="X330" s="762"/>
      <c r="Y330" s="762">
        <f t="shared" si="773"/>
        <v>180000</v>
      </c>
      <c r="Z330" s="762">
        <f t="shared" si="796"/>
        <v>142461</v>
      </c>
      <c r="AA330" s="762"/>
      <c r="AB330" s="762"/>
      <c r="AC330" s="762"/>
      <c r="AD330" s="763">
        <f t="shared" si="821"/>
        <v>416861</v>
      </c>
      <c r="AE330" s="763">
        <f t="shared" si="797"/>
        <v>2748976.8449018667</v>
      </c>
      <c r="AF330" s="762">
        <f t="shared" si="798"/>
        <v>68724.421122546672</v>
      </c>
      <c r="AG330" s="762">
        <f t="shared" si="822"/>
        <v>2817701.2660244135</v>
      </c>
      <c r="AH330" s="762">
        <f t="shared" si="799"/>
        <v>70442.531650610341</v>
      </c>
      <c r="AI330" s="762">
        <f t="shared" si="823"/>
        <v>2888143.7976750238</v>
      </c>
      <c r="AJ330" s="762">
        <f t="shared" si="824"/>
        <v>144407.18988375118</v>
      </c>
      <c r="AK330" s="762">
        <f t="shared" si="825"/>
        <v>3032550.9875587751</v>
      </c>
      <c r="AL330" s="762">
        <f t="shared" si="826"/>
        <v>30325.509875587752</v>
      </c>
      <c r="AM330" s="762">
        <f t="shared" si="827"/>
        <v>27537.409960060559</v>
      </c>
      <c r="AN330" s="762"/>
      <c r="AO330" s="763">
        <f t="shared" si="828"/>
        <v>3090413.9073944231</v>
      </c>
      <c r="AP330" s="763">
        <f t="shared" si="829"/>
        <v>509918.29472007987</v>
      </c>
      <c r="AQ330" s="763">
        <f t="shared" si="830"/>
        <v>3600332.2021145029</v>
      </c>
      <c r="AR330" s="1178">
        <f t="shared" si="800"/>
        <v>3000000</v>
      </c>
      <c r="AS330" s="1178">
        <f t="shared" si="831"/>
        <v>27287.827368841041</v>
      </c>
      <c r="AT330" s="1178">
        <f t="shared" si="832"/>
        <v>600332.2021145029</v>
      </c>
      <c r="AU330" s="1178">
        <f t="shared" si="801"/>
        <v>72039.86425374035</v>
      </c>
      <c r="AV330" s="1178">
        <f t="shared" si="833"/>
        <v>672372.06636824319</v>
      </c>
      <c r="AW330" s="1178">
        <f t="shared" si="834"/>
        <v>3672372.0663682432</v>
      </c>
      <c r="AX330" s="762">
        <f t="shared" si="835"/>
        <v>45904.650829603044</v>
      </c>
      <c r="AY330" s="717" t="s">
        <v>231</v>
      </c>
      <c r="AZ330" s="717">
        <f t="shared" si="836"/>
        <v>3718276.7171978462</v>
      </c>
      <c r="BA330" s="717">
        <f t="shared" si="837"/>
        <v>139435.37689491923</v>
      </c>
      <c r="BB330" s="717"/>
      <c r="BC330" s="717">
        <f t="shared" si="802"/>
        <v>33600</v>
      </c>
      <c r="BD330" s="717">
        <f t="shared" si="838"/>
        <v>3891312.0940927654</v>
      </c>
      <c r="BE330" s="717"/>
      <c r="BF330" s="717">
        <f t="shared" si="839"/>
        <v>3891312.0940927654</v>
      </c>
      <c r="BG330" s="1209"/>
      <c r="BH330" s="717">
        <f t="shared" si="840"/>
        <v>3891312.0940927654</v>
      </c>
      <c r="BI330" s="717"/>
      <c r="BJ330" s="717">
        <f t="shared" si="841"/>
        <v>3891312.0940927654</v>
      </c>
      <c r="BK330" s="717"/>
      <c r="BL330" s="717">
        <f t="shared" si="842"/>
        <v>3891312.0940927654</v>
      </c>
      <c r="BM330" s="717"/>
      <c r="BN330" s="717">
        <f t="shared" si="843"/>
        <v>3891312.0940927654</v>
      </c>
      <c r="BO330" s="717"/>
      <c r="BP330" s="717">
        <f t="shared" si="803"/>
        <v>3891312.0940927654</v>
      </c>
      <c r="BQ330" s="717"/>
      <c r="BR330" s="717">
        <f t="shared" si="738"/>
        <v>3891312.0940927654</v>
      </c>
      <c r="BS330" s="717"/>
      <c r="BT330" s="717">
        <f t="shared" si="844"/>
        <v>3891312.0940927654</v>
      </c>
      <c r="BU330" s="717"/>
      <c r="BV330" s="1235">
        <f t="shared" si="739"/>
        <v>51400</v>
      </c>
      <c r="BW330" s="717">
        <f t="shared" si="845"/>
        <v>3942712.0940927654</v>
      </c>
      <c r="BX330" s="717"/>
      <c r="BY330" s="717">
        <f t="shared" si="846"/>
        <v>3942712.0940927654</v>
      </c>
      <c r="BZ330" s="1194">
        <f t="shared" si="847"/>
        <v>3942712.0940927654</v>
      </c>
      <c r="CA330" s="1194">
        <f t="shared" si="848"/>
        <v>3040712.0940927654</v>
      </c>
      <c r="CB330" s="1194">
        <v>41000</v>
      </c>
      <c r="CC330" s="1194">
        <f t="shared" si="849"/>
        <v>902000</v>
      </c>
      <c r="CD330" s="1194">
        <f t="shared" si="850"/>
        <v>108240</v>
      </c>
      <c r="CE330" s="1194">
        <f t="shared" si="851"/>
        <v>1010240</v>
      </c>
      <c r="CF330" s="1200">
        <f t="shared" si="852"/>
        <v>4050952.0940927654</v>
      </c>
      <c r="CG330" s="757">
        <f t="shared" si="853"/>
        <v>4050952.0940927654</v>
      </c>
      <c r="CH330" s="758">
        <f t="shared" si="854"/>
        <v>0</v>
      </c>
      <c r="CI330" s="757">
        <f t="shared" si="804"/>
        <v>415222.58964450844</v>
      </c>
      <c r="CJ330" s="757">
        <f t="shared" si="805"/>
        <v>101273.80235231914</v>
      </c>
      <c r="CK330" s="759">
        <f t="shared" si="747"/>
        <v>4567448.4860895937</v>
      </c>
      <c r="CL330" s="764">
        <f t="shared" si="855"/>
        <v>0.125</v>
      </c>
      <c r="CM330" s="757">
        <f t="shared" si="856"/>
        <v>570931.06076119922</v>
      </c>
      <c r="CN330" s="757">
        <f t="shared" si="898"/>
        <v>30000</v>
      </c>
      <c r="CO330" s="757">
        <f t="shared" si="857"/>
        <v>540931.06076119922</v>
      </c>
      <c r="CP330" s="755">
        <f t="shared" si="858"/>
        <v>31</v>
      </c>
      <c r="CQ330" s="757">
        <f t="shared" si="732"/>
        <v>17449.389056812877</v>
      </c>
      <c r="CR330" s="764">
        <f t="shared" si="859"/>
        <v>0.875</v>
      </c>
      <c r="CS330" s="757">
        <f t="shared" si="860"/>
        <v>3996517.4253283944</v>
      </c>
      <c r="CT330" s="1101">
        <f t="shared" si="861"/>
        <v>30984.957060393896</v>
      </c>
      <c r="CU330" s="1101">
        <f t="shared" si="862"/>
        <v>35921.828468395142</v>
      </c>
      <c r="CV330" s="1101">
        <f t="shared" si="863"/>
        <v>46402.956042561083</v>
      </c>
      <c r="CW330" s="1141">
        <f t="shared" si="806"/>
        <v>79135.835008894093</v>
      </c>
      <c r="CX330" s="1152">
        <f t="shared" si="864"/>
        <v>324649.813447155</v>
      </c>
      <c r="CY330" s="1152">
        <f t="shared" si="865"/>
        <v>128462.3497210015</v>
      </c>
      <c r="CZ330" s="1152">
        <f t="shared" si="866"/>
        <v>92786.535766221292</v>
      </c>
      <c r="DA330" s="1152">
        <f t="shared" si="867"/>
        <v>70614.825389578415</v>
      </c>
      <c r="DB330" s="1143">
        <f t="shared" si="807"/>
        <v>0.20011073403816762</v>
      </c>
      <c r="DC330" s="1143">
        <f t="shared" si="868"/>
        <v>0.33223796556162211</v>
      </c>
      <c r="DD330" s="1098" t="s">
        <v>232</v>
      </c>
      <c r="DE330" s="1144"/>
      <c r="DF330" s="705"/>
      <c r="DG330" s="765">
        <f t="shared" si="899"/>
        <v>46082</v>
      </c>
      <c r="DH330" s="1116">
        <f t="shared" si="808"/>
        <v>28</v>
      </c>
      <c r="DI330" s="497"/>
      <c r="DJ330" s="1117">
        <f t="shared" si="869"/>
        <v>46147</v>
      </c>
      <c r="DK330" s="1116">
        <f t="shared" si="870"/>
        <v>30</v>
      </c>
      <c r="DL330" s="766" t="s">
        <v>233</v>
      </c>
      <c r="DM330" s="766" t="s">
        <v>234</v>
      </c>
      <c r="DN330" s="767">
        <f t="shared" si="809"/>
        <v>30562.366653101963</v>
      </c>
      <c r="DO330" s="767">
        <f t="shared" si="810"/>
        <v>672372.06636824319</v>
      </c>
      <c r="DP330" s="768">
        <f t="shared" si="811"/>
        <v>0.22412402212274773</v>
      </c>
      <c r="DR330" s="767">
        <f t="shared" si="812"/>
        <v>4050952.0940927654</v>
      </c>
      <c r="DS330" s="767">
        <f>SUM('[6]INTERNAL PRICELIST'!M330)</f>
        <v>0</v>
      </c>
      <c r="DT330" s="767">
        <f t="shared" si="871"/>
        <v>4050952.0940927654</v>
      </c>
      <c r="DV330" s="951">
        <f t="shared" si="813"/>
        <v>184134.18609512571</v>
      </c>
      <c r="DX330" s="781"/>
      <c r="DY330" s="782"/>
      <c r="DZ330" s="781"/>
      <c r="EA330" s="775"/>
      <c r="ED330" s="755" t="s">
        <v>793</v>
      </c>
      <c r="EE330" s="777" t="b">
        <f t="shared" si="814"/>
        <v>1</v>
      </c>
      <c r="EF330" s="777"/>
      <c r="EG330" s="777"/>
      <c r="EH330" s="1203"/>
      <c r="EP330" s="1230" t="s">
        <v>236</v>
      </c>
      <c r="EQ330" s="1145" t="s">
        <v>236</v>
      </c>
      <c r="ER330" s="823" t="b">
        <f t="shared" si="872"/>
        <v>1</v>
      </c>
      <c r="EU330" s="770">
        <v>3237325.1324007288</v>
      </c>
      <c r="EV330" s="771" t="s">
        <v>258</v>
      </c>
      <c r="EW330" s="775">
        <f t="shared" si="774"/>
        <v>-813626.9616920366</v>
      </c>
      <c r="EY330" s="775">
        <v>3203014.8483802993</v>
      </c>
      <c r="FJ330" s="994">
        <v>0.15</v>
      </c>
      <c r="FK330" s="993">
        <v>13942.005324701358</v>
      </c>
      <c r="FL330" s="993">
        <v>14318.816279423017</v>
      </c>
      <c r="FM330" s="497"/>
      <c r="FN330" s="993">
        <f t="shared" si="815"/>
        <v>4567448.4860895937</v>
      </c>
      <c r="FO330" s="994">
        <f t="shared" si="873"/>
        <v>0.15</v>
      </c>
      <c r="FP330" s="775">
        <f t="shared" si="816"/>
        <v>685117.27291343908</v>
      </c>
      <c r="FQ330" s="993">
        <f t="shared" si="817"/>
        <v>30000</v>
      </c>
      <c r="FR330" s="775">
        <f t="shared" si="874"/>
        <v>655117.27291343908</v>
      </c>
      <c r="FS330" s="497">
        <f t="shared" si="875"/>
        <v>40</v>
      </c>
      <c r="FT330" s="775">
        <f t="shared" si="876"/>
        <v>16377.931822835977</v>
      </c>
      <c r="FU330" s="497"/>
      <c r="FV330" s="993">
        <f t="shared" si="877"/>
        <v>4567448.4860895937</v>
      </c>
      <c r="FW330" s="705">
        <f t="shared" si="878"/>
        <v>456744.84860895941</v>
      </c>
      <c r="FX330" s="705">
        <f t="shared" si="879"/>
        <v>114186.21215223985</v>
      </c>
      <c r="FY330" s="705">
        <v>15000</v>
      </c>
      <c r="FZ330" s="705">
        <f t="shared" si="880"/>
        <v>441744.84860895941</v>
      </c>
      <c r="GA330" s="497">
        <f t="shared" si="881"/>
        <v>46</v>
      </c>
      <c r="GB330" s="775">
        <f t="shared" si="882"/>
        <v>9603.1488828034653</v>
      </c>
      <c r="GC330" s="497"/>
      <c r="GD330" s="497"/>
      <c r="GH330" s="1095">
        <f t="shared" si="782"/>
        <v>4567448.4860895937</v>
      </c>
      <c r="GI330" s="1098">
        <f t="shared" si="783"/>
        <v>0.125</v>
      </c>
      <c r="GJ330" s="1095">
        <f t="shared" si="784"/>
        <v>570931.06076119922</v>
      </c>
      <c r="GK330" s="1095">
        <f t="shared" si="785"/>
        <v>30000</v>
      </c>
      <c r="GL330" s="1095">
        <f t="shared" si="786"/>
        <v>540931.06076119922</v>
      </c>
      <c r="GM330" s="1095">
        <f t="shared" si="787"/>
        <v>31</v>
      </c>
      <c r="GN330" s="1095">
        <f t="shared" si="788"/>
        <v>17449.389056812877</v>
      </c>
      <c r="GO330" s="1098">
        <f t="shared" si="789"/>
        <v>0.875</v>
      </c>
      <c r="GP330" s="1095">
        <f t="shared" si="790"/>
        <v>3996517.4253283944</v>
      </c>
      <c r="GQ330" s="1095">
        <f t="shared" si="791"/>
        <v>30984.957060393896</v>
      </c>
      <c r="GR330" s="1095">
        <f t="shared" si="792"/>
        <v>35921.828468395142</v>
      </c>
      <c r="GS330" s="1095">
        <f t="shared" si="793"/>
        <v>46402.956042561083</v>
      </c>
      <c r="GT330" s="1095">
        <f t="shared" si="794"/>
        <v>79135.835008894093</v>
      </c>
      <c r="GU330" s="497"/>
      <c r="GV330" s="1095">
        <f t="shared" si="883"/>
        <v>4567448.4860895937</v>
      </c>
      <c r="GW330" s="1098">
        <f t="shared" si="884"/>
        <v>0.125</v>
      </c>
      <c r="GX330" s="1095">
        <f t="shared" si="885"/>
        <v>570931.06076119922</v>
      </c>
      <c r="GY330" s="1095">
        <f t="shared" si="886"/>
        <v>30000</v>
      </c>
      <c r="GZ330" s="1095">
        <f t="shared" si="887"/>
        <v>540931.06076119922</v>
      </c>
      <c r="HA330" s="1106">
        <f t="shared" si="888"/>
        <v>48</v>
      </c>
      <c r="HB330" s="770">
        <f t="shared" si="889"/>
        <v>11269.39709919165</v>
      </c>
      <c r="HC330" s="1098">
        <f t="shared" si="890"/>
        <v>0.875</v>
      </c>
      <c r="HD330" s="1102">
        <f t="shared" si="891"/>
        <v>3996517.4253283944</v>
      </c>
      <c r="HE330" s="1101">
        <f t="shared" si="892"/>
        <v>30984.957060393896</v>
      </c>
      <c r="HF330" s="1101">
        <f t="shared" si="893"/>
        <v>35921.828468395142</v>
      </c>
      <c r="HG330" s="1101">
        <f t="shared" si="894"/>
        <v>46402.956042561083</v>
      </c>
      <c r="HH330" s="1101">
        <f t="shared" si="895"/>
        <v>79135.835008894093</v>
      </c>
      <c r="HI330" s="497"/>
      <c r="HJ330" s="1102">
        <f t="shared" si="896"/>
        <v>-6179.9919576212269</v>
      </c>
      <c r="HL330" s="775"/>
      <c r="HN330" s="775"/>
      <c r="HO330" s="775"/>
      <c r="HQ330" s="702"/>
      <c r="HR330" s="1171"/>
      <c r="HS330" s="702"/>
      <c r="HT330" s="1171"/>
    </row>
    <row r="331" spans="1:228" ht="14.25" customHeight="1">
      <c r="A331" s="753">
        <f t="shared" si="897"/>
        <v>325</v>
      </c>
      <c r="B331" s="753"/>
      <c r="C331" s="753">
        <f t="shared" si="772"/>
        <v>15</v>
      </c>
      <c r="D331" s="753" t="s">
        <v>779</v>
      </c>
      <c r="E331" s="717" t="s">
        <v>292</v>
      </c>
      <c r="F331" s="754"/>
      <c r="G331" s="756" t="s">
        <v>794</v>
      </c>
      <c r="H331" s="756"/>
      <c r="I331" s="755" t="s">
        <v>229</v>
      </c>
      <c r="J331" s="757">
        <v>22</v>
      </c>
      <c r="K331" s="758"/>
      <c r="L331" s="759" t="s">
        <v>277</v>
      </c>
      <c r="M331" s="760" t="s">
        <v>278</v>
      </c>
      <c r="N331" s="761">
        <f t="shared" si="818"/>
        <v>106005.26567735759</v>
      </c>
      <c r="O331" s="762">
        <f t="shared" si="819"/>
        <v>2332115.8449018667</v>
      </c>
      <c r="P331" s="762">
        <f t="shared" si="820"/>
        <v>22400</v>
      </c>
      <c r="Q331" s="762">
        <f t="shared" si="795"/>
        <v>50000</v>
      </c>
      <c r="R331" s="762"/>
      <c r="S331" s="762"/>
      <c r="T331" s="762"/>
      <c r="U331" s="762"/>
      <c r="V331" s="762"/>
      <c r="W331" s="762">
        <f t="shared" si="900"/>
        <v>22000</v>
      </c>
      <c r="X331" s="762"/>
      <c r="Y331" s="762">
        <f t="shared" si="773"/>
        <v>180000</v>
      </c>
      <c r="Z331" s="762">
        <f t="shared" si="796"/>
        <v>142461</v>
      </c>
      <c r="AA331" s="762"/>
      <c r="AB331" s="762"/>
      <c r="AC331" s="762"/>
      <c r="AD331" s="763">
        <f t="shared" si="821"/>
        <v>416861</v>
      </c>
      <c r="AE331" s="763">
        <f t="shared" si="797"/>
        <v>2748976.8449018667</v>
      </c>
      <c r="AF331" s="762">
        <f t="shared" si="798"/>
        <v>68724.421122546672</v>
      </c>
      <c r="AG331" s="762">
        <f t="shared" si="822"/>
        <v>2817701.2660244135</v>
      </c>
      <c r="AH331" s="762">
        <f t="shared" si="799"/>
        <v>70442.531650610341</v>
      </c>
      <c r="AI331" s="762">
        <f t="shared" si="823"/>
        <v>2888143.7976750238</v>
      </c>
      <c r="AJ331" s="762">
        <f t="shared" si="824"/>
        <v>144407.18988375118</v>
      </c>
      <c r="AK331" s="762">
        <f t="shared" si="825"/>
        <v>3032550.9875587751</v>
      </c>
      <c r="AL331" s="762">
        <f t="shared" si="826"/>
        <v>30325.509875587752</v>
      </c>
      <c r="AM331" s="762">
        <f t="shared" si="827"/>
        <v>27537.409960060559</v>
      </c>
      <c r="AN331" s="762"/>
      <c r="AO331" s="763">
        <f t="shared" si="828"/>
        <v>3090413.9073944231</v>
      </c>
      <c r="AP331" s="763">
        <f t="shared" si="829"/>
        <v>509918.29472007987</v>
      </c>
      <c r="AQ331" s="763">
        <f t="shared" si="830"/>
        <v>3600332.2021145029</v>
      </c>
      <c r="AR331" s="1178">
        <f t="shared" si="800"/>
        <v>3000000</v>
      </c>
      <c r="AS331" s="1178">
        <f t="shared" si="831"/>
        <v>27287.827368841041</v>
      </c>
      <c r="AT331" s="1178">
        <f t="shared" si="832"/>
        <v>600332.2021145029</v>
      </c>
      <c r="AU331" s="1178">
        <f t="shared" si="801"/>
        <v>72039.86425374035</v>
      </c>
      <c r="AV331" s="1178">
        <f t="shared" si="833"/>
        <v>672372.06636824319</v>
      </c>
      <c r="AW331" s="1178">
        <f t="shared" si="834"/>
        <v>3672372.0663682432</v>
      </c>
      <c r="AX331" s="762">
        <f t="shared" si="835"/>
        <v>45904.650829603044</v>
      </c>
      <c r="AY331" s="717" t="s">
        <v>231</v>
      </c>
      <c r="AZ331" s="717">
        <f t="shared" si="836"/>
        <v>3718276.7171978462</v>
      </c>
      <c r="BA331" s="717">
        <f t="shared" si="837"/>
        <v>139435.37689491923</v>
      </c>
      <c r="BB331" s="717"/>
      <c r="BC331" s="717">
        <f t="shared" si="802"/>
        <v>33600</v>
      </c>
      <c r="BD331" s="717">
        <f t="shared" si="838"/>
        <v>3891312.0940927654</v>
      </c>
      <c r="BE331" s="717"/>
      <c r="BF331" s="717">
        <f t="shared" si="839"/>
        <v>3891312.0940927654</v>
      </c>
      <c r="BG331" s="1209"/>
      <c r="BH331" s="717">
        <f t="shared" si="840"/>
        <v>3891312.0940927654</v>
      </c>
      <c r="BI331" s="717"/>
      <c r="BJ331" s="717">
        <f t="shared" si="841"/>
        <v>3891312.0940927654</v>
      </c>
      <c r="BK331" s="717"/>
      <c r="BL331" s="717">
        <f t="shared" si="842"/>
        <v>3891312.0940927654</v>
      </c>
      <c r="BM331" s="717"/>
      <c r="BN331" s="717">
        <f t="shared" si="843"/>
        <v>3891312.0940927654</v>
      </c>
      <c r="BO331" s="717">
        <f>$BO$5/51</f>
        <v>7289.0781490196077</v>
      </c>
      <c r="BP331" s="717">
        <f t="shared" si="803"/>
        <v>3898601.1722417851</v>
      </c>
      <c r="BQ331" s="717">
        <f>$BQ$5/56</f>
        <v>4468.4242000000004</v>
      </c>
      <c r="BR331" s="717">
        <f t="shared" si="738"/>
        <v>3903069.5964417849</v>
      </c>
      <c r="BS331" s="1234">
        <f>$BS$5/64</f>
        <v>2651.4786794501206</v>
      </c>
      <c r="BT331" s="1235">
        <f t="shared" si="844"/>
        <v>3905721.0751212351</v>
      </c>
      <c r="BU331" s="1235">
        <f>$BU$5/65</f>
        <v>211.07692307692309</v>
      </c>
      <c r="BV331" s="1235">
        <f t="shared" si="739"/>
        <v>51400</v>
      </c>
      <c r="BW331" s="717">
        <f t="shared" si="845"/>
        <v>3957332.1520443121</v>
      </c>
      <c r="BX331" s="1234">
        <f t="shared" si="743"/>
        <v>27651.078536278128</v>
      </c>
      <c r="BY331" s="717">
        <f t="shared" si="846"/>
        <v>3984983.2305805902</v>
      </c>
      <c r="BZ331" s="1194">
        <f t="shared" si="847"/>
        <v>3984983.2305805902</v>
      </c>
      <c r="CA331" s="1194">
        <f t="shared" si="848"/>
        <v>3104983.2305805902</v>
      </c>
      <c r="CB331" s="1194">
        <f>$CB$5</f>
        <v>40000</v>
      </c>
      <c r="CC331" s="1194">
        <f t="shared" si="849"/>
        <v>880000</v>
      </c>
      <c r="CD331" s="1194">
        <f t="shared" si="850"/>
        <v>105600</v>
      </c>
      <c r="CE331" s="1194">
        <f t="shared" si="851"/>
        <v>985600</v>
      </c>
      <c r="CF331" s="1200">
        <f t="shared" si="852"/>
        <v>4090583.2305805902</v>
      </c>
      <c r="CG331" s="757">
        <f t="shared" si="853"/>
        <v>4090583.2305805902</v>
      </c>
      <c r="CH331" s="758">
        <f t="shared" si="854"/>
        <v>0</v>
      </c>
      <c r="CI331" s="757">
        <f t="shared" si="804"/>
        <v>419284.78113451047</v>
      </c>
      <c r="CJ331" s="757">
        <f t="shared" si="805"/>
        <v>102264.58076451476</v>
      </c>
      <c r="CK331" s="759">
        <f t="shared" si="747"/>
        <v>4612132.5924796155</v>
      </c>
      <c r="CL331" s="764">
        <f t="shared" si="855"/>
        <v>0.125</v>
      </c>
      <c r="CM331" s="757">
        <f t="shared" si="856"/>
        <v>576516.57405995193</v>
      </c>
      <c r="CN331" s="757">
        <f t="shared" si="898"/>
        <v>30000</v>
      </c>
      <c r="CO331" s="757">
        <f t="shared" si="857"/>
        <v>546516.57405995193</v>
      </c>
      <c r="CP331" s="755">
        <f t="shared" si="858"/>
        <v>31</v>
      </c>
      <c r="CQ331" s="757">
        <f t="shared" ref="CQ331:CQ378" si="901">CO331/CP331</f>
        <v>17629.56690515974</v>
      </c>
      <c r="CR331" s="764">
        <f t="shared" si="859"/>
        <v>0.875</v>
      </c>
      <c r="CS331" s="757">
        <f t="shared" si="860"/>
        <v>4035616.0184196634</v>
      </c>
      <c r="CT331" s="1101">
        <f t="shared" si="861"/>
        <v>31288.088036472458</v>
      </c>
      <c r="CU331" s="1101">
        <f t="shared" si="862"/>
        <v>36273.257676605026</v>
      </c>
      <c r="CV331" s="1101">
        <f t="shared" si="863"/>
        <v>46856.923860902585</v>
      </c>
      <c r="CW331" s="1141">
        <f t="shared" si="806"/>
        <v>79910.034013342636</v>
      </c>
      <c r="CX331" s="1152">
        <f t="shared" si="864"/>
        <v>327825.91643939546</v>
      </c>
      <c r="CY331" s="1152">
        <f t="shared" si="865"/>
        <v>129719.1182033451</v>
      </c>
      <c r="CZ331" s="1152">
        <f t="shared" si="866"/>
        <v>93694.281841161501</v>
      </c>
      <c r="DA331" s="1152">
        <f t="shared" si="867"/>
        <v>71305.661943078798</v>
      </c>
      <c r="DB331" s="1143">
        <f t="shared" si="807"/>
        <v>0.20011073403816762</v>
      </c>
      <c r="DC331" s="1143">
        <f t="shared" si="868"/>
        <v>0.31742522481053981</v>
      </c>
      <c r="DD331" s="1098" t="s">
        <v>232</v>
      </c>
      <c r="DE331" s="1144"/>
      <c r="DF331" s="705"/>
      <c r="DG331" s="765">
        <f t="shared" si="899"/>
        <v>46082</v>
      </c>
      <c r="DH331" s="1116">
        <f t="shared" si="808"/>
        <v>28</v>
      </c>
      <c r="DI331" s="497"/>
      <c r="DJ331" s="1117">
        <f t="shared" si="869"/>
        <v>46147</v>
      </c>
      <c r="DK331" s="1116">
        <f t="shared" si="870"/>
        <v>30</v>
      </c>
      <c r="DL331" s="766" t="s">
        <v>233</v>
      </c>
      <c r="DM331" s="766" t="s">
        <v>234</v>
      </c>
      <c r="DN331" s="767">
        <f t="shared" si="809"/>
        <v>30562.366653101963</v>
      </c>
      <c r="DO331" s="767">
        <f t="shared" si="810"/>
        <v>672372.06636824319</v>
      </c>
      <c r="DP331" s="768">
        <f t="shared" si="811"/>
        <v>0.22412402212274773</v>
      </c>
      <c r="DR331" s="767">
        <f t="shared" si="812"/>
        <v>4090583.2305805902</v>
      </c>
      <c r="DS331" s="767">
        <f>SUM('[6]INTERNAL PRICELIST'!M331)</f>
        <v>0</v>
      </c>
      <c r="DT331" s="767">
        <f t="shared" si="871"/>
        <v>4090583.2305805902</v>
      </c>
      <c r="DV331" s="951">
        <f t="shared" si="813"/>
        <v>185935.60139002683</v>
      </c>
      <c r="DX331" s="781"/>
      <c r="DY331" s="782"/>
      <c r="DZ331" s="781"/>
      <c r="EA331" s="775"/>
      <c r="ED331" s="755" t="s">
        <v>794</v>
      </c>
      <c r="EE331" s="777" t="b">
        <f t="shared" si="814"/>
        <v>1</v>
      </c>
      <c r="EF331" s="777"/>
      <c r="EG331" s="777"/>
      <c r="EH331" s="1203"/>
      <c r="EP331" s="1230" t="s">
        <v>258</v>
      </c>
      <c r="EQ331" s="1145" t="s">
        <v>258</v>
      </c>
      <c r="ER331" s="753" t="b">
        <f t="shared" si="872"/>
        <v>1</v>
      </c>
      <c r="EU331" s="770">
        <v>3237325.1324007288</v>
      </c>
      <c r="EV331" s="771" t="s">
        <v>258</v>
      </c>
      <c r="EW331" s="775">
        <f t="shared" si="774"/>
        <v>-853258.09817986144</v>
      </c>
      <c r="EY331" s="775">
        <v>3203014.8483802993</v>
      </c>
      <c r="FJ331" s="994">
        <v>0.15</v>
      </c>
      <c r="FK331" s="993">
        <v>13942.005324701358</v>
      </c>
      <c r="FL331" s="993">
        <v>14318.816279423017</v>
      </c>
      <c r="FM331" s="497"/>
      <c r="FN331" s="993">
        <f t="shared" si="815"/>
        <v>4612132.5924796155</v>
      </c>
      <c r="FO331" s="994">
        <f t="shared" si="873"/>
        <v>0.15</v>
      </c>
      <c r="FP331" s="775">
        <f t="shared" si="816"/>
        <v>691819.8888719423</v>
      </c>
      <c r="FQ331" s="993">
        <f t="shared" si="817"/>
        <v>30000</v>
      </c>
      <c r="FR331" s="775">
        <f t="shared" si="874"/>
        <v>661819.8888719423</v>
      </c>
      <c r="FS331" s="497">
        <f t="shared" si="875"/>
        <v>40</v>
      </c>
      <c r="FT331" s="775">
        <f t="shared" si="876"/>
        <v>16545.497221798556</v>
      </c>
      <c r="FU331" s="497"/>
      <c r="FV331" s="993">
        <f t="shared" si="877"/>
        <v>4612132.5924796155</v>
      </c>
      <c r="FW331" s="705">
        <f t="shared" si="878"/>
        <v>461213.25924796157</v>
      </c>
      <c r="FX331" s="705">
        <f t="shared" si="879"/>
        <v>115303.31481199039</v>
      </c>
      <c r="FY331" s="705">
        <v>15000</v>
      </c>
      <c r="FZ331" s="705">
        <f t="shared" si="880"/>
        <v>446213.25924796157</v>
      </c>
      <c r="GA331" s="497">
        <f t="shared" si="881"/>
        <v>46</v>
      </c>
      <c r="GB331" s="775">
        <f t="shared" si="882"/>
        <v>9700.2882445209034</v>
      </c>
      <c r="GC331" s="497"/>
      <c r="GD331" s="497"/>
      <c r="GH331" s="1095">
        <f t="shared" si="782"/>
        <v>4612132.5924796155</v>
      </c>
      <c r="GI331" s="1098">
        <f t="shared" si="783"/>
        <v>0.125</v>
      </c>
      <c r="GJ331" s="1095">
        <f t="shared" si="784"/>
        <v>576516.57405995193</v>
      </c>
      <c r="GK331" s="1095">
        <f t="shared" si="785"/>
        <v>30000</v>
      </c>
      <c r="GL331" s="1095">
        <f t="shared" si="786"/>
        <v>546516.57405995193</v>
      </c>
      <c r="GM331" s="1095">
        <f t="shared" si="787"/>
        <v>31</v>
      </c>
      <c r="GN331" s="1095">
        <f t="shared" si="788"/>
        <v>17629.56690515974</v>
      </c>
      <c r="GO331" s="1098">
        <f t="shared" si="789"/>
        <v>0.875</v>
      </c>
      <c r="GP331" s="1095">
        <f t="shared" si="790"/>
        <v>4035616.0184196634</v>
      </c>
      <c r="GQ331" s="1095">
        <f t="shared" si="791"/>
        <v>31288.088036472458</v>
      </c>
      <c r="GR331" s="1095">
        <f t="shared" si="792"/>
        <v>36273.257676605026</v>
      </c>
      <c r="GS331" s="1095">
        <f t="shared" si="793"/>
        <v>46856.923860902585</v>
      </c>
      <c r="GT331" s="1095">
        <f t="shared" si="794"/>
        <v>79910.034013342636</v>
      </c>
      <c r="GU331" s="497"/>
      <c r="GV331" s="1095">
        <f t="shared" si="883"/>
        <v>4612132.5924796155</v>
      </c>
      <c r="GW331" s="1098">
        <f t="shared" si="884"/>
        <v>0.125</v>
      </c>
      <c r="GX331" s="1095">
        <f t="shared" si="885"/>
        <v>576516.57405995193</v>
      </c>
      <c r="GY331" s="1095">
        <f t="shared" si="886"/>
        <v>30000</v>
      </c>
      <c r="GZ331" s="1095">
        <f t="shared" si="887"/>
        <v>546516.57405995193</v>
      </c>
      <c r="HA331" s="1106">
        <f t="shared" si="888"/>
        <v>48</v>
      </c>
      <c r="HB331" s="770">
        <f t="shared" si="889"/>
        <v>11385.761959582333</v>
      </c>
      <c r="HC331" s="1098">
        <f t="shared" si="890"/>
        <v>0.875</v>
      </c>
      <c r="HD331" s="1102">
        <f t="shared" si="891"/>
        <v>4035616.0184196634</v>
      </c>
      <c r="HE331" s="1101">
        <f t="shared" si="892"/>
        <v>31288.088036472458</v>
      </c>
      <c r="HF331" s="1101">
        <f t="shared" si="893"/>
        <v>36273.257676605026</v>
      </c>
      <c r="HG331" s="1101">
        <f t="shared" si="894"/>
        <v>46856.923860902585</v>
      </c>
      <c r="HH331" s="1101">
        <f t="shared" si="895"/>
        <v>79910.034013342636</v>
      </c>
      <c r="HI331" s="497"/>
      <c r="HJ331" s="1102">
        <f t="shared" si="896"/>
        <v>-6243.8049455774071</v>
      </c>
      <c r="HL331" s="775"/>
      <c r="HN331" s="775"/>
      <c r="HO331" s="775"/>
      <c r="HQ331" s="702"/>
      <c r="HR331" s="1171"/>
      <c r="HS331" s="702"/>
      <c r="HT331" s="1171"/>
    </row>
    <row r="332" spans="1:228" ht="14.25" hidden="1" customHeight="1">
      <c r="A332" s="753">
        <f t="shared" si="897"/>
        <v>326</v>
      </c>
      <c r="B332" s="753"/>
      <c r="C332" s="753">
        <f t="shared" si="772"/>
        <v>16</v>
      </c>
      <c r="D332" s="753" t="s">
        <v>779</v>
      </c>
      <c r="E332" s="717" t="s">
        <v>292</v>
      </c>
      <c r="F332" s="754"/>
      <c r="G332" s="756" t="s">
        <v>795</v>
      </c>
      <c r="H332" s="756"/>
      <c r="I332" s="755" t="s">
        <v>229</v>
      </c>
      <c r="J332" s="757">
        <v>22</v>
      </c>
      <c r="K332" s="758"/>
      <c r="L332" s="759" t="s">
        <v>277</v>
      </c>
      <c r="M332" s="760" t="s">
        <v>230</v>
      </c>
      <c r="N332" s="761">
        <f t="shared" si="818"/>
        <v>106005.26567735759</v>
      </c>
      <c r="O332" s="762">
        <f t="shared" si="819"/>
        <v>2332115.8449018667</v>
      </c>
      <c r="P332" s="762">
        <f t="shared" si="820"/>
        <v>22400</v>
      </c>
      <c r="Q332" s="762">
        <f t="shared" si="795"/>
        <v>50000</v>
      </c>
      <c r="R332" s="762"/>
      <c r="S332" s="762"/>
      <c r="T332" s="762"/>
      <c r="U332" s="762"/>
      <c r="V332" s="762">
        <f>J332*$V$5</f>
        <v>55000</v>
      </c>
      <c r="W332" s="762"/>
      <c r="X332" s="762"/>
      <c r="Y332" s="762">
        <f t="shared" si="773"/>
        <v>180000</v>
      </c>
      <c r="Z332" s="762">
        <f t="shared" si="796"/>
        <v>142461</v>
      </c>
      <c r="AA332" s="762"/>
      <c r="AB332" s="762"/>
      <c r="AC332" s="762"/>
      <c r="AD332" s="763">
        <f t="shared" si="821"/>
        <v>449861</v>
      </c>
      <c r="AE332" s="763">
        <f t="shared" si="797"/>
        <v>2781976.8449018667</v>
      </c>
      <c r="AF332" s="762">
        <f t="shared" si="798"/>
        <v>69549.421122546672</v>
      </c>
      <c r="AG332" s="762">
        <f t="shared" si="822"/>
        <v>2851526.2660244135</v>
      </c>
      <c r="AH332" s="762">
        <f t="shared" si="799"/>
        <v>71288.156650610341</v>
      </c>
      <c r="AI332" s="762">
        <f t="shared" si="823"/>
        <v>2922814.4226750238</v>
      </c>
      <c r="AJ332" s="762">
        <f t="shared" si="824"/>
        <v>146140.72113375118</v>
      </c>
      <c r="AK332" s="762">
        <f t="shared" si="825"/>
        <v>3068955.1438087751</v>
      </c>
      <c r="AL332" s="762">
        <f t="shared" si="826"/>
        <v>30689.55143808775</v>
      </c>
      <c r="AM332" s="762">
        <f t="shared" si="827"/>
        <v>27537.409960060559</v>
      </c>
      <c r="AN332" s="762"/>
      <c r="AO332" s="763">
        <f t="shared" si="828"/>
        <v>3127182.1052069231</v>
      </c>
      <c r="AP332" s="763">
        <f t="shared" si="829"/>
        <v>515985.04735914234</v>
      </c>
      <c r="AQ332" s="763">
        <f t="shared" si="830"/>
        <v>3643167.1525660655</v>
      </c>
      <c r="AR332" s="1178">
        <f t="shared" si="800"/>
        <v>3000000</v>
      </c>
      <c r="AS332" s="1178">
        <f t="shared" si="831"/>
        <v>29234.870571184798</v>
      </c>
      <c r="AT332" s="1178">
        <f t="shared" si="832"/>
        <v>643167.15256606555</v>
      </c>
      <c r="AU332" s="1178">
        <f t="shared" si="801"/>
        <v>77180.058307927859</v>
      </c>
      <c r="AV332" s="1178">
        <f t="shared" si="833"/>
        <v>720347.21087399335</v>
      </c>
      <c r="AW332" s="1178">
        <f t="shared" si="834"/>
        <v>3720347.2108739936</v>
      </c>
      <c r="AX332" s="762">
        <f t="shared" si="835"/>
        <v>46504.340135924926</v>
      </c>
      <c r="AY332" s="717" t="s">
        <v>231</v>
      </c>
      <c r="AZ332" s="717">
        <f t="shared" si="836"/>
        <v>3766851.5510099186</v>
      </c>
      <c r="BA332" s="717">
        <f t="shared" si="837"/>
        <v>141256.93316287195</v>
      </c>
      <c r="BB332" s="717"/>
      <c r="BC332" s="717">
        <f t="shared" si="802"/>
        <v>33600</v>
      </c>
      <c r="BD332" s="717">
        <f t="shared" si="838"/>
        <v>3941708.4841727903</v>
      </c>
      <c r="BE332" s="717"/>
      <c r="BF332" s="717">
        <f t="shared" si="839"/>
        <v>3941708.4841727903</v>
      </c>
      <c r="BG332" s="1209"/>
      <c r="BH332" s="717">
        <f t="shared" si="840"/>
        <v>3941708.4841727903</v>
      </c>
      <c r="BI332" s="717"/>
      <c r="BJ332" s="717">
        <f t="shared" si="841"/>
        <v>3941708.4841727903</v>
      </c>
      <c r="BK332" s="717"/>
      <c r="BL332" s="717">
        <f t="shared" si="842"/>
        <v>3941708.4841727903</v>
      </c>
      <c r="BM332" s="717"/>
      <c r="BN332" s="717">
        <f t="shared" si="843"/>
        <v>3941708.4841727903</v>
      </c>
      <c r="BO332" s="717"/>
      <c r="BP332" s="717">
        <f t="shared" si="803"/>
        <v>3941708.4841727903</v>
      </c>
      <c r="BQ332" s="717"/>
      <c r="BR332" s="717">
        <f t="shared" si="738"/>
        <v>3941708.4841727903</v>
      </c>
      <c r="BS332" s="717"/>
      <c r="BT332" s="717">
        <f t="shared" si="844"/>
        <v>3941708.4841727903</v>
      </c>
      <c r="BU332" s="717"/>
      <c r="BV332" s="1235">
        <f t="shared" si="739"/>
        <v>51400</v>
      </c>
      <c r="BW332" s="717">
        <f t="shared" si="845"/>
        <v>3993108.4841727903</v>
      </c>
      <c r="BX332" s="717"/>
      <c r="BY332" s="717">
        <f t="shared" si="846"/>
        <v>3993108.4841727903</v>
      </c>
      <c r="BZ332" s="1194">
        <f t="shared" si="847"/>
        <v>3993108.4841727903</v>
      </c>
      <c r="CA332" s="1194">
        <f t="shared" si="848"/>
        <v>3036108.4841727903</v>
      </c>
      <c r="CB332" s="1194">
        <v>43500</v>
      </c>
      <c r="CC332" s="1194">
        <f t="shared" si="849"/>
        <v>957000</v>
      </c>
      <c r="CD332" s="1194">
        <f t="shared" si="850"/>
        <v>114840</v>
      </c>
      <c r="CE332" s="1194">
        <f t="shared" si="851"/>
        <v>1071840</v>
      </c>
      <c r="CF332" s="1200">
        <f t="shared" si="852"/>
        <v>4107948.4841727903</v>
      </c>
      <c r="CG332" s="757">
        <f t="shared" si="853"/>
        <v>4107948.4841727903</v>
      </c>
      <c r="CH332" s="758">
        <f t="shared" si="854"/>
        <v>0</v>
      </c>
      <c r="CI332" s="757">
        <f t="shared" si="804"/>
        <v>421064.71962771099</v>
      </c>
      <c r="CJ332" s="757">
        <f t="shared" si="805"/>
        <v>102698.71210431977</v>
      </c>
      <c r="CK332" s="759">
        <f t="shared" si="747"/>
        <v>4631711.9159048209</v>
      </c>
      <c r="CL332" s="764">
        <f t="shared" si="855"/>
        <v>0.125</v>
      </c>
      <c r="CM332" s="757">
        <f t="shared" si="856"/>
        <v>578963.98948810261</v>
      </c>
      <c r="CN332" s="757">
        <f t="shared" si="898"/>
        <v>30000</v>
      </c>
      <c r="CO332" s="757">
        <f t="shared" si="857"/>
        <v>548963.98948810261</v>
      </c>
      <c r="CP332" s="755">
        <f t="shared" si="858"/>
        <v>31</v>
      </c>
      <c r="CQ332" s="757">
        <f t="shared" si="901"/>
        <v>17708.515789938792</v>
      </c>
      <c r="CR332" s="764">
        <f t="shared" si="859"/>
        <v>0.875</v>
      </c>
      <c r="CS332" s="757">
        <f t="shared" si="860"/>
        <v>4052747.9264167184</v>
      </c>
      <c r="CT332" s="1101">
        <f t="shared" si="861"/>
        <v>31420.911536824828</v>
      </c>
      <c r="CU332" s="1101">
        <f t="shared" si="862"/>
        <v>36427.244109018982</v>
      </c>
      <c r="CV332" s="1101">
        <f t="shared" si="863"/>
        <v>47055.839839267734</v>
      </c>
      <c r="CW332" s="1141">
        <f t="shared" si="806"/>
        <v>80249.266324967335</v>
      </c>
      <c r="CX332" s="1152">
        <f t="shared" si="864"/>
        <v>329217.59578001057</v>
      </c>
      <c r="CY332" s="1152">
        <f t="shared" si="865"/>
        <v>130269.79893916722</v>
      </c>
      <c r="CZ332" s="1152">
        <f t="shared" si="866"/>
        <v>94092.030737247376</v>
      </c>
      <c r="DA332" s="1152">
        <f t="shared" si="867"/>
        <v>71608.36716441359</v>
      </c>
      <c r="DB332" s="1143">
        <f t="shared" si="807"/>
        <v>0.21438905085535517</v>
      </c>
      <c r="DC332" s="1143">
        <f t="shared" si="868"/>
        <v>0.35303086355032881</v>
      </c>
      <c r="DD332" s="1098" t="s">
        <v>232</v>
      </c>
      <c r="DE332" s="1144"/>
      <c r="DF332" s="705"/>
      <c r="DG332" s="765">
        <f t="shared" si="899"/>
        <v>46082</v>
      </c>
      <c r="DH332" s="1116">
        <f t="shared" si="808"/>
        <v>28</v>
      </c>
      <c r="DI332" s="497"/>
      <c r="DJ332" s="1117">
        <f t="shared" si="869"/>
        <v>46147</v>
      </c>
      <c r="DK332" s="1116">
        <f t="shared" si="870"/>
        <v>30</v>
      </c>
      <c r="DL332" s="766" t="s">
        <v>233</v>
      </c>
      <c r="DM332" s="766" t="s">
        <v>234</v>
      </c>
      <c r="DN332" s="767">
        <f t="shared" si="809"/>
        <v>32743.055039726969</v>
      </c>
      <c r="DO332" s="767">
        <f t="shared" si="810"/>
        <v>720347.21087399335</v>
      </c>
      <c r="DP332" s="768">
        <f t="shared" si="811"/>
        <v>0.24011573695799779</v>
      </c>
      <c r="DR332" s="767">
        <f t="shared" si="812"/>
        <v>4107948.4841727903</v>
      </c>
      <c r="DS332" s="767">
        <f>SUM('[6]INTERNAL PRICELIST'!M332)</f>
        <v>0</v>
      </c>
      <c r="DT332" s="767">
        <f t="shared" si="871"/>
        <v>4107948.4841727903</v>
      </c>
      <c r="DV332" s="951">
        <f t="shared" si="813"/>
        <v>186724.93109876319</v>
      </c>
      <c r="DX332" s="781"/>
      <c r="DY332" s="782"/>
      <c r="DZ332" s="781"/>
      <c r="EA332" s="775"/>
      <c r="ED332" s="1133" t="s">
        <v>795</v>
      </c>
      <c r="EE332" s="777" t="b">
        <f t="shared" si="814"/>
        <v>1</v>
      </c>
      <c r="EF332" s="777"/>
      <c r="EG332" s="777"/>
      <c r="EH332" s="1203"/>
      <c r="EP332" s="1230" t="s">
        <v>236</v>
      </c>
      <c r="EQ332" s="1145" t="s">
        <v>236</v>
      </c>
      <c r="ER332" s="753" t="b">
        <f t="shared" si="872"/>
        <v>1</v>
      </c>
      <c r="EU332" s="770">
        <v>3336715.2478750586</v>
      </c>
      <c r="EV332" s="771" t="s">
        <v>258</v>
      </c>
      <c r="EW332" s="775">
        <f t="shared" si="774"/>
        <v>-771233.23629773175</v>
      </c>
      <c r="EY332" s="775">
        <v>3301525.4769025831</v>
      </c>
      <c r="FJ332" s="994">
        <v>0.15</v>
      </c>
      <c r="FK332" s="993">
        <v>14378.390126488668</v>
      </c>
      <c r="FL332" s="993">
        <v>14766.995265042415</v>
      </c>
      <c r="FM332" s="497"/>
      <c r="FN332" s="993">
        <f t="shared" si="815"/>
        <v>4631711.9159048209</v>
      </c>
      <c r="FO332" s="994">
        <f t="shared" si="873"/>
        <v>0.15</v>
      </c>
      <c r="FP332" s="775">
        <f t="shared" si="816"/>
        <v>694756.78738572309</v>
      </c>
      <c r="FQ332" s="993">
        <f t="shared" si="817"/>
        <v>30000</v>
      </c>
      <c r="FR332" s="775">
        <f t="shared" si="874"/>
        <v>664756.78738572309</v>
      </c>
      <c r="FS332" s="497">
        <f t="shared" si="875"/>
        <v>40</v>
      </c>
      <c r="FT332" s="775">
        <f t="shared" si="876"/>
        <v>16618.919684643079</v>
      </c>
      <c r="FU332" s="497"/>
      <c r="FV332" s="993">
        <f t="shared" si="877"/>
        <v>4631711.9159048209</v>
      </c>
      <c r="FW332" s="705">
        <f t="shared" si="878"/>
        <v>463171.19159048214</v>
      </c>
      <c r="FX332" s="705">
        <f t="shared" si="879"/>
        <v>115792.79789762053</v>
      </c>
      <c r="FY332" s="705">
        <v>15000</v>
      </c>
      <c r="FZ332" s="705">
        <f t="shared" si="880"/>
        <v>448171.19159048214</v>
      </c>
      <c r="GA332" s="497">
        <f t="shared" si="881"/>
        <v>46</v>
      </c>
      <c r="GB332" s="775">
        <f t="shared" si="882"/>
        <v>9742.8519910974373</v>
      </c>
      <c r="GC332" s="497"/>
      <c r="GD332" s="497"/>
      <c r="GH332" s="1095">
        <f t="shared" si="782"/>
        <v>4631711.9159048209</v>
      </c>
      <c r="GI332" s="1098">
        <f t="shared" si="783"/>
        <v>0.125</v>
      </c>
      <c r="GJ332" s="1095">
        <f t="shared" si="784"/>
        <v>578963.98948810261</v>
      </c>
      <c r="GK332" s="1095">
        <f t="shared" si="785"/>
        <v>30000</v>
      </c>
      <c r="GL332" s="1095">
        <f t="shared" si="786"/>
        <v>548963.98948810261</v>
      </c>
      <c r="GM332" s="1095">
        <f t="shared" si="787"/>
        <v>31</v>
      </c>
      <c r="GN332" s="1095">
        <f t="shared" si="788"/>
        <v>17708.515789938792</v>
      </c>
      <c r="GO332" s="1098">
        <f t="shared" si="789"/>
        <v>0.875</v>
      </c>
      <c r="GP332" s="1095">
        <f t="shared" si="790"/>
        <v>4052747.9264167184</v>
      </c>
      <c r="GQ332" s="1095">
        <f t="shared" si="791"/>
        <v>31420.911536824828</v>
      </c>
      <c r="GR332" s="1095">
        <f t="shared" si="792"/>
        <v>36427.244109018982</v>
      </c>
      <c r="GS332" s="1095">
        <f t="shared" si="793"/>
        <v>47055.839839267734</v>
      </c>
      <c r="GT332" s="1095">
        <f t="shared" si="794"/>
        <v>80249.266324967335</v>
      </c>
      <c r="GU332" s="497"/>
      <c r="GV332" s="1095">
        <f t="shared" si="883"/>
        <v>4631711.9159048209</v>
      </c>
      <c r="GW332" s="1098">
        <f t="shared" si="884"/>
        <v>0.125</v>
      </c>
      <c r="GX332" s="1095">
        <f t="shared" si="885"/>
        <v>578963.98948810261</v>
      </c>
      <c r="GY332" s="1095">
        <f t="shared" si="886"/>
        <v>30000</v>
      </c>
      <c r="GZ332" s="1095">
        <f t="shared" si="887"/>
        <v>548963.98948810261</v>
      </c>
      <c r="HA332" s="1106">
        <f t="shared" si="888"/>
        <v>48</v>
      </c>
      <c r="HB332" s="770">
        <f t="shared" si="889"/>
        <v>11436.749781002138</v>
      </c>
      <c r="HC332" s="1098">
        <f t="shared" si="890"/>
        <v>0.875</v>
      </c>
      <c r="HD332" s="1102">
        <f t="shared" si="891"/>
        <v>4052747.9264167184</v>
      </c>
      <c r="HE332" s="1101">
        <f t="shared" si="892"/>
        <v>31420.911536824828</v>
      </c>
      <c r="HF332" s="1101">
        <f t="shared" si="893"/>
        <v>36427.244109018982</v>
      </c>
      <c r="HG332" s="1101">
        <f t="shared" si="894"/>
        <v>47055.839839267734</v>
      </c>
      <c r="HH332" s="1101">
        <f t="shared" si="895"/>
        <v>80249.266324967335</v>
      </c>
      <c r="HI332" s="497"/>
      <c r="HJ332" s="1102">
        <f t="shared" si="896"/>
        <v>-6271.7660089366545</v>
      </c>
      <c r="HL332" s="775"/>
      <c r="HN332" s="775"/>
      <c r="HO332" s="775"/>
      <c r="HQ332" s="702"/>
      <c r="HR332" s="1171"/>
      <c r="HS332" s="702"/>
      <c r="HT332" s="1171"/>
    </row>
    <row r="333" spans="1:228" ht="14.25" hidden="1" customHeight="1">
      <c r="A333" s="753">
        <f t="shared" si="897"/>
        <v>327</v>
      </c>
      <c r="B333" s="753"/>
      <c r="C333" s="753">
        <f t="shared" si="772"/>
        <v>17</v>
      </c>
      <c r="D333" s="753" t="s">
        <v>779</v>
      </c>
      <c r="E333" s="717" t="s">
        <v>292</v>
      </c>
      <c r="F333" s="754"/>
      <c r="G333" s="756" t="s">
        <v>796</v>
      </c>
      <c r="H333" s="756"/>
      <c r="I333" s="755" t="s">
        <v>229</v>
      </c>
      <c r="J333" s="757">
        <v>22</v>
      </c>
      <c r="K333" s="758"/>
      <c r="L333" s="759" t="s">
        <v>69</v>
      </c>
      <c r="M333" s="760" t="s">
        <v>68</v>
      </c>
      <c r="N333" s="761">
        <f t="shared" si="818"/>
        <v>106005.26567735759</v>
      </c>
      <c r="O333" s="762">
        <f t="shared" si="819"/>
        <v>2332115.8449018667</v>
      </c>
      <c r="P333" s="762">
        <f t="shared" si="820"/>
        <v>22400</v>
      </c>
      <c r="Q333" s="762">
        <f t="shared" si="795"/>
        <v>50000</v>
      </c>
      <c r="R333" s="762"/>
      <c r="S333" s="762"/>
      <c r="T333" s="762"/>
      <c r="U333" s="762"/>
      <c r="V333" s="762"/>
      <c r="W333" s="762"/>
      <c r="X333" s="762"/>
      <c r="Y333" s="762">
        <f t="shared" si="773"/>
        <v>180000</v>
      </c>
      <c r="Z333" s="762">
        <f t="shared" si="796"/>
        <v>142461</v>
      </c>
      <c r="AA333" s="762"/>
      <c r="AB333" s="762"/>
      <c r="AC333" s="762"/>
      <c r="AD333" s="763">
        <f t="shared" si="821"/>
        <v>394861</v>
      </c>
      <c r="AE333" s="763">
        <f t="shared" si="797"/>
        <v>2726976.8449018667</v>
      </c>
      <c r="AF333" s="762">
        <f t="shared" si="798"/>
        <v>68174.421122546672</v>
      </c>
      <c r="AG333" s="762">
        <f t="shared" si="822"/>
        <v>2795151.2660244135</v>
      </c>
      <c r="AH333" s="762">
        <f t="shared" si="799"/>
        <v>69878.781650610341</v>
      </c>
      <c r="AI333" s="762">
        <f t="shared" si="823"/>
        <v>2865030.0476750238</v>
      </c>
      <c r="AJ333" s="762">
        <f t="shared" si="824"/>
        <v>143251.50238375118</v>
      </c>
      <c r="AK333" s="762">
        <f t="shared" si="825"/>
        <v>3008281.5500587751</v>
      </c>
      <c r="AL333" s="762">
        <f t="shared" si="826"/>
        <v>30082.815500587752</v>
      </c>
      <c r="AM333" s="762">
        <f t="shared" si="827"/>
        <v>27537.409960060559</v>
      </c>
      <c r="AN333" s="762"/>
      <c r="AO333" s="763">
        <f t="shared" si="828"/>
        <v>3065901.7755194232</v>
      </c>
      <c r="AP333" s="763">
        <f t="shared" si="829"/>
        <v>505873.79296070483</v>
      </c>
      <c r="AQ333" s="763">
        <f t="shared" si="830"/>
        <v>3571775.568480128</v>
      </c>
      <c r="AR333" s="1178">
        <f t="shared" si="800"/>
        <v>3000000</v>
      </c>
      <c r="AS333" s="1178">
        <f t="shared" si="831"/>
        <v>25989.798567278543</v>
      </c>
      <c r="AT333" s="1178">
        <f t="shared" si="832"/>
        <v>571775.56848012796</v>
      </c>
      <c r="AU333" s="1178">
        <f t="shared" si="801"/>
        <v>68613.06821761535</v>
      </c>
      <c r="AV333" s="1178">
        <f t="shared" si="833"/>
        <v>640388.63669774332</v>
      </c>
      <c r="AW333" s="1178">
        <f t="shared" si="834"/>
        <v>3640388.6366977431</v>
      </c>
      <c r="AX333" s="762">
        <f t="shared" si="835"/>
        <v>45504.85795872179</v>
      </c>
      <c r="AY333" s="717" t="s">
        <v>231</v>
      </c>
      <c r="AZ333" s="717">
        <f t="shared" si="836"/>
        <v>3685893.494656465</v>
      </c>
      <c r="BA333" s="717">
        <f t="shared" si="837"/>
        <v>138221.00604961743</v>
      </c>
      <c r="BB333" s="717"/>
      <c r="BC333" s="717">
        <f t="shared" si="802"/>
        <v>33600</v>
      </c>
      <c r="BD333" s="717">
        <f t="shared" si="838"/>
        <v>3857714.5007060822</v>
      </c>
      <c r="BE333" s="717"/>
      <c r="BF333" s="717">
        <f t="shared" si="839"/>
        <v>3857714.5007060822</v>
      </c>
      <c r="BG333" s="1209"/>
      <c r="BH333" s="717">
        <f t="shared" si="840"/>
        <v>3857714.5007060822</v>
      </c>
      <c r="BI333" s="717"/>
      <c r="BJ333" s="717">
        <f t="shared" si="841"/>
        <v>3857714.5007060822</v>
      </c>
      <c r="BK333" s="717"/>
      <c r="BL333" s="717">
        <f t="shared" si="842"/>
        <v>3857714.5007060822</v>
      </c>
      <c r="BM333" s="717"/>
      <c r="BN333" s="717">
        <f t="shared" si="843"/>
        <v>3857714.5007060822</v>
      </c>
      <c r="BO333" s="717"/>
      <c r="BP333" s="717">
        <f t="shared" si="803"/>
        <v>3857714.5007060822</v>
      </c>
      <c r="BQ333" s="717"/>
      <c r="BR333" s="717">
        <f t="shared" si="738"/>
        <v>3857714.5007060822</v>
      </c>
      <c r="BS333" s="717"/>
      <c r="BT333" s="717">
        <f t="shared" si="844"/>
        <v>3857714.5007060822</v>
      </c>
      <c r="BU333" s="717"/>
      <c r="BV333" s="1235">
        <f t="shared" si="739"/>
        <v>51400</v>
      </c>
      <c r="BW333" s="717">
        <f t="shared" si="845"/>
        <v>3909114.5007060822</v>
      </c>
      <c r="BX333" s="717"/>
      <c r="BY333" s="717">
        <f t="shared" si="846"/>
        <v>3909114.5007060822</v>
      </c>
      <c r="BZ333" s="1194">
        <f t="shared" si="847"/>
        <v>3909114.5007060822</v>
      </c>
      <c r="CA333" s="1194">
        <f t="shared" si="848"/>
        <v>3029114.5007060822</v>
      </c>
      <c r="CB333" s="1194">
        <v>40000</v>
      </c>
      <c r="CC333" s="1194">
        <f t="shared" si="849"/>
        <v>880000</v>
      </c>
      <c r="CD333" s="1194">
        <f t="shared" si="850"/>
        <v>105600</v>
      </c>
      <c r="CE333" s="1194">
        <f t="shared" si="851"/>
        <v>985600</v>
      </c>
      <c r="CF333" s="1200">
        <f t="shared" si="852"/>
        <v>4014714.5007060822</v>
      </c>
      <c r="CG333" s="757">
        <f t="shared" si="853"/>
        <v>4014714.5007060822</v>
      </c>
      <c r="CH333" s="758">
        <f t="shared" si="854"/>
        <v>0</v>
      </c>
      <c r="CI333" s="757">
        <f t="shared" si="804"/>
        <v>411508.23632237338</v>
      </c>
      <c r="CJ333" s="757">
        <f t="shared" si="805"/>
        <v>100367.86251765206</v>
      </c>
      <c r="CK333" s="759">
        <f t="shared" si="747"/>
        <v>4526590.5995461075</v>
      </c>
      <c r="CL333" s="764">
        <f t="shared" si="855"/>
        <v>0.125</v>
      </c>
      <c r="CM333" s="757">
        <f t="shared" si="856"/>
        <v>565823.82494326343</v>
      </c>
      <c r="CN333" s="757">
        <f t="shared" si="898"/>
        <v>30000</v>
      </c>
      <c r="CO333" s="757">
        <f t="shared" si="857"/>
        <v>535823.82494326343</v>
      </c>
      <c r="CP333" s="755">
        <f t="shared" si="858"/>
        <v>31</v>
      </c>
      <c r="CQ333" s="757">
        <f t="shared" si="901"/>
        <v>17284.639514298822</v>
      </c>
      <c r="CR333" s="764">
        <f t="shared" si="859"/>
        <v>0.875</v>
      </c>
      <c r="CS333" s="757">
        <f t="shared" si="860"/>
        <v>3960766.7746028439</v>
      </c>
      <c r="CT333" s="1101">
        <f t="shared" si="861"/>
        <v>30707.782645841882</v>
      </c>
      <c r="CU333" s="1101">
        <f t="shared" si="862"/>
        <v>35600.491512660185</v>
      </c>
      <c r="CV333" s="1101">
        <f t="shared" si="863"/>
        <v>45987.860673879099</v>
      </c>
      <c r="CW333" s="1141">
        <f t="shared" si="806"/>
        <v>78427.929275930772</v>
      </c>
      <c r="CX333" s="1152">
        <f t="shared" si="864"/>
        <v>321745.67445476446</v>
      </c>
      <c r="CY333" s="1152">
        <f t="shared" si="865"/>
        <v>127313.19606858582</v>
      </c>
      <c r="CZ333" s="1152">
        <f t="shared" si="866"/>
        <v>91956.518358768255</v>
      </c>
      <c r="DA333" s="1152">
        <f t="shared" si="867"/>
        <v>69983.143930478778</v>
      </c>
      <c r="DB333" s="1143">
        <f t="shared" si="807"/>
        <v>0.19059185616004265</v>
      </c>
      <c r="DC333" s="1143">
        <f t="shared" si="868"/>
        <v>0.32537561712185459</v>
      </c>
      <c r="DD333" s="1098" t="s">
        <v>232</v>
      </c>
      <c r="DE333" s="1144"/>
      <c r="DF333" s="705"/>
      <c r="DG333" s="765">
        <f t="shared" si="899"/>
        <v>46082</v>
      </c>
      <c r="DH333" s="1116">
        <f t="shared" si="808"/>
        <v>28</v>
      </c>
      <c r="DI333" s="497"/>
      <c r="DJ333" s="1117">
        <f t="shared" si="869"/>
        <v>46147</v>
      </c>
      <c r="DK333" s="1116">
        <f t="shared" si="870"/>
        <v>30</v>
      </c>
      <c r="DL333" s="766" t="s">
        <v>233</v>
      </c>
      <c r="DM333" s="766" t="s">
        <v>234</v>
      </c>
      <c r="DN333" s="767">
        <f t="shared" si="809"/>
        <v>29108.57439535197</v>
      </c>
      <c r="DO333" s="767">
        <f t="shared" si="810"/>
        <v>640388.63669774332</v>
      </c>
      <c r="DP333" s="768">
        <f t="shared" si="811"/>
        <v>0.21346287889924778</v>
      </c>
      <c r="DR333" s="767">
        <f t="shared" si="812"/>
        <v>4014714.5007060822</v>
      </c>
      <c r="DS333" s="767">
        <f>SUM('[6]INTERNAL PRICELIST'!M333)</f>
        <v>0</v>
      </c>
      <c r="DT333" s="767">
        <f t="shared" si="871"/>
        <v>4014714.5007060822</v>
      </c>
      <c r="DV333" s="951">
        <f t="shared" si="813"/>
        <v>182487.02275936736</v>
      </c>
      <c r="DX333" s="781"/>
      <c r="DY333" s="782"/>
      <c r="DZ333" s="781"/>
      <c r="EA333" s="775"/>
      <c r="ED333" s="755" t="s">
        <v>796</v>
      </c>
      <c r="EE333" s="777" t="b">
        <f t="shared" si="814"/>
        <v>1</v>
      </c>
      <c r="EF333" s="777"/>
      <c r="EG333" s="777"/>
      <c r="EH333" s="1203"/>
      <c r="EP333" s="1230" t="s">
        <v>236</v>
      </c>
      <c r="EQ333" s="1145" t="s">
        <v>236</v>
      </c>
      <c r="ER333" s="753" t="b">
        <f t="shared" si="872"/>
        <v>1</v>
      </c>
      <c r="EU333" s="770">
        <v>3209496.1774007287</v>
      </c>
      <c r="EV333" s="771" t="s">
        <v>258</v>
      </c>
      <c r="EW333" s="775">
        <f t="shared" si="774"/>
        <v>-805218.32330535352</v>
      </c>
      <c r="EY333" s="775">
        <v>3175432.1472727996</v>
      </c>
      <c r="FJ333" s="994">
        <v>0.15</v>
      </c>
      <c r="FK333" s="993">
        <v>13819.818797865502</v>
      </c>
      <c r="FL333" s="993">
        <v>14193.32741402403</v>
      </c>
      <c r="FM333" s="497"/>
      <c r="FN333" s="993">
        <f t="shared" si="815"/>
        <v>4526590.5995461075</v>
      </c>
      <c r="FO333" s="994">
        <f t="shared" ref="FO333:FO372" si="902">$FO$5</f>
        <v>0.15</v>
      </c>
      <c r="FP333" s="775">
        <f t="shared" si="816"/>
        <v>678988.5899319161</v>
      </c>
      <c r="FQ333" s="993">
        <f t="shared" si="817"/>
        <v>30000</v>
      </c>
      <c r="FR333" s="775">
        <f t="shared" si="874"/>
        <v>648988.5899319161</v>
      </c>
      <c r="FS333" s="497">
        <f t="shared" si="875"/>
        <v>40</v>
      </c>
      <c r="FT333" s="775">
        <f t="shared" si="876"/>
        <v>16224.714748297902</v>
      </c>
      <c r="FU333" s="497"/>
      <c r="FV333" s="993">
        <f t="shared" si="877"/>
        <v>4526590.5995461075</v>
      </c>
      <c r="FW333" s="705">
        <f t="shared" si="878"/>
        <v>452659.05995461077</v>
      </c>
      <c r="FX333" s="705">
        <f t="shared" si="879"/>
        <v>113164.76498865269</v>
      </c>
      <c r="FY333" s="705">
        <v>15000</v>
      </c>
      <c r="FZ333" s="705">
        <f t="shared" si="880"/>
        <v>437659.05995461077</v>
      </c>
      <c r="GA333" s="497">
        <f t="shared" si="881"/>
        <v>46</v>
      </c>
      <c r="GB333" s="775">
        <f t="shared" si="882"/>
        <v>9514.327390317625</v>
      </c>
      <c r="GC333" s="497"/>
      <c r="GD333" s="497"/>
      <c r="GH333" s="1095">
        <f t="shared" si="782"/>
        <v>4526590.5995461075</v>
      </c>
      <c r="GI333" s="1098">
        <f t="shared" si="783"/>
        <v>0.125</v>
      </c>
      <c r="GJ333" s="1095">
        <f t="shared" si="784"/>
        <v>565823.82494326343</v>
      </c>
      <c r="GK333" s="1095">
        <f t="shared" si="785"/>
        <v>30000</v>
      </c>
      <c r="GL333" s="1095">
        <f t="shared" si="786"/>
        <v>535823.82494326343</v>
      </c>
      <c r="GM333" s="1095">
        <f t="shared" si="787"/>
        <v>31</v>
      </c>
      <c r="GN333" s="1095">
        <f t="shared" si="788"/>
        <v>17284.639514298822</v>
      </c>
      <c r="GO333" s="1098">
        <f t="shared" si="789"/>
        <v>0.875</v>
      </c>
      <c r="GP333" s="1095">
        <f t="shared" si="790"/>
        <v>3960766.7746028439</v>
      </c>
      <c r="GQ333" s="1095">
        <f t="shared" si="791"/>
        <v>30707.782645841882</v>
      </c>
      <c r="GR333" s="1095">
        <f t="shared" si="792"/>
        <v>35600.491512660185</v>
      </c>
      <c r="GS333" s="1095">
        <f t="shared" si="793"/>
        <v>45987.860673879099</v>
      </c>
      <c r="GT333" s="1095">
        <f t="shared" si="794"/>
        <v>78427.929275930772</v>
      </c>
      <c r="GU333" s="497"/>
      <c r="GV333" s="1095">
        <f t="shared" si="883"/>
        <v>4526590.5995461075</v>
      </c>
      <c r="GW333" s="1098">
        <f t="shared" si="884"/>
        <v>0.125</v>
      </c>
      <c r="GX333" s="1095">
        <f t="shared" si="885"/>
        <v>565823.82494326343</v>
      </c>
      <c r="GY333" s="1095">
        <f t="shared" si="886"/>
        <v>30000</v>
      </c>
      <c r="GZ333" s="1095">
        <f t="shared" si="887"/>
        <v>535823.82494326343</v>
      </c>
      <c r="HA333" s="1106">
        <f t="shared" si="888"/>
        <v>48</v>
      </c>
      <c r="HB333" s="770">
        <f t="shared" si="889"/>
        <v>11162.996352984655</v>
      </c>
      <c r="HC333" s="1098">
        <f t="shared" si="890"/>
        <v>0.875</v>
      </c>
      <c r="HD333" s="1102">
        <f t="shared" si="891"/>
        <v>3960766.7746028439</v>
      </c>
      <c r="HE333" s="1101">
        <f t="shared" si="892"/>
        <v>30707.782645841882</v>
      </c>
      <c r="HF333" s="1101">
        <f t="shared" si="893"/>
        <v>35600.491512660185</v>
      </c>
      <c r="HG333" s="1101">
        <f t="shared" si="894"/>
        <v>45987.860673879099</v>
      </c>
      <c r="HH333" s="1101">
        <f t="shared" si="895"/>
        <v>78427.929275930772</v>
      </c>
      <c r="HI333" s="497"/>
      <c r="HJ333" s="1102">
        <f t="shared" si="896"/>
        <v>-6121.6431613141667</v>
      </c>
      <c r="HL333" s="775"/>
      <c r="HN333" s="775"/>
      <c r="HO333" s="775"/>
      <c r="HQ333" s="702"/>
      <c r="HR333" s="1171"/>
      <c r="HS333" s="702"/>
      <c r="HT333" s="1171"/>
    </row>
    <row r="334" spans="1:228" ht="14.25" hidden="1" customHeight="1">
      <c r="A334" s="753">
        <f t="shared" si="897"/>
        <v>328</v>
      </c>
      <c r="B334" s="753"/>
      <c r="C334" s="753">
        <f t="shared" si="772"/>
        <v>18</v>
      </c>
      <c r="D334" s="753" t="s">
        <v>779</v>
      </c>
      <c r="E334" s="717" t="s">
        <v>292</v>
      </c>
      <c r="F334" s="754"/>
      <c r="G334" s="756" t="s">
        <v>797</v>
      </c>
      <c r="H334" s="756"/>
      <c r="I334" s="755" t="s">
        <v>229</v>
      </c>
      <c r="J334" s="757">
        <v>22</v>
      </c>
      <c r="K334" s="758"/>
      <c r="L334" s="759" t="s">
        <v>69</v>
      </c>
      <c r="M334" s="760" t="s">
        <v>68</v>
      </c>
      <c r="N334" s="761">
        <f t="shared" si="818"/>
        <v>106005.26567735759</v>
      </c>
      <c r="O334" s="762">
        <f t="shared" si="819"/>
        <v>2332115.8449018667</v>
      </c>
      <c r="P334" s="762">
        <f t="shared" si="820"/>
        <v>22400</v>
      </c>
      <c r="Q334" s="762">
        <f t="shared" si="795"/>
        <v>50000</v>
      </c>
      <c r="R334" s="762"/>
      <c r="S334" s="762"/>
      <c r="T334" s="762"/>
      <c r="U334" s="762"/>
      <c r="V334" s="762"/>
      <c r="W334" s="762"/>
      <c r="X334" s="762"/>
      <c r="Y334" s="762">
        <f t="shared" si="773"/>
        <v>180000</v>
      </c>
      <c r="Z334" s="762">
        <f t="shared" si="796"/>
        <v>142461</v>
      </c>
      <c r="AA334" s="762"/>
      <c r="AB334" s="762"/>
      <c r="AC334" s="762"/>
      <c r="AD334" s="763">
        <f t="shared" si="821"/>
        <v>394861</v>
      </c>
      <c r="AE334" s="763">
        <f t="shared" si="797"/>
        <v>2726976.8449018667</v>
      </c>
      <c r="AF334" s="762">
        <f t="shared" si="798"/>
        <v>68174.421122546672</v>
      </c>
      <c r="AG334" s="762">
        <f t="shared" si="822"/>
        <v>2795151.2660244135</v>
      </c>
      <c r="AH334" s="762">
        <f t="shared" si="799"/>
        <v>69878.781650610341</v>
      </c>
      <c r="AI334" s="762">
        <f t="shared" si="823"/>
        <v>2865030.0476750238</v>
      </c>
      <c r="AJ334" s="762">
        <f t="shared" si="824"/>
        <v>143251.50238375118</v>
      </c>
      <c r="AK334" s="762">
        <f t="shared" si="825"/>
        <v>3008281.5500587751</v>
      </c>
      <c r="AL334" s="762">
        <f t="shared" si="826"/>
        <v>30082.815500587752</v>
      </c>
      <c r="AM334" s="762">
        <f t="shared" si="827"/>
        <v>27537.409960060559</v>
      </c>
      <c r="AN334" s="762"/>
      <c r="AO334" s="763">
        <f t="shared" si="828"/>
        <v>3065901.7755194232</v>
      </c>
      <c r="AP334" s="763">
        <f t="shared" si="829"/>
        <v>505873.79296070483</v>
      </c>
      <c r="AQ334" s="763">
        <f t="shared" si="830"/>
        <v>3571775.568480128</v>
      </c>
      <c r="AR334" s="1178">
        <f t="shared" si="800"/>
        <v>3000000</v>
      </c>
      <c r="AS334" s="1178">
        <f t="shared" si="831"/>
        <v>25989.798567278543</v>
      </c>
      <c r="AT334" s="1178">
        <f t="shared" si="832"/>
        <v>571775.56848012796</v>
      </c>
      <c r="AU334" s="1178">
        <f t="shared" si="801"/>
        <v>68613.06821761535</v>
      </c>
      <c r="AV334" s="1178">
        <f t="shared" si="833"/>
        <v>640388.63669774332</v>
      </c>
      <c r="AW334" s="1178">
        <f t="shared" si="834"/>
        <v>3640388.6366977431</v>
      </c>
      <c r="AX334" s="762">
        <f t="shared" si="835"/>
        <v>45504.85795872179</v>
      </c>
      <c r="AY334" s="717" t="s">
        <v>231</v>
      </c>
      <c r="AZ334" s="717">
        <f t="shared" si="836"/>
        <v>3685893.494656465</v>
      </c>
      <c r="BA334" s="717">
        <f t="shared" si="837"/>
        <v>138221.00604961743</v>
      </c>
      <c r="BB334" s="717"/>
      <c r="BC334" s="717">
        <f t="shared" si="802"/>
        <v>33600</v>
      </c>
      <c r="BD334" s="717">
        <f t="shared" si="838"/>
        <v>3857714.5007060822</v>
      </c>
      <c r="BE334" s="717"/>
      <c r="BF334" s="717">
        <f t="shared" si="839"/>
        <v>3857714.5007060822</v>
      </c>
      <c r="BG334" s="1209"/>
      <c r="BH334" s="717">
        <f t="shared" si="840"/>
        <v>3857714.5007060822</v>
      </c>
      <c r="BI334" s="717"/>
      <c r="BJ334" s="717">
        <f t="shared" si="841"/>
        <v>3857714.5007060822</v>
      </c>
      <c r="BK334" s="717"/>
      <c r="BL334" s="717">
        <f t="shared" si="842"/>
        <v>3857714.5007060822</v>
      </c>
      <c r="BM334" s="717"/>
      <c r="BN334" s="717">
        <f t="shared" si="843"/>
        <v>3857714.5007060822</v>
      </c>
      <c r="BO334" s="717"/>
      <c r="BP334" s="717">
        <f t="shared" si="803"/>
        <v>3857714.5007060822</v>
      </c>
      <c r="BQ334" s="717"/>
      <c r="BR334" s="717">
        <f t="shared" si="738"/>
        <v>3857714.5007060822</v>
      </c>
      <c r="BS334" s="717"/>
      <c r="BT334" s="717">
        <f t="shared" si="844"/>
        <v>3857714.5007060822</v>
      </c>
      <c r="BU334" s="717"/>
      <c r="BV334" s="1235">
        <f t="shared" si="739"/>
        <v>51400</v>
      </c>
      <c r="BW334" s="717">
        <f t="shared" si="845"/>
        <v>3909114.5007060822</v>
      </c>
      <c r="BX334" s="717"/>
      <c r="BY334" s="717">
        <f t="shared" si="846"/>
        <v>3909114.5007060822</v>
      </c>
      <c r="BZ334" s="1194">
        <f t="shared" si="847"/>
        <v>3909114.5007060822</v>
      </c>
      <c r="CA334" s="1194">
        <f t="shared" si="848"/>
        <v>3029114.5007060822</v>
      </c>
      <c r="CB334" s="1194">
        <v>40000</v>
      </c>
      <c r="CC334" s="1194">
        <f t="shared" si="849"/>
        <v>880000</v>
      </c>
      <c r="CD334" s="1194">
        <f t="shared" si="850"/>
        <v>105600</v>
      </c>
      <c r="CE334" s="1194">
        <f t="shared" si="851"/>
        <v>985600</v>
      </c>
      <c r="CF334" s="1200">
        <f t="shared" si="852"/>
        <v>4014714.5007060822</v>
      </c>
      <c r="CG334" s="757">
        <f t="shared" si="853"/>
        <v>4014714.5007060822</v>
      </c>
      <c r="CH334" s="758">
        <f t="shared" si="854"/>
        <v>0</v>
      </c>
      <c r="CI334" s="757">
        <f t="shared" si="804"/>
        <v>411508.23632237338</v>
      </c>
      <c r="CJ334" s="757">
        <f t="shared" si="805"/>
        <v>100367.86251765206</v>
      </c>
      <c r="CK334" s="759">
        <f t="shared" si="747"/>
        <v>4526590.5995461075</v>
      </c>
      <c r="CL334" s="764">
        <f t="shared" si="855"/>
        <v>0.125</v>
      </c>
      <c r="CM334" s="757">
        <f t="shared" si="856"/>
        <v>565823.82494326343</v>
      </c>
      <c r="CN334" s="757">
        <f t="shared" si="898"/>
        <v>30000</v>
      </c>
      <c r="CO334" s="757">
        <f t="shared" si="857"/>
        <v>535823.82494326343</v>
      </c>
      <c r="CP334" s="755">
        <f t="shared" si="858"/>
        <v>31</v>
      </c>
      <c r="CQ334" s="757">
        <f t="shared" si="901"/>
        <v>17284.639514298822</v>
      </c>
      <c r="CR334" s="764">
        <f t="shared" si="859"/>
        <v>0.875</v>
      </c>
      <c r="CS334" s="757">
        <f t="shared" si="860"/>
        <v>3960766.7746028439</v>
      </c>
      <c r="CT334" s="1101">
        <f t="shared" si="861"/>
        <v>30707.782645841882</v>
      </c>
      <c r="CU334" s="1101">
        <f t="shared" si="862"/>
        <v>35600.491512660185</v>
      </c>
      <c r="CV334" s="1101">
        <f t="shared" si="863"/>
        <v>45987.860673879099</v>
      </c>
      <c r="CW334" s="1141">
        <f t="shared" si="806"/>
        <v>78427.929275930772</v>
      </c>
      <c r="CX334" s="1152">
        <f t="shared" si="864"/>
        <v>321745.67445476446</v>
      </c>
      <c r="CY334" s="1152">
        <f t="shared" si="865"/>
        <v>127313.19606858582</v>
      </c>
      <c r="CZ334" s="1152">
        <f t="shared" si="866"/>
        <v>91956.518358768255</v>
      </c>
      <c r="DA334" s="1152">
        <f t="shared" si="867"/>
        <v>69983.143930478778</v>
      </c>
      <c r="DB334" s="1143">
        <f t="shared" si="807"/>
        <v>0.19059185616004265</v>
      </c>
      <c r="DC334" s="1143">
        <f t="shared" si="868"/>
        <v>0.32537561712185459</v>
      </c>
      <c r="DD334" s="1098" t="s">
        <v>232</v>
      </c>
      <c r="DE334" s="1144"/>
      <c r="DF334" s="705"/>
      <c r="DG334" s="765">
        <f t="shared" si="899"/>
        <v>46082</v>
      </c>
      <c r="DH334" s="1116">
        <f t="shared" si="808"/>
        <v>28</v>
      </c>
      <c r="DI334" s="497"/>
      <c r="DJ334" s="1117">
        <f t="shared" si="869"/>
        <v>46147</v>
      </c>
      <c r="DK334" s="1116">
        <f t="shared" si="870"/>
        <v>30</v>
      </c>
      <c r="DL334" s="766" t="s">
        <v>233</v>
      </c>
      <c r="DM334" s="766" t="s">
        <v>234</v>
      </c>
      <c r="DN334" s="767">
        <f t="shared" si="809"/>
        <v>29108.57439535197</v>
      </c>
      <c r="DO334" s="767">
        <f t="shared" si="810"/>
        <v>640388.63669774332</v>
      </c>
      <c r="DP334" s="768">
        <f t="shared" si="811"/>
        <v>0.21346287889924778</v>
      </c>
      <c r="DR334" s="767">
        <f t="shared" si="812"/>
        <v>4014714.5007060822</v>
      </c>
      <c r="DS334" s="767">
        <f>SUM('[6]INTERNAL PRICELIST'!M334)</f>
        <v>0</v>
      </c>
      <c r="DT334" s="767">
        <f t="shared" si="871"/>
        <v>4014714.5007060822</v>
      </c>
      <c r="DV334" s="951">
        <f t="shared" si="813"/>
        <v>182487.02275936736</v>
      </c>
      <c r="DX334" s="781"/>
      <c r="DY334" s="782"/>
      <c r="DZ334" s="781"/>
      <c r="EA334" s="775"/>
      <c r="ED334" s="755" t="s">
        <v>797</v>
      </c>
      <c r="EE334" s="777" t="b">
        <f t="shared" si="814"/>
        <v>1</v>
      </c>
      <c r="EF334" s="777"/>
      <c r="EG334" s="777"/>
      <c r="EH334" s="1203"/>
      <c r="EP334" s="1230" t="s">
        <v>236</v>
      </c>
      <c r="EQ334" s="1145" t="s">
        <v>236</v>
      </c>
      <c r="ER334" s="753" t="b">
        <f t="shared" si="872"/>
        <v>1</v>
      </c>
      <c r="EU334" s="770">
        <v>3209496.1774007287</v>
      </c>
      <c r="EV334" s="771" t="s">
        <v>258</v>
      </c>
      <c r="EW334" s="775">
        <f t="shared" si="774"/>
        <v>-805218.32330535352</v>
      </c>
      <c r="EY334" s="775">
        <v>3175432.1472727996</v>
      </c>
      <c r="FJ334" s="994">
        <v>0.15</v>
      </c>
      <c r="FK334" s="993">
        <v>13819.818797865502</v>
      </c>
      <c r="FL334" s="993">
        <v>14193.32741402403</v>
      </c>
      <c r="FM334" s="497"/>
      <c r="FN334" s="993">
        <f t="shared" si="815"/>
        <v>4526590.5995461075</v>
      </c>
      <c r="FO334" s="994">
        <f>FJ334</f>
        <v>0.15</v>
      </c>
      <c r="FP334" s="775">
        <f t="shared" si="816"/>
        <v>678988.5899319161</v>
      </c>
      <c r="FQ334" s="993">
        <f t="shared" si="817"/>
        <v>30000</v>
      </c>
      <c r="FR334" s="775">
        <f t="shared" si="874"/>
        <v>648988.5899319161</v>
      </c>
      <c r="FS334" s="497">
        <f t="shared" si="875"/>
        <v>40</v>
      </c>
      <c r="FT334" s="775">
        <f t="shared" si="876"/>
        <v>16224.714748297902</v>
      </c>
      <c r="FU334" s="497"/>
      <c r="FV334" s="993">
        <f t="shared" si="877"/>
        <v>4526590.5995461075</v>
      </c>
      <c r="FW334" s="705">
        <f t="shared" si="878"/>
        <v>452659.05995461077</v>
      </c>
      <c r="FX334" s="705">
        <f t="shared" si="879"/>
        <v>113164.76498865269</v>
      </c>
      <c r="FY334" s="705">
        <v>15000</v>
      </c>
      <c r="FZ334" s="705">
        <f t="shared" si="880"/>
        <v>437659.05995461077</v>
      </c>
      <c r="GA334" s="497">
        <f t="shared" si="881"/>
        <v>46</v>
      </c>
      <c r="GB334" s="775">
        <f t="shared" si="882"/>
        <v>9514.327390317625</v>
      </c>
      <c r="GC334" s="497"/>
      <c r="GD334" s="497"/>
      <c r="GH334" s="1095">
        <f t="shared" si="782"/>
        <v>4526590.5995461075</v>
      </c>
      <c r="GI334" s="1098">
        <f t="shared" si="783"/>
        <v>0.125</v>
      </c>
      <c r="GJ334" s="1095">
        <f t="shared" si="784"/>
        <v>565823.82494326343</v>
      </c>
      <c r="GK334" s="1095">
        <f t="shared" si="785"/>
        <v>30000</v>
      </c>
      <c r="GL334" s="1095">
        <f t="shared" si="786"/>
        <v>535823.82494326343</v>
      </c>
      <c r="GM334" s="1095">
        <f t="shared" si="787"/>
        <v>31</v>
      </c>
      <c r="GN334" s="1095">
        <f t="shared" si="788"/>
        <v>17284.639514298822</v>
      </c>
      <c r="GO334" s="1098">
        <f t="shared" si="789"/>
        <v>0.875</v>
      </c>
      <c r="GP334" s="1095">
        <f t="shared" si="790"/>
        <v>3960766.7746028439</v>
      </c>
      <c r="GQ334" s="1095">
        <f t="shared" si="791"/>
        <v>30707.782645841882</v>
      </c>
      <c r="GR334" s="1095">
        <f t="shared" si="792"/>
        <v>35600.491512660185</v>
      </c>
      <c r="GS334" s="1095">
        <f t="shared" si="793"/>
        <v>45987.860673879099</v>
      </c>
      <c r="GT334" s="1095">
        <f t="shared" si="794"/>
        <v>78427.929275930772</v>
      </c>
      <c r="GU334" s="497"/>
      <c r="GV334" s="1095">
        <f t="shared" si="883"/>
        <v>4526590.5995461075</v>
      </c>
      <c r="GW334" s="1098">
        <f t="shared" si="884"/>
        <v>0.125</v>
      </c>
      <c r="GX334" s="1095">
        <f t="shared" si="885"/>
        <v>565823.82494326343</v>
      </c>
      <c r="GY334" s="1095">
        <f t="shared" si="886"/>
        <v>30000</v>
      </c>
      <c r="GZ334" s="1095">
        <f t="shared" si="887"/>
        <v>535823.82494326343</v>
      </c>
      <c r="HA334" s="1106">
        <f t="shared" si="888"/>
        <v>48</v>
      </c>
      <c r="HB334" s="770">
        <f t="shared" si="889"/>
        <v>11162.996352984655</v>
      </c>
      <c r="HC334" s="1098">
        <f t="shared" si="890"/>
        <v>0.875</v>
      </c>
      <c r="HD334" s="1102">
        <f t="shared" si="891"/>
        <v>3960766.7746028439</v>
      </c>
      <c r="HE334" s="1101">
        <f t="shared" si="892"/>
        <v>30707.782645841882</v>
      </c>
      <c r="HF334" s="1101">
        <f t="shared" si="893"/>
        <v>35600.491512660185</v>
      </c>
      <c r="HG334" s="1101">
        <f t="shared" si="894"/>
        <v>45987.860673879099</v>
      </c>
      <c r="HH334" s="1101">
        <f t="shared" si="895"/>
        <v>78427.929275930772</v>
      </c>
      <c r="HI334" s="497"/>
      <c r="HJ334" s="1102">
        <f t="shared" si="896"/>
        <v>-6121.6431613141667</v>
      </c>
      <c r="HL334" s="775"/>
      <c r="HN334" s="775"/>
      <c r="HO334" s="775"/>
      <c r="HQ334" s="702"/>
      <c r="HR334" s="1171"/>
      <c r="HS334" s="702"/>
      <c r="HT334" s="1171"/>
    </row>
    <row r="335" spans="1:228" ht="14.25" hidden="1" customHeight="1">
      <c r="A335" s="753">
        <f t="shared" si="897"/>
        <v>329</v>
      </c>
      <c r="B335" s="753"/>
      <c r="C335" s="753">
        <f t="shared" si="772"/>
        <v>19</v>
      </c>
      <c r="D335" s="753" t="s">
        <v>779</v>
      </c>
      <c r="E335" s="717" t="s">
        <v>292</v>
      </c>
      <c r="F335" s="754"/>
      <c r="G335" s="756" t="s">
        <v>798</v>
      </c>
      <c r="H335" s="756"/>
      <c r="I335" s="755" t="s">
        <v>229</v>
      </c>
      <c r="J335" s="757">
        <v>22</v>
      </c>
      <c r="K335" s="758"/>
      <c r="L335" s="759" t="s">
        <v>69</v>
      </c>
      <c r="M335" s="760" t="s">
        <v>68</v>
      </c>
      <c r="N335" s="761">
        <f t="shared" si="818"/>
        <v>106005.26567735759</v>
      </c>
      <c r="O335" s="762">
        <f t="shared" si="819"/>
        <v>2332115.8449018667</v>
      </c>
      <c r="P335" s="762">
        <f t="shared" si="820"/>
        <v>22400</v>
      </c>
      <c r="Q335" s="762">
        <f t="shared" si="795"/>
        <v>50000</v>
      </c>
      <c r="R335" s="762"/>
      <c r="S335" s="762"/>
      <c r="T335" s="762"/>
      <c r="U335" s="762"/>
      <c r="V335" s="762"/>
      <c r="W335" s="762"/>
      <c r="X335" s="762"/>
      <c r="Y335" s="762">
        <f t="shared" si="773"/>
        <v>180000</v>
      </c>
      <c r="Z335" s="762">
        <f t="shared" si="796"/>
        <v>142461</v>
      </c>
      <c r="AA335" s="762"/>
      <c r="AB335" s="762"/>
      <c r="AC335" s="762"/>
      <c r="AD335" s="763">
        <f t="shared" si="821"/>
        <v>394861</v>
      </c>
      <c r="AE335" s="763">
        <f t="shared" si="797"/>
        <v>2726976.8449018667</v>
      </c>
      <c r="AF335" s="762">
        <f t="shared" si="798"/>
        <v>68174.421122546672</v>
      </c>
      <c r="AG335" s="762">
        <f t="shared" si="822"/>
        <v>2795151.2660244135</v>
      </c>
      <c r="AH335" s="762">
        <f t="shared" si="799"/>
        <v>69878.781650610341</v>
      </c>
      <c r="AI335" s="762">
        <f t="shared" si="823"/>
        <v>2865030.0476750238</v>
      </c>
      <c r="AJ335" s="762">
        <f t="shared" si="824"/>
        <v>143251.50238375118</v>
      </c>
      <c r="AK335" s="762">
        <f t="shared" si="825"/>
        <v>3008281.5500587751</v>
      </c>
      <c r="AL335" s="762">
        <f t="shared" si="826"/>
        <v>30082.815500587752</v>
      </c>
      <c r="AM335" s="762">
        <f t="shared" si="827"/>
        <v>27537.409960060559</v>
      </c>
      <c r="AN335" s="762"/>
      <c r="AO335" s="763">
        <f t="shared" si="828"/>
        <v>3065901.7755194232</v>
      </c>
      <c r="AP335" s="763">
        <f t="shared" si="829"/>
        <v>505873.79296070483</v>
      </c>
      <c r="AQ335" s="763">
        <f t="shared" si="830"/>
        <v>3571775.568480128</v>
      </c>
      <c r="AR335" s="1178">
        <f t="shared" si="800"/>
        <v>3000000</v>
      </c>
      <c r="AS335" s="1178">
        <f t="shared" si="831"/>
        <v>25989.798567278543</v>
      </c>
      <c r="AT335" s="1178">
        <f t="shared" si="832"/>
        <v>571775.56848012796</v>
      </c>
      <c r="AU335" s="1178">
        <f t="shared" si="801"/>
        <v>68613.06821761535</v>
      </c>
      <c r="AV335" s="1178">
        <f t="shared" si="833"/>
        <v>640388.63669774332</v>
      </c>
      <c r="AW335" s="1178">
        <f t="shared" si="834"/>
        <v>3640388.6366977431</v>
      </c>
      <c r="AX335" s="762">
        <f t="shared" si="835"/>
        <v>45504.85795872179</v>
      </c>
      <c r="AY335" s="717" t="s">
        <v>231</v>
      </c>
      <c r="AZ335" s="717">
        <f t="shared" si="836"/>
        <v>3685893.494656465</v>
      </c>
      <c r="BA335" s="717">
        <f t="shared" si="837"/>
        <v>138221.00604961743</v>
      </c>
      <c r="BB335" s="717"/>
      <c r="BC335" s="717">
        <f t="shared" si="802"/>
        <v>33600</v>
      </c>
      <c r="BD335" s="717">
        <f t="shared" si="838"/>
        <v>3857714.5007060822</v>
      </c>
      <c r="BE335" s="717"/>
      <c r="BF335" s="717">
        <f t="shared" si="839"/>
        <v>3857714.5007060822</v>
      </c>
      <c r="BG335" s="1209"/>
      <c r="BH335" s="717">
        <f t="shared" si="840"/>
        <v>3857714.5007060822</v>
      </c>
      <c r="BI335" s="717"/>
      <c r="BJ335" s="717">
        <f t="shared" si="841"/>
        <v>3857714.5007060822</v>
      </c>
      <c r="BK335" s="717"/>
      <c r="BL335" s="717">
        <f t="shared" si="842"/>
        <v>3857714.5007060822</v>
      </c>
      <c r="BM335" s="717"/>
      <c r="BN335" s="717">
        <f t="shared" si="843"/>
        <v>3857714.5007060822</v>
      </c>
      <c r="BO335" s="717"/>
      <c r="BP335" s="717">
        <f t="shared" si="803"/>
        <v>3857714.5007060822</v>
      </c>
      <c r="BQ335" s="717"/>
      <c r="BR335" s="717">
        <f t="shared" si="738"/>
        <v>3857714.5007060822</v>
      </c>
      <c r="BS335" s="717"/>
      <c r="BT335" s="717">
        <f t="shared" si="844"/>
        <v>3857714.5007060822</v>
      </c>
      <c r="BU335" s="717"/>
      <c r="BV335" s="1235">
        <f t="shared" si="739"/>
        <v>51400</v>
      </c>
      <c r="BW335" s="717">
        <f t="shared" si="845"/>
        <v>3909114.5007060822</v>
      </c>
      <c r="BX335" s="717"/>
      <c r="BY335" s="717">
        <f t="shared" si="846"/>
        <v>3909114.5007060822</v>
      </c>
      <c r="BZ335" s="1194">
        <f t="shared" si="847"/>
        <v>3909114.5007060822</v>
      </c>
      <c r="CA335" s="1194">
        <f t="shared" si="848"/>
        <v>3029114.5007060822</v>
      </c>
      <c r="CB335" s="1194">
        <v>40000</v>
      </c>
      <c r="CC335" s="1194">
        <f t="shared" si="849"/>
        <v>880000</v>
      </c>
      <c r="CD335" s="1194">
        <f t="shared" si="850"/>
        <v>105600</v>
      </c>
      <c r="CE335" s="1194">
        <f t="shared" si="851"/>
        <v>985600</v>
      </c>
      <c r="CF335" s="1200">
        <f t="shared" si="852"/>
        <v>4014714.5007060822</v>
      </c>
      <c r="CG335" s="757">
        <f t="shared" si="853"/>
        <v>4014714.5007060822</v>
      </c>
      <c r="CH335" s="758">
        <f t="shared" si="854"/>
        <v>0</v>
      </c>
      <c r="CI335" s="757">
        <f t="shared" si="804"/>
        <v>411508.23632237338</v>
      </c>
      <c r="CJ335" s="757">
        <f t="shared" si="805"/>
        <v>100367.86251765206</v>
      </c>
      <c r="CK335" s="759">
        <f t="shared" si="747"/>
        <v>4526590.5995461075</v>
      </c>
      <c r="CL335" s="764">
        <f t="shared" si="855"/>
        <v>0.125</v>
      </c>
      <c r="CM335" s="757">
        <f t="shared" si="856"/>
        <v>565823.82494326343</v>
      </c>
      <c r="CN335" s="757">
        <f t="shared" si="898"/>
        <v>30000</v>
      </c>
      <c r="CO335" s="757">
        <f t="shared" si="857"/>
        <v>535823.82494326343</v>
      </c>
      <c r="CP335" s="755">
        <f t="shared" si="858"/>
        <v>31</v>
      </c>
      <c r="CQ335" s="757">
        <f t="shared" si="901"/>
        <v>17284.639514298822</v>
      </c>
      <c r="CR335" s="764">
        <f t="shared" si="859"/>
        <v>0.875</v>
      </c>
      <c r="CS335" s="757">
        <f t="shared" si="860"/>
        <v>3960766.7746028439</v>
      </c>
      <c r="CT335" s="1101">
        <f t="shared" si="861"/>
        <v>30707.782645841882</v>
      </c>
      <c r="CU335" s="1101">
        <f t="shared" si="862"/>
        <v>35600.491512660185</v>
      </c>
      <c r="CV335" s="1101">
        <f t="shared" si="863"/>
        <v>45987.860673879099</v>
      </c>
      <c r="CW335" s="1141">
        <f t="shared" si="806"/>
        <v>78427.929275930772</v>
      </c>
      <c r="CX335" s="1152">
        <f t="shared" si="864"/>
        <v>321745.67445476446</v>
      </c>
      <c r="CY335" s="1152">
        <f t="shared" si="865"/>
        <v>127313.19606858582</v>
      </c>
      <c r="CZ335" s="1152">
        <f t="shared" si="866"/>
        <v>91956.518358768255</v>
      </c>
      <c r="DA335" s="1152">
        <f t="shared" si="867"/>
        <v>69983.143930478778</v>
      </c>
      <c r="DB335" s="1143">
        <f t="shared" si="807"/>
        <v>0.19059185616004265</v>
      </c>
      <c r="DC335" s="1143">
        <f t="shared" si="868"/>
        <v>0.32537561712185459</v>
      </c>
      <c r="DD335" s="1098" t="s">
        <v>232</v>
      </c>
      <c r="DE335" s="1144"/>
      <c r="DF335" s="705"/>
      <c r="DG335" s="765">
        <f t="shared" si="899"/>
        <v>46082</v>
      </c>
      <c r="DH335" s="1116">
        <f t="shared" si="808"/>
        <v>28</v>
      </c>
      <c r="DI335" s="497"/>
      <c r="DJ335" s="1117">
        <f t="shared" si="869"/>
        <v>46147</v>
      </c>
      <c r="DK335" s="1116">
        <f t="shared" si="870"/>
        <v>30</v>
      </c>
      <c r="DL335" s="766" t="s">
        <v>233</v>
      </c>
      <c r="DM335" s="766" t="s">
        <v>234</v>
      </c>
      <c r="DN335" s="767">
        <f t="shared" si="809"/>
        <v>29108.57439535197</v>
      </c>
      <c r="DO335" s="767">
        <f t="shared" si="810"/>
        <v>640388.63669774332</v>
      </c>
      <c r="DP335" s="768">
        <f t="shared" si="811"/>
        <v>0.21346287889924778</v>
      </c>
      <c r="DR335" s="767">
        <f t="shared" si="812"/>
        <v>4014714.5007060822</v>
      </c>
      <c r="DS335" s="767">
        <f>SUM('[6]INTERNAL PRICELIST'!M335)</f>
        <v>0</v>
      </c>
      <c r="DT335" s="767">
        <f t="shared" si="871"/>
        <v>4014714.5007060822</v>
      </c>
      <c r="DV335" s="951">
        <f t="shared" si="813"/>
        <v>182487.02275936736</v>
      </c>
      <c r="DX335" s="781"/>
      <c r="DY335" s="782"/>
      <c r="DZ335" s="781"/>
      <c r="EA335" s="775"/>
      <c r="ED335" s="755" t="s">
        <v>798</v>
      </c>
      <c r="EE335" s="777" t="b">
        <f t="shared" si="814"/>
        <v>1</v>
      </c>
      <c r="EF335" s="777"/>
      <c r="EG335" s="777"/>
      <c r="EH335" s="1203"/>
      <c r="EP335" s="1230" t="s">
        <v>236</v>
      </c>
      <c r="EQ335" s="1145" t="s">
        <v>236</v>
      </c>
      <c r="ER335" s="753" t="b">
        <f t="shared" si="872"/>
        <v>1</v>
      </c>
      <c r="EU335" s="770">
        <v>3209496.1774007287</v>
      </c>
      <c r="EV335" s="771" t="s">
        <v>258</v>
      </c>
      <c r="EW335" s="775">
        <f t="shared" si="774"/>
        <v>-805218.32330535352</v>
      </c>
      <c r="EY335" s="775">
        <v>3175432.1472727996</v>
      </c>
      <c r="FJ335" s="994">
        <v>0.15</v>
      </c>
      <c r="FK335" s="993">
        <v>13819.818797865502</v>
      </c>
      <c r="FL335" s="993">
        <v>14193.32741402403</v>
      </c>
      <c r="FM335" s="497"/>
      <c r="FN335" s="993">
        <f t="shared" si="815"/>
        <v>4526590.5995461075</v>
      </c>
      <c r="FO335" s="994">
        <f t="shared" si="902"/>
        <v>0.15</v>
      </c>
      <c r="FP335" s="775">
        <f t="shared" si="816"/>
        <v>678988.5899319161</v>
      </c>
      <c r="FQ335" s="993">
        <f t="shared" si="817"/>
        <v>30000</v>
      </c>
      <c r="FR335" s="775">
        <f t="shared" si="874"/>
        <v>648988.5899319161</v>
      </c>
      <c r="FS335" s="497">
        <f t="shared" si="875"/>
        <v>40</v>
      </c>
      <c r="FT335" s="775">
        <f t="shared" si="876"/>
        <v>16224.714748297902</v>
      </c>
      <c r="FU335" s="497"/>
      <c r="FV335" s="993">
        <f t="shared" si="877"/>
        <v>4526590.5995461075</v>
      </c>
      <c r="FW335" s="705">
        <f t="shared" si="878"/>
        <v>452659.05995461077</v>
      </c>
      <c r="FX335" s="705">
        <f t="shared" si="879"/>
        <v>113164.76498865269</v>
      </c>
      <c r="FY335" s="705">
        <v>15000</v>
      </c>
      <c r="FZ335" s="705">
        <f t="shared" si="880"/>
        <v>437659.05995461077</v>
      </c>
      <c r="GA335" s="497">
        <f t="shared" si="881"/>
        <v>46</v>
      </c>
      <c r="GB335" s="775">
        <f t="shared" si="882"/>
        <v>9514.327390317625</v>
      </c>
      <c r="GC335" s="497"/>
      <c r="GD335" s="497"/>
      <c r="GH335" s="1095">
        <f t="shared" si="782"/>
        <v>4526590.5995461075</v>
      </c>
      <c r="GI335" s="1098">
        <f t="shared" si="783"/>
        <v>0.125</v>
      </c>
      <c r="GJ335" s="1095">
        <f t="shared" si="784"/>
        <v>565823.82494326343</v>
      </c>
      <c r="GK335" s="1095">
        <f t="shared" si="785"/>
        <v>30000</v>
      </c>
      <c r="GL335" s="1095">
        <f t="shared" si="786"/>
        <v>535823.82494326343</v>
      </c>
      <c r="GM335" s="1095">
        <f t="shared" si="787"/>
        <v>31</v>
      </c>
      <c r="GN335" s="1095">
        <f t="shared" si="788"/>
        <v>17284.639514298822</v>
      </c>
      <c r="GO335" s="1098">
        <f t="shared" si="789"/>
        <v>0.875</v>
      </c>
      <c r="GP335" s="1095">
        <f t="shared" si="790"/>
        <v>3960766.7746028439</v>
      </c>
      <c r="GQ335" s="1095">
        <f t="shared" si="791"/>
        <v>30707.782645841882</v>
      </c>
      <c r="GR335" s="1095">
        <f t="shared" si="792"/>
        <v>35600.491512660185</v>
      </c>
      <c r="GS335" s="1095">
        <f t="shared" si="793"/>
        <v>45987.860673879099</v>
      </c>
      <c r="GT335" s="1095">
        <f t="shared" si="794"/>
        <v>78427.929275930772</v>
      </c>
      <c r="GU335" s="497"/>
      <c r="GV335" s="1095">
        <f t="shared" si="883"/>
        <v>4526590.5995461075</v>
      </c>
      <c r="GW335" s="1098">
        <f t="shared" si="884"/>
        <v>0.125</v>
      </c>
      <c r="GX335" s="1095">
        <f t="shared" si="885"/>
        <v>565823.82494326343</v>
      </c>
      <c r="GY335" s="1095">
        <f t="shared" si="886"/>
        <v>30000</v>
      </c>
      <c r="GZ335" s="1095">
        <f t="shared" si="887"/>
        <v>535823.82494326343</v>
      </c>
      <c r="HA335" s="1106">
        <f t="shared" si="888"/>
        <v>48</v>
      </c>
      <c r="HB335" s="770">
        <f t="shared" si="889"/>
        <v>11162.996352984655</v>
      </c>
      <c r="HC335" s="1098">
        <f t="shared" si="890"/>
        <v>0.875</v>
      </c>
      <c r="HD335" s="1102">
        <f t="shared" si="891"/>
        <v>3960766.7746028439</v>
      </c>
      <c r="HE335" s="1101">
        <f t="shared" si="892"/>
        <v>30707.782645841882</v>
      </c>
      <c r="HF335" s="1101">
        <f t="shared" si="893"/>
        <v>35600.491512660185</v>
      </c>
      <c r="HG335" s="1101">
        <f t="shared" si="894"/>
        <v>45987.860673879099</v>
      </c>
      <c r="HH335" s="1101">
        <f t="shared" si="895"/>
        <v>78427.929275930772</v>
      </c>
      <c r="HI335" s="497"/>
      <c r="HJ335" s="1102">
        <f t="shared" si="896"/>
        <v>-6121.6431613141667</v>
      </c>
      <c r="HL335" s="775"/>
      <c r="HN335" s="775"/>
      <c r="HO335" s="775"/>
      <c r="HQ335" s="702"/>
      <c r="HR335" s="1171"/>
      <c r="HS335" s="702"/>
      <c r="HT335" s="1171"/>
    </row>
    <row r="336" spans="1:228" ht="14.25" customHeight="1">
      <c r="A336" s="753">
        <f t="shared" si="897"/>
        <v>330</v>
      </c>
      <c r="B336" s="753"/>
      <c r="C336" s="753">
        <f t="shared" si="772"/>
        <v>20</v>
      </c>
      <c r="D336" s="753" t="s">
        <v>779</v>
      </c>
      <c r="E336" s="717" t="s">
        <v>292</v>
      </c>
      <c r="F336" s="754"/>
      <c r="G336" s="756" t="s">
        <v>799</v>
      </c>
      <c r="H336" s="756"/>
      <c r="I336" s="755" t="s">
        <v>229</v>
      </c>
      <c r="J336" s="757">
        <v>22</v>
      </c>
      <c r="K336" s="758"/>
      <c r="L336" s="759" t="s">
        <v>69</v>
      </c>
      <c r="M336" s="760" t="s">
        <v>68</v>
      </c>
      <c r="N336" s="761">
        <f t="shared" si="818"/>
        <v>106005.26567735759</v>
      </c>
      <c r="O336" s="762">
        <f t="shared" si="819"/>
        <v>2332115.8449018667</v>
      </c>
      <c r="P336" s="762">
        <f t="shared" si="820"/>
        <v>22400</v>
      </c>
      <c r="Q336" s="762">
        <f t="shared" si="795"/>
        <v>50000</v>
      </c>
      <c r="R336" s="762"/>
      <c r="S336" s="762"/>
      <c r="T336" s="762"/>
      <c r="U336" s="762"/>
      <c r="V336" s="762"/>
      <c r="W336" s="762"/>
      <c r="X336" s="762"/>
      <c r="Y336" s="762">
        <f t="shared" si="773"/>
        <v>180000</v>
      </c>
      <c r="Z336" s="762">
        <f t="shared" si="796"/>
        <v>142461</v>
      </c>
      <c r="AA336" s="762"/>
      <c r="AB336" s="762"/>
      <c r="AC336" s="762"/>
      <c r="AD336" s="763">
        <f t="shared" si="821"/>
        <v>394861</v>
      </c>
      <c r="AE336" s="763">
        <f t="shared" si="797"/>
        <v>2726976.8449018667</v>
      </c>
      <c r="AF336" s="762">
        <f t="shared" si="798"/>
        <v>68174.421122546672</v>
      </c>
      <c r="AG336" s="762">
        <f t="shared" si="822"/>
        <v>2795151.2660244135</v>
      </c>
      <c r="AH336" s="762">
        <f t="shared" si="799"/>
        <v>69878.781650610341</v>
      </c>
      <c r="AI336" s="762">
        <f t="shared" si="823"/>
        <v>2865030.0476750238</v>
      </c>
      <c r="AJ336" s="762">
        <f t="shared" si="824"/>
        <v>143251.50238375118</v>
      </c>
      <c r="AK336" s="762">
        <f t="shared" si="825"/>
        <v>3008281.5500587751</v>
      </c>
      <c r="AL336" s="762">
        <f t="shared" si="826"/>
        <v>30082.815500587752</v>
      </c>
      <c r="AM336" s="762">
        <f t="shared" si="827"/>
        <v>27537.409960060559</v>
      </c>
      <c r="AN336" s="762"/>
      <c r="AO336" s="763">
        <f t="shared" si="828"/>
        <v>3065901.7755194232</v>
      </c>
      <c r="AP336" s="763">
        <f t="shared" si="829"/>
        <v>505873.79296070483</v>
      </c>
      <c r="AQ336" s="763">
        <f t="shared" si="830"/>
        <v>3571775.568480128</v>
      </c>
      <c r="AR336" s="1178">
        <f t="shared" si="800"/>
        <v>3000000</v>
      </c>
      <c r="AS336" s="1178">
        <f t="shared" si="831"/>
        <v>25989.798567278543</v>
      </c>
      <c r="AT336" s="1178">
        <f t="shared" si="832"/>
        <v>571775.56848012796</v>
      </c>
      <c r="AU336" s="1178">
        <f t="shared" si="801"/>
        <v>68613.06821761535</v>
      </c>
      <c r="AV336" s="1178">
        <f t="shared" si="833"/>
        <v>640388.63669774332</v>
      </c>
      <c r="AW336" s="1178">
        <f t="shared" si="834"/>
        <v>3640388.6366977431</v>
      </c>
      <c r="AX336" s="762">
        <f t="shared" si="835"/>
        <v>45504.85795872179</v>
      </c>
      <c r="AY336" s="717" t="s">
        <v>231</v>
      </c>
      <c r="AZ336" s="717">
        <f t="shared" si="836"/>
        <v>3685893.494656465</v>
      </c>
      <c r="BA336" s="717">
        <f t="shared" si="837"/>
        <v>138221.00604961743</v>
      </c>
      <c r="BB336" s="717"/>
      <c r="BC336" s="717">
        <f t="shared" si="802"/>
        <v>33600</v>
      </c>
      <c r="BD336" s="717">
        <f t="shared" si="838"/>
        <v>3857714.5007060822</v>
      </c>
      <c r="BE336" s="717"/>
      <c r="BF336" s="717">
        <f t="shared" si="839"/>
        <v>3857714.5007060822</v>
      </c>
      <c r="BG336" s="1209"/>
      <c r="BH336" s="717">
        <f t="shared" si="840"/>
        <v>3857714.5007060822</v>
      </c>
      <c r="BI336" s="717"/>
      <c r="BJ336" s="717">
        <f t="shared" si="841"/>
        <v>3857714.5007060822</v>
      </c>
      <c r="BK336" s="717"/>
      <c r="BL336" s="717">
        <f t="shared" si="842"/>
        <v>3857714.5007060822</v>
      </c>
      <c r="BM336" s="717"/>
      <c r="BN336" s="717">
        <f t="shared" si="843"/>
        <v>3857714.5007060822</v>
      </c>
      <c r="BO336" s="717">
        <f>$BO$5/51</f>
        <v>7289.0781490196077</v>
      </c>
      <c r="BP336" s="717">
        <f t="shared" si="803"/>
        <v>3865003.578855102</v>
      </c>
      <c r="BQ336" s="717">
        <f>$BQ$5/56</f>
        <v>4468.4242000000004</v>
      </c>
      <c r="BR336" s="717">
        <f t="shared" si="738"/>
        <v>3869472.0030551017</v>
      </c>
      <c r="BS336" s="1234">
        <f>$BS$5/64</f>
        <v>2651.4786794501206</v>
      </c>
      <c r="BT336" s="1235">
        <f t="shared" si="844"/>
        <v>3872123.481734552</v>
      </c>
      <c r="BU336" s="1235">
        <f>$BU$5/65</f>
        <v>211.07692307692309</v>
      </c>
      <c r="BV336" s="1235">
        <f t="shared" si="739"/>
        <v>51400</v>
      </c>
      <c r="BW336" s="717">
        <f t="shared" si="845"/>
        <v>3923734.5586576289</v>
      </c>
      <c r="BX336" s="1234">
        <f t="shared" si="743"/>
        <v>27651.078536278128</v>
      </c>
      <c r="BY336" s="717">
        <f t="shared" si="846"/>
        <v>3951385.6371939071</v>
      </c>
      <c r="BZ336" s="1194">
        <f t="shared" si="847"/>
        <v>3951385.6371939071</v>
      </c>
      <c r="CA336" s="1194">
        <f t="shared" si="848"/>
        <v>3071385.6371939071</v>
      </c>
      <c r="CB336" s="1194">
        <f>$CB$5</f>
        <v>40000</v>
      </c>
      <c r="CC336" s="1194">
        <f t="shared" si="849"/>
        <v>880000</v>
      </c>
      <c r="CD336" s="1194">
        <f t="shared" si="850"/>
        <v>105600</v>
      </c>
      <c r="CE336" s="1194">
        <f t="shared" si="851"/>
        <v>985600</v>
      </c>
      <c r="CF336" s="1200">
        <f t="shared" si="852"/>
        <v>4056985.6371939071</v>
      </c>
      <c r="CG336" s="757">
        <f t="shared" si="853"/>
        <v>4056985.6371939071</v>
      </c>
      <c r="CH336" s="758">
        <f t="shared" si="854"/>
        <v>0</v>
      </c>
      <c r="CI336" s="757">
        <f t="shared" si="804"/>
        <v>415841.02781237545</v>
      </c>
      <c r="CJ336" s="757">
        <f t="shared" si="805"/>
        <v>101424.64092984768</v>
      </c>
      <c r="CK336" s="759">
        <f t="shared" si="747"/>
        <v>4574251.3059361307</v>
      </c>
      <c r="CL336" s="764">
        <f t="shared" si="855"/>
        <v>0.125</v>
      </c>
      <c r="CM336" s="757">
        <f t="shared" si="856"/>
        <v>571781.41324201634</v>
      </c>
      <c r="CN336" s="757">
        <f t="shared" si="898"/>
        <v>30000</v>
      </c>
      <c r="CO336" s="757">
        <f t="shared" si="857"/>
        <v>541781.41324201634</v>
      </c>
      <c r="CP336" s="755">
        <f t="shared" si="858"/>
        <v>31</v>
      </c>
      <c r="CQ336" s="757">
        <f t="shared" si="901"/>
        <v>17476.819782000526</v>
      </c>
      <c r="CR336" s="764">
        <f t="shared" si="859"/>
        <v>0.875</v>
      </c>
      <c r="CS336" s="757">
        <f t="shared" si="860"/>
        <v>4002469.8926941142</v>
      </c>
      <c r="CT336" s="1101">
        <f t="shared" si="861"/>
        <v>31031.106476523379</v>
      </c>
      <c r="CU336" s="1101">
        <f t="shared" si="862"/>
        <v>35975.330927891497</v>
      </c>
      <c r="CV336" s="1101">
        <f t="shared" si="863"/>
        <v>46472.069235904302</v>
      </c>
      <c r="CW336" s="1141">
        <f t="shared" si="806"/>
        <v>79253.700997007661</v>
      </c>
      <c r="CX336" s="1152">
        <f t="shared" si="864"/>
        <v>325133.351291275</v>
      </c>
      <c r="CY336" s="1152">
        <f t="shared" si="865"/>
        <v>128653.6832904717</v>
      </c>
      <c r="CZ336" s="1152">
        <f t="shared" si="866"/>
        <v>92924.733293555037</v>
      </c>
      <c r="DA336" s="1152">
        <f t="shared" si="867"/>
        <v>70720.000070164955</v>
      </c>
      <c r="DB336" s="1143">
        <f t="shared" si="807"/>
        <v>0.19059185616004265</v>
      </c>
      <c r="DC336" s="1143">
        <f t="shared" si="868"/>
        <v>0.3208975089498915</v>
      </c>
      <c r="DD336" s="1098" t="s">
        <v>232</v>
      </c>
      <c r="DE336" s="1144"/>
      <c r="DF336" s="705"/>
      <c r="DG336" s="765">
        <f t="shared" si="899"/>
        <v>46082</v>
      </c>
      <c r="DH336" s="1116">
        <f t="shared" si="808"/>
        <v>28</v>
      </c>
      <c r="DI336" s="497"/>
      <c r="DJ336" s="1117">
        <f t="shared" si="869"/>
        <v>46147</v>
      </c>
      <c r="DK336" s="1116">
        <f t="shared" si="870"/>
        <v>30</v>
      </c>
      <c r="DL336" s="766" t="s">
        <v>233</v>
      </c>
      <c r="DM336" s="766" t="s">
        <v>234</v>
      </c>
      <c r="DN336" s="767">
        <f t="shared" si="809"/>
        <v>29108.57439535197</v>
      </c>
      <c r="DO336" s="767">
        <f t="shared" si="810"/>
        <v>640388.63669774332</v>
      </c>
      <c r="DP336" s="768">
        <f t="shared" si="811"/>
        <v>0.21346287889924778</v>
      </c>
      <c r="DR336" s="767">
        <f t="shared" si="812"/>
        <v>4056985.6371939071</v>
      </c>
      <c r="DS336" s="767">
        <f>SUM('[6]INTERNAL PRICELIST'!M336)</f>
        <v>0</v>
      </c>
      <c r="DT336" s="767">
        <f t="shared" si="871"/>
        <v>4056985.6371939071</v>
      </c>
      <c r="DV336" s="951">
        <f t="shared" si="813"/>
        <v>184408.43805426851</v>
      </c>
      <c r="DX336" s="781"/>
      <c r="DY336" s="782"/>
      <c r="DZ336" s="781"/>
      <c r="EA336" s="775"/>
      <c r="ED336" s="755" t="s">
        <v>799</v>
      </c>
      <c r="EE336" s="777" t="b">
        <f t="shared" si="814"/>
        <v>1</v>
      </c>
      <c r="EF336" s="777"/>
      <c r="EG336" s="777"/>
      <c r="EH336" s="1203"/>
      <c r="EP336" s="1230" t="s">
        <v>258</v>
      </c>
      <c r="EQ336" s="1145" t="s">
        <v>258</v>
      </c>
      <c r="ER336" s="753" t="b">
        <f t="shared" si="872"/>
        <v>1</v>
      </c>
      <c r="EU336" s="770">
        <v>3209496.1774007287</v>
      </c>
      <c r="EV336" s="771" t="s">
        <v>258</v>
      </c>
      <c r="EW336" s="775">
        <f t="shared" si="774"/>
        <v>-847489.45979317836</v>
      </c>
      <c r="EY336" s="775">
        <v>3175432.1472727996</v>
      </c>
      <c r="FJ336" s="994">
        <v>0.15</v>
      </c>
      <c r="FK336" s="993">
        <v>13819.818797865502</v>
      </c>
      <c r="FL336" s="993">
        <v>14193.32741402403</v>
      </c>
      <c r="FM336" s="497"/>
      <c r="FN336" s="993">
        <f t="shared" si="815"/>
        <v>4574251.3059361307</v>
      </c>
      <c r="FO336" s="994">
        <f>FJ336</f>
        <v>0.15</v>
      </c>
      <c r="FP336" s="775">
        <f t="shared" si="816"/>
        <v>686137.69589041953</v>
      </c>
      <c r="FQ336" s="993">
        <f t="shared" si="817"/>
        <v>30000</v>
      </c>
      <c r="FR336" s="775">
        <f t="shared" si="874"/>
        <v>656137.69589041953</v>
      </c>
      <c r="FS336" s="497">
        <f t="shared" si="875"/>
        <v>40</v>
      </c>
      <c r="FT336" s="775">
        <f t="shared" si="876"/>
        <v>16403.442397260489</v>
      </c>
      <c r="FU336" s="497"/>
      <c r="FV336" s="993">
        <f t="shared" si="877"/>
        <v>4574251.3059361307</v>
      </c>
      <c r="FW336" s="705">
        <f t="shared" si="878"/>
        <v>457425.13059361308</v>
      </c>
      <c r="FX336" s="705">
        <f t="shared" si="879"/>
        <v>114356.28264840327</v>
      </c>
      <c r="FY336" s="705">
        <v>15000</v>
      </c>
      <c r="FZ336" s="705">
        <f t="shared" si="880"/>
        <v>442425.13059361308</v>
      </c>
      <c r="GA336" s="497">
        <f t="shared" si="881"/>
        <v>46</v>
      </c>
      <c r="GB336" s="775">
        <f t="shared" si="882"/>
        <v>9617.9376216002838</v>
      </c>
      <c r="GC336" s="497"/>
      <c r="GD336" s="497"/>
      <c r="GH336" s="1095">
        <f t="shared" si="782"/>
        <v>4574251.3059361307</v>
      </c>
      <c r="GI336" s="1098">
        <f t="shared" si="783"/>
        <v>0.125</v>
      </c>
      <c r="GJ336" s="1095">
        <f t="shared" si="784"/>
        <v>571781.41324201634</v>
      </c>
      <c r="GK336" s="1095">
        <f t="shared" si="785"/>
        <v>30000</v>
      </c>
      <c r="GL336" s="1095">
        <f t="shared" si="786"/>
        <v>541781.41324201634</v>
      </c>
      <c r="GM336" s="1095">
        <f t="shared" si="787"/>
        <v>31</v>
      </c>
      <c r="GN336" s="1095">
        <f t="shared" si="788"/>
        <v>17476.819782000526</v>
      </c>
      <c r="GO336" s="1098">
        <f t="shared" si="789"/>
        <v>0.875</v>
      </c>
      <c r="GP336" s="1095">
        <f t="shared" si="790"/>
        <v>4002469.8926941142</v>
      </c>
      <c r="GQ336" s="1095">
        <f t="shared" si="791"/>
        <v>31031.106476523379</v>
      </c>
      <c r="GR336" s="1095">
        <f t="shared" si="792"/>
        <v>35975.330927891497</v>
      </c>
      <c r="GS336" s="1095">
        <f t="shared" si="793"/>
        <v>46472.069235904302</v>
      </c>
      <c r="GT336" s="1095">
        <f t="shared" si="794"/>
        <v>79253.700997007661</v>
      </c>
      <c r="GU336" s="497"/>
      <c r="GV336" s="1095">
        <f t="shared" si="883"/>
        <v>4574251.3059361307</v>
      </c>
      <c r="GW336" s="1098">
        <f t="shared" si="884"/>
        <v>0.125</v>
      </c>
      <c r="GX336" s="1095">
        <f t="shared" si="885"/>
        <v>571781.41324201634</v>
      </c>
      <c r="GY336" s="1095">
        <f t="shared" si="886"/>
        <v>30000</v>
      </c>
      <c r="GZ336" s="1095">
        <f t="shared" si="887"/>
        <v>541781.41324201634</v>
      </c>
      <c r="HA336" s="1106">
        <f t="shared" si="888"/>
        <v>48</v>
      </c>
      <c r="HB336" s="770">
        <f t="shared" si="889"/>
        <v>11287.112775875341</v>
      </c>
      <c r="HC336" s="1098">
        <f t="shared" si="890"/>
        <v>0.875</v>
      </c>
      <c r="HD336" s="1102">
        <f t="shared" si="891"/>
        <v>4002469.8926941142</v>
      </c>
      <c r="HE336" s="1101">
        <f t="shared" si="892"/>
        <v>31031.106476523379</v>
      </c>
      <c r="HF336" s="1101">
        <f t="shared" si="893"/>
        <v>35975.330927891497</v>
      </c>
      <c r="HG336" s="1101">
        <f t="shared" si="894"/>
        <v>46472.069235904302</v>
      </c>
      <c r="HH336" s="1101">
        <f t="shared" si="895"/>
        <v>79253.700997007661</v>
      </c>
      <c r="HI336" s="497"/>
      <c r="HJ336" s="1102">
        <f t="shared" si="896"/>
        <v>-6189.7070061251852</v>
      </c>
      <c r="HL336" s="775"/>
      <c r="HN336" s="775"/>
      <c r="HO336" s="775"/>
      <c r="HQ336" s="702"/>
      <c r="HR336" s="1171"/>
      <c r="HS336" s="702"/>
      <c r="HT336" s="1171"/>
    </row>
    <row r="337" spans="1:228" ht="14.25" hidden="1" customHeight="1">
      <c r="A337" s="753">
        <f t="shared" si="897"/>
        <v>331</v>
      </c>
      <c r="B337" s="753"/>
      <c r="C337" s="753">
        <f t="shared" si="772"/>
        <v>21</v>
      </c>
      <c r="D337" s="753" t="s">
        <v>779</v>
      </c>
      <c r="E337" s="717" t="s">
        <v>292</v>
      </c>
      <c r="F337" s="754"/>
      <c r="G337" s="756" t="s">
        <v>800</v>
      </c>
      <c r="H337" s="756"/>
      <c r="I337" s="755" t="s">
        <v>229</v>
      </c>
      <c r="J337" s="757">
        <v>22</v>
      </c>
      <c r="K337" s="758"/>
      <c r="L337" s="759" t="s">
        <v>69</v>
      </c>
      <c r="M337" s="760" t="s">
        <v>68</v>
      </c>
      <c r="N337" s="761">
        <f t="shared" si="818"/>
        <v>106005.26567735759</v>
      </c>
      <c r="O337" s="762">
        <f t="shared" si="819"/>
        <v>2332115.8449018667</v>
      </c>
      <c r="P337" s="762">
        <f t="shared" si="820"/>
        <v>22400</v>
      </c>
      <c r="Q337" s="762">
        <f t="shared" si="795"/>
        <v>50000</v>
      </c>
      <c r="R337" s="762"/>
      <c r="S337" s="762"/>
      <c r="T337" s="762"/>
      <c r="U337" s="762"/>
      <c r="V337" s="762"/>
      <c r="W337" s="762"/>
      <c r="X337" s="762"/>
      <c r="Y337" s="762">
        <f t="shared" si="773"/>
        <v>180000</v>
      </c>
      <c r="Z337" s="762">
        <f t="shared" si="796"/>
        <v>142461</v>
      </c>
      <c r="AA337" s="762"/>
      <c r="AB337" s="762"/>
      <c r="AC337" s="762"/>
      <c r="AD337" s="763">
        <f t="shared" si="821"/>
        <v>394861</v>
      </c>
      <c r="AE337" s="763">
        <f t="shared" si="797"/>
        <v>2726976.8449018667</v>
      </c>
      <c r="AF337" s="762">
        <f t="shared" si="798"/>
        <v>68174.421122546672</v>
      </c>
      <c r="AG337" s="762">
        <f t="shared" si="822"/>
        <v>2795151.2660244135</v>
      </c>
      <c r="AH337" s="762">
        <f t="shared" si="799"/>
        <v>69878.781650610341</v>
      </c>
      <c r="AI337" s="762">
        <f t="shared" si="823"/>
        <v>2865030.0476750238</v>
      </c>
      <c r="AJ337" s="762">
        <f t="shared" si="824"/>
        <v>143251.50238375118</v>
      </c>
      <c r="AK337" s="762">
        <f t="shared" si="825"/>
        <v>3008281.5500587751</v>
      </c>
      <c r="AL337" s="762">
        <f t="shared" si="826"/>
        <v>30082.815500587752</v>
      </c>
      <c r="AM337" s="762">
        <f t="shared" si="827"/>
        <v>27537.409960060559</v>
      </c>
      <c r="AN337" s="762"/>
      <c r="AO337" s="763">
        <f t="shared" si="828"/>
        <v>3065901.7755194232</v>
      </c>
      <c r="AP337" s="763">
        <f t="shared" si="829"/>
        <v>505873.79296070483</v>
      </c>
      <c r="AQ337" s="763">
        <f t="shared" si="830"/>
        <v>3571775.568480128</v>
      </c>
      <c r="AR337" s="1178">
        <f t="shared" si="800"/>
        <v>3000000</v>
      </c>
      <c r="AS337" s="1178">
        <f t="shared" si="831"/>
        <v>25989.798567278543</v>
      </c>
      <c r="AT337" s="1178">
        <f t="shared" si="832"/>
        <v>571775.56848012796</v>
      </c>
      <c r="AU337" s="1178">
        <f t="shared" si="801"/>
        <v>68613.06821761535</v>
      </c>
      <c r="AV337" s="1178">
        <f t="shared" si="833"/>
        <v>640388.63669774332</v>
      </c>
      <c r="AW337" s="1178">
        <f t="shared" si="834"/>
        <v>3640388.6366977431</v>
      </c>
      <c r="AX337" s="762">
        <f t="shared" si="835"/>
        <v>45504.85795872179</v>
      </c>
      <c r="AY337" s="717" t="s">
        <v>231</v>
      </c>
      <c r="AZ337" s="717">
        <f t="shared" si="836"/>
        <v>3685893.494656465</v>
      </c>
      <c r="BA337" s="717">
        <f t="shared" si="837"/>
        <v>138221.00604961743</v>
      </c>
      <c r="BB337" s="717"/>
      <c r="BC337" s="717">
        <f t="shared" si="802"/>
        <v>33600</v>
      </c>
      <c r="BD337" s="717">
        <f t="shared" si="838"/>
        <v>3857714.5007060822</v>
      </c>
      <c r="BE337" s="717"/>
      <c r="BF337" s="717">
        <f t="shared" si="839"/>
        <v>3857714.5007060822</v>
      </c>
      <c r="BG337" s="1209"/>
      <c r="BH337" s="717">
        <f t="shared" si="840"/>
        <v>3857714.5007060822</v>
      </c>
      <c r="BI337" s="717"/>
      <c r="BJ337" s="717">
        <f t="shared" si="841"/>
        <v>3857714.5007060822</v>
      </c>
      <c r="BK337" s="717"/>
      <c r="BL337" s="717">
        <f t="shared" si="842"/>
        <v>3857714.5007060822</v>
      </c>
      <c r="BM337" s="717"/>
      <c r="BN337" s="717">
        <f t="shared" si="843"/>
        <v>3857714.5007060822</v>
      </c>
      <c r="BO337" s="717"/>
      <c r="BP337" s="717">
        <f t="shared" si="803"/>
        <v>3857714.5007060822</v>
      </c>
      <c r="BQ337" s="717"/>
      <c r="BR337" s="717">
        <f t="shared" si="738"/>
        <v>3857714.5007060822</v>
      </c>
      <c r="BS337" s="717"/>
      <c r="BT337" s="717">
        <f t="shared" si="844"/>
        <v>3857714.5007060822</v>
      </c>
      <c r="BU337" s="717"/>
      <c r="BV337" s="1235">
        <f t="shared" si="739"/>
        <v>51400</v>
      </c>
      <c r="BW337" s="717">
        <f t="shared" si="845"/>
        <v>3909114.5007060822</v>
      </c>
      <c r="BX337" s="717"/>
      <c r="BY337" s="717">
        <f t="shared" si="846"/>
        <v>3909114.5007060822</v>
      </c>
      <c r="BZ337" s="1194">
        <f t="shared" si="847"/>
        <v>3909114.5007060822</v>
      </c>
      <c r="CA337" s="1194">
        <f t="shared" si="848"/>
        <v>3029114.5007060822</v>
      </c>
      <c r="CB337" s="1194">
        <v>40000</v>
      </c>
      <c r="CC337" s="1194">
        <f t="shared" si="849"/>
        <v>880000</v>
      </c>
      <c r="CD337" s="1194">
        <f t="shared" si="850"/>
        <v>105600</v>
      </c>
      <c r="CE337" s="1194">
        <f t="shared" si="851"/>
        <v>985600</v>
      </c>
      <c r="CF337" s="1200">
        <f t="shared" si="852"/>
        <v>4014714.5007060822</v>
      </c>
      <c r="CG337" s="757">
        <f t="shared" si="853"/>
        <v>4014714.5007060822</v>
      </c>
      <c r="CH337" s="758">
        <f t="shared" si="854"/>
        <v>0</v>
      </c>
      <c r="CI337" s="757">
        <f t="shared" si="804"/>
        <v>411508.23632237338</v>
      </c>
      <c r="CJ337" s="757">
        <f t="shared" si="805"/>
        <v>100367.86251765206</v>
      </c>
      <c r="CK337" s="759">
        <f t="shared" si="747"/>
        <v>4526590.5995461075</v>
      </c>
      <c r="CL337" s="764">
        <f t="shared" si="855"/>
        <v>0.125</v>
      </c>
      <c r="CM337" s="757">
        <f t="shared" si="856"/>
        <v>565823.82494326343</v>
      </c>
      <c r="CN337" s="757">
        <f t="shared" si="898"/>
        <v>30000</v>
      </c>
      <c r="CO337" s="757">
        <f t="shared" si="857"/>
        <v>535823.82494326343</v>
      </c>
      <c r="CP337" s="755">
        <f t="shared" si="858"/>
        <v>31</v>
      </c>
      <c r="CQ337" s="757">
        <f t="shared" si="901"/>
        <v>17284.639514298822</v>
      </c>
      <c r="CR337" s="764">
        <f t="shared" si="859"/>
        <v>0.875</v>
      </c>
      <c r="CS337" s="757">
        <f t="shared" si="860"/>
        <v>3960766.7746028439</v>
      </c>
      <c r="CT337" s="1101">
        <f t="shared" si="861"/>
        <v>30707.782645841882</v>
      </c>
      <c r="CU337" s="1101">
        <f t="shared" si="862"/>
        <v>35600.491512660185</v>
      </c>
      <c r="CV337" s="1101">
        <f t="shared" si="863"/>
        <v>45987.860673879099</v>
      </c>
      <c r="CW337" s="1141">
        <f t="shared" si="806"/>
        <v>78427.929275930772</v>
      </c>
      <c r="CX337" s="1152">
        <f t="shared" si="864"/>
        <v>321745.67445476446</v>
      </c>
      <c r="CY337" s="1152">
        <f t="shared" si="865"/>
        <v>127313.19606858582</v>
      </c>
      <c r="CZ337" s="1152">
        <f t="shared" si="866"/>
        <v>91956.518358768255</v>
      </c>
      <c r="DA337" s="1152">
        <f t="shared" si="867"/>
        <v>69983.143930478778</v>
      </c>
      <c r="DB337" s="1143">
        <f t="shared" si="807"/>
        <v>0.19059185616004265</v>
      </c>
      <c r="DC337" s="1143">
        <f t="shared" si="868"/>
        <v>0.32537561712185459</v>
      </c>
      <c r="DD337" s="1098" t="s">
        <v>232</v>
      </c>
      <c r="DE337" s="1144"/>
      <c r="DF337" s="705"/>
      <c r="DG337" s="765">
        <f t="shared" si="899"/>
        <v>46082</v>
      </c>
      <c r="DH337" s="1116">
        <f t="shared" si="808"/>
        <v>28</v>
      </c>
      <c r="DI337" s="497"/>
      <c r="DJ337" s="1117">
        <f t="shared" si="869"/>
        <v>46147</v>
      </c>
      <c r="DK337" s="1116">
        <f t="shared" si="870"/>
        <v>30</v>
      </c>
      <c r="DL337" s="766" t="s">
        <v>233</v>
      </c>
      <c r="DM337" s="766" t="s">
        <v>234</v>
      </c>
      <c r="DN337" s="767">
        <f t="shared" si="809"/>
        <v>29108.57439535197</v>
      </c>
      <c r="DO337" s="767">
        <f t="shared" si="810"/>
        <v>640388.63669774332</v>
      </c>
      <c r="DP337" s="768">
        <f t="shared" si="811"/>
        <v>0.21346287889924778</v>
      </c>
      <c r="DR337" s="767">
        <f t="shared" si="812"/>
        <v>4014714.5007060822</v>
      </c>
      <c r="DS337" s="767">
        <f>SUM('[6]INTERNAL PRICELIST'!M337)</f>
        <v>0</v>
      </c>
      <c r="DT337" s="767">
        <f t="shared" si="871"/>
        <v>4014714.5007060822</v>
      </c>
      <c r="DV337" s="951">
        <f t="shared" si="813"/>
        <v>182487.02275936736</v>
      </c>
      <c r="DX337" s="781"/>
      <c r="DY337" s="782"/>
      <c r="DZ337" s="781"/>
      <c r="EA337" s="775"/>
      <c r="ED337" s="755" t="s">
        <v>800</v>
      </c>
      <c r="EE337" s="777" t="b">
        <f t="shared" si="814"/>
        <v>1</v>
      </c>
      <c r="EF337" s="777"/>
      <c r="EG337" s="777"/>
      <c r="EH337" s="1203"/>
      <c r="EP337" s="1230" t="s">
        <v>236</v>
      </c>
      <c r="EQ337" s="1145" t="s">
        <v>236</v>
      </c>
      <c r="ER337" s="753" t="b">
        <f t="shared" si="872"/>
        <v>1</v>
      </c>
      <c r="EU337" s="770">
        <v>3209496.1774007287</v>
      </c>
      <c r="EV337" s="771" t="s">
        <v>258</v>
      </c>
      <c r="EW337" s="775">
        <f t="shared" si="774"/>
        <v>-805218.32330535352</v>
      </c>
      <c r="EY337" s="775">
        <v>3175432.1472727996</v>
      </c>
      <c r="FJ337" s="994">
        <v>0.15</v>
      </c>
      <c r="FK337" s="993">
        <v>13819.818797865502</v>
      </c>
      <c r="FL337" s="993">
        <v>14193.32741402403</v>
      </c>
      <c r="FM337" s="497"/>
      <c r="FN337" s="993">
        <f t="shared" si="815"/>
        <v>4526590.5995461075</v>
      </c>
      <c r="FO337" s="994">
        <f t="shared" si="902"/>
        <v>0.15</v>
      </c>
      <c r="FP337" s="775">
        <f t="shared" si="816"/>
        <v>678988.5899319161</v>
      </c>
      <c r="FQ337" s="993">
        <f t="shared" si="817"/>
        <v>30000</v>
      </c>
      <c r="FR337" s="775">
        <f t="shared" si="874"/>
        <v>648988.5899319161</v>
      </c>
      <c r="FS337" s="497">
        <f t="shared" si="875"/>
        <v>40</v>
      </c>
      <c r="FT337" s="775">
        <f t="shared" si="876"/>
        <v>16224.714748297902</v>
      </c>
      <c r="FU337" s="497"/>
      <c r="FV337" s="993">
        <f t="shared" si="877"/>
        <v>4526590.5995461075</v>
      </c>
      <c r="FW337" s="705">
        <f t="shared" si="878"/>
        <v>452659.05995461077</v>
      </c>
      <c r="FX337" s="705">
        <f t="shared" si="879"/>
        <v>113164.76498865269</v>
      </c>
      <c r="FY337" s="705">
        <v>15000</v>
      </c>
      <c r="FZ337" s="705">
        <f t="shared" si="880"/>
        <v>437659.05995461077</v>
      </c>
      <c r="GA337" s="497">
        <f t="shared" si="881"/>
        <v>46</v>
      </c>
      <c r="GB337" s="775">
        <f t="shared" si="882"/>
        <v>9514.327390317625</v>
      </c>
      <c r="GC337" s="497"/>
      <c r="GD337" s="497"/>
      <c r="GH337" s="1095">
        <f t="shared" si="782"/>
        <v>4526590.5995461075</v>
      </c>
      <c r="GI337" s="1098">
        <f t="shared" si="783"/>
        <v>0.125</v>
      </c>
      <c r="GJ337" s="1095">
        <f t="shared" si="784"/>
        <v>565823.82494326343</v>
      </c>
      <c r="GK337" s="1095">
        <f t="shared" si="785"/>
        <v>30000</v>
      </c>
      <c r="GL337" s="1095">
        <f t="shared" si="786"/>
        <v>535823.82494326343</v>
      </c>
      <c r="GM337" s="1095">
        <f t="shared" si="787"/>
        <v>31</v>
      </c>
      <c r="GN337" s="1095">
        <f t="shared" si="788"/>
        <v>17284.639514298822</v>
      </c>
      <c r="GO337" s="1098">
        <f t="shared" si="789"/>
        <v>0.875</v>
      </c>
      <c r="GP337" s="1095">
        <f t="shared" si="790"/>
        <v>3960766.7746028439</v>
      </c>
      <c r="GQ337" s="1095">
        <f t="shared" si="791"/>
        <v>30707.782645841882</v>
      </c>
      <c r="GR337" s="1095">
        <f t="shared" si="792"/>
        <v>35600.491512660185</v>
      </c>
      <c r="GS337" s="1095">
        <f t="shared" si="793"/>
        <v>45987.860673879099</v>
      </c>
      <c r="GT337" s="1095">
        <f t="shared" si="794"/>
        <v>78427.929275930772</v>
      </c>
      <c r="GU337" s="497"/>
      <c r="GV337" s="1095">
        <f t="shared" si="883"/>
        <v>4526590.5995461075</v>
      </c>
      <c r="GW337" s="1098">
        <f t="shared" si="884"/>
        <v>0.125</v>
      </c>
      <c r="GX337" s="1095">
        <f t="shared" si="885"/>
        <v>565823.82494326343</v>
      </c>
      <c r="GY337" s="1095">
        <f t="shared" si="886"/>
        <v>30000</v>
      </c>
      <c r="GZ337" s="1095">
        <f t="shared" si="887"/>
        <v>535823.82494326343</v>
      </c>
      <c r="HA337" s="1106">
        <f t="shared" si="888"/>
        <v>48</v>
      </c>
      <c r="HB337" s="770">
        <f t="shared" si="889"/>
        <v>11162.996352984655</v>
      </c>
      <c r="HC337" s="1098">
        <f t="shared" si="890"/>
        <v>0.875</v>
      </c>
      <c r="HD337" s="1102">
        <f t="shared" si="891"/>
        <v>3960766.7746028439</v>
      </c>
      <c r="HE337" s="1101">
        <f t="shared" si="892"/>
        <v>30707.782645841882</v>
      </c>
      <c r="HF337" s="1101">
        <f t="shared" si="893"/>
        <v>35600.491512660185</v>
      </c>
      <c r="HG337" s="1101">
        <f t="shared" si="894"/>
        <v>45987.860673879099</v>
      </c>
      <c r="HH337" s="1101">
        <f t="shared" si="895"/>
        <v>78427.929275930772</v>
      </c>
      <c r="HI337" s="497"/>
      <c r="HJ337" s="1102">
        <f t="shared" si="896"/>
        <v>-6121.6431613141667</v>
      </c>
      <c r="HL337" s="775"/>
      <c r="HN337" s="775"/>
      <c r="HO337" s="775"/>
      <c r="HQ337" s="702"/>
      <c r="HR337" s="1171"/>
      <c r="HS337" s="702"/>
      <c r="HT337" s="1171"/>
    </row>
    <row r="338" spans="1:228" ht="14.25" hidden="1" customHeight="1">
      <c r="A338" s="753">
        <f t="shared" si="897"/>
        <v>332</v>
      </c>
      <c r="B338" s="753"/>
      <c r="C338" s="753">
        <f t="shared" si="772"/>
        <v>22</v>
      </c>
      <c r="D338" s="753" t="s">
        <v>779</v>
      </c>
      <c r="E338" s="717" t="s">
        <v>292</v>
      </c>
      <c r="F338" s="754"/>
      <c r="G338" s="756" t="s">
        <v>801</v>
      </c>
      <c r="H338" s="756"/>
      <c r="I338" s="755" t="s">
        <v>229</v>
      </c>
      <c r="J338" s="757">
        <v>22</v>
      </c>
      <c r="K338" s="758"/>
      <c r="L338" s="759" t="s">
        <v>69</v>
      </c>
      <c r="M338" s="760" t="s">
        <v>68</v>
      </c>
      <c r="N338" s="761">
        <f t="shared" si="818"/>
        <v>106005.26567735759</v>
      </c>
      <c r="O338" s="762">
        <f t="shared" si="819"/>
        <v>2332115.8449018667</v>
      </c>
      <c r="P338" s="762">
        <f t="shared" si="820"/>
        <v>22400</v>
      </c>
      <c r="Q338" s="762">
        <f t="shared" si="795"/>
        <v>50000</v>
      </c>
      <c r="R338" s="762"/>
      <c r="S338" s="762"/>
      <c r="T338" s="762"/>
      <c r="U338" s="762"/>
      <c r="V338" s="762"/>
      <c r="W338" s="762"/>
      <c r="X338" s="762"/>
      <c r="Y338" s="762">
        <f t="shared" si="773"/>
        <v>180000</v>
      </c>
      <c r="Z338" s="762">
        <f t="shared" si="796"/>
        <v>142461</v>
      </c>
      <c r="AA338" s="762"/>
      <c r="AB338" s="762"/>
      <c r="AC338" s="762"/>
      <c r="AD338" s="763">
        <f t="shared" si="821"/>
        <v>394861</v>
      </c>
      <c r="AE338" s="763">
        <f t="shared" si="797"/>
        <v>2726976.8449018667</v>
      </c>
      <c r="AF338" s="762">
        <f t="shared" si="798"/>
        <v>68174.421122546672</v>
      </c>
      <c r="AG338" s="762">
        <f t="shared" si="822"/>
        <v>2795151.2660244135</v>
      </c>
      <c r="AH338" s="762">
        <f t="shared" si="799"/>
        <v>69878.781650610341</v>
      </c>
      <c r="AI338" s="762">
        <f t="shared" si="823"/>
        <v>2865030.0476750238</v>
      </c>
      <c r="AJ338" s="762">
        <f t="shared" si="824"/>
        <v>143251.50238375118</v>
      </c>
      <c r="AK338" s="762">
        <f t="shared" si="825"/>
        <v>3008281.5500587751</v>
      </c>
      <c r="AL338" s="762">
        <f t="shared" si="826"/>
        <v>30082.815500587752</v>
      </c>
      <c r="AM338" s="762">
        <f t="shared" si="827"/>
        <v>27537.409960060559</v>
      </c>
      <c r="AN338" s="762"/>
      <c r="AO338" s="763">
        <f t="shared" si="828"/>
        <v>3065901.7755194232</v>
      </c>
      <c r="AP338" s="763">
        <f t="shared" si="829"/>
        <v>505873.79296070483</v>
      </c>
      <c r="AQ338" s="763">
        <f t="shared" si="830"/>
        <v>3571775.568480128</v>
      </c>
      <c r="AR338" s="1178">
        <f t="shared" si="800"/>
        <v>3000000</v>
      </c>
      <c r="AS338" s="1178">
        <f t="shared" si="831"/>
        <v>25989.798567278543</v>
      </c>
      <c r="AT338" s="1178">
        <f t="shared" si="832"/>
        <v>571775.56848012796</v>
      </c>
      <c r="AU338" s="1178">
        <f t="shared" si="801"/>
        <v>68613.06821761535</v>
      </c>
      <c r="AV338" s="1178">
        <f t="shared" si="833"/>
        <v>640388.63669774332</v>
      </c>
      <c r="AW338" s="1178">
        <f t="shared" si="834"/>
        <v>3640388.6366977431</v>
      </c>
      <c r="AX338" s="762">
        <f t="shared" si="835"/>
        <v>45504.85795872179</v>
      </c>
      <c r="AY338" s="717" t="s">
        <v>231</v>
      </c>
      <c r="AZ338" s="717">
        <f t="shared" si="836"/>
        <v>3685893.494656465</v>
      </c>
      <c r="BA338" s="717">
        <f t="shared" si="837"/>
        <v>138221.00604961743</v>
      </c>
      <c r="BB338" s="717"/>
      <c r="BC338" s="717">
        <f t="shared" si="802"/>
        <v>33600</v>
      </c>
      <c r="BD338" s="717">
        <f t="shared" si="838"/>
        <v>3857714.5007060822</v>
      </c>
      <c r="BE338" s="717"/>
      <c r="BF338" s="717">
        <f t="shared" si="839"/>
        <v>3857714.5007060822</v>
      </c>
      <c r="BG338" s="1209"/>
      <c r="BH338" s="717">
        <f t="shared" si="840"/>
        <v>3857714.5007060822</v>
      </c>
      <c r="BI338" s="717"/>
      <c r="BJ338" s="717">
        <f t="shared" si="841"/>
        <v>3857714.5007060822</v>
      </c>
      <c r="BK338" s="717"/>
      <c r="BL338" s="717">
        <f t="shared" si="842"/>
        <v>3857714.5007060822</v>
      </c>
      <c r="BM338" s="717"/>
      <c r="BN338" s="717">
        <f t="shared" si="843"/>
        <v>3857714.5007060822</v>
      </c>
      <c r="BO338" s="717"/>
      <c r="BP338" s="717">
        <f t="shared" si="803"/>
        <v>3857714.5007060822</v>
      </c>
      <c r="BQ338" s="717"/>
      <c r="BR338" s="717">
        <f t="shared" ref="BR338:BR377" si="903">BP338+BQ338</f>
        <v>3857714.5007060822</v>
      </c>
      <c r="BS338" s="717"/>
      <c r="BT338" s="717">
        <f t="shared" si="844"/>
        <v>3857714.5007060822</v>
      </c>
      <c r="BU338" s="717"/>
      <c r="BV338" s="1235">
        <f t="shared" ref="BV338:BV378" si="904">$BV$2+$BV$3-BC338</f>
        <v>51400</v>
      </c>
      <c r="BW338" s="717">
        <f t="shared" si="845"/>
        <v>3909114.5007060822</v>
      </c>
      <c r="BX338" s="717"/>
      <c r="BY338" s="717">
        <f t="shared" si="846"/>
        <v>3909114.5007060822</v>
      </c>
      <c r="BZ338" s="1194">
        <f t="shared" si="847"/>
        <v>3909114.5007060822</v>
      </c>
      <c r="CA338" s="1194">
        <f t="shared" si="848"/>
        <v>3029114.5007060822</v>
      </c>
      <c r="CB338" s="1194">
        <v>40000</v>
      </c>
      <c r="CC338" s="1194">
        <f t="shared" si="849"/>
        <v>880000</v>
      </c>
      <c r="CD338" s="1194">
        <f t="shared" si="850"/>
        <v>105600</v>
      </c>
      <c r="CE338" s="1194">
        <f t="shared" si="851"/>
        <v>985600</v>
      </c>
      <c r="CF338" s="1200">
        <f t="shared" si="852"/>
        <v>4014714.5007060822</v>
      </c>
      <c r="CG338" s="757">
        <f t="shared" si="853"/>
        <v>4014714.5007060822</v>
      </c>
      <c r="CH338" s="758">
        <f t="shared" si="854"/>
        <v>0</v>
      </c>
      <c r="CI338" s="757">
        <f t="shared" si="804"/>
        <v>411508.23632237338</v>
      </c>
      <c r="CJ338" s="757">
        <f t="shared" si="805"/>
        <v>100367.86251765206</v>
      </c>
      <c r="CK338" s="759">
        <f t="shared" si="747"/>
        <v>4526590.5995461075</v>
      </c>
      <c r="CL338" s="764">
        <f t="shared" si="855"/>
        <v>0.125</v>
      </c>
      <c r="CM338" s="757">
        <f t="shared" si="856"/>
        <v>565823.82494326343</v>
      </c>
      <c r="CN338" s="757">
        <f t="shared" si="898"/>
        <v>30000</v>
      </c>
      <c r="CO338" s="757">
        <f t="shared" si="857"/>
        <v>535823.82494326343</v>
      </c>
      <c r="CP338" s="755">
        <f t="shared" si="858"/>
        <v>31</v>
      </c>
      <c r="CQ338" s="757">
        <f t="shared" si="901"/>
        <v>17284.639514298822</v>
      </c>
      <c r="CR338" s="764">
        <f t="shared" si="859"/>
        <v>0.875</v>
      </c>
      <c r="CS338" s="757">
        <f t="shared" si="860"/>
        <v>3960766.7746028439</v>
      </c>
      <c r="CT338" s="1101">
        <f t="shared" si="861"/>
        <v>30707.782645841882</v>
      </c>
      <c r="CU338" s="1101">
        <f t="shared" si="862"/>
        <v>35600.491512660185</v>
      </c>
      <c r="CV338" s="1101">
        <f t="shared" si="863"/>
        <v>45987.860673879099</v>
      </c>
      <c r="CW338" s="1141">
        <f t="shared" si="806"/>
        <v>78427.929275930772</v>
      </c>
      <c r="CX338" s="1152">
        <f t="shared" si="864"/>
        <v>321745.67445476446</v>
      </c>
      <c r="CY338" s="1152">
        <f t="shared" si="865"/>
        <v>127313.19606858582</v>
      </c>
      <c r="CZ338" s="1152">
        <f t="shared" si="866"/>
        <v>91956.518358768255</v>
      </c>
      <c r="DA338" s="1152">
        <f t="shared" si="867"/>
        <v>69983.143930478778</v>
      </c>
      <c r="DB338" s="1143">
        <f t="shared" si="807"/>
        <v>0.19059185616004265</v>
      </c>
      <c r="DC338" s="1143">
        <f t="shared" si="868"/>
        <v>0.32537561712185459</v>
      </c>
      <c r="DD338" s="1098" t="s">
        <v>232</v>
      </c>
      <c r="DE338" s="1144"/>
      <c r="DF338" s="705"/>
      <c r="DG338" s="765">
        <f t="shared" si="899"/>
        <v>46082</v>
      </c>
      <c r="DH338" s="1116">
        <f t="shared" si="808"/>
        <v>28</v>
      </c>
      <c r="DI338" s="497"/>
      <c r="DJ338" s="1117">
        <f t="shared" si="869"/>
        <v>46147</v>
      </c>
      <c r="DK338" s="1116">
        <f t="shared" si="870"/>
        <v>30</v>
      </c>
      <c r="DL338" s="766" t="s">
        <v>233</v>
      </c>
      <c r="DM338" s="766" t="s">
        <v>234</v>
      </c>
      <c r="DN338" s="767">
        <f t="shared" si="809"/>
        <v>29108.57439535197</v>
      </c>
      <c r="DO338" s="767">
        <f t="shared" si="810"/>
        <v>640388.63669774332</v>
      </c>
      <c r="DP338" s="768">
        <f t="shared" si="811"/>
        <v>0.21346287889924778</v>
      </c>
      <c r="DR338" s="767">
        <f t="shared" si="812"/>
        <v>4014714.5007060822</v>
      </c>
      <c r="DS338" s="767">
        <f>SUM('[6]INTERNAL PRICELIST'!M338)</f>
        <v>0</v>
      </c>
      <c r="DT338" s="767">
        <f t="shared" si="871"/>
        <v>4014714.5007060822</v>
      </c>
      <c r="DV338" s="951">
        <f t="shared" si="813"/>
        <v>182487.02275936736</v>
      </c>
      <c r="DX338" s="781"/>
      <c r="DY338" s="782"/>
      <c r="DZ338" s="781"/>
      <c r="EA338" s="775"/>
      <c r="ED338" s="755" t="s">
        <v>801</v>
      </c>
      <c r="EE338" s="777" t="b">
        <f t="shared" si="814"/>
        <v>1</v>
      </c>
      <c r="EF338" s="777"/>
      <c r="EG338" s="777"/>
      <c r="EH338" s="1203"/>
      <c r="EP338" s="1230" t="s">
        <v>236</v>
      </c>
      <c r="EQ338" s="1145" t="s">
        <v>236</v>
      </c>
      <c r="ER338" s="753" t="b">
        <f t="shared" si="872"/>
        <v>1</v>
      </c>
      <c r="EU338" s="770">
        <v>3209496.1774007287</v>
      </c>
      <c r="EV338" s="771" t="s">
        <v>258</v>
      </c>
      <c r="EW338" s="775">
        <f t="shared" si="774"/>
        <v>-805218.32330535352</v>
      </c>
      <c r="EY338" s="775">
        <v>3175432.1472727996</v>
      </c>
      <c r="FJ338" s="994">
        <v>0.15</v>
      </c>
      <c r="FK338" s="993">
        <v>13819.818797865502</v>
      </c>
      <c r="FL338" s="993">
        <v>14193.32741402403</v>
      </c>
      <c r="FM338" s="497"/>
      <c r="FN338" s="993">
        <f t="shared" si="815"/>
        <v>4526590.5995461075</v>
      </c>
      <c r="FO338" s="994">
        <f t="shared" si="902"/>
        <v>0.15</v>
      </c>
      <c r="FP338" s="775">
        <f t="shared" si="816"/>
        <v>678988.5899319161</v>
      </c>
      <c r="FQ338" s="993">
        <f t="shared" si="817"/>
        <v>30000</v>
      </c>
      <c r="FR338" s="775">
        <f t="shared" si="874"/>
        <v>648988.5899319161</v>
      </c>
      <c r="FS338" s="497">
        <f t="shared" si="875"/>
        <v>40</v>
      </c>
      <c r="FT338" s="775">
        <f t="shared" si="876"/>
        <v>16224.714748297902</v>
      </c>
      <c r="FU338" s="497"/>
      <c r="FV338" s="993">
        <f t="shared" si="877"/>
        <v>4526590.5995461075</v>
      </c>
      <c r="FW338" s="705">
        <f t="shared" si="878"/>
        <v>452659.05995461077</v>
      </c>
      <c r="FX338" s="705">
        <f t="shared" si="879"/>
        <v>113164.76498865269</v>
      </c>
      <c r="FY338" s="705">
        <v>15000</v>
      </c>
      <c r="FZ338" s="705">
        <f t="shared" si="880"/>
        <v>437659.05995461077</v>
      </c>
      <c r="GA338" s="497">
        <f t="shared" si="881"/>
        <v>46</v>
      </c>
      <c r="GB338" s="775">
        <f t="shared" si="882"/>
        <v>9514.327390317625</v>
      </c>
      <c r="GC338" s="497"/>
      <c r="GD338" s="497"/>
      <c r="GH338" s="1095">
        <f t="shared" si="782"/>
        <v>4526590.5995461075</v>
      </c>
      <c r="GI338" s="1098">
        <f t="shared" si="783"/>
        <v>0.125</v>
      </c>
      <c r="GJ338" s="1095">
        <f t="shared" si="784"/>
        <v>565823.82494326343</v>
      </c>
      <c r="GK338" s="1095">
        <f t="shared" si="785"/>
        <v>30000</v>
      </c>
      <c r="GL338" s="1095">
        <f t="shared" si="786"/>
        <v>535823.82494326343</v>
      </c>
      <c r="GM338" s="1095">
        <f t="shared" si="787"/>
        <v>31</v>
      </c>
      <c r="GN338" s="1095">
        <f t="shared" si="788"/>
        <v>17284.639514298822</v>
      </c>
      <c r="GO338" s="1098">
        <f t="shared" si="789"/>
        <v>0.875</v>
      </c>
      <c r="GP338" s="1095">
        <f t="shared" si="790"/>
        <v>3960766.7746028439</v>
      </c>
      <c r="GQ338" s="1095">
        <f t="shared" si="791"/>
        <v>30707.782645841882</v>
      </c>
      <c r="GR338" s="1095">
        <f t="shared" si="792"/>
        <v>35600.491512660185</v>
      </c>
      <c r="GS338" s="1095">
        <f t="shared" si="793"/>
        <v>45987.860673879099</v>
      </c>
      <c r="GT338" s="1095">
        <f t="shared" si="794"/>
        <v>78427.929275930772</v>
      </c>
      <c r="GU338" s="497"/>
      <c r="GV338" s="1095">
        <f t="shared" si="883"/>
        <v>4526590.5995461075</v>
      </c>
      <c r="GW338" s="1098">
        <f t="shared" si="884"/>
        <v>0.125</v>
      </c>
      <c r="GX338" s="1095">
        <f t="shared" si="885"/>
        <v>565823.82494326343</v>
      </c>
      <c r="GY338" s="1095">
        <f t="shared" si="886"/>
        <v>30000</v>
      </c>
      <c r="GZ338" s="1095">
        <f t="shared" si="887"/>
        <v>535823.82494326343</v>
      </c>
      <c r="HA338" s="1106">
        <f t="shared" si="888"/>
        <v>48</v>
      </c>
      <c r="HB338" s="770">
        <f t="shared" si="889"/>
        <v>11162.996352984655</v>
      </c>
      <c r="HC338" s="1098">
        <f t="shared" si="890"/>
        <v>0.875</v>
      </c>
      <c r="HD338" s="1102">
        <f t="shared" si="891"/>
        <v>3960766.7746028439</v>
      </c>
      <c r="HE338" s="1101">
        <f t="shared" si="892"/>
        <v>30707.782645841882</v>
      </c>
      <c r="HF338" s="1101">
        <f t="shared" si="893"/>
        <v>35600.491512660185</v>
      </c>
      <c r="HG338" s="1101">
        <f t="shared" si="894"/>
        <v>45987.860673879099</v>
      </c>
      <c r="HH338" s="1101">
        <f t="shared" si="895"/>
        <v>78427.929275930772</v>
      </c>
      <c r="HI338" s="497"/>
      <c r="HJ338" s="1102">
        <f t="shared" si="896"/>
        <v>-6121.6431613141667</v>
      </c>
      <c r="HL338" s="775"/>
      <c r="HN338" s="775"/>
      <c r="HO338" s="775"/>
      <c r="HQ338" s="702"/>
      <c r="HR338" s="1171"/>
      <c r="HS338" s="702"/>
      <c r="HT338" s="1171"/>
    </row>
    <row r="339" spans="1:228" ht="14.25" hidden="1" customHeight="1">
      <c r="A339" s="753">
        <f t="shared" si="897"/>
        <v>333</v>
      </c>
      <c r="B339" s="753"/>
      <c r="C339" s="753">
        <f t="shared" si="772"/>
        <v>23</v>
      </c>
      <c r="D339" s="753" t="s">
        <v>779</v>
      </c>
      <c r="E339" s="717" t="s">
        <v>292</v>
      </c>
      <c r="F339" s="754"/>
      <c r="G339" s="756" t="s">
        <v>802</v>
      </c>
      <c r="H339" s="756"/>
      <c r="I339" s="755" t="s">
        <v>229</v>
      </c>
      <c r="J339" s="757">
        <v>22</v>
      </c>
      <c r="K339" s="758"/>
      <c r="L339" s="759" t="s">
        <v>69</v>
      </c>
      <c r="M339" s="760" t="s">
        <v>68</v>
      </c>
      <c r="N339" s="761">
        <f t="shared" si="818"/>
        <v>106005.26567735759</v>
      </c>
      <c r="O339" s="762">
        <f t="shared" si="819"/>
        <v>2332115.8449018667</v>
      </c>
      <c r="P339" s="762">
        <f t="shared" si="820"/>
        <v>22400</v>
      </c>
      <c r="Q339" s="762">
        <f t="shared" si="795"/>
        <v>50000</v>
      </c>
      <c r="R339" s="762"/>
      <c r="S339" s="762"/>
      <c r="T339" s="762"/>
      <c r="U339" s="762"/>
      <c r="V339" s="762"/>
      <c r="W339" s="762"/>
      <c r="X339" s="762"/>
      <c r="Y339" s="762">
        <f t="shared" si="773"/>
        <v>180000</v>
      </c>
      <c r="Z339" s="762">
        <f t="shared" si="796"/>
        <v>142461</v>
      </c>
      <c r="AA339" s="762"/>
      <c r="AB339" s="762"/>
      <c r="AC339" s="762"/>
      <c r="AD339" s="763">
        <f t="shared" si="821"/>
        <v>394861</v>
      </c>
      <c r="AE339" s="763">
        <f t="shared" si="797"/>
        <v>2726976.8449018667</v>
      </c>
      <c r="AF339" s="762">
        <f t="shared" si="798"/>
        <v>68174.421122546672</v>
      </c>
      <c r="AG339" s="762">
        <f t="shared" si="822"/>
        <v>2795151.2660244135</v>
      </c>
      <c r="AH339" s="762">
        <f t="shared" si="799"/>
        <v>69878.781650610341</v>
      </c>
      <c r="AI339" s="762">
        <f t="shared" si="823"/>
        <v>2865030.0476750238</v>
      </c>
      <c r="AJ339" s="762">
        <f t="shared" si="824"/>
        <v>143251.50238375118</v>
      </c>
      <c r="AK339" s="762">
        <f t="shared" si="825"/>
        <v>3008281.5500587751</v>
      </c>
      <c r="AL339" s="762">
        <f t="shared" si="826"/>
        <v>30082.815500587752</v>
      </c>
      <c r="AM339" s="762">
        <f t="shared" si="827"/>
        <v>27537.409960060559</v>
      </c>
      <c r="AN339" s="762"/>
      <c r="AO339" s="763">
        <f t="shared" si="828"/>
        <v>3065901.7755194232</v>
      </c>
      <c r="AP339" s="763">
        <f t="shared" si="829"/>
        <v>505873.79296070483</v>
      </c>
      <c r="AQ339" s="763">
        <f t="shared" si="830"/>
        <v>3571775.568480128</v>
      </c>
      <c r="AR339" s="1178">
        <f t="shared" si="800"/>
        <v>3000000</v>
      </c>
      <c r="AS339" s="1178">
        <f t="shared" si="831"/>
        <v>25989.798567278543</v>
      </c>
      <c r="AT339" s="1178">
        <f t="shared" si="832"/>
        <v>571775.56848012796</v>
      </c>
      <c r="AU339" s="1178">
        <f t="shared" si="801"/>
        <v>68613.06821761535</v>
      </c>
      <c r="AV339" s="1178">
        <f t="shared" si="833"/>
        <v>640388.63669774332</v>
      </c>
      <c r="AW339" s="1178">
        <f t="shared" si="834"/>
        <v>3640388.6366977431</v>
      </c>
      <c r="AX339" s="762">
        <f t="shared" si="835"/>
        <v>45504.85795872179</v>
      </c>
      <c r="AY339" s="717" t="s">
        <v>231</v>
      </c>
      <c r="AZ339" s="717">
        <f t="shared" si="836"/>
        <v>3685893.494656465</v>
      </c>
      <c r="BA339" s="717">
        <f t="shared" si="837"/>
        <v>138221.00604961743</v>
      </c>
      <c r="BB339" s="717"/>
      <c r="BC339" s="717">
        <f t="shared" si="802"/>
        <v>33600</v>
      </c>
      <c r="BD339" s="717">
        <f t="shared" si="838"/>
        <v>3857714.5007060822</v>
      </c>
      <c r="BE339" s="717"/>
      <c r="BF339" s="717">
        <f t="shared" si="839"/>
        <v>3857714.5007060822</v>
      </c>
      <c r="BG339" s="1209"/>
      <c r="BH339" s="717">
        <f t="shared" si="840"/>
        <v>3857714.5007060822</v>
      </c>
      <c r="BI339" s="717"/>
      <c r="BJ339" s="717">
        <f t="shared" si="841"/>
        <v>3857714.5007060822</v>
      </c>
      <c r="BK339" s="717"/>
      <c r="BL339" s="717">
        <f t="shared" si="842"/>
        <v>3857714.5007060822</v>
      </c>
      <c r="BM339" s="717"/>
      <c r="BN339" s="717">
        <f t="shared" si="843"/>
        <v>3857714.5007060822</v>
      </c>
      <c r="BO339" s="717"/>
      <c r="BP339" s="717">
        <f t="shared" si="803"/>
        <v>3857714.5007060822</v>
      </c>
      <c r="BQ339" s="717"/>
      <c r="BR339" s="717">
        <f t="shared" si="903"/>
        <v>3857714.5007060822</v>
      </c>
      <c r="BS339" s="717"/>
      <c r="BT339" s="717">
        <f t="shared" si="844"/>
        <v>3857714.5007060822</v>
      </c>
      <c r="BU339" s="717"/>
      <c r="BV339" s="1235">
        <f t="shared" si="904"/>
        <v>51400</v>
      </c>
      <c r="BW339" s="717">
        <f t="shared" si="845"/>
        <v>3909114.5007060822</v>
      </c>
      <c r="BX339" s="717"/>
      <c r="BY339" s="717">
        <f t="shared" si="846"/>
        <v>3909114.5007060822</v>
      </c>
      <c r="BZ339" s="1194">
        <f t="shared" si="847"/>
        <v>3909114.5007060822</v>
      </c>
      <c r="CA339" s="1194">
        <f t="shared" si="848"/>
        <v>3029114.5007060822</v>
      </c>
      <c r="CB339" s="1194">
        <v>40000</v>
      </c>
      <c r="CC339" s="1194">
        <f t="shared" si="849"/>
        <v>880000</v>
      </c>
      <c r="CD339" s="1194">
        <f t="shared" si="850"/>
        <v>105600</v>
      </c>
      <c r="CE339" s="1194">
        <f t="shared" si="851"/>
        <v>985600</v>
      </c>
      <c r="CF339" s="1200">
        <f t="shared" si="852"/>
        <v>4014714.5007060822</v>
      </c>
      <c r="CG339" s="757">
        <f t="shared" si="853"/>
        <v>4014714.5007060822</v>
      </c>
      <c r="CH339" s="758">
        <f t="shared" si="854"/>
        <v>0</v>
      </c>
      <c r="CI339" s="757">
        <f t="shared" si="804"/>
        <v>411508.23632237338</v>
      </c>
      <c r="CJ339" s="757">
        <f t="shared" si="805"/>
        <v>100367.86251765206</v>
      </c>
      <c r="CK339" s="759">
        <f t="shared" si="747"/>
        <v>4526590.5995461075</v>
      </c>
      <c r="CL339" s="764">
        <f t="shared" si="855"/>
        <v>0.125</v>
      </c>
      <c r="CM339" s="757">
        <f t="shared" si="856"/>
        <v>565823.82494326343</v>
      </c>
      <c r="CN339" s="757">
        <f t="shared" si="898"/>
        <v>30000</v>
      </c>
      <c r="CO339" s="757">
        <f t="shared" si="857"/>
        <v>535823.82494326343</v>
      </c>
      <c r="CP339" s="755">
        <f t="shared" si="858"/>
        <v>31</v>
      </c>
      <c r="CQ339" s="757">
        <f t="shared" si="901"/>
        <v>17284.639514298822</v>
      </c>
      <c r="CR339" s="764">
        <f t="shared" si="859"/>
        <v>0.875</v>
      </c>
      <c r="CS339" s="757">
        <f t="shared" si="860"/>
        <v>3960766.7746028439</v>
      </c>
      <c r="CT339" s="1101">
        <f t="shared" si="861"/>
        <v>30707.782645841882</v>
      </c>
      <c r="CU339" s="1101">
        <f t="shared" si="862"/>
        <v>35600.491512660185</v>
      </c>
      <c r="CV339" s="1101">
        <f t="shared" si="863"/>
        <v>45987.860673879099</v>
      </c>
      <c r="CW339" s="1141">
        <f t="shared" si="806"/>
        <v>78427.929275930772</v>
      </c>
      <c r="CX339" s="1152">
        <f t="shared" si="864"/>
        <v>321745.67445476446</v>
      </c>
      <c r="CY339" s="1152">
        <f t="shared" si="865"/>
        <v>127313.19606858582</v>
      </c>
      <c r="CZ339" s="1152">
        <f t="shared" si="866"/>
        <v>91956.518358768255</v>
      </c>
      <c r="DA339" s="1152">
        <f t="shared" si="867"/>
        <v>69983.143930478778</v>
      </c>
      <c r="DB339" s="1143">
        <f t="shared" si="807"/>
        <v>0.19059185616004265</v>
      </c>
      <c r="DC339" s="1143">
        <f t="shared" si="868"/>
        <v>0.32537561712185459</v>
      </c>
      <c r="DD339" s="1098" t="s">
        <v>232</v>
      </c>
      <c r="DE339" s="1144"/>
      <c r="DF339" s="705"/>
      <c r="DG339" s="765">
        <f t="shared" si="899"/>
        <v>46082</v>
      </c>
      <c r="DH339" s="1116">
        <f t="shared" si="808"/>
        <v>28</v>
      </c>
      <c r="DI339" s="497"/>
      <c r="DJ339" s="1117">
        <f t="shared" si="869"/>
        <v>46147</v>
      </c>
      <c r="DK339" s="1116">
        <f t="shared" si="870"/>
        <v>30</v>
      </c>
      <c r="DL339" s="766" t="s">
        <v>233</v>
      </c>
      <c r="DM339" s="766" t="s">
        <v>234</v>
      </c>
      <c r="DN339" s="767">
        <f t="shared" si="809"/>
        <v>29108.57439535197</v>
      </c>
      <c r="DO339" s="767">
        <f t="shared" si="810"/>
        <v>640388.63669774332</v>
      </c>
      <c r="DP339" s="768">
        <f t="shared" si="811"/>
        <v>0.21346287889924778</v>
      </c>
      <c r="DR339" s="767">
        <f t="shared" si="812"/>
        <v>4014714.5007060822</v>
      </c>
      <c r="DS339" s="767">
        <f>SUM('[6]INTERNAL PRICELIST'!M339)</f>
        <v>0</v>
      </c>
      <c r="DT339" s="767">
        <f t="shared" si="871"/>
        <v>4014714.5007060822</v>
      </c>
      <c r="DV339" s="951">
        <f t="shared" si="813"/>
        <v>182487.02275936736</v>
      </c>
      <c r="DX339" s="781"/>
      <c r="DY339" s="782"/>
      <c r="DZ339" s="781"/>
      <c r="EA339" s="775"/>
      <c r="ED339" s="755" t="s">
        <v>802</v>
      </c>
      <c r="EE339" s="777" t="b">
        <f t="shared" si="814"/>
        <v>1</v>
      </c>
      <c r="EF339" s="777"/>
      <c r="EG339" s="777"/>
      <c r="EH339" s="1203"/>
      <c r="EP339" s="1230" t="s">
        <v>236</v>
      </c>
      <c r="EQ339" s="1145" t="s">
        <v>236</v>
      </c>
      <c r="ER339" s="753" t="b">
        <f t="shared" si="872"/>
        <v>1</v>
      </c>
      <c r="EU339" s="770">
        <v>3209496.1774007287</v>
      </c>
      <c r="EV339" s="771" t="s">
        <v>258</v>
      </c>
      <c r="EW339" s="775">
        <f t="shared" si="774"/>
        <v>-805218.32330535352</v>
      </c>
      <c r="EY339" s="775">
        <v>3175432.1472727996</v>
      </c>
      <c r="FJ339" s="994">
        <v>0.15</v>
      </c>
      <c r="FK339" s="993">
        <v>13819.818797865502</v>
      </c>
      <c r="FL339" s="993">
        <v>14193.32741402403</v>
      </c>
      <c r="FM339" s="497"/>
      <c r="FN339" s="993">
        <f t="shared" si="815"/>
        <v>4526590.5995461075</v>
      </c>
      <c r="FO339" s="994">
        <f t="shared" si="902"/>
        <v>0.15</v>
      </c>
      <c r="FP339" s="775">
        <f t="shared" si="816"/>
        <v>678988.5899319161</v>
      </c>
      <c r="FQ339" s="993">
        <f t="shared" si="817"/>
        <v>30000</v>
      </c>
      <c r="FR339" s="775">
        <f t="shared" si="874"/>
        <v>648988.5899319161</v>
      </c>
      <c r="FS339" s="497">
        <f t="shared" si="875"/>
        <v>40</v>
      </c>
      <c r="FT339" s="775">
        <f t="shared" si="876"/>
        <v>16224.714748297902</v>
      </c>
      <c r="FU339" s="497"/>
      <c r="FV339" s="993">
        <f t="shared" si="877"/>
        <v>4526590.5995461075</v>
      </c>
      <c r="FW339" s="705">
        <f t="shared" si="878"/>
        <v>452659.05995461077</v>
      </c>
      <c r="FX339" s="705">
        <f t="shared" si="879"/>
        <v>113164.76498865269</v>
      </c>
      <c r="FY339" s="705">
        <v>15000</v>
      </c>
      <c r="FZ339" s="705">
        <f t="shared" si="880"/>
        <v>437659.05995461077</v>
      </c>
      <c r="GA339" s="497">
        <f t="shared" si="881"/>
        <v>46</v>
      </c>
      <c r="GB339" s="775">
        <f t="shared" si="882"/>
        <v>9514.327390317625</v>
      </c>
      <c r="GC339" s="497"/>
      <c r="GD339" s="497"/>
      <c r="GH339" s="1095">
        <f t="shared" si="782"/>
        <v>4526590.5995461075</v>
      </c>
      <c r="GI339" s="1098">
        <f t="shared" si="783"/>
        <v>0.125</v>
      </c>
      <c r="GJ339" s="1095">
        <f t="shared" si="784"/>
        <v>565823.82494326343</v>
      </c>
      <c r="GK339" s="1095">
        <f t="shared" si="785"/>
        <v>30000</v>
      </c>
      <c r="GL339" s="1095">
        <f t="shared" si="786"/>
        <v>535823.82494326343</v>
      </c>
      <c r="GM339" s="1095">
        <f t="shared" si="787"/>
        <v>31</v>
      </c>
      <c r="GN339" s="1095">
        <f t="shared" si="788"/>
        <v>17284.639514298822</v>
      </c>
      <c r="GO339" s="1098">
        <f t="shared" si="789"/>
        <v>0.875</v>
      </c>
      <c r="GP339" s="1095">
        <f t="shared" si="790"/>
        <v>3960766.7746028439</v>
      </c>
      <c r="GQ339" s="1095">
        <f t="shared" si="791"/>
        <v>30707.782645841882</v>
      </c>
      <c r="GR339" s="1095">
        <f t="shared" si="792"/>
        <v>35600.491512660185</v>
      </c>
      <c r="GS339" s="1095">
        <f t="shared" si="793"/>
        <v>45987.860673879099</v>
      </c>
      <c r="GT339" s="1095">
        <f t="shared" si="794"/>
        <v>78427.929275930772</v>
      </c>
      <c r="GU339" s="497"/>
      <c r="GV339" s="1095">
        <f t="shared" si="883"/>
        <v>4526590.5995461075</v>
      </c>
      <c r="GW339" s="1098">
        <f t="shared" si="884"/>
        <v>0.125</v>
      </c>
      <c r="GX339" s="1095">
        <f t="shared" si="885"/>
        <v>565823.82494326343</v>
      </c>
      <c r="GY339" s="1095">
        <f t="shared" si="886"/>
        <v>30000</v>
      </c>
      <c r="GZ339" s="1095">
        <f t="shared" si="887"/>
        <v>535823.82494326343</v>
      </c>
      <c r="HA339" s="1106">
        <f t="shared" si="888"/>
        <v>48</v>
      </c>
      <c r="HB339" s="770">
        <f t="shared" si="889"/>
        <v>11162.996352984655</v>
      </c>
      <c r="HC339" s="1098">
        <f t="shared" si="890"/>
        <v>0.875</v>
      </c>
      <c r="HD339" s="1102">
        <f t="shared" si="891"/>
        <v>3960766.7746028439</v>
      </c>
      <c r="HE339" s="1101">
        <f t="shared" si="892"/>
        <v>30707.782645841882</v>
      </c>
      <c r="HF339" s="1101">
        <f t="shared" si="893"/>
        <v>35600.491512660185</v>
      </c>
      <c r="HG339" s="1101">
        <f t="shared" si="894"/>
        <v>45987.860673879099</v>
      </c>
      <c r="HH339" s="1101">
        <f t="shared" si="895"/>
        <v>78427.929275930772</v>
      </c>
      <c r="HI339" s="497"/>
      <c r="HJ339" s="1102">
        <f t="shared" si="896"/>
        <v>-6121.6431613141667</v>
      </c>
      <c r="HL339" s="775"/>
      <c r="HN339" s="775"/>
      <c r="HO339" s="775"/>
      <c r="HQ339" s="702"/>
      <c r="HR339" s="1171"/>
      <c r="HS339" s="702"/>
      <c r="HT339" s="1171"/>
    </row>
    <row r="340" spans="1:228" ht="14.25" hidden="1" customHeight="1">
      <c r="A340" s="753">
        <f t="shared" si="897"/>
        <v>334</v>
      </c>
      <c r="B340" s="753"/>
      <c r="C340" s="753">
        <f t="shared" si="772"/>
        <v>24</v>
      </c>
      <c r="D340" s="753" t="s">
        <v>779</v>
      </c>
      <c r="E340" s="717" t="s">
        <v>292</v>
      </c>
      <c r="F340" s="754"/>
      <c r="G340" s="756" t="s">
        <v>803</v>
      </c>
      <c r="H340" s="756"/>
      <c r="I340" s="755" t="s">
        <v>229</v>
      </c>
      <c r="J340" s="757">
        <v>22</v>
      </c>
      <c r="K340" s="758"/>
      <c r="L340" s="759" t="s">
        <v>69</v>
      </c>
      <c r="M340" s="760" t="s">
        <v>68</v>
      </c>
      <c r="N340" s="761">
        <f t="shared" si="818"/>
        <v>106005.26567735759</v>
      </c>
      <c r="O340" s="762">
        <f t="shared" si="819"/>
        <v>2332115.8449018667</v>
      </c>
      <c r="P340" s="762">
        <f t="shared" si="820"/>
        <v>22400</v>
      </c>
      <c r="Q340" s="762">
        <f t="shared" si="795"/>
        <v>50000</v>
      </c>
      <c r="R340" s="762"/>
      <c r="S340" s="762"/>
      <c r="T340" s="762"/>
      <c r="U340" s="762"/>
      <c r="V340" s="762"/>
      <c r="W340" s="762"/>
      <c r="X340" s="762"/>
      <c r="Y340" s="762">
        <f t="shared" si="773"/>
        <v>180000</v>
      </c>
      <c r="Z340" s="762">
        <f t="shared" si="796"/>
        <v>142461</v>
      </c>
      <c r="AA340" s="762"/>
      <c r="AB340" s="762"/>
      <c r="AC340" s="762"/>
      <c r="AD340" s="763">
        <f t="shared" si="821"/>
        <v>394861</v>
      </c>
      <c r="AE340" s="763">
        <f t="shared" si="797"/>
        <v>2726976.8449018667</v>
      </c>
      <c r="AF340" s="762">
        <f t="shared" si="798"/>
        <v>68174.421122546672</v>
      </c>
      <c r="AG340" s="762">
        <f t="shared" si="822"/>
        <v>2795151.2660244135</v>
      </c>
      <c r="AH340" s="762">
        <f t="shared" si="799"/>
        <v>69878.781650610341</v>
      </c>
      <c r="AI340" s="762">
        <f t="shared" si="823"/>
        <v>2865030.0476750238</v>
      </c>
      <c r="AJ340" s="762">
        <f t="shared" si="824"/>
        <v>143251.50238375118</v>
      </c>
      <c r="AK340" s="762">
        <f t="shared" si="825"/>
        <v>3008281.5500587751</v>
      </c>
      <c r="AL340" s="762">
        <f t="shared" si="826"/>
        <v>30082.815500587752</v>
      </c>
      <c r="AM340" s="762">
        <f t="shared" si="827"/>
        <v>27537.409960060559</v>
      </c>
      <c r="AN340" s="762"/>
      <c r="AO340" s="763">
        <f t="shared" si="828"/>
        <v>3065901.7755194232</v>
      </c>
      <c r="AP340" s="763">
        <f t="shared" si="829"/>
        <v>505873.79296070483</v>
      </c>
      <c r="AQ340" s="763">
        <f t="shared" si="830"/>
        <v>3571775.568480128</v>
      </c>
      <c r="AR340" s="1178">
        <f t="shared" si="800"/>
        <v>3000000</v>
      </c>
      <c r="AS340" s="1178">
        <f t="shared" si="831"/>
        <v>25989.798567278543</v>
      </c>
      <c r="AT340" s="1178">
        <f t="shared" si="832"/>
        <v>571775.56848012796</v>
      </c>
      <c r="AU340" s="1178">
        <f t="shared" si="801"/>
        <v>68613.06821761535</v>
      </c>
      <c r="AV340" s="1178">
        <f t="shared" si="833"/>
        <v>640388.63669774332</v>
      </c>
      <c r="AW340" s="1178">
        <f t="shared" si="834"/>
        <v>3640388.6366977431</v>
      </c>
      <c r="AX340" s="762">
        <f t="shared" si="835"/>
        <v>45504.85795872179</v>
      </c>
      <c r="AY340" s="717" t="s">
        <v>231</v>
      </c>
      <c r="AZ340" s="717">
        <f t="shared" si="836"/>
        <v>3685893.494656465</v>
      </c>
      <c r="BA340" s="717">
        <f t="shared" si="837"/>
        <v>138221.00604961743</v>
      </c>
      <c r="BB340" s="717"/>
      <c r="BC340" s="717">
        <f t="shared" si="802"/>
        <v>33600</v>
      </c>
      <c r="BD340" s="717">
        <f t="shared" si="838"/>
        <v>3857714.5007060822</v>
      </c>
      <c r="BE340" s="717"/>
      <c r="BF340" s="717">
        <f t="shared" si="839"/>
        <v>3857714.5007060822</v>
      </c>
      <c r="BG340" s="1209"/>
      <c r="BH340" s="717">
        <f t="shared" si="840"/>
        <v>3857714.5007060822</v>
      </c>
      <c r="BI340" s="717"/>
      <c r="BJ340" s="717">
        <f t="shared" si="841"/>
        <v>3857714.5007060822</v>
      </c>
      <c r="BK340" s="717"/>
      <c r="BL340" s="717">
        <f t="shared" si="842"/>
        <v>3857714.5007060822</v>
      </c>
      <c r="BM340" s="717"/>
      <c r="BN340" s="717">
        <f t="shared" si="843"/>
        <v>3857714.5007060822</v>
      </c>
      <c r="BO340" s="717"/>
      <c r="BP340" s="717">
        <f t="shared" si="803"/>
        <v>3857714.5007060822</v>
      </c>
      <c r="BQ340" s="717"/>
      <c r="BR340" s="717">
        <f t="shared" si="903"/>
        <v>3857714.5007060822</v>
      </c>
      <c r="BS340" s="717"/>
      <c r="BT340" s="717">
        <f t="shared" si="844"/>
        <v>3857714.5007060822</v>
      </c>
      <c r="BU340" s="717"/>
      <c r="BV340" s="1235">
        <f t="shared" si="904"/>
        <v>51400</v>
      </c>
      <c r="BW340" s="717">
        <f t="shared" si="845"/>
        <v>3909114.5007060822</v>
      </c>
      <c r="BX340" s="717"/>
      <c r="BY340" s="717">
        <f t="shared" si="846"/>
        <v>3909114.5007060822</v>
      </c>
      <c r="BZ340" s="1194">
        <f t="shared" si="847"/>
        <v>3909114.5007060822</v>
      </c>
      <c r="CA340" s="1194">
        <f t="shared" si="848"/>
        <v>3029114.5007060822</v>
      </c>
      <c r="CB340" s="1194">
        <v>40000</v>
      </c>
      <c r="CC340" s="1194">
        <f t="shared" si="849"/>
        <v>880000</v>
      </c>
      <c r="CD340" s="1194">
        <f t="shared" si="850"/>
        <v>105600</v>
      </c>
      <c r="CE340" s="1194">
        <f t="shared" si="851"/>
        <v>985600</v>
      </c>
      <c r="CF340" s="1200">
        <f t="shared" si="852"/>
        <v>4014714.5007060822</v>
      </c>
      <c r="CG340" s="757">
        <f t="shared" si="853"/>
        <v>4014714.5007060822</v>
      </c>
      <c r="CH340" s="758">
        <f t="shared" si="854"/>
        <v>0</v>
      </c>
      <c r="CI340" s="757">
        <f t="shared" si="804"/>
        <v>411508.23632237338</v>
      </c>
      <c r="CJ340" s="757">
        <f t="shared" si="805"/>
        <v>100367.86251765206</v>
      </c>
      <c r="CK340" s="759">
        <f t="shared" si="747"/>
        <v>4526590.5995461075</v>
      </c>
      <c r="CL340" s="764">
        <f t="shared" si="855"/>
        <v>0.125</v>
      </c>
      <c r="CM340" s="757">
        <f t="shared" si="856"/>
        <v>565823.82494326343</v>
      </c>
      <c r="CN340" s="757">
        <f t="shared" si="898"/>
        <v>30000</v>
      </c>
      <c r="CO340" s="757">
        <f t="shared" si="857"/>
        <v>535823.82494326343</v>
      </c>
      <c r="CP340" s="755">
        <f t="shared" si="858"/>
        <v>31</v>
      </c>
      <c r="CQ340" s="757">
        <f t="shared" si="901"/>
        <v>17284.639514298822</v>
      </c>
      <c r="CR340" s="764">
        <f t="shared" si="859"/>
        <v>0.875</v>
      </c>
      <c r="CS340" s="757">
        <f t="shared" si="860"/>
        <v>3960766.7746028439</v>
      </c>
      <c r="CT340" s="1101">
        <f t="shared" si="861"/>
        <v>30707.782645841882</v>
      </c>
      <c r="CU340" s="1101">
        <f t="shared" si="862"/>
        <v>35600.491512660185</v>
      </c>
      <c r="CV340" s="1101">
        <f t="shared" si="863"/>
        <v>45987.860673879099</v>
      </c>
      <c r="CW340" s="1141">
        <f t="shared" si="806"/>
        <v>78427.929275930772</v>
      </c>
      <c r="CX340" s="1152">
        <f t="shared" si="864"/>
        <v>321745.67445476446</v>
      </c>
      <c r="CY340" s="1152">
        <f t="shared" si="865"/>
        <v>127313.19606858582</v>
      </c>
      <c r="CZ340" s="1152">
        <f t="shared" si="866"/>
        <v>91956.518358768255</v>
      </c>
      <c r="DA340" s="1152">
        <f t="shared" si="867"/>
        <v>69983.143930478778</v>
      </c>
      <c r="DB340" s="1143">
        <f t="shared" si="807"/>
        <v>0.19059185616004265</v>
      </c>
      <c r="DC340" s="1143">
        <f t="shared" si="868"/>
        <v>0.32537561712185459</v>
      </c>
      <c r="DD340" s="1098" t="s">
        <v>232</v>
      </c>
      <c r="DE340" s="1144"/>
      <c r="DF340" s="705"/>
      <c r="DG340" s="765">
        <f t="shared" si="899"/>
        <v>46082</v>
      </c>
      <c r="DH340" s="1116">
        <f t="shared" si="808"/>
        <v>28</v>
      </c>
      <c r="DI340" s="497"/>
      <c r="DJ340" s="1117">
        <f t="shared" si="869"/>
        <v>46147</v>
      </c>
      <c r="DK340" s="1116">
        <f t="shared" si="870"/>
        <v>30</v>
      </c>
      <c r="DL340" s="766" t="s">
        <v>233</v>
      </c>
      <c r="DM340" s="766" t="s">
        <v>234</v>
      </c>
      <c r="DN340" s="767">
        <f t="shared" si="809"/>
        <v>29108.57439535197</v>
      </c>
      <c r="DO340" s="767">
        <f t="shared" si="810"/>
        <v>640388.63669774332</v>
      </c>
      <c r="DP340" s="768">
        <f t="shared" si="811"/>
        <v>0.21346287889924778</v>
      </c>
      <c r="DR340" s="767">
        <f t="shared" si="812"/>
        <v>4014714.5007060822</v>
      </c>
      <c r="DS340" s="767">
        <f>SUM('[6]INTERNAL PRICELIST'!M340)</f>
        <v>0</v>
      </c>
      <c r="DT340" s="767">
        <f t="shared" si="871"/>
        <v>4014714.5007060822</v>
      </c>
      <c r="DV340" s="951">
        <f t="shared" si="813"/>
        <v>182487.02275936736</v>
      </c>
      <c r="DX340" s="781"/>
      <c r="DY340" s="782"/>
      <c r="DZ340" s="781"/>
      <c r="EA340" s="775"/>
      <c r="ED340" s="755" t="s">
        <v>803</v>
      </c>
      <c r="EE340" s="777" t="b">
        <f t="shared" si="814"/>
        <v>1</v>
      </c>
      <c r="EF340" s="777"/>
      <c r="EG340" s="777"/>
      <c r="EH340" s="1203"/>
      <c r="EP340" s="1230" t="s">
        <v>236</v>
      </c>
      <c r="EQ340" s="1145" t="s">
        <v>236</v>
      </c>
      <c r="ER340" s="753" t="b">
        <f t="shared" si="872"/>
        <v>1</v>
      </c>
      <c r="EU340" s="770">
        <v>3209496.1774007287</v>
      </c>
      <c r="EV340" s="771" t="s">
        <v>258</v>
      </c>
      <c r="EW340" s="775">
        <f t="shared" si="774"/>
        <v>-805218.32330535352</v>
      </c>
      <c r="EY340" s="775">
        <v>3175432.1472727996</v>
      </c>
      <c r="FJ340" s="994">
        <v>0.15</v>
      </c>
      <c r="FK340" s="993">
        <v>13819.818797865502</v>
      </c>
      <c r="FL340" s="993">
        <v>14193.32741402403</v>
      </c>
      <c r="FM340" s="497"/>
      <c r="FN340" s="993">
        <f t="shared" si="815"/>
        <v>4526590.5995461075</v>
      </c>
      <c r="FO340" s="994">
        <f t="shared" si="902"/>
        <v>0.15</v>
      </c>
      <c r="FP340" s="775">
        <f t="shared" si="816"/>
        <v>678988.5899319161</v>
      </c>
      <c r="FQ340" s="993">
        <f t="shared" si="817"/>
        <v>30000</v>
      </c>
      <c r="FR340" s="775">
        <f t="shared" si="874"/>
        <v>648988.5899319161</v>
      </c>
      <c r="FS340" s="497">
        <f t="shared" si="875"/>
        <v>40</v>
      </c>
      <c r="FT340" s="775">
        <f t="shared" si="876"/>
        <v>16224.714748297902</v>
      </c>
      <c r="FU340" s="497"/>
      <c r="FV340" s="993">
        <f t="shared" si="877"/>
        <v>4526590.5995461075</v>
      </c>
      <c r="FW340" s="705">
        <f t="shared" si="878"/>
        <v>452659.05995461077</v>
      </c>
      <c r="FX340" s="705">
        <f t="shared" si="879"/>
        <v>113164.76498865269</v>
      </c>
      <c r="FY340" s="705">
        <v>15000</v>
      </c>
      <c r="FZ340" s="705">
        <f t="shared" si="880"/>
        <v>437659.05995461077</v>
      </c>
      <c r="GA340" s="497">
        <f t="shared" si="881"/>
        <v>46</v>
      </c>
      <c r="GB340" s="775">
        <f t="shared" si="882"/>
        <v>9514.327390317625</v>
      </c>
      <c r="GC340" s="497"/>
      <c r="GD340" s="497"/>
      <c r="GH340" s="1095">
        <f t="shared" si="782"/>
        <v>4526590.5995461075</v>
      </c>
      <c r="GI340" s="1098">
        <f t="shared" si="783"/>
        <v>0.125</v>
      </c>
      <c r="GJ340" s="1095">
        <f t="shared" si="784"/>
        <v>565823.82494326343</v>
      </c>
      <c r="GK340" s="1095">
        <f t="shared" si="785"/>
        <v>30000</v>
      </c>
      <c r="GL340" s="1095">
        <f t="shared" si="786"/>
        <v>535823.82494326343</v>
      </c>
      <c r="GM340" s="1095">
        <f t="shared" si="787"/>
        <v>31</v>
      </c>
      <c r="GN340" s="1095">
        <f t="shared" si="788"/>
        <v>17284.639514298822</v>
      </c>
      <c r="GO340" s="1098">
        <f t="shared" si="789"/>
        <v>0.875</v>
      </c>
      <c r="GP340" s="1095">
        <f t="shared" si="790"/>
        <v>3960766.7746028439</v>
      </c>
      <c r="GQ340" s="1095">
        <f t="shared" si="791"/>
        <v>30707.782645841882</v>
      </c>
      <c r="GR340" s="1095">
        <f t="shared" si="792"/>
        <v>35600.491512660185</v>
      </c>
      <c r="GS340" s="1095">
        <f t="shared" si="793"/>
        <v>45987.860673879099</v>
      </c>
      <c r="GT340" s="1095">
        <f t="shared" si="794"/>
        <v>78427.929275930772</v>
      </c>
      <c r="GU340" s="497"/>
      <c r="GV340" s="1095">
        <f t="shared" si="883"/>
        <v>4526590.5995461075</v>
      </c>
      <c r="GW340" s="1098">
        <f t="shared" si="884"/>
        <v>0.125</v>
      </c>
      <c r="GX340" s="1095">
        <f t="shared" si="885"/>
        <v>565823.82494326343</v>
      </c>
      <c r="GY340" s="1095">
        <f t="shared" si="886"/>
        <v>30000</v>
      </c>
      <c r="GZ340" s="1095">
        <f t="shared" si="887"/>
        <v>535823.82494326343</v>
      </c>
      <c r="HA340" s="1106">
        <f t="shared" si="888"/>
        <v>48</v>
      </c>
      <c r="HB340" s="770">
        <f t="shared" si="889"/>
        <v>11162.996352984655</v>
      </c>
      <c r="HC340" s="1098">
        <f t="shared" si="890"/>
        <v>0.875</v>
      </c>
      <c r="HD340" s="1102">
        <f t="shared" si="891"/>
        <v>3960766.7746028439</v>
      </c>
      <c r="HE340" s="1101">
        <f t="shared" si="892"/>
        <v>30707.782645841882</v>
      </c>
      <c r="HF340" s="1101">
        <f t="shared" si="893"/>
        <v>35600.491512660185</v>
      </c>
      <c r="HG340" s="1101">
        <f t="shared" si="894"/>
        <v>45987.860673879099</v>
      </c>
      <c r="HH340" s="1101">
        <f t="shared" si="895"/>
        <v>78427.929275930772</v>
      </c>
      <c r="HI340" s="497"/>
      <c r="HJ340" s="1102">
        <f t="shared" si="896"/>
        <v>-6121.6431613141667</v>
      </c>
      <c r="HL340" s="775"/>
      <c r="HN340" s="775"/>
      <c r="HO340" s="775"/>
      <c r="HQ340" s="702"/>
      <c r="HR340" s="1171"/>
      <c r="HS340" s="702"/>
      <c r="HT340" s="1171"/>
    </row>
    <row r="341" spans="1:228" ht="14.25" hidden="1" customHeight="1">
      <c r="A341" s="753">
        <f t="shared" si="897"/>
        <v>335</v>
      </c>
      <c r="B341" s="753"/>
      <c r="C341" s="753">
        <f t="shared" si="772"/>
        <v>25</v>
      </c>
      <c r="D341" s="753" t="s">
        <v>779</v>
      </c>
      <c r="E341" s="717" t="s">
        <v>292</v>
      </c>
      <c r="F341" s="754"/>
      <c r="G341" s="756" t="s">
        <v>804</v>
      </c>
      <c r="H341" s="756"/>
      <c r="I341" s="755" t="s">
        <v>229</v>
      </c>
      <c r="J341" s="757">
        <v>22</v>
      </c>
      <c r="K341" s="758"/>
      <c r="L341" s="759" t="s">
        <v>69</v>
      </c>
      <c r="M341" s="760" t="s">
        <v>230</v>
      </c>
      <c r="N341" s="761">
        <f t="shared" si="818"/>
        <v>106005.26567735759</v>
      </c>
      <c r="O341" s="762">
        <f t="shared" si="819"/>
        <v>2332115.8449018667</v>
      </c>
      <c r="P341" s="762">
        <f t="shared" si="820"/>
        <v>22400</v>
      </c>
      <c r="Q341" s="762">
        <f t="shared" si="795"/>
        <v>50000</v>
      </c>
      <c r="R341" s="762"/>
      <c r="S341" s="762"/>
      <c r="T341" s="762"/>
      <c r="U341" s="762"/>
      <c r="V341" s="762">
        <f t="shared" ref="V341:V342" si="905">J341*$V$5</f>
        <v>55000</v>
      </c>
      <c r="W341" s="762"/>
      <c r="X341" s="762"/>
      <c r="Y341" s="762">
        <f t="shared" si="773"/>
        <v>180000</v>
      </c>
      <c r="Z341" s="762">
        <f t="shared" si="796"/>
        <v>142461</v>
      </c>
      <c r="AA341" s="762"/>
      <c r="AB341" s="762"/>
      <c r="AC341" s="762"/>
      <c r="AD341" s="763">
        <f t="shared" si="821"/>
        <v>449861</v>
      </c>
      <c r="AE341" s="763">
        <f t="shared" si="797"/>
        <v>2781976.8449018667</v>
      </c>
      <c r="AF341" s="762">
        <f t="shared" si="798"/>
        <v>69549.421122546672</v>
      </c>
      <c r="AG341" s="762">
        <f t="shared" si="822"/>
        <v>2851526.2660244135</v>
      </c>
      <c r="AH341" s="762">
        <f t="shared" si="799"/>
        <v>71288.156650610341</v>
      </c>
      <c r="AI341" s="762">
        <f t="shared" si="823"/>
        <v>2922814.4226750238</v>
      </c>
      <c r="AJ341" s="762">
        <f t="shared" si="824"/>
        <v>146140.72113375118</v>
      </c>
      <c r="AK341" s="762">
        <f t="shared" si="825"/>
        <v>3068955.1438087751</v>
      </c>
      <c r="AL341" s="762">
        <f t="shared" si="826"/>
        <v>30689.55143808775</v>
      </c>
      <c r="AM341" s="762">
        <f t="shared" si="827"/>
        <v>27537.409960060559</v>
      </c>
      <c r="AN341" s="762"/>
      <c r="AO341" s="763">
        <f t="shared" si="828"/>
        <v>3127182.1052069231</v>
      </c>
      <c r="AP341" s="763">
        <f t="shared" si="829"/>
        <v>515985.04735914234</v>
      </c>
      <c r="AQ341" s="763">
        <f t="shared" si="830"/>
        <v>3643167.1525660655</v>
      </c>
      <c r="AR341" s="1178">
        <f t="shared" si="800"/>
        <v>3000000</v>
      </c>
      <c r="AS341" s="1178">
        <f t="shared" si="831"/>
        <v>29234.870571184798</v>
      </c>
      <c r="AT341" s="1178">
        <f t="shared" si="832"/>
        <v>643167.15256606555</v>
      </c>
      <c r="AU341" s="1178">
        <f t="shared" si="801"/>
        <v>77180.058307927859</v>
      </c>
      <c r="AV341" s="1178">
        <f t="shared" si="833"/>
        <v>720347.21087399335</v>
      </c>
      <c r="AW341" s="1178">
        <f t="shared" si="834"/>
        <v>3720347.2108739936</v>
      </c>
      <c r="AX341" s="762">
        <f t="shared" si="835"/>
        <v>46504.340135924926</v>
      </c>
      <c r="AY341" s="717" t="s">
        <v>231</v>
      </c>
      <c r="AZ341" s="717">
        <f t="shared" si="836"/>
        <v>3766851.5510099186</v>
      </c>
      <c r="BA341" s="717">
        <f t="shared" si="837"/>
        <v>141256.93316287195</v>
      </c>
      <c r="BB341" s="717"/>
      <c r="BC341" s="717">
        <f t="shared" si="802"/>
        <v>33600</v>
      </c>
      <c r="BD341" s="717">
        <f t="shared" si="838"/>
        <v>3941708.4841727903</v>
      </c>
      <c r="BE341" s="717"/>
      <c r="BF341" s="717">
        <f t="shared" si="839"/>
        <v>3941708.4841727903</v>
      </c>
      <c r="BG341" s="1209"/>
      <c r="BH341" s="717">
        <f t="shared" si="840"/>
        <v>3941708.4841727903</v>
      </c>
      <c r="BI341" s="717"/>
      <c r="BJ341" s="717">
        <f t="shared" si="841"/>
        <v>3941708.4841727903</v>
      </c>
      <c r="BK341" s="717"/>
      <c r="BL341" s="717">
        <f t="shared" si="842"/>
        <v>3941708.4841727903</v>
      </c>
      <c r="BM341" s="717"/>
      <c r="BN341" s="717">
        <f t="shared" si="843"/>
        <v>3941708.4841727903</v>
      </c>
      <c r="BO341" s="717"/>
      <c r="BP341" s="717">
        <f t="shared" si="803"/>
        <v>3941708.4841727903</v>
      </c>
      <c r="BQ341" s="717"/>
      <c r="BR341" s="717">
        <f t="shared" si="903"/>
        <v>3941708.4841727903</v>
      </c>
      <c r="BS341" s="717"/>
      <c r="BT341" s="717">
        <f t="shared" si="844"/>
        <v>3941708.4841727903</v>
      </c>
      <c r="BU341" s="717"/>
      <c r="BV341" s="1235">
        <f t="shared" si="904"/>
        <v>51400</v>
      </c>
      <c r="BW341" s="717">
        <f t="shared" si="845"/>
        <v>3993108.4841727903</v>
      </c>
      <c r="BX341" s="717"/>
      <c r="BY341" s="717">
        <f t="shared" si="846"/>
        <v>3993108.4841727903</v>
      </c>
      <c r="BZ341" s="1194">
        <f t="shared" si="847"/>
        <v>3993108.4841727903</v>
      </c>
      <c r="CA341" s="1194">
        <f t="shared" si="848"/>
        <v>3036108.4841727903</v>
      </c>
      <c r="CB341" s="1194">
        <v>43500</v>
      </c>
      <c r="CC341" s="1194">
        <f t="shared" si="849"/>
        <v>957000</v>
      </c>
      <c r="CD341" s="1194">
        <f t="shared" si="850"/>
        <v>114840</v>
      </c>
      <c r="CE341" s="1194">
        <f t="shared" si="851"/>
        <v>1071840</v>
      </c>
      <c r="CF341" s="1200">
        <f t="shared" si="852"/>
        <v>4107948.4841727903</v>
      </c>
      <c r="CG341" s="757">
        <f t="shared" si="853"/>
        <v>4107948.4841727903</v>
      </c>
      <c r="CH341" s="758">
        <f t="shared" si="854"/>
        <v>0</v>
      </c>
      <c r="CI341" s="757">
        <f t="shared" si="804"/>
        <v>421064.71962771099</v>
      </c>
      <c r="CJ341" s="757">
        <f t="shared" si="805"/>
        <v>102698.71210431977</v>
      </c>
      <c r="CK341" s="759">
        <f t="shared" si="747"/>
        <v>4631711.9159048209</v>
      </c>
      <c r="CL341" s="764">
        <f t="shared" si="855"/>
        <v>0.125</v>
      </c>
      <c r="CM341" s="757">
        <f t="shared" si="856"/>
        <v>578963.98948810261</v>
      </c>
      <c r="CN341" s="757">
        <f t="shared" si="898"/>
        <v>30000</v>
      </c>
      <c r="CO341" s="757">
        <f t="shared" si="857"/>
        <v>548963.98948810261</v>
      </c>
      <c r="CP341" s="755">
        <f t="shared" si="858"/>
        <v>31</v>
      </c>
      <c r="CQ341" s="757">
        <f t="shared" si="901"/>
        <v>17708.515789938792</v>
      </c>
      <c r="CR341" s="764">
        <f t="shared" si="859"/>
        <v>0.875</v>
      </c>
      <c r="CS341" s="757">
        <f t="shared" si="860"/>
        <v>4052747.9264167184</v>
      </c>
      <c r="CT341" s="1101">
        <f t="shared" si="861"/>
        <v>31420.911536824828</v>
      </c>
      <c r="CU341" s="1101">
        <f t="shared" si="862"/>
        <v>36427.244109018982</v>
      </c>
      <c r="CV341" s="1101">
        <f t="shared" si="863"/>
        <v>47055.839839267734</v>
      </c>
      <c r="CW341" s="1141">
        <f t="shared" si="806"/>
        <v>80249.266324967335</v>
      </c>
      <c r="CX341" s="1152">
        <f t="shared" si="864"/>
        <v>329217.59578001057</v>
      </c>
      <c r="CY341" s="1152">
        <f t="shared" si="865"/>
        <v>130269.79893916722</v>
      </c>
      <c r="CZ341" s="1152">
        <f t="shared" si="866"/>
        <v>94092.030737247376</v>
      </c>
      <c r="DA341" s="1152">
        <f t="shared" si="867"/>
        <v>71608.36716441359</v>
      </c>
      <c r="DB341" s="1143">
        <f t="shared" si="807"/>
        <v>0.21438905085535517</v>
      </c>
      <c r="DC341" s="1143">
        <f t="shared" si="868"/>
        <v>0.35303086355032881</v>
      </c>
      <c r="DD341" s="1098" t="s">
        <v>232</v>
      </c>
      <c r="DE341" s="1144"/>
      <c r="DF341" s="705"/>
      <c r="DG341" s="765">
        <f t="shared" si="899"/>
        <v>46082</v>
      </c>
      <c r="DH341" s="1116">
        <f t="shared" si="808"/>
        <v>28</v>
      </c>
      <c r="DI341" s="497"/>
      <c r="DJ341" s="1117">
        <f t="shared" si="869"/>
        <v>46147</v>
      </c>
      <c r="DK341" s="1116">
        <f t="shared" si="870"/>
        <v>30</v>
      </c>
      <c r="DL341" s="766" t="s">
        <v>233</v>
      </c>
      <c r="DM341" s="766" t="s">
        <v>234</v>
      </c>
      <c r="DN341" s="767">
        <f t="shared" si="809"/>
        <v>32743.055039726969</v>
      </c>
      <c r="DO341" s="767">
        <f t="shared" si="810"/>
        <v>720347.21087399335</v>
      </c>
      <c r="DP341" s="768">
        <f t="shared" si="811"/>
        <v>0.24011573695799779</v>
      </c>
      <c r="DR341" s="767">
        <f t="shared" si="812"/>
        <v>4107948.4841727903</v>
      </c>
      <c r="DS341" s="767">
        <f>SUM('[6]INTERNAL PRICELIST'!M341)</f>
        <v>0</v>
      </c>
      <c r="DT341" s="767">
        <f t="shared" si="871"/>
        <v>4107948.4841727903</v>
      </c>
      <c r="DV341" s="951">
        <f t="shared" si="813"/>
        <v>186724.93109876319</v>
      </c>
      <c r="DX341" s="781"/>
      <c r="DY341" s="782"/>
      <c r="DZ341" s="781"/>
      <c r="EA341" s="775"/>
      <c r="ED341" s="1133" t="s">
        <v>804</v>
      </c>
      <c r="EE341" s="777" t="b">
        <f t="shared" si="814"/>
        <v>1</v>
      </c>
      <c r="EF341" s="777"/>
      <c r="EG341" s="777"/>
      <c r="EH341" s="1203"/>
      <c r="EP341" s="1230" t="s">
        <v>236</v>
      </c>
      <c r="EQ341" s="1145" t="s">
        <v>236</v>
      </c>
      <c r="ER341" s="753" t="b">
        <f t="shared" si="872"/>
        <v>1</v>
      </c>
      <c r="EU341" s="770">
        <v>3336715.2478750586</v>
      </c>
      <c r="EV341" s="771" t="s">
        <v>258</v>
      </c>
      <c r="EW341" s="775">
        <f t="shared" si="774"/>
        <v>-771233.23629773175</v>
      </c>
      <c r="EY341" s="775">
        <v>3301525.4769025831</v>
      </c>
      <c r="FJ341" s="994">
        <v>0.15</v>
      </c>
      <c r="FK341" s="993">
        <v>14378.390126488668</v>
      </c>
      <c r="FL341" s="993">
        <v>14766.995265042415</v>
      </c>
      <c r="FM341" s="497"/>
      <c r="FN341" s="993">
        <f t="shared" si="815"/>
        <v>4631711.9159048209</v>
      </c>
      <c r="FO341" s="994">
        <f t="shared" si="902"/>
        <v>0.15</v>
      </c>
      <c r="FP341" s="775">
        <f t="shared" si="816"/>
        <v>694756.78738572309</v>
      </c>
      <c r="FQ341" s="993">
        <f t="shared" si="817"/>
        <v>30000</v>
      </c>
      <c r="FR341" s="775">
        <f t="shared" si="874"/>
        <v>664756.78738572309</v>
      </c>
      <c r="FS341" s="497">
        <f t="shared" si="875"/>
        <v>40</v>
      </c>
      <c r="FT341" s="775">
        <f t="shared" si="876"/>
        <v>16618.919684643079</v>
      </c>
      <c r="FU341" s="497"/>
      <c r="FV341" s="993">
        <f t="shared" si="877"/>
        <v>4631711.9159048209</v>
      </c>
      <c r="FW341" s="705">
        <f t="shared" si="878"/>
        <v>463171.19159048214</v>
      </c>
      <c r="FX341" s="705">
        <f t="shared" si="879"/>
        <v>115792.79789762053</v>
      </c>
      <c r="FY341" s="705">
        <v>15000</v>
      </c>
      <c r="FZ341" s="705">
        <f t="shared" si="880"/>
        <v>448171.19159048214</v>
      </c>
      <c r="GA341" s="497">
        <f t="shared" si="881"/>
        <v>46</v>
      </c>
      <c r="GB341" s="775">
        <f t="shared" si="882"/>
        <v>9742.8519910974373</v>
      </c>
      <c r="GC341" s="497"/>
      <c r="GD341" s="497"/>
      <c r="GH341" s="1095">
        <f t="shared" si="782"/>
        <v>4631711.9159048209</v>
      </c>
      <c r="GI341" s="1098">
        <f t="shared" si="783"/>
        <v>0.125</v>
      </c>
      <c r="GJ341" s="1095">
        <f t="shared" si="784"/>
        <v>578963.98948810261</v>
      </c>
      <c r="GK341" s="1095">
        <f t="shared" si="785"/>
        <v>30000</v>
      </c>
      <c r="GL341" s="1095">
        <f t="shared" si="786"/>
        <v>548963.98948810261</v>
      </c>
      <c r="GM341" s="1095">
        <f t="shared" si="787"/>
        <v>31</v>
      </c>
      <c r="GN341" s="1095">
        <f t="shared" si="788"/>
        <v>17708.515789938792</v>
      </c>
      <c r="GO341" s="1098">
        <f t="shared" si="789"/>
        <v>0.875</v>
      </c>
      <c r="GP341" s="1095">
        <f t="shared" si="790"/>
        <v>4052747.9264167184</v>
      </c>
      <c r="GQ341" s="1095">
        <f t="shared" si="791"/>
        <v>31420.911536824828</v>
      </c>
      <c r="GR341" s="1095">
        <f t="shared" si="792"/>
        <v>36427.244109018982</v>
      </c>
      <c r="GS341" s="1095">
        <f t="shared" si="793"/>
        <v>47055.839839267734</v>
      </c>
      <c r="GT341" s="1095">
        <f t="shared" si="794"/>
        <v>80249.266324967335</v>
      </c>
      <c r="GU341" s="497"/>
      <c r="GV341" s="1095">
        <f t="shared" si="883"/>
        <v>4631711.9159048209</v>
      </c>
      <c r="GW341" s="1098">
        <f t="shared" si="884"/>
        <v>0.125</v>
      </c>
      <c r="GX341" s="1095">
        <f t="shared" si="885"/>
        <v>578963.98948810261</v>
      </c>
      <c r="GY341" s="1095">
        <f t="shared" si="886"/>
        <v>30000</v>
      </c>
      <c r="GZ341" s="1095">
        <f t="shared" si="887"/>
        <v>548963.98948810261</v>
      </c>
      <c r="HA341" s="1106">
        <f t="shared" si="888"/>
        <v>48</v>
      </c>
      <c r="HB341" s="770">
        <f t="shared" si="889"/>
        <v>11436.749781002138</v>
      </c>
      <c r="HC341" s="1098">
        <f t="shared" si="890"/>
        <v>0.875</v>
      </c>
      <c r="HD341" s="1102">
        <f t="shared" si="891"/>
        <v>4052747.9264167184</v>
      </c>
      <c r="HE341" s="1101">
        <f t="shared" si="892"/>
        <v>31420.911536824828</v>
      </c>
      <c r="HF341" s="1101">
        <f t="shared" si="893"/>
        <v>36427.244109018982</v>
      </c>
      <c r="HG341" s="1101">
        <f t="shared" si="894"/>
        <v>47055.839839267734</v>
      </c>
      <c r="HH341" s="1101">
        <f t="shared" si="895"/>
        <v>80249.266324967335</v>
      </c>
      <c r="HI341" s="497"/>
      <c r="HJ341" s="1102">
        <f t="shared" si="896"/>
        <v>-6271.7660089366545</v>
      </c>
      <c r="HL341" s="775"/>
      <c r="HN341" s="775"/>
      <c r="HO341" s="775"/>
      <c r="HQ341" s="702"/>
      <c r="HR341" s="1171"/>
      <c r="HS341" s="702"/>
      <c r="HT341" s="1171"/>
    </row>
    <row r="342" spans="1:228" ht="14.25" hidden="1" customHeight="1">
      <c r="A342" s="753">
        <f t="shared" si="897"/>
        <v>336</v>
      </c>
      <c r="B342" s="753"/>
      <c r="C342" s="753">
        <f t="shared" si="772"/>
        <v>26</v>
      </c>
      <c r="D342" s="753" t="s">
        <v>779</v>
      </c>
      <c r="E342" s="717" t="s">
        <v>292</v>
      </c>
      <c r="F342" s="754"/>
      <c r="G342" s="756" t="s">
        <v>805</v>
      </c>
      <c r="H342" s="756"/>
      <c r="I342" s="755" t="s">
        <v>229</v>
      </c>
      <c r="J342" s="757">
        <v>22</v>
      </c>
      <c r="K342" s="758"/>
      <c r="L342" s="759" t="s">
        <v>277</v>
      </c>
      <c r="M342" s="760" t="s">
        <v>230</v>
      </c>
      <c r="N342" s="761">
        <f t="shared" si="818"/>
        <v>106005.26567735759</v>
      </c>
      <c r="O342" s="762">
        <f t="shared" si="819"/>
        <v>2332115.8449018667</v>
      </c>
      <c r="P342" s="762">
        <f t="shared" si="820"/>
        <v>22400</v>
      </c>
      <c r="Q342" s="762">
        <f t="shared" si="795"/>
        <v>50000</v>
      </c>
      <c r="R342" s="762"/>
      <c r="S342" s="762"/>
      <c r="T342" s="762"/>
      <c r="U342" s="762"/>
      <c r="V342" s="762">
        <f t="shared" si="905"/>
        <v>55000</v>
      </c>
      <c r="W342" s="762"/>
      <c r="X342" s="762"/>
      <c r="Y342" s="762">
        <f t="shared" si="773"/>
        <v>180000</v>
      </c>
      <c r="Z342" s="762">
        <f t="shared" si="796"/>
        <v>142461</v>
      </c>
      <c r="AA342" s="762"/>
      <c r="AB342" s="762"/>
      <c r="AC342" s="762"/>
      <c r="AD342" s="763">
        <f t="shared" si="821"/>
        <v>449861</v>
      </c>
      <c r="AE342" s="763">
        <f t="shared" si="797"/>
        <v>2781976.8449018667</v>
      </c>
      <c r="AF342" s="762">
        <f t="shared" si="798"/>
        <v>69549.421122546672</v>
      </c>
      <c r="AG342" s="762">
        <f t="shared" si="822"/>
        <v>2851526.2660244135</v>
      </c>
      <c r="AH342" s="762">
        <f t="shared" si="799"/>
        <v>71288.156650610341</v>
      </c>
      <c r="AI342" s="762">
        <f t="shared" si="823"/>
        <v>2922814.4226750238</v>
      </c>
      <c r="AJ342" s="762">
        <f t="shared" si="824"/>
        <v>146140.72113375118</v>
      </c>
      <c r="AK342" s="762">
        <f t="shared" si="825"/>
        <v>3068955.1438087751</v>
      </c>
      <c r="AL342" s="762">
        <f t="shared" si="826"/>
        <v>30689.55143808775</v>
      </c>
      <c r="AM342" s="762">
        <f t="shared" si="827"/>
        <v>27537.409960060559</v>
      </c>
      <c r="AN342" s="762"/>
      <c r="AO342" s="763">
        <f t="shared" si="828"/>
        <v>3127182.1052069231</v>
      </c>
      <c r="AP342" s="763">
        <f t="shared" si="829"/>
        <v>515985.04735914234</v>
      </c>
      <c r="AQ342" s="763">
        <f t="shared" si="830"/>
        <v>3643167.1525660655</v>
      </c>
      <c r="AR342" s="1178">
        <f t="shared" si="800"/>
        <v>3000000</v>
      </c>
      <c r="AS342" s="1178">
        <f t="shared" si="831"/>
        <v>29234.870571184798</v>
      </c>
      <c r="AT342" s="1178">
        <f t="shared" si="832"/>
        <v>643167.15256606555</v>
      </c>
      <c r="AU342" s="1178">
        <f t="shared" si="801"/>
        <v>77180.058307927859</v>
      </c>
      <c r="AV342" s="1178">
        <f t="shared" si="833"/>
        <v>720347.21087399335</v>
      </c>
      <c r="AW342" s="1178">
        <f t="shared" si="834"/>
        <v>3720347.2108739936</v>
      </c>
      <c r="AX342" s="762">
        <f t="shared" si="835"/>
        <v>46504.340135924926</v>
      </c>
      <c r="AY342" s="717" t="s">
        <v>231</v>
      </c>
      <c r="AZ342" s="717">
        <f t="shared" si="836"/>
        <v>3766851.5510099186</v>
      </c>
      <c r="BA342" s="717">
        <f t="shared" si="837"/>
        <v>141256.93316287195</v>
      </c>
      <c r="BB342" s="717"/>
      <c r="BC342" s="717">
        <f t="shared" si="802"/>
        <v>33600</v>
      </c>
      <c r="BD342" s="717">
        <f t="shared" si="838"/>
        <v>3941708.4841727903</v>
      </c>
      <c r="BE342" s="717"/>
      <c r="BF342" s="717">
        <f t="shared" si="839"/>
        <v>3941708.4841727903</v>
      </c>
      <c r="BG342" s="1209"/>
      <c r="BH342" s="717">
        <f t="shared" si="840"/>
        <v>3941708.4841727903</v>
      </c>
      <c r="BI342" s="717"/>
      <c r="BJ342" s="717">
        <f t="shared" si="841"/>
        <v>3941708.4841727903</v>
      </c>
      <c r="BK342" s="717"/>
      <c r="BL342" s="717">
        <f t="shared" si="842"/>
        <v>3941708.4841727903</v>
      </c>
      <c r="BM342" s="717"/>
      <c r="BN342" s="717">
        <f t="shared" si="843"/>
        <v>3941708.4841727903</v>
      </c>
      <c r="BO342" s="717"/>
      <c r="BP342" s="717">
        <f t="shared" si="803"/>
        <v>3941708.4841727903</v>
      </c>
      <c r="BQ342" s="717"/>
      <c r="BR342" s="717">
        <f t="shared" si="903"/>
        <v>3941708.4841727903</v>
      </c>
      <c r="BS342" s="717"/>
      <c r="BT342" s="717">
        <f t="shared" si="844"/>
        <v>3941708.4841727903</v>
      </c>
      <c r="BU342" s="717"/>
      <c r="BV342" s="1235">
        <f t="shared" si="904"/>
        <v>51400</v>
      </c>
      <c r="BW342" s="717">
        <f t="shared" si="845"/>
        <v>3993108.4841727903</v>
      </c>
      <c r="BX342" s="717"/>
      <c r="BY342" s="717">
        <f t="shared" si="846"/>
        <v>3993108.4841727903</v>
      </c>
      <c r="BZ342" s="1194">
        <f t="shared" si="847"/>
        <v>3993108.4841727903</v>
      </c>
      <c r="CA342" s="1194">
        <f t="shared" si="848"/>
        <v>3036108.4841727903</v>
      </c>
      <c r="CB342" s="1194">
        <v>43500</v>
      </c>
      <c r="CC342" s="1194">
        <f t="shared" si="849"/>
        <v>957000</v>
      </c>
      <c r="CD342" s="1194">
        <f t="shared" si="850"/>
        <v>114840</v>
      </c>
      <c r="CE342" s="1194">
        <f t="shared" si="851"/>
        <v>1071840</v>
      </c>
      <c r="CF342" s="1200">
        <f t="shared" si="852"/>
        <v>4107948.4841727903</v>
      </c>
      <c r="CG342" s="757">
        <f t="shared" si="853"/>
        <v>4107948.4841727903</v>
      </c>
      <c r="CH342" s="758">
        <f t="shared" si="854"/>
        <v>0</v>
      </c>
      <c r="CI342" s="757">
        <f t="shared" si="804"/>
        <v>421064.71962771099</v>
      </c>
      <c r="CJ342" s="757">
        <f t="shared" si="805"/>
        <v>102698.71210431977</v>
      </c>
      <c r="CK342" s="759">
        <f t="shared" si="747"/>
        <v>4631711.9159048209</v>
      </c>
      <c r="CL342" s="764">
        <f t="shared" si="855"/>
        <v>0.125</v>
      </c>
      <c r="CM342" s="757">
        <f t="shared" si="856"/>
        <v>578963.98948810261</v>
      </c>
      <c r="CN342" s="757">
        <f t="shared" si="898"/>
        <v>30000</v>
      </c>
      <c r="CO342" s="757">
        <f t="shared" si="857"/>
        <v>548963.98948810261</v>
      </c>
      <c r="CP342" s="755">
        <f t="shared" si="858"/>
        <v>31</v>
      </c>
      <c r="CQ342" s="757">
        <f t="shared" si="901"/>
        <v>17708.515789938792</v>
      </c>
      <c r="CR342" s="764">
        <f t="shared" si="859"/>
        <v>0.875</v>
      </c>
      <c r="CS342" s="757">
        <f t="shared" si="860"/>
        <v>4052747.9264167184</v>
      </c>
      <c r="CT342" s="1101">
        <f t="shared" si="861"/>
        <v>31420.911536824828</v>
      </c>
      <c r="CU342" s="1101">
        <f t="shared" si="862"/>
        <v>36427.244109018982</v>
      </c>
      <c r="CV342" s="1101">
        <f t="shared" si="863"/>
        <v>47055.839839267734</v>
      </c>
      <c r="CW342" s="1141">
        <f t="shared" si="806"/>
        <v>80249.266324967335</v>
      </c>
      <c r="CX342" s="1152">
        <f t="shared" si="864"/>
        <v>329217.59578001057</v>
      </c>
      <c r="CY342" s="1152">
        <f t="shared" si="865"/>
        <v>130269.79893916722</v>
      </c>
      <c r="CZ342" s="1152">
        <f t="shared" si="866"/>
        <v>94092.030737247376</v>
      </c>
      <c r="DA342" s="1152">
        <f t="shared" si="867"/>
        <v>71608.36716441359</v>
      </c>
      <c r="DB342" s="1143">
        <f t="shared" si="807"/>
        <v>0.21438905085535517</v>
      </c>
      <c r="DC342" s="1143">
        <f t="shared" si="868"/>
        <v>0.35303086355032881</v>
      </c>
      <c r="DD342" s="1098" t="s">
        <v>232</v>
      </c>
      <c r="DE342" s="1144"/>
      <c r="DF342" s="705"/>
      <c r="DG342" s="765">
        <f t="shared" si="899"/>
        <v>46082</v>
      </c>
      <c r="DH342" s="1116">
        <f t="shared" si="808"/>
        <v>28</v>
      </c>
      <c r="DI342" s="497"/>
      <c r="DJ342" s="1117">
        <f t="shared" si="869"/>
        <v>46147</v>
      </c>
      <c r="DK342" s="1116">
        <f t="shared" si="870"/>
        <v>30</v>
      </c>
      <c r="DL342" s="766" t="s">
        <v>233</v>
      </c>
      <c r="DM342" s="766" t="s">
        <v>234</v>
      </c>
      <c r="DN342" s="767">
        <f t="shared" si="809"/>
        <v>32743.055039726969</v>
      </c>
      <c r="DO342" s="767">
        <f t="shared" si="810"/>
        <v>720347.21087399335</v>
      </c>
      <c r="DP342" s="768">
        <f t="shared" si="811"/>
        <v>0.24011573695799779</v>
      </c>
      <c r="DR342" s="767">
        <f t="shared" si="812"/>
        <v>4107948.4841727903</v>
      </c>
      <c r="DS342" s="767">
        <f>SUM('[6]INTERNAL PRICELIST'!M342)</f>
        <v>0</v>
      </c>
      <c r="DT342" s="767">
        <f t="shared" si="871"/>
        <v>4107948.4841727903</v>
      </c>
      <c r="DV342" s="951">
        <f t="shared" si="813"/>
        <v>186724.93109876319</v>
      </c>
      <c r="DX342" s="781"/>
      <c r="DY342" s="782"/>
      <c r="DZ342" s="781"/>
      <c r="EA342" s="775"/>
      <c r="ED342" s="1133" t="s">
        <v>805</v>
      </c>
      <c r="EE342" s="777" t="b">
        <f t="shared" si="814"/>
        <v>1</v>
      </c>
      <c r="EF342" s="777"/>
      <c r="EG342" s="777"/>
      <c r="EH342" s="1203"/>
      <c r="EP342" s="1230" t="s">
        <v>236</v>
      </c>
      <c r="EQ342" s="1145" t="s">
        <v>236</v>
      </c>
      <c r="ER342" s="753" t="b">
        <f t="shared" si="872"/>
        <v>1</v>
      </c>
      <c r="EU342" s="770">
        <v>3336715.2478750586</v>
      </c>
      <c r="EV342" s="771" t="s">
        <v>258</v>
      </c>
      <c r="EW342" s="775">
        <f t="shared" si="774"/>
        <v>-771233.23629773175</v>
      </c>
      <c r="EY342" s="775">
        <v>3301525.4769025831</v>
      </c>
      <c r="FJ342" s="994">
        <v>0.15</v>
      </c>
      <c r="FK342" s="993">
        <v>14378.390126488668</v>
      </c>
      <c r="FL342" s="993">
        <v>14766.995265042415</v>
      </c>
      <c r="FM342" s="497"/>
      <c r="FN342" s="993">
        <f t="shared" si="815"/>
        <v>4631711.9159048209</v>
      </c>
      <c r="FO342" s="994">
        <f t="shared" ref="FO342:FO347" si="906">FJ342</f>
        <v>0.15</v>
      </c>
      <c r="FP342" s="775">
        <f t="shared" si="816"/>
        <v>694756.78738572309</v>
      </c>
      <c r="FQ342" s="993">
        <f t="shared" si="817"/>
        <v>30000</v>
      </c>
      <c r="FR342" s="775">
        <f t="shared" si="874"/>
        <v>664756.78738572309</v>
      </c>
      <c r="FS342" s="497">
        <f t="shared" si="875"/>
        <v>40</v>
      </c>
      <c r="FT342" s="775">
        <f t="shared" si="876"/>
        <v>16618.919684643079</v>
      </c>
      <c r="FU342" s="497"/>
      <c r="FV342" s="993">
        <f t="shared" si="877"/>
        <v>4631711.9159048209</v>
      </c>
      <c r="FW342" s="705">
        <f t="shared" si="878"/>
        <v>463171.19159048214</v>
      </c>
      <c r="FX342" s="705">
        <f t="shared" si="879"/>
        <v>115792.79789762053</v>
      </c>
      <c r="FY342" s="705">
        <v>15000</v>
      </c>
      <c r="FZ342" s="705">
        <f t="shared" si="880"/>
        <v>448171.19159048214</v>
      </c>
      <c r="GA342" s="497">
        <f t="shared" si="881"/>
        <v>46</v>
      </c>
      <c r="GB342" s="775">
        <f t="shared" si="882"/>
        <v>9742.8519910974373</v>
      </c>
      <c r="GC342" s="497"/>
      <c r="GD342" s="497"/>
      <c r="GH342" s="1095">
        <f t="shared" si="782"/>
        <v>4631711.9159048209</v>
      </c>
      <c r="GI342" s="1098">
        <f t="shared" si="783"/>
        <v>0.125</v>
      </c>
      <c r="GJ342" s="1095">
        <f t="shared" si="784"/>
        <v>578963.98948810261</v>
      </c>
      <c r="GK342" s="1095">
        <f t="shared" si="785"/>
        <v>30000</v>
      </c>
      <c r="GL342" s="1095">
        <f t="shared" si="786"/>
        <v>548963.98948810261</v>
      </c>
      <c r="GM342" s="1095">
        <f t="shared" si="787"/>
        <v>31</v>
      </c>
      <c r="GN342" s="1095">
        <f t="shared" si="788"/>
        <v>17708.515789938792</v>
      </c>
      <c r="GO342" s="1098">
        <f t="shared" si="789"/>
        <v>0.875</v>
      </c>
      <c r="GP342" s="1095">
        <f t="shared" si="790"/>
        <v>4052747.9264167184</v>
      </c>
      <c r="GQ342" s="1095">
        <f t="shared" si="791"/>
        <v>31420.911536824828</v>
      </c>
      <c r="GR342" s="1095">
        <f t="shared" si="792"/>
        <v>36427.244109018982</v>
      </c>
      <c r="GS342" s="1095">
        <f t="shared" si="793"/>
        <v>47055.839839267734</v>
      </c>
      <c r="GT342" s="1095">
        <f t="shared" si="794"/>
        <v>80249.266324967335</v>
      </c>
      <c r="GU342" s="497"/>
      <c r="GV342" s="1095">
        <f t="shared" si="883"/>
        <v>4631711.9159048209</v>
      </c>
      <c r="GW342" s="1098">
        <f t="shared" si="884"/>
        <v>0.125</v>
      </c>
      <c r="GX342" s="1095">
        <f t="shared" si="885"/>
        <v>578963.98948810261</v>
      </c>
      <c r="GY342" s="1095">
        <f t="shared" si="886"/>
        <v>30000</v>
      </c>
      <c r="GZ342" s="1095">
        <f t="shared" si="887"/>
        <v>548963.98948810261</v>
      </c>
      <c r="HA342" s="1106">
        <f t="shared" si="888"/>
        <v>48</v>
      </c>
      <c r="HB342" s="770">
        <f t="shared" si="889"/>
        <v>11436.749781002138</v>
      </c>
      <c r="HC342" s="1098">
        <f t="shared" si="890"/>
        <v>0.875</v>
      </c>
      <c r="HD342" s="1102">
        <f t="shared" si="891"/>
        <v>4052747.9264167184</v>
      </c>
      <c r="HE342" s="1101">
        <f t="shared" si="892"/>
        <v>31420.911536824828</v>
      </c>
      <c r="HF342" s="1101">
        <f t="shared" si="893"/>
        <v>36427.244109018982</v>
      </c>
      <c r="HG342" s="1101">
        <f t="shared" si="894"/>
        <v>47055.839839267734</v>
      </c>
      <c r="HH342" s="1101">
        <f t="shared" si="895"/>
        <v>80249.266324967335</v>
      </c>
      <c r="HI342" s="497"/>
      <c r="HJ342" s="1102">
        <f t="shared" si="896"/>
        <v>-6271.7660089366545</v>
      </c>
      <c r="HL342" s="775"/>
      <c r="HN342" s="775"/>
      <c r="HO342" s="775"/>
      <c r="HQ342" s="702"/>
      <c r="HR342" s="1171"/>
      <c r="HS342" s="702"/>
      <c r="HT342" s="1171"/>
    </row>
    <row r="343" spans="1:228" ht="14.25" hidden="1" customHeight="1">
      <c r="A343" s="753">
        <f t="shared" si="897"/>
        <v>337</v>
      </c>
      <c r="B343" s="753"/>
      <c r="C343" s="753">
        <f t="shared" si="772"/>
        <v>27</v>
      </c>
      <c r="D343" s="753" t="s">
        <v>779</v>
      </c>
      <c r="E343" s="717" t="s">
        <v>292</v>
      </c>
      <c r="F343" s="754"/>
      <c r="G343" s="756" t="s">
        <v>806</v>
      </c>
      <c r="H343" s="756"/>
      <c r="I343" s="755" t="s">
        <v>229</v>
      </c>
      <c r="J343" s="757">
        <v>22</v>
      </c>
      <c r="K343" s="758"/>
      <c r="L343" s="759" t="s">
        <v>277</v>
      </c>
      <c r="M343" s="760" t="s">
        <v>278</v>
      </c>
      <c r="N343" s="761">
        <f t="shared" si="818"/>
        <v>106005.26567735759</v>
      </c>
      <c r="O343" s="762">
        <f t="shared" si="819"/>
        <v>2332115.8449018667</v>
      </c>
      <c r="P343" s="762">
        <f t="shared" si="820"/>
        <v>22400</v>
      </c>
      <c r="Q343" s="762">
        <f t="shared" si="795"/>
        <v>50000</v>
      </c>
      <c r="R343" s="762"/>
      <c r="S343" s="762"/>
      <c r="T343" s="762"/>
      <c r="U343" s="762"/>
      <c r="V343" s="762"/>
      <c r="W343" s="762">
        <f t="shared" ref="W343:W344" si="907">J343*$W$5</f>
        <v>22000</v>
      </c>
      <c r="X343" s="762"/>
      <c r="Y343" s="762">
        <f t="shared" si="773"/>
        <v>180000</v>
      </c>
      <c r="Z343" s="762">
        <f t="shared" si="796"/>
        <v>142461</v>
      </c>
      <c r="AA343" s="762"/>
      <c r="AB343" s="762"/>
      <c r="AC343" s="762"/>
      <c r="AD343" s="763">
        <f t="shared" si="821"/>
        <v>416861</v>
      </c>
      <c r="AE343" s="763">
        <f t="shared" si="797"/>
        <v>2748976.8449018667</v>
      </c>
      <c r="AF343" s="762">
        <f t="shared" si="798"/>
        <v>68724.421122546672</v>
      </c>
      <c r="AG343" s="762">
        <f t="shared" si="822"/>
        <v>2817701.2660244135</v>
      </c>
      <c r="AH343" s="762">
        <f t="shared" si="799"/>
        <v>70442.531650610341</v>
      </c>
      <c r="AI343" s="762">
        <f t="shared" si="823"/>
        <v>2888143.7976750238</v>
      </c>
      <c r="AJ343" s="762">
        <f t="shared" si="824"/>
        <v>144407.18988375118</v>
      </c>
      <c r="AK343" s="762">
        <f t="shared" si="825"/>
        <v>3032550.9875587751</v>
      </c>
      <c r="AL343" s="762">
        <f t="shared" si="826"/>
        <v>30325.509875587752</v>
      </c>
      <c r="AM343" s="762">
        <f t="shared" si="827"/>
        <v>27537.409960060559</v>
      </c>
      <c r="AN343" s="762"/>
      <c r="AO343" s="763">
        <f t="shared" si="828"/>
        <v>3090413.9073944231</v>
      </c>
      <c r="AP343" s="763">
        <f t="shared" si="829"/>
        <v>509918.29472007987</v>
      </c>
      <c r="AQ343" s="763">
        <f t="shared" si="830"/>
        <v>3600332.2021145029</v>
      </c>
      <c r="AR343" s="1178">
        <f t="shared" si="800"/>
        <v>3000000</v>
      </c>
      <c r="AS343" s="1178">
        <f t="shared" si="831"/>
        <v>27287.827368841041</v>
      </c>
      <c r="AT343" s="1178">
        <f t="shared" si="832"/>
        <v>600332.2021145029</v>
      </c>
      <c r="AU343" s="1178">
        <f t="shared" si="801"/>
        <v>72039.86425374035</v>
      </c>
      <c r="AV343" s="1178">
        <f t="shared" si="833"/>
        <v>672372.06636824319</v>
      </c>
      <c r="AW343" s="1178">
        <f t="shared" si="834"/>
        <v>3672372.0663682432</v>
      </c>
      <c r="AX343" s="762">
        <f t="shared" si="835"/>
        <v>45904.650829603044</v>
      </c>
      <c r="AY343" s="717" t="s">
        <v>231</v>
      </c>
      <c r="AZ343" s="717">
        <f t="shared" si="836"/>
        <v>3718276.7171978462</v>
      </c>
      <c r="BA343" s="717">
        <f t="shared" si="837"/>
        <v>139435.37689491923</v>
      </c>
      <c r="BB343" s="717"/>
      <c r="BC343" s="717">
        <f t="shared" si="802"/>
        <v>33600</v>
      </c>
      <c r="BD343" s="717">
        <f t="shared" si="838"/>
        <v>3891312.0940927654</v>
      </c>
      <c r="BE343" s="717"/>
      <c r="BF343" s="717">
        <f t="shared" si="839"/>
        <v>3891312.0940927654</v>
      </c>
      <c r="BG343" s="1209"/>
      <c r="BH343" s="717">
        <f t="shared" si="840"/>
        <v>3891312.0940927654</v>
      </c>
      <c r="BI343" s="717"/>
      <c r="BJ343" s="717">
        <f t="shared" si="841"/>
        <v>3891312.0940927654</v>
      </c>
      <c r="BK343" s="717"/>
      <c r="BL343" s="717">
        <f t="shared" si="842"/>
        <v>3891312.0940927654</v>
      </c>
      <c r="BM343" s="717"/>
      <c r="BN343" s="717">
        <f t="shared" si="843"/>
        <v>3891312.0940927654</v>
      </c>
      <c r="BO343" s="717"/>
      <c r="BP343" s="717">
        <f t="shared" si="803"/>
        <v>3891312.0940927654</v>
      </c>
      <c r="BQ343" s="717"/>
      <c r="BR343" s="717">
        <f t="shared" si="903"/>
        <v>3891312.0940927654</v>
      </c>
      <c r="BS343" s="717"/>
      <c r="BT343" s="717">
        <f t="shared" si="844"/>
        <v>3891312.0940927654</v>
      </c>
      <c r="BU343" s="717"/>
      <c r="BV343" s="1235">
        <f t="shared" si="904"/>
        <v>51400</v>
      </c>
      <c r="BW343" s="717">
        <f t="shared" si="845"/>
        <v>3942712.0940927654</v>
      </c>
      <c r="BX343" s="717"/>
      <c r="BY343" s="717">
        <f t="shared" si="846"/>
        <v>3942712.0940927654</v>
      </c>
      <c r="BZ343" s="1194">
        <f t="shared" si="847"/>
        <v>3942712.0940927654</v>
      </c>
      <c r="CA343" s="1194">
        <f t="shared" si="848"/>
        <v>3040712.0940927654</v>
      </c>
      <c r="CB343" s="1194">
        <v>41000</v>
      </c>
      <c r="CC343" s="1194">
        <f t="shared" si="849"/>
        <v>902000</v>
      </c>
      <c r="CD343" s="1194">
        <f t="shared" si="850"/>
        <v>108240</v>
      </c>
      <c r="CE343" s="1194">
        <f t="shared" si="851"/>
        <v>1010240</v>
      </c>
      <c r="CF343" s="1200">
        <f t="shared" si="852"/>
        <v>4050952.0940927654</v>
      </c>
      <c r="CG343" s="757">
        <f t="shared" si="853"/>
        <v>4050952.0940927654</v>
      </c>
      <c r="CH343" s="758">
        <f t="shared" si="854"/>
        <v>0</v>
      </c>
      <c r="CI343" s="757">
        <f t="shared" si="804"/>
        <v>415222.58964450844</v>
      </c>
      <c r="CJ343" s="757">
        <f t="shared" si="805"/>
        <v>101273.80235231914</v>
      </c>
      <c r="CK343" s="759">
        <f t="shared" si="747"/>
        <v>4567448.4860895937</v>
      </c>
      <c r="CL343" s="764">
        <f t="shared" si="855"/>
        <v>0.125</v>
      </c>
      <c r="CM343" s="757">
        <f t="shared" si="856"/>
        <v>570931.06076119922</v>
      </c>
      <c r="CN343" s="757">
        <f t="shared" si="898"/>
        <v>30000</v>
      </c>
      <c r="CO343" s="757">
        <f t="shared" si="857"/>
        <v>540931.06076119922</v>
      </c>
      <c r="CP343" s="755">
        <f t="shared" si="858"/>
        <v>31</v>
      </c>
      <c r="CQ343" s="757">
        <f t="shared" si="901"/>
        <v>17449.389056812877</v>
      </c>
      <c r="CR343" s="764">
        <f t="shared" si="859"/>
        <v>0.875</v>
      </c>
      <c r="CS343" s="757">
        <f t="shared" si="860"/>
        <v>3996517.4253283944</v>
      </c>
      <c r="CT343" s="1101">
        <f t="shared" si="861"/>
        <v>30984.957060393896</v>
      </c>
      <c r="CU343" s="1101">
        <f t="shared" si="862"/>
        <v>35921.828468395142</v>
      </c>
      <c r="CV343" s="1101">
        <f t="shared" si="863"/>
        <v>46402.956042561083</v>
      </c>
      <c r="CW343" s="1141">
        <f t="shared" si="806"/>
        <v>79135.835008894093</v>
      </c>
      <c r="CX343" s="1152">
        <f t="shared" si="864"/>
        <v>324649.813447155</v>
      </c>
      <c r="CY343" s="1152">
        <f t="shared" si="865"/>
        <v>128462.3497210015</v>
      </c>
      <c r="CZ343" s="1152">
        <f t="shared" si="866"/>
        <v>92786.535766221292</v>
      </c>
      <c r="DA343" s="1152">
        <f t="shared" si="867"/>
        <v>70614.825389578415</v>
      </c>
      <c r="DB343" s="1143">
        <f t="shared" si="807"/>
        <v>0.20011073403816762</v>
      </c>
      <c r="DC343" s="1143">
        <f t="shared" si="868"/>
        <v>0.33223796556162211</v>
      </c>
      <c r="DD343" s="1098" t="s">
        <v>232</v>
      </c>
      <c r="DE343" s="1144"/>
      <c r="DF343" s="705"/>
      <c r="DG343" s="765">
        <f t="shared" si="899"/>
        <v>46082</v>
      </c>
      <c r="DH343" s="1116">
        <f t="shared" si="808"/>
        <v>28</v>
      </c>
      <c r="DI343" s="497"/>
      <c r="DJ343" s="1117">
        <f t="shared" si="869"/>
        <v>46147</v>
      </c>
      <c r="DK343" s="1116">
        <f t="shared" si="870"/>
        <v>30</v>
      </c>
      <c r="DL343" s="766" t="s">
        <v>233</v>
      </c>
      <c r="DM343" s="766" t="s">
        <v>234</v>
      </c>
      <c r="DN343" s="767">
        <f t="shared" si="809"/>
        <v>30562.366653101963</v>
      </c>
      <c r="DO343" s="767">
        <f t="shared" si="810"/>
        <v>672372.06636824319</v>
      </c>
      <c r="DP343" s="768">
        <f t="shared" si="811"/>
        <v>0.22412402212274773</v>
      </c>
      <c r="DR343" s="767">
        <f t="shared" si="812"/>
        <v>4050952.0940927654</v>
      </c>
      <c r="DS343" s="767">
        <f>SUM('[6]INTERNAL PRICELIST'!M343)</f>
        <v>0</v>
      </c>
      <c r="DT343" s="767">
        <f t="shared" si="871"/>
        <v>4050952.0940927654</v>
      </c>
      <c r="DV343" s="951">
        <f t="shared" si="813"/>
        <v>184134.18609512571</v>
      </c>
      <c r="DX343" s="781"/>
      <c r="DY343" s="782"/>
      <c r="DZ343" s="781"/>
      <c r="EA343" s="775"/>
      <c r="ED343" s="755" t="s">
        <v>806</v>
      </c>
      <c r="EE343" s="777" t="b">
        <f t="shared" si="814"/>
        <v>1</v>
      </c>
      <c r="EF343" s="777"/>
      <c r="EG343" s="777"/>
      <c r="EH343" s="1203"/>
      <c r="EP343" s="1230" t="s">
        <v>236</v>
      </c>
      <c r="EQ343" s="1145" t="s">
        <v>236</v>
      </c>
      <c r="ER343" s="753" t="b">
        <f t="shared" si="872"/>
        <v>1</v>
      </c>
      <c r="EU343" s="770">
        <v>3237325.1324007288</v>
      </c>
      <c r="EV343" s="771" t="s">
        <v>258</v>
      </c>
      <c r="EW343" s="775">
        <f t="shared" si="774"/>
        <v>-813626.9616920366</v>
      </c>
      <c r="EY343" s="775">
        <v>3203014.8483802993</v>
      </c>
      <c r="FJ343" s="994">
        <v>0.15</v>
      </c>
      <c r="FK343" s="993">
        <v>13942.005324701358</v>
      </c>
      <c r="FL343" s="993">
        <v>14318.816279423017</v>
      </c>
      <c r="FM343" s="497"/>
      <c r="FN343" s="993">
        <f t="shared" si="815"/>
        <v>4567448.4860895937</v>
      </c>
      <c r="FO343" s="994">
        <f t="shared" si="906"/>
        <v>0.15</v>
      </c>
      <c r="FP343" s="775">
        <f t="shared" si="816"/>
        <v>685117.27291343908</v>
      </c>
      <c r="FQ343" s="993">
        <f t="shared" si="817"/>
        <v>30000</v>
      </c>
      <c r="FR343" s="775">
        <f t="shared" si="874"/>
        <v>655117.27291343908</v>
      </c>
      <c r="FS343" s="497">
        <f t="shared" si="875"/>
        <v>40</v>
      </c>
      <c r="FT343" s="775">
        <f t="shared" si="876"/>
        <v>16377.931822835977</v>
      </c>
      <c r="FU343" s="497"/>
      <c r="FV343" s="993">
        <f t="shared" si="877"/>
        <v>4567448.4860895937</v>
      </c>
      <c r="FW343" s="705">
        <f t="shared" si="878"/>
        <v>456744.84860895941</v>
      </c>
      <c r="FX343" s="705">
        <f t="shared" si="879"/>
        <v>114186.21215223985</v>
      </c>
      <c r="FY343" s="705">
        <v>15000</v>
      </c>
      <c r="FZ343" s="705">
        <f t="shared" si="880"/>
        <v>441744.84860895941</v>
      </c>
      <c r="GA343" s="497">
        <f t="shared" si="881"/>
        <v>46</v>
      </c>
      <c r="GB343" s="775">
        <f t="shared" si="882"/>
        <v>9603.1488828034653</v>
      </c>
      <c r="GC343" s="497"/>
      <c r="GD343" s="497"/>
      <c r="GH343" s="1095">
        <f t="shared" si="782"/>
        <v>4567448.4860895937</v>
      </c>
      <c r="GI343" s="1098">
        <f t="shared" si="783"/>
        <v>0.125</v>
      </c>
      <c r="GJ343" s="1095">
        <f t="shared" si="784"/>
        <v>570931.06076119922</v>
      </c>
      <c r="GK343" s="1095">
        <f t="shared" si="785"/>
        <v>30000</v>
      </c>
      <c r="GL343" s="1095">
        <f t="shared" si="786"/>
        <v>540931.06076119922</v>
      </c>
      <c r="GM343" s="1095">
        <f t="shared" si="787"/>
        <v>31</v>
      </c>
      <c r="GN343" s="1095">
        <f t="shared" si="788"/>
        <v>17449.389056812877</v>
      </c>
      <c r="GO343" s="1098">
        <f t="shared" si="789"/>
        <v>0.875</v>
      </c>
      <c r="GP343" s="1095">
        <f t="shared" si="790"/>
        <v>3996517.4253283944</v>
      </c>
      <c r="GQ343" s="1095">
        <f t="shared" si="791"/>
        <v>30984.957060393896</v>
      </c>
      <c r="GR343" s="1095">
        <f t="shared" si="792"/>
        <v>35921.828468395142</v>
      </c>
      <c r="GS343" s="1095">
        <f t="shared" si="793"/>
        <v>46402.956042561083</v>
      </c>
      <c r="GT343" s="1095">
        <f t="shared" si="794"/>
        <v>79135.835008894093</v>
      </c>
      <c r="GU343" s="497"/>
      <c r="GV343" s="1095">
        <f t="shared" si="883"/>
        <v>4567448.4860895937</v>
      </c>
      <c r="GW343" s="1098">
        <f t="shared" si="884"/>
        <v>0.125</v>
      </c>
      <c r="GX343" s="1095">
        <f t="shared" si="885"/>
        <v>570931.06076119922</v>
      </c>
      <c r="GY343" s="1095">
        <f t="shared" si="886"/>
        <v>30000</v>
      </c>
      <c r="GZ343" s="1095">
        <f t="shared" si="887"/>
        <v>540931.06076119922</v>
      </c>
      <c r="HA343" s="1106">
        <f t="shared" si="888"/>
        <v>48</v>
      </c>
      <c r="HB343" s="770">
        <f t="shared" si="889"/>
        <v>11269.39709919165</v>
      </c>
      <c r="HC343" s="1098">
        <f t="shared" si="890"/>
        <v>0.875</v>
      </c>
      <c r="HD343" s="1102">
        <f t="shared" si="891"/>
        <v>3996517.4253283944</v>
      </c>
      <c r="HE343" s="1101">
        <f t="shared" si="892"/>
        <v>30984.957060393896</v>
      </c>
      <c r="HF343" s="1101">
        <f t="shared" si="893"/>
        <v>35921.828468395142</v>
      </c>
      <c r="HG343" s="1101">
        <f t="shared" si="894"/>
        <v>46402.956042561083</v>
      </c>
      <c r="HH343" s="1101">
        <f t="shared" si="895"/>
        <v>79135.835008894093</v>
      </c>
      <c r="HI343" s="497"/>
      <c r="HJ343" s="1102">
        <f t="shared" si="896"/>
        <v>-6179.9919576212269</v>
      </c>
      <c r="HL343" s="775"/>
      <c r="HN343" s="775"/>
      <c r="HO343" s="775"/>
      <c r="HQ343" s="702"/>
      <c r="HR343" s="1171"/>
      <c r="HS343" s="702"/>
      <c r="HT343" s="1171"/>
    </row>
    <row r="344" spans="1:228" ht="14.25" customHeight="1">
      <c r="A344" s="753">
        <f t="shared" si="897"/>
        <v>338</v>
      </c>
      <c r="B344" s="753"/>
      <c r="C344" s="753">
        <f t="shared" si="772"/>
        <v>28</v>
      </c>
      <c r="D344" s="753" t="s">
        <v>779</v>
      </c>
      <c r="E344" s="717" t="s">
        <v>292</v>
      </c>
      <c r="F344" s="754"/>
      <c r="G344" s="756" t="s">
        <v>807</v>
      </c>
      <c r="H344" s="756"/>
      <c r="I344" s="755" t="s">
        <v>229</v>
      </c>
      <c r="J344" s="757">
        <v>22</v>
      </c>
      <c r="K344" s="758"/>
      <c r="L344" s="759" t="s">
        <v>277</v>
      </c>
      <c r="M344" s="760" t="s">
        <v>278</v>
      </c>
      <c r="N344" s="761">
        <f t="shared" si="818"/>
        <v>106005.26567735759</v>
      </c>
      <c r="O344" s="762">
        <f t="shared" si="819"/>
        <v>2332115.8449018667</v>
      </c>
      <c r="P344" s="762">
        <f t="shared" si="820"/>
        <v>22400</v>
      </c>
      <c r="Q344" s="762">
        <f t="shared" si="795"/>
        <v>50000</v>
      </c>
      <c r="R344" s="762"/>
      <c r="S344" s="762"/>
      <c r="T344" s="762"/>
      <c r="U344" s="762"/>
      <c r="V344" s="762"/>
      <c r="W344" s="762">
        <f t="shared" si="907"/>
        <v>22000</v>
      </c>
      <c r="X344" s="762"/>
      <c r="Y344" s="762">
        <f t="shared" si="773"/>
        <v>180000</v>
      </c>
      <c r="Z344" s="762">
        <f t="shared" si="796"/>
        <v>142461</v>
      </c>
      <c r="AA344" s="762"/>
      <c r="AB344" s="762"/>
      <c r="AC344" s="762"/>
      <c r="AD344" s="763">
        <f t="shared" si="821"/>
        <v>416861</v>
      </c>
      <c r="AE344" s="763">
        <f t="shared" si="797"/>
        <v>2748976.8449018667</v>
      </c>
      <c r="AF344" s="762">
        <f t="shared" si="798"/>
        <v>68724.421122546672</v>
      </c>
      <c r="AG344" s="762">
        <f t="shared" si="822"/>
        <v>2817701.2660244135</v>
      </c>
      <c r="AH344" s="762">
        <f t="shared" si="799"/>
        <v>70442.531650610341</v>
      </c>
      <c r="AI344" s="762">
        <f t="shared" si="823"/>
        <v>2888143.7976750238</v>
      </c>
      <c r="AJ344" s="762">
        <f t="shared" si="824"/>
        <v>144407.18988375118</v>
      </c>
      <c r="AK344" s="762">
        <f t="shared" si="825"/>
        <v>3032550.9875587751</v>
      </c>
      <c r="AL344" s="762">
        <f t="shared" si="826"/>
        <v>30325.509875587752</v>
      </c>
      <c r="AM344" s="762">
        <f t="shared" si="827"/>
        <v>27537.409960060559</v>
      </c>
      <c r="AN344" s="762"/>
      <c r="AO344" s="763">
        <f t="shared" si="828"/>
        <v>3090413.9073944231</v>
      </c>
      <c r="AP344" s="763">
        <f t="shared" si="829"/>
        <v>509918.29472007987</v>
      </c>
      <c r="AQ344" s="763">
        <f t="shared" si="830"/>
        <v>3600332.2021145029</v>
      </c>
      <c r="AR344" s="1178">
        <f t="shared" si="800"/>
        <v>3000000</v>
      </c>
      <c r="AS344" s="1178">
        <f t="shared" si="831"/>
        <v>27287.827368841041</v>
      </c>
      <c r="AT344" s="1178">
        <f t="shared" si="832"/>
        <v>600332.2021145029</v>
      </c>
      <c r="AU344" s="1178">
        <f t="shared" si="801"/>
        <v>72039.86425374035</v>
      </c>
      <c r="AV344" s="1178">
        <f t="shared" si="833"/>
        <v>672372.06636824319</v>
      </c>
      <c r="AW344" s="1178">
        <f t="shared" si="834"/>
        <v>3672372.0663682432</v>
      </c>
      <c r="AX344" s="762">
        <f t="shared" si="835"/>
        <v>45904.650829603044</v>
      </c>
      <c r="AY344" s="717" t="s">
        <v>231</v>
      </c>
      <c r="AZ344" s="717">
        <f t="shared" si="836"/>
        <v>3718276.7171978462</v>
      </c>
      <c r="BA344" s="717">
        <f t="shared" si="837"/>
        <v>139435.37689491923</v>
      </c>
      <c r="BB344" s="717"/>
      <c r="BC344" s="717">
        <f t="shared" si="802"/>
        <v>33600</v>
      </c>
      <c r="BD344" s="717">
        <f t="shared" si="838"/>
        <v>3891312.0940927654</v>
      </c>
      <c r="BE344" s="717"/>
      <c r="BF344" s="717">
        <f t="shared" si="839"/>
        <v>3891312.0940927654</v>
      </c>
      <c r="BG344" s="1209"/>
      <c r="BH344" s="717">
        <f t="shared" si="840"/>
        <v>3891312.0940927654</v>
      </c>
      <c r="BI344" s="717"/>
      <c r="BJ344" s="717">
        <f t="shared" si="841"/>
        <v>3891312.0940927654</v>
      </c>
      <c r="BK344" s="717"/>
      <c r="BL344" s="717">
        <f t="shared" si="842"/>
        <v>3891312.0940927654</v>
      </c>
      <c r="BM344" s="717"/>
      <c r="BN344" s="717">
        <f t="shared" si="843"/>
        <v>3891312.0940927654</v>
      </c>
      <c r="BO344" s="717">
        <f>$BO$5/51</f>
        <v>7289.0781490196077</v>
      </c>
      <c r="BP344" s="717">
        <f t="shared" si="803"/>
        <v>3898601.1722417851</v>
      </c>
      <c r="BQ344" s="717">
        <f>$BQ$5/56</f>
        <v>4468.4242000000004</v>
      </c>
      <c r="BR344" s="717">
        <f t="shared" si="903"/>
        <v>3903069.5964417849</v>
      </c>
      <c r="BS344" s="1234">
        <f>$BS$5/64</f>
        <v>2651.4786794501206</v>
      </c>
      <c r="BT344" s="1235">
        <f t="shared" si="844"/>
        <v>3905721.0751212351</v>
      </c>
      <c r="BU344" s="1235">
        <f>$BU$5/65</f>
        <v>211.07692307692309</v>
      </c>
      <c r="BV344" s="1235">
        <f t="shared" si="904"/>
        <v>51400</v>
      </c>
      <c r="BW344" s="717">
        <f t="shared" si="845"/>
        <v>3957332.1520443121</v>
      </c>
      <c r="BX344" s="1234">
        <f t="shared" ref="BX338:BX378" si="908">$BX$5/68</f>
        <v>27651.078536278128</v>
      </c>
      <c r="BY344" s="717">
        <f t="shared" si="846"/>
        <v>3984983.2305805902</v>
      </c>
      <c r="BZ344" s="1194">
        <f t="shared" si="847"/>
        <v>3984983.2305805902</v>
      </c>
      <c r="CA344" s="1194">
        <f t="shared" si="848"/>
        <v>3104983.2305805902</v>
      </c>
      <c r="CB344" s="1194">
        <f>$CB$5</f>
        <v>40000</v>
      </c>
      <c r="CC344" s="1194">
        <f t="shared" si="849"/>
        <v>880000</v>
      </c>
      <c r="CD344" s="1194">
        <f t="shared" si="850"/>
        <v>105600</v>
      </c>
      <c r="CE344" s="1194">
        <f t="shared" si="851"/>
        <v>985600</v>
      </c>
      <c r="CF344" s="1200">
        <f t="shared" si="852"/>
        <v>4090583.2305805902</v>
      </c>
      <c r="CG344" s="757">
        <f t="shared" si="853"/>
        <v>4090583.2305805902</v>
      </c>
      <c r="CH344" s="758">
        <f t="shared" si="854"/>
        <v>0</v>
      </c>
      <c r="CI344" s="757">
        <f t="shared" si="804"/>
        <v>419284.78113451047</v>
      </c>
      <c r="CJ344" s="757">
        <f t="shared" si="805"/>
        <v>102264.58076451476</v>
      </c>
      <c r="CK344" s="759">
        <f t="shared" si="747"/>
        <v>4612132.5924796155</v>
      </c>
      <c r="CL344" s="764">
        <f t="shared" si="855"/>
        <v>0.125</v>
      </c>
      <c r="CM344" s="757">
        <f t="shared" si="856"/>
        <v>576516.57405995193</v>
      </c>
      <c r="CN344" s="757">
        <f t="shared" si="898"/>
        <v>30000</v>
      </c>
      <c r="CO344" s="757">
        <f t="shared" si="857"/>
        <v>546516.57405995193</v>
      </c>
      <c r="CP344" s="755">
        <f t="shared" si="858"/>
        <v>31</v>
      </c>
      <c r="CQ344" s="757">
        <f t="shared" si="901"/>
        <v>17629.56690515974</v>
      </c>
      <c r="CR344" s="764">
        <f t="shared" si="859"/>
        <v>0.875</v>
      </c>
      <c r="CS344" s="757">
        <f t="shared" si="860"/>
        <v>4035616.0184196634</v>
      </c>
      <c r="CT344" s="1101">
        <f t="shared" si="861"/>
        <v>31288.088036472458</v>
      </c>
      <c r="CU344" s="1101">
        <f t="shared" si="862"/>
        <v>36273.257676605026</v>
      </c>
      <c r="CV344" s="1101">
        <f t="shared" si="863"/>
        <v>46856.923860902585</v>
      </c>
      <c r="CW344" s="1141">
        <f t="shared" si="806"/>
        <v>79910.034013342636</v>
      </c>
      <c r="CX344" s="1152">
        <f t="shared" si="864"/>
        <v>327825.91643939546</v>
      </c>
      <c r="CY344" s="1152">
        <f t="shared" si="865"/>
        <v>129719.1182033451</v>
      </c>
      <c r="CZ344" s="1152">
        <f t="shared" si="866"/>
        <v>93694.281841161501</v>
      </c>
      <c r="DA344" s="1152">
        <f t="shared" si="867"/>
        <v>71305.661943078798</v>
      </c>
      <c r="DB344" s="1143">
        <f t="shared" si="807"/>
        <v>0.20011073403816762</v>
      </c>
      <c r="DC344" s="1143">
        <f t="shared" si="868"/>
        <v>0.31742522481053981</v>
      </c>
      <c r="DD344" s="1098" t="s">
        <v>232</v>
      </c>
      <c r="DE344" s="1144"/>
      <c r="DF344" s="705"/>
      <c r="DG344" s="765">
        <f t="shared" si="899"/>
        <v>46082</v>
      </c>
      <c r="DH344" s="1116">
        <f t="shared" si="808"/>
        <v>28</v>
      </c>
      <c r="DI344" s="497"/>
      <c r="DJ344" s="1117">
        <f t="shared" si="869"/>
        <v>46147</v>
      </c>
      <c r="DK344" s="1116">
        <f t="shared" si="870"/>
        <v>30</v>
      </c>
      <c r="DL344" s="766" t="s">
        <v>233</v>
      </c>
      <c r="DM344" s="766" t="s">
        <v>234</v>
      </c>
      <c r="DN344" s="767">
        <f t="shared" si="809"/>
        <v>30562.366653101963</v>
      </c>
      <c r="DO344" s="767">
        <f t="shared" si="810"/>
        <v>672372.06636824319</v>
      </c>
      <c r="DP344" s="768">
        <f t="shared" si="811"/>
        <v>0.22412402212274773</v>
      </c>
      <c r="DR344" s="767">
        <f t="shared" si="812"/>
        <v>4090583.2305805902</v>
      </c>
      <c r="DS344" s="767">
        <f>SUM('[6]INTERNAL PRICELIST'!M344)</f>
        <v>0</v>
      </c>
      <c r="DT344" s="767">
        <f t="shared" si="871"/>
        <v>4090583.2305805902</v>
      </c>
      <c r="DV344" s="951">
        <f t="shared" si="813"/>
        <v>185935.60139002683</v>
      </c>
      <c r="DX344" s="781"/>
      <c r="DY344" s="782"/>
      <c r="DZ344" s="781"/>
      <c r="EA344" s="775"/>
      <c r="ED344" s="755" t="s">
        <v>807</v>
      </c>
      <c r="EE344" s="777" t="b">
        <f t="shared" si="814"/>
        <v>1</v>
      </c>
      <c r="EF344" s="777"/>
      <c r="EG344" s="777"/>
      <c r="EH344" s="1203"/>
      <c r="EP344" s="1230" t="s">
        <v>258</v>
      </c>
      <c r="EQ344" s="1145" t="s">
        <v>258</v>
      </c>
      <c r="ER344" s="753" t="b">
        <f t="shared" si="872"/>
        <v>1</v>
      </c>
      <c r="EU344" s="770">
        <v>3237325.1324007288</v>
      </c>
      <c r="EV344" s="771" t="s">
        <v>258</v>
      </c>
      <c r="EW344" s="775">
        <f t="shared" si="774"/>
        <v>-853258.09817986144</v>
      </c>
      <c r="EY344" s="775">
        <v>3203014.8483802993</v>
      </c>
      <c r="FJ344" s="994">
        <v>0.15</v>
      </c>
      <c r="FK344" s="993">
        <v>13942.005324701358</v>
      </c>
      <c r="FL344" s="993">
        <v>14318.816279423017</v>
      </c>
      <c r="FM344" s="497"/>
      <c r="FN344" s="993">
        <f t="shared" si="815"/>
        <v>4612132.5924796155</v>
      </c>
      <c r="FO344" s="994">
        <f t="shared" si="906"/>
        <v>0.15</v>
      </c>
      <c r="FP344" s="775">
        <f t="shared" si="816"/>
        <v>691819.8888719423</v>
      </c>
      <c r="FQ344" s="993">
        <f t="shared" si="817"/>
        <v>30000</v>
      </c>
      <c r="FR344" s="775">
        <f t="shared" si="874"/>
        <v>661819.8888719423</v>
      </c>
      <c r="FS344" s="497">
        <f t="shared" si="875"/>
        <v>40</v>
      </c>
      <c r="FT344" s="775">
        <f t="shared" si="876"/>
        <v>16545.497221798556</v>
      </c>
      <c r="FU344" s="497"/>
      <c r="FV344" s="993">
        <f t="shared" si="877"/>
        <v>4612132.5924796155</v>
      </c>
      <c r="FW344" s="705">
        <f t="shared" si="878"/>
        <v>461213.25924796157</v>
      </c>
      <c r="FX344" s="705">
        <f t="shared" si="879"/>
        <v>115303.31481199039</v>
      </c>
      <c r="FY344" s="705">
        <v>15000</v>
      </c>
      <c r="FZ344" s="705">
        <f t="shared" si="880"/>
        <v>446213.25924796157</v>
      </c>
      <c r="GA344" s="497">
        <f t="shared" si="881"/>
        <v>46</v>
      </c>
      <c r="GB344" s="775">
        <f t="shared" si="882"/>
        <v>9700.2882445209034</v>
      </c>
      <c r="GC344" s="497"/>
      <c r="GD344" s="497"/>
      <c r="GH344" s="1095">
        <f t="shared" si="782"/>
        <v>4612132.5924796155</v>
      </c>
      <c r="GI344" s="1098">
        <f t="shared" si="783"/>
        <v>0.125</v>
      </c>
      <c r="GJ344" s="1095">
        <f t="shared" si="784"/>
        <v>576516.57405995193</v>
      </c>
      <c r="GK344" s="1095">
        <f t="shared" si="785"/>
        <v>30000</v>
      </c>
      <c r="GL344" s="1095">
        <f t="shared" si="786"/>
        <v>546516.57405995193</v>
      </c>
      <c r="GM344" s="1095">
        <f t="shared" si="787"/>
        <v>31</v>
      </c>
      <c r="GN344" s="1095">
        <f t="shared" si="788"/>
        <v>17629.56690515974</v>
      </c>
      <c r="GO344" s="1098">
        <f t="shared" si="789"/>
        <v>0.875</v>
      </c>
      <c r="GP344" s="1095">
        <f t="shared" si="790"/>
        <v>4035616.0184196634</v>
      </c>
      <c r="GQ344" s="1095">
        <f t="shared" si="791"/>
        <v>31288.088036472458</v>
      </c>
      <c r="GR344" s="1095">
        <f t="shared" si="792"/>
        <v>36273.257676605026</v>
      </c>
      <c r="GS344" s="1095">
        <f t="shared" si="793"/>
        <v>46856.923860902585</v>
      </c>
      <c r="GT344" s="1095">
        <f t="shared" si="794"/>
        <v>79910.034013342636</v>
      </c>
      <c r="GU344" s="497"/>
      <c r="GV344" s="1095">
        <f t="shared" si="883"/>
        <v>4612132.5924796155</v>
      </c>
      <c r="GW344" s="1098">
        <f t="shared" si="884"/>
        <v>0.125</v>
      </c>
      <c r="GX344" s="1095">
        <f t="shared" si="885"/>
        <v>576516.57405995193</v>
      </c>
      <c r="GY344" s="1095">
        <f t="shared" si="886"/>
        <v>30000</v>
      </c>
      <c r="GZ344" s="1095">
        <f t="shared" si="887"/>
        <v>546516.57405995193</v>
      </c>
      <c r="HA344" s="1106">
        <f t="shared" si="888"/>
        <v>48</v>
      </c>
      <c r="HB344" s="770">
        <f t="shared" si="889"/>
        <v>11385.761959582333</v>
      </c>
      <c r="HC344" s="1098">
        <f t="shared" si="890"/>
        <v>0.875</v>
      </c>
      <c r="HD344" s="1102">
        <f t="shared" si="891"/>
        <v>4035616.0184196634</v>
      </c>
      <c r="HE344" s="1101">
        <f t="shared" si="892"/>
        <v>31288.088036472458</v>
      </c>
      <c r="HF344" s="1101">
        <f t="shared" si="893"/>
        <v>36273.257676605026</v>
      </c>
      <c r="HG344" s="1101">
        <f t="shared" si="894"/>
        <v>46856.923860902585</v>
      </c>
      <c r="HH344" s="1101">
        <f t="shared" si="895"/>
        <v>79910.034013342636</v>
      </c>
      <c r="HI344" s="497"/>
      <c r="HJ344" s="1102">
        <f t="shared" si="896"/>
        <v>-6243.8049455774071</v>
      </c>
      <c r="HL344" s="775"/>
      <c r="HN344" s="775"/>
      <c r="HO344" s="775"/>
      <c r="HQ344" s="702"/>
      <c r="HR344" s="1171"/>
      <c r="HS344" s="702"/>
      <c r="HT344" s="1171"/>
    </row>
    <row r="345" spans="1:228" ht="14.25" hidden="1" customHeight="1">
      <c r="A345" s="753">
        <f t="shared" si="897"/>
        <v>339</v>
      </c>
      <c r="B345" s="753"/>
      <c r="C345" s="753">
        <f t="shared" si="772"/>
        <v>29</v>
      </c>
      <c r="D345" s="753" t="s">
        <v>779</v>
      </c>
      <c r="E345" s="717" t="s">
        <v>292</v>
      </c>
      <c r="F345" s="754"/>
      <c r="G345" s="756" t="s">
        <v>808</v>
      </c>
      <c r="H345" s="756"/>
      <c r="I345" s="755" t="s">
        <v>229</v>
      </c>
      <c r="J345" s="757">
        <v>22</v>
      </c>
      <c r="K345" s="758"/>
      <c r="L345" s="759" t="s">
        <v>277</v>
      </c>
      <c r="M345" s="760" t="s">
        <v>68</v>
      </c>
      <c r="N345" s="761">
        <f t="shared" si="818"/>
        <v>106005.26567735759</v>
      </c>
      <c r="O345" s="762">
        <f t="shared" si="819"/>
        <v>2332115.8449018667</v>
      </c>
      <c r="P345" s="762">
        <f t="shared" si="820"/>
        <v>22400</v>
      </c>
      <c r="Q345" s="762">
        <f t="shared" si="795"/>
        <v>50000</v>
      </c>
      <c r="R345" s="762"/>
      <c r="S345" s="762"/>
      <c r="T345" s="762"/>
      <c r="U345" s="762"/>
      <c r="V345" s="762"/>
      <c r="W345" s="762"/>
      <c r="X345" s="762"/>
      <c r="Y345" s="762">
        <f t="shared" si="773"/>
        <v>180000</v>
      </c>
      <c r="Z345" s="762">
        <f t="shared" si="796"/>
        <v>142461</v>
      </c>
      <c r="AA345" s="762"/>
      <c r="AB345" s="762"/>
      <c r="AC345" s="762"/>
      <c r="AD345" s="763">
        <f t="shared" si="821"/>
        <v>394861</v>
      </c>
      <c r="AE345" s="763">
        <f t="shared" si="797"/>
        <v>2726976.8449018667</v>
      </c>
      <c r="AF345" s="762">
        <f t="shared" si="798"/>
        <v>68174.421122546672</v>
      </c>
      <c r="AG345" s="762">
        <f t="shared" si="822"/>
        <v>2795151.2660244135</v>
      </c>
      <c r="AH345" s="762">
        <f t="shared" si="799"/>
        <v>69878.781650610341</v>
      </c>
      <c r="AI345" s="762">
        <f t="shared" si="823"/>
        <v>2865030.0476750238</v>
      </c>
      <c r="AJ345" s="762">
        <f t="shared" si="824"/>
        <v>143251.50238375118</v>
      </c>
      <c r="AK345" s="762">
        <f t="shared" si="825"/>
        <v>3008281.5500587751</v>
      </c>
      <c r="AL345" s="762">
        <f t="shared" si="826"/>
        <v>30082.815500587752</v>
      </c>
      <c r="AM345" s="762">
        <f t="shared" si="827"/>
        <v>27537.409960060559</v>
      </c>
      <c r="AN345" s="762"/>
      <c r="AO345" s="763">
        <f t="shared" si="828"/>
        <v>3065901.7755194232</v>
      </c>
      <c r="AP345" s="763">
        <f t="shared" si="829"/>
        <v>505873.79296070483</v>
      </c>
      <c r="AQ345" s="763">
        <f t="shared" si="830"/>
        <v>3571775.568480128</v>
      </c>
      <c r="AR345" s="1178">
        <f t="shared" si="800"/>
        <v>3000000</v>
      </c>
      <c r="AS345" s="1178">
        <f t="shared" si="831"/>
        <v>25989.798567278543</v>
      </c>
      <c r="AT345" s="1178">
        <f t="shared" si="832"/>
        <v>571775.56848012796</v>
      </c>
      <c r="AU345" s="1178">
        <f t="shared" si="801"/>
        <v>68613.06821761535</v>
      </c>
      <c r="AV345" s="1178">
        <f t="shared" si="833"/>
        <v>640388.63669774332</v>
      </c>
      <c r="AW345" s="1178">
        <f t="shared" si="834"/>
        <v>3640388.6366977431</v>
      </c>
      <c r="AX345" s="762">
        <f t="shared" si="835"/>
        <v>45504.85795872179</v>
      </c>
      <c r="AY345" s="717" t="s">
        <v>231</v>
      </c>
      <c r="AZ345" s="717">
        <f t="shared" si="836"/>
        <v>3685893.494656465</v>
      </c>
      <c r="BA345" s="717">
        <f t="shared" si="837"/>
        <v>138221.00604961743</v>
      </c>
      <c r="BB345" s="717"/>
      <c r="BC345" s="717">
        <f t="shared" si="802"/>
        <v>33600</v>
      </c>
      <c r="BD345" s="717">
        <f t="shared" si="838"/>
        <v>3857714.5007060822</v>
      </c>
      <c r="BE345" s="717"/>
      <c r="BF345" s="717">
        <f t="shared" si="839"/>
        <v>3857714.5007060822</v>
      </c>
      <c r="BG345" s="1209"/>
      <c r="BH345" s="717">
        <f t="shared" si="840"/>
        <v>3857714.5007060822</v>
      </c>
      <c r="BI345" s="717"/>
      <c r="BJ345" s="717">
        <f t="shared" si="841"/>
        <v>3857714.5007060822</v>
      </c>
      <c r="BK345" s="717"/>
      <c r="BL345" s="717">
        <f t="shared" si="842"/>
        <v>3857714.5007060822</v>
      </c>
      <c r="BM345" s="717"/>
      <c r="BN345" s="717">
        <f t="shared" si="843"/>
        <v>3857714.5007060822</v>
      </c>
      <c r="BO345" s="717"/>
      <c r="BP345" s="717">
        <f t="shared" si="803"/>
        <v>3857714.5007060822</v>
      </c>
      <c r="BQ345" s="717"/>
      <c r="BR345" s="717">
        <f t="shared" si="903"/>
        <v>3857714.5007060822</v>
      </c>
      <c r="BS345" s="717"/>
      <c r="BT345" s="717">
        <f t="shared" si="844"/>
        <v>3857714.5007060822</v>
      </c>
      <c r="BU345" s="717"/>
      <c r="BV345" s="1235">
        <f t="shared" si="904"/>
        <v>51400</v>
      </c>
      <c r="BW345" s="717">
        <f t="shared" si="845"/>
        <v>3909114.5007060822</v>
      </c>
      <c r="BX345" s="717"/>
      <c r="BY345" s="717">
        <f t="shared" si="846"/>
        <v>3909114.5007060822</v>
      </c>
      <c r="BZ345" s="1194">
        <f t="shared" si="847"/>
        <v>3909114.5007060822</v>
      </c>
      <c r="CA345" s="1194">
        <f t="shared" si="848"/>
        <v>3029114.5007060822</v>
      </c>
      <c r="CB345" s="1194">
        <v>40000</v>
      </c>
      <c r="CC345" s="1194">
        <f t="shared" si="849"/>
        <v>880000</v>
      </c>
      <c r="CD345" s="1194">
        <f t="shared" si="850"/>
        <v>105600</v>
      </c>
      <c r="CE345" s="1194">
        <f t="shared" si="851"/>
        <v>985600</v>
      </c>
      <c r="CF345" s="1200">
        <f t="shared" si="852"/>
        <v>4014714.5007060822</v>
      </c>
      <c r="CG345" s="757">
        <f t="shared" si="853"/>
        <v>4014714.5007060822</v>
      </c>
      <c r="CH345" s="758">
        <f t="shared" si="854"/>
        <v>0</v>
      </c>
      <c r="CI345" s="757">
        <f t="shared" si="804"/>
        <v>411508.23632237338</v>
      </c>
      <c r="CJ345" s="757">
        <f t="shared" si="805"/>
        <v>100367.86251765206</v>
      </c>
      <c r="CK345" s="759">
        <f t="shared" si="747"/>
        <v>4526590.5995461075</v>
      </c>
      <c r="CL345" s="764">
        <f t="shared" si="855"/>
        <v>0.125</v>
      </c>
      <c r="CM345" s="757">
        <f t="shared" si="856"/>
        <v>565823.82494326343</v>
      </c>
      <c r="CN345" s="757">
        <f t="shared" si="898"/>
        <v>30000</v>
      </c>
      <c r="CO345" s="757">
        <f t="shared" si="857"/>
        <v>535823.82494326343</v>
      </c>
      <c r="CP345" s="755">
        <f t="shared" si="858"/>
        <v>31</v>
      </c>
      <c r="CQ345" s="757">
        <f t="shared" si="901"/>
        <v>17284.639514298822</v>
      </c>
      <c r="CR345" s="764">
        <f t="shared" si="859"/>
        <v>0.875</v>
      </c>
      <c r="CS345" s="757">
        <f t="shared" si="860"/>
        <v>3960766.7746028439</v>
      </c>
      <c r="CT345" s="1101">
        <f t="shared" si="861"/>
        <v>30707.782645841882</v>
      </c>
      <c r="CU345" s="1101">
        <f t="shared" si="862"/>
        <v>35600.491512660185</v>
      </c>
      <c r="CV345" s="1101">
        <f t="shared" si="863"/>
        <v>45987.860673879099</v>
      </c>
      <c r="CW345" s="1141">
        <f t="shared" si="806"/>
        <v>78427.929275930772</v>
      </c>
      <c r="CX345" s="1152">
        <f t="shared" si="864"/>
        <v>321745.67445476446</v>
      </c>
      <c r="CY345" s="1152">
        <f t="shared" si="865"/>
        <v>127313.19606858582</v>
      </c>
      <c r="CZ345" s="1152">
        <f t="shared" si="866"/>
        <v>91956.518358768255</v>
      </c>
      <c r="DA345" s="1152">
        <f t="shared" si="867"/>
        <v>69983.143930478778</v>
      </c>
      <c r="DB345" s="1143">
        <f t="shared" si="807"/>
        <v>0.19059185616004265</v>
      </c>
      <c r="DC345" s="1143">
        <f t="shared" si="868"/>
        <v>0.32537561712185459</v>
      </c>
      <c r="DD345" s="1098" t="s">
        <v>232</v>
      </c>
      <c r="DE345" s="1144"/>
      <c r="DF345" s="705"/>
      <c r="DG345" s="765">
        <f t="shared" si="899"/>
        <v>46082</v>
      </c>
      <c r="DH345" s="1116">
        <f t="shared" si="808"/>
        <v>28</v>
      </c>
      <c r="DI345" s="497"/>
      <c r="DJ345" s="1117">
        <f t="shared" si="869"/>
        <v>46147</v>
      </c>
      <c r="DK345" s="1116">
        <f t="shared" si="870"/>
        <v>30</v>
      </c>
      <c r="DL345" s="766" t="s">
        <v>233</v>
      </c>
      <c r="DM345" s="766" t="s">
        <v>234</v>
      </c>
      <c r="DN345" s="767">
        <f t="shared" si="809"/>
        <v>29108.57439535197</v>
      </c>
      <c r="DO345" s="767">
        <f t="shared" si="810"/>
        <v>640388.63669774332</v>
      </c>
      <c r="DP345" s="768">
        <f t="shared" si="811"/>
        <v>0.21346287889924778</v>
      </c>
      <c r="DR345" s="767">
        <f t="shared" si="812"/>
        <v>4014714.5007060822</v>
      </c>
      <c r="DS345" s="767">
        <f>SUM('[6]INTERNAL PRICELIST'!M345)</f>
        <v>0</v>
      </c>
      <c r="DT345" s="767">
        <f t="shared" si="871"/>
        <v>4014714.5007060822</v>
      </c>
      <c r="DV345" s="951">
        <f t="shared" si="813"/>
        <v>182487.02275936736</v>
      </c>
      <c r="DX345" s="781"/>
      <c r="DY345" s="782"/>
      <c r="DZ345" s="781"/>
      <c r="EA345" s="775"/>
      <c r="ED345" s="755" t="s">
        <v>808</v>
      </c>
      <c r="EE345" s="777" t="b">
        <f t="shared" si="814"/>
        <v>1</v>
      </c>
      <c r="EF345" s="777"/>
      <c r="EG345" s="777"/>
      <c r="EH345" s="1203"/>
      <c r="EP345" s="1230" t="s">
        <v>236</v>
      </c>
      <c r="EQ345" s="1145" t="s">
        <v>236</v>
      </c>
      <c r="ER345" s="753" t="b">
        <f t="shared" si="872"/>
        <v>1</v>
      </c>
      <c r="EU345" s="770">
        <v>3209496.1774007287</v>
      </c>
      <c r="EV345" s="771" t="s">
        <v>258</v>
      </c>
      <c r="EW345" s="775">
        <f t="shared" si="774"/>
        <v>-805218.32330535352</v>
      </c>
      <c r="EY345" s="775">
        <v>3175432.1472727996</v>
      </c>
      <c r="FJ345" s="994">
        <v>0.15</v>
      </c>
      <c r="FK345" s="993">
        <v>13819.818797865502</v>
      </c>
      <c r="FL345" s="993">
        <v>14193.32741402403</v>
      </c>
      <c r="FM345" s="497"/>
      <c r="FN345" s="993">
        <f t="shared" si="815"/>
        <v>4526590.5995461075</v>
      </c>
      <c r="FO345" s="994">
        <f t="shared" si="906"/>
        <v>0.15</v>
      </c>
      <c r="FP345" s="775">
        <f t="shared" si="816"/>
        <v>678988.5899319161</v>
      </c>
      <c r="FQ345" s="993">
        <f t="shared" si="817"/>
        <v>30000</v>
      </c>
      <c r="FR345" s="775">
        <f t="shared" si="874"/>
        <v>648988.5899319161</v>
      </c>
      <c r="FS345" s="497">
        <f t="shared" si="875"/>
        <v>40</v>
      </c>
      <c r="FT345" s="775">
        <f t="shared" si="876"/>
        <v>16224.714748297902</v>
      </c>
      <c r="FU345" s="497"/>
      <c r="FV345" s="993">
        <f t="shared" si="877"/>
        <v>4526590.5995461075</v>
      </c>
      <c r="FW345" s="705">
        <f t="shared" si="878"/>
        <v>452659.05995461077</v>
      </c>
      <c r="FX345" s="705">
        <f t="shared" si="879"/>
        <v>113164.76498865269</v>
      </c>
      <c r="FY345" s="705">
        <v>15000</v>
      </c>
      <c r="FZ345" s="705">
        <f t="shared" si="880"/>
        <v>437659.05995461077</v>
      </c>
      <c r="GA345" s="497">
        <f t="shared" si="881"/>
        <v>46</v>
      </c>
      <c r="GB345" s="775">
        <f t="shared" si="882"/>
        <v>9514.327390317625</v>
      </c>
      <c r="GC345" s="497"/>
      <c r="GD345" s="497"/>
      <c r="GH345" s="1095">
        <f t="shared" si="782"/>
        <v>4526590.5995461075</v>
      </c>
      <c r="GI345" s="1098">
        <f t="shared" si="783"/>
        <v>0.125</v>
      </c>
      <c r="GJ345" s="1095">
        <f t="shared" si="784"/>
        <v>565823.82494326343</v>
      </c>
      <c r="GK345" s="1095">
        <f t="shared" si="785"/>
        <v>30000</v>
      </c>
      <c r="GL345" s="1095">
        <f t="shared" si="786"/>
        <v>535823.82494326343</v>
      </c>
      <c r="GM345" s="1095">
        <f t="shared" si="787"/>
        <v>31</v>
      </c>
      <c r="GN345" s="1095">
        <f t="shared" si="788"/>
        <v>17284.639514298822</v>
      </c>
      <c r="GO345" s="1098">
        <f t="shared" si="789"/>
        <v>0.875</v>
      </c>
      <c r="GP345" s="1095">
        <f t="shared" si="790"/>
        <v>3960766.7746028439</v>
      </c>
      <c r="GQ345" s="1095">
        <f t="shared" si="791"/>
        <v>30707.782645841882</v>
      </c>
      <c r="GR345" s="1095">
        <f t="shared" si="792"/>
        <v>35600.491512660185</v>
      </c>
      <c r="GS345" s="1095">
        <f t="shared" si="793"/>
        <v>45987.860673879099</v>
      </c>
      <c r="GT345" s="1095">
        <f t="shared" si="794"/>
        <v>78427.929275930772</v>
      </c>
      <c r="GU345" s="497"/>
      <c r="GV345" s="1095">
        <f t="shared" si="883"/>
        <v>4526590.5995461075</v>
      </c>
      <c r="GW345" s="1098">
        <f t="shared" si="884"/>
        <v>0.125</v>
      </c>
      <c r="GX345" s="1095">
        <f t="shared" si="885"/>
        <v>565823.82494326343</v>
      </c>
      <c r="GY345" s="1095">
        <f t="shared" si="886"/>
        <v>30000</v>
      </c>
      <c r="GZ345" s="1095">
        <f t="shared" si="887"/>
        <v>535823.82494326343</v>
      </c>
      <c r="HA345" s="1106">
        <f t="shared" si="888"/>
        <v>48</v>
      </c>
      <c r="HB345" s="770">
        <f t="shared" si="889"/>
        <v>11162.996352984655</v>
      </c>
      <c r="HC345" s="1098">
        <f t="shared" si="890"/>
        <v>0.875</v>
      </c>
      <c r="HD345" s="1102">
        <f t="shared" si="891"/>
        <v>3960766.7746028439</v>
      </c>
      <c r="HE345" s="1101">
        <f t="shared" si="892"/>
        <v>30707.782645841882</v>
      </c>
      <c r="HF345" s="1101">
        <f t="shared" si="893"/>
        <v>35600.491512660185</v>
      </c>
      <c r="HG345" s="1101">
        <f t="shared" si="894"/>
        <v>45987.860673879099</v>
      </c>
      <c r="HH345" s="1101">
        <f t="shared" si="895"/>
        <v>78427.929275930772</v>
      </c>
      <c r="HI345" s="497"/>
      <c r="HJ345" s="1102">
        <f t="shared" si="896"/>
        <v>-6121.6431613141667</v>
      </c>
      <c r="HL345" s="775"/>
      <c r="HN345" s="775"/>
      <c r="HO345" s="775"/>
      <c r="HQ345" s="702"/>
      <c r="HR345" s="1171"/>
      <c r="HS345" s="702"/>
      <c r="HT345" s="1171"/>
    </row>
    <row r="346" spans="1:228" ht="14.25" customHeight="1">
      <c r="A346" s="753">
        <f t="shared" si="897"/>
        <v>340</v>
      </c>
      <c r="B346" s="753"/>
      <c r="C346" s="753">
        <f t="shared" si="772"/>
        <v>30</v>
      </c>
      <c r="D346" s="753" t="s">
        <v>779</v>
      </c>
      <c r="E346" s="717" t="s">
        <v>292</v>
      </c>
      <c r="F346" s="754"/>
      <c r="G346" s="756" t="s">
        <v>809</v>
      </c>
      <c r="H346" s="756"/>
      <c r="I346" s="755" t="s">
        <v>229</v>
      </c>
      <c r="J346" s="757">
        <v>22</v>
      </c>
      <c r="K346" s="758"/>
      <c r="L346" s="759" t="s">
        <v>277</v>
      </c>
      <c r="M346" s="760" t="s">
        <v>68</v>
      </c>
      <c r="N346" s="761">
        <f t="shared" si="818"/>
        <v>106005.26567735759</v>
      </c>
      <c r="O346" s="762">
        <f t="shared" si="819"/>
        <v>2332115.8449018667</v>
      </c>
      <c r="P346" s="762">
        <f t="shared" si="820"/>
        <v>22400</v>
      </c>
      <c r="Q346" s="762">
        <f t="shared" si="795"/>
        <v>50000</v>
      </c>
      <c r="R346" s="762"/>
      <c r="S346" s="762"/>
      <c r="T346" s="762"/>
      <c r="U346" s="762"/>
      <c r="V346" s="762"/>
      <c r="W346" s="762"/>
      <c r="X346" s="762"/>
      <c r="Y346" s="762">
        <f t="shared" si="773"/>
        <v>180000</v>
      </c>
      <c r="Z346" s="762">
        <f t="shared" si="796"/>
        <v>142461</v>
      </c>
      <c r="AA346" s="762"/>
      <c r="AB346" s="762"/>
      <c r="AC346" s="762"/>
      <c r="AD346" s="763">
        <f t="shared" si="821"/>
        <v>394861</v>
      </c>
      <c r="AE346" s="763">
        <f t="shared" si="797"/>
        <v>2726976.8449018667</v>
      </c>
      <c r="AF346" s="762">
        <f t="shared" si="798"/>
        <v>68174.421122546672</v>
      </c>
      <c r="AG346" s="762">
        <f t="shared" si="822"/>
        <v>2795151.2660244135</v>
      </c>
      <c r="AH346" s="762">
        <f t="shared" si="799"/>
        <v>69878.781650610341</v>
      </c>
      <c r="AI346" s="762">
        <f t="shared" si="823"/>
        <v>2865030.0476750238</v>
      </c>
      <c r="AJ346" s="762">
        <f t="shared" si="824"/>
        <v>143251.50238375118</v>
      </c>
      <c r="AK346" s="762">
        <f t="shared" si="825"/>
        <v>3008281.5500587751</v>
      </c>
      <c r="AL346" s="762">
        <f t="shared" si="826"/>
        <v>30082.815500587752</v>
      </c>
      <c r="AM346" s="762">
        <f t="shared" si="827"/>
        <v>27537.409960060559</v>
      </c>
      <c r="AN346" s="762"/>
      <c r="AO346" s="763">
        <f t="shared" si="828"/>
        <v>3065901.7755194232</v>
      </c>
      <c r="AP346" s="763">
        <f t="shared" si="829"/>
        <v>505873.79296070483</v>
      </c>
      <c r="AQ346" s="763">
        <f t="shared" si="830"/>
        <v>3571775.568480128</v>
      </c>
      <c r="AR346" s="1178">
        <f t="shared" si="800"/>
        <v>3000000</v>
      </c>
      <c r="AS346" s="1178">
        <f t="shared" si="831"/>
        <v>25989.798567278543</v>
      </c>
      <c r="AT346" s="1178">
        <f t="shared" si="832"/>
        <v>571775.56848012796</v>
      </c>
      <c r="AU346" s="1178">
        <f t="shared" si="801"/>
        <v>68613.06821761535</v>
      </c>
      <c r="AV346" s="1178">
        <f t="shared" si="833"/>
        <v>640388.63669774332</v>
      </c>
      <c r="AW346" s="1178">
        <f t="shared" si="834"/>
        <v>3640388.6366977431</v>
      </c>
      <c r="AX346" s="762">
        <f t="shared" si="835"/>
        <v>45504.85795872179</v>
      </c>
      <c r="AY346" s="717" t="s">
        <v>231</v>
      </c>
      <c r="AZ346" s="717">
        <f t="shared" si="836"/>
        <v>3685893.494656465</v>
      </c>
      <c r="BA346" s="717">
        <f t="shared" si="837"/>
        <v>138221.00604961743</v>
      </c>
      <c r="BB346" s="717"/>
      <c r="BC346" s="717">
        <f t="shared" si="802"/>
        <v>33600</v>
      </c>
      <c r="BD346" s="717">
        <f t="shared" si="838"/>
        <v>3857714.5007060822</v>
      </c>
      <c r="BE346" s="717"/>
      <c r="BF346" s="717">
        <f t="shared" si="839"/>
        <v>3857714.5007060822</v>
      </c>
      <c r="BG346" s="1209"/>
      <c r="BH346" s="717">
        <f t="shared" si="840"/>
        <v>3857714.5007060822</v>
      </c>
      <c r="BI346" s="717"/>
      <c r="BJ346" s="717">
        <f t="shared" si="841"/>
        <v>3857714.5007060822</v>
      </c>
      <c r="BK346" s="717"/>
      <c r="BL346" s="717">
        <f t="shared" si="842"/>
        <v>3857714.5007060822</v>
      </c>
      <c r="BM346" s="717"/>
      <c r="BN346" s="717">
        <f t="shared" si="843"/>
        <v>3857714.5007060822</v>
      </c>
      <c r="BO346" s="717"/>
      <c r="BP346" s="717">
        <f t="shared" si="803"/>
        <v>3857714.5007060822</v>
      </c>
      <c r="BQ346" s="717"/>
      <c r="BR346" s="717">
        <f t="shared" si="903"/>
        <v>3857714.5007060822</v>
      </c>
      <c r="BS346" s="717"/>
      <c r="BT346" s="717">
        <f t="shared" si="844"/>
        <v>3857714.5007060822</v>
      </c>
      <c r="BU346" s="1235">
        <f t="shared" ref="BU346:BU347" si="909">$BU$5/65</f>
        <v>211.07692307692309</v>
      </c>
      <c r="BV346" s="1235">
        <f t="shared" si="904"/>
        <v>51400</v>
      </c>
      <c r="BW346" s="717">
        <f t="shared" si="845"/>
        <v>3909325.5776291592</v>
      </c>
      <c r="BX346" s="717">
        <f t="shared" si="908"/>
        <v>27651.078536278128</v>
      </c>
      <c r="BY346" s="717">
        <f t="shared" si="846"/>
        <v>3936976.6561654373</v>
      </c>
      <c r="BZ346" s="1194">
        <f t="shared" si="847"/>
        <v>3936976.6561654373</v>
      </c>
      <c r="CA346" s="1194">
        <f t="shared" si="848"/>
        <v>3056976.6561654373</v>
      </c>
      <c r="CB346" s="1194">
        <v>40000</v>
      </c>
      <c r="CC346" s="1194">
        <f t="shared" si="849"/>
        <v>880000</v>
      </c>
      <c r="CD346" s="1194">
        <f t="shared" si="850"/>
        <v>105600</v>
      </c>
      <c r="CE346" s="1194">
        <f t="shared" si="851"/>
        <v>985600</v>
      </c>
      <c r="CF346" s="1200">
        <f t="shared" si="852"/>
        <v>4042576.6561654373</v>
      </c>
      <c r="CG346" s="757">
        <f t="shared" si="853"/>
        <v>4042576.6561654373</v>
      </c>
      <c r="CH346" s="758">
        <f t="shared" si="854"/>
        <v>0</v>
      </c>
      <c r="CI346" s="757">
        <f t="shared" si="804"/>
        <v>414364.10725695727</v>
      </c>
      <c r="CJ346" s="757">
        <f t="shared" si="805"/>
        <v>101064.41640413593</v>
      </c>
      <c r="CK346" s="759">
        <f t="shared" si="747"/>
        <v>4558005.1798265297</v>
      </c>
      <c r="CL346" s="764">
        <f t="shared" si="855"/>
        <v>0.125</v>
      </c>
      <c r="CM346" s="757">
        <f t="shared" si="856"/>
        <v>569750.64747831621</v>
      </c>
      <c r="CN346" s="757">
        <f t="shared" si="898"/>
        <v>30000</v>
      </c>
      <c r="CO346" s="757">
        <f t="shared" si="857"/>
        <v>539750.64747831621</v>
      </c>
      <c r="CP346" s="755">
        <f t="shared" si="858"/>
        <v>31</v>
      </c>
      <c r="CQ346" s="757">
        <f t="shared" si="901"/>
        <v>17411.311208977942</v>
      </c>
      <c r="CR346" s="764">
        <f t="shared" si="859"/>
        <v>0.875</v>
      </c>
      <c r="CS346" s="757">
        <f t="shared" si="860"/>
        <v>3988254.5323482137</v>
      </c>
      <c r="CT346" s="1101">
        <f t="shared" si="861"/>
        <v>30920.894939067224</v>
      </c>
      <c r="CU346" s="1101">
        <f t="shared" si="862"/>
        <v>35847.559250298997</v>
      </c>
      <c r="CV346" s="1101">
        <f t="shared" si="863"/>
        <v>46307.016848773579</v>
      </c>
      <c r="CW346" s="1141">
        <f t="shared" si="806"/>
        <v>78972.219824475862</v>
      </c>
      <c r="CX346" s="1152">
        <f t="shared" si="864"/>
        <v>323978.59238665149</v>
      </c>
      <c r="CY346" s="1152">
        <f t="shared" si="865"/>
        <v>128196.75081706578</v>
      </c>
      <c r="CZ346" s="1152">
        <f t="shared" si="866"/>
        <v>92594.697439637486</v>
      </c>
      <c r="DA346" s="1152">
        <f t="shared" si="867"/>
        <v>70468.82759126772</v>
      </c>
      <c r="DB346" s="1143">
        <f t="shared" si="807"/>
        <v>0.19059185616004265</v>
      </c>
      <c r="DC346" s="1143">
        <f t="shared" si="868"/>
        <v>0.32241005112427046</v>
      </c>
      <c r="DD346" s="1098" t="s">
        <v>232</v>
      </c>
      <c r="DE346" s="1144"/>
      <c r="DF346" s="705"/>
      <c r="DG346" s="765">
        <f t="shared" si="899"/>
        <v>46082</v>
      </c>
      <c r="DH346" s="1116">
        <f t="shared" si="808"/>
        <v>28</v>
      </c>
      <c r="DI346" s="497"/>
      <c r="DJ346" s="1117">
        <f t="shared" si="869"/>
        <v>46147</v>
      </c>
      <c r="DK346" s="1116">
        <f t="shared" si="870"/>
        <v>30</v>
      </c>
      <c r="DL346" s="766" t="s">
        <v>233</v>
      </c>
      <c r="DM346" s="766" t="s">
        <v>234</v>
      </c>
      <c r="DN346" s="767">
        <f t="shared" si="809"/>
        <v>29108.57439535197</v>
      </c>
      <c r="DO346" s="767">
        <f t="shared" si="810"/>
        <v>640388.63669774332</v>
      </c>
      <c r="DP346" s="768">
        <f t="shared" si="811"/>
        <v>0.21346287889924778</v>
      </c>
      <c r="DR346" s="767">
        <f t="shared" si="812"/>
        <v>4042576.6561654373</v>
      </c>
      <c r="DS346" s="767">
        <f>SUM('[6]INTERNAL PRICELIST'!M346)</f>
        <v>0</v>
      </c>
      <c r="DT346" s="767">
        <f t="shared" si="871"/>
        <v>4042576.6561654373</v>
      </c>
      <c r="DV346" s="951">
        <f t="shared" si="813"/>
        <v>183753.48437115623</v>
      </c>
      <c r="DX346" s="781"/>
      <c r="DY346" s="782"/>
      <c r="DZ346" s="781"/>
      <c r="EA346" s="775"/>
      <c r="ED346" s="755" t="s">
        <v>809</v>
      </c>
      <c r="EE346" s="777" t="b">
        <f t="shared" si="814"/>
        <v>1</v>
      </c>
      <c r="EF346" s="777"/>
      <c r="EG346" s="777"/>
      <c r="EH346" s="1203"/>
      <c r="EP346" s="1230" t="s">
        <v>258</v>
      </c>
      <c r="EQ346" s="1145" t="s">
        <v>258</v>
      </c>
      <c r="ER346" s="753" t="b">
        <f t="shared" si="872"/>
        <v>1</v>
      </c>
      <c r="EU346" s="770">
        <v>3209496.1774007287</v>
      </c>
      <c r="EV346" s="771" t="s">
        <v>258</v>
      </c>
      <c r="EW346" s="775">
        <f t="shared" si="774"/>
        <v>-833080.47876470862</v>
      </c>
      <c r="EY346" s="775">
        <v>3175432.1472727996</v>
      </c>
      <c r="FJ346" s="994">
        <v>0.15</v>
      </c>
      <c r="FK346" s="993">
        <v>13819.818797865502</v>
      </c>
      <c r="FL346" s="993">
        <v>14193.32741402403</v>
      </c>
      <c r="FM346" s="497"/>
      <c r="FN346" s="993">
        <f t="shared" si="815"/>
        <v>4558005.1798265297</v>
      </c>
      <c r="FO346" s="994">
        <f t="shared" si="906"/>
        <v>0.15</v>
      </c>
      <c r="FP346" s="775">
        <f t="shared" si="816"/>
        <v>683700.77697397943</v>
      </c>
      <c r="FQ346" s="993">
        <f t="shared" si="817"/>
        <v>30000</v>
      </c>
      <c r="FR346" s="775">
        <f t="shared" si="874"/>
        <v>653700.77697397943</v>
      </c>
      <c r="FS346" s="497">
        <f t="shared" si="875"/>
        <v>40</v>
      </c>
      <c r="FT346" s="775">
        <f t="shared" si="876"/>
        <v>16342.519424349486</v>
      </c>
      <c r="FU346" s="497"/>
      <c r="FV346" s="993">
        <f t="shared" si="877"/>
        <v>4558005.1798265297</v>
      </c>
      <c r="FW346" s="705">
        <f t="shared" si="878"/>
        <v>455800.51798265299</v>
      </c>
      <c r="FX346" s="705">
        <f t="shared" si="879"/>
        <v>113950.12949566325</v>
      </c>
      <c r="FY346" s="705">
        <v>15000</v>
      </c>
      <c r="FZ346" s="705">
        <f t="shared" si="880"/>
        <v>440800.51798265299</v>
      </c>
      <c r="GA346" s="497">
        <f t="shared" si="881"/>
        <v>46</v>
      </c>
      <c r="GB346" s="775">
        <f t="shared" si="882"/>
        <v>9582.6199561446301</v>
      </c>
      <c r="GC346" s="497"/>
      <c r="GD346" s="497"/>
      <c r="GH346" s="1095">
        <f t="shared" si="782"/>
        <v>4558005.1798265297</v>
      </c>
      <c r="GI346" s="1098">
        <f t="shared" si="783"/>
        <v>0.125</v>
      </c>
      <c r="GJ346" s="1095">
        <f t="shared" si="784"/>
        <v>569750.64747831621</v>
      </c>
      <c r="GK346" s="1095">
        <f t="shared" si="785"/>
        <v>30000</v>
      </c>
      <c r="GL346" s="1095">
        <f t="shared" si="786"/>
        <v>539750.64747831621</v>
      </c>
      <c r="GM346" s="1095">
        <f t="shared" si="787"/>
        <v>31</v>
      </c>
      <c r="GN346" s="1095">
        <f t="shared" si="788"/>
        <v>17411.311208977942</v>
      </c>
      <c r="GO346" s="1098">
        <f t="shared" si="789"/>
        <v>0.875</v>
      </c>
      <c r="GP346" s="1095">
        <f t="shared" si="790"/>
        <v>3988254.5323482137</v>
      </c>
      <c r="GQ346" s="1095">
        <f t="shared" si="791"/>
        <v>30920.894939067224</v>
      </c>
      <c r="GR346" s="1095">
        <f t="shared" si="792"/>
        <v>35847.559250298997</v>
      </c>
      <c r="GS346" s="1095">
        <f t="shared" si="793"/>
        <v>46307.016848773579</v>
      </c>
      <c r="GT346" s="1095">
        <f t="shared" si="794"/>
        <v>78972.219824475862</v>
      </c>
      <c r="GU346" s="497"/>
      <c r="GV346" s="1095">
        <f t="shared" si="883"/>
        <v>4558005.1798265297</v>
      </c>
      <c r="GW346" s="1098">
        <f t="shared" si="884"/>
        <v>0.125</v>
      </c>
      <c r="GX346" s="1095">
        <f t="shared" si="885"/>
        <v>569750.64747831621</v>
      </c>
      <c r="GY346" s="1095">
        <f t="shared" si="886"/>
        <v>30000</v>
      </c>
      <c r="GZ346" s="1095">
        <f t="shared" si="887"/>
        <v>539750.64747831621</v>
      </c>
      <c r="HA346" s="1106">
        <f t="shared" si="888"/>
        <v>48</v>
      </c>
      <c r="HB346" s="770">
        <f t="shared" si="889"/>
        <v>11244.805155798254</v>
      </c>
      <c r="HC346" s="1098">
        <f t="shared" si="890"/>
        <v>0.875</v>
      </c>
      <c r="HD346" s="1102">
        <f t="shared" si="891"/>
        <v>3988254.5323482137</v>
      </c>
      <c r="HE346" s="1101">
        <f t="shared" si="892"/>
        <v>30920.894939067224</v>
      </c>
      <c r="HF346" s="1101">
        <f t="shared" si="893"/>
        <v>35847.559250298997</v>
      </c>
      <c r="HG346" s="1101">
        <f t="shared" si="894"/>
        <v>46307.016848773579</v>
      </c>
      <c r="HH346" s="1101">
        <f t="shared" si="895"/>
        <v>78972.219824475862</v>
      </c>
      <c r="HI346" s="497"/>
      <c r="HJ346" s="1102">
        <f t="shared" si="896"/>
        <v>-6166.506053179688</v>
      </c>
      <c r="HL346" s="775"/>
      <c r="HN346" s="775"/>
      <c r="HO346" s="775"/>
      <c r="HQ346" s="702"/>
      <c r="HR346" s="1171"/>
      <c r="HS346" s="702"/>
      <c r="HT346" s="1171"/>
    </row>
    <row r="347" spans="1:228" ht="14.25" customHeight="1">
      <c r="A347" s="753">
        <f t="shared" si="897"/>
        <v>341</v>
      </c>
      <c r="B347" s="753"/>
      <c r="C347" s="753">
        <f t="shared" si="772"/>
        <v>31</v>
      </c>
      <c r="D347" s="753" t="s">
        <v>779</v>
      </c>
      <c r="E347" s="717" t="s">
        <v>292</v>
      </c>
      <c r="F347" s="754"/>
      <c r="G347" s="756" t="s">
        <v>810</v>
      </c>
      <c r="H347" s="756"/>
      <c r="I347" s="755" t="s">
        <v>229</v>
      </c>
      <c r="J347" s="757">
        <v>22</v>
      </c>
      <c r="K347" s="758"/>
      <c r="L347" s="759" t="s">
        <v>277</v>
      </c>
      <c r="M347" s="760" t="s">
        <v>278</v>
      </c>
      <c r="N347" s="761">
        <f t="shared" si="818"/>
        <v>106005.26567735759</v>
      </c>
      <c r="O347" s="762">
        <f t="shared" si="819"/>
        <v>2332115.8449018667</v>
      </c>
      <c r="P347" s="762">
        <f t="shared" si="820"/>
        <v>22400</v>
      </c>
      <c r="Q347" s="762">
        <f t="shared" si="795"/>
        <v>50000</v>
      </c>
      <c r="R347" s="762"/>
      <c r="S347" s="762"/>
      <c r="T347" s="762"/>
      <c r="U347" s="762"/>
      <c r="V347" s="762"/>
      <c r="W347" s="762">
        <f>J347*$W$5</f>
        <v>22000</v>
      </c>
      <c r="X347" s="762"/>
      <c r="Y347" s="762">
        <f t="shared" si="773"/>
        <v>180000</v>
      </c>
      <c r="Z347" s="762">
        <f t="shared" si="796"/>
        <v>142461</v>
      </c>
      <c r="AA347" s="762">
        <v>61472.73</v>
      </c>
      <c r="AB347" s="762"/>
      <c r="AC347" s="762"/>
      <c r="AD347" s="763">
        <f t="shared" si="821"/>
        <v>478333.73</v>
      </c>
      <c r="AE347" s="763">
        <f t="shared" si="797"/>
        <v>2810449.5749018667</v>
      </c>
      <c r="AF347" s="762">
        <f t="shared" si="798"/>
        <v>70261.239372546668</v>
      </c>
      <c r="AG347" s="762">
        <f t="shared" si="822"/>
        <v>2880710.8142744135</v>
      </c>
      <c r="AH347" s="762">
        <f t="shared" si="799"/>
        <v>72017.770356860347</v>
      </c>
      <c r="AI347" s="762">
        <f t="shared" si="823"/>
        <v>2952728.584631274</v>
      </c>
      <c r="AJ347" s="762">
        <f t="shared" si="824"/>
        <v>147636.4292315637</v>
      </c>
      <c r="AK347" s="762">
        <f t="shared" si="825"/>
        <v>3100365.0138628376</v>
      </c>
      <c r="AL347" s="762">
        <f>AK347*AL$5+29772.4420833333</f>
        <v>60776.092221961677</v>
      </c>
      <c r="AM347" s="762">
        <f t="shared" si="827"/>
        <v>27537.409960060559</v>
      </c>
      <c r="AN347" s="762"/>
      <c r="AO347" s="763">
        <f t="shared" si="828"/>
        <v>3188678.5160448598</v>
      </c>
      <c r="AP347" s="763">
        <f t="shared" si="829"/>
        <v>526131.9551474019</v>
      </c>
      <c r="AQ347" s="763">
        <f t="shared" si="830"/>
        <v>3714810.4711922617</v>
      </c>
      <c r="AR347" s="1178">
        <f t="shared" si="800"/>
        <v>3000000</v>
      </c>
      <c r="AS347" s="1178">
        <f t="shared" si="831"/>
        <v>32491.385054193714</v>
      </c>
      <c r="AT347" s="1178">
        <f t="shared" si="832"/>
        <v>714810.47119226167</v>
      </c>
      <c r="AU347" s="1178">
        <f t="shared" si="801"/>
        <v>85777.256543071402</v>
      </c>
      <c r="AV347" s="1178">
        <f t="shared" si="833"/>
        <v>800587.72773533303</v>
      </c>
      <c r="AW347" s="1178">
        <f t="shared" si="834"/>
        <v>3800587.7277353331</v>
      </c>
      <c r="AX347" s="762">
        <f t="shared" si="835"/>
        <v>47507.34659669167</v>
      </c>
      <c r="AY347" s="717">
        <v>7575.3956645161297</v>
      </c>
      <c r="AZ347" s="717">
        <f t="shared" si="836"/>
        <v>3855670.4699965408</v>
      </c>
      <c r="BA347" s="717">
        <f t="shared" si="837"/>
        <v>144587.64262487026</v>
      </c>
      <c r="BB347" s="717"/>
      <c r="BC347" s="717">
        <f t="shared" si="802"/>
        <v>33600</v>
      </c>
      <c r="BD347" s="717">
        <f t="shared" si="838"/>
        <v>4033858.1126214112</v>
      </c>
      <c r="BE347" s="717">
        <v>18367.830916129038</v>
      </c>
      <c r="BF347" s="717">
        <f t="shared" si="839"/>
        <v>4052225.9435375403</v>
      </c>
      <c r="BG347" s="1209"/>
      <c r="BH347" s="717">
        <f t="shared" si="840"/>
        <v>4052225.9435375403</v>
      </c>
      <c r="BI347" s="717">
        <v>718.43902439024396</v>
      </c>
      <c r="BJ347" s="717">
        <f t="shared" si="841"/>
        <v>4052944.3825619305</v>
      </c>
      <c r="BK347" s="717"/>
      <c r="BL347" s="717">
        <f t="shared" si="842"/>
        <v>4052944.3825619305</v>
      </c>
      <c r="BM347" s="717">
        <f>$BM$5/41</f>
        <v>1038.0487804878051</v>
      </c>
      <c r="BN347" s="717">
        <f t="shared" si="843"/>
        <v>4053982.4313424183</v>
      </c>
      <c r="BO347" s="717">
        <f>$BO$5/51</f>
        <v>7289.0781490196077</v>
      </c>
      <c r="BP347" s="717">
        <f t="shared" si="803"/>
        <v>4061271.509491438</v>
      </c>
      <c r="BQ347" s="717">
        <f>$BQ$5/56</f>
        <v>4468.4242000000004</v>
      </c>
      <c r="BR347" s="717">
        <f t="shared" si="903"/>
        <v>4065739.9336914378</v>
      </c>
      <c r="BS347" s="1234">
        <f>$BS$5/64</f>
        <v>2651.4786794501206</v>
      </c>
      <c r="BT347" s="1235">
        <f t="shared" si="844"/>
        <v>4068391.4123708881</v>
      </c>
      <c r="BU347" s="1235">
        <f t="shared" si="909"/>
        <v>211.07692307692309</v>
      </c>
      <c r="BV347" s="1235">
        <f t="shared" si="904"/>
        <v>51400</v>
      </c>
      <c r="BW347" s="717">
        <f t="shared" si="845"/>
        <v>4120002.489293965</v>
      </c>
      <c r="BX347" s="1234">
        <f t="shared" si="908"/>
        <v>27651.078536278128</v>
      </c>
      <c r="BY347" s="717">
        <f t="shared" si="846"/>
        <v>4147653.5678302431</v>
      </c>
      <c r="BZ347" s="1194">
        <f t="shared" si="847"/>
        <v>4147653.5678302431</v>
      </c>
      <c r="CA347" s="1194">
        <f t="shared" si="848"/>
        <v>3267653.5678302431</v>
      </c>
      <c r="CB347" s="1194">
        <f>$CB$5</f>
        <v>40000</v>
      </c>
      <c r="CC347" s="1194">
        <f t="shared" si="849"/>
        <v>880000</v>
      </c>
      <c r="CD347" s="1194">
        <f t="shared" si="850"/>
        <v>105600</v>
      </c>
      <c r="CE347" s="1194">
        <f t="shared" si="851"/>
        <v>985600</v>
      </c>
      <c r="CF347" s="1200">
        <f t="shared" si="852"/>
        <v>4253253.5678302431</v>
      </c>
      <c r="CG347" s="757">
        <f t="shared" si="853"/>
        <v>4253253.5678302431</v>
      </c>
      <c r="CH347" s="758">
        <f t="shared" si="854"/>
        <v>0</v>
      </c>
      <c r="CI347" s="757">
        <f t="shared" si="804"/>
        <v>435958.49070259987</v>
      </c>
      <c r="CJ347" s="757">
        <f t="shared" si="805"/>
        <v>106331.33919575608</v>
      </c>
      <c r="CK347" s="759">
        <f t="shared" si="747"/>
        <v>4795543.3977285996</v>
      </c>
      <c r="CL347" s="764">
        <f t="shared" si="855"/>
        <v>0.125</v>
      </c>
      <c r="CM347" s="757">
        <f t="shared" si="856"/>
        <v>599442.92471607495</v>
      </c>
      <c r="CN347" s="757">
        <f t="shared" si="898"/>
        <v>30000</v>
      </c>
      <c r="CO347" s="757">
        <f t="shared" si="857"/>
        <v>569442.92471607495</v>
      </c>
      <c r="CP347" s="755">
        <f t="shared" si="858"/>
        <v>31</v>
      </c>
      <c r="CQ347" s="757">
        <f t="shared" si="901"/>
        <v>18369.126603744353</v>
      </c>
      <c r="CR347" s="764">
        <f t="shared" si="859"/>
        <v>0.875</v>
      </c>
      <c r="CS347" s="757">
        <f t="shared" si="860"/>
        <v>4196100.4730125247</v>
      </c>
      <c r="CT347" s="1101">
        <f t="shared" si="861"/>
        <v>32532.322304764664</v>
      </c>
      <c r="CU347" s="1101">
        <f t="shared" si="862"/>
        <v>37715.737324808986</v>
      </c>
      <c r="CV347" s="1101">
        <f t="shared" si="863"/>
        <v>48720.284457003334</v>
      </c>
      <c r="CW347" s="1141">
        <f t="shared" si="806"/>
        <v>83087.818561375607</v>
      </c>
      <c r="CX347" s="1152">
        <f t="shared" si="864"/>
        <v>340862.57878810517</v>
      </c>
      <c r="CY347" s="1152">
        <f t="shared" si="865"/>
        <v>134877.66198950121</v>
      </c>
      <c r="CZ347" s="1152">
        <f t="shared" si="866"/>
        <v>97420.224956442529</v>
      </c>
      <c r="DA347" s="1152">
        <f t="shared" si="867"/>
        <v>74141.276187369353</v>
      </c>
      <c r="DB347" s="1143">
        <f t="shared" si="807"/>
        <v>0.23827015706408722</v>
      </c>
      <c r="DC347" s="1143">
        <f t="shared" si="868"/>
        <v>0.30162316155639746</v>
      </c>
      <c r="DD347" s="1098" t="s">
        <v>232</v>
      </c>
      <c r="DE347" s="1144"/>
      <c r="DF347" s="705"/>
      <c r="DG347" s="765">
        <f t="shared" si="899"/>
        <v>46082</v>
      </c>
      <c r="DH347" s="1116">
        <f t="shared" si="808"/>
        <v>28</v>
      </c>
      <c r="DI347" s="497"/>
      <c r="DJ347" s="1117">
        <f t="shared" si="869"/>
        <v>46147</v>
      </c>
      <c r="DK347" s="1116">
        <f t="shared" si="870"/>
        <v>30</v>
      </c>
      <c r="DL347" s="766" t="s">
        <v>233</v>
      </c>
      <c r="DM347" s="766" t="s">
        <v>234</v>
      </c>
      <c r="DN347" s="767">
        <f t="shared" si="809"/>
        <v>36390.351260696953</v>
      </c>
      <c r="DO347" s="767">
        <f t="shared" si="810"/>
        <v>800587.72773533303</v>
      </c>
      <c r="DP347" s="768">
        <f t="shared" si="811"/>
        <v>0.2668625759117777</v>
      </c>
      <c r="DR347" s="767">
        <f t="shared" si="812"/>
        <v>4253253.5678302431</v>
      </c>
      <c r="DS347" s="767">
        <f>SUM('[6]INTERNAL PRICELIST'!M347)</f>
        <v>0</v>
      </c>
      <c r="DT347" s="767">
        <f t="shared" si="871"/>
        <v>4253253.5678302431</v>
      </c>
      <c r="DV347" s="951">
        <f t="shared" si="813"/>
        <v>193329.70762864742</v>
      </c>
      <c r="DX347" s="781"/>
      <c r="DY347" s="782"/>
      <c r="DZ347" s="781"/>
      <c r="EA347" s="775"/>
      <c r="ED347" s="755" t="s">
        <v>810</v>
      </c>
      <c r="EE347" s="777" t="b">
        <f t="shared" si="814"/>
        <v>1</v>
      </c>
      <c r="EF347" s="777"/>
      <c r="EG347" s="777"/>
      <c r="EH347" s="1203"/>
      <c r="EP347" s="1230" t="s">
        <v>258</v>
      </c>
      <c r="EQ347" s="1145" t="s">
        <v>258</v>
      </c>
      <c r="ER347" s="823" t="b">
        <f t="shared" si="872"/>
        <v>1</v>
      </c>
      <c r="EU347" s="770">
        <v>3237325.1324007288</v>
      </c>
      <c r="EV347" s="771" t="s">
        <v>258</v>
      </c>
      <c r="EW347" s="775">
        <f t="shared" si="774"/>
        <v>-1015928.4354295144</v>
      </c>
      <c r="EY347" s="775">
        <v>3203014.8483802993</v>
      </c>
      <c r="FJ347" s="994">
        <v>0.15</v>
      </c>
      <c r="FK347" s="993">
        <v>13942.005324701358</v>
      </c>
      <c r="FL347" s="993">
        <v>14318.816279423017</v>
      </c>
      <c r="FM347" s="497"/>
      <c r="FN347" s="993">
        <f t="shared" si="815"/>
        <v>4795543.3977285996</v>
      </c>
      <c r="FO347" s="994">
        <f t="shared" si="906"/>
        <v>0.15</v>
      </c>
      <c r="FP347" s="775">
        <f t="shared" si="816"/>
        <v>719331.50965928996</v>
      </c>
      <c r="FQ347" s="993">
        <f t="shared" si="817"/>
        <v>30000</v>
      </c>
      <c r="FR347" s="775">
        <f t="shared" si="874"/>
        <v>689331.50965928996</v>
      </c>
      <c r="FS347" s="497">
        <f t="shared" si="875"/>
        <v>40</v>
      </c>
      <c r="FT347" s="775">
        <f t="shared" si="876"/>
        <v>17233.287741482251</v>
      </c>
      <c r="FU347" s="497"/>
      <c r="FV347" s="993">
        <f t="shared" si="877"/>
        <v>4795543.3977285996</v>
      </c>
      <c r="FW347" s="705">
        <f t="shared" si="878"/>
        <v>479554.33977286</v>
      </c>
      <c r="FX347" s="705">
        <f t="shared" si="879"/>
        <v>119888.584943215</v>
      </c>
      <c r="FY347" s="705">
        <v>15000</v>
      </c>
      <c r="FZ347" s="705">
        <f t="shared" si="880"/>
        <v>464554.33977286</v>
      </c>
      <c r="GA347" s="497">
        <f t="shared" si="881"/>
        <v>46</v>
      </c>
      <c r="GB347" s="775">
        <f t="shared" si="882"/>
        <v>10099.007386366522</v>
      </c>
      <c r="GC347" s="497"/>
      <c r="GD347" s="497"/>
      <c r="GH347" s="1095">
        <f t="shared" si="782"/>
        <v>4795543.3977285996</v>
      </c>
      <c r="GI347" s="1098">
        <f t="shared" si="783"/>
        <v>0.125</v>
      </c>
      <c r="GJ347" s="1095">
        <f t="shared" si="784"/>
        <v>599442.92471607495</v>
      </c>
      <c r="GK347" s="1095">
        <f t="shared" si="785"/>
        <v>30000</v>
      </c>
      <c r="GL347" s="1095">
        <f t="shared" si="786"/>
        <v>569442.92471607495</v>
      </c>
      <c r="GM347" s="1095">
        <f t="shared" si="787"/>
        <v>31</v>
      </c>
      <c r="GN347" s="1095">
        <f t="shared" si="788"/>
        <v>18369.126603744353</v>
      </c>
      <c r="GO347" s="1098">
        <f t="shared" si="789"/>
        <v>0.875</v>
      </c>
      <c r="GP347" s="1095">
        <f t="shared" si="790"/>
        <v>4196100.4730125247</v>
      </c>
      <c r="GQ347" s="1095">
        <f t="shared" si="791"/>
        <v>32532.322304764664</v>
      </c>
      <c r="GR347" s="1095">
        <f t="shared" si="792"/>
        <v>37715.737324808986</v>
      </c>
      <c r="GS347" s="1095">
        <f t="shared" si="793"/>
        <v>48720.284457003334</v>
      </c>
      <c r="GT347" s="1095">
        <f t="shared" si="794"/>
        <v>83087.818561375607</v>
      </c>
      <c r="GU347" s="497"/>
      <c r="GV347" s="1095">
        <f t="shared" si="883"/>
        <v>4795543.3977285996</v>
      </c>
      <c r="GW347" s="1098">
        <f t="shared" si="884"/>
        <v>0.125</v>
      </c>
      <c r="GX347" s="1095">
        <f t="shared" si="885"/>
        <v>599442.92471607495</v>
      </c>
      <c r="GY347" s="1095">
        <f t="shared" si="886"/>
        <v>30000</v>
      </c>
      <c r="GZ347" s="1095">
        <f t="shared" si="887"/>
        <v>569442.92471607495</v>
      </c>
      <c r="HA347" s="1106">
        <f t="shared" si="888"/>
        <v>48</v>
      </c>
      <c r="HB347" s="770">
        <f t="shared" si="889"/>
        <v>11863.394264918228</v>
      </c>
      <c r="HC347" s="1098">
        <f t="shared" si="890"/>
        <v>0.875</v>
      </c>
      <c r="HD347" s="1102">
        <f t="shared" si="891"/>
        <v>4196100.4730125247</v>
      </c>
      <c r="HE347" s="1101">
        <f t="shared" si="892"/>
        <v>32532.322304764664</v>
      </c>
      <c r="HF347" s="1101">
        <f t="shared" si="893"/>
        <v>37715.737324808986</v>
      </c>
      <c r="HG347" s="1101">
        <f t="shared" si="894"/>
        <v>48720.284457003334</v>
      </c>
      <c r="HH347" s="1101">
        <f t="shared" si="895"/>
        <v>83087.818561375607</v>
      </c>
      <c r="HI347" s="497"/>
      <c r="HJ347" s="1102">
        <f t="shared" si="896"/>
        <v>-6505.7323388261248</v>
      </c>
      <c r="HL347" s="775"/>
      <c r="HN347" s="775"/>
      <c r="HO347" s="775"/>
    </row>
    <row r="348" spans="1:228" ht="14.25" hidden="1" customHeight="1">
      <c r="A348" s="753">
        <f t="shared" si="897"/>
        <v>342</v>
      </c>
      <c r="B348" s="753"/>
      <c r="C348" s="753">
        <v>1</v>
      </c>
      <c r="D348" s="753" t="s">
        <v>292</v>
      </c>
      <c r="E348" s="717" t="s">
        <v>297</v>
      </c>
      <c r="F348" s="754"/>
      <c r="G348" s="756" t="s">
        <v>811</v>
      </c>
      <c r="H348" s="756"/>
      <c r="I348" s="755" t="s">
        <v>229</v>
      </c>
      <c r="J348" s="757">
        <v>22</v>
      </c>
      <c r="K348" s="758"/>
      <c r="L348" s="759" t="s">
        <v>69</v>
      </c>
      <c r="M348" s="760" t="s">
        <v>230</v>
      </c>
      <c r="N348" s="761">
        <f t="shared" si="818"/>
        <v>106005.26567735759</v>
      </c>
      <c r="O348" s="762">
        <f t="shared" si="819"/>
        <v>2332115.8449018667</v>
      </c>
      <c r="P348" s="762">
        <f t="shared" si="820"/>
        <v>22400</v>
      </c>
      <c r="Q348" s="762">
        <f t="shared" si="795"/>
        <v>50000</v>
      </c>
      <c r="R348" s="762"/>
      <c r="S348" s="762">
        <f>J348*$S$5</f>
        <v>176000</v>
      </c>
      <c r="T348" s="762"/>
      <c r="U348" s="762"/>
      <c r="V348" s="762">
        <f>J348*$V$5</f>
        <v>55000</v>
      </c>
      <c r="W348" s="762"/>
      <c r="X348" s="762"/>
      <c r="Y348" s="762">
        <f>Y347+Y5</f>
        <v>200000</v>
      </c>
      <c r="Z348" s="762">
        <f t="shared" si="796"/>
        <v>142461</v>
      </c>
      <c r="AA348" s="762"/>
      <c r="AB348" s="762"/>
      <c r="AC348" s="762"/>
      <c r="AD348" s="763">
        <f t="shared" si="821"/>
        <v>645861</v>
      </c>
      <c r="AE348" s="763">
        <f t="shared" si="797"/>
        <v>2977976.8449018667</v>
      </c>
      <c r="AF348" s="762">
        <f t="shared" si="798"/>
        <v>74449.421122546672</v>
      </c>
      <c r="AG348" s="762">
        <f t="shared" si="822"/>
        <v>3052426.2660244135</v>
      </c>
      <c r="AH348" s="762">
        <f t="shared" si="799"/>
        <v>76310.656650610341</v>
      </c>
      <c r="AI348" s="762">
        <f t="shared" si="823"/>
        <v>3128736.9226750238</v>
      </c>
      <c r="AJ348" s="762">
        <f t="shared" si="824"/>
        <v>156436.84613375118</v>
      </c>
      <c r="AK348" s="762">
        <f t="shared" si="825"/>
        <v>3285173.7688087751</v>
      </c>
      <c r="AL348" s="762">
        <f t="shared" si="826"/>
        <v>32851.737688087749</v>
      </c>
      <c r="AM348" s="762">
        <f t="shared" si="827"/>
        <v>27537.409960060559</v>
      </c>
      <c r="AN348" s="762"/>
      <c r="AO348" s="763">
        <f t="shared" si="828"/>
        <v>3345562.9164569234</v>
      </c>
      <c r="AP348" s="763">
        <f t="shared" si="829"/>
        <v>552017.88121539238</v>
      </c>
      <c r="AQ348" s="763">
        <f t="shared" si="830"/>
        <v>3897580.7976723155</v>
      </c>
      <c r="AR348" s="1178">
        <f t="shared" si="800"/>
        <v>3000000</v>
      </c>
      <c r="AS348" s="1178">
        <f t="shared" si="831"/>
        <v>40799.127166923434</v>
      </c>
      <c r="AT348" s="1178">
        <f t="shared" si="832"/>
        <v>897580.7976723155</v>
      </c>
      <c r="AU348" s="1178">
        <f t="shared" si="801"/>
        <v>107709.69572067786</v>
      </c>
      <c r="AV348" s="1178">
        <f t="shared" si="833"/>
        <v>1005290.4933929933</v>
      </c>
      <c r="AW348" s="1178">
        <f t="shared" si="834"/>
        <v>4005290.4933929932</v>
      </c>
      <c r="AX348" s="762">
        <f t="shared" si="835"/>
        <v>50066.131167412415</v>
      </c>
      <c r="AY348" s="717" t="s">
        <v>231</v>
      </c>
      <c r="AZ348" s="717">
        <f t="shared" si="836"/>
        <v>4055356.6245604055</v>
      </c>
      <c r="BA348" s="717">
        <f t="shared" si="837"/>
        <v>152075.87342101519</v>
      </c>
      <c r="BB348" s="717"/>
      <c r="BC348" s="717">
        <f t="shared" si="802"/>
        <v>33600</v>
      </c>
      <c r="BD348" s="717">
        <f t="shared" si="838"/>
        <v>4241032.4979814207</v>
      </c>
      <c r="BE348" s="717"/>
      <c r="BF348" s="717">
        <f t="shared" si="839"/>
        <v>4241032.4979814207</v>
      </c>
      <c r="BG348" s="1209"/>
      <c r="BH348" s="717">
        <f t="shared" si="840"/>
        <v>4241032.4979814207</v>
      </c>
      <c r="BI348" s="717"/>
      <c r="BJ348" s="717">
        <f t="shared" si="841"/>
        <v>4241032.4979814207</v>
      </c>
      <c r="BK348" s="717"/>
      <c r="BL348" s="717">
        <f t="shared" si="842"/>
        <v>4241032.4979814207</v>
      </c>
      <c r="BM348" s="717"/>
      <c r="BN348" s="717">
        <f t="shared" si="843"/>
        <v>4241032.4979814207</v>
      </c>
      <c r="BO348" s="717"/>
      <c r="BP348" s="717">
        <f t="shared" si="803"/>
        <v>4241032.4979814207</v>
      </c>
      <c r="BQ348" s="717"/>
      <c r="BR348" s="717">
        <f t="shared" si="903"/>
        <v>4241032.4979814207</v>
      </c>
      <c r="BS348" s="717"/>
      <c r="BT348" s="717">
        <f t="shared" si="844"/>
        <v>4241032.4979814207</v>
      </c>
      <c r="BU348" s="717"/>
      <c r="BV348" s="1235">
        <f t="shared" si="904"/>
        <v>51400</v>
      </c>
      <c r="BW348" s="717">
        <f t="shared" si="845"/>
        <v>4292432.4979814207</v>
      </c>
      <c r="BX348" s="717"/>
      <c r="BY348" s="717">
        <f t="shared" si="846"/>
        <v>4292432.4979814207</v>
      </c>
      <c r="BZ348" s="1194">
        <f t="shared" si="847"/>
        <v>4292432.4979814207</v>
      </c>
      <c r="CA348" s="1194">
        <f t="shared" si="848"/>
        <v>3632432.4979814207</v>
      </c>
      <c r="CB348" s="1194">
        <v>30000</v>
      </c>
      <c r="CC348" s="1194">
        <f t="shared" si="849"/>
        <v>660000</v>
      </c>
      <c r="CD348" s="1194">
        <f t="shared" si="850"/>
        <v>79200</v>
      </c>
      <c r="CE348" s="1194">
        <f t="shared" si="851"/>
        <v>739200</v>
      </c>
      <c r="CF348" s="1200">
        <f t="shared" si="852"/>
        <v>4371632.4979814207</v>
      </c>
      <c r="CG348" s="757">
        <f t="shared" si="853"/>
        <v>4371632.4979814207</v>
      </c>
      <c r="CH348" s="758">
        <f t="shared" si="854"/>
        <v>435891.89975777047</v>
      </c>
      <c r="CI348" s="757">
        <f t="shared" si="804"/>
        <v>448092.33104309562</v>
      </c>
      <c r="CJ348" s="757">
        <f t="shared" si="805"/>
        <v>109290.81244953553</v>
      </c>
      <c r="CK348" s="759">
        <f t="shared" si="747"/>
        <v>5364907.5412318222</v>
      </c>
      <c r="CL348" s="764">
        <f t="shared" si="855"/>
        <v>0.125</v>
      </c>
      <c r="CM348" s="757">
        <f t="shared" si="856"/>
        <v>670613.44265397778</v>
      </c>
      <c r="CN348" s="757">
        <f t="shared" si="898"/>
        <v>30000</v>
      </c>
      <c r="CO348" s="757">
        <f t="shared" si="857"/>
        <v>640613.44265397778</v>
      </c>
      <c r="CP348" s="755">
        <f t="shared" si="858"/>
        <v>32</v>
      </c>
      <c r="CQ348" s="757">
        <f t="shared" si="901"/>
        <v>20019.170082936806</v>
      </c>
      <c r="CR348" s="764">
        <f t="shared" si="859"/>
        <v>0.875</v>
      </c>
      <c r="CS348" s="757">
        <f t="shared" si="860"/>
        <v>4694294.098577844</v>
      </c>
      <c r="CT348" s="1101">
        <f t="shared" si="861"/>
        <v>36394.812181093665</v>
      </c>
      <c r="CU348" s="1101">
        <f t="shared" si="862"/>
        <v>42193.64247497476</v>
      </c>
      <c r="CV348" s="1101">
        <f t="shared" si="863"/>
        <v>54504.734879083517</v>
      </c>
      <c r="CW348" s="1141">
        <f t="shared" si="806"/>
        <v>92952.649452731042</v>
      </c>
      <c r="CX348" s="1152">
        <f t="shared" si="864"/>
        <v>381332.43050833198</v>
      </c>
      <c r="CY348" s="1152">
        <f t="shared" si="865"/>
        <v>150891.38517522882</v>
      </c>
      <c r="CZ348" s="1152">
        <f t="shared" si="866"/>
        <v>108986.71040801582</v>
      </c>
      <c r="DA348" s="1152">
        <f t="shared" si="867"/>
        <v>82943.90410950467</v>
      </c>
      <c r="DB348" s="1143">
        <f t="shared" si="807"/>
        <v>0.29919359922410516</v>
      </c>
      <c r="DC348" s="1143">
        <f t="shared" si="868"/>
        <v>0.20349999632774479</v>
      </c>
      <c r="DD348" s="1098" t="s">
        <v>812</v>
      </c>
      <c r="DE348" s="1144"/>
      <c r="DF348" s="705"/>
      <c r="DG348" s="765">
        <f t="shared" si="899"/>
        <v>46082</v>
      </c>
      <c r="DH348" s="1116">
        <f t="shared" si="808"/>
        <v>28</v>
      </c>
      <c r="DI348" s="497"/>
      <c r="DJ348" s="1117">
        <f t="shared" si="869"/>
        <v>46147</v>
      </c>
      <c r="DK348" s="1116">
        <f t="shared" si="870"/>
        <v>30</v>
      </c>
      <c r="DL348" s="766" t="s">
        <v>813</v>
      </c>
      <c r="DM348" s="766" t="s">
        <v>234</v>
      </c>
      <c r="DN348" s="767">
        <f t="shared" si="809"/>
        <v>45695.022426954245</v>
      </c>
      <c r="DO348" s="767">
        <f t="shared" si="810"/>
        <v>1005290.4933929933</v>
      </c>
      <c r="DP348" s="768">
        <f t="shared" si="811"/>
        <v>0.33509683113099781</v>
      </c>
      <c r="DR348" s="767">
        <f t="shared" si="812"/>
        <v>4371632.4979814207</v>
      </c>
      <c r="DS348" s="767">
        <f>SUM('[6]INTERNAL PRICELIST'!M348)</f>
        <v>0</v>
      </c>
      <c r="DT348" s="767">
        <f t="shared" si="871"/>
        <v>4371632.4979814207</v>
      </c>
      <c r="DV348" s="951">
        <f t="shared" si="813"/>
        <v>198710.56809006457</v>
      </c>
      <c r="DX348" s="781"/>
      <c r="DY348" s="782"/>
      <c r="DZ348" s="781"/>
      <c r="EA348" s="775"/>
      <c r="ED348" s="1133" t="s">
        <v>811</v>
      </c>
      <c r="EE348" s="777" t="b">
        <f t="shared" si="814"/>
        <v>1</v>
      </c>
      <c r="EF348" s="777"/>
      <c r="EG348" s="777"/>
      <c r="EH348" s="1203"/>
      <c r="EP348" s="1230" t="s">
        <v>236</v>
      </c>
      <c r="EQ348" s="1145" t="s">
        <v>236</v>
      </c>
      <c r="ER348" s="753" t="b">
        <f t="shared" si="872"/>
        <v>1</v>
      </c>
      <c r="EU348" s="770">
        <v>3588896.178275059</v>
      </c>
      <c r="EV348" s="771" t="s">
        <v>258</v>
      </c>
      <c r="EW348" s="775">
        <f t="shared" si="774"/>
        <v>-782736.31970636174</v>
      </c>
      <c r="EY348" s="775">
        <v>3551474.8993021832</v>
      </c>
      <c r="FJ348" s="994">
        <v>0.15</v>
      </c>
      <c r="FK348" s="993">
        <v>15485.622216943038</v>
      </c>
      <c r="FL348" s="993">
        <v>15904.152547130689</v>
      </c>
      <c r="FM348" s="497"/>
      <c r="FN348" s="993">
        <f t="shared" si="815"/>
        <v>5364907.5412318222</v>
      </c>
      <c r="FO348" s="994">
        <f t="shared" si="902"/>
        <v>0.15</v>
      </c>
      <c r="FP348" s="775">
        <f t="shared" si="816"/>
        <v>804736.13118477329</v>
      </c>
      <c r="FQ348" s="993">
        <f t="shared" si="817"/>
        <v>30000</v>
      </c>
      <c r="FR348" s="775">
        <f t="shared" si="874"/>
        <v>774736.13118477329</v>
      </c>
      <c r="FS348" s="497">
        <f t="shared" si="875"/>
        <v>40</v>
      </c>
      <c r="FT348" s="775">
        <f t="shared" si="876"/>
        <v>19368.403279619331</v>
      </c>
      <c r="FU348" s="497"/>
      <c r="FV348" s="993">
        <f t="shared" si="877"/>
        <v>5364907.5412318222</v>
      </c>
      <c r="FW348" s="705">
        <f t="shared" si="878"/>
        <v>536490.75412318227</v>
      </c>
      <c r="FX348" s="705">
        <f t="shared" si="879"/>
        <v>134122.68853079557</v>
      </c>
      <c r="FY348" s="705">
        <v>15000</v>
      </c>
      <c r="FZ348" s="705">
        <f t="shared" si="880"/>
        <v>521490.75412318227</v>
      </c>
      <c r="GA348" s="497">
        <f t="shared" si="881"/>
        <v>46</v>
      </c>
      <c r="GB348" s="775">
        <f t="shared" si="882"/>
        <v>11336.755524417005</v>
      </c>
      <c r="GC348" s="497"/>
      <c r="GD348" s="497"/>
      <c r="GH348" s="1095">
        <f t="shared" si="782"/>
        <v>5364907.5412318222</v>
      </c>
      <c r="GI348" s="1098">
        <f t="shared" si="783"/>
        <v>0.125</v>
      </c>
      <c r="GJ348" s="1095">
        <f t="shared" si="784"/>
        <v>670613.44265397778</v>
      </c>
      <c r="GK348" s="1095">
        <f t="shared" si="785"/>
        <v>30000</v>
      </c>
      <c r="GL348" s="1095">
        <f t="shared" si="786"/>
        <v>640613.44265397778</v>
      </c>
      <c r="GM348" s="1095">
        <f t="shared" si="787"/>
        <v>32</v>
      </c>
      <c r="GN348" s="1095">
        <f t="shared" si="788"/>
        <v>20019.170082936806</v>
      </c>
      <c r="GO348" s="1098">
        <f t="shared" si="789"/>
        <v>0.875</v>
      </c>
      <c r="GP348" s="1095">
        <f t="shared" si="790"/>
        <v>4694294.098577844</v>
      </c>
      <c r="GQ348" s="1095">
        <f t="shared" si="791"/>
        <v>36394.812181093665</v>
      </c>
      <c r="GR348" s="1095">
        <f t="shared" si="792"/>
        <v>42193.64247497476</v>
      </c>
      <c r="GS348" s="1095">
        <f t="shared" si="793"/>
        <v>54504.734879083517</v>
      </c>
      <c r="GT348" s="1095">
        <f t="shared" si="794"/>
        <v>92952.649452731042</v>
      </c>
      <c r="GU348" s="497"/>
      <c r="GV348" s="1095">
        <f t="shared" si="883"/>
        <v>5364907.5412318222</v>
      </c>
      <c r="GW348" s="1098">
        <f t="shared" si="884"/>
        <v>0.125</v>
      </c>
      <c r="GX348" s="1095">
        <f t="shared" si="885"/>
        <v>670613.44265397778</v>
      </c>
      <c r="GY348" s="1095">
        <f t="shared" si="886"/>
        <v>30000</v>
      </c>
      <c r="GZ348" s="1095">
        <f t="shared" si="887"/>
        <v>640613.44265397778</v>
      </c>
      <c r="HA348" s="1106">
        <f t="shared" si="888"/>
        <v>48</v>
      </c>
      <c r="HB348" s="770">
        <f t="shared" si="889"/>
        <v>13346.113388624537</v>
      </c>
      <c r="HC348" s="1098">
        <f t="shared" si="890"/>
        <v>0.875</v>
      </c>
      <c r="HD348" s="1102">
        <f t="shared" si="891"/>
        <v>4694294.098577844</v>
      </c>
      <c r="HE348" s="1101">
        <f t="shared" si="892"/>
        <v>36394.812181093665</v>
      </c>
      <c r="HF348" s="1101">
        <f t="shared" si="893"/>
        <v>42193.64247497476</v>
      </c>
      <c r="HG348" s="1101">
        <f t="shared" si="894"/>
        <v>54504.734879083517</v>
      </c>
      <c r="HH348" s="1101">
        <f t="shared" si="895"/>
        <v>92952.649452731042</v>
      </c>
      <c r="HI348" s="497"/>
      <c r="HJ348" s="1102">
        <f t="shared" si="896"/>
        <v>-6673.0566943122685</v>
      </c>
      <c r="HL348" s="775"/>
      <c r="HN348" s="775"/>
      <c r="HO348" s="775"/>
      <c r="HQ348" s="702"/>
      <c r="HR348" s="1171"/>
      <c r="HS348" s="702"/>
      <c r="HT348" s="1171"/>
    </row>
    <row r="349" spans="1:228" ht="14.25" hidden="1" customHeight="1">
      <c r="A349" s="753">
        <f t="shared" si="897"/>
        <v>343</v>
      </c>
      <c r="B349" s="753"/>
      <c r="C349" s="753">
        <f>C348+1</f>
        <v>2</v>
      </c>
      <c r="D349" s="753" t="s">
        <v>292</v>
      </c>
      <c r="E349" s="717" t="s">
        <v>297</v>
      </c>
      <c r="F349" s="754"/>
      <c r="G349" s="756" t="s">
        <v>814</v>
      </c>
      <c r="H349" s="756"/>
      <c r="I349" s="755" t="s">
        <v>229</v>
      </c>
      <c r="J349" s="757">
        <v>22</v>
      </c>
      <c r="K349" s="758"/>
      <c r="L349" s="759" t="s">
        <v>69</v>
      </c>
      <c r="M349" s="760" t="s">
        <v>68</v>
      </c>
      <c r="N349" s="761">
        <f t="shared" si="818"/>
        <v>106005.26567735759</v>
      </c>
      <c r="O349" s="762">
        <f t="shared" si="819"/>
        <v>2332115.8449018667</v>
      </c>
      <c r="P349" s="762">
        <f t="shared" si="820"/>
        <v>22400</v>
      </c>
      <c r="Q349" s="762">
        <f t="shared" si="795"/>
        <v>50000</v>
      </c>
      <c r="R349" s="762"/>
      <c r="S349" s="762">
        <f t="shared" ref="S349:S378" si="910">J349*$S$5</f>
        <v>176000</v>
      </c>
      <c r="T349" s="762"/>
      <c r="U349" s="762"/>
      <c r="V349" s="762"/>
      <c r="W349" s="762"/>
      <c r="X349" s="762"/>
      <c r="Y349" s="762">
        <f>$Y$348</f>
        <v>200000</v>
      </c>
      <c r="Z349" s="762">
        <f t="shared" si="796"/>
        <v>142461</v>
      </c>
      <c r="AA349" s="762"/>
      <c r="AB349" s="762"/>
      <c r="AC349" s="762"/>
      <c r="AD349" s="763">
        <f t="shared" si="821"/>
        <v>590861</v>
      </c>
      <c r="AE349" s="763">
        <f t="shared" si="797"/>
        <v>2922976.8449018667</v>
      </c>
      <c r="AF349" s="762">
        <f t="shared" si="798"/>
        <v>73074.421122546672</v>
      </c>
      <c r="AG349" s="762">
        <f t="shared" si="822"/>
        <v>2996051.2660244135</v>
      </c>
      <c r="AH349" s="762">
        <f t="shared" si="799"/>
        <v>74901.281650610341</v>
      </c>
      <c r="AI349" s="762">
        <f t="shared" si="823"/>
        <v>3070952.5476750238</v>
      </c>
      <c r="AJ349" s="762">
        <f t="shared" si="824"/>
        <v>153547.62738375118</v>
      </c>
      <c r="AK349" s="762">
        <f t="shared" si="825"/>
        <v>3224500.1750587751</v>
      </c>
      <c r="AL349" s="762">
        <f t="shared" si="826"/>
        <v>32245.001750587751</v>
      </c>
      <c r="AM349" s="762">
        <f t="shared" si="827"/>
        <v>27537.409960060559</v>
      </c>
      <c r="AN349" s="762"/>
      <c r="AO349" s="763">
        <f t="shared" si="828"/>
        <v>3284282.5867694234</v>
      </c>
      <c r="AP349" s="763">
        <f t="shared" si="829"/>
        <v>541906.62681695493</v>
      </c>
      <c r="AQ349" s="763">
        <f t="shared" si="830"/>
        <v>3826189.2135863784</v>
      </c>
      <c r="AR349" s="1178">
        <f t="shared" si="800"/>
        <v>3000000</v>
      </c>
      <c r="AS349" s="1178">
        <f t="shared" si="831"/>
        <v>37554.055163017198</v>
      </c>
      <c r="AT349" s="1178">
        <f t="shared" si="832"/>
        <v>826189.21358637838</v>
      </c>
      <c r="AU349" s="1178">
        <f t="shared" si="801"/>
        <v>99142.705630365395</v>
      </c>
      <c r="AV349" s="1178">
        <f t="shared" si="833"/>
        <v>925331.91921674379</v>
      </c>
      <c r="AW349" s="1178">
        <f t="shared" si="834"/>
        <v>3925331.9192167437</v>
      </c>
      <c r="AX349" s="762">
        <f t="shared" si="835"/>
        <v>49066.648990209302</v>
      </c>
      <c r="AY349" s="717" t="s">
        <v>231</v>
      </c>
      <c r="AZ349" s="717">
        <f t="shared" si="836"/>
        <v>3974398.5682069529</v>
      </c>
      <c r="BA349" s="717">
        <f t="shared" si="837"/>
        <v>149039.94630776072</v>
      </c>
      <c r="BB349" s="717"/>
      <c r="BC349" s="717">
        <f t="shared" si="802"/>
        <v>33600</v>
      </c>
      <c r="BD349" s="717">
        <f t="shared" si="838"/>
        <v>4157038.5145147135</v>
      </c>
      <c r="BE349" s="717"/>
      <c r="BF349" s="717">
        <f t="shared" si="839"/>
        <v>4157038.5145147135</v>
      </c>
      <c r="BG349" s="1209"/>
      <c r="BH349" s="717">
        <f t="shared" si="840"/>
        <v>4157038.5145147135</v>
      </c>
      <c r="BI349" s="717"/>
      <c r="BJ349" s="717">
        <f t="shared" si="841"/>
        <v>4157038.5145147135</v>
      </c>
      <c r="BK349" s="717"/>
      <c r="BL349" s="717">
        <f t="shared" si="842"/>
        <v>4157038.5145147135</v>
      </c>
      <c r="BM349" s="717"/>
      <c r="BN349" s="717">
        <f t="shared" si="843"/>
        <v>4157038.5145147135</v>
      </c>
      <c r="BO349" s="717"/>
      <c r="BP349" s="717">
        <f t="shared" si="803"/>
        <v>4157038.5145147135</v>
      </c>
      <c r="BQ349" s="717"/>
      <c r="BR349" s="717">
        <f t="shared" si="903"/>
        <v>4157038.5145147135</v>
      </c>
      <c r="BS349" s="717"/>
      <c r="BT349" s="717">
        <f t="shared" si="844"/>
        <v>4157038.5145147135</v>
      </c>
      <c r="BU349" s="717"/>
      <c r="BV349" s="1235">
        <f t="shared" si="904"/>
        <v>51400</v>
      </c>
      <c r="BW349" s="717">
        <f t="shared" si="845"/>
        <v>4208438.5145147135</v>
      </c>
      <c r="BX349" s="717"/>
      <c r="BY349" s="717">
        <f t="shared" si="846"/>
        <v>4208438.5145147135</v>
      </c>
      <c r="BZ349" s="1194">
        <f t="shared" si="847"/>
        <v>4208438.5145147135</v>
      </c>
      <c r="CA349" s="1194">
        <f t="shared" si="848"/>
        <v>3636438.5145147135</v>
      </c>
      <c r="CB349" s="1194">
        <v>26000</v>
      </c>
      <c r="CC349" s="1194">
        <f t="shared" si="849"/>
        <v>572000</v>
      </c>
      <c r="CD349" s="1194">
        <f t="shared" si="850"/>
        <v>68640</v>
      </c>
      <c r="CE349" s="1194">
        <f t="shared" si="851"/>
        <v>640640</v>
      </c>
      <c r="CF349" s="1200">
        <f t="shared" si="852"/>
        <v>4277078.5145147135</v>
      </c>
      <c r="CG349" s="757">
        <f t="shared" si="853"/>
        <v>4277078.5145147135</v>
      </c>
      <c r="CH349" s="758">
        <f t="shared" si="854"/>
        <v>436372.62174176559</v>
      </c>
      <c r="CI349" s="757">
        <f t="shared" si="804"/>
        <v>438400.54773775814</v>
      </c>
      <c r="CJ349" s="757">
        <f t="shared" si="805"/>
        <v>106926.96286286785</v>
      </c>
      <c r="CK349" s="759">
        <f t="shared" si="747"/>
        <v>5258778.6468571052</v>
      </c>
      <c r="CL349" s="764">
        <f t="shared" si="855"/>
        <v>0.125</v>
      </c>
      <c r="CM349" s="757">
        <f t="shared" si="856"/>
        <v>657347.33085713815</v>
      </c>
      <c r="CN349" s="757">
        <f t="shared" si="898"/>
        <v>30000</v>
      </c>
      <c r="CO349" s="757">
        <f t="shared" si="857"/>
        <v>627347.33085713815</v>
      </c>
      <c r="CP349" s="755">
        <f t="shared" si="858"/>
        <v>32</v>
      </c>
      <c r="CQ349" s="757">
        <f t="shared" si="901"/>
        <v>19604.604089285567</v>
      </c>
      <c r="CR349" s="764">
        <f t="shared" si="859"/>
        <v>0.875</v>
      </c>
      <c r="CS349" s="757">
        <f t="shared" si="860"/>
        <v>4601431.315999967</v>
      </c>
      <c r="CT349" s="1101">
        <f t="shared" si="861"/>
        <v>35674.84801618132</v>
      </c>
      <c r="CU349" s="1101">
        <f t="shared" si="862"/>
        <v>41358.965532064583</v>
      </c>
      <c r="CV349" s="1101">
        <f t="shared" si="863"/>
        <v>53426.519232970808</v>
      </c>
      <c r="CW349" s="1141">
        <f t="shared" si="806"/>
        <v>91113.855057897192</v>
      </c>
      <c r="CX349" s="1152">
        <f t="shared" si="864"/>
        <v>373788.89151384996</v>
      </c>
      <c r="CY349" s="1152">
        <f t="shared" si="865"/>
        <v>147906.44354180046</v>
      </c>
      <c r="CZ349" s="1152">
        <f t="shared" si="866"/>
        <v>106830.72934249975</v>
      </c>
      <c r="DA349" s="1152">
        <f t="shared" si="867"/>
        <v>81303.103262405057</v>
      </c>
      <c r="DB349" s="1143">
        <f t="shared" si="807"/>
        <v>0.27539640452879277</v>
      </c>
      <c r="DC349" s="1143">
        <f t="shared" si="868"/>
        <v>0.17617237234808411</v>
      </c>
      <c r="DD349" s="1098" t="s">
        <v>812</v>
      </c>
      <c r="DE349" s="1144"/>
      <c r="DF349" s="705"/>
      <c r="DG349" s="765">
        <f t="shared" si="899"/>
        <v>46082</v>
      </c>
      <c r="DH349" s="1116">
        <f t="shared" si="808"/>
        <v>28</v>
      </c>
      <c r="DI349" s="497"/>
      <c r="DJ349" s="1117">
        <f t="shared" si="869"/>
        <v>46147</v>
      </c>
      <c r="DK349" s="1116">
        <f t="shared" si="870"/>
        <v>30</v>
      </c>
      <c r="DL349" s="766" t="s">
        <v>813</v>
      </c>
      <c r="DM349" s="766" t="s">
        <v>234</v>
      </c>
      <c r="DN349" s="767">
        <f t="shared" si="809"/>
        <v>42060.541782579261</v>
      </c>
      <c r="DO349" s="767">
        <f t="shared" si="810"/>
        <v>925331.91921674379</v>
      </c>
      <c r="DP349" s="768">
        <f t="shared" si="811"/>
        <v>0.30844397307224791</v>
      </c>
      <c r="DR349" s="767">
        <f t="shared" si="812"/>
        <v>4277078.5145147135</v>
      </c>
      <c r="DS349" s="767">
        <f>SUM('[6]INTERNAL PRICELIST'!M349)</f>
        <v>0</v>
      </c>
      <c r="DT349" s="767">
        <f t="shared" si="871"/>
        <v>4277078.5145147135</v>
      </c>
      <c r="DV349" s="951">
        <f t="shared" si="813"/>
        <v>194412.6597506688</v>
      </c>
      <c r="DX349" s="781"/>
      <c r="DY349" s="782"/>
      <c r="DZ349" s="781"/>
      <c r="EA349" s="775"/>
      <c r="ED349" s="755" t="s">
        <v>814</v>
      </c>
      <c r="EE349" s="777" t="b">
        <f t="shared" si="814"/>
        <v>1</v>
      </c>
      <c r="EF349" s="777"/>
      <c r="EG349" s="777"/>
      <c r="EH349" s="1203"/>
      <c r="EP349" s="1230" t="s">
        <v>236</v>
      </c>
      <c r="EQ349" s="1145" t="s">
        <v>236</v>
      </c>
      <c r="ER349" s="753" t="b">
        <f t="shared" si="872"/>
        <v>1</v>
      </c>
      <c r="EU349" s="770">
        <v>3457426.8674007286</v>
      </c>
      <c r="EV349" s="771" t="s">
        <v>258</v>
      </c>
      <c r="EW349" s="775">
        <f t="shared" si="774"/>
        <v>-819651.64711398492</v>
      </c>
      <c r="EY349" s="775">
        <v>3421168.9389577992</v>
      </c>
      <c r="FJ349" s="994">
        <v>0.15</v>
      </c>
      <c r="FK349" s="993">
        <v>14908.389673312213</v>
      </c>
      <c r="FL349" s="993">
        <v>15311.319123942272</v>
      </c>
      <c r="FM349" s="497"/>
      <c r="FN349" s="993">
        <f t="shared" si="815"/>
        <v>5258778.6468571052</v>
      </c>
      <c r="FO349" s="994">
        <f t="shared" si="902"/>
        <v>0.15</v>
      </c>
      <c r="FP349" s="775">
        <f t="shared" si="816"/>
        <v>788816.79702856578</v>
      </c>
      <c r="FQ349" s="993">
        <f t="shared" si="817"/>
        <v>30000</v>
      </c>
      <c r="FR349" s="775">
        <f t="shared" si="874"/>
        <v>758816.79702856578</v>
      </c>
      <c r="FS349" s="497">
        <f t="shared" si="875"/>
        <v>40</v>
      </c>
      <c r="FT349" s="775">
        <f t="shared" si="876"/>
        <v>18970.419925714144</v>
      </c>
      <c r="FU349" s="497"/>
      <c r="FV349" s="993">
        <f t="shared" si="877"/>
        <v>5258778.6468571052</v>
      </c>
      <c r="FW349" s="705">
        <f t="shared" si="878"/>
        <v>525877.86468571052</v>
      </c>
      <c r="FX349" s="705">
        <f t="shared" si="879"/>
        <v>131469.46617142763</v>
      </c>
      <c r="FY349" s="705">
        <v>15000</v>
      </c>
      <c r="FZ349" s="705">
        <f t="shared" si="880"/>
        <v>510877.86468571052</v>
      </c>
      <c r="GA349" s="497">
        <f t="shared" si="881"/>
        <v>46</v>
      </c>
      <c r="GB349" s="775">
        <f t="shared" si="882"/>
        <v>11106.040536645882</v>
      </c>
      <c r="GC349" s="497"/>
      <c r="GD349" s="497"/>
      <c r="GH349" s="1095">
        <f t="shared" si="782"/>
        <v>5258778.6468571052</v>
      </c>
      <c r="GI349" s="1098">
        <f t="shared" si="783"/>
        <v>0.125</v>
      </c>
      <c r="GJ349" s="1095">
        <f t="shared" si="784"/>
        <v>657347.33085713815</v>
      </c>
      <c r="GK349" s="1095">
        <f t="shared" si="785"/>
        <v>30000</v>
      </c>
      <c r="GL349" s="1095">
        <f t="shared" si="786"/>
        <v>627347.33085713815</v>
      </c>
      <c r="GM349" s="1095">
        <f t="shared" si="787"/>
        <v>32</v>
      </c>
      <c r="GN349" s="1095">
        <f t="shared" si="788"/>
        <v>19604.604089285567</v>
      </c>
      <c r="GO349" s="1098">
        <f t="shared" si="789"/>
        <v>0.875</v>
      </c>
      <c r="GP349" s="1095">
        <f t="shared" si="790"/>
        <v>4601431.315999967</v>
      </c>
      <c r="GQ349" s="1095">
        <f t="shared" si="791"/>
        <v>35674.84801618132</v>
      </c>
      <c r="GR349" s="1095">
        <f t="shared" si="792"/>
        <v>41358.965532064583</v>
      </c>
      <c r="GS349" s="1095">
        <f t="shared" si="793"/>
        <v>53426.519232970808</v>
      </c>
      <c r="GT349" s="1095">
        <f t="shared" si="794"/>
        <v>91113.855057897192</v>
      </c>
      <c r="GU349" s="497"/>
      <c r="GV349" s="1095">
        <f t="shared" si="883"/>
        <v>5258778.6468571052</v>
      </c>
      <c r="GW349" s="1098">
        <f t="shared" si="884"/>
        <v>0.125</v>
      </c>
      <c r="GX349" s="1095">
        <f t="shared" si="885"/>
        <v>657347.33085713815</v>
      </c>
      <c r="GY349" s="1095">
        <f t="shared" si="886"/>
        <v>30000</v>
      </c>
      <c r="GZ349" s="1095">
        <f t="shared" si="887"/>
        <v>627347.33085713815</v>
      </c>
      <c r="HA349" s="1106">
        <f t="shared" si="888"/>
        <v>48</v>
      </c>
      <c r="HB349" s="770">
        <f t="shared" si="889"/>
        <v>13069.736059523711</v>
      </c>
      <c r="HC349" s="1098">
        <f t="shared" si="890"/>
        <v>0.875</v>
      </c>
      <c r="HD349" s="1102">
        <f t="shared" si="891"/>
        <v>4601431.315999967</v>
      </c>
      <c r="HE349" s="1101">
        <f t="shared" si="892"/>
        <v>35674.84801618132</v>
      </c>
      <c r="HF349" s="1101">
        <f t="shared" si="893"/>
        <v>41358.965532064583</v>
      </c>
      <c r="HG349" s="1101">
        <f t="shared" si="894"/>
        <v>53426.519232970808</v>
      </c>
      <c r="HH349" s="1101">
        <f t="shared" si="895"/>
        <v>91113.855057897192</v>
      </c>
      <c r="HI349" s="497"/>
      <c r="HJ349" s="1102">
        <f t="shared" si="896"/>
        <v>-6534.8680297618557</v>
      </c>
      <c r="HL349" s="775"/>
      <c r="HN349" s="775"/>
      <c r="HO349" s="775"/>
      <c r="HQ349" s="702"/>
      <c r="HR349" s="1171"/>
      <c r="HS349" s="702"/>
      <c r="HT349" s="1171"/>
    </row>
    <row r="350" spans="1:228" ht="14.25" hidden="1" customHeight="1">
      <c r="A350" s="753">
        <f t="shared" si="897"/>
        <v>344</v>
      </c>
      <c r="B350" s="753"/>
      <c r="C350" s="753">
        <f t="shared" ref="C350:C378" si="911">C349+1</f>
        <v>3</v>
      </c>
      <c r="D350" s="753" t="s">
        <v>292</v>
      </c>
      <c r="E350" s="717" t="s">
        <v>297</v>
      </c>
      <c r="F350" s="754"/>
      <c r="G350" s="756" t="s">
        <v>815</v>
      </c>
      <c r="H350" s="756"/>
      <c r="I350" s="755" t="s">
        <v>229</v>
      </c>
      <c r="J350" s="757">
        <v>22</v>
      </c>
      <c r="K350" s="758"/>
      <c r="L350" s="759" t="s">
        <v>69</v>
      </c>
      <c r="M350" s="760" t="s">
        <v>68</v>
      </c>
      <c r="N350" s="761">
        <f t="shared" si="818"/>
        <v>106005.26567735759</v>
      </c>
      <c r="O350" s="762">
        <f t="shared" si="819"/>
        <v>2332115.8449018667</v>
      </c>
      <c r="P350" s="762">
        <f t="shared" si="820"/>
        <v>22400</v>
      </c>
      <c r="Q350" s="762">
        <f t="shared" si="795"/>
        <v>50000</v>
      </c>
      <c r="R350" s="762"/>
      <c r="S350" s="762">
        <f t="shared" si="910"/>
        <v>176000</v>
      </c>
      <c r="T350" s="762"/>
      <c r="U350" s="762"/>
      <c r="V350" s="762"/>
      <c r="W350" s="762"/>
      <c r="X350" s="762"/>
      <c r="Y350" s="762">
        <f t="shared" ref="Y350:Y378" si="912">$Y$348</f>
        <v>200000</v>
      </c>
      <c r="Z350" s="762">
        <f t="shared" si="796"/>
        <v>142461</v>
      </c>
      <c r="AA350" s="762"/>
      <c r="AB350" s="762"/>
      <c r="AC350" s="762"/>
      <c r="AD350" s="763">
        <f t="shared" si="821"/>
        <v>590861</v>
      </c>
      <c r="AE350" s="763">
        <f t="shared" si="797"/>
        <v>2922976.8449018667</v>
      </c>
      <c r="AF350" s="762">
        <f t="shared" si="798"/>
        <v>73074.421122546672</v>
      </c>
      <c r="AG350" s="762">
        <f t="shared" si="822"/>
        <v>2996051.2660244135</v>
      </c>
      <c r="AH350" s="762">
        <f t="shared" si="799"/>
        <v>74901.281650610341</v>
      </c>
      <c r="AI350" s="762">
        <f t="shared" si="823"/>
        <v>3070952.5476750238</v>
      </c>
      <c r="AJ350" s="762">
        <f t="shared" si="824"/>
        <v>153547.62738375118</v>
      </c>
      <c r="AK350" s="762">
        <f t="shared" si="825"/>
        <v>3224500.1750587751</v>
      </c>
      <c r="AL350" s="762">
        <f t="shared" si="826"/>
        <v>32245.001750587751</v>
      </c>
      <c r="AM350" s="762">
        <f t="shared" si="827"/>
        <v>27537.409960060559</v>
      </c>
      <c r="AN350" s="762"/>
      <c r="AO350" s="763">
        <f t="shared" si="828"/>
        <v>3284282.5867694234</v>
      </c>
      <c r="AP350" s="763">
        <f t="shared" si="829"/>
        <v>541906.62681695493</v>
      </c>
      <c r="AQ350" s="763">
        <f t="shared" si="830"/>
        <v>3826189.2135863784</v>
      </c>
      <c r="AR350" s="1178">
        <f t="shared" si="800"/>
        <v>3000000</v>
      </c>
      <c r="AS350" s="1178">
        <f t="shared" si="831"/>
        <v>37554.055163017198</v>
      </c>
      <c r="AT350" s="1178">
        <f t="shared" si="832"/>
        <v>826189.21358637838</v>
      </c>
      <c r="AU350" s="1178">
        <f t="shared" si="801"/>
        <v>99142.705630365395</v>
      </c>
      <c r="AV350" s="1178">
        <f t="shared" si="833"/>
        <v>925331.91921674379</v>
      </c>
      <c r="AW350" s="1178">
        <f t="shared" si="834"/>
        <v>3925331.9192167437</v>
      </c>
      <c r="AX350" s="762">
        <f t="shared" si="835"/>
        <v>49066.648990209302</v>
      </c>
      <c r="AY350" s="717" t="s">
        <v>231</v>
      </c>
      <c r="AZ350" s="717">
        <f t="shared" si="836"/>
        <v>3974398.5682069529</v>
      </c>
      <c r="BA350" s="717">
        <f t="shared" si="837"/>
        <v>149039.94630776072</v>
      </c>
      <c r="BB350" s="717"/>
      <c r="BC350" s="717">
        <f t="shared" si="802"/>
        <v>33600</v>
      </c>
      <c r="BD350" s="717">
        <f t="shared" si="838"/>
        <v>4157038.5145147135</v>
      </c>
      <c r="BE350" s="717"/>
      <c r="BF350" s="717">
        <f t="shared" si="839"/>
        <v>4157038.5145147135</v>
      </c>
      <c r="BG350" s="1209"/>
      <c r="BH350" s="717">
        <f t="shared" si="840"/>
        <v>4157038.5145147135</v>
      </c>
      <c r="BI350" s="717"/>
      <c r="BJ350" s="717">
        <f t="shared" si="841"/>
        <v>4157038.5145147135</v>
      </c>
      <c r="BK350" s="717"/>
      <c r="BL350" s="717">
        <f t="shared" si="842"/>
        <v>4157038.5145147135</v>
      </c>
      <c r="BM350" s="717"/>
      <c r="BN350" s="717">
        <f t="shared" si="843"/>
        <v>4157038.5145147135</v>
      </c>
      <c r="BO350" s="717"/>
      <c r="BP350" s="717">
        <f t="shared" si="803"/>
        <v>4157038.5145147135</v>
      </c>
      <c r="BQ350" s="717"/>
      <c r="BR350" s="717">
        <f t="shared" si="903"/>
        <v>4157038.5145147135</v>
      </c>
      <c r="BS350" s="717"/>
      <c r="BT350" s="717">
        <f t="shared" si="844"/>
        <v>4157038.5145147135</v>
      </c>
      <c r="BU350" s="717"/>
      <c r="BV350" s="1235">
        <f t="shared" si="904"/>
        <v>51400</v>
      </c>
      <c r="BW350" s="717">
        <f t="shared" si="845"/>
        <v>4208438.5145147135</v>
      </c>
      <c r="BX350" s="717"/>
      <c r="BY350" s="717">
        <f t="shared" si="846"/>
        <v>4208438.5145147135</v>
      </c>
      <c r="BZ350" s="1194">
        <f t="shared" si="847"/>
        <v>4208438.5145147135</v>
      </c>
      <c r="CA350" s="1194">
        <f t="shared" si="848"/>
        <v>3636438.5145147135</v>
      </c>
      <c r="CB350" s="1194">
        <v>26000</v>
      </c>
      <c r="CC350" s="1194">
        <f t="shared" si="849"/>
        <v>572000</v>
      </c>
      <c r="CD350" s="1194">
        <f t="shared" si="850"/>
        <v>68640</v>
      </c>
      <c r="CE350" s="1194">
        <f t="shared" si="851"/>
        <v>640640</v>
      </c>
      <c r="CF350" s="1200">
        <f t="shared" si="852"/>
        <v>4277078.5145147135</v>
      </c>
      <c r="CG350" s="757">
        <f t="shared" si="853"/>
        <v>4277078.5145147135</v>
      </c>
      <c r="CH350" s="758">
        <f t="shared" si="854"/>
        <v>436372.62174176559</v>
      </c>
      <c r="CI350" s="757">
        <f t="shared" si="804"/>
        <v>438400.54773775814</v>
      </c>
      <c r="CJ350" s="757">
        <f t="shared" si="805"/>
        <v>106926.96286286785</v>
      </c>
      <c r="CK350" s="759">
        <f t="shared" si="747"/>
        <v>5258778.6468571052</v>
      </c>
      <c r="CL350" s="764">
        <f t="shared" si="855"/>
        <v>0.125</v>
      </c>
      <c r="CM350" s="757">
        <f t="shared" si="856"/>
        <v>657347.33085713815</v>
      </c>
      <c r="CN350" s="757">
        <f t="shared" si="898"/>
        <v>30000</v>
      </c>
      <c r="CO350" s="757">
        <f t="shared" si="857"/>
        <v>627347.33085713815</v>
      </c>
      <c r="CP350" s="755">
        <f t="shared" si="858"/>
        <v>32</v>
      </c>
      <c r="CQ350" s="757">
        <f t="shared" si="901"/>
        <v>19604.604089285567</v>
      </c>
      <c r="CR350" s="764">
        <f t="shared" si="859"/>
        <v>0.875</v>
      </c>
      <c r="CS350" s="757">
        <f t="shared" si="860"/>
        <v>4601431.315999967</v>
      </c>
      <c r="CT350" s="1101">
        <f t="shared" si="861"/>
        <v>35674.84801618132</v>
      </c>
      <c r="CU350" s="1101">
        <f t="shared" si="862"/>
        <v>41358.965532064583</v>
      </c>
      <c r="CV350" s="1101">
        <f t="shared" si="863"/>
        <v>53426.519232970808</v>
      </c>
      <c r="CW350" s="1141">
        <f t="shared" si="806"/>
        <v>91113.855057897192</v>
      </c>
      <c r="CX350" s="1152">
        <f t="shared" si="864"/>
        <v>373788.89151384996</v>
      </c>
      <c r="CY350" s="1152">
        <f t="shared" si="865"/>
        <v>147906.44354180046</v>
      </c>
      <c r="CZ350" s="1152">
        <f t="shared" si="866"/>
        <v>106830.72934249975</v>
      </c>
      <c r="DA350" s="1152">
        <f t="shared" si="867"/>
        <v>81303.103262405057</v>
      </c>
      <c r="DB350" s="1143">
        <f t="shared" si="807"/>
        <v>0.27539640452879277</v>
      </c>
      <c r="DC350" s="1143">
        <f t="shared" si="868"/>
        <v>0.17617237234808411</v>
      </c>
      <c r="DD350" s="1098" t="s">
        <v>812</v>
      </c>
      <c r="DE350" s="1144"/>
      <c r="DF350" s="705"/>
      <c r="DG350" s="765">
        <f t="shared" si="899"/>
        <v>46082</v>
      </c>
      <c r="DH350" s="1116">
        <f t="shared" si="808"/>
        <v>28</v>
      </c>
      <c r="DI350" s="497"/>
      <c r="DJ350" s="1117">
        <f t="shared" si="869"/>
        <v>46147</v>
      </c>
      <c r="DK350" s="1116">
        <f t="shared" si="870"/>
        <v>30</v>
      </c>
      <c r="DL350" s="766" t="s">
        <v>813</v>
      </c>
      <c r="DM350" s="766" t="s">
        <v>234</v>
      </c>
      <c r="DN350" s="767">
        <f t="shared" si="809"/>
        <v>42060.541782579261</v>
      </c>
      <c r="DO350" s="767">
        <f t="shared" si="810"/>
        <v>925331.91921674379</v>
      </c>
      <c r="DP350" s="768">
        <f t="shared" si="811"/>
        <v>0.30844397307224791</v>
      </c>
      <c r="DR350" s="767">
        <f t="shared" si="812"/>
        <v>4277078.5145147135</v>
      </c>
      <c r="DS350" s="767">
        <f>SUM('[6]INTERNAL PRICELIST'!M350)</f>
        <v>0</v>
      </c>
      <c r="DT350" s="767">
        <f t="shared" si="871"/>
        <v>4277078.5145147135</v>
      </c>
      <c r="DV350" s="951">
        <f t="shared" si="813"/>
        <v>194412.6597506688</v>
      </c>
      <c r="DX350" s="781"/>
      <c r="DY350" s="782"/>
      <c r="DZ350" s="781"/>
      <c r="EA350" s="775"/>
      <c r="ED350" s="755" t="s">
        <v>815</v>
      </c>
      <c r="EE350" s="777" t="b">
        <f t="shared" si="814"/>
        <v>1</v>
      </c>
      <c r="EF350" s="777"/>
      <c r="EG350" s="777"/>
      <c r="EH350" s="1203"/>
      <c r="EP350" s="1230" t="s">
        <v>236</v>
      </c>
      <c r="EQ350" s="1145" t="s">
        <v>236</v>
      </c>
      <c r="ER350" s="753" t="b">
        <f t="shared" si="872"/>
        <v>1</v>
      </c>
      <c r="EU350" s="770">
        <v>3457426.8674007286</v>
      </c>
      <c r="EV350" s="771" t="s">
        <v>258</v>
      </c>
      <c r="EW350" s="775">
        <f t="shared" si="774"/>
        <v>-819651.64711398492</v>
      </c>
      <c r="EY350" s="775">
        <v>3421168.9389577992</v>
      </c>
      <c r="FJ350" s="994">
        <v>0.15</v>
      </c>
      <c r="FK350" s="993">
        <v>14908.389673312213</v>
      </c>
      <c r="FL350" s="993">
        <v>15311.319123942272</v>
      </c>
      <c r="FM350" s="497"/>
      <c r="FN350" s="993">
        <f t="shared" si="815"/>
        <v>5258778.6468571052</v>
      </c>
      <c r="FO350" s="994">
        <f t="shared" ref="FO350:FO363" si="913">FJ350</f>
        <v>0.15</v>
      </c>
      <c r="FP350" s="775">
        <f t="shared" si="816"/>
        <v>788816.79702856578</v>
      </c>
      <c r="FQ350" s="993">
        <f t="shared" si="817"/>
        <v>30000</v>
      </c>
      <c r="FR350" s="775">
        <f t="shared" si="874"/>
        <v>758816.79702856578</v>
      </c>
      <c r="FS350" s="497">
        <f t="shared" si="875"/>
        <v>40</v>
      </c>
      <c r="FT350" s="775">
        <f t="shared" si="876"/>
        <v>18970.419925714144</v>
      </c>
      <c r="FU350" s="497"/>
      <c r="FV350" s="993">
        <f t="shared" si="877"/>
        <v>5258778.6468571052</v>
      </c>
      <c r="FW350" s="705">
        <f t="shared" si="878"/>
        <v>525877.86468571052</v>
      </c>
      <c r="FX350" s="705">
        <f t="shared" si="879"/>
        <v>131469.46617142763</v>
      </c>
      <c r="FY350" s="705">
        <v>15000</v>
      </c>
      <c r="FZ350" s="705">
        <f t="shared" si="880"/>
        <v>510877.86468571052</v>
      </c>
      <c r="GA350" s="497">
        <f t="shared" si="881"/>
        <v>46</v>
      </c>
      <c r="GB350" s="775">
        <f t="shared" si="882"/>
        <v>11106.040536645882</v>
      </c>
      <c r="GC350" s="497"/>
      <c r="GD350" s="497"/>
      <c r="GH350" s="1095">
        <f t="shared" si="782"/>
        <v>5258778.6468571052</v>
      </c>
      <c r="GI350" s="1098">
        <f t="shared" si="783"/>
        <v>0.125</v>
      </c>
      <c r="GJ350" s="1095">
        <f t="shared" si="784"/>
        <v>657347.33085713815</v>
      </c>
      <c r="GK350" s="1095">
        <f t="shared" si="785"/>
        <v>30000</v>
      </c>
      <c r="GL350" s="1095">
        <f t="shared" si="786"/>
        <v>627347.33085713815</v>
      </c>
      <c r="GM350" s="1095">
        <f t="shared" si="787"/>
        <v>32</v>
      </c>
      <c r="GN350" s="1095">
        <f t="shared" si="788"/>
        <v>19604.604089285567</v>
      </c>
      <c r="GO350" s="1098">
        <f t="shared" si="789"/>
        <v>0.875</v>
      </c>
      <c r="GP350" s="1095">
        <f t="shared" si="790"/>
        <v>4601431.315999967</v>
      </c>
      <c r="GQ350" s="1095">
        <f t="shared" si="791"/>
        <v>35674.84801618132</v>
      </c>
      <c r="GR350" s="1095">
        <f t="shared" si="792"/>
        <v>41358.965532064583</v>
      </c>
      <c r="GS350" s="1095">
        <f t="shared" si="793"/>
        <v>53426.519232970808</v>
      </c>
      <c r="GT350" s="1095">
        <f t="shared" si="794"/>
        <v>91113.855057897192</v>
      </c>
      <c r="GU350" s="497"/>
      <c r="GV350" s="1095">
        <f t="shared" si="883"/>
        <v>5258778.6468571052</v>
      </c>
      <c r="GW350" s="1098">
        <f t="shared" si="884"/>
        <v>0.125</v>
      </c>
      <c r="GX350" s="1095">
        <f t="shared" si="885"/>
        <v>657347.33085713815</v>
      </c>
      <c r="GY350" s="1095">
        <f t="shared" si="886"/>
        <v>30000</v>
      </c>
      <c r="GZ350" s="1095">
        <f t="shared" si="887"/>
        <v>627347.33085713815</v>
      </c>
      <c r="HA350" s="1106">
        <f t="shared" si="888"/>
        <v>48</v>
      </c>
      <c r="HB350" s="770">
        <f t="shared" si="889"/>
        <v>13069.736059523711</v>
      </c>
      <c r="HC350" s="1098">
        <f t="shared" si="890"/>
        <v>0.875</v>
      </c>
      <c r="HD350" s="1102">
        <f t="shared" si="891"/>
        <v>4601431.315999967</v>
      </c>
      <c r="HE350" s="1101">
        <f t="shared" si="892"/>
        <v>35674.84801618132</v>
      </c>
      <c r="HF350" s="1101">
        <f t="shared" si="893"/>
        <v>41358.965532064583</v>
      </c>
      <c r="HG350" s="1101">
        <f t="shared" si="894"/>
        <v>53426.519232970808</v>
      </c>
      <c r="HH350" s="1101">
        <f t="shared" si="895"/>
        <v>91113.855057897192</v>
      </c>
      <c r="HI350" s="497"/>
      <c r="HJ350" s="1102">
        <f t="shared" si="896"/>
        <v>-6534.8680297618557</v>
      </c>
      <c r="HL350" s="775"/>
      <c r="HN350" s="775"/>
      <c r="HO350" s="775"/>
      <c r="HQ350" s="702"/>
      <c r="HR350" s="1171"/>
      <c r="HS350" s="702"/>
      <c r="HT350" s="1171"/>
    </row>
    <row r="351" spans="1:228" ht="14.25" customHeight="1">
      <c r="A351" s="753">
        <f t="shared" si="897"/>
        <v>345</v>
      </c>
      <c r="B351" s="753"/>
      <c r="C351" s="753">
        <f t="shared" si="911"/>
        <v>4</v>
      </c>
      <c r="D351" s="753" t="s">
        <v>292</v>
      </c>
      <c r="E351" s="717" t="s">
        <v>297</v>
      </c>
      <c r="F351" s="754"/>
      <c r="G351" s="756" t="s">
        <v>816</v>
      </c>
      <c r="H351" s="756"/>
      <c r="I351" s="755" t="s">
        <v>229</v>
      </c>
      <c r="J351" s="757">
        <v>22</v>
      </c>
      <c r="K351" s="758"/>
      <c r="L351" s="759" t="s">
        <v>69</v>
      </c>
      <c r="M351" s="760" t="s">
        <v>68</v>
      </c>
      <c r="N351" s="761">
        <f t="shared" si="818"/>
        <v>106005.26567735759</v>
      </c>
      <c r="O351" s="762">
        <f t="shared" si="819"/>
        <v>2332115.8449018667</v>
      </c>
      <c r="P351" s="762">
        <f t="shared" si="820"/>
        <v>22400</v>
      </c>
      <c r="Q351" s="762">
        <f t="shared" si="795"/>
        <v>50000</v>
      </c>
      <c r="R351" s="762"/>
      <c r="S351" s="762">
        <f t="shared" si="910"/>
        <v>176000</v>
      </c>
      <c r="T351" s="762"/>
      <c r="U351" s="762"/>
      <c r="V351" s="762"/>
      <c r="W351" s="762"/>
      <c r="X351" s="762"/>
      <c r="Y351" s="762">
        <f t="shared" si="912"/>
        <v>200000</v>
      </c>
      <c r="Z351" s="762">
        <f t="shared" si="796"/>
        <v>142461</v>
      </c>
      <c r="AA351" s="762"/>
      <c r="AB351" s="762"/>
      <c r="AC351" s="762"/>
      <c r="AD351" s="763">
        <f t="shared" si="821"/>
        <v>590861</v>
      </c>
      <c r="AE351" s="763">
        <f t="shared" si="797"/>
        <v>2922976.8449018667</v>
      </c>
      <c r="AF351" s="762">
        <f t="shared" si="798"/>
        <v>73074.421122546672</v>
      </c>
      <c r="AG351" s="762">
        <f t="shared" si="822"/>
        <v>2996051.2660244135</v>
      </c>
      <c r="AH351" s="762">
        <f t="shared" si="799"/>
        <v>74901.281650610341</v>
      </c>
      <c r="AI351" s="762">
        <f t="shared" si="823"/>
        <v>3070952.5476750238</v>
      </c>
      <c r="AJ351" s="762">
        <f t="shared" si="824"/>
        <v>153547.62738375118</v>
      </c>
      <c r="AK351" s="762">
        <f t="shared" si="825"/>
        <v>3224500.1750587751</v>
      </c>
      <c r="AL351" s="762">
        <f t="shared" si="826"/>
        <v>32245.001750587751</v>
      </c>
      <c r="AM351" s="762">
        <f t="shared" si="827"/>
        <v>27537.409960060559</v>
      </c>
      <c r="AN351" s="762"/>
      <c r="AO351" s="763">
        <f t="shared" si="828"/>
        <v>3284282.5867694234</v>
      </c>
      <c r="AP351" s="763">
        <f t="shared" si="829"/>
        <v>541906.62681695493</v>
      </c>
      <c r="AQ351" s="763">
        <f t="shared" si="830"/>
        <v>3826189.2135863784</v>
      </c>
      <c r="AR351" s="1178">
        <f t="shared" si="800"/>
        <v>3000000</v>
      </c>
      <c r="AS351" s="1178">
        <f t="shared" si="831"/>
        <v>37554.055163017198</v>
      </c>
      <c r="AT351" s="1178">
        <f t="shared" si="832"/>
        <v>826189.21358637838</v>
      </c>
      <c r="AU351" s="1178">
        <f t="shared" si="801"/>
        <v>99142.705630365395</v>
      </c>
      <c r="AV351" s="1178">
        <f t="shared" si="833"/>
        <v>925331.91921674379</v>
      </c>
      <c r="AW351" s="1178">
        <f t="shared" si="834"/>
        <v>3925331.9192167437</v>
      </c>
      <c r="AX351" s="762">
        <f t="shared" si="835"/>
        <v>49066.648990209302</v>
      </c>
      <c r="AY351" s="717" t="s">
        <v>231</v>
      </c>
      <c r="AZ351" s="717">
        <f t="shared" si="836"/>
        <v>3974398.5682069529</v>
      </c>
      <c r="BA351" s="717">
        <f t="shared" si="837"/>
        <v>149039.94630776072</v>
      </c>
      <c r="BB351" s="717"/>
      <c r="BC351" s="717">
        <f t="shared" si="802"/>
        <v>33600</v>
      </c>
      <c r="BD351" s="717">
        <f t="shared" si="838"/>
        <v>4157038.5145147135</v>
      </c>
      <c r="BE351" s="717"/>
      <c r="BF351" s="717">
        <f t="shared" si="839"/>
        <v>4157038.5145147135</v>
      </c>
      <c r="BG351" s="1209"/>
      <c r="BH351" s="717">
        <f t="shared" si="840"/>
        <v>4157038.5145147135</v>
      </c>
      <c r="BI351" s="717"/>
      <c r="BJ351" s="717">
        <f t="shared" si="841"/>
        <v>4157038.5145147135</v>
      </c>
      <c r="BK351" s="717"/>
      <c r="BL351" s="717">
        <f t="shared" si="842"/>
        <v>4157038.5145147135</v>
      </c>
      <c r="BM351" s="717"/>
      <c r="BN351" s="717">
        <f t="shared" si="843"/>
        <v>4157038.5145147135</v>
      </c>
      <c r="BO351" s="717"/>
      <c r="BP351" s="717">
        <f t="shared" si="803"/>
        <v>4157038.5145147135</v>
      </c>
      <c r="BQ351" s="717"/>
      <c r="BR351" s="717">
        <f t="shared" si="903"/>
        <v>4157038.5145147135</v>
      </c>
      <c r="BS351" s="717"/>
      <c r="BT351" s="717">
        <f t="shared" si="844"/>
        <v>4157038.5145147135</v>
      </c>
      <c r="BU351" s="717"/>
      <c r="BV351" s="1235">
        <f t="shared" si="904"/>
        <v>51400</v>
      </c>
      <c r="BW351" s="717">
        <f t="shared" si="845"/>
        <v>4208438.5145147135</v>
      </c>
      <c r="BX351" s="717">
        <f t="shared" si="908"/>
        <v>27651.078536278128</v>
      </c>
      <c r="BY351" s="717">
        <f t="shared" si="846"/>
        <v>4236089.5930509921</v>
      </c>
      <c r="BZ351" s="1194">
        <f t="shared" si="847"/>
        <v>4236089.5930509921</v>
      </c>
      <c r="CA351" s="1194">
        <f t="shared" si="848"/>
        <v>3356089.5930509921</v>
      </c>
      <c r="CB351" s="1194">
        <v>40000</v>
      </c>
      <c r="CC351" s="1194">
        <f t="shared" si="849"/>
        <v>880000</v>
      </c>
      <c r="CD351" s="1194">
        <f t="shared" si="850"/>
        <v>105600</v>
      </c>
      <c r="CE351" s="1194">
        <f t="shared" si="851"/>
        <v>985600</v>
      </c>
      <c r="CF351" s="1200">
        <f t="shared" si="852"/>
        <v>4341689.5930509921</v>
      </c>
      <c r="CG351" s="757">
        <f t="shared" si="853"/>
        <v>4341689.5930509921</v>
      </c>
      <c r="CH351" s="758">
        <f t="shared" si="854"/>
        <v>0</v>
      </c>
      <c r="CI351" s="757">
        <f t="shared" si="804"/>
        <v>445023.18328772666</v>
      </c>
      <c r="CJ351" s="757">
        <f t="shared" si="805"/>
        <v>108542.2398262748</v>
      </c>
      <c r="CK351" s="759">
        <f t="shared" si="747"/>
        <v>4895255.0161649939</v>
      </c>
      <c r="CL351" s="764">
        <f t="shared" si="855"/>
        <v>0.125</v>
      </c>
      <c r="CM351" s="757">
        <f t="shared" si="856"/>
        <v>611906.87702062423</v>
      </c>
      <c r="CN351" s="757">
        <f t="shared" si="898"/>
        <v>30000</v>
      </c>
      <c r="CO351" s="757">
        <f t="shared" si="857"/>
        <v>581906.87702062423</v>
      </c>
      <c r="CP351" s="755">
        <f t="shared" si="858"/>
        <v>32</v>
      </c>
      <c r="CQ351" s="757">
        <f t="shared" si="901"/>
        <v>18184.589906894507</v>
      </c>
      <c r="CR351" s="764">
        <f t="shared" si="859"/>
        <v>0.875</v>
      </c>
      <c r="CS351" s="757">
        <f t="shared" si="860"/>
        <v>4283348.1391443694</v>
      </c>
      <c r="CT351" s="1101">
        <f t="shared" si="861"/>
        <v>33208.752531637168</v>
      </c>
      <c r="CU351" s="1101">
        <f t="shared" si="862"/>
        <v>38499.944013660948</v>
      </c>
      <c r="CV351" s="1101">
        <f t="shared" si="863"/>
        <v>49733.303839997599</v>
      </c>
      <c r="CW351" s="1141">
        <f t="shared" si="806"/>
        <v>84815.426920634389</v>
      </c>
      <c r="CX351" s="1152">
        <f t="shared" si="864"/>
        <v>347949.9840259481</v>
      </c>
      <c r="CY351" s="1152">
        <f t="shared" si="865"/>
        <v>137682.11371738257</v>
      </c>
      <c r="CZ351" s="1152">
        <f t="shared" si="866"/>
        <v>99445.840719495667</v>
      </c>
      <c r="DA351" s="1152">
        <f t="shared" si="867"/>
        <v>75682.863037586125</v>
      </c>
      <c r="DB351" s="1143">
        <f t="shared" si="807"/>
        <v>0.27539640452879277</v>
      </c>
      <c r="DC351" s="1143">
        <f t="shared" si="868"/>
        <v>0.29367511583741707</v>
      </c>
      <c r="DD351" s="1098" t="s">
        <v>812</v>
      </c>
      <c r="DE351" s="1144"/>
      <c r="DF351" s="705"/>
      <c r="DG351" s="765">
        <f t="shared" si="899"/>
        <v>46082</v>
      </c>
      <c r="DH351" s="1116">
        <f t="shared" si="808"/>
        <v>28</v>
      </c>
      <c r="DI351" s="497"/>
      <c r="DJ351" s="1117">
        <f t="shared" si="869"/>
        <v>46147</v>
      </c>
      <c r="DK351" s="1116">
        <f t="shared" si="870"/>
        <v>30</v>
      </c>
      <c r="DL351" s="766" t="s">
        <v>813</v>
      </c>
      <c r="DM351" s="766" t="s">
        <v>234</v>
      </c>
      <c r="DN351" s="767">
        <f t="shared" si="809"/>
        <v>42060.541782579261</v>
      </c>
      <c r="DO351" s="767">
        <f t="shared" si="810"/>
        <v>925331.91921674379</v>
      </c>
      <c r="DP351" s="768">
        <f t="shared" si="811"/>
        <v>0.30844397307224791</v>
      </c>
      <c r="DR351" s="767">
        <f t="shared" si="812"/>
        <v>4341689.5930509921</v>
      </c>
      <c r="DS351" s="767">
        <f>SUM('[6]INTERNAL PRICELIST'!M351)</f>
        <v>0</v>
      </c>
      <c r="DT351" s="767">
        <f t="shared" si="871"/>
        <v>4341689.5930509921</v>
      </c>
      <c r="DV351" s="951">
        <f t="shared" si="813"/>
        <v>197349.52695686326</v>
      </c>
      <c r="DX351" s="781"/>
      <c r="DY351" s="782"/>
      <c r="DZ351" s="781"/>
      <c r="EA351" s="775"/>
      <c r="ED351" s="755" t="s">
        <v>816</v>
      </c>
      <c r="EE351" s="777" t="b">
        <f t="shared" si="814"/>
        <v>1</v>
      </c>
      <c r="EF351" s="777"/>
      <c r="EG351" s="777"/>
      <c r="EH351" s="1203"/>
      <c r="EP351" s="1230" t="s">
        <v>258</v>
      </c>
      <c r="EQ351" s="1145" t="s">
        <v>258</v>
      </c>
      <c r="ER351" s="753" t="b">
        <f t="shared" si="872"/>
        <v>1</v>
      </c>
      <c r="EU351" s="770">
        <v>3457426.8674007286</v>
      </c>
      <c r="EV351" s="771" t="s">
        <v>258</v>
      </c>
      <c r="EW351" s="775">
        <f t="shared" si="774"/>
        <v>-884262.72565026348</v>
      </c>
      <c r="EY351" s="775">
        <v>3421168.9389577992</v>
      </c>
      <c r="FJ351" s="994">
        <v>0.15</v>
      </c>
      <c r="FK351" s="993">
        <v>14908.389673312213</v>
      </c>
      <c r="FL351" s="993">
        <v>15311.319123942272</v>
      </c>
      <c r="FM351" s="497"/>
      <c r="FN351" s="993">
        <f t="shared" si="815"/>
        <v>4895255.0161649939</v>
      </c>
      <c r="FO351" s="994">
        <f t="shared" si="913"/>
        <v>0.15</v>
      </c>
      <c r="FP351" s="775">
        <f t="shared" si="816"/>
        <v>734288.25242474908</v>
      </c>
      <c r="FQ351" s="993">
        <f t="shared" si="817"/>
        <v>30000</v>
      </c>
      <c r="FR351" s="775">
        <f t="shared" si="874"/>
        <v>704288.25242474908</v>
      </c>
      <c r="FS351" s="497">
        <f t="shared" si="875"/>
        <v>40</v>
      </c>
      <c r="FT351" s="775">
        <f t="shared" si="876"/>
        <v>17607.206310618727</v>
      </c>
      <c r="FU351" s="497"/>
      <c r="FV351" s="993">
        <f t="shared" si="877"/>
        <v>4895255.0161649939</v>
      </c>
      <c r="FW351" s="705">
        <f t="shared" si="878"/>
        <v>489525.50161649939</v>
      </c>
      <c r="FX351" s="705">
        <f t="shared" si="879"/>
        <v>122381.37540412485</v>
      </c>
      <c r="FY351" s="705">
        <v>15000</v>
      </c>
      <c r="FZ351" s="705">
        <f t="shared" si="880"/>
        <v>474525.50161649939</v>
      </c>
      <c r="GA351" s="497">
        <f t="shared" si="881"/>
        <v>46</v>
      </c>
      <c r="GB351" s="775">
        <f t="shared" si="882"/>
        <v>10315.771774271725</v>
      </c>
      <c r="GC351" s="497"/>
      <c r="GD351" s="497"/>
      <c r="GH351" s="1095">
        <f t="shared" si="782"/>
        <v>4895255.0161649939</v>
      </c>
      <c r="GI351" s="1098">
        <f t="shared" si="783"/>
        <v>0.125</v>
      </c>
      <c r="GJ351" s="1095">
        <f t="shared" si="784"/>
        <v>611906.87702062423</v>
      </c>
      <c r="GK351" s="1095">
        <f t="shared" si="785"/>
        <v>30000</v>
      </c>
      <c r="GL351" s="1095">
        <f t="shared" si="786"/>
        <v>581906.87702062423</v>
      </c>
      <c r="GM351" s="1095">
        <f t="shared" si="787"/>
        <v>32</v>
      </c>
      <c r="GN351" s="1095">
        <f t="shared" si="788"/>
        <v>18184.589906894507</v>
      </c>
      <c r="GO351" s="1098">
        <f t="shared" si="789"/>
        <v>0.875</v>
      </c>
      <c r="GP351" s="1095">
        <f t="shared" si="790"/>
        <v>4283348.1391443694</v>
      </c>
      <c r="GQ351" s="1095">
        <f t="shared" si="791"/>
        <v>33208.752531637168</v>
      </c>
      <c r="GR351" s="1095">
        <f t="shared" si="792"/>
        <v>38499.944013660948</v>
      </c>
      <c r="GS351" s="1095">
        <f t="shared" si="793"/>
        <v>49733.303839997599</v>
      </c>
      <c r="GT351" s="1095">
        <f t="shared" si="794"/>
        <v>84815.426920634389</v>
      </c>
      <c r="GU351" s="497"/>
      <c r="GV351" s="1095">
        <f t="shared" si="883"/>
        <v>4895255.0161649939</v>
      </c>
      <c r="GW351" s="1098">
        <f t="shared" si="884"/>
        <v>0.125</v>
      </c>
      <c r="GX351" s="1095">
        <f t="shared" si="885"/>
        <v>611906.87702062423</v>
      </c>
      <c r="GY351" s="1095">
        <f t="shared" si="886"/>
        <v>30000</v>
      </c>
      <c r="GZ351" s="1095">
        <f t="shared" si="887"/>
        <v>581906.87702062423</v>
      </c>
      <c r="HA351" s="1106">
        <f t="shared" si="888"/>
        <v>48</v>
      </c>
      <c r="HB351" s="770">
        <f t="shared" si="889"/>
        <v>12123.059937929671</v>
      </c>
      <c r="HC351" s="1098">
        <f t="shared" si="890"/>
        <v>0.875</v>
      </c>
      <c r="HD351" s="1102">
        <f t="shared" si="891"/>
        <v>4283348.1391443694</v>
      </c>
      <c r="HE351" s="1101">
        <f t="shared" si="892"/>
        <v>33208.752531637168</v>
      </c>
      <c r="HF351" s="1101">
        <f t="shared" si="893"/>
        <v>38499.944013660948</v>
      </c>
      <c r="HG351" s="1101">
        <f t="shared" si="894"/>
        <v>49733.303839997599</v>
      </c>
      <c r="HH351" s="1101">
        <f t="shared" si="895"/>
        <v>84815.426920634389</v>
      </c>
      <c r="HI351" s="497"/>
      <c r="HJ351" s="1102">
        <f t="shared" si="896"/>
        <v>-6061.5299689648364</v>
      </c>
      <c r="HL351" s="775"/>
      <c r="HN351" s="775"/>
      <c r="HO351" s="775"/>
      <c r="HQ351" s="702"/>
      <c r="HR351" s="1171"/>
      <c r="HS351" s="702"/>
      <c r="HT351" s="1171"/>
    </row>
    <row r="352" spans="1:228" ht="14.25" hidden="1" customHeight="1">
      <c r="A352" s="753">
        <f t="shared" si="897"/>
        <v>346</v>
      </c>
      <c r="B352" s="753"/>
      <c r="C352" s="753">
        <f t="shared" si="911"/>
        <v>5</v>
      </c>
      <c r="D352" s="753" t="s">
        <v>292</v>
      </c>
      <c r="E352" s="717" t="s">
        <v>297</v>
      </c>
      <c r="F352" s="754"/>
      <c r="G352" s="756" t="s">
        <v>817</v>
      </c>
      <c r="H352" s="756"/>
      <c r="I352" s="755" t="s">
        <v>229</v>
      </c>
      <c r="J352" s="757">
        <v>22</v>
      </c>
      <c r="K352" s="758"/>
      <c r="L352" s="759" t="s">
        <v>69</v>
      </c>
      <c r="M352" s="760" t="s">
        <v>68</v>
      </c>
      <c r="N352" s="761">
        <f t="shared" si="818"/>
        <v>106005.26567735759</v>
      </c>
      <c r="O352" s="762">
        <f t="shared" si="819"/>
        <v>2332115.8449018667</v>
      </c>
      <c r="P352" s="762">
        <f t="shared" si="820"/>
        <v>22400</v>
      </c>
      <c r="Q352" s="762">
        <f t="shared" si="795"/>
        <v>50000</v>
      </c>
      <c r="R352" s="762"/>
      <c r="S352" s="762">
        <f t="shared" si="910"/>
        <v>176000</v>
      </c>
      <c r="T352" s="762"/>
      <c r="U352" s="762"/>
      <c r="V352" s="762"/>
      <c r="W352" s="762"/>
      <c r="X352" s="762"/>
      <c r="Y352" s="762">
        <f t="shared" si="912"/>
        <v>200000</v>
      </c>
      <c r="Z352" s="762">
        <f t="shared" si="796"/>
        <v>142461</v>
      </c>
      <c r="AA352" s="762"/>
      <c r="AB352" s="762"/>
      <c r="AC352" s="762"/>
      <c r="AD352" s="763">
        <f t="shared" si="821"/>
        <v>590861</v>
      </c>
      <c r="AE352" s="763">
        <f t="shared" si="797"/>
        <v>2922976.8449018667</v>
      </c>
      <c r="AF352" s="762">
        <f t="shared" si="798"/>
        <v>73074.421122546672</v>
      </c>
      <c r="AG352" s="762">
        <f t="shared" si="822"/>
        <v>2996051.2660244135</v>
      </c>
      <c r="AH352" s="762">
        <f t="shared" si="799"/>
        <v>74901.281650610341</v>
      </c>
      <c r="AI352" s="762">
        <f t="shared" si="823"/>
        <v>3070952.5476750238</v>
      </c>
      <c r="AJ352" s="762">
        <f t="shared" si="824"/>
        <v>153547.62738375118</v>
      </c>
      <c r="AK352" s="762">
        <f t="shared" si="825"/>
        <v>3224500.1750587751</v>
      </c>
      <c r="AL352" s="762">
        <f t="shared" si="826"/>
        <v>32245.001750587751</v>
      </c>
      <c r="AM352" s="762">
        <f t="shared" si="827"/>
        <v>27537.409960060559</v>
      </c>
      <c r="AN352" s="762"/>
      <c r="AO352" s="763">
        <f t="shared" si="828"/>
        <v>3284282.5867694234</v>
      </c>
      <c r="AP352" s="763">
        <f t="shared" si="829"/>
        <v>541906.62681695493</v>
      </c>
      <c r="AQ352" s="763">
        <f t="shared" si="830"/>
        <v>3826189.2135863784</v>
      </c>
      <c r="AR352" s="1178">
        <f t="shared" si="800"/>
        <v>3000000</v>
      </c>
      <c r="AS352" s="1178">
        <f t="shared" si="831"/>
        <v>37554.055163017198</v>
      </c>
      <c r="AT352" s="1178">
        <f t="shared" si="832"/>
        <v>826189.21358637838</v>
      </c>
      <c r="AU352" s="1178">
        <f t="shared" si="801"/>
        <v>99142.705630365395</v>
      </c>
      <c r="AV352" s="1178">
        <f t="shared" si="833"/>
        <v>925331.91921674379</v>
      </c>
      <c r="AW352" s="1178">
        <f t="shared" si="834"/>
        <v>3925331.9192167437</v>
      </c>
      <c r="AX352" s="762">
        <f t="shared" si="835"/>
        <v>49066.648990209302</v>
      </c>
      <c r="AY352" s="717" t="s">
        <v>231</v>
      </c>
      <c r="AZ352" s="717">
        <f t="shared" si="836"/>
        <v>3974398.5682069529</v>
      </c>
      <c r="BA352" s="717">
        <f t="shared" si="837"/>
        <v>149039.94630776072</v>
      </c>
      <c r="BB352" s="717"/>
      <c r="BC352" s="717">
        <f t="shared" si="802"/>
        <v>33600</v>
      </c>
      <c r="BD352" s="717">
        <f t="shared" si="838"/>
        <v>4157038.5145147135</v>
      </c>
      <c r="BE352" s="717"/>
      <c r="BF352" s="717">
        <f t="shared" si="839"/>
        <v>4157038.5145147135</v>
      </c>
      <c r="BG352" s="1209"/>
      <c r="BH352" s="717">
        <f t="shared" si="840"/>
        <v>4157038.5145147135</v>
      </c>
      <c r="BI352" s="717"/>
      <c r="BJ352" s="717">
        <f t="shared" si="841"/>
        <v>4157038.5145147135</v>
      </c>
      <c r="BK352" s="717"/>
      <c r="BL352" s="717">
        <f t="shared" si="842"/>
        <v>4157038.5145147135</v>
      </c>
      <c r="BM352" s="717"/>
      <c r="BN352" s="717">
        <f t="shared" si="843"/>
        <v>4157038.5145147135</v>
      </c>
      <c r="BO352" s="717"/>
      <c r="BP352" s="717">
        <f t="shared" si="803"/>
        <v>4157038.5145147135</v>
      </c>
      <c r="BQ352" s="717"/>
      <c r="BR352" s="717">
        <f t="shared" si="903"/>
        <v>4157038.5145147135</v>
      </c>
      <c r="BS352" s="717"/>
      <c r="BT352" s="717">
        <f t="shared" si="844"/>
        <v>4157038.5145147135</v>
      </c>
      <c r="BU352" s="717"/>
      <c r="BV352" s="1235">
        <f t="shared" si="904"/>
        <v>51400</v>
      </c>
      <c r="BW352" s="717">
        <f t="shared" si="845"/>
        <v>4208438.5145147135</v>
      </c>
      <c r="BX352" s="717"/>
      <c r="BY352" s="717">
        <f t="shared" si="846"/>
        <v>4208438.5145147135</v>
      </c>
      <c r="BZ352" s="1194">
        <f t="shared" si="847"/>
        <v>4208438.5145147135</v>
      </c>
      <c r="CA352" s="1194">
        <f t="shared" si="848"/>
        <v>3636438.5145147135</v>
      </c>
      <c r="CB352" s="1194">
        <v>26000</v>
      </c>
      <c r="CC352" s="1194">
        <f t="shared" si="849"/>
        <v>572000</v>
      </c>
      <c r="CD352" s="1194">
        <f t="shared" si="850"/>
        <v>68640</v>
      </c>
      <c r="CE352" s="1194">
        <f t="shared" si="851"/>
        <v>640640</v>
      </c>
      <c r="CF352" s="1200">
        <f t="shared" si="852"/>
        <v>4277078.5145147135</v>
      </c>
      <c r="CG352" s="757">
        <f t="shared" si="853"/>
        <v>4277078.5145147135</v>
      </c>
      <c r="CH352" s="758">
        <f t="shared" si="854"/>
        <v>436372.62174176559</v>
      </c>
      <c r="CI352" s="757">
        <f t="shared" si="804"/>
        <v>438400.54773775814</v>
      </c>
      <c r="CJ352" s="757">
        <f t="shared" si="805"/>
        <v>106926.96286286785</v>
      </c>
      <c r="CK352" s="759">
        <f t="shared" si="747"/>
        <v>5258778.6468571052</v>
      </c>
      <c r="CL352" s="764">
        <f t="shared" si="855"/>
        <v>0.125</v>
      </c>
      <c r="CM352" s="757">
        <f t="shared" si="856"/>
        <v>657347.33085713815</v>
      </c>
      <c r="CN352" s="757">
        <f t="shared" si="898"/>
        <v>30000</v>
      </c>
      <c r="CO352" s="757">
        <f t="shared" si="857"/>
        <v>627347.33085713815</v>
      </c>
      <c r="CP352" s="755">
        <f t="shared" si="858"/>
        <v>32</v>
      </c>
      <c r="CQ352" s="757">
        <f t="shared" si="901"/>
        <v>19604.604089285567</v>
      </c>
      <c r="CR352" s="764">
        <f t="shared" si="859"/>
        <v>0.875</v>
      </c>
      <c r="CS352" s="757">
        <f t="shared" si="860"/>
        <v>4601431.315999967</v>
      </c>
      <c r="CT352" s="1101">
        <f t="shared" si="861"/>
        <v>35674.84801618132</v>
      </c>
      <c r="CU352" s="1101">
        <f t="shared" si="862"/>
        <v>41358.965532064583</v>
      </c>
      <c r="CV352" s="1101">
        <f t="shared" si="863"/>
        <v>53426.519232970808</v>
      </c>
      <c r="CW352" s="1141">
        <f t="shared" si="806"/>
        <v>91113.855057897192</v>
      </c>
      <c r="CX352" s="1152">
        <f t="shared" si="864"/>
        <v>373788.89151384996</v>
      </c>
      <c r="CY352" s="1152">
        <f t="shared" si="865"/>
        <v>147906.44354180046</v>
      </c>
      <c r="CZ352" s="1152">
        <f t="shared" si="866"/>
        <v>106830.72934249975</v>
      </c>
      <c r="DA352" s="1152">
        <f t="shared" si="867"/>
        <v>81303.103262405057</v>
      </c>
      <c r="DB352" s="1143">
        <f t="shared" si="807"/>
        <v>0.27539640452879277</v>
      </c>
      <c r="DC352" s="1143">
        <f t="shared" si="868"/>
        <v>0.17617237234808411</v>
      </c>
      <c r="DD352" s="1098" t="s">
        <v>812</v>
      </c>
      <c r="DE352" s="1144"/>
      <c r="DF352" s="705"/>
      <c r="DG352" s="765">
        <f t="shared" si="899"/>
        <v>46082</v>
      </c>
      <c r="DH352" s="1116">
        <f t="shared" si="808"/>
        <v>28</v>
      </c>
      <c r="DI352" s="497"/>
      <c r="DJ352" s="1117">
        <f t="shared" si="869"/>
        <v>46147</v>
      </c>
      <c r="DK352" s="1116">
        <f t="shared" si="870"/>
        <v>30</v>
      </c>
      <c r="DL352" s="766" t="s">
        <v>813</v>
      </c>
      <c r="DM352" s="766" t="s">
        <v>234</v>
      </c>
      <c r="DN352" s="767">
        <f t="shared" si="809"/>
        <v>42060.541782579261</v>
      </c>
      <c r="DO352" s="767">
        <f t="shared" si="810"/>
        <v>925331.91921674379</v>
      </c>
      <c r="DP352" s="768">
        <f t="shared" si="811"/>
        <v>0.30844397307224791</v>
      </c>
      <c r="DR352" s="767">
        <f t="shared" si="812"/>
        <v>4277078.5145147135</v>
      </c>
      <c r="DS352" s="767">
        <f>SUM('[6]INTERNAL PRICELIST'!M352)</f>
        <v>0</v>
      </c>
      <c r="DT352" s="767">
        <f t="shared" si="871"/>
        <v>4277078.5145147135</v>
      </c>
      <c r="DV352" s="951">
        <f t="shared" si="813"/>
        <v>194412.6597506688</v>
      </c>
      <c r="DX352" s="781"/>
      <c r="DY352" s="782"/>
      <c r="DZ352" s="781"/>
      <c r="EA352" s="775"/>
      <c r="ED352" s="755" t="s">
        <v>817</v>
      </c>
      <c r="EE352" s="777" t="b">
        <f t="shared" si="814"/>
        <v>1</v>
      </c>
      <c r="EF352" s="777"/>
      <c r="EG352" s="777"/>
      <c r="EH352" s="1203"/>
      <c r="EP352" s="1230" t="s">
        <v>236</v>
      </c>
      <c r="EQ352" s="1145" t="s">
        <v>236</v>
      </c>
      <c r="ER352" s="753" t="b">
        <f t="shared" si="872"/>
        <v>1</v>
      </c>
      <c r="EU352" s="770">
        <v>3457426.8674007286</v>
      </c>
      <c r="EV352" s="771" t="s">
        <v>258</v>
      </c>
      <c r="EW352" s="775">
        <f t="shared" ref="EW352:EW370" si="914">EU352-CG352</f>
        <v>-819651.64711398492</v>
      </c>
      <c r="EY352" s="775">
        <v>3421168.9389577992</v>
      </c>
      <c r="FJ352" s="994">
        <v>0.15</v>
      </c>
      <c r="FK352" s="993">
        <v>14908.389673312213</v>
      </c>
      <c r="FL352" s="993">
        <v>15311.319123942272</v>
      </c>
      <c r="FM352" s="497"/>
      <c r="FN352" s="993">
        <f t="shared" si="815"/>
        <v>5258778.6468571052</v>
      </c>
      <c r="FO352" s="994">
        <f t="shared" si="913"/>
        <v>0.15</v>
      </c>
      <c r="FP352" s="775">
        <f t="shared" si="816"/>
        <v>788816.79702856578</v>
      </c>
      <c r="FQ352" s="993">
        <f t="shared" si="817"/>
        <v>30000</v>
      </c>
      <c r="FR352" s="775">
        <f t="shared" si="874"/>
        <v>758816.79702856578</v>
      </c>
      <c r="FS352" s="497">
        <f t="shared" si="875"/>
        <v>40</v>
      </c>
      <c r="FT352" s="775">
        <f t="shared" si="876"/>
        <v>18970.419925714144</v>
      </c>
      <c r="FU352" s="497"/>
      <c r="FV352" s="993">
        <f t="shared" si="877"/>
        <v>5258778.6468571052</v>
      </c>
      <c r="FW352" s="705">
        <f t="shared" si="878"/>
        <v>525877.86468571052</v>
      </c>
      <c r="FX352" s="705">
        <f t="shared" si="879"/>
        <v>131469.46617142763</v>
      </c>
      <c r="FY352" s="705">
        <v>15000</v>
      </c>
      <c r="FZ352" s="705">
        <f t="shared" si="880"/>
        <v>510877.86468571052</v>
      </c>
      <c r="GA352" s="497">
        <f t="shared" si="881"/>
        <v>46</v>
      </c>
      <c r="GB352" s="775">
        <f t="shared" si="882"/>
        <v>11106.040536645882</v>
      </c>
      <c r="GC352" s="497"/>
      <c r="GD352" s="497"/>
      <c r="GH352" s="1095">
        <f t="shared" si="782"/>
        <v>5258778.6468571052</v>
      </c>
      <c r="GI352" s="1098">
        <f t="shared" si="783"/>
        <v>0.125</v>
      </c>
      <c r="GJ352" s="1095">
        <f t="shared" si="784"/>
        <v>657347.33085713815</v>
      </c>
      <c r="GK352" s="1095">
        <f t="shared" si="785"/>
        <v>30000</v>
      </c>
      <c r="GL352" s="1095">
        <f t="shared" si="786"/>
        <v>627347.33085713815</v>
      </c>
      <c r="GM352" s="1095">
        <f t="shared" si="787"/>
        <v>32</v>
      </c>
      <c r="GN352" s="1095">
        <f t="shared" si="788"/>
        <v>19604.604089285567</v>
      </c>
      <c r="GO352" s="1098">
        <f t="shared" si="789"/>
        <v>0.875</v>
      </c>
      <c r="GP352" s="1095">
        <f t="shared" si="790"/>
        <v>4601431.315999967</v>
      </c>
      <c r="GQ352" s="1095">
        <f t="shared" si="791"/>
        <v>35674.84801618132</v>
      </c>
      <c r="GR352" s="1095">
        <f t="shared" si="792"/>
        <v>41358.965532064583</v>
      </c>
      <c r="GS352" s="1095">
        <f t="shared" si="793"/>
        <v>53426.519232970808</v>
      </c>
      <c r="GT352" s="1095">
        <f t="shared" si="794"/>
        <v>91113.855057897192</v>
      </c>
      <c r="GU352" s="497"/>
      <c r="GV352" s="1095">
        <f t="shared" si="883"/>
        <v>5258778.6468571052</v>
      </c>
      <c r="GW352" s="1098">
        <f t="shared" si="884"/>
        <v>0.125</v>
      </c>
      <c r="GX352" s="1095">
        <f t="shared" si="885"/>
        <v>657347.33085713815</v>
      </c>
      <c r="GY352" s="1095">
        <f t="shared" si="886"/>
        <v>30000</v>
      </c>
      <c r="GZ352" s="1095">
        <f t="shared" si="887"/>
        <v>627347.33085713815</v>
      </c>
      <c r="HA352" s="1106">
        <f t="shared" si="888"/>
        <v>48</v>
      </c>
      <c r="HB352" s="770">
        <f t="shared" si="889"/>
        <v>13069.736059523711</v>
      </c>
      <c r="HC352" s="1098">
        <f t="shared" si="890"/>
        <v>0.875</v>
      </c>
      <c r="HD352" s="1102">
        <f t="shared" si="891"/>
        <v>4601431.315999967</v>
      </c>
      <c r="HE352" s="1101">
        <f t="shared" si="892"/>
        <v>35674.84801618132</v>
      </c>
      <c r="HF352" s="1101">
        <f t="shared" si="893"/>
        <v>41358.965532064583</v>
      </c>
      <c r="HG352" s="1101">
        <f t="shared" si="894"/>
        <v>53426.519232970808</v>
      </c>
      <c r="HH352" s="1101">
        <f t="shared" si="895"/>
        <v>91113.855057897192</v>
      </c>
      <c r="HI352" s="497"/>
      <c r="HJ352" s="1102">
        <f t="shared" si="896"/>
        <v>-6534.8680297618557</v>
      </c>
      <c r="HL352" s="775"/>
      <c r="HN352" s="775"/>
      <c r="HO352" s="775"/>
      <c r="HQ352" s="702"/>
      <c r="HR352" s="1171"/>
      <c r="HS352" s="702"/>
      <c r="HT352" s="1171"/>
    </row>
    <row r="353" spans="1:228" ht="14.25" hidden="1" customHeight="1">
      <c r="A353" s="753">
        <f t="shared" si="897"/>
        <v>347</v>
      </c>
      <c r="B353" s="753"/>
      <c r="C353" s="753">
        <f t="shared" si="911"/>
        <v>6</v>
      </c>
      <c r="D353" s="753" t="s">
        <v>292</v>
      </c>
      <c r="E353" s="717" t="s">
        <v>297</v>
      </c>
      <c r="F353" s="754"/>
      <c r="G353" s="756" t="s">
        <v>818</v>
      </c>
      <c r="H353" s="756"/>
      <c r="I353" s="755" t="s">
        <v>229</v>
      </c>
      <c r="J353" s="757">
        <v>22</v>
      </c>
      <c r="K353" s="758"/>
      <c r="L353" s="759" t="s">
        <v>69</v>
      </c>
      <c r="M353" s="760" t="s">
        <v>68</v>
      </c>
      <c r="N353" s="761">
        <f t="shared" si="818"/>
        <v>106005.26567735759</v>
      </c>
      <c r="O353" s="762">
        <f t="shared" si="819"/>
        <v>2332115.8449018667</v>
      </c>
      <c r="P353" s="762">
        <f t="shared" si="820"/>
        <v>22400</v>
      </c>
      <c r="Q353" s="762">
        <f t="shared" si="795"/>
        <v>50000</v>
      </c>
      <c r="R353" s="762"/>
      <c r="S353" s="762">
        <f t="shared" si="910"/>
        <v>176000</v>
      </c>
      <c r="T353" s="762"/>
      <c r="U353" s="762"/>
      <c r="V353" s="762"/>
      <c r="W353" s="762"/>
      <c r="X353" s="762"/>
      <c r="Y353" s="762">
        <f t="shared" si="912"/>
        <v>200000</v>
      </c>
      <c r="Z353" s="762">
        <f t="shared" si="796"/>
        <v>142461</v>
      </c>
      <c r="AA353" s="762"/>
      <c r="AB353" s="762"/>
      <c r="AC353" s="762"/>
      <c r="AD353" s="763">
        <f t="shared" si="821"/>
        <v>590861</v>
      </c>
      <c r="AE353" s="763">
        <f t="shared" si="797"/>
        <v>2922976.8449018667</v>
      </c>
      <c r="AF353" s="762">
        <f t="shared" si="798"/>
        <v>73074.421122546672</v>
      </c>
      <c r="AG353" s="762">
        <f t="shared" si="822"/>
        <v>2996051.2660244135</v>
      </c>
      <c r="AH353" s="762">
        <f t="shared" si="799"/>
        <v>74901.281650610341</v>
      </c>
      <c r="AI353" s="762">
        <f t="shared" si="823"/>
        <v>3070952.5476750238</v>
      </c>
      <c r="AJ353" s="762">
        <f t="shared" si="824"/>
        <v>153547.62738375118</v>
      </c>
      <c r="AK353" s="762">
        <f t="shared" si="825"/>
        <v>3224500.1750587751</v>
      </c>
      <c r="AL353" s="762">
        <f t="shared" si="826"/>
        <v>32245.001750587751</v>
      </c>
      <c r="AM353" s="762">
        <f t="shared" si="827"/>
        <v>27537.409960060559</v>
      </c>
      <c r="AN353" s="762"/>
      <c r="AO353" s="763">
        <f t="shared" si="828"/>
        <v>3284282.5867694234</v>
      </c>
      <c r="AP353" s="763">
        <f t="shared" si="829"/>
        <v>541906.62681695493</v>
      </c>
      <c r="AQ353" s="763">
        <f t="shared" si="830"/>
        <v>3826189.2135863784</v>
      </c>
      <c r="AR353" s="1178">
        <f t="shared" si="800"/>
        <v>3000000</v>
      </c>
      <c r="AS353" s="1178">
        <f t="shared" si="831"/>
        <v>37554.055163017198</v>
      </c>
      <c r="AT353" s="1178">
        <f t="shared" si="832"/>
        <v>826189.21358637838</v>
      </c>
      <c r="AU353" s="1178">
        <f t="shared" si="801"/>
        <v>99142.705630365395</v>
      </c>
      <c r="AV353" s="1178">
        <f t="shared" si="833"/>
        <v>925331.91921674379</v>
      </c>
      <c r="AW353" s="1178">
        <f t="shared" si="834"/>
        <v>3925331.9192167437</v>
      </c>
      <c r="AX353" s="762">
        <f t="shared" si="835"/>
        <v>49066.648990209302</v>
      </c>
      <c r="AY353" s="717" t="s">
        <v>231</v>
      </c>
      <c r="AZ353" s="717">
        <f t="shared" si="836"/>
        <v>3974398.5682069529</v>
      </c>
      <c r="BA353" s="717">
        <f t="shared" si="837"/>
        <v>149039.94630776072</v>
      </c>
      <c r="BB353" s="717"/>
      <c r="BC353" s="717">
        <f t="shared" si="802"/>
        <v>33600</v>
      </c>
      <c r="BD353" s="717">
        <f t="shared" si="838"/>
        <v>4157038.5145147135</v>
      </c>
      <c r="BE353" s="717"/>
      <c r="BF353" s="717">
        <f t="shared" si="839"/>
        <v>4157038.5145147135</v>
      </c>
      <c r="BG353" s="1209"/>
      <c r="BH353" s="717">
        <f t="shared" si="840"/>
        <v>4157038.5145147135</v>
      </c>
      <c r="BI353" s="717"/>
      <c r="BJ353" s="717">
        <f t="shared" si="841"/>
        <v>4157038.5145147135</v>
      </c>
      <c r="BK353" s="717"/>
      <c r="BL353" s="717">
        <f t="shared" si="842"/>
        <v>4157038.5145147135</v>
      </c>
      <c r="BM353" s="717"/>
      <c r="BN353" s="717">
        <f t="shared" si="843"/>
        <v>4157038.5145147135</v>
      </c>
      <c r="BO353" s="717"/>
      <c r="BP353" s="717">
        <f t="shared" si="803"/>
        <v>4157038.5145147135</v>
      </c>
      <c r="BQ353" s="717"/>
      <c r="BR353" s="717">
        <f t="shared" si="903"/>
        <v>4157038.5145147135</v>
      </c>
      <c r="BS353" s="717"/>
      <c r="BT353" s="717">
        <f t="shared" si="844"/>
        <v>4157038.5145147135</v>
      </c>
      <c r="BU353" s="717"/>
      <c r="BV353" s="1235">
        <f t="shared" si="904"/>
        <v>51400</v>
      </c>
      <c r="BW353" s="717">
        <f t="shared" si="845"/>
        <v>4208438.5145147135</v>
      </c>
      <c r="BX353" s="717"/>
      <c r="BY353" s="717">
        <f t="shared" si="846"/>
        <v>4208438.5145147135</v>
      </c>
      <c r="BZ353" s="1194">
        <f t="shared" si="847"/>
        <v>4208438.5145147135</v>
      </c>
      <c r="CA353" s="1194">
        <f t="shared" si="848"/>
        <v>3636438.5145147135</v>
      </c>
      <c r="CB353" s="1194">
        <v>26000</v>
      </c>
      <c r="CC353" s="1194">
        <f t="shared" si="849"/>
        <v>572000</v>
      </c>
      <c r="CD353" s="1194">
        <f t="shared" si="850"/>
        <v>68640</v>
      </c>
      <c r="CE353" s="1194">
        <f t="shared" si="851"/>
        <v>640640</v>
      </c>
      <c r="CF353" s="1200">
        <f t="shared" si="852"/>
        <v>4277078.5145147135</v>
      </c>
      <c r="CG353" s="757">
        <f t="shared" si="853"/>
        <v>4277078.5145147135</v>
      </c>
      <c r="CH353" s="758">
        <f t="shared" si="854"/>
        <v>436372.62174176559</v>
      </c>
      <c r="CI353" s="757">
        <f t="shared" si="804"/>
        <v>438400.54773775814</v>
      </c>
      <c r="CJ353" s="757">
        <f t="shared" si="805"/>
        <v>106926.96286286785</v>
      </c>
      <c r="CK353" s="759">
        <f t="shared" si="747"/>
        <v>5258778.6468571052</v>
      </c>
      <c r="CL353" s="764">
        <f t="shared" si="855"/>
        <v>0.125</v>
      </c>
      <c r="CM353" s="757">
        <f t="shared" si="856"/>
        <v>657347.33085713815</v>
      </c>
      <c r="CN353" s="757">
        <f t="shared" si="898"/>
        <v>30000</v>
      </c>
      <c r="CO353" s="757">
        <f t="shared" si="857"/>
        <v>627347.33085713815</v>
      </c>
      <c r="CP353" s="755">
        <f t="shared" si="858"/>
        <v>32</v>
      </c>
      <c r="CQ353" s="757">
        <f t="shared" si="901"/>
        <v>19604.604089285567</v>
      </c>
      <c r="CR353" s="764">
        <f t="shared" si="859"/>
        <v>0.875</v>
      </c>
      <c r="CS353" s="757">
        <f t="shared" si="860"/>
        <v>4601431.315999967</v>
      </c>
      <c r="CT353" s="1101">
        <f t="shared" si="861"/>
        <v>35674.84801618132</v>
      </c>
      <c r="CU353" s="1101">
        <f t="shared" si="862"/>
        <v>41358.965532064583</v>
      </c>
      <c r="CV353" s="1101">
        <f t="shared" si="863"/>
        <v>53426.519232970808</v>
      </c>
      <c r="CW353" s="1141">
        <f t="shared" si="806"/>
        <v>91113.855057897192</v>
      </c>
      <c r="CX353" s="1152">
        <f t="shared" si="864"/>
        <v>373788.89151384996</v>
      </c>
      <c r="CY353" s="1152">
        <f t="shared" si="865"/>
        <v>147906.44354180046</v>
      </c>
      <c r="CZ353" s="1152">
        <f t="shared" si="866"/>
        <v>106830.72934249975</v>
      </c>
      <c r="DA353" s="1152">
        <f t="shared" si="867"/>
        <v>81303.103262405057</v>
      </c>
      <c r="DB353" s="1143">
        <f t="shared" si="807"/>
        <v>0.27539640452879277</v>
      </c>
      <c r="DC353" s="1143">
        <f t="shared" si="868"/>
        <v>0.17617237234808411</v>
      </c>
      <c r="DD353" s="1098" t="s">
        <v>812</v>
      </c>
      <c r="DE353" s="1144"/>
      <c r="DF353" s="705"/>
      <c r="DG353" s="765">
        <f t="shared" si="899"/>
        <v>46082</v>
      </c>
      <c r="DH353" s="1116">
        <f t="shared" si="808"/>
        <v>28</v>
      </c>
      <c r="DI353" s="497"/>
      <c r="DJ353" s="1117">
        <f t="shared" si="869"/>
        <v>46147</v>
      </c>
      <c r="DK353" s="1116">
        <f t="shared" si="870"/>
        <v>30</v>
      </c>
      <c r="DL353" s="766" t="s">
        <v>813</v>
      </c>
      <c r="DM353" s="766" t="s">
        <v>234</v>
      </c>
      <c r="DN353" s="767">
        <f t="shared" si="809"/>
        <v>42060.541782579261</v>
      </c>
      <c r="DO353" s="767">
        <f t="shared" si="810"/>
        <v>925331.91921674379</v>
      </c>
      <c r="DP353" s="768">
        <f t="shared" si="811"/>
        <v>0.30844397307224791</v>
      </c>
      <c r="DR353" s="767">
        <f t="shared" si="812"/>
        <v>4277078.5145147135</v>
      </c>
      <c r="DS353" s="767">
        <f>SUM('[6]INTERNAL PRICELIST'!M353)</f>
        <v>0</v>
      </c>
      <c r="DT353" s="767">
        <f t="shared" si="871"/>
        <v>4277078.5145147135</v>
      </c>
      <c r="DV353" s="951">
        <f t="shared" si="813"/>
        <v>194412.6597506688</v>
      </c>
      <c r="DX353" s="781"/>
      <c r="DY353" s="782"/>
      <c r="DZ353" s="781"/>
      <c r="EA353" s="775"/>
      <c r="ED353" s="755" t="s">
        <v>818</v>
      </c>
      <c r="EE353" s="777" t="b">
        <f t="shared" si="814"/>
        <v>1</v>
      </c>
      <c r="EF353" s="777"/>
      <c r="EG353" s="777"/>
      <c r="EH353" s="1203"/>
      <c r="EP353" s="1230" t="s">
        <v>236</v>
      </c>
      <c r="EQ353" s="1145" t="s">
        <v>236</v>
      </c>
      <c r="ER353" s="753" t="b">
        <f t="shared" si="872"/>
        <v>1</v>
      </c>
      <c r="EU353" s="770">
        <v>3457426.8674007286</v>
      </c>
      <c r="EV353" s="771" t="s">
        <v>258</v>
      </c>
      <c r="EW353" s="775">
        <f t="shared" si="914"/>
        <v>-819651.64711398492</v>
      </c>
      <c r="EY353" s="775">
        <v>3421168.9389577992</v>
      </c>
      <c r="FJ353" s="994">
        <v>0.15</v>
      </c>
      <c r="FK353" s="993">
        <v>14908.389673312213</v>
      </c>
      <c r="FL353" s="993">
        <v>15311.319123942272</v>
      </c>
      <c r="FM353" s="497"/>
      <c r="FN353" s="993">
        <f t="shared" si="815"/>
        <v>5258778.6468571052</v>
      </c>
      <c r="FO353" s="994">
        <f t="shared" si="913"/>
        <v>0.15</v>
      </c>
      <c r="FP353" s="775">
        <f t="shared" si="816"/>
        <v>788816.79702856578</v>
      </c>
      <c r="FQ353" s="993">
        <f t="shared" si="817"/>
        <v>30000</v>
      </c>
      <c r="FR353" s="775">
        <f t="shared" si="874"/>
        <v>758816.79702856578</v>
      </c>
      <c r="FS353" s="497">
        <f t="shared" si="875"/>
        <v>40</v>
      </c>
      <c r="FT353" s="775">
        <f t="shared" si="876"/>
        <v>18970.419925714144</v>
      </c>
      <c r="FU353" s="497"/>
      <c r="FV353" s="993">
        <f t="shared" si="877"/>
        <v>5258778.6468571052</v>
      </c>
      <c r="FW353" s="705">
        <f t="shared" si="878"/>
        <v>525877.86468571052</v>
      </c>
      <c r="FX353" s="705">
        <f t="shared" si="879"/>
        <v>131469.46617142763</v>
      </c>
      <c r="FY353" s="705">
        <v>15000</v>
      </c>
      <c r="FZ353" s="705">
        <f t="shared" si="880"/>
        <v>510877.86468571052</v>
      </c>
      <c r="GA353" s="497">
        <f t="shared" si="881"/>
        <v>46</v>
      </c>
      <c r="GB353" s="775">
        <f t="shared" si="882"/>
        <v>11106.040536645882</v>
      </c>
      <c r="GC353" s="497"/>
      <c r="GD353" s="497"/>
      <c r="GH353" s="1095">
        <f t="shared" si="782"/>
        <v>5258778.6468571052</v>
      </c>
      <c r="GI353" s="1098">
        <f t="shared" si="783"/>
        <v>0.125</v>
      </c>
      <c r="GJ353" s="1095">
        <f t="shared" si="784"/>
        <v>657347.33085713815</v>
      </c>
      <c r="GK353" s="1095">
        <f t="shared" si="785"/>
        <v>30000</v>
      </c>
      <c r="GL353" s="1095">
        <f t="shared" si="786"/>
        <v>627347.33085713815</v>
      </c>
      <c r="GM353" s="1095">
        <f t="shared" si="787"/>
        <v>32</v>
      </c>
      <c r="GN353" s="1095">
        <f t="shared" si="788"/>
        <v>19604.604089285567</v>
      </c>
      <c r="GO353" s="1098">
        <f t="shared" si="789"/>
        <v>0.875</v>
      </c>
      <c r="GP353" s="1095">
        <f t="shared" si="790"/>
        <v>4601431.315999967</v>
      </c>
      <c r="GQ353" s="1095">
        <f t="shared" si="791"/>
        <v>35674.84801618132</v>
      </c>
      <c r="GR353" s="1095">
        <f t="shared" si="792"/>
        <v>41358.965532064583</v>
      </c>
      <c r="GS353" s="1095">
        <f t="shared" si="793"/>
        <v>53426.519232970808</v>
      </c>
      <c r="GT353" s="1095">
        <f t="shared" si="794"/>
        <v>91113.855057897192</v>
      </c>
      <c r="GU353" s="497"/>
      <c r="GV353" s="1095">
        <f t="shared" si="883"/>
        <v>5258778.6468571052</v>
      </c>
      <c r="GW353" s="1098">
        <f t="shared" si="884"/>
        <v>0.125</v>
      </c>
      <c r="GX353" s="1095">
        <f t="shared" si="885"/>
        <v>657347.33085713815</v>
      </c>
      <c r="GY353" s="1095">
        <f t="shared" si="886"/>
        <v>30000</v>
      </c>
      <c r="GZ353" s="1095">
        <f t="shared" si="887"/>
        <v>627347.33085713815</v>
      </c>
      <c r="HA353" s="1106">
        <f t="shared" si="888"/>
        <v>48</v>
      </c>
      <c r="HB353" s="770">
        <f t="shared" si="889"/>
        <v>13069.736059523711</v>
      </c>
      <c r="HC353" s="1098">
        <f t="shared" si="890"/>
        <v>0.875</v>
      </c>
      <c r="HD353" s="1102">
        <f t="shared" si="891"/>
        <v>4601431.315999967</v>
      </c>
      <c r="HE353" s="1101">
        <f t="shared" si="892"/>
        <v>35674.84801618132</v>
      </c>
      <c r="HF353" s="1101">
        <f t="shared" si="893"/>
        <v>41358.965532064583</v>
      </c>
      <c r="HG353" s="1101">
        <f t="shared" si="894"/>
        <v>53426.519232970808</v>
      </c>
      <c r="HH353" s="1101">
        <f t="shared" si="895"/>
        <v>91113.855057897192</v>
      </c>
      <c r="HI353" s="497"/>
      <c r="HJ353" s="1102">
        <f t="shared" si="896"/>
        <v>-6534.8680297618557</v>
      </c>
      <c r="HL353" s="775"/>
      <c r="HN353" s="775"/>
      <c r="HO353" s="775"/>
      <c r="HQ353" s="702"/>
      <c r="HR353" s="1171"/>
      <c r="HS353" s="702"/>
      <c r="HT353" s="1171"/>
    </row>
    <row r="354" spans="1:228" ht="14.25" customHeight="1">
      <c r="A354" s="753">
        <f t="shared" si="897"/>
        <v>348</v>
      </c>
      <c r="B354" s="753"/>
      <c r="C354" s="753">
        <f t="shared" si="911"/>
        <v>7</v>
      </c>
      <c r="D354" s="753" t="s">
        <v>292</v>
      </c>
      <c r="E354" s="717" t="s">
        <v>297</v>
      </c>
      <c r="F354" s="754"/>
      <c r="G354" s="756" t="s">
        <v>819</v>
      </c>
      <c r="H354" s="756"/>
      <c r="I354" s="755" t="s">
        <v>229</v>
      </c>
      <c r="J354" s="757">
        <v>22</v>
      </c>
      <c r="K354" s="758"/>
      <c r="L354" s="759" t="s">
        <v>69</v>
      </c>
      <c r="M354" s="760" t="s">
        <v>68</v>
      </c>
      <c r="N354" s="761">
        <f t="shared" si="818"/>
        <v>106005.26567735759</v>
      </c>
      <c r="O354" s="762">
        <f t="shared" si="819"/>
        <v>2332115.8449018667</v>
      </c>
      <c r="P354" s="762">
        <f t="shared" si="820"/>
        <v>22400</v>
      </c>
      <c r="Q354" s="762">
        <f t="shared" si="795"/>
        <v>50000</v>
      </c>
      <c r="R354" s="762"/>
      <c r="S354" s="762">
        <f t="shared" si="910"/>
        <v>176000</v>
      </c>
      <c r="T354" s="762"/>
      <c r="U354" s="762"/>
      <c r="V354" s="762"/>
      <c r="W354" s="762"/>
      <c r="X354" s="762"/>
      <c r="Y354" s="762">
        <f t="shared" si="912"/>
        <v>200000</v>
      </c>
      <c r="Z354" s="762">
        <f t="shared" si="796"/>
        <v>142461</v>
      </c>
      <c r="AA354" s="762"/>
      <c r="AB354" s="762"/>
      <c r="AC354" s="762"/>
      <c r="AD354" s="763">
        <f t="shared" si="821"/>
        <v>590861</v>
      </c>
      <c r="AE354" s="763">
        <f t="shared" si="797"/>
        <v>2922976.8449018667</v>
      </c>
      <c r="AF354" s="762">
        <f t="shared" si="798"/>
        <v>73074.421122546672</v>
      </c>
      <c r="AG354" s="762">
        <f t="shared" si="822"/>
        <v>2996051.2660244135</v>
      </c>
      <c r="AH354" s="762">
        <f t="shared" si="799"/>
        <v>74901.281650610341</v>
      </c>
      <c r="AI354" s="762">
        <f t="shared" si="823"/>
        <v>3070952.5476750238</v>
      </c>
      <c r="AJ354" s="762">
        <f t="shared" si="824"/>
        <v>153547.62738375118</v>
      </c>
      <c r="AK354" s="762">
        <f t="shared" si="825"/>
        <v>3224500.1750587751</v>
      </c>
      <c r="AL354" s="762">
        <f t="shared" si="826"/>
        <v>32245.001750587751</v>
      </c>
      <c r="AM354" s="762">
        <f t="shared" si="827"/>
        <v>27537.409960060559</v>
      </c>
      <c r="AN354" s="762"/>
      <c r="AO354" s="763">
        <f t="shared" si="828"/>
        <v>3284282.5867694234</v>
      </c>
      <c r="AP354" s="763">
        <f t="shared" si="829"/>
        <v>541906.62681695493</v>
      </c>
      <c r="AQ354" s="763">
        <f t="shared" si="830"/>
        <v>3826189.2135863784</v>
      </c>
      <c r="AR354" s="1178">
        <f t="shared" si="800"/>
        <v>3000000</v>
      </c>
      <c r="AS354" s="1178">
        <f t="shared" si="831"/>
        <v>37554.055163017198</v>
      </c>
      <c r="AT354" s="1178">
        <f t="shared" si="832"/>
        <v>826189.21358637838</v>
      </c>
      <c r="AU354" s="1178">
        <f t="shared" si="801"/>
        <v>99142.705630365395</v>
      </c>
      <c r="AV354" s="1178">
        <f t="shared" si="833"/>
        <v>925331.91921674379</v>
      </c>
      <c r="AW354" s="1178">
        <f t="shared" si="834"/>
        <v>3925331.9192167437</v>
      </c>
      <c r="AX354" s="762">
        <f t="shared" si="835"/>
        <v>49066.648990209302</v>
      </c>
      <c r="AY354" s="717" t="s">
        <v>231</v>
      </c>
      <c r="AZ354" s="717">
        <f t="shared" si="836"/>
        <v>3974398.5682069529</v>
      </c>
      <c r="BA354" s="717">
        <f t="shared" si="837"/>
        <v>149039.94630776072</v>
      </c>
      <c r="BB354" s="717"/>
      <c r="BC354" s="717">
        <f t="shared" si="802"/>
        <v>33600</v>
      </c>
      <c r="BD354" s="717">
        <f t="shared" si="838"/>
        <v>4157038.5145147135</v>
      </c>
      <c r="BE354" s="717"/>
      <c r="BF354" s="717">
        <f t="shared" si="839"/>
        <v>4157038.5145147135</v>
      </c>
      <c r="BG354" s="1209"/>
      <c r="BH354" s="717">
        <f t="shared" si="840"/>
        <v>4157038.5145147135</v>
      </c>
      <c r="BI354" s="717"/>
      <c r="BJ354" s="717">
        <f t="shared" si="841"/>
        <v>4157038.5145147135</v>
      </c>
      <c r="BK354" s="717"/>
      <c r="BL354" s="717">
        <f t="shared" si="842"/>
        <v>4157038.5145147135</v>
      </c>
      <c r="BM354" s="717"/>
      <c r="BN354" s="717">
        <f t="shared" si="843"/>
        <v>4157038.5145147135</v>
      </c>
      <c r="BO354" s="717"/>
      <c r="BP354" s="717">
        <f t="shared" si="803"/>
        <v>4157038.5145147135</v>
      </c>
      <c r="BQ354" s="717">
        <f t="shared" ref="BQ354:BQ355" si="915">$BQ$5/56</f>
        <v>4468.4242000000004</v>
      </c>
      <c r="BR354" s="717">
        <f t="shared" si="903"/>
        <v>4161506.9387147133</v>
      </c>
      <c r="BS354" s="1234">
        <f t="shared" ref="BS354:BS355" si="916">$BS$5/64</f>
        <v>2651.4786794501206</v>
      </c>
      <c r="BT354" s="1235">
        <f t="shared" si="844"/>
        <v>4164158.4173941636</v>
      </c>
      <c r="BU354" s="1235">
        <f t="shared" ref="BU354:BU355" si="917">$BU$5/65</f>
        <v>211.07692307692309</v>
      </c>
      <c r="BV354" s="1235">
        <f t="shared" si="904"/>
        <v>51400</v>
      </c>
      <c r="BW354" s="717">
        <f t="shared" si="845"/>
        <v>4215769.494317241</v>
      </c>
      <c r="BX354" s="1234">
        <f t="shared" si="908"/>
        <v>27651.078536278128</v>
      </c>
      <c r="BY354" s="717">
        <f t="shared" si="846"/>
        <v>4243420.5728535196</v>
      </c>
      <c r="BZ354" s="1194">
        <f t="shared" si="847"/>
        <v>4243420.5728535196</v>
      </c>
      <c r="CA354" s="1194">
        <f t="shared" si="848"/>
        <v>3363420.5728535196</v>
      </c>
      <c r="CB354" s="1194">
        <f t="shared" ref="CB354:CB355" si="918">$CB$5</f>
        <v>40000</v>
      </c>
      <c r="CC354" s="1194">
        <f t="shared" si="849"/>
        <v>880000</v>
      </c>
      <c r="CD354" s="1194">
        <f t="shared" si="850"/>
        <v>105600</v>
      </c>
      <c r="CE354" s="1194">
        <f t="shared" si="851"/>
        <v>985600</v>
      </c>
      <c r="CF354" s="1200">
        <f t="shared" si="852"/>
        <v>4349020.5728535196</v>
      </c>
      <c r="CG354" s="757">
        <f t="shared" si="853"/>
        <v>4349020.5728535196</v>
      </c>
      <c r="CH354" s="758">
        <f t="shared" si="854"/>
        <v>0</v>
      </c>
      <c r="CI354" s="757">
        <f t="shared" si="804"/>
        <v>445774.60871748574</v>
      </c>
      <c r="CJ354" s="757">
        <f t="shared" si="805"/>
        <v>108725.51432133799</v>
      </c>
      <c r="CK354" s="759">
        <f t="shared" si="747"/>
        <v>4903520.6958923433</v>
      </c>
      <c r="CL354" s="764">
        <f t="shared" si="855"/>
        <v>0.125</v>
      </c>
      <c r="CM354" s="757">
        <f t="shared" si="856"/>
        <v>612940.08698654291</v>
      </c>
      <c r="CN354" s="757">
        <f t="shared" si="898"/>
        <v>30000</v>
      </c>
      <c r="CO354" s="757">
        <f t="shared" si="857"/>
        <v>582940.08698654291</v>
      </c>
      <c r="CP354" s="755">
        <f t="shared" si="858"/>
        <v>32</v>
      </c>
      <c r="CQ354" s="757">
        <f t="shared" si="901"/>
        <v>18216.877718329466</v>
      </c>
      <c r="CR354" s="764">
        <f t="shared" si="859"/>
        <v>0.875</v>
      </c>
      <c r="CS354" s="757">
        <f t="shared" si="860"/>
        <v>4290580.6089058006</v>
      </c>
      <c r="CT354" s="1101">
        <f t="shared" si="861"/>
        <v>33264.825792716503</v>
      </c>
      <c r="CU354" s="1101">
        <f t="shared" si="862"/>
        <v>38564.951496557544</v>
      </c>
      <c r="CV354" s="1101">
        <f t="shared" si="863"/>
        <v>49817.278946497048</v>
      </c>
      <c r="CW354" s="1141">
        <f t="shared" si="806"/>
        <v>84958.638490317564</v>
      </c>
      <c r="CX354" s="1152">
        <f t="shared" si="864"/>
        <v>348537.50053317758</v>
      </c>
      <c r="CY354" s="1152">
        <f t="shared" si="865"/>
        <v>137914.59113733607</v>
      </c>
      <c r="CZ354" s="1152">
        <f t="shared" si="866"/>
        <v>99613.755867305139</v>
      </c>
      <c r="DA354" s="1152">
        <f t="shared" si="867"/>
        <v>75810.654195483279</v>
      </c>
      <c r="DB354" s="1143">
        <f t="shared" si="807"/>
        <v>0.27539640452879277</v>
      </c>
      <c r="DC354" s="1143">
        <f t="shared" si="868"/>
        <v>0.29303501558944761</v>
      </c>
      <c r="DD354" s="1098" t="s">
        <v>812</v>
      </c>
      <c r="DE354" s="1144"/>
      <c r="DF354" s="705"/>
      <c r="DG354" s="765">
        <f t="shared" si="899"/>
        <v>46082</v>
      </c>
      <c r="DH354" s="1116">
        <f t="shared" si="808"/>
        <v>28</v>
      </c>
      <c r="DI354" s="497"/>
      <c r="DJ354" s="1117">
        <f t="shared" si="869"/>
        <v>46147</v>
      </c>
      <c r="DK354" s="1116">
        <f t="shared" si="870"/>
        <v>30</v>
      </c>
      <c r="DL354" s="766" t="s">
        <v>813</v>
      </c>
      <c r="DM354" s="766" t="s">
        <v>234</v>
      </c>
      <c r="DN354" s="767">
        <f t="shared" si="809"/>
        <v>42060.541782579261</v>
      </c>
      <c r="DO354" s="767">
        <f t="shared" si="810"/>
        <v>925331.91921674379</v>
      </c>
      <c r="DP354" s="768">
        <f t="shared" si="811"/>
        <v>0.30844397307224791</v>
      </c>
      <c r="DR354" s="767">
        <f t="shared" si="812"/>
        <v>4349020.5728535196</v>
      </c>
      <c r="DS354" s="767">
        <f>SUM('[6]INTERNAL PRICELIST'!M354)</f>
        <v>0</v>
      </c>
      <c r="DT354" s="767">
        <f t="shared" si="871"/>
        <v>4349020.5728535196</v>
      </c>
      <c r="DV354" s="951">
        <f t="shared" si="813"/>
        <v>197682.75331152361</v>
      </c>
      <c r="DX354" s="781"/>
      <c r="DY354" s="782"/>
      <c r="DZ354" s="781"/>
      <c r="EA354" s="775"/>
      <c r="ED354" s="755" t="s">
        <v>819</v>
      </c>
      <c r="EE354" s="777" t="b">
        <f t="shared" si="814"/>
        <v>1</v>
      </c>
      <c r="EF354" s="777"/>
      <c r="EG354" s="777"/>
      <c r="EH354" s="1203"/>
      <c r="EP354" s="1230" t="s">
        <v>258</v>
      </c>
      <c r="EQ354" s="1145" t="s">
        <v>258</v>
      </c>
      <c r="ER354" s="753" t="b">
        <f t="shared" si="872"/>
        <v>1</v>
      </c>
      <c r="EU354" s="770">
        <v>3457426.8674007286</v>
      </c>
      <c r="EV354" s="771" t="s">
        <v>258</v>
      </c>
      <c r="EW354" s="775">
        <f t="shared" si="914"/>
        <v>-891593.70545279095</v>
      </c>
      <c r="EY354" s="775">
        <v>3421168.9389577992</v>
      </c>
      <c r="FJ354" s="994">
        <v>0.15</v>
      </c>
      <c r="FK354" s="993">
        <v>14908.389673312213</v>
      </c>
      <c r="FL354" s="993">
        <v>15311.319123942272</v>
      </c>
      <c r="FM354" s="497"/>
      <c r="FN354" s="993">
        <f t="shared" si="815"/>
        <v>4903520.6958923433</v>
      </c>
      <c r="FO354" s="994">
        <f t="shared" si="913"/>
        <v>0.15</v>
      </c>
      <c r="FP354" s="775">
        <f t="shared" si="816"/>
        <v>735528.10438385152</v>
      </c>
      <c r="FQ354" s="993">
        <f t="shared" si="817"/>
        <v>30000</v>
      </c>
      <c r="FR354" s="775">
        <f t="shared" si="874"/>
        <v>705528.10438385152</v>
      </c>
      <c r="FS354" s="497">
        <f t="shared" si="875"/>
        <v>40</v>
      </c>
      <c r="FT354" s="775">
        <f t="shared" si="876"/>
        <v>17638.202609596286</v>
      </c>
      <c r="FU354" s="497"/>
      <c r="FV354" s="993">
        <f t="shared" si="877"/>
        <v>4903520.6958923433</v>
      </c>
      <c r="FW354" s="705">
        <f t="shared" si="878"/>
        <v>490352.06958923436</v>
      </c>
      <c r="FX354" s="705">
        <f t="shared" si="879"/>
        <v>122588.01739730859</v>
      </c>
      <c r="FY354" s="705">
        <v>15000</v>
      </c>
      <c r="FZ354" s="705">
        <f t="shared" si="880"/>
        <v>475352.06958923436</v>
      </c>
      <c r="GA354" s="497">
        <f t="shared" si="881"/>
        <v>46</v>
      </c>
      <c r="GB354" s="775">
        <f t="shared" si="882"/>
        <v>10333.740643244226</v>
      </c>
      <c r="GC354" s="497"/>
      <c r="GD354" s="497"/>
      <c r="GH354" s="1095">
        <f t="shared" si="782"/>
        <v>4903520.6958923433</v>
      </c>
      <c r="GI354" s="1098">
        <f t="shared" si="783"/>
        <v>0.125</v>
      </c>
      <c r="GJ354" s="1095">
        <f t="shared" si="784"/>
        <v>612940.08698654291</v>
      </c>
      <c r="GK354" s="1095">
        <f t="shared" si="785"/>
        <v>30000</v>
      </c>
      <c r="GL354" s="1095">
        <f t="shared" si="786"/>
        <v>582940.08698654291</v>
      </c>
      <c r="GM354" s="1095">
        <f t="shared" si="787"/>
        <v>32</v>
      </c>
      <c r="GN354" s="1095">
        <f t="shared" si="788"/>
        <v>18216.877718329466</v>
      </c>
      <c r="GO354" s="1098">
        <f t="shared" si="789"/>
        <v>0.875</v>
      </c>
      <c r="GP354" s="1095">
        <f t="shared" si="790"/>
        <v>4290580.6089058006</v>
      </c>
      <c r="GQ354" s="1095">
        <f t="shared" si="791"/>
        <v>33264.825792716503</v>
      </c>
      <c r="GR354" s="1095">
        <f t="shared" si="792"/>
        <v>38564.951496557544</v>
      </c>
      <c r="GS354" s="1095">
        <f t="shared" si="793"/>
        <v>49817.278946497048</v>
      </c>
      <c r="GT354" s="1095">
        <f t="shared" si="794"/>
        <v>84958.638490317564</v>
      </c>
      <c r="GU354" s="497"/>
      <c r="GV354" s="1095">
        <f t="shared" si="883"/>
        <v>4903520.6958923433</v>
      </c>
      <c r="GW354" s="1098">
        <f t="shared" si="884"/>
        <v>0.125</v>
      </c>
      <c r="GX354" s="1095">
        <f t="shared" si="885"/>
        <v>612940.08698654291</v>
      </c>
      <c r="GY354" s="1095">
        <f t="shared" si="886"/>
        <v>30000</v>
      </c>
      <c r="GZ354" s="1095">
        <f t="shared" si="887"/>
        <v>582940.08698654291</v>
      </c>
      <c r="HA354" s="1106">
        <f t="shared" si="888"/>
        <v>48</v>
      </c>
      <c r="HB354" s="770">
        <f t="shared" si="889"/>
        <v>12144.585145552977</v>
      </c>
      <c r="HC354" s="1098">
        <f t="shared" si="890"/>
        <v>0.875</v>
      </c>
      <c r="HD354" s="1102">
        <f t="shared" si="891"/>
        <v>4290580.6089058006</v>
      </c>
      <c r="HE354" s="1101">
        <f t="shared" si="892"/>
        <v>33264.825792716503</v>
      </c>
      <c r="HF354" s="1101">
        <f t="shared" si="893"/>
        <v>38564.951496557544</v>
      </c>
      <c r="HG354" s="1101">
        <f t="shared" si="894"/>
        <v>49817.278946497048</v>
      </c>
      <c r="HH354" s="1101">
        <f t="shared" si="895"/>
        <v>84958.638490317564</v>
      </c>
      <c r="HI354" s="497"/>
      <c r="HJ354" s="1102">
        <f t="shared" si="896"/>
        <v>-6072.2925727764887</v>
      </c>
      <c r="HL354" s="775"/>
      <c r="HN354" s="775"/>
      <c r="HO354" s="775"/>
      <c r="HQ354" s="702"/>
      <c r="HR354" s="1171"/>
      <c r="HS354" s="702"/>
      <c r="HT354" s="1171"/>
    </row>
    <row r="355" spans="1:228" ht="14.25" customHeight="1">
      <c r="A355" s="753">
        <f t="shared" si="897"/>
        <v>349</v>
      </c>
      <c r="B355" s="753"/>
      <c r="C355" s="753">
        <f t="shared" si="911"/>
        <v>8</v>
      </c>
      <c r="D355" s="753" t="s">
        <v>292</v>
      </c>
      <c r="E355" s="717" t="s">
        <v>297</v>
      </c>
      <c r="F355" s="754"/>
      <c r="G355" s="756" t="s">
        <v>820</v>
      </c>
      <c r="H355" s="756"/>
      <c r="I355" s="755" t="s">
        <v>229</v>
      </c>
      <c r="J355" s="757">
        <v>22</v>
      </c>
      <c r="K355" s="758"/>
      <c r="L355" s="759" t="s">
        <v>69</v>
      </c>
      <c r="M355" s="760" t="s">
        <v>68</v>
      </c>
      <c r="N355" s="761">
        <f t="shared" si="818"/>
        <v>106005.26567735759</v>
      </c>
      <c r="O355" s="762">
        <f t="shared" si="819"/>
        <v>2332115.8449018667</v>
      </c>
      <c r="P355" s="762">
        <f t="shared" si="820"/>
        <v>22400</v>
      </c>
      <c r="Q355" s="762">
        <f t="shared" si="795"/>
        <v>50000</v>
      </c>
      <c r="R355" s="762"/>
      <c r="S355" s="762">
        <f t="shared" si="910"/>
        <v>176000</v>
      </c>
      <c r="T355" s="762"/>
      <c r="U355" s="762"/>
      <c r="V355" s="762"/>
      <c r="W355" s="762"/>
      <c r="X355" s="762"/>
      <c r="Y355" s="762">
        <f t="shared" si="912"/>
        <v>200000</v>
      </c>
      <c r="Z355" s="762">
        <f t="shared" si="796"/>
        <v>142461</v>
      </c>
      <c r="AA355" s="762"/>
      <c r="AB355" s="762"/>
      <c r="AC355" s="762"/>
      <c r="AD355" s="763">
        <f t="shared" si="821"/>
        <v>590861</v>
      </c>
      <c r="AE355" s="763">
        <f t="shared" si="797"/>
        <v>2922976.8449018667</v>
      </c>
      <c r="AF355" s="762">
        <f t="shared" si="798"/>
        <v>73074.421122546672</v>
      </c>
      <c r="AG355" s="762">
        <f t="shared" si="822"/>
        <v>2996051.2660244135</v>
      </c>
      <c r="AH355" s="762">
        <f t="shared" si="799"/>
        <v>74901.281650610341</v>
      </c>
      <c r="AI355" s="762">
        <f t="shared" si="823"/>
        <v>3070952.5476750238</v>
      </c>
      <c r="AJ355" s="762">
        <f t="shared" si="824"/>
        <v>153547.62738375118</v>
      </c>
      <c r="AK355" s="762">
        <f t="shared" si="825"/>
        <v>3224500.1750587751</v>
      </c>
      <c r="AL355" s="762">
        <f t="shared" si="826"/>
        <v>32245.001750587751</v>
      </c>
      <c r="AM355" s="762">
        <f t="shared" si="827"/>
        <v>27537.409960060559</v>
      </c>
      <c r="AN355" s="762"/>
      <c r="AO355" s="763">
        <f t="shared" si="828"/>
        <v>3284282.5867694234</v>
      </c>
      <c r="AP355" s="763">
        <f t="shared" si="829"/>
        <v>541906.62681695493</v>
      </c>
      <c r="AQ355" s="763">
        <f t="shared" si="830"/>
        <v>3826189.2135863784</v>
      </c>
      <c r="AR355" s="1178">
        <f t="shared" si="800"/>
        <v>3000000</v>
      </c>
      <c r="AS355" s="1178">
        <f t="shared" si="831"/>
        <v>37554.055163017198</v>
      </c>
      <c r="AT355" s="1178">
        <f t="shared" si="832"/>
        <v>826189.21358637838</v>
      </c>
      <c r="AU355" s="1178">
        <f t="shared" si="801"/>
        <v>99142.705630365395</v>
      </c>
      <c r="AV355" s="1178">
        <f t="shared" si="833"/>
        <v>925331.91921674379</v>
      </c>
      <c r="AW355" s="1178">
        <f t="shared" si="834"/>
        <v>3925331.9192167437</v>
      </c>
      <c r="AX355" s="762">
        <f t="shared" si="835"/>
        <v>49066.648990209302</v>
      </c>
      <c r="AY355" s="717" t="s">
        <v>231</v>
      </c>
      <c r="AZ355" s="717">
        <f t="shared" si="836"/>
        <v>3974398.5682069529</v>
      </c>
      <c r="BA355" s="717">
        <f t="shared" si="837"/>
        <v>149039.94630776072</v>
      </c>
      <c r="BB355" s="717"/>
      <c r="BC355" s="717">
        <f t="shared" si="802"/>
        <v>33600</v>
      </c>
      <c r="BD355" s="717">
        <f t="shared" si="838"/>
        <v>4157038.5145147135</v>
      </c>
      <c r="BE355" s="717"/>
      <c r="BF355" s="717">
        <f t="shared" si="839"/>
        <v>4157038.5145147135</v>
      </c>
      <c r="BG355" s="1209"/>
      <c r="BH355" s="717">
        <f t="shared" si="840"/>
        <v>4157038.5145147135</v>
      </c>
      <c r="BI355" s="717"/>
      <c r="BJ355" s="717">
        <f t="shared" si="841"/>
        <v>4157038.5145147135</v>
      </c>
      <c r="BK355" s="717"/>
      <c r="BL355" s="717">
        <f t="shared" si="842"/>
        <v>4157038.5145147135</v>
      </c>
      <c r="BM355" s="717"/>
      <c r="BN355" s="717">
        <f t="shared" si="843"/>
        <v>4157038.5145147135</v>
      </c>
      <c r="BO355" s="717"/>
      <c r="BP355" s="717">
        <f t="shared" si="803"/>
        <v>4157038.5145147135</v>
      </c>
      <c r="BQ355" s="717">
        <f t="shared" si="915"/>
        <v>4468.4242000000004</v>
      </c>
      <c r="BR355" s="717">
        <f t="shared" si="903"/>
        <v>4161506.9387147133</v>
      </c>
      <c r="BS355" s="1234">
        <f t="shared" si="916"/>
        <v>2651.4786794501206</v>
      </c>
      <c r="BT355" s="1235">
        <f t="shared" si="844"/>
        <v>4164158.4173941636</v>
      </c>
      <c r="BU355" s="1235">
        <f t="shared" si="917"/>
        <v>211.07692307692309</v>
      </c>
      <c r="BV355" s="1235">
        <f t="shared" si="904"/>
        <v>51400</v>
      </c>
      <c r="BW355" s="717">
        <f t="shared" si="845"/>
        <v>4215769.494317241</v>
      </c>
      <c r="BX355" s="1234">
        <f t="shared" si="908"/>
        <v>27651.078536278128</v>
      </c>
      <c r="BY355" s="717">
        <f t="shared" si="846"/>
        <v>4243420.5728535196</v>
      </c>
      <c r="BZ355" s="1194">
        <f t="shared" si="847"/>
        <v>4243420.5728535196</v>
      </c>
      <c r="CA355" s="1194">
        <f t="shared" si="848"/>
        <v>3363420.5728535196</v>
      </c>
      <c r="CB355" s="1194">
        <f t="shared" si="918"/>
        <v>40000</v>
      </c>
      <c r="CC355" s="1194">
        <f t="shared" si="849"/>
        <v>880000</v>
      </c>
      <c r="CD355" s="1194">
        <f t="shared" si="850"/>
        <v>105600</v>
      </c>
      <c r="CE355" s="1194">
        <f t="shared" si="851"/>
        <v>985600</v>
      </c>
      <c r="CF355" s="1200">
        <f t="shared" si="852"/>
        <v>4349020.5728535196</v>
      </c>
      <c r="CG355" s="757">
        <f t="shared" si="853"/>
        <v>4349020.5728535196</v>
      </c>
      <c r="CH355" s="758">
        <f t="shared" si="854"/>
        <v>0</v>
      </c>
      <c r="CI355" s="757">
        <f t="shared" si="804"/>
        <v>445774.60871748574</v>
      </c>
      <c r="CJ355" s="757">
        <f t="shared" si="805"/>
        <v>108725.51432133799</v>
      </c>
      <c r="CK355" s="759">
        <f t="shared" ref="CK355:CK378" si="919">SUM(CG355:CJ355)</f>
        <v>4903520.6958923433</v>
      </c>
      <c r="CL355" s="764">
        <f t="shared" si="855"/>
        <v>0.125</v>
      </c>
      <c r="CM355" s="757">
        <f t="shared" si="856"/>
        <v>612940.08698654291</v>
      </c>
      <c r="CN355" s="757">
        <f t="shared" si="898"/>
        <v>30000</v>
      </c>
      <c r="CO355" s="757">
        <f t="shared" si="857"/>
        <v>582940.08698654291</v>
      </c>
      <c r="CP355" s="755">
        <f t="shared" si="858"/>
        <v>32</v>
      </c>
      <c r="CQ355" s="757">
        <f t="shared" si="901"/>
        <v>18216.877718329466</v>
      </c>
      <c r="CR355" s="764">
        <f t="shared" si="859"/>
        <v>0.875</v>
      </c>
      <c r="CS355" s="757">
        <f t="shared" si="860"/>
        <v>4290580.6089058006</v>
      </c>
      <c r="CT355" s="1101">
        <f t="shared" si="861"/>
        <v>33264.825792716503</v>
      </c>
      <c r="CU355" s="1101">
        <f t="shared" si="862"/>
        <v>38564.951496557544</v>
      </c>
      <c r="CV355" s="1101">
        <f t="shared" si="863"/>
        <v>49817.278946497048</v>
      </c>
      <c r="CW355" s="1141">
        <f t="shared" si="806"/>
        <v>84958.638490317564</v>
      </c>
      <c r="CX355" s="1152">
        <f t="shared" si="864"/>
        <v>348537.50053317758</v>
      </c>
      <c r="CY355" s="1152">
        <f t="shared" si="865"/>
        <v>137914.59113733607</v>
      </c>
      <c r="CZ355" s="1152">
        <f t="shared" si="866"/>
        <v>99613.755867305139</v>
      </c>
      <c r="DA355" s="1152">
        <f t="shared" si="867"/>
        <v>75810.654195483279</v>
      </c>
      <c r="DB355" s="1143">
        <f t="shared" si="807"/>
        <v>0.27539640452879277</v>
      </c>
      <c r="DC355" s="1143">
        <f t="shared" si="868"/>
        <v>0.29303501558944761</v>
      </c>
      <c r="DD355" s="1098" t="s">
        <v>812</v>
      </c>
      <c r="DE355" s="1144"/>
      <c r="DF355" s="705"/>
      <c r="DG355" s="765">
        <f t="shared" si="899"/>
        <v>46082</v>
      </c>
      <c r="DH355" s="1116">
        <f t="shared" si="808"/>
        <v>28</v>
      </c>
      <c r="DI355" s="497"/>
      <c r="DJ355" s="1117">
        <f t="shared" si="869"/>
        <v>46147</v>
      </c>
      <c r="DK355" s="1116">
        <f t="shared" si="870"/>
        <v>30</v>
      </c>
      <c r="DL355" s="766" t="s">
        <v>813</v>
      </c>
      <c r="DM355" s="766" t="s">
        <v>234</v>
      </c>
      <c r="DN355" s="767">
        <f t="shared" si="809"/>
        <v>42060.541782579261</v>
      </c>
      <c r="DO355" s="767">
        <f t="shared" si="810"/>
        <v>925331.91921674379</v>
      </c>
      <c r="DP355" s="768">
        <f t="shared" si="811"/>
        <v>0.30844397307224791</v>
      </c>
      <c r="DR355" s="767">
        <f t="shared" si="812"/>
        <v>4349020.5728535196</v>
      </c>
      <c r="DS355" s="767">
        <f>SUM('[6]INTERNAL PRICELIST'!M355)</f>
        <v>0</v>
      </c>
      <c r="DT355" s="767">
        <f t="shared" si="871"/>
        <v>4349020.5728535196</v>
      </c>
      <c r="DV355" s="951">
        <f t="shared" si="813"/>
        <v>197682.75331152361</v>
      </c>
      <c r="DX355" s="781"/>
      <c r="DY355" s="782"/>
      <c r="DZ355" s="781"/>
      <c r="EA355" s="775"/>
      <c r="ED355" s="755" t="s">
        <v>820</v>
      </c>
      <c r="EE355" s="777" t="b">
        <f t="shared" si="814"/>
        <v>1</v>
      </c>
      <c r="EF355" s="777"/>
      <c r="EG355" s="777"/>
      <c r="EH355" s="1203"/>
      <c r="EP355" s="1230" t="s">
        <v>258</v>
      </c>
      <c r="EQ355" s="1145" t="s">
        <v>258</v>
      </c>
      <c r="ER355" s="753" t="b">
        <f t="shared" si="872"/>
        <v>1</v>
      </c>
      <c r="EU355" s="770">
        <v>3457426.8674007286</v>
      </c>
      <c r="EV355" s="771" t="s">
        <v>258</v>
      </c>
      <c r="EW355" s="775">
        <f t="shared" si="914"/>
        <v>-891593.70545279095</v>
      </c>
      <c r="EY355" s="775">
        <v>3421168.9389577992</v>
      </c>
      <c r="FJ355" s="994">
        <v>0.15</v>
      </c>
      <c r="FK355" s="993">
        <v>14908.389673312213</v>
      </c>
      <c r="FL355" s="993">
        <v>15311.319123942272</v>
      </c>
      <c r="FM355" s="497"/>
      <c r="FN355" s="993">
        <f t="shared" si="815"/>
        <v>4903520.6958923433</v>
      </c>
      <c r="FO355" s="994">
        <f t="shared" si="913"/>
        <v>0.15</v>
      </c>
      <c r="FP355" s="775">
        <f t="shared" si="816"/>
        <v>735528.10438385152</v>
      </c>
      <c r="FQ355" s="993">
        <f t="shared" si="817"/>
        <v>30000</v>
      </c>
      <c r="FR355" s="775">
        <f t="shared" si="874"/>
        <v>705528.10438385152</v>
      </c>
      <c r="FS355" s="497">
        <f t="shared" si="875"/>
        <v>40</v>
      </c>
      <c r="FT355" s="775">
        <f t="shared" si="876"/>
        <v>17638.202609596286</v>
      </c>
      <c r="FU355" s="497"/>
      <c r="FV355" s="993">
        <f t="shared" si="877"/>
        <v>4903520.6958923433</v>
      </c>
      <c r="FW355" s="705">
        <f t="shared" si="878"/>
        <v>490352.06958923436</v>
      </c>
      <c r="FX355" s="705">
        <f t="shared" si="879"/>
        <v>122588.01739730859</v>
      </c>
      <c r="FY355" s="705">
        <v>15000</v>
      </c>
      <c r="FZ355" s="705">
        <f t="shared" si="880"/>
        <v>475352.06958923436</v>
      </c>
      <c r="GA355" s="497">
        <f t="shared" si="881"/>
        <v>46</v>
      </c>
      <c r="GB355" s="775">
        <f t="shared" si="882"/>
        <v>10333.740643244226</v>
      </c>
      <c r="GC355" s="497"/>
      <c r="GD355" s="497"/>
      <c r="GH355" s="1095">
        <f t="shared" si="782"/>
        <v>4903520.6958923433</v>
      </c>
      <c r="GI355" s="1098">
        <f t="shared" si="783"/>
        <v>0.125</v>
      </c>
      <c r="GJ355" s="1095">
        <f t="shared" si="784"/>
        <v>612940.08698654291</v>
      </c>
      <c r="GK355" s="1095">
        <f t="shared" si="785"/>
        <v>30000</v>
      </c>
      <c r="GL355" s="1095">
        <f t="shared" si="786"/>
        <v>582940.08698654291</v>
      </c>
      <c r="GM355" s="1095">
        <f t="shared" si="787"/>
        <v>32</v>
      </c>
      <c r="GN355" s="1095">
        <f t="shared" si="788"/>
        <v>18216.877718329466</v>
      </c>
      <c r="GO355" s="1098">
        <f t="shared" si="789"/>
        <v>0.875</v>
      </c>
      <c r="GP355" s="1095">
        <f t="shared" si="790"/>
        <v>4290580.6089058006</v>
      </c>
      <c r="GQ355" s="1095">
        <f t="shared" si="791"/>
        <v>33264.825792716503</v>
      </c>
      <c r="GR355" s="1095">
        <f t="shared" si="792"/>
        <v>38564.951496557544</v>
      </c>
      <c r="GS355" s="1095">
        <f t="shared" si="793"/>
        <v>49817.278946497048</v>
      </c>
      <c r="GT355" s="1095">
        <f t="shared" si="794"/>
        <v>84958.638490317564</v>
      </c>
      <c r="GU355" s="497"/>
      <c r="GV355" s="1095">
        <f t="shared" si="883"/>
        <v>4903520.6958923433</v>
      </c>
      <c r="GW355" s="1098">
        <f t="shared" si="884"/>
        <v>0.125</v>
      </c>
      <c r="GX355" s="1095">
        <f t="shared" si="885"/>
        <v>612940.08698654291</v>
      </c>
      <c r="GY355" s="1095">
        <f t="shared" si="886"/>
        <v>30000</v>
      </c>
      <c r="GZ355" s="1095">
        <f t="shared" si="887"/>
        <v>582940.08698654291</v>
      </c>
      <c r="HA355" s="1106">
        <f t="shared" si="888"/>
        <v>48</v>
      </c>
      <c r="HB355" s="770">
        <f t="shared" si="889"/>
        <v>12144.585145552977</v>
      </c>
      <c r="HC355" s="1098">
        <f t="shared" si="890"/>
        <v>0.875</v>
      </c>
      <c r="HD355" s="1102">
        <f t="shared" si="891"/>
        <v>4290580.6089058006</v>
      </c>
      <c r="HE355" s="1101">
        <f t="shared" si="892"/>
        <v>33264.825792716503</v>
      </c>
      <c r="HF355" s="1101">
        <f t="shared" si="893"/>
        <v>38564.951496557544</v>
      </c>
      <c r="HG355" s="1101">
        <f t="shared" si="894"/>
        <v>49817.278946497048</v>
      </c>
      <c r="HH355" s="1101">
        <f t="shared" si="895"/>
        <v>84958.638490317564</v>
      </c>
      <c r="HI355" s="497"/>
      <c r="HJ355" s="1102">
        <f t="shared" si="896"/>
        <v>-6072.2925727764887</v>
      </c>
      <c r="HL355" s="775"/>
      <c r="HN355" s="775"/>
      <c r="HO355" s="775"/>
      <c r="HQ355" s="702"/>
      <c r="HR355" s="1171"/>
      <c r="HS355" s="702"/>
      <c r="HT355" s="1171"/>
    </row>
    <row r="356" spans="1:228" ht="14.25" hidden="1" customHeight="1">
      <c r="A356" s="753">
        <f t="shared" si="897"/>
        <v>350</v>
      </c>
      <c r="B356" s="753"/>
      <c r="C356" s="753">
        <f t="shared" si="911"/>
        <v>9</v>
      </c>
      <c r="D356" s="753" t="s">
        <v>292</v>
      </c>
      <c r="E356" s="717" t="s">
        <v>297</v>
      </c>
      <c r="F356" s="754"/>
      <c r="G356" s="756" t="s">
        <v>821</v>
      </c>
      <c r="H356" s="756"/>
      <c r="I356" s="755" t="s">
        <v>229</v>
      </c>
      <c r="J356" s="757">
        <v>22</v>
      </c>
      <c r="K356" s="758"/>
      <c r="L356" s="759" t="s">
        <v>69</v>
      </c>
      <c r="M356" s="760" t="s">
        <v>68</v>
      </c>
      <c r="N356" s="761">
        <f t="shared" si="818"/>
        <v>106005.26567735759</v>
      </c>
      <c r="O356" s="762">
        <f t="shared" si="819"/>
        <v>2332115.8449018667</v>
      </c>
      <c r="P356" s="762">
        <f t="shared" si="820"/>
        <v>22400</v>
      </c>
      <c r="Q356" s="762">
        <f t="shared" si="795"/>
        <v>50000</v>
      </c>
      <c r="R356" s="762"/>
      <c r="S356" s="762">
        <f t="shared" si="910"/>
        <v>176000</v>
      </c>
      <c r="T356" s="762"/>
      <c r="U356" s="762"/>
      <c r="V356" s="762"/>
      <c r="W356" s="762"/>
      <c r="X356" s="762"/>
      <c r="Y356" s="762">
        <f t="shared" si="912"/>
        <v>200000</v>
      </c>
      <c r="Z356" s="762">
        <f t="shared" si="796"/>
        <v>142461</v>
      </c>
      <c r="AA356" s="762"/>
      <c r="AB356" s="762"/>
      <c r="AC356" s="762"/>
      <c r="AD356" s="763">
        <f t="shared" si="821"/>
        <v>590861</v>
      </c>
      <c r="AE356" s="763">
        <f t="shared" si="797"/>
        <v>2922976.8449018667</v>
      </c>
      <c r="AF356" s="762">
        <f t="shared" si="798"/>
        <v>73074.421122546672</v>
      </c>
      <c r="AG356" s="762">
        <f t="shared" si="822"/>
        <v>2996051.2660244135</v>
      </c>
      <c r="AH356" s="762">
        <f t="shared" si="799"/>
        <v>74901.281650610341</v>
      </c>
      <c r="AI356" s="762">
        <f t="shared" si="823"/>
        <v>3070952.5476750238</v>
      </c>
      <c r="AJ356" s="762">
        <f t="shared" si="824"/>
        <v>153547.62738375118</v>
      </c>
      <c r="AK356" s="762">
        <f t="shared" si="825"/>
        <v>3224500.1750587751</v>
      </c>
      <c r="AL356" s="762">
        <f t="shared" si="826"/>
        <v>32245.001750587751</v>
      </c>
      <c r="AM356" s="762">
        <f t="shared" si="827"/>
        <v>27537.409960060559</v>
      </c>
      <c r="AN356" s="762"/>
      <c r="AO356" s="763">
        <f t="shared" si="828"/>
        <v>3284282.5867694234</v>
      </c>
      <c r="AP356" s="763">
        <f t="shared" si="829"/>
        <v>541906.62681695493</v>
      </c>
      <c r="AQ356" s="763">
        <f t="shared" si="830"/>
        <v>3826189.2135863784</v>
      </c>
      <c r="AR356" s="1178">
        <f t="shared" si="800"/>
        <v>3000000</v>
      </c>
      <c r="AS356" s="1178">
        <f t="shared" si="831"/>
        <v>37554.055163017198</v>
      </c>
      <c r="AT356" s="1178">
        <f t="shared" si="832"/>
        <v>826189.21358637838</v>
      </c>
      <c r="AU356" s="1178">
        <f t="shared" si="801"/>
        <v>99142.705630365395</v>
      </c>
      <c r="AV356" s="1178">
        <f t="shared" si="833"/>
        <v>925331.91921674379</v>
      </c>
      <c r="AW356" s="1178">
        <f t="shared" si="834"/>
        <v>3925331.9192167437</v>
      </c>
      <c r="AX356" s="762">
        <f t="shared" si="835"/>
        <v>49066.648990209302</v>
      </c>
      <c r="AY356" s="717" t="s">
        <v>231</v>
      </c>
      <c r="AZ356" s="717">
        <f t="shared" si="836"/>
        <v>3974398.5682069529</v>
      </c>
      <c r="BA356" s="717">
        <f t="shared" si="837"/>
        <v>149039.94630776072</v>
      </c>
      <c r="BB356" s="717"/>
      <c r="BC356" s="717">
        <f t="shared" si="802"/>
        <v>33600</v>
      </c>
      <c r="BD356" s="717">
        <f t="shared" si="838"/>
        <v>4157038.5145147135</v>
      </c>
      <c r="BE356" s="717"/>
      <c r="BF356" s="717">
        <f t="shared" si="839"/>
        <v>4157038.5145147135</v>
      </c>
      <c r="BG356" s="1209"/>
      <c r="BH356" s="717">
        <f t="shared" si="840"/>
        <v>4157038.5145147135</v>
      </c>
      <c r="BI356" s="717"/>
      <c r="BJ356" s="717">
        <f t="shared" si="841"/>
        <v>4157038.5145147135</v>
      </c>
      <c r="BK356" s="717"/>
      <c r="BL356" s="717">
        <f t="shared" si="842"/>
        <v>4157038.5145147135</v>
      </c>
      <c r="BM356" s="717"/>
      <c r="BN356" s="717">
        <f t="shared" si="843"/>
        <v>4157038.5145147135</v>
      </c>
      <c r="BO356" s="717"/>
      <c r="BP356" s="717">
        <f t="shared" si="803"/>
        <v>4157038.5145147135</v>
      </c>
      <c r="BQ356" s="717"/>
      <c r="BR356" s="717">
        <f t="shared" si="903"/>
        <v>4157038.5145147135</v>
      </c>
      <c r="BS356" s="717"/>
      <c r="BT356" s="717">
        <f t="shared" si="844"/>
        <v>4157038.5145147135</v>
      </c>
      <c r="BU356" s="717"/>
      <c r="BV356" s="1235">
        <f t="shared" si="904"/>
        <v>51400</v>
      </c>
      <c r="BW356" s="717">
        <f t="shared" si="845"/>
        <v>4208438.5145147135</v>
      </c>
      <c r="BX356" s="717"/>
      <c r="BY356" s="717">
        <f t="shared" si="846"/>
        <v>4208438.5145147135</v>
      </c>
      <c r="BZ356" s="1194">
        <f t="shared" si="847"/>
        <v>4208438.5145147135</v>
      </c>
      <c r="CA356" s="1194">
        <f t="shared" si="848"/>
        <v>3636438.5145147135</v>
      </c>
      <c r="CB356" s="1194">
        <v>26000</v>
      </c>
      <c r="CC356" s="1194">
        <f t="shared" si="849"/>
        <v>572000</v>
      </c>
      <c r="CD356" s="1194">
        <f t="shared" si="850"/>
        <v>68640</v>
      </c>
      <c r="CE356" s="1194">
        <f t="shared" si="851"/>
        <v>640640</v>
      </c>
      <c r="CF356" s="1200">
        <f t="shared" si="852"/>
        <v>4277078.5145147135</v>
      </c>
      <c r="CG356" s="757">
        <f t="shared" si="853"/>
        <v>4277078.5145147135</v>
      </c>
      <c r="CH356" s="758">
        <f t="shared" si="854"/>
        <v>436372.62174176559</v>
      </c>
      <c r="CI356" s="757">
        <f t="shared" si="804"/>
        <v>438400.54773775814</v>
      </c>
      <c r="CJ356" s="757">
        <f t="shared" si="805"/>
        <v>106926.96286286785</v>
      </c>
      <c r="CK356" s="759">
        <f t="shared" si="919"/>
        <v>5258778.6468571052</v>
      </c>
      <c r="CL356" s="764">
        <f t="shared" si="855"/>
        <v>0.125</v>
      </c>
      <c r="CM356" s="757">
        <f t="shared" si="856"/>
        <v>657347.33085713815</v>
      </c>
      <c r="CN356" s="757">
        <f t="shared" si="898"/>
        <v>30000</v>
      </c>
      <c r="CO356" s="757">
        <f t="shared" si="857"/>
        <v>627347.33085713815</v>
      </c>
      <c r="CP356" s="755">
        <f t="shared" si="858"/>
        <v>32</v>
      </c>
      <c r="CQ356" s="757">
        <f t="shared" si="901"/>
        <v>19604.604089285567</v>
      </c>
      <c r="CR356" s="764">
        <f t="shared" si="859"/>
        <v>0.875</v>
      </c>
      <c r="CS356" s="757">
        <f t="shared" si="860"/>
        <v>4601431.315999967</v>
      </c>
      <c r="CT356" s="1101">
        <f t="shared" si="861"/>
        <v>35674.84801618132</v>
      </c>
      <c r="CU356" s="1101">
        <f t="shared" si="862"/>
        <v>41358.965532064583</v>
      </c>
      <c r="CV356" s="1101">
        <f t="shared" si="863"/>
        <v>53426.519232970808</v>
      </c>
      <c r="CW356" s="1141">
        <f t="shared" si="806"/>
        <v>91113.855057897192</v>
      </c>
      <c r="CX356" s="1152">
        <f t="shared" si="864"/>
        <v>373788.89151384996</v>
      </c>
      <c r="CY356" s="1152">
        <f t="shared" si="865"/>
        <v>147906.44354180046</v>
      </c>
      <c r="CZ356" s="1152">
        <f t="shared" si="866"/>
        <v>106830.72934249975</v>
      </c>
      <c r="DA356" s="1152">
        <f t="shared" si="867"/>
        <v>81303.103262405057</v>
      </c>
      <c r="DB356" s="1143">
        <f t="shared" si="807"/>
        <v>0.27539640452879277</v>
      </c>
      <c r="DC356" s="1143">
        <f t="shared" si="868"/>
        <v>0.17617237234808411</v>
      </c>
      <c r="DD356" s="1098" t="s">
        <v>812</v>
      </c>
      <c r="DE356" s="1144"/>
      <c r="DF356" s="705"/>
      <c r="DG356" s="765">
        <f t="shared" si="899"/>
        <v>46082</v>
      </c>
      <c r="DH356" s="1116">
        <f t="shared" si="808"/>
        <v>28</v>
      </c>
      <c r="DI356" s="497"/>
      <c r="DJ356" s="1117">
        <f t="shared" si="869"/>
        <v>46147</v>
      </c>
      <c r="DK356" s="1116">
        <f t="shared" si="870"/>
        <v>30</v>
      </c>
      <c r="DL356" s="766" t="s">
        <v>813</v>
      </c>
      <c r="DM356" s="766" t="s">
        <v>234</v>
      </c>
      <c r="DN356" s="767">
        <f t="shared" si="809"/>
        <v>42060.541782579261</v>
      </c>
      <c r="DO356" s="767">
        <f t="shared" si="810"/>
        <v>925331.91921674379</v>
      </c>
      <c r="DP356" s="768">
        <f t="shared" si="811"/>
        <v>0.30844397307224791</v>
      </c>
      <c r="DR356" s="767">
        <f t="shared" si="812"/>
        <v>4277078.5145147135</v>
      </c>
      <c r="DS356" s="767">
        <f>SUM('[6]INTERNAL PRICELIST'!M356)</f>
        <v>0</v>
      </c>
      <c r="DT356" s="767">
        <f t="shared" si="871"/>
        <v>4277078.5145147135</v>
      </c>
      <c r="DV356" s="951">
        <f t="shared" si="813"/>
        <v>194412.6597506688</v>
      </c>
      <c r="DX356" s="781"/>
      <c r="DY356" s="782"/>
      <c r="DZ356" s="781"/>
      <c r="EA356" s="775"/>
      <c r="ED356" s="755" t="s">
        <v>821</v>
      </c>
      <c r="EE356" s="777" t="b">
        <f t="shared" si="814"/>
        <v>1</v>
      </c>
      <c r="EF356" s="777"/>
      <c r="EG356" s="777"/>
      <c r="EH356" s="1203"/>
      <c r="EP356" s="1230" t="s">
        <v>236</v>
      </c>
      <c r="EQ356" s="1145" t="s">
        <v>236</v>
      </c>
      <c r="ER356" s="753" t="b">
        <f t="shared" si="872"/>
        <v>1</v>
      </c>
      <c r="EU356" s="770">
        <v>3457426.8674007286</v>
      </c>
      <c r="EV356" s="771" t="s">
        <v>258</v>
      </c>
      <c r="EW356" s="775">
        <f t="shared" si="914"/>
        <v>-819651.64711398492</v>
      </c>
      <c r="EY356" s="775">
        <v>3421168.9389577992</v>
      </c>
      <c r="FJ356" s="994">
        <v>0.15</v>
      </c>
      <c r="FK356" s="993">
        <v>14908.389673312213</v>
      </c>
      <c r="FL356" s="993">
        <v>15311.319123942272</v>
      </c>
      <c r="FM356" s="497"/>
      <c r="FN356" s="993">
        <f t="shared" si="815"/>
        <v>5258778.6468571052</v>
      </c>
      <c r="FO356" s="994">
        <f t="shared" si="913"/>
        <v>0.15</v>
      </c>
      <c r="FP356" s="775">
        <f t="shared" si="816"/>
        <v>788816.79702856578</v>
      </c>
      <c r="FQ356" s="993">
        <f t="shared" si="817"/>
        <v>30000</v>
      </c>
      <c r="FR356" s="775">
        <f t="shared" si="874"/>
        <v>758816.79702856578</v>
      </c>
      <c r="FS356" s="497">
        <f t="shared" si="875"/>
        <v>40</v>
      </c>
      <c r="FT356" s="775">
        <f t="shared" si="876"/>
        <v>18970.419925714144</v>
      </c>
      <c r="FU356" s="497"/>
      <c r="FV356" s="993">
        <f t="shared" si="877"/>
        <v>5258778.6468571052</v>
      </c>
      <c r="FW356" s="705">
        <f t="shared" si="878"/>
        <v>525877.86468571052</v>
      </c>
      <c r="FX356" s="705">
        <f t="shared" si="879"/>
        <v>131469.46617142763</v>
      </c>
      <c r="FY356" s="705">
        <v>15000</v>
      </c>
      <c r="FZ356" s="705">
        <f t="shared" si="880"/>
        <v>510877.86468571052</v>
      </c>
      <c r="GA356" s="497">
        <f t="shared" si="881"/>
        <v>46</v>
      </c>
      <c r="GB356" s="775">
        <f t="shared" si="882"/>
        <v>11106.040536645882</v>
      </c>
      <c r="GC356" s="497"/>
      <c r="GD356" s="497"/>
      <c r="GH356" s="1095">
        <f t="shared" si="782"/>
        <v>5258778.6468571052</v>
      </c>
      <c r="GI356" s="1098">
        <f t="shared" si="783"/>
        <v>0.125</v>
      </c>
      <c r="GJ356" s="1095">
        <f t="shared" si="784"/>
        <v>657347.33085713815</v>
      </c>
      <c r="GK356" s="1095">
        <f t="shared" si="785"/>
        <v>30000</v>
      </c>
      <c r="GL356" s="1095">
        <f t="shared" si="786"/>
        <v>627347.33085713815</v>
      </c>
      <c r="GM356" s="1095">
        <f t="shared" si="787"/>
        <v>32</v>
      </c>
      <c r="GN356" s="1095">
        <f t="shared" si="788"/>
        <v>19604.604089285567</v>
      </c>
      <c r="GO356" s="1098">
        <f t="shared" si="789"/>
        <v>0.875</v>
      </c>
      <c r="GP356" s="1095">
        <f t="shared" si="790"/>
        <v>4601431.315999967</v>
      </c>
      <c r="GQ356" s="1095">
        <f t="shared" si="791"/>
        <v>35674.84801618132</v>
      </c>
      <c r="GR356" s="1095">
        <f t="shared" si="792"/>
        <v>41358.965532064583</v>
      </c>
      <c r="GS356" s="1095">
        <f t="shared" si="793"/>
        <v>53426.519232970808</v>
      </c>
      <c r="GT356" s="1095">
        <f t="shared" si="794"/>
        <v>91113.855057897192</v>
      </c>
      <c r="GU356" s="497"/>
      <c r="GV356" s="1095">
        <f t="shared" si="883"/>
        <v>5258778.6468571052</v>
      </c>
      <c r="GW356" s="1098">
        <f t="shared" si="884"/>
        <v>0.125</v>
      </c>
      <c r="GX356" s="1095">
        <f t="shared" si="885"/>
        <v>657347.33085713815</v>
      </c>
      <c r="GY356" s="1095">
        <f t="shared" si="886"/>
        <v>30000</v>
      </c>
      <c r="GZ356" s="1095">
        <f t="shared" si="887"/>
        <v>627347.33085713815</v>
      </c>
      <c r="HA356" s="1106">
        <f t="shared" si="888"/>
        <v>48</v>
      </c>
      <c r="HB356" s="770">
        <f t="shared" si="889"/>
        <v>13069.736059523711</v>
      </c>
      <c r="HC356" s="1098">
        <f t="shared" si="890"/>
        <v>0.875</v>
      </c>
      <c r="HD356" s="1102">
        <f t="shared" si="891"/>
        <v>4601431.315999967</v>
      </c>
      <c r="HE356" s="1101">
        <f t="shared" si="892"/>
        <v>35674.84801618132</v>
      </c>
      <c r="HF356" s="1101">
        <f t="shared" si="893"/>
        <v>41358.965532064583</v>
      </c>
      <c r="HG356" s="1101">
        <f t="shared" si="894"/>
        <v>53426.519232970808</v>
      </c>
      <c r="HH356" s="1101">
        <f t="shared" si="895"/>
        <v>91113.855057897192</v>
      </c>
      <c r="HI356" s="497"/>
      <c r="HJ356" s="1102">
        <f t="shared" si="896"/>
        <v>-6534.8680297618557</v>
      </c>
      <c r="HL356" s="775"/>
      <c r="HN356" s="775"/>
      <c r="HO356" s="775"/>
      <c r="HQ356" s="702"/>
      <c r="HR356" s="1171"/>
      <c r="HS356" s="702"/>
      <c r="HT356" s="1171"/>
    </row>
    <row r="357" spans="1:228" ht="14.25" hidden="1" customHeight="1">
      <c r="A357" s="753">
        <f t="shared" si="897"/>
        <v>351</v>
      </c>
      <c r="B357" s="753"/>
      <c r="C357" s="753">
        <f t="shared" si="911"/>
        <v>10</v>
      </c>
      <c r="D357" s="753" t="s">
        <v>292</v>
      </c>
      <c r="E357" s="717" t="s">
        <v>297</v>
      </c>
      <c r="F357" s="754"/>
      <c r="G357" s="756" t="s">
        <v>822</v>
      </c>
      <c r="H357" s="756"/>
      <c r="I357" s="755" t="s">
        <v>229</v>
      </c>
      <c r="J357" s="757">
        <v>22</v>
      </c>
      <c r="K357" s="758"/>
      <c r="L357" s="759" t="s">
        <v>277</v>
      </c>
      <c r="M357" s="760" t="s">
        <v>278</v>
      </c>
      <c r="N357" s="761">
        <f t="shared" si="818"/>
        <v>106005.26567735759</v>
      </c>
      <c r="O357" s="762">
        <f t="shared" si="819"/>
        <v>2332115.8449018667</v>
      </c>
      <c r="P357" s="762">
        <f t="shared" si="820"/>
        <v>22400</v>
      </c>
      <c r="Q357" s="762">
        <f t="shared" si="795"/>
        <v>50000</v>
      </c>
      <c r="R357" s="762"/>
      <c r="S357" s="762">
        <f t="shared" si="910"/>
        <v>176000</v>
      </c>
      <c r="T357" s="762"/>
      <c r="U357" s="762"/>
      <c r="V357" s="762"/>
      <c r="W357" s="762">
        <f>J357*$W$5</f>
        <v>22000</v>
      </c>
      <c r="X357" s="762"/>
      <c r="Y357" s="762">
        <f t="shared" si="912"/>
        <v>200000</v>
      </c>
      <c r="Z357" s="762">
        <f t="shared" si="796"/>
        <v>142461</v>
      </c>
      <c r="AA357" s="762"/>
      <c r="AB357" s="762"/>
      <c r="AC357" s="762"/>
      <c r="AD357" s="763">
        <f t="shared" si="821"/>
        <v>612861</v>
      </c>
      <c r="AE357" s="763">
        <f t="shared" si="797"/>
        <v>2944976.8449018667</v>
      </c>
      <c r="AF357" s="762">
        <f t="shared" si="798"/>
        <v>73624.421122546672</v>
      </c>
      <c r="AG357" s="762">
        <f t="shared" si="822"/>
        <v>3018601.2660244135</v>
      </c>
      <c r="AH357" s="762">
        <f t="shared" si="799"/>
        <v>75465.031650610341</v>
      </c>
      <c r="AI357" s="762">
        <f t="shared" si="823"/>
        <v>3094066.2976750238</v>
      </c>
      <c r="AJ357" s="762">
        <f t="shared" si="824"/>
        <v>154703.31488375118</v>
      </c>
      <c r="AK357" s="762">
        <f t="shared" si="825"/>
        <v>3248769.6125587751</v>
      </c>
      <c r="AL357" s="762">
        <f t="shared" si="826"/>
        <v>32487.69612558775</v>
      </c>
      <c r="AM357" s="762">
        <f t="shared" si="827"/>
        <v>27537.409960060559</v>
      </c>
      <c r="AN357" s="762"/>
      <c r="AO357" s="763">
        <f t="shared" si="828"/>
        <v>3308794.7186444234</v>
      </c>
      <c r="AP357" s="763">
        <f t="shared" si="829"/>
        <v>545951.12857632991</v>
      </c>
      <c r="AQ357" s="763">
        <f t="shared" si="830"/>
        <v>3854745.8472207533</v>
      </c>
      <c r="AR357" s="1178">
        <f t="shared" si="800"/>
        <v>3000000</v>
      </c>
      <c r="AS357" s="1178">
        <f t="shared" si="831"/>
        <v>38852.083964579695</v>
      </c>
      <c r="AT357" s="1178">
        <f t="shared" si="832"/>
        <v>854745.84722075332</v>
      </c>
      <c r="AU357" s="1178">
        <f t="shared" si="801"/>
        <v>102569.5016664904</v>
      </c>
      <c r="AV357" s="1178">
        <f t="shared" si="833"/>
        <v>957315.34888724377</v>
      </c>
      <c r="AW357" s="1178">
        <f t="shared" si="834"/>
        <v>3957315.3488872438</v>
      </c>
      <c r="AX357" s="762">
        <f t="shared" si="835"/>
        <v>49466.441861090549</v>
      </c>
      <c r="AY357" s="717" t="s">
        <v>231</v>
      </c>
      <c r="AZ357" s="717">
        <f t="shared" si="836"/>
        <v>4006781.7907483345</v>
      </c>
      <c r="BA357" s="717">
        <f t="shared" si="837"/>
        <v>150254.31715306253</v>
      </c>
      <c r="BB357" s="717"/>
      <c r="BC357" s="717">
        <f t="shared" si="802"/>
        <v>33600</v>
      </c>
      <c r="BD357" s="717">
        <f t="shared" si="838"/>
        <v>4190636.1079013972</v>
      </c>
      <c r="BE357" s="717"/>
      <c r="BF357" s="717">
        <f t="shared" si="839"/>
        <v>4190636.1079013972</v>
      </c>
      <c r="BG357" s="1209"/>
      <c r="BH357" s="717">
        <f t="shared" si="840"/>
        <v>4190636.1079013972</v>
      </c>
      <c r="BI357" s="717"/>
      <c r="BJ357" s="717">
        <f t="shared" si="841"/>
        <v>4190636.1079013972</v>
      </c>
      <c r="BK357" s="717"/>
      <c r="BL357" s="717">
        <f t="shared" si="842"/>
        <v>4190636.1079013972</v>
      </c>
      <c r="BM357" s="717"/>
      <c r="BN357" s="717">
        <f t="shared" si="843"/>
        <v>4190636.1079013972</v>
      </c>
      <c r="BO357" s="717"/>
      <c r="BP357" s="717">
        <f t="shared" si="803"/>
        <v>4190636.1079013972</v>
      </c>
      <c r="BQ357" s="717"/>
      <c r="BR357" s="717">
        <f t="shared" si="903"/>
        <v>4190636.1079013972</v>
      </c>
      <c r="BS357" s="717"/>
      <c r="BT357" s="717">
        <f t="shared" si="844"/>
        <v>4190636.1079013972</v>
      </c>
      <c r="BU357" s="717"/>
      <c r="BV357" s="1235">
        <f t="shared" si="904"/>
        <v>51400</v>
      </c>
      <c r="BW357" s="717">
        <f t="shared" si="845"/>
        <v>4242036.1079013972</v>
      </c>
      <c r="BX357" s="717"/>
      <c r="BY357" s="717">
        <f t="shared" si="846"/>
        <v>4242036.1079013972</v>
      </c>
      <c r="BZ357" s="1194">
        <f t="shared" si="847"/>
        <v>4242036.1079013972</v>
      </c>
      <c r="CA357" s="1194">
        <f t="shared" si="848"/>
        <v>3637036.1079013972</v>
      </c>
      <c r="CB357" s="1194">
        <v>27500</v>
      </c>
      <c r="CC357" s="1194">
        <f t="shared" si="849"/>
        <v>605000</v>
      </c>
      <c r="CD357" s="1194">
        <f t="shared" si="850"/>
        <v>72600</v>
      </c>
      <c r="CE357" s="1194">
        <f t="shared" si="851"/>
        <v>677600</v>
      </c>
      <c r="CF357" s="1200">
        <f t="shared" si="852"/>
        <v>4314636.1079013972</v>
      </c>
      <c r="CG357" s="757">
        <f t="shared" si="853"/>
        <v>4314636.1079013972</v>
      </c>
      <c r="CH357" s="758">
        <f t="shared" si="854"/>
        <v>436444.33294816763</v>
      </c>
      <c r="CI357" s="757">
        <f t="shared" si="804"/>
        <v>442250.20105989318</v>
      </c>
      <c r="CJ357" s="757">
        <f t="shared" si="805"/>
        <v>107865.90269753494</v>
      </c>
      <c r="CK357" s="759">
        <f t="shared" si="919"/>
        <v>5301196.544606993</v>
      </c>
      <c r="CL357" s="764">
        <f t="shared" si="855"/>
        <v>0.125</v>
      </c>
      <c r="CM357" s="757">
        <f t="shared" si="856"/>
        <v>662649.56807587412</v>
      </c>
      <c r="CN357" s="757">
        <f t="shared" si="898"/>
        <v>30000</v>
      </c>
      <c r="CO357" s="757">
        <f t="shared" si="857"/>
        <v>632649.56807587412</v>
      </c>
      <c r="CP357" s="755">
        <f t="shared" si="858"/>
        <v>32</v>
      </c>
      <c r="CQ357" s="757">
        <f t="shared" si="901"/>
        <v>19770.299002371066</v>
      </c>
      <c r="CR357" s="764">
        <f t="shared" si="859"/>
        <v>0.875</v>
      </c>
      <c r="CS357" s="757">
        <f t="shared" si="860"/>
        <v>4638546.9765311191</v>
      </c>
      <c r="CT357" s="1101">
        <f t="shared" si="861"/>
        <v>35962.605337227258</v>
      </c>
      <c r="CU357" s="1101">
        <f t="shared" si="862"/>
        <v>41692.571581832191</v>
      </c>
      <c r="CV357" s="1101">
        <f t="shared" si="863"/>
        <v>53857.463522917489</v>
      </c>
      <c r="CW357" s="1141">
        <f t="shared" si="806"/>
        <v>91848.789621030752</v>
      </c>
      <c r="CX357" s="1152">
        <f t="shared" si="864"/>
        <v>376803.91459145263</v>
      </c>
      <c r="CY357" s="1152">
        <f t="shared" si="865"/>
        <v>149099.4734865872</v>
      </c>
      <c r="CZ357" s="1152">
        <f t="shared" si="866"/>
        <v>107692.43797450393</v>
      </c>
      <c r="DA357" s="1152">
        <f t="shared" si="867"/>
        <v>81958.903202376736</v>
      </c>
      <c r="DB357" s="1143">
        <f t="shared" si="807"/>
        <v>0.28491528240691777</v>
      </c>
      <c r="DC357" s="1143">
        <f t="shared" si="868"/>
        <v>0.18630554657621515</v>
      </c>
      <c r="DD357" s="1098" t="s">
        <v>812</v>
      </c>
      <c r="DE357" s="1144"/>
      <c r="DF357" s="705"/>
      <c r="DG357" s="765">
        <f t="shared" si="899"/>
        <v>46082</v>
      </c>
      <c r="DH357" s="1116">
        <f t="shared" si="808"/>
        <v>28</v>
      </c>
      <c r="DI357" s="497"/>
      <c r="DJ357" s="1117">
        <f t="shared" si="869"/>
        <v>46147</v>
      </c>
      <c r="DK357" s="1116">
        <f t="shared" si="870"/>
        <v>30</v>
      </c>
      <c r="DL357" s="766" t="s">
        <v>813</v>
      </c>
      <c r="DM357" s="766" t="s">
        <v>234</v>
      </c>
      <c r="DN357" s="767">
        <f t="shared" si="809"/>
        <v>43514.33404032926</v>
      </c>
      <c r="DO357" s="767">
        <f t="shared" si="810"/>
        <v>957315.34888724377</v>
      </c>
      <c r="DP357" s="768">
        <f t="shared" si="811"/>
        <v>0.31910511629574795</v>
      </c>
      <c r="DR357" s="767">
        <f t="shared" si="812"/>
        <v>4314636.1079013972</v>
      </c>
      <c r="DS357" s="767">
        <f>SUM('[6]INTERNAL PRICELIST'!M357)</f>
        <v>0</v>
      </c>
      <c r="DT357" s="767">
        <f t="shared" si="871"/>
        <v>4314636.1079013972</v>
      </c>
      <c r="DV357" s="951">
        <f t="shared" si="813"/>
        <v>196119.82308642715</v>
      </c>
      <c r="DX357" s="781"/>
      <c r="DY357" s="782"/>
      <c r="DZ357" s="781"/>
      <c r="EA357" s="775"/>
      <c r="ED357" s="755" t="s">
        <v>822</v>
      </c>
      <c r="EE357" s="777" t="b">
        <f t="shared" si="814"/>
        <v>1</v>
      </c>
      <c r="EF357" s="777"/>
      <c r="EG357" s="777"/>
      <c r="EH357" s="1203"/>
      <c r="EP357" s="1230" t="s">
        <v>236</v>
      </c>
      <c r="EQ357" s="1145" t="s">
        <v>236</v>
      </c>
      <c r="ER357" s="753" t="b">
        <f t="shared" si="872"/>
        <v>1</v>
      </c>
      <c r="EU357" s="770">
        <v>3485255.8224007287</v>
      </c>
      <c r="EV357" s="771" t="s">
        <v>258</v>
      </c>
      <c r="EW357" s="775">
        <f t="shared" si="914"/>
        <v>-829380.28550066845</v>
      </c>
      <c r="EY357" s="775">
        <v>3448751.6400652993</v>
      </c>
      <c r="FJ357" s="994">
        <v>0.15</v>
      </c>
      <c r="FK357" s="993">
        <v>15030.576200148069</v>
      </c>
      <c r="FL357" s="993">
        <v>15436.80798934126</v>
      </c>
      <c r="FM357" s="497"/>
      <c r="FN357" s="993">
        <f t="shared" si="815"/>
        <v>5301196.544606993</v>
      </c>
      <c r="FO357" s="994">
        <f t="shared" si="913"/>
        <v>0.15</v>
      </c>
      <c r="FP357" s="775">
        <f t="shared" si="816"/>
        <v>795179.48169104895</v>
      </c>
      <c r="FQ357" s="993">
        <f t="shared" si="817"/>
        <v>30000</v>
      </c>
      <c r="FR357" s="775">
        <f t="shared" si="874"/>
        <v>765179.48169104895</v>
      </c>
      <c r="FS357" s="497">
        <f t="shared" si="875"/>
        <v>40</v>
      </c>
      <c r="FT357" s="775">
        <f t="shared" si="876"/>
        <v>19129.487042276225</v>
      </c>
      <c r="FU357" s="497"/>
      <c r="FV357" s="993">
        <f t="shared" si="877"/>
        <v>5301196.544606993</v>
      </c>
      <c r="FW357" s="705">
        <f t="shared" si="878"/>
        <v>530119.6544606993</v>
      </c>
      <c r="FX357" s="705">
        <f t="shared" si="879"/>
        <v>132529.91361517482</v>
      </c>
      <c r="FY357" s="705">
        <v>15000</v>
      </c>
      <c r="FZ357" s="705">
        <f t="shared" si="880"/>
        <v>515119.6544606993</v>
      </c>
      <c r="GA357" s="497">
        <f t="shared" si="881"/>
        <v>46</v>
      </c>
      <c r="GB357" s="775">
        <f t="shared" si="882"/>
        <v>11198.253357841289</v>
      </c>
      <c r="GC357" s="497"/>
      <c r="GD357" s="497"/>
      <c r="GH357" s="1095">
        <f t="shared" si="782"/>
        <v>5301196.544606993</v>
      </c>
      <c r="GI357" s="1098">
        <f t="shared" si="783"/>
        <v>0.125</v>
      </c>
      <c r="GJ357" s="1095">
        <f t="shared" si="784"/>
        <v>662649.56807587412</v>
      </c>
      <c r="GK357" s="1095">
        <f t="shared" si="785"/>
        <v>30000</v>
      </c>
      <c r="GL357" s="1095">
        <f t="shared" si="786"/>
        <v>632649.56807587412</v>
      </c>
      <c r="GM357" s="1095">
        <f t="shared" si="787"/>
        <v>32</v>
      </c>
      <c r="GN357" s="1095">
        <f t="shared" si="788"/>
        <v>19770.299002371066</v>
      </c>
      <c r="GO357" s="1098">
        <f t="shared" si="789"/>
        <v>0.875</v>
      </c>
      <c r="GP357" s="1095">
        <f t="shared" si="790"/>
        <v>4638546.9765311191</v>
      </c>
      <c r="GQ357" s="1095">
        <f t="shared" si="791"/>
        <v>35962.605337227258</v>
      </c>
      <c r="GR357" s="1095">
        <f t="shared" si="792"/>
        <v>41692.571581832191</v>
      </c>
      <c r="GS357" s="1095">
        <f t="shared" si="793"/>
        <v>53857.463522917489</v>
      </c>
      <c r="GT357" s="1095">
        <f t="shared" si="794"/>
        <v>91848.789621030752</v>
      </c>
      <c r="GU357" s="497"/>
      <c r="GV357" s="1095">
        <f t="shared" si="883"/>
        <v>5301196.544606993</v>
      </c>
      <c r="GW357" s="1098">
        <f t="shared" si="884"/>
        <v>0.125</v>
      </c>
      <c r="GX357" s="1095">
        <f t="shared" si="885"/>
        <v>662649.56807587412</v>
      </c>
      <c r="GY357" s="1095">
        <f t="shared" si="886"/>
        <v>30000</v>
      </c>
      <c r="GZ357" s="1095">
        <f t="shared" si="887"/>
        <v>632649.56807587412</v>
      </c>
      <c r="HA357" s="1106">
        <f t="shared" si="888"/>
        <v>48</v>
      </c>
      <c r="HB357" s="770">
        <f t="shared" si="889"/>
        <v>13180.199334914045</v>
      </c>
      <c r="HC357" s="1098">
        <f t="shared" si="890"/>
        <v>0.875</v>
      </c>
      <c r="HD357" s="1102">
        <f t="shared" si="891"/>
        <v>4638546.9765311191</v>
      </c>
      <c r="HE357" s="1101">
        <f t="shared" si="892"/>
        <v>35962.605337227258</v>
      </c>
      <c r="HF357" s="1101">
        <f t="shared" si="893"/>
        <v>41692.571581832191</v>
      </c>
      <c r="HG357" s="1101">
        <f t="shared" si="894"/>
        <v>53857.463522917489</v>
      </c>
      <c r="HH357" s="1101">
        <f t="shared" si="895"/>
        <v>91848.789621030752</v>
      </c>
      <c r="HI357" s="497"/>
      <c r="HJ357" s="1102">
        <f t="shared" si="896"/>
        <v>-6590.0996674570215</v>
      </c>
      <c r="HL357" s="775"/>
      <c r="HN357" s="775"/>
      <c r="HO357" s="775"/>
      <c r="HQ357" s="702"/>
      <c r="HR357" s="1171"/>
      <c r="HS357" s="702"/>
      <c r="HT357" s="1171"/>
    </row>
    <row r="358" spans="1:228" ht="14.25" hidden="1" customHeight="1">
      <c r="A358" s="753">
        <f t="shared" si="897"/>
        <v>352</v>
      </c>
      <c r="B358" s="753"/>
      <c r="C358" s="753">
        <f t="shared" si="911"/>
        <v>11</v>
      </c>
      <c r="D358" s="753" t="s">
        <v>292</v>
      </c>
      <c r="E358" s="717" t="s">
        <v>297</v>
      </c>
      <c r="F358" s="754"/>
      <c r="G358" s="756" t="s">
        <v>823</v>
      </c>
      <c r="H358" s="756"/>
      <c r="I358" s="755" t="s">
        <v>229</v>
      </c>
      <c r="J358" s="757">
        <v>22</v>
      </c>
      <c r="K358" s="758"/>
      <c r="L358" s="759" t="s">
        <v>277</v>
      </c>
      <c r="M358" s="760" t="s">
        <v>68</v>
      </c>
      <c r="N358" s="761">
        <f t="shared" si="818"/>
        <v>106005.26567735759</v>
      </c>
      <c r="O358" s="762">
        <f t="shared" si="819"/>
        <v>2332115.8449018667</v>
      </c>
      <c r="P358" s="762">
        <f t="shared" si="820"/>
        <v>22400</v>
      </c>
      <c r="Q358" s="762">
        <f t="shared" si="795"/>
        <v>50000</v>
      </c>
      <c r="R358" s="762"/>
      <c r="S358" s="762">
        <f t="shared" si="910"/>
        <v>176000</v>
      </c>
      <c r="T358" s="762"/>
      <c r="U358" s="762"/>
      <c r="V358" s="762"/>
      <c r="W358" s="762"/>
      <c r="X358" s="762"/>
      <c r="Y358" s="762">
        <f t="shared" si="912"/>
        <v>200000</v>
      </c>
      <c r="Z358" s="762">
        <f t="shared" si="796"/>
        <v>142461</v>
      </c>
      <c r="AA358" s="762"/>
      <c r="AB358" s="762"/>
      <c r="AC358" s="762"/>
      <c r="AD358" s="763">
        <f t="shared" si="821"/>
        <v>590861</v>
      </c>
      <c r="AE358" s="763">
        <f t="shared" si="797"/>
        <v>2922976.8449018667</v>
      </c>
      <c r="AF358" s="762">
        <f t="shared" si="798"/>
        <v>73074.421122546672</v>
      </c>
      <c r="AG358" s="762">
        <f t="shared" si="822"/>
        <v>2996051.2660244135</v>
      </c>
      <c r="AH358" s="762">
        <f t="shared" si="799"/>
        <v>74901.281650610341</v>
      </c>
      <c r="AI358" s="762">
        <f t="shared" si="823"/>
        <v>3070952.5476750238</v>
      </c>
      <c r="AJ358" s="762">
        <f t="shared" si="824"/>
        <v>153547.62738375118</v>
      </c>
      <c r="AK358" s="762">
        <f t="shared" si="825"/>
        <v>3224500.1750587751</v>
      </c>
      <c r="AL358" s="762">
        <f t="shared" si="826"/>
        <v>32245.001750587751</v>
      </c>
      <c r="AM358" s="762">
        <f t="shared" si="827"/>
        <v>27537.409960060559</v>
      </c>
      <c r="AN358" s="762"/>
      <c r="AO358" s="763">
        <f t="shared" si="828"/>
        <v>3284282.5867694234</v>
      </c>
      <c r="AP358" s="763">
        <f t="shared" si="829"/>
        <v>541906.62681695493</v>
      </c>
      <c r="AQ358" s="763">
        <f t="shared" si="830"/>
        <v>3826189.2135863784</v>
      </c>
      <c r="AR358" s="1178">
        <f t="shared" si="800"/>
        <v>3000000</v>
      </c>
      <c r="AS358" s="1178">
        <f t="shared" si="831"/>
        <v>37554.055163017198</v>
      </c>
      <c r="AT358" s="1178">
        <f t="shared" si="832"/>
        <v>826189.21358637838</v>
      </c>
      <c r="AU358" s="1178">
        <f t="shared" si="801"/>
        <v>99142.705630365395</v>
      </c>
      <c r="AV358" s="1178">
        <f t="shared" si="833"/>
        <v>925331.91921674379</v>
      </c>
      <c r="AW358" s="1178">
        <f t="shared" si="834"/>
        <v>3925331.9192167437</v>
      </c>
      <c r="AX358" s="762">
        <f t="shared" si="835"/>
        <v>49066.648990209302</v>
      </c>
      <c r="AY358" s="717" t="s">
        <v>231</v>
      </c>
      <c r="AZ358" s="717">
        <f t="shared" si="836"/>
        <v>3974398.5682069529</v>
      </c>
      <c r="BA358" s="717">
        <f t="shared" si="837"/>
        <v>149039.94630776072</v>
      </c>
      <c r="BB358" s="717"/>
      <c r="BC358" s="717">
        <f t="shared" si="802"/>
        <v>33600</v>
      </c>
      <c r="BD358" s="717">
        <f t="shared" si="838"/>
        <v>4157038.5145147135</v>
      </c>
      <c r="BE358" s="717"/>
      <c r="BF358" s="717">
        <f t="shared" si="839"/>
        <v>4157038.5145147135</v>
      </c>
      <c r="BG358" s="1209"/>
      <c r="BH358" s="717">
        <f t="shared" si="840"/>
        <v>4157038.5145147135</v>
      </c>
      <c r="BI358" s="717"/>
      <c r="BJ358" s="717">
        <f t="shared" si="841"/>
        <v>4157038.5145147135</v>
      </c>
      <c r="BK358" s="717"/>
      <c r="BL358" s="717">
        <f t="shared" si="842"/>
        <v>4157038.5145147135</v>
      </c>
      <c r="BM358" s="717"/>
      <c r="BN358" s="717">
        <f t="shared" si="843"/>
        <v>4157038.5145147135</v>
      </c>
      <c r="BO358" s="717"/>
      <c r="BP358" s="717">
        <f t="shared" si="803"/>
        <v>4157038.5145147135</v>
      </c>
      <c r="BQ358" s="717"/>
      <c r="BR358" s="717">
        <f t="shared" si="903"/>
        <v>4157038.5145147135</v>
      </c>
      <c r="BS358" s="717"/>
      <c r="BT358" s="717">
        <f t="shared" si="844"/>
        <v>4157038.5145147135</v>
      </c>
      <c r="BU358" s="717"/>
      <c r="BV358" s="1235">
        <f t="shared" si="904"/>
        <v>51400</v>
      </c>
      <c r="BW358" s="717">
        <f t="shared" si="845"/>
        <v>4208438.5145147135</v>
      </c>
      <c r="BX358" s="717"/>
      <c r="BY358" s="717">
        <f t="shared" si="846"/>
        <v>4208438.5145147135</v>
      </c>
      <c r="BZ358" s="1194">
        <f t="shared" si="847"/>
        <v>4208438.5145147135</v>
      </c>
      <c r="CA358" s="1194">
        <f t="shared" si="848"/>
        <v>3636438.5145147135</v>
      </c>
      <c r="CB358" s="1194">
        <v>26000</v>
      </c>
      <c r="CC358" s="1194">
        <f t="shared" si="849"/>
        <v>572000</v>
      </c>
      <c r="CD358" s="1194">
        <f t="shared" si="850"/>
        <v>68640</v>
      </c>
      <c r="CE358" s="1194">
        <f t="shared" si="851"/>
        <v>640640</v>
      </c>
      <c r="CF358" s="1200">
        <f t="shared" si="852"/>
        <v>4277078.5145147135</v>
      </c>
      <c r="CG358" s="757">
        <f t="shared" si="853"/>
        <v>4277078.5145147135</v>
      </c>
      <c r="CH358" s="758">
        <f t="shared" si="854"/>
        <v>436372.62174176559</v>
      </c>
      <c r="CI358" s="757">
        <f t="shared" si="804"/>
        <v>438400.54773775814</v>
      </c>
      <c r="CJ358" s="757">
        <f t="shared" si="805"/>
        <v>106926.96286286785</v>
      </c>
      <c r="CK358" s="759">
        <f t="shared" si="919"/>
        <v>5258778.6468571052</v>
      </c>
      <c r="CL358" s="764">
        <f t="shared" si="855"/>
        <v>0.125</v>
      </c>
      <c r="CM358" s="757">
        <f t="shared" si="856"/>
        <v>657347.33085713815</v>
      </c>
      <c r="CN358" s="757">
        <f t="shared" si="898"/>
        <v>30000</v>
      </c>
      <c r="CO358" s="757">
        <f t="shared" si="857"/>
        <v>627347.33085713815</v>
      </c>
      <c r="CP358" s="755">
        <f t="shared" si="858"/>
        <v>32</v>
      </c>
      <c r="CQ358" s="757">
        <f t="shared" si="901"/>
        <v>19604.604089285567</v>
      </c>
      <c r="CR358" s="764">
        <f t="shared" si="859"/>
        <v>0.875</v>
      </c>
      <c r="CS358" s="757">
        <f t="shared" si="860"/>
        <v>4601431.315999967</v>
      </c>
      <c r="CT358" s="1101">
        <f t="shared" si="861"/>
        <v>35674.84801618132</v>
      </c>
      <c r="CU358" s="1101">
        <f t="shared" si="862"/>
        <v>41358.965532064583</v>
      </c>
      <c r="CV358" s="1101">
        <f t="shared" si="863"/>
        <v>53426.519232970808</v>
      </c>
      <c r="CW358" s="1141">
        <f t="shared" si="806"/>
        <v>91113.855057897192</v>
      </c>
      <c r="CX358" s="1152">
        <f t="shared" si="864"/>
        <v>373788.89151384996</v>
      </c>
      <c r="CY358" s="1152">
        <f t="shared" si="865"/>
        <v>147906.44354180046</v>
      </c>
      <c r="CZ358" s="1152">
        <f t="shared" si="866"/>
        <v>106830.72934249975</v>
      </c>
      <c r="DA358" s="1152">
        <f t="shared" si="867"/>
        <v>81303.103262405057</v>
      </c>
      <c r="DB358" s="1143">
        <f t="shared" si="807"/>
        <v>0.27539640452879277</v>
      </c>
      <c r="DC358" s="1143">
        <f t="shared" si="868"/>
        <v>0.17617237234808411</v>
      </c>
      <c r="DD358" s="1098" t="s">
        <v>812</v>
      </c>
      <c r="DE358" s="1144"/>
      <c r="DF358" s="705"/>
      <c r="DG358" s="765">
        <f t="shared" si="899"/>
        <v>46082</v>
      </c>
      <c r="DH358" s="1116">
        <f t="shared" si="808"/>
        <v>28</v>
      </c>
      <c r="DI358" s="497"/>
      <c r="DJ358" s="1117">
        <f t="shared" si="869"/>
        <v>46147</v>
      </c>
      <c r="DK358" s="1116">
        <f t="shared" si="870"/>
        <v>30</v>
      </c>
      <c r="DL358" s="766" t="s">
        <v>813</v>
      </c>
      <c r="DM358" s="766" t="s">
        <v>234</v>
      </c>
      <c r="DN358" s="767">
        <f t="shared" si="809"/>
        <v>42060.541782579261</v>
      </c>
      <c r="DO358" s="767">
        <f t="shared" si="810"/>
        <v>925331.91921674379</v>
      </c>
      <c r="DP358" s="768">
        <f t="shared" si="811"/>
        <v>0.30844397307224791</v>
      </c>
      <c r="DR358" s="767">
        <f t="shared" si="812"/>
        <v>4277078.5145147135</v>
      </c>
      <c r="DS358" s="767">
        <f>SUM('[6]INTERNAL PRICELIST'!M358)</f>
        <v>0</v>
      </c>
      <c r="DT358" s="767">
        <f t="shared" si="871"/>
        <v>4277078.5145147135</v>
      </c>
      <c r="DV358" s="951">
        <f t="shared" si="813"/>
        <v>194412.6597506688</v>
      </c>
      <c r="DX358" s="781"/>
      <c r="DY358" s="782"/>
      <c r="DZ358" s="781"/>
      <c r="EA358" s="775"/>
      <c r="ED358" s="755" t="s">
        <v>823</v>
      </c>
      <c r="EE358" s="777" t="b">
        <f t="shared" si="814"/>
        <v>1</v>
      </c>
      <c r="EF358" s="777"/>
      <c r="EG358" s="777"/>
      <c r="EH358" s="1203"/>
      <c r="EP358" s="1230" t="s">
        <v>236</v>
      </c>
      <c r="EQ358" s="1145" t="s">
        <v>236</v>
      </c>
      <c r="ER358" s="753" t="b">
        <f t="shared" si="872"/>
        <v>1</v>
      </c>
      <c r="EU358" s="770">
        <v>3457426.8674007286</v>
      </c>
      <c r="EV358" s="771" t="s">
        <v>258</v>
      </c>
      <c r="EW358" s="775">
        <f t="shared" si="914"/>
        <v>-819651.64711398492</v>
      </c>
      <c r="EY358" s="775">
        <v>3421168.9389577992</v>
      </c>
      <c r="FJ358" s="994">
        <v>0.15</v>
      </c>
      <c r="FK358" s="993">
        <v>14908.389673312213</v>
      </c>
      <c r="FL358" s="993">
        <v>15311.319123942272</v>
      </c>
      <c r="FM358" s="497"/>
      <c r="FN358" s="993">
        <f t="shared" si="815"/>
        <v>5258778.6468571052</v>
      </c>
      <c r="FO358" s="994">
        <f t="shared" si="913"/>
        <v>0.15</v>
      </c>
      <c r="FP358" s="775">
        <f t="shared" si="816"/>
        <v>788816.79702856578</v>
      </c>
      <c r="FQ358" s="993">
        <f t="shared" si="817"/>
        <v>30000</v>
      </c>
      <c r="FR358" s="775">
        <f t="shared" si="874"/>
        <v>758816.79702856578</v>
      </c>
      <c r="FS358" s="497">
        <f t="shared" si="875"/>
        <v>40</v>
      </c>
      <c r="FT358" s="775">
        <f t="shared" si="876"/>
        <v>18970.419925714144</v>
      </c>
      <c r="FU358" s="497"/>
      <c r="FV358" s="993">
        <f t="shared" si="877"/>
        <v>5258778.6468571052</v>
      </c>
      <c r="FW358" s="705">
        <f t="shared" si="878"/>
        <v>525877.86468571052</v>
      </c>
      <c r="FX358" s="705">
        <f t="shared" si="879"/>
        <v>131469.46617142763</v>
      </c>
      <c r="FY358" s="705">
        <v>15000</v>
      </c>
      <c r="FZ358" s="705">
        <f t="shared" si="880"/>
        <v>510877.86468571052</v>
      </c>
      <c r="GA358" s="497">
        <f t="shared" si="881"/>
        <v>46</v>
      </c>
      <c r="GB358" s="775">
        <f t="shared" si="882"/>
        <v>11106.040536645882</v>
      </c>
      <c r="GC358" s="497"/>
      <c r="GD358" s="497"/>
      <c r="GH358" s="1095">
        <f t="shared" si="782"/>
        <v>5258778.6468571052</v>
      </c>
      <c r="GI358" s="1098">
        <f t="shared" si="783"/>
        <v>0.125</v>
      </c>
      <c r="GJ358" s="1095">
        <f t="shared" si="784"/>
        <v>657347.33085713815</v>
      </c>
      <c r="GK358" s="1095">
        <f t="shared" si="785"/>
        <v>30000</v>
      </c>
      <c r="GL358" s="1095">
        <f t="shared" si="786"/>
        <v>627347.33085713815</v>
      </c>
      <c r="GM358" s="1095">
        <f t="shared" si="787"/>
        <v>32</v>
      </c>
      <c r="GN358" s="1095">
        <f t="shared" si="788"/>
        <v>19604.604089285567</v>
      </c>
      <c r="GO358" s="1098">
        <f t="shared" si="789"/>
        <v>0.875</v>
      </c>
      <c r="GP358" s="1095">
        <f t="shared" si="790"/>
        <v>4601431.315999967</v>
      </c>
      <c r="GQ358" s="1095">
        <f t="shared" si="791"/>
        <v>35674.84801618132</v>
      </c>
      <c r="GR358" s="1095">
        <f t="shared" si="792"/>
        <v>41358.965532064583</v>
      </c>
      <c r="GS358" s="1095">
        <f t="shared" si="793"/>
        <v>53426.519232970808</v>
      </c>
      <c r="GT358" s="1095">
        <f t="shared" si="794"/>
        <v>91113.855057897192</v>
      </c>
      <c r="GU358" s="497"/>
      <c r="GV358" s="1095">
        <f t="shared" si="883"/>
        <v>5258778.6468571052</v>
      </c>
      <c r="GW358" s="1098">
        <f t="shared" si="884"/>
        <v>0.125</v>
      </c>
      <c r="GX358" s="1095">
        <f t="shared" si="885"/>
        <v>657347.33085713815</v>
      </c>
      <c r="GY358" s="1095">
        <f t="shared" si="886"/>
        <v>30000</v>
      </c>
      <c r="GZ358" s="1095">
        <f t="shared" si="887"/>
        <v>627347.33085713815</v>
      </c>
      <c r="HA358" s="1106">
        <f t="shared" si="888"/>
        <v>48</v>
      </c>
      <c r="HB358" s="770">
        <f t="shared" si="889"/>
        <v>13069.736059523711</v>
      </c>
      <c r="HC358" s="1098">
        <f t="shared" si="890"/>
        <v>0.875</v>
      </c>
      <c r="HD358" s="1102">
        <f t="shared" si="891"/>
        <v>4601431.315999967</v>
      </c>
      <c r="HE358" s="1101">
        <f t="shared" si="892"/>
        <v>35674.84801618132</v>
      </c>
      <c r="HF358" s="1101">
        <f t="shared" si="893"/>
        <v>41358.965532064583</v>
      </c>
      <c r="HG358" s="1101">
        <f t="shared" si="894"/>
        <v>53426.519232970808</v>
      </c>
      <c r="HH358" s="1101">
        <f t="shared" si="895"/>
        <v>91113.855057897192</v>
      </c>
      <c r="HI358" s="497"/>
      <c r="HJ358" s="1102">
        <f t="shared" si="896"/>
        <v>-6534.8680297618557</v>
      </c>
      <c r="HL358" s="775"/>
      <c r="HN358" s="775"/>
      <c r="HO358" s="775"/>
      <c r="HQ358" s="702"/>
      <c r="HR358" s="1171"/>
      <c r="HS358" s="702"/>
      <c r="HT358" s="1171"/>
    </row>
    <row r="359" spans="1:228" ht="14.25" hidden="1" customHeight="1">
      <c r="A359" s="753">
        <f t="shared" si="897"/>
        <v>353</v>
      </c>
      <c r="B359" s="753"/>
      <c r="C359" s="753">
        <f t="shared" si="911"/>
        <v>12</v>
      </c>
      <c r="D359" s="753" t="s">
        <v>292</v>
      </c>
      <c r="E359" s="717" t="s">
        <v>297</v>
      </c>
      <c r="F359" s="754"/>
      <c r="G359" s="756" t="s">
        <v>824</v>
      </c>
      <c r="H359" s="756"/>
      <c r="I359" s="755" t="s">
        <v>229</v>
      </c>
      <c r="J359" s="757">
        <v>22</v>
      </c>
      <c r="K359" s="758"/>
      <c r="L359" s="759" t="s">
        <v>277</v>
      </c>
      <c r="M359" s="760" t="s">
        <v>68</v>
      </c>
      <c r="N359" s="761">
        <f t="shared" si="818"/>
        <v>106005.26567735759</v>
      </c>
      <c r="O359" s="762">
        <f t="shared" si="819"/>
        <v>2332115.8449018667</v>
      </c>
      <c r="P359" s="762">
        <f t="shared" si="820"/>
        <v>22400</v>
      </c>
      <c r="Q359" s="762">
        <f t="shared" si="795"/>
        <v>50000</v>
      </c>
      <c r="R359" s="762"/>
      <c r="S359" s="762">
        <f t="shared" si="910"/>
        <v>176000</v>
      </c>
      <c r="T359" s="762"/>
      <c r="U359" s="762"/>
      <c r="V359" s="762"/>
      <c r="W359" s="762"/>
      <c r="X359" s="762"/>
      <c r="Y359" s="762">
        <f t="shared" si="912"/>
        <v>200000</v>
      </c>
      <c r="Z359" s="762">
        <f t="shared" si="796"/>
        <v>142461</v>
      </c>
      <c r="AA359" s="762"/>
      <c r="AB359" s="762"/>
      <c r="AC359" s="762"/>
      <c r="AD359" s="763">
        <f t="shared" si="821"/>
        <v>590861</v>
      </c>
      <c r="AE359" s="763">
        <f t="shared" si="797"/>
        <v>2922976.8449018667</v>
      </c>
      <c r="AF359" s="762">
        <f t="shared" si="798"/>
        <v>73074.421122546672</v>
      </c>
      <c r="AG359" s="762">
        <f t="shared" si="822"/>
        <v>2996051.2660244135</v>
      </c>
      <c r="AH359" s="762">
        <f t="shared" si="799"/>
        <v>74901.281650610341</v>
      </c>
      <c r="AI359" s="762">
        <f t="shared" si="823"/>
        <v>3070952.5476750238</v>
      </c>
      <c r="AJ359" s="762">
        <f t="shared" si="824"/>
        <v>153547.62738375118</v>
      </c>
      <c r="AK359" s="762">
        <f t="shared" si="825"/>
        <v>3224500.1750587751</v>
      </c>
      <c r="AL359" s="762">
        <f t="shared" si="826"/>
        <v>32245.001750587751</v>
      </c>
      <c r="AM359" s="762">
        <f t="shared" si="827"/>
        <v>27537.409960060559</v>
      </c>
      <c r="AN359" s="762"/>
      <c r="AO359" s="763">
        <f t="shared" si="828"/>
        <v>3284282.5867694234</v>
      </c>
      <c r="AP359" s="763">
        <f t="shared" si="829"/>
        <v>541906.62681695493</v>
      </c>
      <c r="AQ359" s="763">
        <f t="shared" si="830"/>
        <v>3826189.2135863784</v>
      </c>
      <c r="AR359" s="1178">
        <f t="shared" si="800"/>
        <v>3000000</v>
      </c>
      <c r="AS359" s="1178">
        <f t="shared" si="831"/>
        <v>37554.055163017198</v>
      </c>
      <c r="AT359" s="1178">
        <f t="shared" si="832"/>
        <v>826189.21358637838</v>
      </c>
      <c r="AU359" s="1178">
        <f t="shared" si="801"/>
        <v>99142.705630365395</v>
      </c>
      <c r="AV359" s="1178">
        <f t="shared" si="833"/>
        <v>925331.91921674379</v>
      </c>
      <c r="AW359" s="1178">
        <f t="shared" si="834"/>
        <v>3925331.9192167437</v>
      </c>
      <c r="AX359" s="762">
        <f t="shared" si="835"/>
        <v>49066.648990209302</v>
      </c>
      <c r="AY359" s="717" t="s">
        <v>231</v>
      </c>
      <c r="AZ359" s="717">
        <f t="shared" si="836"/>
        <v>3974398.5682069529</v>
      </c>
      <c r="BA359" s="717">
        <f t="shared" si="837"/>
        <v>149039.94630776072</v>
      </c>
      <c r="BB359" s="717"/>
      <c r="BC359" s="717">
        <f t="shared" si="802"/>
        <v>33600</v>
      </c>
      <c r="BD359" s="717">
        <f t="shared" si="838"/>
        <v>4157038.5145147135</v>
      </c>
      <c r="BE359" s="717"/>
      <c r="BF359" s="717">
        <f t="shared" si="839"/>
        <v>4157038.5145147135</v>
      </c>
      <c r="BG359" s="1209"/>
      <c r="BH359" s="717">
        <f t="shared" si="840"/>
        <v>4157038.5145147135</v>
      </c>
      <c r="BI359" s="717"/>
      <c r="BJ359" s="717">
        <f t="shared" si="841"/>
        <v>4157038.5145147135</v>
      </c>
      <c r="BK359" s="717"/>
      <c r="BL359" s="717">
        <f t="shared" si="842"/>
        <v>4157038.5145147135</v>
      </c>
      <c r="BM359" s="717"/>
      <c r="BN359" s="717">
        <f t="shared" si="843"/>
        <v>4157038.5145147135</v>
      </c>
      <c r="BO359" s="717"/>
      <c r="BP359" s="717">
        <f t="shared" si="803"/>
        <v>4157038.5145147135</v>
      </c>
      <c r="BQ359" s="717"/>
      <c r="BR359" s="717">
        <f t="shared" si="903"/>
        <v>4157038.5145147135</v>
      </c>
      <c r="BS359" s="717"/>
      <c r="BT359" s="717">
        <f t="shared" si="844"/>
        <v>4157038.5145147135</v>
      </c>
      <c r="BU359" s="717"/>
      <c r="BV359" s="1235">
        <f t="shared" si="904"/>
        <v>51400</v>
      </c>
      <c r="BW359" s="717">
        <f t="shared" si="845"/>
        <v>4208438.5145147135</v>
      </c>
      <c r="BX359" s="717"/>
      <c r="BY359" s="717">
        <f t="shared" si="846"/>
        <v>4208438.5145147135</v>
      </c>
      <c r="BZ359" s="1194">
        <f t="shared" si="847"/>
        <v>4208438.5145147135</v>
      </c>
      <c r="CA359" s="1194">
        <f t="shared" si="848"/>
        <v>3636438.5145147135</v>
      </c>
      <c r="CB359" s="1194">
        <v>26000</v>
      </c>
      <c r="CC359" s="1194">
        <f t="shared" si="849"/>
        <v>572000</v>
      </c>
      <c r="CD359" s="1194">
        <f t="shared" si="850"/>
        <v>68640</v>
      </c>
      <c r="CE359" s="1194">
        <f t="shared" si="851"/>
        <v>640640</v>
      </c>
      <c r="CF359" s="1200">
        <f t="shared" si="852"/>
        <v>4277078.5145147135</v>
      </c>
      <c r="CG359" s="757">
        <f t="shared" si="853"/>
        <v>4277078.5145147135</v>
      </c>
      <c r="CH359" s="758">
        <f t="shared" si="854"/>
        <v>436372.62174176559</v>
      </c>
      <c r="CI359" s="757">
        <f t="shared" si="804"/>
        <v>438400.54773775814</v>
      </c>
      <c r="CJ359" s="757">
        <f t="shared" si="805"/>
        <v>106926.96286286785</v>
      </c>
      <c r="CK359" s="759">
        <f t="shared" si="919"/>
        <v>5258778.6468571052</v>
      </c>
      <c r="CL359" s="764">
        <f t="shared" si="855"/>
        <v>0.125</v>
      </c>
      <c r="CM359" s="757">
        <f t="shared" si="856"/>
        <v>657347.33085713815</v>
      </c>
      <c r="CN359" s="757">
        <f t="shared" si="898"/>
        <v>30000</v>
      </c>
      <c r="CO359" s="757">
        <f t="shared" si="857"/>
        <v>627347.33085713815</v>
      </c>
      <c r="CP359" s="755">
        <f t="shared" si="858"/>
        <v>32</v>
      </c>
      <c r="CQ359" s="757">
        <f t="shared" si="901"/>
        <v>19604.604089285567</v>
      </c>
      <c r="CR359" s="764">
        <f t="shared" si="859"/>
        <v>0.875</v>
      </c>
      <c r="CS359" s="757">
        <f t="shared" si="860"/>
        <v>4601431.315999967</v>
      </c>
      <c r="CT359" s="1101">
        <f t="shared" si="861"/>
        <v>35674.84801618132</v>
      </c>
      <c r="CU359" s="1101">
        <f t="shared" si="862"/>
        <v>41358.965532064583</v>
      </c>
      <c r="CV359" s="1101">
        <f t="shared" si="863"/>
        <v>53426.519232970808</v>
      </c>
      <c r="CW359" s="1141">
        <f t="shared" si="806"/>
        <v>91113.855057897192</v>
      </c>
      <c r="CX359" s="1152">
        <f t="shared" si="864"/>
        <v>373788.89151384996</v>
      </c>
      <c r="CY359" s="1152">
        <f t="shared" si="865"/>
        <v>147906.44354180046</v>
      </c>
      <c r="CZ359" s="1152">
        <f t="shared" si="866"/>
        <v>106830.72934249975</v>
      </c>
      <c r="DA359" s="1152">
        <f t="shared" si="867"/>
        <v>81303.103262405057</v>
      </c>
      <c r="DB359" s="1143">
        <f t="shared" si="807"/>
        <v>0.27539640452879277</v>
      </c>
      <c r="DC359" s="1143">
        <f t="shared" si="868"/>
        <v>0.17617237234808411</v>
      </c>
      <c r="DD359" s="1098" t="s">
        <v>812</v>
      </c>
      <c r="DE359" s="1144"/>
      <c r="DF359" s="705"/>
      <c r="DG359" s="765">
        <f t="shared" si="899"/>
        <v>46082</v>
      </c>
      <c r="DH359" s="1116">
        <f t="shared" si="808"/>
        <v>28</v>
      </c>
      <c r="DI359" s="497"/>
      <c r="DJ359" s="1117">
        <f t="shared" si="869"/>
        <v>46147</v>
      </c>
      <c r="DK359" s="1116">
        <f t="shared" si="870"/>
        <v>30</v>
      </c>
      <c r="DL359" s="766" t="s">
        <v>813</v>
      </c>
      <c r="DM359" s="766" t="s">
        <v>234</v>
      </c>
      <c r="DN359" s="767">
        <f t="shared" si="809"/>
        <v>42060.541782579261</v>
      </c>
      <c r="DO359" s="767">
        <f t="shared" si="810"/>
        <v>925331.91921674379</v>
      </c>
      <c r="DP359" s="768">
        <f t="shared" si="811"/>
        <v>0.30844397307224791</v>
      </c>
      <c r="DR359" s="767">
        <f t="shared" si="812"/>
        <v>4277078.5145147135</v>
      </c>
      <c r="DS359" s="767">
        <f>SUM('[6]INTERNAL PRICELIST'!M359)</f>
        <v>0</v>
      </c>
      <c r="DT359" s="767">
        <f t="shared" si="871"/>
        <v>4277078.5145147135</v>
      </c>
      <c r="DV359" s="951">
        <f t="shared" si="813"/>
        <v>194412.6597506688</v>
      </c>
      <c r="DX359" s="781"/>
      <c r="DY359" s="782"/>
      <c r="DZ359" s="781"/>
      <c r="EA359" s="775"/>
      <c r="ED359" s="755" t="s">
        <v>824</v>
      </c>
      <c r="EE359" s="777" t="b">
        <f t="shared" si="814"/>
        <v>1</v>
      </c>
      <c r="EF359" s="777"/>
      <c r="EG359" s="777"/>
      <c r="EH359" s="1203"/>
      <c r="EP359" s="1230" t="s">
        <v>236</v>
      </c>
      <c r="EQ359" s="1145" t="s">
        <v>236</v>
      </c>
      <c r="ER359" s="753" t="b">
        <f t="shared" si="872"/>
        <v>1</v>
      </c>
      <c r="EU359" s="770">
        <v>3457426.8674007286</v>
      </c>
      <c r="EV359" s="771" t="s">
        <v>258</v>
      </c>
      <c r="EW359" s="775">
        <f t="shared" si="914"/>
        <v>-819651.64711398492</v>
      </c>
      <c r="EY359" s="775">
        <v>3421168.9389577992</v>
      </c>
      <c r="FJ359" s="994">
        <v>0.15</v>
      </c>
      <c r="FK359" s="993">
        <v>14908.389673312213</v>
      </c>
      <c r="FL359" s="993">
        <v>15311.319123942272</v>
      </c>
      <c r="FM359" s="497"/>
      <c r="FN359" s="993">
        <f t="shared" si="815"/>
        <v>5258778.6468571052</v>
      </c>
      <c r="FO359" s="994">
        <f t="shared" si="913"/>
        <v>0.15</v>
      </c>
      <c r="FP359" s="775">
        <f t="shared" si="816"/>
        <v>788816.79702856578</v>
      </c>
      <c r="FQ359" s="993">
        <f t="shared" si="817"/>
        <v>30000</v>
      </c>
      <c r="FR359" s="775">
        <f t="shared" si="874"/>
        <v>758816.79702856578</v>
      </c>
      <c r="FS359" s="497">
        <f t="shared" si="875"/>
        <v>40</v>
      </c>
      <c r="FT359" s="775">
        <f t="shared" si="876"/>
        <v>18970.419925714144</v>
      </c>
      <c r="FU359" s="497"/>
      <c r="FV359" s="993">
        <f t="shared" si="877"/>
        <v>5258778.6468571052</v>
      </c>
      <c r="FW359" s="705">
        <f t="shared" si="878"/>
        <v>525877.86468571052</v>
      </c>
      <c r="FX359" s="705">
        <f t="shared" si="879"/>
        <v>131469.46617142763</v>
      </c>
      <c r="FY359" s="705">
        <v>15000</v>
      </c>
      <c r="FZ359" s="705">
        <f t="shared" si="880"/>
        <v>510877.86468571052</v>
      </c>
      <c r="GA359" s="497">
        <f t="shared" si="881"/>
        <v>46</v>
      </c>
      <c r="GB359" s="775">
        <f t="shared" si="882"/>
        <v>11106.040536645882</v>
      </c>
      <c r="GC359" s="497"/>
      <c r="GD359" s="497"/>
      <c r="GH359" s="1095">
        <f t="shared" si="782"/>
        <v>5258778.6468571052</v>
      </c>
      <c r="GI359" s="1098">
        <f t="shared" si="783"/>
        <v>0.125</v>
      </c>
      <c r="GJ359" s="1095">
        <f t="shared" si="784"/>
        <v>657347.33085713815</v>
      </c>
      <c r="GK359" s="1095">
        <f t="shared" si="785"/>
        <v>30000</v>
      </c>
      <c r="GL359" s="1095">
        <f t="shared" si="786"/>
        <v>627347.33085713815</v>
      </c>
      <c r="GM359" s="1095">
        <f t="shared" si="787"/>
        <v>32</v>
      </c>
      <c r="GN359" s="1095">
        <f t="shared" si="788"/>
        <v>19604.604089285567</v>
      </c>
      <c r="GO359" s="1098">
        <f t="shared" si="789"/>
        <v>0.875</v>
      </c>
      <c r="GP359" s="1095">
        <f t="shared" si="790"/>
        <v>4601431.315999967</v>
      </c>
      <c r="GQ359" s="1095">
        <f t="shared" si="791"/>
        <v>35674.84801618132</v>
      </c>
      <c r="GR359" s="1095">
        <f t="shared" si="792"/>
        <v>41358.965532064583</v>
      </c>
      <c r="GS359" s="1095">
        <f t="shared" si="793"/>
        <v>53426.519232970808</v>
      </c>
      <c r="GT359" s="1095">
        <f t="shared" si="794"/>
        <v>91113.855057897192</v>
      </c>
      <c r="GU359" s="497"/>
      <c r="GV359" s="1095">
        <f t="shared" si="883"/>
        <v>5258778.6468571052</v>
      </c>
      <c r="GW359" s="1098">
        <f t="shared" si="884"/>
        <v>0.125</v>
      </c>
      <c r="GX359" s="1095">
        <f t="shared" si="885"/>
        <v>657347.33085713815</v>
      </c>
      <c r="GY359" s="1095">
        <f t="shared" si="886"/>
        <v>30000</v>
      </c>
      <c r="GZ359" s="1095">
        <f t="shared" si="887"/>
        <v>627347.33085713815</v>
      </c>
      <c r="HA359" s="1106">
        <f t="shared" si="888"/>
        <v>48</v>
      </c>
      <c r="HB359" s="770">
        <f t="shared" si="889"/>
        <v>13069.736059523711</v>
      </c>
      <c r="HC359" s="1098">
        <f t="shared" si="890"/>
        <v>0.875</v>
      </c>
      <c r="HD359" s="1102">
        <f t="shared" si="891"/>
        <v>4601431.315999967</v>
      </c>
      <c r="HE359" s="1101">
        <f t="shared" si="892"/>
        <v>35674.84801618132</v>
      </c>
      <c r="HF359" s="1101">
        <f t="shared" si="893"/>
        <v>41358.965532064583</v>
      </c>
      <c r="HG359" s="1101">
        <f t="shared" si="894"/>
        <v>53426.519232970808</v>
      </c>
      <c r="HH359" s="1101">
        <f t="shared" si="895"/>
        <v>91113.855057897192</v>
      </c>
      <c r="HI359" s="497"/>
      <c r="HJ359" s="1102">
        <f t="shared" si="896"/>
        <v>-6534.8680297618557</v>
      </c>
      <c r="HL359" s="775"/>
      <c r="HN359" s="775"/>
      <c r="HO359" s="775"/>
      <c r="HQ359" s="702"/>
      <c r="HR359" s="1171"/>
      <c r="HS359" s="702"/>
      <c r="HT359" s="1171"/>
    </row>
    <row r="360" spans="1:228" ht="14.25" hidden="1" customHeight="1">
      <c r="A360" s="753">
        <f t="shared" si="897"/>
        <v>354</v>
      </c>
      <c r="B360" s="753"/>
      <c r="C360" s="753">
        <f t="shared" si="911"/>
        <v>13</v>
      </c>
      <c r="D360" s="753" t="s">
        <v>292</v>
      </c>
      <c r="E360" s="717" t="s">
        <v>297</v>
      </c>
      <c r="F360" s="754"/>
      <c r="G360" s="756" t="s">
        <v>825</v>
      </c>
      <c r="H360" s="756"/>
      <c r="I360" s="755" t="s">
        <v>229</v>
      </c>
      <c r="J360" s="757">
        <v>22</v>
      </c>
      <c r="K360" s="758"/>
      <c r="L360" s="759" t="s">
        <v>277</v>
      </c>
      <c r="M360" s="760" t="s">
        <v>68</v>
      </c>
      <c r="N360" s="761">
        <f t="shared" si="818"/>
        <v>106005.26567735759</v>
      </c>
      <c r="O360" s="762">
        <f t="shared" si="819"/>
        <v>2332115.8449018667</v>
      </c>
      <c r="P360" s="762">
        <f t="shared" si="820"/>
        <v>22400</v>
      </c>
      <c r="Q360" s="762">
        <f t="shared" si="795"/>
        <v>50000</v>
      </c>
      <c r="R360" s="762"/>
      <c r="S360" s="762">
        <f t="shared" si="910"/>
        <v>176000</v>
      </c>
      <c r="T360" s="762"/>
      <c r="U360" s="762"/>
      <c r="V360" s="762"/>
      <c r="W360" s="762"/>
      <c r="X360" s="762"/>
      <c r="Y360" s="762">
        <f t="shared" si="912"/>
        <v>200000</v>
      </c>
      <c r="Z360" s="762">
        <f t="shared" si="796"/>
        <v>142461</v>
      </c>
      <c r="AA360" s="762">
        <v>45722.732758620688</v>
      </c>
      <c r="AB360" s="762"/>
      <c r="AC360" s="762"/>
      <c r="AD360" s="763">
        <f t="shared" si="821"/>
        <v>636583.73275862064</v>
      </c>
      <c r="AE360" s="763">
        <f t="shared" si="797"/>
        <v>2968699.5776604875</v>
      </c>
      <c r="AF360" s="762">
        <f t="shared" si="798"/>
        <v>74217.489441512196</v>
      </c>
      <c r="AG360" s="762">
        <f t="shared" si="822"/>
        <v>3042917.0671019997</v>
      </c>
      <c r="AH360" s="762">
        <f t="shared" si="799"/>
        <v>76072.92667755</v>
      </c>
      <c r="AI360" s="762">
        <f t="shared" si="823"/>
        <v>3118989.9937795498</v>
      </c>
      <c r="AJ360" s="762">
        <f t="shared" si="824"/>
        <v>155949.49968897749</v>
      </c>
      <c r="AK360" s="762">
        <f t="shared" si="825"/>
        <v>3274939.4934685272</v>
      </c>
      <c r="AL360" s="762">
        <f>AK360*AL$5+29772.4420833333</f>
        <v>62521.837018018574</v>
      </c>
      <c r="AM360" s="762">
        <f t="shared" si="827"/>
        <v>27537.409960060559</v>
      </c>
      <c r="AN360" s="762"/>
      <c r="AO360" s="763">
        <f t="shared" si="828"/>
        <v>3364998.7404466062</v>
      </c>
      <c r="AP360" s="763">
        <f t="shared" si="829"/>
        <v>555224.79217369005</v>
      </c>
      <c r="AQ360" s="763">
        <f t="shared" si="830"/>
        <v>3920223.5326202963</v>
      </c>
      <c r="AR360" s="1178">
        <f t="shared" si="800"/>
        <v>3000000</v>
      </c>
      <c r="AS360" s="1178">
        <f t="shared" si="831"/>
        <v>41828.342391831655</v>
      </c>
      <c r="AT360" s="1178">
        <f t="shared" si="832"/>
        <v>920223.53262029635</v>
      </c>
      <c r="AU360" s="1178">
        <f t="shared" si="801"/>
        <v>110426.82391443556</v>
      </c>
      <c r="AV360" s="1178">
        <f t="shared" si="833"/>
        <v>1030650.3565347319</v>
      </c>
      <c r="AW360" s="1178">
        <f t="shared" si="834"/>
        <v>4030650.356534732</v>
      </c>
      <c r="AX360" s="762">
        <f t="shared" si="835"/>
        <v>50383.129456684153</v>
      </c>
      <c r="AY360" s="717" t="s">
        <v>231</v>
      </c>
      <c r="AZ360" s="717">
        <f t="shared" si="836"/>
        <v>4081033.485991416</v>
      </c>
      <c r="BA360" s="717">
        <f t="shared" si="837"/>
        <v>153038.75572467811</v>
      </c>
      <c r="BB360" s="717"/>
      <c r="BC360" s="717">
        <f t="shared" si="802"/>
        <v>33600</v>
      </c>
      <c r="BD360" s="717">
        <f t="shared" si="838"/>
        <v>4267672.2417160943</v>
      </c>
      <c r="BE360" s="717"/>
      <c r="BF360" s="717">
        <f t="shared" si="839"/>
        <v>4267672.2417160943</v>
      </c>
      <c r="BG360" s="1209"/>
      <c r="BH360" s="717">
        <f t="shared" si="840"/>
        <v>4267672.2417160943</v>
      </c>
      <c r="BI360" s="717"/>
      <c r="BJ360" s="717">
        <f t="shared" si="841"/>
        <v>4267672.2417160943</v>
      </c>
      <c r="BK360" s="717"/>
      <c r="BL360" s="717">
        <f t="shared" si="842"/>
        <v>4267672.2417160943</v>
      </c>
      <c r="BM360" s="717"/>
      <c r="BN360" s="717">
        <f t="shared" si="843"/>
        <v>4267672.2417160943</v>
      </c>
      <c r="BO360" s="717"/>
      <c r="BP360" s="717">
        <f t="shared" si="803"/>
        <v>4267672.2417160943</v>
      </c>
      <c r="BQ360" s="717"/>
      <c r="BR360" s="717">
        <f t="shared" si="903"/>
        <v>4267672.2417160943</v>
      </c>
      <c r="BS360" s="717"/>
      <c r="BT360" s="717">
        <f t="shared" si="844"/>
        <v>4267672.2417160943</v>
      </c>
      <c r="BU360" s="717"/>
      <c r="BV360" s="1235">
        <f t="shared" si="904"/>
        <v>51400</v>
      </c>
      <c r="BW360" s="717">
        <f t="shared" si="845"/>
        <v>4319072.2417160943</v>
      </c>
      <c r="BX360" s="717"/>
      <c r="BY360" s="717">
        <f t="shared" si="846"/>
        <v>4319072.2417160943</v>
      </c>
      <c r="BZ360" s="1194">
        <f t="shared" si="847"/>
        <v>4319072.2417160943</v>
      </c>
      <c r="CA360" s="1194">
        <f t="shared" si="848"/>
        <v>3637072.2417160943</v>
      </c>
      <c r="CB360" s="1194">
        <v>31000</v>
      </c>
      <c r="CC360" s="1194">
        <f t="shared" si="849"/>
        <v>682000</v>
      </c>
      <c r="CD360" s="1194">
        <f t="shared" si="850"/>
        <v>81840</v>
      </c>
      <c r="CE360" s="1194">
        <f t="shared" si="851"/>
        <v>763840</v>
      </c>
      <c r="CF360" s="1200">
        <f t="shared" si="852"/>
        <v>4400912.2417160943</v>
      </c>
      <c r="CG360" s="757">
        <f t="shared" si="853"/>
        <v>4400912.2417160943</v>
      </c>
      <c r="CH360" s="758">
        <f t="shared" si="854"/>
        <v>436448.6690059313</v>
      </c>
      <c r="CI360" s="757">
        <f t="shared" si="804"/>
        <v>451093.50477589964</v>
      </c>
      <c r="CJ360" s="757">
        <f t="shared" si="805"/>
        <v>110022.80604290236</v>
      </c>
      <c r="CK360" s="759">
        <f t="shared" si="919"/>
        <v>5398477.2215408273</v>
      </c>
      <c r="CL360" s="764">
        <f t="shared" si="855"/>
        <v>0.125</v>
      </c>
      <c r="CM360" s="757">
        <f t="shared" si="856"/>
        <v>674809.65269260341</v>
      </c>
      <c r="CN360" s="757">
        <f t="shared" si="898"/>
        <v>30000</v>
      </c>
      <c r="CO360" s="757">
        <f t="shared" si="857"/>
        <v>644809.65269260341</v>
      </c>
      <c r="CP360" s="755">
        <f t="shared" si="858"/>
        <v>32</v>
      </c>
      <c r="CQ360" s="757">
        <f t="shared" si="901"/>
        <v>20150.301646643857</v>
      </c>
      <c r="CR360" s="764">
        <f t="shared" si="859"/>
        <v>0.875</v>
      </c>
      <c r="CS360" s="757">
        <f t="shared" si="860"/>
        <v>4723667.5688482244</v>
      </c>
      <c r="CT360" s="1101">
        <f t="shared" si="861"/>
        <v>36622.544383454253</v>
      </c>
      <c r="CU360" s="1101">
        <f t="shared" si="862"/>
        <v>42457.659529895369</v>
      </c>
      <c r="CV360" s="1101">
        <f t="shared" si="863"/>
        <v>54845.785775330252</v>
      </c>
      <c r="CW360" s="1141">
        <f t="shared" si="806"/>
        <v>93534.279369373893</v>
      </c>
      <c r="CX360" s="1152">
        <f t="shared" si="864"/>
        <v>383718.53086238977</v>
      </c>
      <c r="CY360" s="1152">
        <f t="shared" si="865"/>
        <v>151835.55346196733</v>
      </c>
      <c r="CZ360" s="1152">
        <f t="shared" si="866"/>
        <v>109668.66978908786</v>
      </c>
      <c r="DA360" s="1152">
        <f t="shared" si="867"/>
        <v>83462.90659428887</v>
      </c>
      <c r="DB360" s="1143">
        <f t="shared" si="807"/>
        <v>0.30674117754009878</v>
      </c>
      <c r="DC360" s="1143">
        <f t="shared" si="868"/>
        <v>0.21001507510326337</v>
      </c>
      <c r="DD360" s="1098" t="s">
        <v>812</v>
      </c>
      <c r="DE360" s="1144"/>
      <c r="DF360" s="705"/>
      <c r="DG360" s="765">
        <f t="shared" si="899"/>
        <v>46082</v>
      </c>
      <c r="DH360" s="1116">
        <f t="shared" si="808"/>
        <v>28</v>
      </c>
      <c r="DI360" s="497"/>
      <c r="DJ360" s="1117">
        <f t="shared" si="869"/>
        <v>46147</v>
      </c>
      <c r="DK360" s="1116">
        <f t="shared" si="870"/>
        <v>30</v>
      </c>
      <c r="DL360" s="766" t="s">
        <v>813</v>
      </c>
      <c r="DM360" s="766" t="s">
        <v>234</v>
      </c>
      <c r="DN360" s="767">
        <f t="shared" si="809"/>
        <v>46847.743478851451</v>
      </c>
      <c r="DO360" s="767">
        <f t="shared" si="810"/>
        <v>1030650.3565347319</v>
      </c>
      <c r="DP360" s="768">
        <f t="shared" si="811"/>
        <v>0.34355011884491066</v>
      </c>
      <c r="DR360" s="767">
        <f t="shared" si="812"/>
        <v>4400912.2417160943</v>
      </c>
      <c r="DS360" s="767">
        <f>SUM('[6]INTERNAL PRICELIST'!M360)</f>
        <v>0</v>
      </c>
      <c r="DT360" s="767">
        <f t="shared" si="871"/>
        <v>4400912.2417160943</v>
      </c>
      <c r="DV360" s="951">
        <f t="shared" si="813"/>
        <v>200041.46553254974</v>
      </c>
      <c r="DX360" s="781"/>
      <c r="DY360" s="782"/>
      <c r="DZ360" s="781"/>
      <c r="EA360" s="775"/>
      <c r="ED360" s="755" t="s">
        <v>825</v>
      </c>
      <c r="EE360" s="777" t="b">
        <f t="shared" si="814"/>
        <v>1</v>
      </c>
      <c r="EF360" s="777"/>
      <c r="EG360" s="777"/>
      <c r="EH360" s="1203"/>
      <c r="EO360" s="497" t="s">
        <v>330</v>
      </c>
      <c r="EP360" s="1230" t="s">
        <v>236</v>
      </c>
      <c r="EQ360" s="1145" t="s">
        <v>236</v>
      </c>
      <c r="ER360" s="753" t="b">
        <f t="shared" si="872"/>
        <v>1</v>
      </c>
      <c r="EU360" s="770">
        <v>3457426.8674007286</v>
      </c>
      <c r="EV360" s="771" t="s">
        <v>258</v>
      </c>
      <c r="EW360" s="775">
        <f t="shared" si="914"/>
        <v>-943485.37431536568</v>
      </c>
      <c r="EY360" s="775">
        <v>3421168.9389577992</v>
      </c>
      <c r="FJ360" s="994">
        <v>0.15</v>
      </c>
      <c r="FK360" s="993">
        <v>14908.389673312213</v>
      </c>
      <c r="FL360" s="993">
        <v>15311.319123942272</v>
      </c>
      <c r="FM360" s="497"/>
      <c r="FN360" s="993">
        <f t="shared" si="815"/>
        <v>5398477.2215408273</v>
      </c>
      <c r="FO360" s="994">
        <f t="shared" si="913"/>
        <v>0.15</v>
      </c>
      <c r="FP360" s="775">
        <f t="shared" si="816"/>
        <v>809771.5832311241</v>
      </c>
      <c r="FQ360" s="993">
        <f t="shared" si="817"/>
        <v>30000</v>
      </c>
      <c r="FR360" s="775">
        <f t="shared" si="874"/>
        <v>779771.5832311241</v>
      </c>
      <c r="FS360" s="497">
        <f t="shared" si="875"/>
        <v>40</v>
      </c>
      <c r="FT360" s="775">
        <f t="shared" si="876"/>
        <v>19494.289580778102</v>
      </c>
      <c r="FU360" s="497"/>
      <c r="FV360" s="993">
        <f t="shared" si="877"/>
        <v>5398477.2215408273</v>
      </c>
      <c r="FW360" s="705">
        <f t="shared" si="878"/>
        <v>539847.72215408273</v>
      </c>
      <c r="FX360" s="705">
        <f t="shared" si="879"/>
        <v>134961.93053852068</v>
      </c>
      <c r="FY360" s="705">
        <v>15000</v>
      </c>
      <c r="FZ360" s="705">
        <f t="shared" si="880"/>
        <v>524847.72215408273</v>
      </c>
      <c r="GA360" s="497">
        <f t="shared" si="881"/>
        <v>46</v>
      </c>
      <c r="GB360" s="775">
        <f t="shared" si="882"/>
        <v>11409.733090306147</v>
      </c>
      <c r="GC360" s="497"/>
      <c r="GD360" s="497"/>
      <c r="GH360" s="1095">
        <f t="shared" si="782"/>
        <v>5398477.2215408273</v>
      </c>
      <c r="GI360" s="1098">
        <f t="shared" si="783"/>
        <v>0.125</v>
      </c>
      <c r="GJ360" s="1095">
        <f t="shared" si="784"/>
        <v>674809.65269260341</v>
      </c>
      <c r="GK360" s="1095">
        <f t="shared" si="785"/>
        <v>30000</v>
      </c>
      <c r="GL360" s="1095">
        <f t="shared" si="786"/>
        <v>644809.65269260341</v>
      </c>
      <c r="GM360" s="1095">
        <f t="shared" si="787"/>
        <v>32</v>
      </c>
      <c r="GN360" s="1095">
        <f t="shared" si="788"/>
        <v>20150.301646643857</v>
      </c>
      <c r="GO360" s="1098">
        <f t="shared" si="789"/>
        <v>0.875</v>
      </c>
      <c r="GP360" s="1095">
        <f t="shared" si="790"/>
        <v>4723667.5688482244</v>
      </c>
      <c r="GQ360" s="1095">
        <f t="shared" si="791"/>
        <v>36622.544383454253</v>
      </c>
      <c r="GR360" s="1095">
        <f t="shared" si="792"/>
        <v>42457.659529895369</v>
      </c>
      <c r="GS360" s="1095">
        <f t="shared" si="793"/>
        <v>54845.785775330252</v>
      </c>
      <c r="GT360" s="1095">
        <f t="shared" si="794"/>
        <v>93534.279369373893</v>
      </c>
      <c r="GU360" s="497"/>
      <c r="GV360" s="1095">
        <f t="shared" si="883"/>
        <v>5398477.2215408273</v>
      </c>
      <c r="GW360" s="1098">
        <f t="shared" si="884"/>
        <v>0.125</v>
      </c>
      <c r="GX360" s="1095">
        <f t="shared" si="885"/>
        <v>674809.65269260341</v>
      </c>
      <c r="GY360" s="1095">
        <f t="shared" si="886"/>
        <v>30000</v>
      </c>
      <c r="GZ360" s="1095">
        <f t="shared" si="887"/>
        <v>644809.65269260341</v>
      </c>
      <c r="HA360" s="1106">
        <f t="shared" si="888"/>
        <v>48</v>
      </c>
      <c r="HB360" s="770">
        <f t="shared" si="889"/>
        <v>13433.534431095904</v>
      </c>
      <c r="HC360" s="1098">
        <f t="shared" si="890"/>
        <v>0.875</v>
      </c>
      <c r="HD360" s="1102">
        <f t="shared" si="891"/>
        <v>4723667.5688482244</v>
      </c>
      <c r="HE360" s="1101">
        <f t="shared" si="892"/>
        <v>36622.544383454253</v>
      </c>
      <c r="HF360" s="1101">
        <f t="shared" si="893"/>
        <v>42457.659529895369</v>
      </c>
      <c r="HG360" s="1101">
        <f t="shared" si="894"/>
        <v>54845.785775330252</v>
      </c>
      <c r="HH360" s="1101">
        <f t="shared" si="895"/>
        <v>93534.279369373893</v>
      </c>
      <c r="HI360" s="497"/>
      <c r="HJ360" s="1102">
        <f t="shared" si="896"/>
        <v>-6716.7672155479522</v>
      </c>
      <c r="HL360" s="775"/>
      <c r="HN360" s="775"/>
      <c r="HO360" s="775"/>
      <c r="HQ360" s="702"/>
      <c r="HR360" s="1171"/>
      <c r="HS360" s="702"/>
      <c r="HT360" s="1171"/>
    </row>
    <row r="361" spans="1:228" ht="14.25" customHeight="1">
      <c r="A361" s="753">
        <f t="shared" si="897"/>
        <v>355</v>
      </c>
      <c r="B361" s="753"/>
      <c r="C361" s="753">
        <f t="shared" si="911"/>
        <v>14</v>
      </c>
      <c r="D361" s="753" t="s">
        <v>292</v>
      </c>
      <c r="E361" s="717" t="s">
        <v>297</v>
      </c>
      <c r="F361" s="754"/>
      <c r="G361" s="756" t="s">
        <v>826</v>
      </c>
      <c r="H361" s="756"/>
      <c r="I361" s="755" t="s">
        <v>229</v>
      </c>
      <c r="J361" s="757">
        <v>22</v>
      </c>
      <c r="K361" s="758"/>
      <c r="L361" s="759" t="s">
        <v>277</v>
      </c>
      <c r="M361" s="760" t="s">
        <v>278</v>
      </c>
      <c r="N361" s="761">
        <f t="shared" si="818"/>
        <v>106005.26567735759</v>
      </c>
      <c r="O361" s="762">
        <f t="shared" si="819"/>
        <v>2332115.8449018667</v>
      </c>
      <c r="P361" s="762">
        <f t="shared" si="820"/>
        <v>22400</v>
      </c>
      <c r="Q361" s="762">
        <f t="shared" si="795"/>
        <v>50000</v>
      </c>
      <c r="R361" s="762"/>
      <c r="S361" s="762">
        <f t="shared" si="910"/>
        <v>176000</v>
      </c>
      <c r="T361" s="762"/>
      <c r="U361" s="762"/>
      <c r="V361" s="762"/>
      <c r="W361" s="762">
        <f t="shared" ref="W361:W362" si="920">J361*$W$5</f>
        <v>22000</v>
      </c>
      <c r="X361" s="762"/>
      <c r="Y361" s="762">
        <f t="shared" si="912"/>
        <v>200000</v>
      </c>
      <c r="Z361" s="762">
        <f t="shared" si="796"/>
        <v>142461</v>
      </c>
      <c r="AA361" s="762">
        <v>49222.732758620703</v>
      </c>
      <c r="AB361" s="762"/>
      <c r="AC361" s="762"/>
      <c r="AD361" s="763">
        <f t="shared" si="821"/>
        <v>662083.73275862075</v>
      </c>
      <c r="AE361" s="763">
        <f t="shared" si="797"/>
        <v>2994199.5776604875</v>
      </c>
      <c r="AF361" s="762">
        <f t="shared" si="798"/>
        <v>74854.989441512196</v>
      </c>
      <c r="AG361" s="762">
        <f t="shared" si="822"/>
        <v>3069054.5671019997</v>
      </c>
      <c r="AH361" s="762">
        <f t="shared" si="799"/>
        <v>76726.36417755</v>
      </c>
      <c r="AI361" s="762">
        <f t="shared" si="823"/>
        <v>3145780.9312795498</v>
      </c>
      <c r="AJ361" s="762">
        <f t="shared" si="824"/>
        <v>157289.04656397749</v>
      </c>
      <c r="AK361" s="762">
        <f t="shared" si="825"/>
        <v>3303069.9778435272</v>
      </c>
      <c r="AL361" s="762">
        <f>AK361*AL$5+29772.4420833333</f>
        <v>62803.14186176857</v>
      </c>
      <c r="AM361" s="762">
        <f t="shared" si="827"/>
        <v>27537.409960060559</v>
      </c>
      <c r="AN361" s="762"/>
      <c r="AO361" s="763">
        <f t="shared" si="828"/>
        <v>3393410.529665356</v>
      </c>
      <c r="AP361" s="763">
        <f t="shared" si="829"/>
        <v>559912.73739478376</v>
      </c>
      <c r="AQ361" s="763">
        <f t="shared" si="830"/>
        <v>3953323.2670601397</v>
      </c>
      <c r="AR361" s="1178">
        <f t="shared" si="800"/>
        <v>3000000</v>
      </c>
      <c r="AS361" s="1178">
        <f t="shared" si="831"/>
        <v>43332.875775460896</v>
      </c>
      <c r="AT361" s="1178">
        <f t="shared" si="832"/>
        <v>953323.26706013968</v>
      </c>
      <c r="AU361" s="1178">
        <f t="shared" si="801"/>
        <v>114398.79204721676</v>
      </c>
      <c r="AV361" s="1178">
        <f t="shared" si="833"/>
        <v>1067722.0591073565</v>
      </c>
      <c r="AW361" s="1178">
        <f t="shared" si="834"/>
        <v>4067722.0591073562</v>
      </c>
      <c r="AX361" s="762">
        <f t="shared" si="835"/>
        <v>50846.525738841956</v>
      </c>
      <c r="AY361" s="717">
        <v>7575.3956645161297</v>
      </c>
      <c r="AZ361" s="717">
        <f t="shared" si="836"/>
        <v>4126143.980510714</v>
      </c>
      <c r="BA361" s="717">
        <f t="shared" si="837"/>
        <v>154730.39926915176</v>
      </c>
      <c r="BB361" s="717"/>
      <c r="BC361" s="717">
        <f t="shared" si="802"/>
        <v>33600</v>
      </c>
      <c r="BD361" s="717">
        <f t="shared" si="838"/>
        <v>4314474.379779866</v>
      </c>
      <c r="BE361" s="717">
        <v>18367.830916129038</v>
      </c>
      <c r="BF361" s="717">
        <f t="shared" si="839"/>
        <v>4332842.210695995</v>
      </c>
      <c r="BG361" s="1209"/>
      <c r="BH361" s="717">
        <f t="shared" si="840"/>
        <v>4332842.210695995</v>
      </c>
      <c r="BI361" s="717">
        <v>718.43902439024396</v>
      </c>
      <c r="BJ361" s="717">
        <f t="shared" si="841"/>
        <v>4333560.6497203857</v>
      </c>
      <c r="BK361" s="717"/>
      <c r="BL361" s="717">
        <f t="shared" si="842"/>
        <v>4333560.6497203857</v>
      </c>
      <c r="BM361" s="717">
        <f t="shared" ref="BM361:BM362" si="921">$BM$5/41</f>
        <v>1038.0487804878051</v>
      </c>
      <c r="BN361" s="717">
        <f t="shared" si="843"/>
        <v>4334598.6985008735</v>
      </c>
      <c r="BO361" s="717">
        <f t="shared" ref="BO361:BO362" si="922">$BO$5/51</f>
        <v>7289.0781490196077</v>
      </c>
      <c r="BP361" s="717">
        <f t="shared" si="803"/>
        <v>4341887.7766498933</v>
      </c>
      <c r="BQ361" s="717">
        <f t="shared" ref="BQ361:BQ362" si="923">$BQ$5/56</f>
        <v>4468.4242000000004</v>
      </c>
      <c r="BR361" s="717">
        <f t="shared" si="903"/>
        <v>4346356.2008498935</v>
      </c>
      <c r="BS361" s="1234">
        <f t="shared" ref="BS361:BS362" si="924">$BS$5/64</f>
        <v>2651.4786794501206</v>
      </c>
      <c r="BT361" s="1235">
        <f t="shared" si="844"/>
        <v>4349007.6795293437</v>
      </c>
      <c r="BU361" s="1235">
        <f t="shared" ref="BU361:BU362" si="925">$BU$5/65</f>
        <v>211.07692307692309</v>
      </c>
      <c r="BV361" s="1235">
        <f t="shared" si="904"/>
        <v>51400</v>
      </c>
      <c r="BW361" s="717">
        <f t="shared" si="845"/>
        <v>4400618.7564524207</v>
      </c>
      <c r="BX361" s="1234">
        <f t="shared" si="908"/>
        <v>27651.078536278128</v>
      </c>
      <c r="BY361" s="717">
        <f t="shared" si="846"/>
        <v>4428269.8349886993</v>
      </c>
      <c r="BZ361" s="1194">
        <f t="shared" si="847"/>
        <v>4428269.8349886993</v>
      </c>
      <c r="CA361" s="1194">
        <f t="shared" si="848"/>
        <v>3548269.8349886993</v>
      </c>
      <c r="CB361" s="1194">
        <f t="shared" ref="CB361:CB362" si="926">$CB$5</f>
        <v>40000</v>
      </c>
      <c r="CC361" s="1194">
        <f t="shared" si="849"/>
        <v>880000</v>
      </c>
      <c r="CD361" s="1194">
        <f t="shared" si="850"/>
        <v>105600</v>
      </c>
      <c r="CE361" s="1194">
        <f t="shared" si="851"/>
        <v>985600</v>
      </c>
      <c r="CF361" s="1200">
        <f t="shared" si="852"/>
        <v>4533869.8349886993</v>
      </c>
      <c r="CG361" s="757">
        <f t="shared" si="853"/>
        <v>4533869.8349886993</v>
      </c>
      <c r="CH361" s="758">
        <f t="shared" si="854"/>
        <v>0</v>
      </c>
      <c r="CI361" s="757">
        <f t="shared" si="804"/>
        <v>464721.65808634163</v>
      </c>
      <c r="CJ361" s="757">
        <f t="shared" si="805"/>
        <v>113346.74587471748</v>
      </c>
      <c r="CK361" s="759">
        <f t="shared" si="919"/>
        <v>5111938.2389497589</v>
      </c>
      <c r="CL361" s="764">
        <f t="shared" si="855"/>
        <v>0.125</v>
      </c>
      <c r="CM361" s="757">
        <f t="shared" si="856"/>
        <v>638992.27986871987</v>
      </c>
      <c r="CN361" s="757">
        <f t="shared" si="898"/>
        <v>30000</v>
      </c>
      <c r="CO361" s="757">
        <f t="shared" si="857"/>
        <v>608992.27986871987</v>
      </c>
      <c r="CP361" s="755">
        <f t="shared" si="858"/>
        <v>32</v>
      </c>
      <c r="CQ361" s="757">
        <f t="shared" si="901"/>
        <v>19031.008745897496</v>
      </c>
      <c r="CR361" s="764">
        <f t="shared" si="859"/>
        <v>0.875</v>
      </c>
      <c r="CS361" s="757">
        <f t="shared" si="860"/>
        <v>4472945.9590810388</v>
      </c>
      <c r="CT361" s="1101">
        <f t="shared" si="861"/>
        <v>34678.702411562757</v>
      </c>
      <c r="CU361" s="1101">
        <f t="shared" si="862"/>
        <v>40204.102820171611</v>
      </c>
      <c r="CV361" s="1101">
        <f t="shared" si="863"/>
        <v>51934.695293598925</v>
      </c>
      <c r="CW361" s="1141">
        <f t="shared" si="806"/>
        <v>88569.690996017816</v>
      </c>
      <c r="CX361" s="1152">
        <f t="shared" si="864"/>
        <v>363351.61757878301</v>
      </c>
      <c r="CY361" s="1152">
        <f t="shared" si="865"/>
        <v>143776.46508857486</v>
      </c>
      <c r="CZ361" s="1152">
        <f t="shared" si="866"/>
        <v>103847.70439942341</v>
      </c>
      <c r="DA361" s="1152">
        <f t="shared" si="867"/>
        <v>79032.883949348456</v>
      </c>
      <c r="DB361" s="1143">
        <f t="shared" si="807"/>
        <v>0.31777442235337988</v>
      </c>
      <c r="DC361" s="1143">
        <f t="shared" si="868"/>
        <v>0.27776917930006834</v>
      </c>
      <c r="DD361" s="1098" t="s">
        <v>812</v>
      </c>
      <c r="DE361" s="1144"/>
      <c r="DF361" s="705"/>
      <c r="DG361" s="765">
        <f t="shared" si="899"/>
        <v>46082</v>
      </c>
      <c r="DH361" s="1116">
        <f t="shared" si="808"/>
        <v>28</v>
      </c>
      <c r="DI361" s="497"/>
      <c r="DJ361" s="1117">
        <f t="shared" si="869"/>
        <v>46147</v>
      </c>
      <c r="DK361" s="1116">
        <f t="shared" si="870"/>
        <v>30</v>
      </c>
      <c r="DL361" s="766" t="s">
        <v>813</v>
      </c>
      <c r="DM361" s="766" t="s">
        <v>234</v>
      </c>
      <c r="DN361" s="767">
        <f t="shared" si="809"/>
        <v>48532.820868516203</v>
      </c>
      <c r="DO361" s="767">
        <f t="shared" si="810"/>
        <v>1067722.0591073565</v>
      </c>
      <c r="DP361" s="768">
        <f t="shared" si="811"/>
        <v>0.35590735303578547</v>
      </c>
      <c r="DR361" s="767">
        <f t="shared" si="812"/>
        <v>4533869.8349886993</v>
      </c>
      <c r="DS361" s="767">
        <f>SUM('[6]INTERNAL PRICELIST'!M361)</f>
        <v>0</v>
      </c>
      <c r="DT361" s="767">
        <f t="shared" si="871"/>
        <v>4533869.8349886993</v>
      </c>
      <c r="DV361" s="951">
        <f t="shared" si="813"/>
        <v>206084.99249948634</v>
      </c>
      <c r="DX361" s="781"/>
      <c r="DY361" s="782"/>
      <c r="DZ361" s="781"/>
      <c r="EA361" s="775"/>
      <c r="ED361" s="755" t="s">
        <v>826</v>
      </c>
      <c r="EE361" s="777" t="b">
        <f t="shared" si="814"/>
        <v>1</v>
      </c>
      <c r="EF361" s="777"/>
      <c r="EG361" s="777"/>
      <c r="EH361" s="1203"/>
      <c r="EP361" s="1230" t="s">
        <v>258</v>
      </c>
      <c r="EQ361" s="1145" t="s">
        <v>258</v>
      </c>
      <c r="ER361" s="823" t="b">
        <f t="shared" si="872"/>
        <v>1</v>
      </c>
      <c r="EU361" s="770">
        <v>3485255.8224007287</v>
      </c>
      <c r="EV361" s="771" t="s">
        <v>258</v>
      </c>
      <c r="EW361" s="775">
        <f t="shared" si="914"/>
        <v>-1048614.0125879706</v>
      </c>
      <c r="EY361" s="775">
        <v>3448751.6400652993</v>
      </c>
      <c r="FJ361" s="994">
        <v>0.15</v>
      </c>
      <c r="FK361" s="993">
        <v>15030.576200148069</v>
      </c>
      <c r="FL361" s="993">
        <v>15436.80798934126</v>
      </c>
      <c r="FM361" s="497"/>
      <c r="FN361" s="993">
        <f t="shared" si="815"/>
        <v>5111938.2389497589</v>
      </c>
      <c r="FO361" s="994">
        <f t="shared" si="913"/>
        <v>0.15</v>
      </c>
      <c r="FP361" s="775">
        <f t="shared" si="816"/>
        <v>766790.73584246379</v>
      </c>
      <c r="FQ361" s="993">
        <f t="shared" si="817"/>
        <v>30000</v>
      </c>
      <c r="FR361" s="775">
        <f t="shared" si="874"/>
        <v>736790.73584246379</v>
      </c>
      <c r="FS361" s="497">
        <f t="shared" si="875"/>
        <v>40</v>
      </c>
      <c r="FT361" s="775">
        <f t="shared" si="876"/>
        <v>18419.768396061594</v>
      </c>
      <c r="FU361" s="497"/>
      <c r="FV361" s="993">
        <f t="shared" si="877"/>
        <v>5111938.2389497589</v>
      </c>
      <c r="FW361" s="705">
        <f t="shared" si="878"/>
        <v>511193.82389497594</v>
      </c>
      <c r="FX361" s="705">
        <f t="shared" si="879"/>
        <v>127798.45597374398</v>
      </c>
      <c r="FY361" s="705">
        <v>15000</v>
      </c>
      <c r="FZ361" s="705">
        <f t="shared" si="880"/>
        <v>496193.82389497594</v>
      </c>
      <c r="GA361" s="497">
        <f t="shared" si="881"/>
        <v>46</v>
      </c>
      <c r="GB361" s="775">
        <f t="shared" si="882"/>
        <v>10786.822258586433</v>
      </c>
      <c r="GC361" s="497"/>
      <c r="GD361" s="497"/>
      <c r="GH361" s="1095">
        <f t="shared" si="782"/>
        <v>5111938.2389497589</v>
      </c>
      <c r="GI361" s="1098">
        <f t="shared" si="783"/>
        <v>0.125</v>
      </c>
      <c r="GJ361" s="1095">
        <f t="shared" si="784"/>
        <v>638992.27986871987</v>
      </c>
      <c r="GK361" s="1095">
        <f t="shared" si="785"/>
        <v>30000</v>
      </c>
      <c r="GL361" s="1095">
        <f t="shared" si="786"/>
        <v>608992.27986871987</v>
      </c>
      <c r="GM361" s="1095">
        <f t="shared" si="787"/>
        <v>32</v>
      </c>
      <c r="GN361" s="1095">
        <f t="shared" si="788"/>
        <v>19031.008745897496</v>
      </c>
      <c r="GO361" s="1098">
        <f t="shared" si="789"/>
        <v>0.875</v>
      </c>
      <c r="GP361" s="1095">
        <f t="shared" si="790"/>
        <v>4472945.9590810388</v>
      </c>
      <c r="GQ361" s="1095">
        <f t="shared" si="791"/>
        <v>34678.702411562757</v>
      </c>
      <c r="GR361" s="1095">
        <f t="shared" si="792"/>
        <v>40204.102820171611</v>
      </c>
      <c r="GS361" s="1095">
        <f t="shared" si="793"/>
        <v>51934.695293598925</v>
      </c>
      <c r="GT361" s="1095">
        <f t="shared" si="794"/>
        <v>88569.690996017816</v>
      </c>
      <c r="GU361" s="497"/>
      <c r="GV361" s="1095">
        <f t="shared" si="883"/>
        <v>5111938.2389497589</v>
      </c>
      <c r="GW361" s="1098">
        <f t="shared" si="884"/>
        <v>0.125</v>
      </c>
      <c r="GX361" s="1095">
        <f t="shared" si="885"/>
        <v>638992.27986871987</v>
      </c>
      <c r="GY361" s="1095">
        <f t="shared" si="886"/>
        <v>30000</v>
      </c>
      <c r="GZ361" s="1095">
        <f t="shared" si="887"/>
        <v>608992.27986871987</v>
      </c>
      <c r="HA361" s="1106">
        <f t="shared" si="888"/>
        <v>48</v>
      </c>
      <c r="HB361" s="770">
        <f t="shared" si="889"/>
        <v>12687.339163931663</v>
      </c>
      <c r="HC361" s="1098">
        <f t="shared" si="890"/>
        <v>0.875</v>
      </c>
      <c r="HD361" s="1102">
        <f t="shared" si="891"/>
        <v>4472945.9590810388</v>
      </c>
      <c r="HE361" s="1101">
        <f t="shared" si="892"/>
        <v>34678.702411562757</v>
      </c>
      <c r="HF361" s="1101">
        <f t="shared" si="893"/>
        <v>40204.102820171611</v>
      </c>
      <c r="HG361" s="1101">
        <f t="shared" si="894"/>
        <v>51934.695293598925</v>
      </c>
      <c r="HH361" s="1101">
        <f t="shared" si="895"/>
        <v>88569.690996017816</v>
      </c>
      <c r="HI361" s="497"/>
      <c r="HJ361" s="1102">
        <f t="shared" si="896"/>
        <v>-6343.6695819658325</v>
      </c>
      <c r="HL361" s="775"/>
      <c r="HN361" s="775"/>
      <c r="HO361" s="775"/>
      <c r="HQ361" s="702"/>
      <c r="HR361" s="1171"/>
      <c r="HS361" s="702"/>
      <c r="HT361" s="1171"/>
    </row>
    <row r="362" spans="1:228" ht="14.25" customHeight="1">
      <c r="A362" s="753">
        <f t="shared" si="897"/>
        <v>356</v>
      </c>
      <c r="B362" s="753"/>
      <c r="C362" s="753">
        <f t="shared" si="911"/>
        <v>15</v>
      </c>
      <c r="D362" s="753" t="s">
        <v>292</v>
      </c>
      <c r="E362" s="717" t="s">
        <v>297</v>
      </c>
      <c r="F362" s="754"/>
      <c r="G362" s="756" t="s">
        <v>827</v>
      </c>
      <c r="H362" s="756"/>
      <c r="I362" s="755" t="s">
        <v>229</v>
      </c>
      <c r="J362" s="757">
        <v>22</v>
      </c>
      <c r="K362" s="758"/>
      <c r="L362" s="759" t="s">
        <v>277</v>
      </c>
      <c r="M362" s="760" t="s">
        <v>278</v>
      </c>
      <c r="N362" s="761">
        <f t="shared" si="818"/>
        <v>106005.26567735759</v>
      </c>
      <c r="O362" s="762">
        <f t="shared" si="819"/>
        <v>2332115.8449018667</v>
      </c>
      <c r="P362" s="762">
        <f t="shared" si="820"/>
        <v>22400</v>
      </c>
      <c r="Q362" s="762">
        <f t="shared" si="795"/>
        <v>50000</v>
      </c>
      <c r="R362" s="762"/>
      <c r="S362" s="762">
        <f t="shared" si="910"/>
        <v>176000</v>
      </c>
      <c r="T362" s="762"/>
      <c r="U362" s="762"/>
      <c r="V362" s="762"/>
      <c r="W362" s="762">
        <f t="shared" si="920"/>
        <v>22000</v>
      </c>
      <c r="X362" s="762"/>
      <c r="Y362" s="762">
        <f t="shared" si="912"/>
        <v>200000</v>
      </c>
      <c r="Z362" s="762">
        <f t="shared" si="796"/>
        <v>142461</v>
      </c>
      <c r="AA362" s="762"/>
      <c r="AB362" s="762"/>
      <c r="AC362" s="762"/>
      <c r="AD362" s="763">
        <f t="shared" si="821"/>
        <v>612861</v>
      </c>
      <c r="AE362" s="763">
        <f t="shared" si="797"/>
        <v>2944976.8449018667</v>
      </c>
      <c r="AF362" s="762">
        <f t="shared" si="798"/>
        <v>73624.421122546672</v>
      </c>
      <c r="AG362" s="762">
        <f t="shared" si="822"/>
        <v>3018601.2660244135</v>
      </c>
      <c r="AH362" s="762">
        <f t="shared" si="799"/>
        <v>75465.031650610341</v>
      </c>
      <c r="AI362" s="762">
        <f t="shared" si="823"/>
        <v>3094066.2976750238</v>
      </c>
      <c r="AJ362" s="762">
        <f t="shared" si="824"/>
        <v>154703.31488375118</v>
      </c>
      <c r="AK362" s="762">
        <f t="shared" si="825"/>
        <v>3248769.6125587751</v>
      </c>
      <c r="AL362" s="762">
        <f t="shared" si="826"/>
        <v>32487.69612558775</v>
      </c>
      <c r="AM362" s="762">
        <f t="shared" si="827"/>
        <v>27537.409960060559</v>
      </c>
      <c r="AN362" s="762"/>
      <c r="AO362" s="763">
        <f t="shared" si="828"/>
        <v>3308794.7186444234</v>
      </c>
      <c r="AP362" s="763">
        <f t="shared" si="829"/>
        <v>545951.12857632991</v>
      </c>
      <c r="AQ362" s="763">
        <f t="shared" si="830"/>
        <v>3854745.8472207533</v>
      </c>
      <c r="AR362" s="1178">
        <f t="shared" si="800"/>
        <v>3000000</v>
      </c>
      <c r="AS362" s="1178">
        <f t="shared" si="831"/>
        <v>38852.083964579695</v>
      </c>
      <c r="AT362" s="1178">
        <f t="shared" si="832"/>
        <v>854745.84722075332</v>
      </c>
      <c r="AU362" s="1178">
        <f t="shared" si="801"/>
        <v>102569.5016664904</v>
      </c>
      <c r="AV362" s="1178">
        <f t="shared" si="833"/>
        <v>957315.34888724377</v>
      </c>
      <c r="AW362" s="1178">
        <f t="shared" si="834"/>
        <v>3957315.3488872438</v>
      </c>
      <c r="AX362" s="762">
        <f t="shared" si="835"/>
        <v>49466.441861090549</v>
      </c>
      <c r="AY362" s="717" t="s">
        <v>231</v>
      </c>
      <c r="AZ362" s="717">
        <f t="shared" si="836"/>
        <v>4006781.7907483345</v>
      </c>
      <c r="BA362" s="717">
        <f t="shared" si="837"/>
        <v>150254.31715306253</v>
      </c>
      <c r="BB362" s="717"/>
      <c r="BC362" s="717">
        <f t="shared" si="802"/>
        <v>33600</v>
      </c>
      <c r="BD362" s="717">
        <f t="shared" si="838"/>
        <v>4190636.1079013972</v>
      </c>
      <c r="BE362" s="717">
        <v>18367.830916129038</v>
      </c>
      <c r="BF362" s="717">
        <f t="shared" si="839"/>
        <v>4209003.9388175262</v>
      </c>
      <c r="BG362" s="1209"/>
      <c r="BH362" s="717">
        <f t="shared" si="840"/>
        <v>4209003.9388175262</v>
      </c>
      <c r="BI362" s="717">
        <v>718.43902439024396</v>
      </c>
      <c r="BJ362" s="717">
        <f t="shared" si="841"/>
        <v>4209722.3778419169</v>
      </c>
      <c r="BK362" s="717"/>
      <c r="BL362" s="717">
        <f t="shared" si="842"/>
        <v>4209722.3778419169</v>
      </c>
      <c r="BM362" s="717">
        <f t="shared" si="921"/>
        <v>1038.0487804878051</v>
      </c>
      <c r="BN362" s="717">
        <f t="shared" si="843"/>
        <v>4210760.4266224047</v>
      </c>
      <c r="BO362" s="717">
        <f t="shared" si="922"/>
        <v>7289.0781490196077</v>
      </c>
      <c r="BP362" s="717">
        <f t="shared" si="803"/>
        <v>4218049.5047714245</v>
      </c>
      <c r="BQ362" s="717">
        <f t="shared" si="923"/>
        <v>4468.4242000000004</v>
      </c>
      <c r="BR362" s="717">
        <f t="shared" si="903"/>
        <v>4222517.9289714247</v>
      </c>
      <c r="BS362" s="1234">
        <f t="shared" si="924"/>
        <v>2651.4786794501206</v>
      </c>
      <c r="BT362" s="1235">
        <f t="shared" si="844"/>
        <v>4225169.4076508749</v>
      </c>
      <c r="BU362" s="1235">
        <f t="shared" si="925"/>
        <v>211.07692307692309</v>
      </c>
      <c r="BV362" s="1235">
        <f t="shared" si="904"/>
        <v>51400</v>
      </c>
      <c r="BW362" s="717">
        <f t="shared" si="845"/>
        <v>4276780.4845739519</v>
      </c>
      <c r="BX362" s="1234">
        <f t="shared" si="908"/>
        <v>27651.078536278128</v>
      </c>
      <c r="BY362" s="717">
        <f t="shared" si="846"/>
        <v>4304431.5631102305</v>
      </c>
      <c r="BZ362" s="1194">
        <f t="shared" si="847"/>
        <v>4304431.5631102305</v>
      </c>
      <c r="CA362" s="1194">
        <f t="shared" si="848"/>
        <v>3424431.5631102305</v>
      </c>
      <c r="CB362" s="1194">
        <f t="shared" si="926"/>
        <v>40000</v>
      </c>
      <c r="CC362" s="1194">
        <f t="shared" si="849"/>
        <v>880000</v>
      </c>
      <c r="CD362" s="1194">
        <f t="shared" si="850"/>
        <v>105600</v>
      </c>
      <c r="CE362" s="1194">
        <f t="shared" si="851"/>
        <v>985600</v>
      </c>
      <c r="CF362" s="1200">
        <f t="shared" si="852"/>
        <v>4410031.5631102305</v>
      </c>
      <c r="CG362" s="757">
        <f t="shared" si="853"/>
        <v>4410031.5631102305</v>
      </c>
      <c r="CH362" s="758">
        <f t="shared" si="854"/>
        <v>0</v>
      </c>
      <c r="CI362" s="757">
        <f t="shared" si="804"/>
        <v>452028.23521879863</v>
      </c>
      <c r="CJ362" s="757">
        <f t="shared" si="805"/>
        <v>110250.78907775576</v>
      </c>
      <c r="CK362" s="759">
        <f t="shared" si="919"/>
        <v>4972310.5874067852</v>
      </c>
      <c r="CL362" s="764">
        <f t="shared" si="855"/>
        <v>0.125</v>
      </c>
      <c r="CM362" s="757">
        <f t="shared" si="856"/>
        <v>621538.82342584815</v>
      </c>
      <c r="CN362" s="757">
        <f t="shared" si="898"/>
        <v>30000</v>
      </c>
      <c r="CO362" s="757">
        <f t="shared" si="857"/>
        <v>591538.82342584815</v>
      </c>
      <c r="CP362" s="755">
        <f t="shared" si="858"/>
        <v>32</v>
      </c>
      <c r="CQ362" s="757">
        <f t="shared" si="901"/>
        <v>18485.588232057755</v>
      </c>
      <c r="CR362" s="764">
        <f t="shared" si="859"/>
        <v>0.875</v>
      </c>
      <c r="CS362" s="757">
        <f t="shared" si="860"/>
        <v>4350771.7639809372</v>
      </c>
      <c r="CT362" s="1101">
        <f t="shared" si="861"/>
        <v>33731.48717735074</v>
      </c>
      <c r="CU362" s="1101">
        <f t="shared" si="862"/>
        <v>39105.966614925499</v>
      </c>
      <c r="CV362" s="1101">
        <f t="shared" si="863"/>
        <v>50516.149294315692</v>
      </c>
      <c r="CW362" s="1141">
        <f t="shared" si="806"/>
        <v>86150.495502333302</v>
      </c>
      <c r="CX362" s="1152">
        <f t="shared" si="864"/>
        <v>353427.01937837724</v>
      </c>
      <c r="CY362" s="1152">
        <f t="shared" si="865"/>
        <v>139849.34992616778</v>
      </c>
      <c r="CZ362" s="1152">
        <f t="shared" si="866"/>
        <v>101011.20473811305</v>
      </c>
      <c r="DA362" s="1152">
        <f t="shared" si="867"/>
        <v>76874.177121391345</v>
      </c>
      <c r="DB362" s="1143">
        <f t="shared" si="807"/>
        <v>0.28491528240691777</v>
      </c>
      <c r="DC362" s="1143">
        <f t="shared" si="868"/>
        <v>0.2878141910083411</v>
      </c>
      <c r="DD362" s="1098" t="s">
        <v>812</v>
      </c>
      <c r="DE362" s="1144"/>
      <c r="DF362" s="705"/>
      <c r="DG362" s="765">
        <f t="shared" si="899"/>
        <v>46082</v>
      </c>
      <c r="DH362" s="1116">
        <f t="shared" si="808"/>
        <v>28</v>
      </c>
      <c r="DI362" s="497"/>
      <c r="DJ362" s="1117">
        <f t="shared" si="869"/>
        <v>46147</v>
      </c>
      <c r="DK362" s="1116">
        <f t="shared" si="870"/>
        <v>30</v>
      </c>
      <c r="DL362" s="766" t="s">
        <v>813</v>
      </c>
      <c r="DM362" s="766" t="s">
        <v>234</v>
      </c>
      <c r="DN362" s="767">
        <f t="shared" si="809"/>
        <v>43514.33404032926</v>
      </c>
      <c r="DO362" s="767">
        <f t="shared" si="810"/>
        <v>957315.34888724377</v>
      </c>
      <c r="DP362" s="768">
        <f t="shared" si="811"/>
        <v>0.31910511629574795</v>
      </c>
      <c r="DR362" s="767">
        <f t="shared" si="812"/>
        <v>4410031.5631102305</v>
      </c>
      <c r="DS362" s="767">
        <f>SUM('[6]INTERNAL PRICELIST'!M362)</f>
        <v>0</v>
      </c>
      <c r="DT362" s="767">
        <f t="shared" si="871"/>
        <v>4410031.5631102305</v>
      </c>
      <c r="DV362" s="951">
        <f t="shared" si="813"/>
        <v>200455.98014137411</v>
      </c>
      <c r="DX362" s="781"/>
      <c r="DY362" s="782"/>
      <c r="DZ362" s="781"/>
      <c r="EA362" s="775"/>
      <c r="ED362" s="755" t="s">
        <v>827</v>
      </c>
      <c r="EE362" s="777" t="b">
        <f t="shared" si="814"/>
        <v>1</v>
      </c>
      <c r="EF362" s="777"/>
      <c r="EG362" s="777"/>
      <c r="EH362" s="1203"/>
      <c r="EP362" s="1230" t="s">
        <v>258</v>
      </c>
      <c r="EQ362" s="1145" t="s">
        <v>258</v>
      </c>
      <c r="ER362" s="753" t="b">
        <f t="shared" si="872"/>
        <v>1</v>
      </c>
      <c r="EU362" s="770">
        <v>3485255.8224007287</v>
      </c>
      <c r="EV362" s="771" t="s">
        <v>258</v>
      </c>
      <c r="EW362" s="775">
        <f t="shared" si="914"/>
        <v>-924775.74070950178</v>
      </c>
      <c r="EY362" s="775">
        <v>3448751.6400652993</v>
      </c>
      <c r="FJ362" s="994">
        <v>0.15</v>
      </c>
      <c r="FK362" s="993">
        <v>15030.576200148069</v>
      </c>
      <c r="FL362" s="993">
        <v>15436.80798934126</v>
      </c>
      <c r="FM362" s="497"/>
      <c r="FN362" s="993">
        <f t="shared" si="815"/>
        <v>4972310.5874067852</v>
      </c>
      <c r="FO362" s="994">
        <f t="shared" si="913"/>
        <v>0.15</v>
      </c>
      <c r="FP362" s="775">
        <f t="shared" si="816"/>
        <v>745846.58811101771</v>
      </c>
      <c r="FQ362" s="993">
        <f t="shared" si="817"/>
        <v>30000</v>
      </c>
      <c r="FR362" s="775">
        <f t="shared" si="874"/>
        <v>715846.58811101771</v>
      </c>
      <c r="FS362" s="497">
        <f t="shared" si="875"/>
        <v>40</v>
      </c>
      <c r="FT362" s="775">
        <f t="shared" si="876"/>
        <v>17896.164702775444</v>
      </c>
      <c r="FU362" s="497"/>
      <c r="FV362" s="993">
        <f t="shared" si="877"/>
        <v>4972310.5874067852</v>
      </c>
      <c r="FW362" s="705">
        <f t="shared" si="878"/>
        <v>497231.05874067853</v>
      </c>
      <c r="FX362" s="705">
        <f t="shared" si="879"/>
        <v>124307.76468516963</v>
      </c>
      <c r="FY362" s="705">
        <v>15000</v>
      </c>
      <c r="FZ362" s="705">
        <f t="shared" si="880"/>
        <v>482231.05874067853</v>
      </c>
      <c r="GA362" s="497">
        <f t="shared" si="881"/>
        <v>46</v>
      </c>
      <c r="GB362" s="775">
        <f t="shared" si="882"/>
        <v>10483.283885666924</v>
      </c>
      <c r="GC362" s="497"/>
      <c r="GD362" s="497"/>
      <c r="GH362" s="1095">
        <f t="shared" si="782"/>
        <v>4972310.5874067852</v>
      </c>
      <c r="GI362" s="1098">
        <f t="shared" si="783"/>
        <v>0.125</v>
      </c>
      <c r="GJ362" s="1095">
        <f t="shared" si="784"/>
        <v>621538.82342584815</v>
      </c>
      <c r="GK362" s="1095">
        <f t="shared" si="785"/>
        <v>30000</v>
      </c>
      <c r="GL362" s="1095">
        <f t="shared" si="786"/>
        <v>591538.82342584815</v>
      </c>
      <c r="GM362" s="1095">
        <f t="shared" si="787"/>
        <v>32</v>
      </c>
      <c r="GN362" s="1095">
        <f t="shared" si="788"/>
        <v>18485.588232057755</v>
      </c>
      <c r="GO362" s="1098">
        <f t="shared" si="789"/>
        <v>0.875</v>
      </c>
      <c r="GP362" s="1095">
        <f t="shared" si="790"/>
        <v>4350771.7639809372</v>
      </c>
      <c r="GQ362" s="1095">
        <f t="shared" si="791"/>
        <v>33731.48717735074</v>
      </c>
      <c r="GR362" s="1095">
        <f t="shared" si="792"/>
        <v>39105.966614925499</v>
      </c>
      <c r="GS362" s="1095">
        <f t="shared" si="793"/>
        <v>50516.149294315692</v>
      </c>
      <c r="GT362" s="1095">
        <f t="shared" si="794"/>
        <v>86150.495502333302</v>
      </c>
      <c r="GU362" s="497"/>
      <c r="GV362" s="1095">
        <f t="shared" si="883"/>
        <v>4972310.5874067852</v>
      </c>
      <c r="GW362" s="1098">
        <f t="shared" si="884"/>
        <v>0.125</v>
      </c>
      <c r="GX362" s="1095">
        <f t="shared" si="885"/>
        <v>621538.82342584815</v>
      </c>
      <c r="GY362" s="1095">
        <f t="shared" si="886"/>
        <v>30000</v>
      </c>
      <c r="GZ362" s="1095">
        <f t="shared" si="887"/>
        <v>591538.82342584815</v>
      </c>
      <c r="HA362" s="1106">
        <f t="shared" si="888"/>
        <v>48</v>
      </c>
      <c r="HB362" s="770">
        <f t="shared" si="889"/>
        <v>12323.725488038503</v>
      </c>
      <c r="HC362" s="1098">
        <f t="shared" si="890"/>
        <v>0.875</v>
      </c>
      <c r="HD362" s="1102">
        <f t="shared" si="891"/>
        <v>4350771.7639809372</v>
      </c>
      <c r="HE362" s="1101">
        <f t="shared" si="892"/>
        <v>33731.48717735074</v>
      </c>
      <c r="HF362" s="1101">
        <f t="shared" si="893"/>
        <v>39105.966614925499</v>
      </c>
      <c r="HG362" s="1101">
        <f t="shared" si="894"/>
        <v>50516.149294315692</v>
      </c>
      <c r="HH362" s="1101">
        <f t="shared" si="895"/>
        <v>86150.495502333302</v>
      </c>
      <c r="HI362" s="497"/>
      <c r="HJ362" s="1102">
        <f t="shared" si="896"/>
        <v>-6161.8627440192522</v>
      </c>
      <c r="HL362" s="775"/>
      <c r="HN362" s="775"/>
      <c r="HO362" s="775"/>
      <c r="HQ362" s="702"/>
      <c r="HR362" s="1171"/>
      <c r="HS362" s="702"/>
      <c r="HT362" s="1171"/>
    </row>
    <row r="363" spans="1:228" ht="14.25" hidden="1" customHeight="1">
      <c r="A363" s="753">
        <f t="shared" si="897"/>
        <v>357</v>
      </c>
      <c r="B363" s="753"/>
      <c r="C363" s="753">
        <f t="shared" si="911"/>
        <v>16</v>
      </c>
      <c r="D363" s="753" t="s">
        <v>292</v>
      </c>
      <c r="E363" s="717" t="s">
        <v>297</v>
      </c>
      <c r="F363" s="754"/>
      <c r="G363" s="756" t="s">
        <v>828</v>
      </c>
      <c r="H363" s="756"/>
      <c r="I363" s="755" t="s">
        <v>229</v>
      </c>
      <c r="J363" s="757">
        <v>22</v>
      </c>
      <c r="K363" s="758"/>
      <c r="L363" s="759" t="s">
        <v>277</v>
      </c>
      <c r="M363" s="760" t="s">
        <v>230</v>
      </c>
      <c r="N363" s="761">
        <f t="shared" si="818"/>
        <v>106005.26567735759</v>
      </c>
      <c r="O363" s="762">
        <f t="shared" si="819"/>
        <v>2332115.8449018667</v>
      </c>
      <c r="P363" s="762">
        <f t="shared" si="820"/>
        <v>22400</v>
      </c>
      <c r="Q363" s="762">
        <f t="shared" si="795"/>
        <v>50000</v>
      </c>
      <c r="R363" s="762"/>
      <c r="S363" s="762">
        <f t="shared" si="910"/>
        <v>176000</v>
      </c>
      <c r="T363" s="762"/>
      <c r="U363" s="762"/>
      <c r="V363" s="762">
        <f>J363*$V$5</f>
        <v>55000</v>
      </c>
      <c r="W363" s="762"/>
      <c r="X363" s="762"/>
      <c r="Y363" s="762">
        <f t="shared" si="912"/>
        <v>200000</v>
      </c>
      <c r="Z363" s="762">
        <f t="shared" si="796"/>
        <v>142461</v>
      </c>
      <c r="AA363" s="762"/>
      <c r="AB363" s="762"/>
      <c r="AC363" s="762"/>
      <c r="AD363" s="763">
        <f t="shared" si="821"/>
        <v>645861</v>
      </c>
      <c r="AE363" s="763">
        <f t="shared" si="797"/>
        <v>2977976.8449018667</v>
      </c>
      <c r="AF363" s="762">
        <f t="shared" si="798"/>
        <v>74449.421122546672</v>
      </c>
      <c r="AG363" s="762">
        <f t="shared" si="822"/>
        <v>3052426.2660244135</v>
      </c>
      <c r="AH363" s="762">
        <f t="shared" si="799"/>
        <v>76310.656650610341</v>
      </c>
      <c r="AI363" s="762">
        <f t="shared" si="823"/>
        <v>3128736.9226750238</v>
      </c>
      <c r="AJ363" s="762">
        <f t="shared" si="824"/>
        <v>156436.84613375118</v>
      </c>
      <c r="AK363" s="762">
        <f t="shared" si="825"/>
        <v>3285173.7688087751</v>
      </c>
      <c r="AL363" s="762">
        <f t="shared" si="826"/>
        <v>32851.737688087749</v>
      </c>
      <c r="AM363" s="762">
        <f t="shared" si="827"/>
        <v>27537.409960060559</v>
      </c>
      <c r="AN363" s="762"/>
      <c r="AO363" s="763">
        <f t="shared" si="828"/>
        <v>3345562.9164569234</v>
      </c>
      <c r="AP363" s="763">
        <f t="shared" si="829"/>
        <v>552017.88121539238</v>
      </c>
      <c r="AQ363" s="763">
        <f t="shared" si="830"/>
        <v>3897580.7976723155</v>
      </c>
      <c r="AR363" s="1178">
        <f t="shared" si="800"/>
        <v>3000000</v>
      </c>
      <c r="AS363" s="1178">
        <f t="shared" si="831"/>
        <v>40799.127166923434</v>
      </c>
      <c r="AT363" s="1178">
        <f t="shared" si="832"/>
        <v>897580.7976723155</v>
      </c>
      <c r="AU363" s="1178">
        <f t="shared" si="801"/>
        <v>107709.69572067786</v>
      </c>
      <c r="AV363" s="1178">
        <f t="shared" si="833"/>
        <v>1005290.4933929933</v>
      </c>
      <c r="AW363" s="1178">
        <f t="shared" si="834"/>
        <v>4005290.4933929932</v>
      </c>
      <c r="AX363" s="762">
        <f t="shared" si="835"/>
        <v>50066.131167412415</v>
      </c>
      <c r="AY363" s="717" t="s">
        <v>231</v>
      </c>
      <c r="AZ363" s="717">
        <f t="shared" si="836"/>
        <v>4055356.6245604055</v>
      </c>
      <c r="BA363" s="717">
        <f t="shared" si="837"/>
        <v>152075.87342101519</v>
      </c>
      <c r="BB363" s="717"/>
      <c r="BC363" s="717">
        <f t="shared" si="802"/>
        <v>33600</v>
      </c>
      <c r="BD363" s="717">
        <f t="shared" si="838"/>
        <v>4241032.4979814207</v>
      </c>
      <c r="BE363" s="717"/>
      <c r="BF363" s="717">
        <f t="shared" si="839"/>
        <v>4241032.4979814207</v>
      </c>
      <c r="BG363" s="1209"/>
      <c r="BH363" s="717">
        <f t="shared" si="840"/>
        <v>4241032.4979814207</v>
      </c>
      <c r="BI363" s="717"/>
      <c r="BJ363" s="717">
        <f t="shared" si="841"/>
        <v>4241032.4979814207</v>
      </c>
      <c r="BK363" s="717"/>
      <c r="BL363" s="717">
        <f t="shared" si="842"/>
        <v>4241032.4979814207</v>
      </c>
      <c r="BM363" s="717"/>
      <c r="BN363" s="717">
        <f t="shared" si="843"/>
        <v>4241032.4979814207</v>
      </c>
      <c r="BO363" s="717"/>
      <c r="BP363" s="717">
        <f t="shared" si="803"/>
        <v>4241032.4979814207</v>
      </c>
      <c r="BQ363" s="717"/>
      <c r="BR363" s="717">
        <f t="shared" si="903"/>
        <v>4241032.4979814207</v>
      </c>
      <c r="BS363" s="717"/>
      <c r="BT363" s="717">
        <f t="shared" si="844"/>
        <v>4241032.4979814207</v>
      </c>
      <c r="BU363" s="717"/>
      <c r="BV363" s="1235">
        <f t="shared" si="904"/>
        <v>51400</v>
      </c>
      <c r="BW363" s="717">
        <f t="shared" si="845"/>
        <v>4292432.4979814207</v>
      </c>
      <c r="BX363" s="717"/>
      <c r="BY363" s="717">
        <f t="shared" si="846"/>
        <v>4292432.4979814207</v>
      </c>
      <c r="BZ363" s="1194">
        <f t="shared" si="847"/>
        <v>4292432.4979814207</v>
      </c>
      <c r="CA363" s="1194">
        <f t="shared" si="848"/>
        <v>3632432.4979814207</v>
      </c>
      <c r="CB363" s="1194">
        <v>30000</v>
      </c>
      <c r="CC363" s="1194">
        <f t="shared" si="849"/>
        <v>660000</v>
      </c>
      <c r="CD363" s="1194">
        <f t="shared" si="850"/>
        <v>79200</v>
      </c>
      <c r="CE363" s="1194">
        <f t="shared" si="851"/>
        <v>739200</v>
      </c>
      <c r="CF363" s="1200">
        <f t="shared" si="852"/>
        <v>4371632.4979814207</v>
      </c>
      <c r="CG363" s="757">
        <f t="shared" si="853"/>
        <v>4371632.4979814207</v>
      </c>
      <c r="CH363" s="758">
        <f t="shared" si="854"/>
        <v>435891.89975777047</v>
      </c>
      <c r="CI363" s="757">
        <f t="shared" si="804"/>
        <v>448092.33104309562</v>
      </c>
      <c r="CJ363" s="757">
        <f t="shared" si="805"/>
        <v>109290.81244953553</v>
      </c>
      <c r="CK363" s="759">
        <f t="shared" si="919"/>
        <v>5364907.5412318222</v>
      </c>
      <c r="CL363" s="764">
        <f t="shared" si="855"/>
        <v>0.125</v>
      </c>
      <c r="CM363" s="757">
        <f t="shared" si="856"/>
        <v>670613.44265397778</v>
      </c>
      <c r="CN363" s="757">
        <f t="shared" si="898"/>
        <v>30000</v>
      </c>
      <c r="CO363" s="757">
        <f t="shared" si="857"/>
        <v>640613.44265397778</v>
      </c>
      <c r="CP363" s="755">
        <f t="shared" si="858"/>
        <v>32</v>
      </c>
      <c r="CQ363" s="757">
        <f t="shared" si="901"/>
        <v>20019.170082936806</v>
      </c>
      <c r="CR363" s="764">
        <f t="shared" si="859"/>
        <v>0.875</v>
      </c>
      <c r="CS363" s="757">
        <f t="shared" si="860"/>
        <v>4694294.098577844</v>
      </c>
      <c r="CT363" s="1101">
        <f t="shared" si="861"/>
        <v>36394.812181093665</v>
      </c>
      <c r="CU363" s="1101">
        <f t="shared" si="862"/>
        <v>42193.64247497476</v>
      </c>
      <c r="CV363" s="1101">
        <f t="shared" si="863"/>
        <v>54504.734879083517</v>
      </c>
      <c r="CW363" s="1141">
        <f t="shared" si="806"/>
        <v>92952.649452731042</v>
      </c>
      <c r="CX363" s="1152">
        <f t="shared" si="864"/>
        <v>381332.43050833198</v>
      </c>
      <c r="CY363" s="1152">
        <f t="shared" si="865"/>
        <v>150891.38517522882</v>
      </c>
      <c r="CZ363" s="1152">
        <f t="shared" si="866"/>
        <v>108986.71040801582</v>
      </c>
      <c r="DA363" s="1152">
        <f t="shared" si="867"/>
        <v>82943.90410950467</v>
      </c>
      <c r="DB363" s="1143">
        <f t="shared" si="807"/>
        <v>0.29919359922410516</v>
      </c>
      <c r="DC363" s="1143">
        <f t="shared" si="868"/>
        <v>0.20349999632774479</v>
      </c>
      <c r="DD363" s="1098" t="s">
        <v>812</v>
      </c>
      <c r="DE363" s="1144"/>
      <c r="DF363" s="705"/>
      <c r="DG363" s="765">
        <f t="shared" si="899"/>
        <v>46082</v>
      </c>
      <c r="DH363" s="1116">
        <f t="shared" si="808"/>
        <v>28</v>
      </c>
      <c r="DI363" s="497"/>
      <c r="DJ363" s="1117">
        <f t="shared" si="869"/>
        <v>46147</v>
      </c>
      <c r="DK363" s="1116">
        <f t="shared" si="870"/>
        <v>30</v>
      </c>
      <c r="DL363" s="766" t="s">
        <v>813</v>
      </c>
      <c r="DM363" s="766" t="s">
        <v>234</v>
      </c>
      <c r="DN363" s="767">
        <f t="shared" si="809"/>
        <v>45695.022426954245</v>
      </c>
      <c r="DO363" s="767">
        <f t="shared" si="810"/>
        <v>1005290.4933929933</v>
      </c>
      <c r="DP363" s="768">
        <f t="shared" si="811"/>
        <v>0.33509683113099781</v>
      </c>
      <c r="DR363" s="767">
        <f t="shared" si="812"/>
        <v>4371632.4979814207</v>
      </c>
      <c r="DS363" s="767">
        <f>SUM('[6]INTERNAL PRICELIST'!M363)</f>
        <v>0</v>
      </c>
      <c r="DT363" s="767">
        <f t="shared" si="871"/>
        <v>4371632.4979814207</v>
      </c>
      <c r="DV363" s="951">
        <f t="shared" si="813"/>
        <v>198710.56809006457</v>
      </c>
      <c r="DX363" s="781"/>
      <c r="DY363" s="782"/>
      <c r="DZ363" s="781"/>
      <c r="EA363" s="775"/>
      <c r="ED363" s="1133" t="s">
        <v>828</v>
      </c>
      <c r="EE363" s="777" t="b">
        <f t="shared" si="814"/>
        <v>1</v>
      </c>
      <c r="EF363" s="777"/>
      <c r="EG363" s="777"/>
      <c r="EH363" s="1203"/>
      <c r="EP363" s="1230" t="s">
        <v>236</v>
      </c>
      <c r="EQ363" s="1145" t="s">
        <v>236</v>
      </c>
      <c r="ER363" s="753" t="b">
        <f t="shared" si="872"/>
        <v>1</v>
      </c>
      <c r="EU363" s="770">
        <v>3588896.178275059</v>
      </c>
      <c r="EV363" s="771" t="s">
        <v>258</v>
      </c>
      <c r="EW363" s="775">
        <f t="shared" si="914"/>
        <v>-782736.31970636174</v>
      </c>
      <c r="EY363" s="775">
        <v>3551474.8993021832</v>
      </c>
      <c r="FJ363" s="994">
        <v>0.15</v>
      </c>
      <c r="FK363" s="993">
        <v>15485.622216943038</v>
      </c>
      <c r="FL363" s="993">
        <v>15904.152547130689</v>
      </c>
      <c r="FM363" s="497"/>
      <c r="FN363" s="993">
        <f t="shared" si="815"/>
        <v>5364907.5412318222</v>
      </c>
      <c r="FO363" s="994">
        <f t="shared" si="913"/>
        <v>0.15</v>
      </c>
      <c r="FP363" s="775">
        <f t="shared" si="816"/>
        <v>804736.13118477329</v>
      </c>
      <c r="FQ363" s="993">
        <f t="shared" si="817"/>
        <v>30000</v>
      </c>
      <c r="FR363" s="775">
        <f t="shared" si="874"/>
        <v>774736.13118477329</v>
      </c>
      <c r="FS363" s="497">
        <f t="shared" si="875"/>
        <v>40</v>
      </c>
      <c r="FT363" s="775">
        <f t="shared" si="876"/>
        <v>19368.403279619331</v>
      </c>
      <c r="FU363" s="497"/>
      <c r="FV363" s="993">
        <f t="shared" si="877"/>
        <v>5364907.5412318222</v>
      </c>
      <c r="FW363" s="705">
        <f t="shared" si="878"/>
        <v>536490.75412318227</v>
      </c>
      <c r="FX363" s="705">
        <f t="shared" si="879"/>
        <v>134122.68853079557</v>
      </c>
      <c r="FY363" s="705">
        <v>15000</v>
      </c>
      <c r="FZ363" s="705">
        <f t="shared" si="880"/>
        <v>521490.75412318227</v>
      </c>
      <c r="GA363" s="497">
        <f t="shared" si="881"/>
        <v>46</v>
      </c>
      <c r="GB363" s="775">
        <f t="shared" si="882"/>
        <v>11336.755524417005</v>
      </c>
      <c r="GC363" s="497"/>
      <c r="GD363" s="497"/>
      <c r="GH363" s="1095">
        <f t="shared" si="782"/>
        <v>5364907.5412318222</v>
      </c>
      <c r="GI363" s="1098">
        <f t="shared" si="783"/>
        <v>0.125</v>
      </c>
      <c r="GJ363" s="1095">
        <f t="shared" si="784"/>
        <v>670613.44265397778</v>
      </c>
      <c r="GK363" s="1095">
        <f t="shared" si="785"/>
        <v>30000</v>
      </c>
      <c r="GL363" s="1095">
        <f t="shared" si="786"/>
        <v>640613.44265397778</v>
      </c>
      <c r="GM363" s="1095">
        <f t="shared" si="787"/>
        <v>32</v>
      </c>
      <c r="GN363" s="1095">
        <f t="shared" si="788"/>
        <v>20019.170082936806</v>
      </c>
      <c r="GO363" s="1098">
        <f t="shared" si="789"/>
        <v>0.875</v>
      </c>
      <c r="GP363" s="1095">
        <f t="shared" si="790"/>
        <v>4694294.098577844</v>
      </c>
      <c r="GQ363" s="1095">
        <f t="shared" si="791"/>
        <v>36394.812181093665</v>
      </c>
      <c r="GR363" s="1095">
        <f t="shared" si="792"/>
        <v>42193.64247497476</v>
      </c>
      <c r="GS363" s="1095">
        <f t="shared" si="793"/>
        <v>54504.734879083517</v>
      </c>
      <c r="GT363" s="1095">
        <f t="shared" si="794"/>
        <v>92952.649452731042</v>
      </c>
      <c r="GU363" s="497"/>
      <c r="GV363" s="1095">
        <f t="shared" si="883"/>
        <v>5364907.5412318222</v>
      </c>
      <c r="GW363" s="1098">
        <f t="shared" si="884"/>
        <v>0.125</v>
      </c>
      <c r="GX363" s="1095">
        <f t="shared" si="885"/>
        <v>670613.44265397778</v>
      </c>
      <c r="GY363" s="1095">
        <f t="shared" si="886"/>
        <v>30000</v>
      </c>
      <c r="GZ363" s="1095">
        <f t="shared" si="887"/>
        <v>640613.44265397778</v>
      </c>
      <c r="HA363" s="1106">
        <f t="shared" si="888"/>
        <v>48</v>
      </c>
      <c r="HB363" s="770">
        <f t="shared" si="889"/>
        <v>13346.113388624537</v>
      </c>
      <c r="HC363" s="1098">
        <f t="shared" si="890"/>
        <v>0.875</v>
      </c>
      <c r="HD363" s="1102">
        <f t="shared" si="891"/>
        <v>4694294.098577844</v>
      </c>
      <c r="HE363" s="1101">
        <f t="shared" si="892"/>
        <v>36394.812181093665</v>
      </c>
      <c r="HF363" s="1101">
        <f t="shared" si="893"/>
        <v>42193.64247497476</v>
      </c>
      <c r="HG363" s="1101">
        <f t="shared" si="894"/>
        <v>54504.734879083517</v>
      </c>
      <c r="HH363" s="1101">
        <f t="shared" si="895"/>
        <v>92952.649452731042</v>
      </c>
      <c r="HI363" s="497"/>
      <c r="HJ363" s="1102">
        <f t="shared" si="896"/>
        <v>-6673.0566943122685</v>
      </c>
      <c r="HL363" s="775"/>
      <c r="HN363" s="775"/>
      <c r="HO363" s="775"/>
      <c r="HQ363" s="702"/>
      <c r="HR363" s="1171"/>
      <c r="HS363" s="702"/>
      <c r="HT363" s="1171"/>
    </row>
    <row r="364" spans="1:228" ht="14.25" hidden="1" customHeight="1">
      <c r="A364" s="753">
        <f t="shared" si="897"/>
        <v>358</v>
      </c>
      <c r="B364" s="753"/>
      <c r="C364" s="753">
        <f t="shared" si="911"/>
        <v>17</v>
      </c>
      <c r="D364" s="753" t="s">
        <v>292</v>
      </c>
      <c r="E364" s="717" t="s">
        <v>297</v>
      </c>
      <c r="F364" s="754"/>
      <c r="G364" s="756" t="s">
        <v>829</v>
      </c>
      <c r="H364" s="756"/>
      <c r="I364" s="755" t="s">
        <v>229</v>
      </c>
      <c r="J364" s="757">
        <v>22</v>
      </c>
      <c r="K364" s="758"/>
      <c r="L364" s="759" t="s">
        <v>69</v>
      </c>
      <c r="M364" s="760" t="s">
        <v>68</v>
      </c>
      <c r="N364" s="761">
        <f t="shared" si="818"/>
        <v>106005.26567735759</v>
      </c>
      <c r="O364" s="762">
        <f t="shared" si="819"/>
        <v>2332115.8449018667</v>
      </c>
      <c r="P364" s="762">
        <f t="shared" si="820"/>
        <v>22400</v>
      </c>
      <c r="Q364" s="762">
        <f t="shared" si="795"/>
        <v>50000</v>
      </c>
      <c r="R364" s="762"/>
      <c r="S364" s="762">
        <f t="shared" si="910"/>
        <v>176000</v>
      </c>
      <c r="T364" s="762"/>
      <c r="U364" s="762"/>
      <c r="V364" s="762"/>
      <c r="W364" s="762"/>
      <c r="X364" s="762"/>
      <c r="Y364" s="762">
        <f t="shared" si="912"/>
        <v>200000</v>
      </c>
      <c r="Z364" s="762">
        <f t="shared" si="796"/>
        <v>142461</v>
      </c>
      <c r="AA364" s="762"/>
      <c r="AB364" s="762"/>
      <c r="AC364" s="762"/>
      <c r="AD364" s="763">
        <f t="shared" si="821"/>
        <v>590861</v>
      </c>
      <c r="AE364" s="763">
        <f t="shared" si="797"/>
        <v>2922976.8449018667</v>
      </c>
      <c r="AF364" s="762">
        <f t="shared" si="798"/>
        <v>73074.421122546672</v>
      </c>
      <c r="AG364" s="762">
        <f t="shared" si="822"/>
        <v>2996051.2660244135</v>
      </c>
      <c r="AH364" s="762">
        <f t="shared" si="799"/>
        <v>74901.281650610341</v>
      </c>
      <c r="AI364" s="762">
        <f t="shared" si="823"/>
        <v>3070952.5476750238</v>
      </c>
      <c r="AJ364" s="762">
        <f t="shared" si="824"/>
        <v>153547.62738375118</v>
      </c>
      <c r="AK364" s="762">
        <f t="shared" si="825"/>
        <v>3224500.1750587751</v>
      </c>
      <c r="AL364" s="762">
        <f t="shared" si="826"/>
        <v>32245.001750587751</v>
      </c>
      <c r="AM364" s="762">
        <f t="shared" si="827"/>
        <v>27537.409960060559</v>
      </c>
      <c r="AN364" s="762"/>
      <c r="AO364" s="763">
        <f>AK364+AL364+AM364+AN364</f>
        <v>3284282.5867694234</v>
      </c>
      <c r="AP364" s="763">
        <f t="shared" si="829"/>
        <v>541906.62681695493</v>
      </c>
      <c r="AQ364" s="763">
        <f t="shared" si="830"/>
        <v>3826189.2135863784</v>
      </c>
      <c r="AR364" s="1178">
        <f t="shared" si="800"/>
        <v>3000000</v>
      </c>
      <c r="AS364" s="1178">
        <f t="shared" si="831"/>
        <v>37554.055163017198</v>
      </c>
      <c r="AT364" s="1178">
        <f t="shared" si="832"/>
        <v>826189.21358637838</v>
      </c>
      <c r="AU364" s="1178">
        <f t="shared" si="801"/>
        <v>99142.705630365395</v>
      </c>
      <c r="AV364" s="1178">
        <f t="shared" si="833"/>
        <v>925331.91921674379</v>
      </c>
      <c r="AW364" s="1178">
        <f t="shared" si="834"/>
        <v>3925331.9192167437</v>
      </c>
      <c r="AX364" s="762">
        <f t="shared" si="835"/>
        <v>49066.648990209302</v>
      </c>
      <c r="AY364" s="717" t="s">
        <v>231</v>
      </c>
      <c r="AZ364" s="717">
        <f t="shared" si="836"/>
        <v>3974398.5682069529</v>
      </c>
      <c r="BA364" s="717">
        <f t="shared" si="837"/>
        <v>149039.94630776072</v>
      </c>
      <c r="BB364" s="717"/>
      <c r="BC364" s="717">
        <f t="shared" si="802"/>
        <v>33600</v>
      </c>
      <c r="BD364" s="717">
        <f t="shared" si="838"/>
        <v>4157038.5145147135</v>
      </c>
      <c r="BE364" s="717"/>
      <c r="BF364" s="717">
        <f t="shared" si="839"/>
        <v>4157038.5145147135</v>
      </c>
      <c r="BG364" s="1209"/>
      <c r="BH364" s="717">
        <f t="shared" si="840"/>
        <v>4157038.5145147135</v>
      </c>
      <c r="BI364" s="717"/>
      <c r="BJ364" s="717">
        <f t="shared" si="841"/>
        <v>4157038.5145147135</v>
      </c>
      <c r="BK364" s="717"/>
      <c r="BL364" s="717">
        <f t="shared" si="842"/>
        <v>4157038.5145147135</v>
      </c>
      <c r="BM364" s="717"/>
      <c r="BN364" s="717">
        <f t="shared" si="843"/>
        <v>4157038.5145147135</v>
      </c>
      <c r="BO364" s="717"/>
      <c r="BP364" s="717">
        <f t="shared" si="803"/>
        <v>4157038.5145147135</v>
      </c>
      <c r="BQ364" s="717"/>
      <c r="BR364" s="717">
        <f t="shared" si="903"/>
        <v>4157038.5145147135</v>
      </c>
      <c r="BS364" s="717"/>
      <c r="BT364" s="717">
        <f t="shared" si="844"/>
        <v>4157038.5145147135</v>
      </c>
      <c r="BU364" s="717"/>
      <c r="BV364" s="1235">
        <f t="shared" si="904"/>
        <v>51400</v>
      </c>
      <c r="BW364" s="717">
        <f t="shared" si="845"/>
        <v>4208438.5145147135</v>
      </c>
      <c r="BX364" s="717"/>
      <c r="BY364" s="717">
        <f t="shared" si="846"/>
        <v>4208438.5145147135</v>
      </c>
      <c r="BZ364" s="1194">
        <f t="shared" si="847"/>
        <v>4208438.5145147135</v>
      </c>
      <c r="CA364" s="1194">
        <f t="shared" si="848"/>
        <v>3636438.5145147135</v>
      </c>
      <c r="CB364" s="1194">
        <v>26000</v>
      </c>
      <c r="CC364" s="1194">
        <f t="shared" si="849"/>
        <v>572000</v>
      </c>
      <c r="CD364" s="1194">
        <f t="shared" si="850"/>
        <v>68640</v>
      </c>
      <c r="CE364" s="1194">
        <f t="shared" si="851"/>
        <v>640640</v>
      </c>
      <c r="CF364" s="1200">
        <f t="shared" si="852"/>
        <v>4277078.5145147135</v>
      </c>
      <c r="CG364" s="757">
        <f t="shared" si="853"/>
        <v>4277078.5145147135</v>
      </c>
      <c r="CH364" s="758">
        <f t="shared" si="854"/>
        <v>436372.62174176559</v>
      </c>
      <c r="CI364" s="757">
        <f t="shared" si="804"/>
        <v>438400.54773775814</v>
      </c>
      <c r="CJ364" s="757">
        <f t="shared" si="805"/>
        <v>106926.96286286785</v>
      </c>
      <c r="CK364" s="759">
        <f t="shared" si="919"/>
        <v>5258778.6468571052</v>
      </c>
      <c r="CL364" s="764">
        <f t="shared" si="855"/>
        <v>0.125</v>
      </c>
      <c r="CM364" s="757">
        <f t="shared" si="856"/>
        <v>657347.33085713815</v>
      </c>
      <c r="CN364" s="757">
        <f t="shared" si="898"/>
        <v>30000</v>
      </c>
      <c r="CO364" s="757">
        <f t="shared" si="857"/>
        <v>627347.33085713815</v>
      </c>
      <c r="CP364" s="755">
        <f t="shared" si="858"/>
        <v>32</v>
      </c>
      <c r="CQ364" s="757">
        <f t="shared" si="901"/>
        <v>19604.604089285567</v>
      </c>
      <c r="CR364" s="764">
        <f t="shared" si="859"/>
        <v>0.875</v>
      </c>
      <c r="CS364" s="757">
        <f t="shared" si="860"/>
        <v>4601431.315999967</v>
      </c>
      <c r="CT364" s="1101">
        <f t="shared" si="861"/>
        <v>35674.84801618132</v>
      </c>
      <c r="CU364" s="1101">
        <f t="shared" si="862"/>
        <v>41358.965532064583</v>
      </c>
      <c r="CV364" s="1101">
        <f t="shared" si="863"/>
        <v>53426.519232970808</v>
      </c>
      <c r="CW364" s="1141">
        <f t="shared" si="806"/>
        <v>91113.855057897192</v>
      </c>
      <c r="CX364" s="1152">
        <f t="shared" si="864"/>
        <v>373788.89151384996</v>
      </c>
      <c r="CY364" s="1152">
        <f t="shared" si="865"/>
        <v>147906.44354180046</v>
      </c>
      <c r="CZ364" s="1152">
        <f t="shared" si="866"/>
        <v>106830.72934249975</v>
      </c>
      <c r="DA364" s="1152">
        <f t="shared" si="867"/>
        <v>81303.103262405057</v>
      </c>
      <c r="DB364" s="1143">
        <f t="shared" si="807"/>
        <v>0.27539640452879277</v>
      </c>
      <c r="DC364" s="1143">
        <f t="shared" si="868"/>
        <v>0.17617237234808411</v>
      </c>
      <c r="DD364" s="1098" t="s">
        <v>812</v>
      </c>
      <c r="DE364" s="1144"/>
      <c r="DF364" s="705"/>
      <c r="DG364" s="765">
        <f t="shared" si="899"/>
        <v>46082</v>
      </c>
      <c r="DH364" s="1116">
        <f t="shared" si="808"/>
        <v>28</v>
      </c>
      <c r="DI364" s="497"/>
      <c r="DJ364" s="1117">
        <f t="shared" si="869"/>
        <v>46147</v>
      </c>
      <c r="DK364" s="1116">
        <f t="shared" si="870"/>
        <v>30</v>
      </c>
      <c r="DL364" s="766" t="s">
        <v>813</v>
      </c>
      <c r="DM364" s="766" t="s">
        <v>234</v>
      </c>
      <c r="DN364" s="767">
        <f t="shared" si="809"/>
        <v>42060.541782579261</v>
      </c>
      <c r="DO364" s="767">
        <f t="shared" si="810"/>
        <v>925331.91921674379</v>
      </c>
      <c r="DP364" s="768">
        <f t="shared" si="811"/>
        <v>0.30844397307224791</v>
      </c>
      <c r="DR364" s="767">
        <f t="shared" si="812"/>
        <v>4277078.5145147135</v>
      </c>
      <c r="DS364" s="767">
        <f>SUM('[6]INTERNAL PRICELIST'!M364)</f>
        <v>0</v>
      </c>
      <c r="DT364" s="767">
        <f t="shared" si="871"/>
        <v>4277078.5145147135</v>
      </c>
      <c r="DV364" s="951">
        <f t="shared" si="813"/>
        <v>194412.6597506688</v>
      </c>
      <c r="DX364" s="781"/>
      <c r="DY364" s="782"/>
      <c r="DZ364" s="781"/>
      <c r="EA364" s="775"/>
      <c r="ED364" s="755" t="s">
        <v>829</v>
      </c>
      <c r="EE364" s="777" t="b">
        <f t="shared" si="814"/>
        <v>1</v>
      </c>
      <c r="EF364" s="777"/>
      <c r="EG364" s="777"/>
      <c r="EH364" s="1203"/>
      <c r="EP364" s="1230" t="s">
        <v>236</v>
      </c>
      <c r="EQ364" s="1145" t="s">
        <v>236</v>
      </c>
      <c r="ER364" s="753" t="b">
        <f t="shared" si="872"/>
        <v>1</v>
      </c>
      <c r="EU364" s="770">
        <v>3457426.8674007286</v>
      </c>
      <c r="EV364" s="771" t="s">
        <v>258</v>
      </c>
      <c r="EW364" s="775">
        <f t="shared" si="914"/>
        <v>-819651.64711398492</v>
      </c>
      <c r="EY364" s="775">
        <v>3421168.9389577992</v>
      </c>
      <c r="FJ364" s="994">
        <v>0.15</v>
      </c>
      <c r="FK364" s="993">
        <v>14908.389673312213</v>
      </c>
      <c r="FL364" s="993">
        <v>15311.319123942272</v>
      </c>
      <c r="FM364" s="497"/>
      <c r="FN364" s="993">
        <f t="shared" si="815"/>
        <v>5258778.6468571052</v>
      </c>
      <c r="FO364" s="994">
        <f t="shared" si="902"/>
        <v>0.15</v>
      </c>
      <c r="FP364" s="775">
        <f t="shared" si="816"/>
        <v>788816.79702856578</v>
      </c>
      <c r="FQ364" s="993">
        <f t="shared" si="817"/>
        <v>30000</v>
      </c>
      <c r="FR364" s="775">
        <f t="shared" si="874"/>
        <v>758816.79702856578</v>
      </c>
      <c r="FS364" s="497">
        <f t="shared" si="875"/>
        <v>40</v>
      </c>
      <c r="FT364" s="775">
        <f t="shared" si="876"/>
        <v>18970.419925714144</v>
      </c>
      <c r="FU364" s="497"/>
      <c r="FV364" s="993">
        <f t="shared" si="877"/>
        <v>5258778.6468571052</v>
      </c>
      <c r="FW364" s="705">
        <f t="shared" si="878"/>
        <v>525877.86468571052</v>
      </c>
      <c r="FX364" s="705">
        <f t="shared" si="879"/>
        <v>131469.46617142763</v>
      </c>
      <c r="FY364" s="705">
        <v>15000</v>
      </c>
      <c r="FZ364" s="705">
        <f t="shared" si="880"/>
        <v>510877.86468571052</v>
      </c>
      <c r="GA364" s="497">
        <f t="shared" si="881"/>
        <v>46</v>
      </c>
      <c r="GB364" s="775">
        <f t="shared" si="882"/>
        <v>11106.040536645882</v>
      </c>
      <c r="GC364" s="497"/>
      <c r="GD364" s="497"/>
      <c r="GH364" s="1095">
        <f t="shared" si="782"/>
        <v>5258778.6468571052</v>
      </c>
      <c r="GI364" s="1098">
        <f t="shared" si="783"/>
        <v>0.125</v>
      </c>
      <c r="GJ364" s="1095">
        <f t="shared" si="784"/>
        <v>657347.33085713815</v>
      </c>
      <c r="GK364" s="1095">
        <f t="shared" si="785"/>
        <v>30000</v>
      </c>
      <c r="GL364" s="1095">
        <f t="shared" si="786"/>
        <v>627347.33085713815</v>
      </c>
      <c r="GM364" s="1095">
        <f t="shared" si="787"/>
        <v>32</v>
      </c>
      <c r="GN364" s="1095">
        <f t="shared" si="788"/>
        <v>19604.604089285567</v>
      </c>
      <c r="GO364" s="1098">
        <f t="shared" si="789"/>
        <v>0.875</v>
      </c>
      <c r="GP364" s="1095">
        <f t="shared" si="790"/>
        <v>4601431.315999967</v>
      </c>
      <c r="GQ364" s="1095">
        <f t="shared" si="791"/>
        <v>35674.84801618132</v>
      </c>
      <c r="GR364" s="1095">
        <f t="shared" si="792"/>
        <v>41358.965532064583</v>
      </c>
      <c r="GS364" s="1095">
        <f t="shared" si="793"/>
        <v>53426.519232970808</v>
      </c>
      <c r="GT364" s="1095">
        <f t="shared" si="794"/>
        <v>91113.855057897192</v>
      </c>
      <c r="GU364" s="497"/>
      <c r="GV364" s="1095">
        <f t="shared" si="883"/>
        <v>5258778.6468571052</v>
      </c>
      <c r="GW364" s="1098">
        <f t="shared" si="884"/>
        <v>0.125</v>
      </c>
      <c r="GX364" s="1095">
        <f t="shared" si="885"/>
        <v>657347.33085713815</v>
      </c>
      <c r="GY364" s="1095">
        <f t="shared" si="886"/>
        <v>30000</v>
      </c>
      <c r="GZ364" s="1095">
        <f t="shared" si="887"/>
        <v>627347.33085713815</v>
      </c>
      <c r="HA364" s="1106">
        <f t="shared" si="888"/>
        <v>48</v>
      </c>
      <c r="HB364" s="770">
        <f t="shared" si="889"/>
        <v>13069.736059523711</v>
      </c>
      <c r="HC364" s="1098">
        <f t="shared" si="890"/>
        <v>0.875</v>
      </c>
      <c r="HD364" s="1102">
        <f t="shared" si="891"/>
        <v>4601431.315999967</v>
      </c>
      <c r="HE364" s="1101">
        <f t="shared" si="892"/>
        <v>35674.84801618132</v>
      </c>
      <c r="HF364" s="1101">
        <f t="shared" si="893"/>
        <v>41358.965532064583</v>
      </c>
      <c r="HG364" s="1101">
        <f t="shared" si="894"/>
        <v>53426.519232970808</v>
      </c>
      <c r="HH364" s="1101">
        <f t="shared" si="895"/>
        <v>91113.855057897192</v>
      </c>
      <c r="HI364" s="497"/>
      <c r="HJ364" s="1102">
        <f t="shared" si="896"/>
        <v>-6534.8680297618557</v>
      </c>
      <c r="HL364" s="775"/>
      <c r="HN364" s="775"/>
      <c r="HO364" s="775"/>
      <c r="HQ364" s="702"/>
      <c r="HR364" s="1171"/>
      <c r="HS364" s="702"/>
      <c r="HT364" s="1171"/>
    </row>
    <row r="365" spans="1:228" ht="14.25" hidden="1" customHeight="1">
      <c r="A365" s="753">
        <f t="shared" si="897"/>
        <v>359</v>
      </c>
      <c r="B365" s="753"/>
      <c r="C365" s="753">
        <f t="shared" si="911"/>
        <v>18</v>
      </c>
      <c r="D365" s="753" t="s">
        <v>292</v>
      </c>
      <c r="E365" s="717" t="s">
        <v>297</v>
      </c>
      <c r="F365" s="754"/>
      <c r="G365" s="756" t="s">
        <v>830</v>
      </c>
      <c r="H365" s="756"/>
      <c r="I365" s="755" t="s">
        <v>229</v>
      </c>
      <c r="J365" s="757">
        <v>22</v>
      </c>
      <c r="K365" s="758"/>
      <c r="L365" s="759" t="s">
        <v>69</v>
      </c>
      <c r="M365" s="760" t="s">
        <v>68</v>
      </c>
      <c r="N365" s="761">
        <f t="shared" si="818"/>
        <v>106005.26567735759</v>
      </c>
      <c r="O365" s="762">
        <f t="shared" si="819"/>
        <v>2332115.8449018667</v>
      </c>
      <c r="P365" s="762">
        <f t="shared" si="820"/>
        <v>22400</v>
      </c>
      <c r="Q365" s="762">
        <f t="shared" si="795"/>
        <v>50000</v>
      </c>
      <c r="R365" s="762"/>
      <c r="S365" s="762">
        <f t="shared" si="910"/>
        <v>176000</v>
      </c>
      <c r="T365" s="762"/>
      <c r="U365" s="762"/>
      <c r="V365" s="762"/>
      <c r="W365" s="762"/>
      <c r="X365" s="762"/>
      <c r="Y365" s="762">
        <f t="shared" si="912"/>
        <v>200000</v>
      </c>
      <c r="Z365" s="762">
        <f t="shared" si="796"/>
        <v>142461</v>
      </c>
      <c r="AA365" s="762"/>
      <c r="AB365" s="762"/>
      <c r="AC365" s="762"/>
      <c r="AD365" s="763">
        <f t="shared" si="821"/>
        <v>590861</v>
      </c>
      <c r="AE365" s="763">
        <f t="shared" si="797"/>
        <v>2922976.8449018667</v>
      </c>
      <c r="AF365" s="762">
        <f t="shared" si="798"/>
        <v>73074.421122546672</v>
      </c>
      <c r="AG365" s="762">
        <f t="shared" si="822"/>
        <v>2996051.2660244135</v>
      </c>
      <c r="AH365" s="762">
        <f t="shared" si="799"/>
        <v>74901.281650610341</v>
      </c>
      <c r="AI365" s="762">
        <f t="shared" si="823"/>
        <v>3070952.5476750238</v>
      </c>
      <c r="AJ365" s="762">
        <f t="shared" si="824"/>
        <v>153547.62738375118</v>
      </c>
      <c r="AK365" s="762">
        <f t="shared" si="825"/>
        <v>3224500.1750587751</v>
      </c>
      <c r="AL365" s="762">
        <f t="shared" si="826"/>
        <v>32245.001750587751</v>
      </c>
      <c r="AM365" s="762">
        <f t="shared" si="827"/>
        <v>27537.409960060559</v>
      </c>
      <c r="AN365" s="762"/>
      <c r="AO365" s="763">
        <f t="shared" si="828"/>
        <v>3284282.5867694234</v>
      </c>
      <c r="AP365" s="763">
        <f t="shared" si="829"/>
        <v>541906.62681695493</v>
      </c>
      <c r="AQ365" s="763">
        <f t="shared" si="830"/>
        <v>3826189.2135863784</v>
      </c>
      <c r="AR365" s="1178">
        <f t="shared" si="800"/>
        <v>3000000</v>
      </c>
      <c r="AS365" s="1178">
        <f t="shared" si="831"/>
        <v>37554.055163017198</v>
      </c>
      <c r="AT365" s="1178">
        <f t="shared" si="832"/>
        <v>826189.21358637838</v>
      </c>
      <c r="AU365" s="1178">
        <f t="shared" si="801"/>
        <v>99142.705630365395</v>
      </c>
      <c r="AV365" s="1178">
        <f t="shared" si="833"/>
        <v>925331.91921674379</v>
      </c>
      <c r="AW365" s="1178">
        <f t="shared" si="834"/>
        <v>3925331.9192167437</v>
      </c>
      <c r="AX365" s="762">
        <f t="shared" si="835"/>
        <v>49066.648990209302</v>
      </c>
      <c r="AY365" s="717" t="s">
        <v>231</v>
      </c>
      <c r="AZ365" s="717">
        <f t="shared" si="836"/>
        <v>3974398.5682069529</v>
      </c>
      <c r="BA365" s="717">
        <f t="shared" si="837"/>
        <v>149039.94630776072</v>
      </c>
      <c r="BB365" s="717"/>
      <c r="BC365" s="717">
        <f t="shared" si="802"/>
        <v>33600</v>
      </c>
      <c r="BD365" s="717">
        <f t="shared" si="838"/>
        <v>4157038.5145147135</v>
      </c>
      <c r="BE365" s="717"/>
      <c r="BF365" s="717">
        <f t="shared" si="839"/>
        <v>4157038.5145147135</v>
      </c>
      <c r="BG365" s="1209"/>
      <c r="BH365" s="717">
        <f t="shared" si="840"/>
        <v>4157038.5145147135</v>
      </c>
      <c r="BI365" s="717"/>
      <c r="BJ365" s="717">
        <f t="shared" si="841"/>
        <v>4157038.5145147135</v>
      </c>
      <c r="BK365" s="717"/>
      <c r="BL365" s="717">
        <f t="shared" si="842"/>
        <v>4157038.5145147135</v>
      </c>
      <c r="BM365" s="717"/>
      <c r="BN365" s="717">
        <f t="shared" si="843"/>
        <v>4157038.5145147135</v>
      </c>
      <c r="BO365" s="717"/>
      <c r="BP365" s="717">
        <f t="shared" si="803"/>
        <v>4157038.5145147135</v>
      </c>
      <c r="BQ365" s="717"/>
      <c r="BR365" s="717">
        <f t="shared" si="903"/>
        <v>4157038.5145147135</v>
      </c>
      <c r="BS365" s="717"/>
      <c r="BT365" s="717">
        <f t="shared" si="844"/>
        <v>4157038.5145147135</v>
      </c>
      <c r="BU365" s="717"/>
      <c r="BV365" s="1235">
        <f t="shared" si="904"/>
        <v>51400</v>
      </c>
      <c r="BW365" s="717">
        <f t="shared" si="845"/>
        <v>4208438.5145147135</v>
      </c>
      <c r="BX365" s="717"/>
      <c r="BY365" s="717">
        <f t="shared" si="846"/>
        <v>4208438.5145147135</v>
      </c>
      <c r="BZ365" s="1194">
        <f t="shared" si="847"/>
        <v>4208438.5145147135</v>
      </c>
      <c r="CA365" s="1194">
        <f t="shared" si="848"/>
        <v>3636438.5145147135</v>
      </c>
      <c r="CB365" s="1194">
        <v>26000</v>
      </c>
      <c r="CC365" s="1194">
        <f t="shared" si="849"/>
        <v>572000</v>
      </c>
      <c r="CD365" s="1194">
        <f t="shared" si="850"/>
        <v>68640</v>
      </c>
      <c r="CE365" s="1194">
        <f t="shared" si="851"/>
        <v>640640</v>
      </c>
      <c r="CF365" s="1200">
        <f t="shared" si="852"/>
        <v>4277078.5145147135</v>
      </c>
      <c r="CG365" s="757">
        <f t="shared" si="853"/>
        <v>4277078.5145147135</v>
      </c>
      <c r="CH365" s="758">
        <f t="shared" si="854"/>
        <v>436372.62174176559</v>
      </c>
      <c r="CI365" s="757">
        <f t="shared" si="804"/>
        <v>438400.54773775814</v>
      </c>
      <c r="CJ365" s="757">
        <f t="shared" si="805"/>
        <v>106926.96286286785</v>
      </c>
      <c r="CK365" s="759">
        <f t="shared" si="919"/>
        <v>5258778.6468571052</v>
      </c>
      <c r="CL365" s="764">
        <f t="shared" si="855"/>
        <v>0.125</v>
      </c>
      <c r="CM365" s="757">
        <f t="shared" si="856"/>
        <v>657347.33085713815</v>
      </c>
      <c r="CN365" s="757">
        <f t="shared" si="898"/>
        <v>30000</v>
      </c>
      <c r="CO365" s="757">
        <f t="shared" si="857"/>
        <v>627347.33085713815</v>
      </c>
      <c r="CP365" s="755">
        <f t="shared" si="858"/>
        <v>32</v>
      </c>
      <c r="CQ365" s="757">
        <f t="shared" si="901"/>
        <v>19604.604089285567</v>
      </c>
      <c r="CR365" s="764">
        <f t="shared" si="859"/>
        <v>0.875</v>
      </c>
      <c r="CS365" s="757">
        <f t="shared" si="860"/>
        <v>4601431.315999967</v>
      </c>
      <c r="CT365" s="1101">
        <f t="shared" si="861"/>
        <v>35674.84801618132</v>
      </c>
      <c r="CU365" s="1101">
        <f t="shared" si="862"/>
        <v>41358.965532064583</v>
      </c>
      <c r="CV365" s="1101">
        <f t="shared" si="863"/>
        <v>53426.519232970808</v>
      </c>
      <c r="CW365" s="1141">
        <f t="shared" si="806"/>
        <v>91113.855057897192</v>
      </c>
      <c r="CX365" s="1152">
        <f t="shared" si="864"/>
        <v>373788.89151384996</v>
      </c>
      <c r="CY365" s="1152">
        <f t="shared" si="865"/>
        <v>147906.44354180046</v>
      </c>
      <c r="CZ365" s="1152">
        <f t="shared" si="866"/>
        <v>106830.72934249975</v>
      </c>
      <c r="DA365" s="1152">
        <f t="shared" si="867"/>
        <v>81303.103262405057</v>
      </c>
      <c r="DB365" s="1143">
        <f t="shared" si="807"/>
        <v>0.27539640452879277</v>
      </c>
      <c r="DC365" s="1143">
        <f t="shared" si="868"/>
        <v>0.17617237234808411</v>
      </c>
      <c r="DD365" s="1098" t="s">
        <v>812</v>
      </c>
      <c r="DE365" s="1144"/>
      <c r="DF365" s="705"/>
      <c r="DG365" s="765">
        <f t="shared" si="899"/>
        <v>46082</v>
      </c>
      <c r="DH365" s="1116">
        <f t="shared" si="808"/>
        <v>28</v>
      </c>
      <c r="DI365" s="497"/>
      <c r="DJ365" s="1117">
        <f t="shared" si="869"/>
        <v>46147</v>
      </c>
      <c r="DK365" s="1116">
        <f t="shared" si="870"/>
        <v>30</v>
      </c>
      <c r="DL365" s="766" t="s">
        <v>813</v>
      </c>
      <c r="DM365" s="766" t="s">
        <v>234</v>
      </c>
      <c r="DN365" s="767">
        <f t="shared" si="809"/>
        <v>42060.541782579261</v>
      </c>
      <c r="DO365" s="767">
        <f t="shared" si="810"/>
        <v>925331.91921674379</v>
      </c>
      <c r="DP365" s="768">
        <f t="shared" si="811"/>
        <v>0.30844397307224791</v>
      </c>
      <c r="DR365" s="767">
        <f t="shared" si="812"/>
        <v>4277078.5145147135</v>
      </c>
      <c r="DS365" s="767">
        <f>SUM('[6]INTERNAL PRICELIST'!M365)</f>
        <v>0</v>
      </c>
      <c r="DT365" s="767">
        <f t="shared" si="871"/>
        <v>4277078.5145147135</v>
      </c>
      <c r="DV365" s="951">
        <f t="shared" si="813"/>
        <v>194412.6597506688</v>
      </c>
      <c r="DX365" s="781"/>
      <c r="DY365" s="782"/>
      <c r="DZ365" s="781"/>
      <c r="EA365" s="775"/>
      <c r="ED365" s="755" t="s">
        <v>830</v>
      </c>
      <c r="EE365" s="777" t="b">
        <f t="shared" si="814"/>
        <v>1</v>
      </c>
      <c r="EF365" s="777"/>
      <c r="EG365" s="777"/>
      <c r="EH365" s="1203"/>
      <c r="EP365" s="1230" t="s">
        <v>236</v>
      </c>
      <c r="EQ365" s="1145" t="s">
        <v>236</v>
      </c>
      <c r="ER365" s="753" t="b">
        <f t="shared" si="872"/>
        <v>1</v>
      </c>
      <c r="EU365" s="770">
        <v>3457426.8674007286</v>
      </c>
      <c r="EV365" s="771" t="s">
        <v>258</v>
      </c>
      <c r="EW365" s="775">
        <f t="shared" si="914"/>
        <v>-819651.64711398492</v>
      </c>
      <c r="EY365" s="775">
        <v>3421168.9389577992</v>
      </c>
      <c r="FJ365" s="994">
        <v>0.15</v>
      </c>
      <c r="FK365" s="993">
        <v>14908.389673312213</v>
      </c>
      <c r="FL365" s="993">
        <v>15311.319123942272</v>
      </c>
      <c r="FM365" s="497"/>
      <c r="FN365" s="993">
        <f t="shared" si="815"/>
        <v>5258778.6468571052</v>
      </c>
      <c r="FO365" s="994">
        <f t="shared" ref="FO365:FO367" si="927">FJ365</f>
        <v>0.15</v>
      </c>
      <c r="FP365" s="775">
        <f t="shared" si="816"/>
        <v>788816.79702856578</v>
      </c>
      <c r="FQ365" s="993">
        <f t="shared" si="817"/>
        <v>30000</v>
      </c>
      <c r="FR365" s="775">
        <f t="shared" si="874"/>
        <v>758816.79702856578</v>
      </c>
      <c r="FS365" s="497">
        <f t="shared" si="875"/>
        <v>40</v>
      </c>
      <c r="FT365" s="775">
        <f t="shared" si="876"/>
        <v>18970.419925714144</v>
      </c>
      <c r="FU365" s="497"/>
      <c r="FV365" s="993">
        <f t="shared" si="877"/>
        <v>5258778.6468571052</v>
      </c>
      <c r="FW365" s="705">
        <f t="shared" si="878"/>
        <v>525877.86468571052</v>
      </c>
      <c r="FX365" s="705">
        <f t="shared" si="879"/>
        <v>131469.46617142763</v>
      </c>
      <c r="FY365" s="705">
        <v>15000</v>
      </c>
      <c r="FZ365" s="705">
        <f t="shared" si="880"/>
        <v>510877.86468571052</v>
      </c>
      <c r="GA365" s="497">
        <f t="shared" si="881"/>
        <v>46</v>
      </c>
      <c r="GB365" s="775">
        <f t="shared" si="882"/>
        <v>11106.040536645882</v>
      </c>
      <c r="GC365" s="497"/>
      <c r="GD365" s="497"/>
      <c r="GH365" s="1095">
        <f t="shared" si="782"/>
        <v>5258778.6468571052</v>
      </c>
      <c r="GI365" s="1098">
        <f t="shared" si="783"/>
        <v>0.125</v>
      </c>
      <c r="GJ365" s="1095">
        <f t="shared" si="784"/>
        <v>657347.33085713815</v>
      </c>
      <c r="GK365" s="1095">
        <f t="shared" si="785"/>
        <v>30000</v>
      </c>
      <c r="GL365" s="1095">
        <f t="shared" si="786"/>
        <v>627347.33085713815</v>
      </c>
      <c r="GM365" s="1095">
        <f t="shared" si="787"/>
        <v>32</v>
      </c>
      <c r="GN365" s="1095">
        <f t="shared" si="788"/>
        <v>19604.604089285567</v>
      </c>
      <c r="GO365" s="1098">
        <f t="shared" si="789"/>
        <v>0.875</v>
      </c>
      <c r="GP365" s="1095">
        <f t="shared" si="790"/>
        <v>4601431.315999967</v>
      </c>
      <c r="GQ365" s="1095">
        <f t="shared" si="791"/>
        <v>35674.84801618132</v>
      </c>
      <c r="GR365" s="1095">
        <f t="shared" si="792"/>
        <v>41358.965532064583</v>
      </c>
      <c r="GS365" s="1095">
        <f t="shared" si="793"/>
        <v>53426.519232970808</v>
      </c>
      <c r="GT365" s="1095">
        <f t="shared" si="794"/>
        <v>91113.855057897192</v>
      </c>
      <c r="GU365" s="497"/>
      <c r="GV365" s="1095">
        <f t="shared" si="883"/>
        <v>5258778.6468571052</v>
      </c>
      <c r="GW365" s="1098">
        <f t="shared" si="884"/>
        <v>0.125</v>
      </c>
      <c r="GX365" s="1095">
        <f t="shared" si="885"/>
        <v>657347.33085713815</v>
      </c>
      <c r="GY365" s="1095">
        <f t="shared" si="886"/>
        <v>30000</v>
      </c>
      <c r="GZ365" s="1095">
        <f t="shared" si="887"/>
        <v>627347.33085713815</v>
      </c>
      <c r="HA365" s="1106">
        <f t="shared" si="888"/>
        <v>48</v>
      </c>
      <c r="HB365" s="770">
        <f t="shared" si="889"/>
        <v>13069.736059523711</v>
      </c>
      <c r="HC365" s="1098">
        <f t="shared" si="890"/>
        <v>0.875</v>
      </c>
      <c r="HD365" s="1102">
        <f t="shared" si="891"/>
        <v>4601431.315999967</v>
      </c>
      <c r="HE365" s="1101">
        <f t="shared" si="892"/>
        <v>35674.84801618132</v>
      </c>
      <c r="HF365" s="1101">
        <f t="shared" si="893"/>
        <v>41358.965532064583</v>
      </c>
      <c r="HG365" s="1101">
        <f t="shared" si="894"/>
        <v>53426.519232970808</v>
      </c>
      <c r="HH365" s="1101">
        <f t="shared" si="895"/>
        <v>91113.855057897192</v>
      </c>
      <c r="HI365" s="497"/>
      <c r="HJ365" s="1102">
        <f t="shared" si="896"/>
        <v>-6534.8680297618557</v>
      </c>
      <c r="HL365" s="775"/>
      <c r="HN365" s="775"/>
      <c r="HO365" s="775"/>
      <c r="HQ365" s="702"/>
      <c r="HR365" s="1171"/>
      <c r="HS365" s="702"/>
      <c r="HT365" s="1171"/>
    </row>
    <row r="366" spans="1:228" ht="14.25" hidden="1" customHeight="1">
      <c r="A366" s="753">
        <f t="shared" si="897"/>
        <v>360</v>
      </c>
      <c r="B366" s="753"/>
      <c r="C366" s="753">
        <f t="shared" si="911"/>
        <v>19</v>
      </c>
      <c r="D366" s="753" t="s">
        <v>292</v>
      </c>
      <c r="E366" s="717" t="s">
        <v>297</v>
      </c>
      <c r="F366" s="754"/>
      <c r="G366" s="756" t="s">
        <v>831</v>
      </c>
      <c r="H366" s="756"/>
      <c r="I366" s="755" t="s">
        <v>229</v>
      </c>
      <c r="J366" s="757">
        <v>22</v>
      </c>
      <c r="K366" s="758"/>
      <c r="L366" s="759" t="s">
        <v>69</v>
      </c>
      <c r="M366" s="760" t="s">
        <v>68</v>
      </c>
      <c r="N366" s="761">
        <f t="shared" si="818"/>
        <v>106005.26567735759</v>
      </c>
      <c r="O366" s="762">
        <f t="shared" si="819"/>
        <v>2332115.8449018667</v>
      </c>
      <c r="P366" s="762">
        <f t="shared" si="820"/>
        <v>22400</v>
      </c>
      <c r="Q366" s="762">
        <f t="shared" si="795"/>
        <v>50000</v>
      </c>
      <c r="R366" s="762"/>
      <c r="S366" s="762">
        <f t="shared" si="910"/>
        <v>176000</v>
      </c>
      <c r="T366" s="762"/>
      <c r="U366" s="762"/>
      <c r="V366" s="762"/>
      <c r="W366" s="762"/>
      <c r="X366" s="762"/>
      <c r="Y366" s="762">
        <f t="shared" si="912"/>
        <v>200000</v>
      </c>
      <c r="Z366" s="762">
        <f t="shared" si="796"/>
        <v>142461</v>
      </c>
      <c r="AA366" s="762"/>
      <c r="AB366" s="762"/>
      <c r="AC366" s="762"/>
      <c r="AD366" s="763">
        <f t="shared" si="821"/>
        <v>590861</v>
      </c>
      <c r="AE366" s="763">
        <f t="shared" si="797"/>
        <v>2922976.8449018667</v>
      </c>
      <c r="AF366" s="762">
        <f t="shared" si="798"/>
        <v>73074.421122546672</v>
      </c>
      <c r="AG366" s="762">
        <f t="shared" si="822"/>
        <v>2996051.2660244135</v>
      </c>
      <c r="AH366" s="762">
        <f t="shared" si="799"/>
        <v>74901.281650610341</v>
      </c>
      <c r="AI366" s="762">
        <f t="shared" si="823"/>
        <v>3070952.5476750238</v>
      </c>
      <c r="AJ366" s="762">
        <f t="shared" si="824"/>
        <v>153547.62738375118</v>
      </c>
      <c r="AK366" s="762">
        <f t="shared" si="825"/>
        <v>3224500.1750587751</v>
      </c>
      <c r="AL366" s="762">
        <f t="shared" si="826"/>
        <v>32245.001750587751</v>
      </c>
      <c r="AM366" s="762">
        <f t="shared" si="827"/>
        <v>27537.409960060559</v>
      </c>
      <c r="AN366" s="762"/>
      <c r="AO366" s="763">
        <f t="shared" si="828"/>
        <v>3284282.5867694234</v>
      </c>
      <c r="AP366" s="763">
        <f t="shared" si="829"/>
        <v>541906.62681695493</v>
      </c>
      <c r="AQ366" s="763">
        <f t="shared" si="830"/>
        <v>3826189.2135863784</v>
      </c>
      <c r="AR366" s="1178">
        <f t="shared" si="800"/>
        <v>3000000</v>
      </c>
      <c r="AS366" s="1178">
        <f t="shared" si="831"/>
        <v>37554.055163017198</v>
      </c>
      <c r="AT366" s="1178">
        <f t="shared" si="832"/>
        <v>826189.21358637838</v>
      </c>
      <c r="AU366" s="1178">
        <f t="shared" si="801"/>
        <v>99142.705630365395</v>
      </c>
      <c r="AV366" s="1178">
        <f t="shared" si="833"/>
        <v>925331.91921674379</v>
      </c>
      <c r="AW366" s="1178">
        <f t="shared" si="834"/>
        <v>3925331.9192167437</v>
      </c>
      <c r="AX366" s="762">
        <f t="shared" si="835"/>
        <v>49066.648990209302</v>
      </c>
      <c r="AY366" s="717" t="s">
        <v>231</v>
      </c>
      <c r="AZ366" s="717">
        <f t="shared" si="836"/>
        <v>3974398.5682069529</v>
      </c>
      <c r="BA366" s="717">
        <f t="shared" si="837"/>
        <v>149039.94630776072</v>
      </c>
      <c r="BB366" s="717"/>
      <c r="BC366" s="717">
        <f t="shared" si="802"/>
        <v>33600</v>
      </c>
      <c r="BD366" s="717">
        <f t="shared" si="838"/>
        <v>4157038.5145147135</v>
      </c>
      <c r="BE366" s="717"/>
      <c r="BF366" s="717">
        <f t="shared" si="839"/>
        <v>4157038.5145147135</v>
      </c>
      <c r="BG366" s="1209"/>
      <c r="BH366" s="717">
        <f t="shared" si="840"/>
        <v>4157038.5145147135</v>
      </c>
      <c r="BI366" s="717"/>
      <c r="BJ366" s="717">
        <f t="shared" si="841"/>
        <v>4157038.5145147135</v>
      </c>
      <c r="BK366" s="717"/>
      <c r="BL366" s="717">
        <f t="shared" si="842"/>
        <v>4157038.5145147135</v>
      </c>
      <c r="BM366" s="717"/>
      <c r="BN366" s="717">
        <f t="shared" si="843"/>
        <v>4157038.5145147135</v>
      </c>
      <c r="BO366" s="717"/>
      <c r="BP366" s="717">
        <f t="shared" si="803"/>
        <v>4157038.5145147135</v>
      </c>
      <c r="BQ366" s="717"/>
      <c r="BR366" s="717">
        <f t="shared" si="903"/>
        <v>4157038.5145147135</v>
      </c>
      <c r="BS366" s="717"/>
      <c r="BT366" s="717">
        <f t="shared" si="844"/>
        <v>4157038.5145147135</v>
      </c>
      <c r="BU366" s="717"/>
      <c r="BV366" s="1235">
        <f t="shared" si="904"/>
        <v>51400</v>
      </c>
      <c r="BW366" s="717">
        <f t="shared" si="845"/>
        <v>4208438.5145147135</v>
      </c>
      <c r="BX366" s="717"/>
      <c r="BY366" s="717">
        <f t="shared" si="846"/>
        <v>4208438.5145147135</v>
      </c>
      <c r="BZ366" s="1194">
        <f t="shared" si="847"/>
        <v>4208438.5145147135</v>
      </c>
      <c r="CA366" s="1194">
        <f t="shared" si="848"/>
        <v>3636438.5145147135</v>
      </c>
      <c r="CB366" s="1194">
        <v>26000</v>
      </c>
      <c r="CC366" s="1194">
        <f t="shared" si="849"/>
        <v>572000</v>
      </c>
      <c r="CD366" s="1194">
        <f t="shared" si="850"/>
        <v>68640</v>
      </c>
      <c r="CE366" s="1194">
        <f t="shared" si="851"/>
        <v>640640</v>
      </c>
      <c r="CF366" s="1200">
        <f t="shared" si="852"/>
        <v>4277078.5145147135</v>
      </c>
      <c r="CG366" s="757">
        <f t="shared" si="853"/>
        <v>4277078.5145147135</v>
      </c>
      <c r="CH366" s="758">
        <f t="shared" si="854"/>
        <v>436372.62174176559</v>
      </c>
      <c r="CI366" s="757">
        <f t="shared" si="804"/>
        <v>438400.54773775814</v>
      </c>
      <c r="CJ366" s="757">
        <f t="shared" si="805"/>
        <v>106926.96286286785</v>
      </c>
      <c r="CK366" s="759">
        <f t="shared" si="919"/>
        <v>5258778.6468571052</v>
      </c>
      <c r="CL366" s="764">
        <f t="shared" si="855"/>
        <v>0.125</v>
      </c>
      <c r="CM366" s="757">
        <f t="shared" si="856"/>
        <v>657347.33085713815</v>
      </c>
      <c r="CN366" s="757">
        <f t="shared" si="898"/>
        <v>30000</v>
      </c>
      <c r="CO366" s="757">
        <f t="shared" si="857"/>
        <v>627347.33085713815</v>
      </c>
      <c r="CP366" s="755">
        <f t="shared" si="858"/>
        <v>32</v>
      </c>
      <c r="CQ366" s="757">
        <f t="shared" si="901"/>
        <v>19604.604089285567</v>
      </c>
      <c r="CR366" s="764">
        <f t="shared" si="859"/>
        <v>0.875</v>
      </c>
      <c r="CS366" s="757">
        <f t="shared" si="860"/>
        <v>4601431.315999967</v>
      </c>
      <c r="CT366" s="1101">
        <f t="shared" si="861"/>
        <v>35674.84801618132</v>
      </c>
      <c r="CU366" s="1101">
        <f t="shared" si="862"/>
        <v>41358.965532064583</v>
      </c>
      <c r="CV366" s="1101">
        <f t="shared" si="863"/>
        <v>53426.519232970808</v>
      </c>
      <c r="CW366" s="1141">
        <f t="shared" si="806"/>
        <v>91113.855057897192</v>
      </c>
      <c r="CX366" s="1152">
        <f t="shared" si="864"/>
        <v>373788.89151384996</v>
      </c>
      <c r="CY366" s="1152">
        <f t="shared" si="865"/>
        <v>147906.44354180046</v>
      </c>
      <c r="CZ366" s="1152">
        <f t="shared" si="866"/>
        <v>106830.72934249975</v>
      </c>
      <c r="DA366" s="1152">
        <f t="shared" si="867"/>
        <v>81303.103262405057</v>
      </c>
      <c r="DB366" s="1143">
        <f t="shared" si="807"/>
        <v>0.27539640452879277</v>
      </c>
      <c r="DC366" s="1143">
        <f t="shared" si="868"/>
        <v>0.17617237234808411</v>
      </c>
      <c r="DD366" s="1098" t="s">
        <v>812</v>
      </c>
      <c r="DE366" s="1144"/>
      <c r="DF366" s="705"/>
      <c r="DG366" s="765">
        <f t="shared" si="899"/>
        <v>46082</v>
      </c>
      <c r="DH366" s="1116">
        <f t="shared" si="808"/>
        <v>28</v>
      </c>
      <c r="DI366" s="497"/>
      <c r="DJ366" s="1117">
        <f t="shared" si="869"/>
        <v>46147</v>
      </c>
      <c r="DK366" s="1116">
        <f t="shared" si="870"/>
        <v>30</v>
      </c>
      <c r="DL366" s="766" t="s">
        <v>813</v>
      </c>
      <c r="DM366" s="766" t="s">
        <v>234</v>
      </c>
      <c r="DN366" s="767">
        <f t="shared" si="809"/>
        <v>42060.541782579261</v>
      </c>
      <c r="DO366" s="767">
        <f t="shared" si="810"/>
        <v>925331.91921674379</v>
      </c>
      <c r="DP366" s="768">
        <f t="shared" si="811"/>
        <v>0.30844397307224791</v>
      </c>
      <c r="DR366" s="767">
        <f t="shared" si="812"/>
        <v>4277078.5145147135</v>
      </c>
      <c r="DS366" s="767">
        <f>SUM('[6]INTERNAL PRICELIST'!M366)</f>
        <v>0</v>
      </c>
      <c r="DT366" s="767">
        <f t="shared" si="871"/>
        <v>4277078.5145147135</v>
      </c>
      <c r="DV366" s="951">
        <f t="shared" si="813"/>
        <v>194412.6597506688</v>
      </c>
      <c r="DX366" s="781"/>
      <c r="DY366" s="782"/>
      <c r="DZ366" s="781"/>
      <c r="EA366" s="775"/>
      <c r="ED366" s="755" t="s">
        <v>831</v>
      </c>
      <c r="EE366" s="777" t="b">
        <f t="shared" si="814"/>
        <v>1</v>
      </c>
      <c r="EF366" s="777"/>
      <c r="EG366" s="777"/>
      <c r="EH366" s="1203"/>
      <c r="EP366" s="1230" t="s">
        <v>236</v>
      </c>
      <c r="EQ366" s="1145" t="s">
        <v>236</v>
      </c>
      <c r="ER366" s="753" t="b">
        <f t="shared" si="872"/>
        <v>1</v>
      </c>
      <c r="EU366" s="770">
        <v>3457426.8674007286</v>
      </c>
      <c r="EV366" s="771" t="s">
        <v>258</v>
      </c>
      <c r="EW366" s="775">
        <f t="shared" si="914"/>
        <v>-819651.64711398492</v>
      </c>
      <c r="EY366" s="775">
        <v>3421168.9389577992</v>
      </c>
      <c r="FJ366" s="994">
        <v>0.15</v>
      </c>
      <c r="FK366" s="993">
        <v>14908.389673312213</v>
      </c>
      <c r="FL366" s="993">
        <v>15311.319123942272</v>
      </c>
      <c r="FM366" s="497"/>
      <c r="FN366" s="993">
        <f t="shared" si="815"/>
        <v>5258778.6468571052</v>
      </c>
      <c r="FO366" s="994">
        <f t="shared" si="927"/>
        <v>0.15</v>
      </c>
      <c r="FP366" s="775">
        <f t="shared" si="816"/>
        <v>788816.79702856578</v>
      </c>
      <c r="FQ366" s="993">
        <f t="shared" si="817"/>
        <v>30000</v>
      </c>
      <c r="FR366" s="775">
        <f t="shared" si="874"/>
        <v>758816.79702856578</v>
      </c>
      <c r="FS366" s="497">
        <f t="shared" si="875"/>
        <v>40</v>
      </c>
      <c r="FT366" s="775">
        <f t="shared" si="876"/>
        <v>18970.419925714144</v>
      </c>
      <c r="FU366" s="497"/>
      <c r="FV366" s="993">
        <f t="shared" si="877"/>
        <v>5258778.6468571052</v>
      </c>
      <c r="FW366" s="705">
        <f t="shared" si="878"/>
        <v>525877.86468571052</v>
      </c>
      <c r="FX366" s="705">
        <f t="shared" si="879"/>
        <v>131469.46617142763</v>
      </c>
      <c r="FY366" s="705">
        <v>15000</v>
      </c>
      <c r="FZ366" s="705">
        <f t="shared" si="880"/>
        <v>510877.86468571052</v>
      </c>
      <c r="GA366" s="497">
        <f t="shared" si="881"/>
        <v>46</v>
      </c>
      <c r="GB366" s="775">
        <f t="shared" si="882"/>
        <v>11106.040536645882</v>
      </c>
      <c r="GC366" s="497"/>
      <c r="GD366" s="497"/>
      <c r="GH366" s="1095">
        <f t="shared" si="782"/>
        <v>5258778.6468571052</v>
      </c>
      <c r="GI366" s="1098">
        <f t="shared" si="783"/>
        <v>0.125</v>
      </c>
      <c r="GJ366" s="1095">
        <f t="shared" si="784"/>
        <v>657347.33085713815</v>
      </c>
      <c r="GK366" s="1095">
        <f t="shared" si="785"/>
        <v>30000</v>
      </c>
      <c r="GL366" s="1095">
        <f t="shared" si="786"/>
        <v>627347.33085713815</v>
      </c>
      <c r="GM366" s="1095">
        <f t="shared" si="787"/>
        <v>32</v>
      </c>
      <c r="GN366" s="1095">
        <f t="shared" si="788"/>
        <v>19604.604089285567</v>
      </c>
      <c r="GO366" s="1098">
        <f t="shared" si="789"/>
        <v>0.875</v>
      </c>
      <c r="GP366" s="1095">
        <f t="shared" si="790"/>
        <v>4601431.315999967</v>
      </c>
      <c r="GQ366" s="1095">
        <f t="shared" si="791"/>
        <v>35674.84801618132</v>
      </c>
      <c r="GR366" s="1095">
        <f t="shared" si="792"/>
        <v>41358.965532064583</v>
      </c>
      <c r="GS366" s="1095">
        <f t="shared" si="793"/>
        <v>53426.519232970808</v>
      </c>
      <c r="GT366" s="1095">
        <f t="shared" si="794"/>
        <v>91113.855057897192</v>
      </c>
      <c r="GU366" s="497"/>
      <c r="GV366" s="1095">
        <f t="shared" si="883"/>
        <v>5258778.6468571052</v>
      </c>
      <c r="GW366" s="1098">
        <f t="shared" si="884"/>
        <v>0.125</v>
      </c>
      <c r="GX366" s="1095">
        <f t="shared" si="885"/>
        <v>657347.33085713815</v>
      </c>
      <c r="GY366" s="1095">
        <f t="shared" si="886"/>
        <v>30000</v>
      </c>
      <c r="GZ366" s="1095">
        <f t="shared" si="887"/>
        <v>627347.33085713815</v>
      </c>
      <c r="HA366" s="1106">
        <f t="shared" si="888"/>
        <v>48</v>
      </c>
      <c r="HB366" s="770">
        <f t="shared" si="889"/>
        <v>13069.736059523711</v>
      </c>
      <c r="HC366" s="1098">
        <f t="shared" si="890"/>
        <v>0.875</v>
      </c>
      <c r="HD366" s="1102">
        <f t="shared" si="891"/>
        <v>4601431.315999967</v>
      </c>
      <c r="HE366" s="1101">
        <f t="shared" si="892"/>
        <v>35674.84801618132</v>
      </c>
      <c r="HF366" s="1101">
        <f t="shared" si="893"/>
        <v>41358.965532064583</v>
      </c>
      <c r="HG366" s="1101">
        <f t="shared" si="894"/>
        <v>53426.519232970808</v>
      </c>
      <c r="HH366" s="1101">
        <f t="shared" si="895"/>
        <v>91113.855057897192</v>
      </c>
      <c r="HI366" s="497"/>
      <c r="HJ366" s="1102">
        <f t="shared" si="896"/>
        <v>-6534.8680297618557</v>
      </c>
      <c r="HL366" s="775"/>
      <c r="HN366" s="775"/>
      <c r="HO366" s="775"/>
      <c r="HQ366" s="702"/>
      <c r="HR366" s="1171"/>
      <c r="HS366" s="702"/>
      <c r="HT366" s="1171"/>
    </row>
    <row r="367" spans="1:228" ht="14.25" hidden="1" customHeight="1">
      <c r="A367" s="753">
        <f t="shared" si="897"/>
        <v>361</v>
      </c>
      <c r="B367" s="753"/>
      <c r="C367" s="753">
        <f t="shared" si="911"/>
        <v>20</v>
      </c>
      <c r="D367" s="753" t="s">
        <v>292</v>
      </c>
      <c r="E367" s="717" t="s">
        <v>297</v>
      </c>
      <c r="F367" s="754"/>
      <c r="G367" s="756" t="s">
        <v>832</v>
      </c>
      <c r="H367" s="756"/>
      <c r="I367" s="755" t="s">
        <v>229</v>
      </c>
      <c r="J367" s="757">
        <v>22</v>
      </c>
      <c r="K367" s="758"/>
      <c r="L367" s="759" t="s">
        <v>69</v>
      </c>
      <c r="M367" s="760" t="s">
        <v>68</v>
      </c>
      <c r="N367" s="761">
        <f t="shared" si="818"/>
        <v>106005.26567735759</v>
      </c>
      <c r="O367" s="762">
        <f t="shared" si="819"/>
        <v>2332115.8449018667</v>
      </c>
      <c r="P367" s="762">
        <f t="shared" si="820"/>
        <v>22400</v>
      </c>
      <c r="Q367" s="762">
        <f t="shared" si="795"/>
        <v>50000</v>
      </c>
      <c r="R367" s="762"/>
      <c r="S367" s="762">
        <f t="shared" si="910"/>
        <v>176000</v>
      </c>
      <c r="T367" s="762"/>
      <c r="U367" s="762"/>
      <c r="V367" s="762"/>
      <c r="W367" s="762"/>
      <c r="X367" s="762"/>
      <c r="Y367" s="762">
        <f t="shared" si="912"/>
        <v>200000</v>
      </c>
      <c r="Z367" s="762">
        <f t="shared" si="796"/>
        <v>142461</v>
      </c>
      <c r="AA367" s="762"/>
      <c r="AB367" s="762"/>
      <c r="AC367" s="762"/>
      <c r="AD367" s="763">
        <f t="shared" si="821"/>
        <v>590861</v>
      </c>
      <c r="AE367" s="763">
        <f t="shared" si="797"/>
        <v>2922976.8449018667</v>
      </c>
      <c r="AF367" s="762">
        <f t="shared" si="798"/>
        <v>73074.421122546672</v>
      </c>
      <c r="AG367" s="762">
        <f t="shared" si="822"/>
        <v>2996051.2660244135</v>
      </c>
      <c r="AH367" s="762">
        <f t="shared" si="799"/>
        <v>74901.281650610341</v>
      </c>
      <c r="AI367" s="762">
        <f t="shared" si="823"/>
        <v>3070952.5476750238</v>
      </c>
      <c r="AJ367" s="762">
        <f t="shared" si="824"/>
        <v>153547.62738375118</v>
      </c>
      <c r="AK367" s="762">
        <f t="shared" si="825"/>
        <v>3224500.1750587751</v>
      </c>
      <c r="AL367" s="762">
        <f t="shared" si="826"/>
        <v>32245.001750587751</v>
      </c>
      <c r="AM367" s="762">
        <f t="shared" si="827"/>
        <v>27537.409960060559</v>
      </c>
      <c r="AN367" s="762"/>
      <c r="AO367" s="763">
        <f t="shared" si="828"/>
        <v>3284282.5867694234</v>
      </c>
      <c r="AP367" s="763">
        <f t="shared" si="829"/>
        <v>541906.62681695493</v>
      </c>
      <c r="AQ367" s="763">
        <f t="shared" si="830"/>
        <v>3826189.2135863784</v>
      </c>
      <c r="AR367" s="1178">
        <f t="shared" si="800"/>
        <v>3000000</v>
      </c>
      <c r="AS367" s="1178">
        <f t="shared" si="831"/>
        <v>37554.055163017198</v>
      </c>
      <c r="AT367" s="1178">
        <f t="shared" si="832"/>
        <v>826189.21358637838</v>
      </c>
      <c r="AU367" s="1178">
        <f t="shared" si="801"/>
        <v>99142.705630365395</v>
      </c>
      <c r="AV367" s="1178">
        <f t="shared" si="833"/>
        <v>925331.91921674379</v>
      </c>
      <c r="AW367" s="1178">
        <f t="shared" si="834"/>
        <v>3925331.9192167437</v>
      </c>
      <c r="AX367" s="762">
        <f t="shared" si="835"/>
        <v>49066.648990209302</v>
      </c>
      <c r="AY367" s="717" t="s">
        <v>231</v>
      </c>
      <c r="AZ367" s="717">
        <f t="shared" si="836"/>
        <v>3974398.5682069529</v>
      </c>
      <c r="BA367" s="717">
        <f t="shared" si="837"/>
        <v>149039.94630776072</v>
      </c>
      <c r="BB367" s="717"/>
      <c r="BC367" s="717">
        <f t="shared" si="802"/>
        <v>33600</v>
      </c>
      <c r="BD367" s="717">
        <f t="shared" si="838"/>
        <v>4157038.5145147135</v>
      </c>
      <c r="BE367" s="717"/>
      <c r="BF367" s="717">
        <f t="shared" si="839"/>
        <v>4157038.5145147135</v>
      </c>
      <c r="BG367" s="1209"/>
      <c r="BH367" s="717">
        <f t="shared" si="840"/>
        <v>4157038.5145147135</v>
      </c>
      <c r="BI367" s="717"/>
      <c r="BJ367" s="717">
        <f t="shared" si="841"/>
        <v>4157038.5145147135</v>
      </c>
      <c r="BK367" s="717"/>
      <c r="BL367" s="717">
        <f t="shared" si="842"/>
        <v>4157038.5145147135</v>
      </c>
      <c r="BM367" s="717"/>
      <c r="BN367" s="717">
        <f t="shared" si="843"/>
        <v>4157038.5145147135</v>
      </c>
      <c r="BO367" s="717"/>
      <c r="BP367" s="717">
        <f t="shared" si="803"/>
        <v>4157038.5145147135</v>
      </c>
      <c r="BQ367" s="717"/>
      <c r="BR367" s="717">
        <f t="shared" si="903"/>
        <v>4157038.5145147135</v>
      </c>
      <c r="BS367" s="717"/>
      <c r="BT367" s="717">
        <f t="shared" si="844"/>
        <v>4157038.5145147135</v>
      </c>
      <c r="BU367" s="717"/>
      <c r="BV367" s="1235">
        <f t="shared" si="904"/>
        <v>51400</v>
      </c>
      <c r="BW367" s="717">
        <f t="shared" si="845"/>
        <v>4208438.5145147135</v>
      </c>
      <c r="BX367" s="717"/>
      <c r="BY367" s="717">
        <f t="shared" si="846"/>
        <v>4208438.5145147135</v>
      </c>
      <c r="BZ367" s="1194">
        <f t="shared" si="847"/>
        <v>4208438.5145147135</v>
      </c>
      <c r="CA367" s="1194">
        <f t="shared" si="848"/>
        <v>3636438.5145147135</v>
      </c>
      <c r="CB367" s="1194">
        <v>26000</v>
      </c>
      <c r="CC367" s="1194">
        <f t="shared" si="849"/>
        <v>572000</v>
      </c>
      <c r="CD367" s="1194">
        <f t="shared" si="850"/>
        <v>68640</v>
      </c>
      <c r="CE367" s="1194">
        <f t="shared" si="851"/>
        <v>640640</v>
      </c>
      <c r="CF367" s="1200">
        <f t="shared" si="852"/>
        <v>4277078.5145147135</v>
      </c>
      <c r="CG367" s="757">
        <f t="shared" si="853"/>
        <v>4277078.5145147135</v>
      </c>
      <c r="CH367" s="758">
        <f t="shared" si="854"/>
        <v>436372.62174176559</v>
      </c>
      <c r="CI367" s="757">
        <f t="shared" si="804"/>
        <v>438400.54773775814</v>
      </c>
      <c r="CJ367" s="757">
        <f t="shared" si="805"/>
        <v>106926.96286286785</v>
      </c>
      <c r="CK367" s="759">
        <f t="shared" si="919"/>
        <v>5258778.6468571052</v>
      </c>
      <c r="CL367" s="764">
        <f t="shared" si="855"/>
        <v>0.125</v>
      </c>
      <c r="CM367" s="757">
        <f t="shared" si="856"/>
        <v>657347.33085713815</v>
      </c>
      <c r="CN367" s="757">
        <f t="shared" si="898"/>
        <v>30000</v>
      </c>
      <c r="CO367" s="757">
        <f t="shared" si="857"/>
        <v>627347.33085713815</v>
      </c>
      <c r="CP367" s="755">
        <f t="shared" si="858"/>
        <v>32</v>
      </c>
      <c r="CQ367" s="757">
        <f t="shared" si="901"/>
        <v>19604.604089285567</v>
      </c>
      <c r="CR367" s="764">
        <f t="shared" si="859"/>
        <v>0.875</v>
      </c>
      <c r="CS367" s="757">
        <f t="shared" si="860"/>
        <v>4601431.315999967</v>
      </c>
      <c r="CT367" s="1101">
        <f t="shared" si="861"/>
        <v>35674.84801618132</v>
      </c>
      <c r="CU367" s="1101">
        <f t="shared" si="862"/>
        <v>41358.965532064583</v>
      </c>
      <c r="CV367" s="1101">
        <f t="shared" si="863"/>
        <v>53426.519232970808</v>
      </c>
      <c r="CW367" s="1141">
        <f t="shared" si="806"/>
        <v>91113.855057897192</v>
      </c>
      <c r="CX367" s="1152">
        <f t="shared" si="864"/>
        <v>373788.89151384996</v>
      </c>
      <c r="CY367" s="1152">
        <f t="shared" si="865"/>
        <v>147906.44354180046</v>
      </c>
      <c r="CZ367" s="1152">
        <f t="shared" si="866"/>
        <v>106830.72934249975</v>
      </c>
      <c r="DA367" s="1152">
        <f t="shared" si="867"/>
        <v>81303.103262405057</v>
      </c>
      <c r="DB367" s="1143">
        <f t="shared" si="807"/>
        <v>0.27539640452879277</v>
      </c>
      <c r="DC367" s="1143">
        <f t="shared" si="868"/>
        <v>0.17617237234808411</v>
      </c>
      <c r="DD367" s="1098" t="s">
        <v>812</v>
      </c>
      <c r="DE367" s="1144"/>
      <c r="DF367" s="705"/>
      <c r="DG367" s="765">
        <f t="shared" si="899"/>
        <v>46082</v>
      </c>
      <c r="DH367" s="1116">
        <f t="shared" si="808"/>
        <v>28</v>
      </c>
      <c r="DI367" s="497"/>
      <c r="DJ367" s="1117">
        <f t="shared" si="869"/>
        <v>46147</v>
      </c>
      <c r="DK367" s="1116">
        <f t="shared" si="870"/>
        <v>30</v>
      </c>
      <c r="DL367" s="766" t="s">
        <v>813</v>
      </c>
      <c r="DM367" s="766" t="s">
        <v>234</v>
      </c>
      <c r="DN367" s="767">
        <f t="shared" si="809"/>
        <v>42060.541782579261</v>
      </c>
      <c r="DO367" s="767">
        <f t="shared" si="810"/>
        <v>925331.91921674379</v>
      </c>
      <c r="DP367" s="768">
        <f t="shared" si="811"/>
        <v>0.30844397307224791</v>
      </c>
      <c r="DR367" s="767">
        <f t="shared" si="812"/>
        <v>4277078.5145147135</v>
      </c>
      <c r="DS367" s="767">
        <f>SUM('[6]INTERNAL PRICELIST'!M367)</f>
        <v>0</v>
      </c>
      <c r="DT367" s="767">
        <f t="shared" si="871"/>
        <v>4277078.5145147135</v>
      </c>
      <c r="DV367" s="951">
        <f t="shared" si="813"/>
        <v>194412.6597506688</v>
      </c>
      <c r="DX367" s="781"/>
      <c r="DY367" s="782"/>
      <c r="DZ367" s="781"/>
      <c r="EA367" s="775"/>
      <c r="ED367" s="755" t="s">
        <v>832</v>
      </c>
      <c r="EE367" s="777" t="b">
        <f t="shared" si="814"/>
        <v>1</v>
      </c>
      <c r="EF367" s="777"/>
      <c r="EG367" s="777"/>
      <c r="EH367" s="1203"/>
      <c r="EP367" s="1230" t="s">
        <v>236</v>
      </c>
      <c r="EQ367" s="1145" t="s">
        <v>236</v>
      </c>
      <c r="ER367" s="753" t="b">
        <f t="shared" si="872"/>
        <v>1</v>
      </c>
      <c r="EU367" s="770">
        <v>3457426.8674007286</v>
      </c>
      <c r="EV367" s="771" t="s">
        <v>258</v>
      </c>
      <c r="EW367" s="775">
        <f t="shared" si="914"/>
        <v>-819651.64711398492</v>
      </c>
      <c r="EY367" s="775">
        <v>3421168.9389577992</v>
      </c>
      <c r="FJ367" s="994">
        <v>0.15</v>
      </c>
      <c r="FK367" s="993">
        <v>14908.389673312213</v>
      </c>
      <c r="FL367" s="993">
        <v>15311.319123942272</v>
      </c>
      <c r="FM367" s="497"/>
      <c r="FN367" s="993">
        <f t="shared" si="815"/>
        <v>5258778.6468571052</v>
      </c>
      <c r="FO367" s="994">
        <f t="shared" si="927"/>
        <v>0.15</v>
      </c>
      <c r="FP367" s="775">
        <f t="shared" si="816"/>
        <v>788816.79702856578</v>
      </c>
      <c r="FQ367" s="993">
        <f t="shared" si="817"/>
        <v>30000</v>
      </c>
      <c r="FR367" s="775">
        <f t="shared" si="874"/>
        <v>758816.79702856578</v>
      </c>
      <c r="FS367" s="497">
        <f t="shared" si="875"/>
        <v>40</v>
      </c>
      <c r="FT367" s="775">
        <f t="shared" si="876"/>
        <v>18970.419925714144</v>
      </c>
      <c r="FU367" s="497"/>
      <c r="FV367" s="993">
        <f t="shared" si="877"/>
        <v>5258778.6468571052</v>
      </c>
      <c r="FW367" s="705">
        <f t="shared" si="878"/>
        <v>525877.86468571052</v>
      </c>
      <c r="FX367" s="705">
        <f t="shared" si="879"/>
        <v>131469.46617142763</v>
      </c>
      <c r="FY367" s="705">
        <v>15000</v>
      </c>
      <c r="FZ367" s="705">
        <f t="shared" si="880"/>
        <v>510877.86468571052</v>
      </c>
      <c r="GA367" s="497">
        <f t="shared" si="881"/>
        <v>46</v>
      </c>
      <c r="GB367" s="775">
        <f t="shared" si="882"/>
        <v>11106.040536645882</v>
      </c>
      <c r="GC367" s="497"/>
      <c r="GD367" s="497"/>
      <c r="GH367" s="1095">
        <f t="shared" si="782"/>
        <v>5258778.6468571052</v>
      </c>
      <c r="GI367" s="1098">
        <f t="shared" si="783"/>
        <v>0.125</v>
      </c>
      <c r="GJ367" s="1095">
        <f t="shared" si="784"/>
        <v>657347.33085713815</v>
      </c>
      <c r="GK367" s="1095">
        <f t="shared" si="785"/>
        <v>30000</v>
      </c>
      <c r="GL367" s="1095">
        <f t="shared" si="786"/>
        <v>627347.33085713815</v>
      </c>
      <c r="GM367" s="1095">
        <f t="shared" si="787"/>
        <v>32</v>
      </c>
      <c r="GN367" s="1095">
        <f t="shared" si="788"/>
        <v>19604.604089285567</v>
      </c>
      <c r="GO367" s="1098">
        <f t="shared" si="789"/>
        <v>0.875</v>
      </c>
      <c r="GP367" s="1095">
        <f t="shared" si="790"/>
        <v>4601431.315999967</v>
      </c>
      <c r="GQ367" s="1095">
        <f t="shared" si="791"/>
        <v>35674.84801618132</v>
      </c>
      <c r="GR367" s="1095">
        <f t="shared" si="792"/>
        <v>41358.965532064583</v>
      </c>
      <c r="GS367" s="1095">
        <f t="shared" si="793"/>
        <v>53426.519232970808</v>
      </c>
      <c r="GT367" s="1095">
        <f t="shared" si="794"/>
        <v>91113.855057897192</v>
      </c>
      <c r="GU367" s="497"/>
      <c r="GV367" s="1095">
        <f t="shared" si="883"/>
        <v>5258778.6468571052</v>
      </c>
      <c r="GW367" s="1098">
        <f t="shared" si="884"/>
        <v>0.125</v>
      </c>
      <c r="GX367" s="1095">
        <f t="shared" si="885"/>
        <v>657347.33085713815</v>
      </c>
      <c r="GY367" s="1095">
        <f t="shared" si="886"/>
        <v>30000</v>
      </c>
      <c r="GZ367" s="1095">
        <f t="shared" si="887"/>
        <v>627347.33085713815</v>
      </c>
      <c r="HA367" s="1106">
        <f t="shared" si="888"/>
        <v>48</v>
      </c>
      <c r="HB367" s="770">
        <f t="shared" si="889"/>
        <v>13069.736059523711</v>
      </c>
      <c r="HC367" s="1098">
        <f t="shared" si="890"/>
        <v>0.875</v>
      </c>
      <c r="HD367" s="1102">
        <f t="shared" si="891"/>
        <v>4601431.315999967</v>
      </c>
      <c r="HE367" s="1101">
        <f t="shared" si="892"/>
        <v>35674.84801618132</v>
      </c>
      <c r="HF367" s="1101">
        <f t="shared" si="893"/>
        <v>41358.965532064583</v>
      </c>
      <c r="HG367" s="1101">
        <f t="shared" si="894"/>
        <v>53426.519232970808</v>
      </c>
      <c r="HH367" s="1101">
        <f t="shared" si="895"/>
        <v>91113.855057897192</v>
      </c>
      <c r="HI367" s="497"/>
      <c r="HJ367" s="1102">
        <f t="shared" si="896"/>
        <v>-6534.8680297618557</v>
      </c>
      <c r="HL367" s="775"/>
      <c r="HN367" s="775"/>
      <c r="HO367" s="775"/>
      <c r="HQ367" s="702"/>
      <c r="HR367" s="1171"/>
      <c r="HS367" s="702"/>
      <c r="HT367" s="1171"/>
    </row>
    <row r="368" spans="1:228" ht="14.25" hidden="1" customHeight="1">
      <c r="A368" s="753">
        <f t="shared" si="897"/>
        <v>362</v>
      </c>
      <c r="B368" s="753"/>
      <c r="C368" s="753">
        <f t="shared" si="911"/>
        <v>21</v>
      </c>
      <c r="D368" s="753" t="s">
        <v>292</v>
      </c>
      <c r="E368" s="717" t="s">
        <v>297</v>
      </c>
      <c r="F368" s="754"/>
      <c r="G368" s="756" t="s">
        <v>833</v>
      </c>
      <c r="H368" s="756"/>
      <c r="I368" s="755" t="s">
        <v>229</v>
      </c>
      <c r="J368" s="757">
        <v>22</v>
      </c>
      <c r="K368" s="758"/>
      <c r="L368" s="759" t="s">
        <v>69</v>
      </c>
      <c r="M368" s="760" t="s">
        <v>68</v>
      </c>
      <c r="N368" s="761">
        <f t="shared" si="818"/>
        <v>106005.26567735759</v>
      </c>
      <c r="O368" s="762">
        <f t="shared" si="819"/>
        <v>2332115.8449018667</v>
      </c>
      <c r="P368" s="762">
        <f t="shared" si="820"/>
        <v>22400</v>
      </c>
      <c r="Q368" s="762">
        <f t="shared" si="795"/>
        <v>50000</v>
      </c>
      <c r="R368" s="762"/>
      <c r="S368" s="762">
        <f t="shared" si="910"/>
        <v>176000</v>
      </c>
      <c r="T368" s="762"/>
      <c r="U368" s="762"/>
      <c r="V368" s="762"/>
      <c r="W368" s="762"/>
      <c r="X368" s="762"/>
      <c r="Y368" s="762">
        <f t="shared" si="912"/>
        <v>200000</v>
      </c>
      <c r="Z368" s="762">
        <f t="shared" si="796"/>
        <v>142461</v>
      </c>
      <c r="AA368" s="762"/>
      <c r="AB368" s="762"/>
      <c r="AC368" s="762"/>
      <c r="AD368" s="763">
        <f t="shared" si="821"/>
        <v>590861</v>
      </c>
      <c r="AE368" s="763">
        <f t="shared" si="797"/>
        <v>2922976.8449018667</v>
      </c>
      <c r="AF368" s="762">
        <f t="shared" si="798"/>
        <v>73074.421122546672</v>
      </c>
      <c r="AG368" s="762">
        <f t="shared" si="822"/>
        <v>2996051.2660244135</v>
      </c>
      <c r="AH368" s="762">
        <f t="shared" si="799"/>
        <v>74901.281650610341</v>
      </c>
      <c r="AI368" s="762">
        <f t="shared" si="823"/>
        <v>3070952.5476750238</v>
      </c>
      <c r="AJ368" s="762">
        <f t="shared" si="824"/>
        <v>153547.62738375118</v>
      </c>
      <c r="AK368" s="762">
        <f t="shared" si="825"/>
        <v>3224500.1750587751</v>
      </c>
      <c r="AL368" s="762">
        <f t="shared" si="826"/>
        <v>32245.001750587751</v>
      </c>
      <c r="AM368" s="762">
        <f t="shared" si="827"/>
        <v>27537.409960060559</v>
      </c>
      <c r="AN368" s="762"/>
      <c r="AO368" s="763">
        <f t="shared" si="828"/>
        <v>3284282.5867694234</v>
      </c>
      <c r="AP368" s="763">
        <f t="shared" si="829"/>
        <v>541906.62681695493</v>
      </c>
      <c r="AQ368" s="763">
        <f t="shared" si="830"/>
        <v>3826189.2135863784</v>
      </c>
      <c r="AR368" s="1178">
        <f t="shared" si="800"/>
        <v>3000000</v>
      </c>
      <c r="AS368" s="1178">
        <f t="shared" si="831"/>
        <v>37554.055163017198</v>
      </c>
      <c r="AT368" s="1178">
        <f t="shared" si="832"/>
        <v>826189.21358637838</v>
      </c>
      <c r="AU368" s="1178">
        <f t="shared" si="801"/>
        <v>99142.705630365395</v>
      </c>
      <c r="AV368" s="1178">
        <f t="shared" si="833"/>
        <v>925331.91921674379</v>
      </c>
      <c r="AW368" s="1178">
        <f t="shared" si="834"/>
        <v>3925331.9192167437</v>
      </c>
      <c r="AX368" s="762">
        <f t="shared" si="835"/>
        <v>49066.648990209302</v>
      </c>
      <c r="AY368" s="717" t="s">
        <v>231</v>
      </c>
      <c r="AZ368" s="717">
        <f t="shared" si="836"/>
        <v>3974398.5682069529</v>
      </c>
      <c r="BA368" s="717">
        <f t="shared" si="837"/>
        <v>149039.94630776072</v>
      </c>
      <c r="BB368" s="717"/>
      <c r="BC368" s="717">
        <f t="shared" si="802"/>
        <v>33600</v>
      </c>
      <c r="BD368" s="717">
        <f t="shared" si="838"/>
        <v>4157038.5145147135</v>
      </c>
      <c r="BE368" s="717"/>
      <c r="BF368" s="717">
        <f t="shared" si="839"/>
        <v>4157038.5145147135</v>
      </c>
      <c r="BG368" s="1209"/>
      <c r="BH368" s="717">
        <f t="shared" si="840"/>
        <v>4157038.5145147135</v>
      </c>
      <c r="BI368" s="717"/>
      <c r="BJ368" s="717">
        <f t="shared" si="841"/>
        <v>4157038.5145147135</v>
      </c>
      <c r="BK368" s="717"/>
      <c r="BL368" s="717">
        <f t="shared" si="842"/>
        <v>4157038.5145147135</v>
      </c>
      <c r="BM368" s="717"/>
      <c r="BN368" s="717">
        <f t="shared" si="843"/>
        <v>4157038.5145147135</v>
      </c>
      <c r="BO368" s="717"/>
      <c r="BP368" s="717">
        <f t="shared" si="803"/>
        <v>4157038.5145147135</v>
      </c>
      <c r="BQ368" s="717"/>
      <c r="BR368" s="717">
        <f t="shared" si="903"/>
        <v>4157038.5145147135</v>
      </c>
      <c r="BS368" s="717"/>
      <c r="BT368" s="717">
        <f t="shared" si="844"/>
        <v>4157038.5145147135</v>
      </c>
      <c r="BU368" s="717"/>
      <c r="BV368" s="1235">
        <f t="shared" si="904"/>
        <v>51400</v>
      </c>
      <c r="BW368" s="717">
        <f t="shared" si="845"/>
        <v>4208438.5145147135</v>
      </c>
      <c r="BX368" s="717"/>
      <c r="BY368" s="717">
        <f t="shared" si="846"/>
        <v>4208438.5145147135</v>
      </c>
      <c r="BZ368" s="1194">
        <f t="shared" si="847"/>
        <v>4208438.5145147135</v>
      </c>
      <c r="CA368" s="1194">
        <f t="shared" si="848"/>
        <v>3636438.5145147135</v>
      </c>
      <c r="CB368" s="1194">
        <v>26000</v>
      </c>
      <c r="CC368" s="1194">
        <f t="shared" si="849"/>
        <v>572000</v>
      </c>
      <c r="CD368" s="1194">
        <f t="shared" si="850"/>
        <v>68640</v>
      </c>
      <c r="CE368" s="1194">
        <f t="shared" si="851"/>
        <v>640640</v>
      </c>
      <c r="CF368" s="1200">
        <f t="shared" si="852"/>
        <v>4277078.5145147135</v>
      </c>
      <c r="CG368" s="757">
        <f t="shared" si="853"/>
        <v>4277078.5145147135</v>
      </c>
      <c r="CH368" s="758">
        <f t="shared" si="854"/>
        <v>436372.62174176559</v>
      </c>
      <c r="CI368" s="757">
        <f t="shared" si="804"/>
        <v>438400.54773775814</v>
      </c>
      <c r="CJ368" s="757">
        <f t="shared" si="805"/>
        <v>106926.96286286785</v>
      </c>
      <c r="CK368" s="759">
        <f t="shared" si="919"/>
        <v>5258778.6468571052</v>
      </c>
      <c r="CL368" s="764">
        <f t="shared" si="855"/>
        <v>0.125</v>
      </c>
      <c r="CM368" s="757">
        <f t="shared" si="856"/>
        <v>657347.33085713815</v>
      </c>
      <c r="CN368" s="757">
        <f t="shared" si="898"/>
        <v>30000</v>
      </c>
      <c r="CO368" s="757">
        <f t="shared" si="857"/>
        <v>627347.33085713815</v>
      </c>
      <c r="CP368" s="755">
        <f t="shared" si="858"/>
        <v>32</v>
      </c>
      <c r="CQ368" s="757">
        <f t="shared" si="901"/>
        <v>19604.604089285567</v>
      </c>
      <c r="CR368" s="764">
        <f t="shared" si="859"/>
        <v>0.875</v>
      </c>
      <c r="CS368" s="757">
        <f t="shared" si="860"/>
        <v>4601431.315999967</v>
      </c>
      <c r="CT368" s="1101">
        <f t="shared" si="861"/>
        <v>35674.84801618132</v>
      </c>
      <c r="CU368" s="1101">
        <f t="shared" si="862"/>
        <v>41358.965532064583</v>
      </c>
      <c r="CV368" s="1101">
        <f t="shared" si="863"/>
        <v>53426.519232970808</v>
      </c>
      <c r="CW368" s="1141">
        <f t="shared" si="806"/>
        <v>91113.855057897192</v>
      </c>
      <c r="CX368" s="1152">
        <f t="shared" si="864"/>
        <v>373788.89151384996</v>
      </c>
      <c r="CY368" s="1152">
        <f t="shared" si="865"/>
        <v>147906.44354180046</v>
      </c>
      <c r="CZ368" s="1152">
        <f t="shared" si="866"/>
        <v>106830.72934249975</v>
      </c>
      <c r="DA368" s="1152">
        <f t="shared" si="867"/>
        <v>81303.103262405057</v>
      </c>
      <c r="DB368" s="1143">
        <f t="shared" si="807"/>
        <v>0.27539640452879277</v>
      </c>
      <c r="DC368" s="1143">
        <f t="shared" si="868"/>
        <v>0.17617237234808411</v>
      </c>
      <c r="DD368" s="1098" t="s">
        <v>812</v>
      </c>
      <c r="DE368" s="1144"/>
      <c r="DF368" s="705"/>
      <c r="DG368" s="765">
        <f t="shared" si="899"/>
        <v>46082</v>
      </c>
      <c r="DH368" s="1116">
        <f t="shared" si="808"/>
        <v>28</v>
      </c>
      <c r="DI368" s="497"/>
      <c r="DJ368" s="1117">
        <f t="shared" si="869"/>
        <v>46147</v>
      </c>
      <c r="DK368" s="1116">
        <f t="shared" si="870"/>
        <v>30</v>
      </c>
      <c r="DL368" s="766" t="s">
        <v>813</v>
      </c>
      <c r="DM368" s="766" t="s">
        <v>234</v>
      </c>
      <c r="DN368" s="767">
        <f t="shared" si="809"/>
        <v>42060.541782579261</v>
      </c>
      <c r="DO368" s="767">
        <f t="shared" si="810"/>
        <v>925331.91921674379</v>
      </c>
      <c r="DP368" s="768">
        <f t="shared" si="811"/>
        <v>0.30844397307224791</v>
      </c>
      <c r="DR368" s="767">
        <f t="shared" si="812"/>
        <v>4277078.5145147135</v>
      </c>
      <c r="DS368" s="767">
        <f>SUM('[6]INTERNAL PRICELIST'!M368)</f>
        <v>0</v>
      </c>
      <c r="DT368" s="767">
        <f t="shared" si="871"/>
        <v>4277078.5145147135</v>
      </c>
      <c r="DV368" s="951">
        <f t="shared" si="813"/>
        <v>194412.6597506688</v>
      </c>
      <c r="DX368" s="781"/>
      <c r="DY368" s="782"/>
      <c r="DZ368" s="781"/>
      <c r="EA368" s="775"/>
      <c r="ED368" s="755" t="s">
        <v>833</v>
      </c>
      <c r="EE368" s="777" t="b">
        <f t="shared" si="814"/>
        <v>1</v>
      </c>
      <c r="EF368" s="777"/>
      <c r="EG368" s="777"/>
      <c r="EH368" s="1203"/>
      <c r="EP368" s="1230" t="s">
        <v>236</v>
      </c>
      <c r="EQ368" s="1145" t="s">
        <v>236</v>
      </c>
      <c r="ER368" s="753" t="b">
        <f t="shared" si="872"/>
        <v>1</v>
      </c>
      <c r="EU368" s="770">
        <v>3457426.8674007286</v>
      </c>
      <c r="EV368" s="771" t="s">
        <v>258</v>
      </c>
      <c r="EW368" s="775">
        <f t="shared" si="914"/>
        <v>-819651.64711398492</v>
      </c>
      <c r="EY368" s="775">
        <v>3421168.9389577992</v>
      </c>
      <c r="FJ368" s="994">
        <v>0.15</v>
      </c>
      <c r="FK368" s="993">
        <v>14908.389673312213</v>
      </c>
      <c r="FL368" s="993">
        <v>15311.319123942272</v>
      </c>
      <c r="FM368" s="497"/>
      <c r="FN368" s="993">
        <f t="shared" si="815"/>
        <v>5258778.6468571052</v>
      </c>
      <c r="FO368" s="994">
        <f t="shared" si="902"/>
        <v>0.15</v>
      </c>
      <c r="FP368" s="775">
        <f t="shared" si="816"/>
        <v>788816.79702856578</v>
      </c>
      <c r="FQ368" s="993">
        <f t="shared" si="817"/>
        <v>30000</v>
      </c>
      <c r="FR368" s="775">
        <f t="shared" si="874"/>
        <v>758816.79702856578</v>
      </c>
      <c r="FS368" s="497">
        <f t="shared" si="875"/>
        <v>40</v>
      </c>
      <c r="FT368" s="775">
        <f t="shared" si="876"/>
        <v>18970.419925714144</v>
      </c>
      <c r="FU368" s="497"/>
      <c r="FV368" s="993">
        <f t="shared" si="877"/>
        <v>5258778.6468571052</v>
      </c>
      <c r="FW368" s="705">
        <f t="shared" si="878"/>
        <v>525877.86468571052</v>
      </c>
      <c r="FX368" s="705">
        <f t="shared" si="879"/>
        <v>131469.46617142763</v>
      </c>
      <c r="FY368" s="705">
        <v>15000</v>
      </c>
      <c r="FZ368" s="705">
        <f t="shared" si="880"/>
        <v>510877.86468571052</v>
      </c>
      <c r="GA368" s="497">
        <f t="shared" si="881"/>
        <v>46</v>
      </c>
      <c r="GB368" s="775">
        <f t="shared" si="882"/>
        <v>11106.040536645882</v>
      </c>
      <c r="GC368" s="497"/>
      <c r="GD368" s="497"/>
      <c r="GH368" s="1095">
        <f t="shared" si="782"/>
        <v>5258778.6468571052</v>
      </c>
      <c r="GI368" s="1098">
        <f t="shared" si="783"/>
        <v>0.125</v>
      </c>
      <c r="GJ368" s="1095">
        <f t="shared" si="784"/>
        <v>657347.33085713815</v>
      </c>
      <c r="GK368" s="1095">
        <f t="shared" si="785"/>
        <v>30000</v>
      </c>
      <c r="GL368" s="1095">
        <f t="shared" si="786"/>
        <v>627347.33085713815</v>
      </c>
      <c r="GM368" s="1095">
        <f t="shared" si="787"/>
        <v>32</v>
      </c>
      <c r="GN368" s="1095">
        <f t="shared" si="788"/>
        <v>19604.604089285567</v>
      </c>
      <c r="GO368" s="1098">
        <f t="shared" si="789"/>
        <v>0.875</v>
      </c>
      <c r="GP368" s="1095">
        <f t="shared" si="790"/>
        <v>4601431.315999967</v>
      </c>
      <c r="GQ368" s="1095">
        <f t="shared" si="791"/>
        <v>35674.84801618132</v>
      </c>
      <c r="GR368" s="1095">
        <f t="shared" si="792"/>
        <v>41358.965532064583</v>
      </c>
      <c r="GS368" s="1095">
        <f t="shared" si="793"/>
        <v>53426.519232970808</v>
      </c>
      <c r="GT368" s="1095">
        <f t="shared" si="794"/>
        <v>91113.855057897192</v>
      </c>
      <c r="GU368" s="497"/>
      <c r="GV368" s="1095">
        <f t="shared" si="883"/>
        <v>5258778.6468571052</v>
      </c>
      <c r="GW368" s="1098">
        <f t="shared" si="884"/>
        <v>0.125</v>
      </c>
      <c r="GX368" s="1095">
        <f t="shared" si="885"/>
        <v>657347.33085713815</v>
      </c>
      <c r="GY368" s="1095">
        <f t="shared" si="886"/>
        <v>30000</v>
      </c>
      <c r="GZ368" s="1095">
        <f t="shared" si="887"/>
        <v>627347.33085713815</v>
      </c>
      <c r="HA368" s="1106">
        <f t="shared" si="888"/>
        <v>48</v>
      </c>
      <c r="HB368" s="770">
        <f t="shared" si="889"/>
        <v>13069.736059523711</v>
      </c>
      <c r="HC368" s="1098">
        <f t="shared" si="890"/>
        <v>0.875</v>
      </c>
      <c r="HD368" s="1102">
        <f t="shared" si="891"/>
        <v>4601431.315999967</v>
      </c>
      <c r="HE368" s="1101">
        <f t="shared" si="892"/>
        <v>35674.84801618132</v>
      </c>
      <c r="HF368" s="1101">
        <f t="shared" si="893"/>
        <v>41358.965532064583</v>
      </c>
      <c r="HG368" s="1101">
        <f t="shared" si="894"/>
        <v>53426.519232970808</v>
      </c>
      <c r="HH368" s="1101">
        <f t="shared" si="895"/>
        <v>91113.855057897192</v>
      </c>
      <c r="HI368" s="497"/>
      <c r="HJ368" s="1102">
        <f t="shared" si="896"/>
        <v>-6534.8680297618557</v>
      </c>
      <c r="HL368" s="775"/>
      <c r="HN368" s="775"/>
      <c r="HO368" s="775"/>
      <c r="HQ368" s="702"/>
      <c r="HR368" s="1171"/>
      <c r="HS368" s="702"/>
      <c r="HT368" s="1171"/>
    </row>
    <row r="369" spans="1:228" ht="14.25" customHeight="1">
      <c r="A369" s="753">
        <f t="shared" si="897"/>
        <v>363</v>
      </c>
      <c r="B369" s="753"/>
      <c r="C369" s="753">
        <f t="shared" si="911"/>
        <v>22</v>
      </c>
      <c r="D369" s="753" t="s">
        <v>292</v>
      </c>
      <c r="E369" s="717" t="s">
        <v>297</v>
      </c>
      <c r="F369" s="754"/>
      <c r="G369" s="756" t="s">
        <v>834</v>
      </c>
      <c r="H369" s="756"/>
      <c r="I369" s="755" t="s">
        <v>229</v>
      </c>
      <c r="J369" s="757">
        <v>22</v>
      </c>
      <c r="K369" s="758"/>
      <c r="L369" s="759" t="s">
        <v>69</v>
      </c>
      <c r="M369" s="760" t="s">
        <v>68</v>
      </c>
      <c r="N369" s="761">
        <f t="shared" si="818"/>
        <v>106005.26567735759</v>
      </c>
      <c r="O369" s="762">
        <f t="shared" si="819"/>
        <v>2332115.8449018667</v>
      </c>
      <c r="P369" s="762">
        <f t="shared" si="820"/>
        <v>22400</v>
      </c>
      <c r="Q369" s="762">
        <f t="shared" si="795"/>
        <v>50000</v>
      </c>
      <c r="R369" s="762"/>
      <c r="S369" s="762">
        <f t="shared" si="910"/>
        <v>176000</v>
      </c>
      <c r="T369" s="762"/>
      <c r="U369" s="762"/>
      <c r="V369" s="762"/>
      <c r="W369" s="762"/>
      <c r="X369" s="762"/>
      <c r="Y369" s="762">
        <f t="shared" si="912"/>
        <v>200000</v>
      </c>
      <c r="Z369" s="762">
        <f t="shared" si="796"/>
        <v>142461</v>
      </c>
      <c r="AA369" s="762"/>
      <c r="AB369" s="762"/>
      <c r="AC369" s="762"/>
      <c r="AD369" s="763">
        <f t="shared" si="821"/>
        <v>590861</v>
      </c>
      <c r="AE369" s="763">
        <f t="shared" si="797"/>
        <v>2922976.8449018667</v>
      </c>
      <c r="AF369" s="762">
        <f t="shared" si="798"/>
        <v>73074.421122546672</v>
      </c>
      <c r="AG369" s="762">
        <f t="shared" si="822"/>
        <v>2996051.2660244135</v>
      </c>
      <c r="AH369" s="762">
        <f t="shared" si="799"/>
        <v>74901.281650610341</v>
      </c>
      <c r="AI369" s="762">
        <f t="shared" si="823"/>
        <v>3070952.5476750238</v>
      </c>
      <c r="AJ369" s="762">
        <f t="shared" si="824"/>
        <v>153547.62738375118</v>
      </c>
      <c r="AK369" s="762">
        <f t="shared" si="825"/>
        <v>3224500.1750587751</v>
      </c>
      <c r="AL369" s="762">
        <f t="shared" si="826"/>
        <v>32245.001750587751</v>
      </c>
      <c r="AM369" s="762">
        <f t="shared" si="827"/>
        <v>27537.409960060559</v>
      </c>
      <c r="AN369" s="762"/>
      <c r="AO369" s="763">
        <f t="shared" si="828"/>
        <v>3284282.5867694234</v>
      </c>
      <c r="AP369" s="763">
        <f t="shared" si="829"/>
        <v>541906.62681695493</v>
      </c>
      <c r="AQ369" s="763">
        <f t="shared" si="830"/>
        <v>3826189.2135863784</v>
      </c>
      <c r="AR369" s="1178">
        <f t="shared" si="800"/>
        <v>3000000</v>
      </c>
      <c r="AS369" s="1178">
        <f t="shared" si="831"/>
        <v>37554.055163017198</v>
      </c>
      <c r="AT369" s="1178">
        <f t="shared" si="832"/>
        <v>826189.21358637838</v>
      </c>
      <c r="AU369" s="1178">
        <f t="shared" si="801"/>
        <v>99142.705630365395</v>
      </c>
      <c r="AV369" s="1178">
        <f t="shared" si="833"/>
        <v>925331.91921674379</v>
      </c>
      <c r="AW369" s="1178">
        <f t="shared" si="834"/>
        <v>3925331.9192167437</v>
      </c>
      <c r="AX369" s="762">
        <f t="shared" si="835"/>
        <v>49066.648990209302</v>
      </c>
      <c r="AY369" s="717" t="s">
        <v>231</v>
      </c>
      <c r="AZ369" s="717">
        <f t="shared" si="836"/>
        <v>3974398.5682069529</v>
      </c>
      <c r="BA369" s="717">
        <f t="shared" si="837"/>
        <v>149039.94630776072</v>
      </c>
      <c r="BB369" s="717"/>
      <c r="BC369" s="717">
        <f t="shared" si="802"/>
        <v>33600</v>
      </c>
      <c r="BD369" s="717">
        <f t="shared" si="838"/>
        <v>4157038.5145147135</v>
      </c>
      <c r="BE369" s="717"/>
      <c r="BF369" s="717">
        <f t="shared" si="839"/>
        <v>4157038.5145147135</v>
      </c>
      <c r="BG369" s="1209"/>
      <c r="BH369" s="717">
        <f t="shared" si="840"/>
        <v>4157038.5145147135</v>
      </c>
      <c r="BI369" s="717"/>
      <c r="BJ369" s="717">
        <f t="shared" si="841"/>
        <v>4157038.5145147135</v>
      </c>
      <c r="BK369" s="717"/>
      <c r="BL369" s="717">
        <f t="shared" si="842"/>
        <v>4157038.5145147135</v>
      </c>
      <c r="BM369" s="717"/>
      <c r="BN369" s="717">
        <f t="shared" si="843"/>
        <v>4157038.5145147135</v>
      </c>
      <c r="BO369" s="717">
        <f>$BO$5/51</f>
        <v>7289.0781490196077</v>
      </c>
      <c r="BP369" s="717">
        <f t="shared" si="803"/>
        <v>4164327.5926637333</v>
      </c>
      <c r="BQ369" s="717">
        <f>$BQ$5/56</f>
        <v>4468.4242000000004</v>
      </c>
      <c r="BR369" s="717">
        <f t="shared" si="903"/>
        <v>4168796.0168637331</v>
      </c>
      <c r="BS369" s="1234">
        <f>$BS$5/64</f>
        <v>2651.4786794501206</v>
      </c>
      <c r="BT369" s="1235">
        <f t="shared" si="844"/>
        <v>4171447.4955431833</v>
      </c>
      <c r="BU369" s="1235">
        <f>$BU$5/65</f>
        <v>211.07692307692309</v>
      </c>
      <c r="BV369" s="1235">
        <f t="shared" si="904"/>
        <v>51400</v>
      </c>
      <c r="BW369" s="717">
        <f t="shared" si="845"/>
        <v>4223058.5724662598</v>
      </c>
      <c r="BX369" s="1234">
        <f t="shared" si="908"/>
        <v>27651.078536278128</v>
      </c>
      <c r="BY369" s="717">
        <f t="shared" si="846"/>
        <v>4250709.6510025384</v>
      </c>
      <c r="BZ369" s="1194">
        <f t="shared" si="847"/>
        <v>4250709.6510025384</v>
      </c>
      <c r="CA369" s="1194">
        <f t="shared" si="848"/>
        <v>3370709.6510025384</v>
      </c>
      <c r="CB369" s="1194">
        <f>$CB$5</f>
        <v>40000</v>
      </c>
      <c r="CC369" s="1194">
        <f t="shared" si="849"/>
        <v>880000</v>
      </c>
      <c r="CD369" s="1194">
        <f t="shared" si="850"/>
        <v>105600</v>
      </c>
      <c r="CE369" s="1194">
        <f t="shared" si="851"/>
        <v>985600</v>
      </c>
      <c r="CF369" s="1200">
        <f t="shared" si="852"/>
        <v>4356309.6510025384</v>
      </c>
      <c r="CG369" s="757">
        <f t="shared" si="853"/>
        <v>4356309.6510025384</v>
      </c>
      <c r="CH369" s="758">
        <f t="shared" si="854"/>
        <v>0</v>
      </c>
      <c r="CI369" s="757">
        <f t="shared" si="804"/>
        <v>446521.73922776018</v>
      </c>
      <c r="CJ369" s="757">
        <f t="shared" si="805"/>
        <v>108907.74127506347</v>
      </c>
      <c r="CK369" s="759">
        <f t="shared" si="919"/>
        <v>4911739.1315053627</v>
      </c>
      <c r="CL369" s="764">
        <f t="shared" si="855"/>
        <v>0.125</v>
      </c>
      <c r="CM369" s="757">
        <f t="shared" si="856"/>
        <v>613967.39143817034</v>
      </c>
      <c r="CN369" s="757">
        <f t="shared" si="898"/>
        <v>30000</v>
      </c>
      <c r="CO369" s="757">
        <f t="shared" si="857"/>
        <v>583967.39143817034</v>
      </c>
      <c r="CP369" s="755">
        <f t="shared" si="858"/>
        <v>32</v>
      </c>
      <c r="CQ369" s="757">
        <f t="shared" si="901"/>
        <v>18248.980982442823</v>
      </c>
      <c r="CR369" s="764">
        <f t="shared" si="859"/>
        <v>0.875</v>
      </c>
      <c r="CS369" s="757">
        <f t="shared" si="860"/>
        <v>4297771.7400671924</v>
      </c>
      <c r="CT369" s="1101">
        <f t="shared" si="861"/>
        <v>33320.578556069726</v>
      </c>
      <c r="CU369" s="1101">
        <f t="shared" si="862"/>
        <v>38629.587416430208</v>
      </c>
      <c r="CV369" s="1101">
        <f t="shared" si="863"/>
        <v>49900.774076798138</v>
      </c>
      <c r="CW369" s="1141">
        <f t="shared" si="806"/>
        <v>85101.031506173968</v>
      </c>
      <c r="CX369" s="1152">
        <f t="shared" si="864"/>
        <v>349121.65897453058</v>
      </c>
      <c r="CY369" s="1152">
        <f t="shared" si="865"/>
        <v>138145.7397869803</v>
      </c>
      <c r="CZ369" s="1152">
        <f t="shared" si="866"/>
        <v>99780.711263139863</v>
      </c>
      <c r="DA369" s="1152">
        <f t="shared" si="867"/>
        <v>75937.714937942961</v>
      </c>
      <c r="DB369" s="1143">
        <f t="shared" si="807"/>
        <v>0.27539640452879277</v>
      </c>
      <c r="DC369" s="1143">
        <f t="shared" si="868"/>
        <v>0.29240133445099803</v>
      </c>
      <c r="DD369" s="1098" t="s">
        <v>812</v>
      </c>
      <c r="DE369" s="1144"/>
      <c r="DF369" s="705"/>
      <c r="DG369" s="765">
        <f t="shared" si="899"/>
        <v>46082</v>
      </c>
      <c r="DH369" s="1116">
        <f t="shared" si="808"/>
        <v>28</v>
      </c>
      <c r="DI369" s="497"/>
      <c r="DJ369" s="1117">
        <f t="shared" si="869"/>
        <v>46147</v>
      </c>
      <c r="DK369" s="1116">
        <f t="shared" si="870"/>
        <v>30</v>
      </c>
      <c r="DL369" s="766" t="s">
        <v>813</v>
      </c>
      <c r="DM369" s="766" t="s">
        <v>234</v>
      </c>
      <c r="DN369" s="767">
        <f t="shared" si="809"/>
        <v>42060.541782579261</v>
      </c>
      <c r="DO369" s="767">
        <f t="shared" si="810"/>
        <v>925331.91921674379</v>
      </c>
      <c r="DP369" s="768">
        <f t="shared" si="811"/>
        <v>0.30844397307224791</v>
      </c>
      <c r="DR369" s="767">
        <f t="shared" si="812"/>
        <v>4356309.6510025384</v>
      </c>
      <c r="DS369" s="767">
        <f>SUM('[6]INTERNAL PRICELIST'!M369)</f>
        <v>0</v>
      </c>
      <c r="DT369" s="767">
        <f t="shared" si="871"/>
        <v>4356309.6510025384</v>
      </c>
      <c r="DV369" s="951">
        <f t="shared" si="813"/>
        <v>198014.07504556992</v>
      </c>
      <c r="DX369" s="781"/>
      <c r="DY369" s="782"/>
      <c r="DZ369" s="781"/>
      <c r="EA369" s="775"/>
      <c r="ED369" s="755" t="s">
        <v>834</v>
      </c>
      <c r="EE369" s="777" t="b">
        <f t="shared" si="814"/>
        <v>1</v>
      </c>
      <c r="EF369" s="777"/>
      <c r="EG369" s="777"/>
      <c r="EH369" s="1203"/>
      <c r="EP369" s="1230" t="s">
        <v>258</v>
      </c>
      <c r="EQ369" s="1145" t="s">
        <v>258</v>
      </c>
      <c r="ER369" s="753" t="b">
        <f t="shared" si="872"/>
        <v>1</v>
      </c>
      <c r="EU369" s="770">
        <v>3457426.8674007286</v>
      </c>
      <c r="EV369" s="771" t="s">
        <v>258</v>
      </c>
      <c r="EW369" s="775">
        <f t="shared" si="914"/>
        <v>-898882.78360180976</v>
      </c>
      <c r="EY369" s="775">
        <v>3421168.9389577992</v>
      </c>
      <c r="FJ369" s="994">
        <v>0.15</v>
      </c>
      <c r="FK369" s="993">
        <v>14908.389673312213</v>
      </c>
      <c r="FL369" s="993">
        <v>15311.319123942272</v>
      </c>
      <c r="FM369" s="497"/>
      <c r="FN369" s="993">
        <f t="shared" si="815"/>
        <v>4911739.1315053627</v>
      </c>
      <c r="FO369" s="994">
        <f t="shared" ref="FO369:FO370" si="928">FJ369</f>
        <v>0.15</v>
      </c>
      <c r="FP369" s="775">
        <f t="shared" si="816"/>
        <v>736760.86972580443</v>
      </c>
      <c r="FQ369" s="993">
        <f t="shared" si="817"/>
        <v>30000</v>
      </c>
      <c r="FR369" s="775">
        <f t="shared" si="874"/>
        <v>706760.86972580443</v>
      </c>
      <c r="FS369" s="497">
        <f t="shared" si="875"/>
        <v>40</v>
      </c>
      <c r="FT369" s="775">
        <f t="shared" si="876"/>
        <v>17669.021743145109</v>
      </c>
      <c r="FU369" s="497"/>
      <c r="FV369" s="993">
        <f t="shared" si="877"/>
        <v>4911739.1315053627</v>
      </c>
      <c r="FW369" s="705">
        <f t="shared" si="878"/>
        <v>491173.9131505363</v>
      </c>
      <c r="FX369" s="705">
        <f t="shared" si="879"/>
        <v>122793.47828763408</v>
      </c>
      <c r="FY369" s="705">
        <v>15000</v>
      </c>
      <c r="FZ369" s="705">
        <f t="shared" si="880"/>
        <v>476173.9131505363</v>
      </c>
      <c r="GA369" s="497">
        <f t="shared" si="881"/>
        <v>46</v>
      </c>
      <c r="GB369" s="775">
        <f t="shared" si="882"/>
        <v>10351.606807620354</v>
      </c>
      <c r="GC369" s="497"/>
      <c r="GD369" s="497"/>
      <c r="GH369" s="1095">
        <f t="shared" si="782"/>
        <v>4911739.1315053627</v>
      </c>
      <c r="GI369" s="1098">
        <f t="shared" si="783"/>
        <v>0.125</v>
      </c>
      <c r="GJ369" s="1095">
        <f t="shared" si="784"/>
        <v>613967.39143817034</v>
      </c>
      <c r="GK369" s="1095">
        <f t="shared" si="785"/>
        <v>30000</v>
      </c>
      <c r="GL369" s="1095">
        <f t="shared" si="786"/>
        <v>583967.39143817034</v>
      </c>
      <c r="GM369" s="1095">
        <f t="shared" si="787"/>
        <v>32</v>
      </c>
      <c r="GN369" s="1095">
        <f t="shared" si="788"/>
        <v>18248.980982442823</v>
      </c>
      <c r="GO369" s="1098">
        <f t="shared" si="789"/>
        <v>0.875</v>
      </c>
      <c r="GP369" s="1095">
        <f t="shared" si="790"/>
        <v>4297771.7400671924</v>
      </c>
      <c r="GQ369" s="1095">
        <f t="shared" si="791"/>
        <v>33320.578556069726</v>
      </c>
      <c r="GR369" s="1095">
        <f t="shared" si="792"/>
        <v>38629.587416430208</v>
      </c>
      <c r="GS369" s="1095">
        <f t="shared" si="793"/>
        <v>49900.774076798138</v>
      </c>
      <c r="GT369" s="1095">
        <f t="shared" si="794"/>
        <v>85101.031506173968</v>
      </c>
      <c r="GU369" s="497"/>
      <c r="GV369" s="1095">
        <f t="shared" si="883"/>
        <v>4911739.1315053627</v>
      </c>
      <c r="GW369" s="1098">
        <f t="shared" si="884"/>
        <v>0.125</v>
      </c>
      <c r="GX369" s="1095">
        <f t="shared" si="885"/>
        <v>613967.39143817034</v>
      </c>
      <c r="GY369" s="1095">
        <f t="shared" si="886"/>
        <v>30000</v>
      </c>
      <c r="GZ369" s="1095">
        <f t="shared" si="887"/>
        <v>583967.39143817034</v>
      </c>
      <c r="HA369" s="1106">
        <f t="shared" si="888"/>
        <v>48</v>
      </c>
      <c r="HB369" s="770">
        <f t="shared" si="889"/>
        <v>12165.987321628549</v>
      </c>
      <c r="HC369" s="1098">
        <f t="shared" si="890"/>
        <v>0.875</v>
      </c>
      <c r="HD369" s="1102">
        <f t="shared" si="891"/>
        <v>4297771.7400671924</v>
      </c>
      <c r="HE369" s="1101">
        <f t="shared" si="892"/>
        <v>33320.578556069726</v>
      </c>
      <c r="HF369" s="1101">
        <f t="shared" si="893"/>
        <v>38629.587416430208</v>
      </c>
      <c r="HG369" s="1101">
        <f t="shared" si="894"/>
        <v>49900.774076798138</v>
      </c>
      <c r="HH369" s="1101">
        <f t="shared" si="895"/>
        <v>85101.031506173968</v>
      </c>
      <c r="HI369" s="497"/>
      <c r="HJ369" s="1102">
        <f t="shared" si="896"/>
        <v>-6082.9936608142743</v>
      </c>
      <c r="HL369" s="775"/>
      <c r="HN369" s="775"/>
      <c r="HO369" s="775"/>
      <c r="HQ369" s="702"/>
      <c r="HR369" s="1171"/>
      <c r="HS369" s="702"/>
      <c r="HT369" s="1171"/>
    </row>
    <row r="370" spans="1:228" ht="14.25" hidden="1" customHeight="1">
      <c r="A370" s="753">
        <f t="shared" si="897"/>
        <v>364</v>
      </c>
      <c r="B370" s="753"/>
      <c r="C370" s="753">
        <f t="shared" si="911"/>
        <v>23</v>
      </c>
      <c r="D370" s="753" t="s">
        <v>292</v>
      </c>
      <c r="E370" s="717" t="s">
        <v>297</v>
      </c>
      <c r="F370" s="754"/>
      <c r="G370" s="756" t="s">
        <v>835</v>
      </c>
      <c r="H370" s="756"/>
      <c r="I370" s="755" t="s">
        <v>229</v>
      </c>
      <c r="J370" s="757">
        <v>22</v>
      </c>
      <c r="K370" s="758"/>
      <c r="L370" s="759" t="s">
        <v>69</v>
      </c>
      <c r="M370" s="760" t="s">
        <v>68</v>
      </c>
      <c r="N370" s="761">
        <f t="shared" si="818"/>
        <v>106005.26567735759</v>
      </c>
      <c r="O370" s="762">
        <f t="shared" si="819"/>
        <v>2332115.8449018667</v>
      </c>
      <c r="P370" s="762">
        <f t="shared" si="820"/>
        <v>22400</v>
      </c>
      <c r="Q370" s="762">
        <f t="shared" si="795"/>
        <v>50000</v>
      </c>
      <c r="R370" s="762"/>
      <c r="S370" s="762">
        <f t="shared" si="910"/>
        <v>176000</v>
      </c>
      <c r="T370" s="762"/>
      <c r="U370" s="762"/>
      <c r="V370" s="762"/>
      <c r="W370" s="762"/>
      <c r="X370" s="762"/>
      <c r="Y370" s="762">
        <f t="shared" si="912"/>
        <v>200000</v>
      </c>
      <c r="Z370" s="762">
        <f t="shared" si="796"/>
        <v>142461</v>
      </c>
      <c r="AA370" s="762"/>
      <c r="AB370" s="762"/>
      <c r="AC370" s="762"/>
      <c r="AD370" s="763">
        <f t="shared" si="821"/>
        <v>590861</v>
      </c>
      <c r="AE370" s="763">
        <f t="shared" si="797"/>
        <v>2922976.8449018667</v>
      </c>
      <c r="AF370" s="762">
        <f t="shared" si="798"/>
        <v>73074.421122546672</v>
      </c>
      <c r="AG370" s="762">
        <f t="shared" si="822"/>
        <v>2996051.2660244135</v>
      </c>
      <c r="AH370" s="762">
        <f t="shared" si="799"/>
        <v>74901.281650610341</v>
      </c>
      <c r="AI370" s="762">
        <f t="shared" si="823"/>
        <v>3070952.5476750238</v>
      </c>
      <c r="AJ370" s="762">
        <f t="shared" si="824"/>
        <v>153547.62738375118</v>
      </c>
      <c r="AK370" s="762">
        <f t="shared" si="825"/>
        <v>3224500.1750587751</v>
      </c>
      <c r="AL370" s="762">
        <f t="shared" si="826"/>
        <v>32245.001750587751</v>
      </c>
      <c r="AM370" s="762">
        <f t="shared" si="827"/>
        <v>27537.409960060559</v>
      </c>
      <c r="AN370" s="762"/>
      <c r="AO370" s="763">
        <f t="shared" si="828"/>
        <v>3284282.5867694234</v>
      </c>
      <c r="AP370" s="763">
        <f t="shared" si="829"/>
        <v>541906.62681695493</v>
      </c>
      <c r="AQ370" s="763">
        <f t="shared" si="830"/>
        <v>3826189.2135863784</v>
      </c>
      <c r="AR370" s="1178">
        <f t="shared" si="800"/>
        <v>3000000</v>
      </c>
      <c r="AS370" s="1178">
        <f t="shared" si="831"/>
        <v>37554.055163017198</v>
      </c>
      <c r="AT370" s="1178">
        <f t="shared" si="832"/>
        <v>826189.21358637838</v>
      </c>
      <c r="AU370" s="1178">
        <f t="shared" si="801"/>
        <v>99142.705630365395</v>
      </c>
      <c r="AV370" s="1178">
        <f t="shared" si="833"/>
        <v>925331.91921674379</v>
      </c>
      <c r="AW370" s="1178">
        <f t="shared" si="834"/>
        <v>3925331.9192167437</v>
      </c>
      <c r="AX370" s="762">
        <f>AW370*$AX$5</f>
        <v>49066.648990209302</v>
      </c>
      <c r="AY370" s="717" t="s">
        <v>231</v>
      </c>
      <c r="AZ370" s="717">
        <f t="shared" si="836"/>
        <v>3974398.5682069529</v>
      </c>
      <c r="BA370" s="717">
        <f t="shared" si="837"/>
        <v>149039.94630776072</v>
      </c>
      <c r="BB370" s="717"/>
      <c r="BC370" s="717">
        <f t="shared" si="802"/>
        <v>33600</v>
      </c>
      <c r="BD370" s="717">
        <f t="shared" si="838"/>
        <v>4157038.5145147135</v>
      </c>
      <c r="BE370" s="717"/>
      <c r="BF370" s="717">
        <f t="shared" si="839"/>
        <v>4157038.5145147135</v>
      </c>
      <c r="BG370" s="1209"/>
      <c r="BH370" s="717">
        <f t="shared" si="840"/>
        <v>4157038.5145147135</v>
      </c>
      <c r="BI370" s="717"/>
      <c r="BJ370" s="717">
        <f t="shared" si="841"/>
        <v>4157038.5145147135</v>
      </c>
      <c r="BK370" s="717"/>
      <c r="BL370" s="717">
        <f t="shared" si="842"/>
        <v>4157038.5145147135</v>
      </c>
      <c r="BM370" s="717"/>
      <c r="BN370" s="717">
        <f t="shared" si="843"/>
        <v>4157038.5145147135</v>
      </c>
      <c r="BO370" s="717"/>
      <c r="BP370" s="717">
        <f t="shared" si="803"/>
        <v>4157038.5145147135</v>
      </c>
      <c r="BQ370" s="717"/>
      <c r="BR370" s="717">
        <f t="shared" si="903"/>
        <v>4157038.5145147135</v>
      </c>
      <c r="BS370" s="717"/>
      <c r="BT370" s="717">
        <f t="shared" si="844"/>
        <v>4157038.5145147135</v>
      </c>
      <c r="BU370" s="717"/>
      <c r="BV370" s="1235">
        <f t="shared" si="904"/>
        <v>51400</v>
      </c>
      <c r="BW370" s="717">
        <f t="shared" si="845"/>
        <v>4208438.5145147135</v>
      </c>
      <c r="BX370" s="717"/>
      <c r="BY370" s="717">
        <f t="shared" si="846"/>
        <v>4208438.5145147135</v>
      </c>
      <c r="BZ370" s="1194">
        <f t="shared" si="847"/>
        <v>4208438.5145147135</v>
      </c>
      <c r="CA370" s="1194">
        <f t="shared" si="848"/>
        <v>3636438.5145147135</v>
      </c>
      <c r="CB370" s="1194">
        <v>26000</v>
      </c>
      <c r="CC370" s="1194">
        <f t="shared" si="849"/>
        <v>572000</v>
      </c>
      <c r="CD370" s="1194">
        <f t="shared" si="850"/>
        <v>68640</v>
      </c>
      <c r="CE370" s="1194">
        <f t="shared" si="851"/>
        <v>640640</v>
      </c>
      <c r="CF370" s="1200">
        <f t="shared" si="852"/>
        <v>4277078.5145147135</v>
      </c>
      <c r="CG370" s="757">
        <f t="shared" si="853"/>
        <v>4277078.5145147135</v>
      </c>
      <c r="CH370" s="758">
        <f t="shared" si="854"/>
        <v>436372.62174176559</v>
      </c>
      <c r="CI370" s="757">
        <f t="shared" si="804"/>
        <v>438400.54773775814</v>
      </c>
      <c r="CJ370" s="757">
        <f t="shared" si="805"/>
        <v>106926.96286286785</v>
      </c>
      <c r="CK370" s="759">
        <f t="shared" si="919"/>
        <v>5258778.6468571052</v>
      </c>
      <c r="CL370" s="764">
        <f t="shared" si="855"/>
        <v>0.125</v>
      </c>
      <c r="CM370" s="757">
        <f t="shared" si="856"/>
        <v>657347.33085713815</v>
      </c>
      <c r="CN370" s="757">
        <f t="shared" si="898"/>
        <v>30000</v>
      </c>
      <c r="CO370" s="757">
        <f t="shared" si="857"/>
        <v>627347.33085713815</v>
      </c>
      <c r="CP370" s="755">
        <f t="shared" si="858"/>
        <v>32</v>
      </c>
      <c r="CQ370" s="757">
        <f t="shared" si="901"/>
        <v>19604.604089285567</v>
      </c>
      <c r="CR370" s="764">
        <f t="shared" si="859"/>
        <v>0.875</v>
      </c>
      <c r="CS370" s="757">
        <f t="shared" si="860"/>
        <v>4601431.315999967</v>
      </c>
      <c r="CT370" s="1101">
        <f t="shared" si="861"/>
        <v>35674.84801618132</v>
      </c>
      <c r="CU370" s="1101">
        <f t="shared" si="862"/>
        <v>41358.965532064583</v>
      </c>
      <c r="CV370" s="1101">
        <f t="shared" si="863"/>
        <v>53426.519232970808</v>
      </c>
      <c r="CW370" s="1141">
        <f t="shared" si="806"/>
        <v>91113.855057897192</v>
      </c>
      <c r="CX370" s="1152">
        <f t="shared" si="864"/>
        <v>373788.89151384996</v>
      </c>
      <c r="CY370" s="1152">
        <f t="shared" si="865"/>
        <v>147906.44354180046</v>
      </c>
      <c r="CZ370" s="1152">
        <f t="shared" si="866"/>
        <v>106830.72934249975</v>
      </c>
      <c r="DA370" s="1152">
        <f t="shared" si="867"/>
        <v>81303.103262405057</v>
      </c>
      <c r="DB370" s="1143">
        <f t="shared" si="807"/>
        <v>0.27539640452879277</v>
      </c>
      <c r="DC370" s="1143">
        <f t="shared" si="868"/>
        <v>0.17617237234808411</v>
      </c>
      <c r="DD370" s="1098" t="s">
        <v>812</v>
      </c>
      <c r="DE370" s="1144"/>
      <c r="DF370" s="705"/>
      <c r="DG370" s="765">
        <f t="shared" si="899"/>
        <v>46082</v>
      </c>
      <c r="DH370" s="1116">
        <f t="shared" si="808"/>
        <v>28</v>
      </c>
      <c r="DI370" s="497"/>
      <c r="DJ370" s="1117">
        <f t="shared" si="869"/>
        <v>46147</v>
      </c>
      <c r="DK370" s="1116">
        <f t="shared" si="870"/>
        <v>30</v>
      </c>
      <c r="DL370" s="766" t="s">
        <v>813</v>
      </c>
      <c r="DM370" s="766" t="s">
        <v>234</v>
      </c>
      <c r="DN370" s="767">
        <f t="shared" si="809"/>
        <v>42060.541782579261</v>
      </c>
      <c r="DO370" s="767">
        <f t="shared" si="810"/>
        <v>925331.91921674379</v>
      </c>
      <c r="DP370" s="768">
        <f t="shared" si="811"/>
        <v>0.30844397307224791</v>
      </c>
      <c r="DR370" s="767">
        <f t="shared" si="812"/>
        <v>4277078.5145147135</v>
      </c>
      <c r="DS370" s="767">
        <f>SUM('[6]INTERNAL PRICELIST'!M370)</f>
        <v>0</v>
      </c>
      <c r="DT370" s="767">
        <f t="shared" si="871"/>
        <v>4277078.5145147135</v>
      </c>
      <c r="DV370" s="951">
        <f t="shared" si="813"/>
        <v>194412.6597506688</v>
      </c>
      <c r="DX370" s="781"/>
      <c r="DY370" s="782"/>
      <c r="DZ370" s="781"/>
      <c r="EA370" s="775"/>
      <c r="ED370" s="755" t="s">
        <v>835</v>
      </c>
      <c r="EE370" s="777" t="b">
        <f t="shared" si="814"/>
        <v>1</v>
      </c>
      <c r="EF370" s="777"/>
      <c r="EG370" s="777"/>
      <c r="EH370" s="1203"/>
      <c r="EP370" s="1230" t="s">
        <v>236</v>
      </c>
      <c r="EQ370" s="1145" t="s">
        <v>236</v>
      </c>
      <c r="ER370" s="753" t="b">
        <f t="shared" si="872"/>
        <v>1</v>
      </c>
      <c r="EU370" s="770">
        <v>3457426.8674007286</v>
      </c>
      <c r="EV370" s="771" t="s">
        <v>258</v>
      </c>
      <c r="EW370" s="775">
        <f t="shared" si="914"/>
        <v>-819651.64711398492</v>
      </c>
      <c r="EY370" s="775">
        <v>3421168.9389577992</v>
      </c>
      <c r="FJ370" s="994">
        <v>0.15</v>
      </c>
      <c r="FK370" s="993">
        <v>14908.389673312213</v>
      </c>
      <c r="FL370" s="993">
        <v>15311.319123942272</v>
      </c>
      <c r="FM370" s="497"/>
      <c r="FN370" s="993">
        <f t="shared" si="815"/>
        <v>5258778.6468571052</v>
      </c>
      <c r="FO370" s="994">
        <f t="shared" si="928"/>
        <v>0.15</v>
      </c>
      <c r="FP370" s="775">
        <f t="shared" si="816"/>
        <v>788816.79702856578</v>
      </c>
      <c r="FQ370" s="993">
        <f t="shared" si="817"/>
        <v>30000</v>
      </c>
      <c r="FR370" s="775">
        <f t="shared" si="874"/>
        <v>758816.79702856578</v>
      </c>
      <c r="FS370" s="497">
        <f t="shared" si="875"/>
        <v>40</v>
      </c>
      <c r="FT370" s="775">
        <f t="shared" si="876"/>
        <v>18970.419925714144</v>
      </c>
      <c r="FU370" s="497"/>
      <c r="FV370" s="993">
        <f t="shared" si="877"/>
        <v>5258778.6468571052</v>
      </c>
      <c r="FW370" s="705">
        <f t="shared" si="878"/>
        <v>525877.86468571052</v>
      </c>
      <c r="FX370" s="705">
        <f t="shared" si="879"/>
        <v>131469.46617142763</v>
      </c>
      <c r="FY370" s="705">
        <v>15000</v>
      </c>
      <c r="FZ370" s="705">
        <f t="shared" si="880"/>
        <v>510877.86468571052</v>
      </c>
      <c r="GA370" s="497">
        <f t="shared" si="881"/>
        <v>46</v>
      </c>
      <c r="GB370" s="775">
        <f t="shared" si="882"/>
        <v>11106.040536645882</v>
      </c>
      <c r="GC370" s="497"/>
      <c r="GD370" s="497"/>
      <c r="GH370" s="1095">
        <f t="shared" si="782"/>
        <v>5258778.6468571052</v>
      </c>
      <c r="GI370" s="1098">
        <f t="shared" si="783"/>
        <v>0.125</v>
      </c>
      <c r="GJ370" s="1095">
        <f t="shared" si="784"/>
        <v>657347.33085713815</v>
      </c>
      <c r="GK370" s="1095">
        <f t="shared" si="785"/>
        <v>30000</v>
      </c>
      <c r="GL370" s="1095">
        <f t="shared" si="786"/>
        <v>627347.33085713815</v>
      </c>
      <c r="GM370" s="1095">
        <f t="shared" si="787"/>
        <v>32</v>
      </c>
      <c r="GN370" s="1095">
        <f t="shared" si="788"/>
        <v>19604.604089285567</v>
      </c>
      <c r="GO370" s="1098">
        <f t="shared" si="789"/>
        <v>0.875</v>
      </c>
      <c r="GP370" s="1095">
        <f t="shared" si="790"/>
        <v>4601431.315999967</v>
      </c>
      <c r="GQ370" s="1095">
        <f t="shared" si="791"/>
        <v>35674.84801618132</v>
      </c>
      <c r="GR370" s="1095">
        <f t="shared" si="792"/>
        <v>41358.965532064583</v>
      </c>
      <c r="GS370" s="1095">
        <f t="shared" si="793"/>
        <v>53426.519232970808</v>
      </c>
      <c r="GT370" s="1095">
        <f t="shared" si="794"/>
        <v>91113.855057897192</v>
      </c>
      <c r="GU370" s="497"/>
      <c r="GV370" s="1095">
        <f t="shared" si="883"/>
        <v>5258778.6468571052</v>
      </c>
      <c r="GW370" s="1098">
        <f t="shared" si="884"/>
        <v>0.125</v>
      </c>
      <c r="GX370" s="1095">
        <f t="shared" si="885"/>
        <v>657347.33085713815</v>
      </c>
      <c r="GY370" s="1095">
        <f t="shared" si="886"/>
        <v>30000</v>
      </c>
      <c r="GZ370" s="1095">
        <f t="shared" si="887"/>
        <v>627347.33085713815</v>
      </c>
      <c r="HA370" s="1106">
        <f t="shared" si="888"/>
        <v>48</v>
      </c>
      <c r="HB370" s="770">
        <f t="shared" si="889"/>
        <v>13069.736059523711</v>
      </c>
      <c r="HC370" s="1098">
        <f t="shared" si="890"/>
        <v>0.875</v>
      </c>
      <c r="HD370" s="1102">
        <f t="shared" si="891"/>
        <v>4601431.315999967</v>
      </c>
      <c r="HE370" s="1101">
        <f t="shared" si="892"/>
        <v>35674.84801618132</v>
      </c>
      <c r="HF370" s="1101">
        <f t="shared" si="893"/>
        <v>41358.965532064583</v>
      </c>
      <c r="HG370" s="1101">
        <f t="shared" si="894"/>
        <v>53426.519232970808</v>
      </c>
      <c r="HH370" s="1101">
        <f t="shared" si="895"/>
        <v>91113.855057897192</v>
      </c>
      <c r="HI370" s="497"/>
      <c r="HJ370" s="1102">
        <f t="shared" si="896"/>
        <v>-6534.8680297618557</v>
      </c>
      <c r="HL370" s="775"/>
      <c r="HN370" s="775"/>
      <c r="HO370" s="775"/>
      <c r="HQ370" s="702"/>
      <c r="HR370" s="1171"/>
      <c r="HS370" s="702"/>
      <c r="HT370" s="1171"/>
    </row>
    <row r="371" spans="1:228" ht="14.25" hidden="1" customHeight="1">
      <c r="A371" s="753">
        <f t="shared" si="897"/>
        <v>365</v>
      </c>
      <c r="B371" s="753"/>
      <c r="C371" s="753">
        <f t="shared" si="911"/>
        <v>24</v>
      </c>
      <c r="D371" s="753" t="s">
        <v>292</v>
      </c>
      <c r="E371" s="717" t="s">
        <v>297</v>
      </c>
      <c r="F371" s="754"/>
      <c r="G371" s="756" t="s">
        <v>836</v>
      </c>
      <c r="H371" s="756"/>
      <c r="I371" s="755" t="s">
        <v>229</v>
      </c>
      <c r="J371" s="757">
        <v>22</v>
      </c>
      <c r="K371" s="758"/>
      <c r="L371" s="759" t="s">
        <v>69</v>
      </c>
      <c r="M371" s="760" t="s">
        <v>68</v>
      </c>
      <c r="N371" s="761">
        <f t="shared" si="818"/>
        <v>106005.26567735759</v>
      </c>
      <c r="O371" s="762">
        <f t="shared" si="819"/>
        <v>2332115.8449018667</v>
      </c>
      <c r="P371" s="762">
        <f t="shared" si="820"/>
        <v>22400</v>
      </c>
      <c r="Q371" s="762">
        <f t="shared" si="795"/>
        <v>50000</v>
      </c>
      <c r="R371" s="762"/>
      <c r="S371" s="762">
        <f t="shared" si="910"/>
        <v>176000</v>
      </c>
      <c r="T371" s="762"/>
      <c r="U371" s="762"/>
      <c r="V371" s="762"/>
      <c r="W371" s="762"/>
      <c r="X371" s="762"/>
      <c r="Y371" s="762">
        <f t="shared" si="912"/>
        <v>200000</v>
      </c>
      <c r="Z371" s="762">
        <f t="shared" si="796"/>
        <v>142461</v>
      </c>
      <c r="AA371" s="762"/>
      <c r="AB371" s="762"/>
      <c r="AC371" s="762"/>
      <c r="AD371" s="763">
        <f t="shared" si="821"/>
        <v>590861</v>
      </c>
      <c r="AE371" s="763">
        <f t="shared" si="797"/>
        <v>2922976.8449018667</v>
      </c>
      <c r="AF371" s="762">
        <f t="shared" si="798"/>
        <v>73074.421122546672</v>
      </c>
      <c r="AG371" s="762">
        <f t="shared" si="822"/>
        <v>2996051.2660244135</v>
      </c>
      <c r="AH371" s="762">
        <f t="shared" si="799"/>
        <v>74901.281650610341</v>
      </c>
      <c r="AI371" s="762">
        <f t="shared" si="823"/>
        <v>3070952.5476750238</v>
      </c>
      <c r="AJ371" s="762">
        <f t="shared" si="824"/>
        <v>153547.62738375118</v>
      </c>
      <c r="AK371" s="762">
        <f t="shared" si="825"/>
        <v>3224500.1750587751</v>
      </c>
      <c r="AL371" s="762">
        <f t="shared" si="826"/>
        <v>32245.001750587751</v>
      </c>
      <c r="AM371" s="762">
        <f t="shared" si="827"/>
        <v>27537.409960060559</v>
      </c>
      <c r="AN371" s="762"/>
      <c r="AO371" s="763">
        <f t="shared" si="828"/>
        <v>3284282.5867694234</v>
      </c>
      <c r="AP371" s="763">
        <f t="shared" si="829"/>
        <v>541906.62681695493</v>
      </c>
      <c r="AQ371" s="763">
        <f t="shared" si="830"/>
        <v>3826189.2135863784</v>
      </c>
      <c r="AR371" s="1178">
        <f t="shared" si="800"/>
        <v>3000000</v>
      </c>
      <c r="AS371" s="1178">
        <f t="shared" si="831"/>
        <v>37554.055163017198</v>
      </c>
      <c r="AT371" s="1178">
        <f t="shared" si="832"/>
        <v>826189.21358637838</v>
      </c>
      <c r="AU371" s="1178">
        <f t="shared" si="801"/>
        <v>99142.705630365395</v>
      </c>
      <c r="AV371" s="1178">
        <f t="shared" si="833"/>
        <v>925331.91921674379</v>
      </c>
      <c r="AW371" s="1178">
        <f t="shared" si="834"/>
        <v>3925331.9192167437</v>
      </c>
      <c r="AX371" s="762">
        <f t="shared" si="835"/>
        <v>49066.648990209302</v>
      </c>
      <c r="AY371" s="717" t="s">
        <v>231</v>
      </c>
      <c r="AZ371" s="717">
        <f t="shared" si="836"/>
        <v>3974398.5682069529</v>
      </c>
      <c r="BA371" s="717">
        <f t="shared" si="837"/>
        <v>149039.94630776072</v>
      </c>
      <c r="BB371" s="717"/>
      <c r="BC371" s="717">
        <f t="shared" si="802"/>
        <v>33600</v>
      </c>
      <c r="BD371" s="717">
        <f t="shared" si="838"/>
        <v>4157038.5145147135</v>
      </c>
      <c r="BE371" s="717"/>
      <c r="BF371" s="717">
        <f t="shared" si="839"/>
        <v>4157038.5145147135</v>
      </c>
      <c r="BG371" s="1209"/>
      <c r="BH371" s="717">
        <f t="shared" si="840"/>
        <v>4157038.5145147135</v>
      </c>
      <c r="BI371" s="717"/>
      <c r="BJ371" s="717">
        <f t="shared" si="841"/>
        <v>4157038.5145147135</v>
      </c>
      <c r="BK371" s="717"/>
      <c r="BL371" s="717">
        <f t="shared" si="842"/>
        <v>4157038.5145147135</v>
      </c>
      <c r="BM371" s="717"/>
      <c r="BN371" s="717">
        <f t="shared" si="843"/>
        <v>4157038.5145147135</v>
      </c>
      <c r="BO371" s="717"/>
      <c r="BP371" s="717">
        <f t="shared" si="803"/>
        <v>4157038.5145147135</v>
      </c>
      <c r="BQ371" s="717"/>
      <c r="BR371" s="717">
        <f t="shared" si="903"/>
        <v>4157038.5145147135</v>
      </c>
      <c r="BS371" s="717"/>
      <c r="BT371" s="717">
        <f t="shared" si="844"/>
        <v>4157038.5145147135</v>
      </c>
      <c r="BU371" s="717"/>
      <c r="BV371" s="1235">
        <f t="shared" si="904"/>
        <v>51400</v>
      </c>
      <c r="BW371" s="717">
        <f t="shared" si="845"/>
        <v>4208438.5145147135</v>
      </c>
      <c r="BX371" s="717"/>
      <c r="BY371" s="717">
        <f t="shared" si="846"/>
        <v>4208438.5145147135</v>
      </c>
      <c r="BZ371" s="1194">
        <f t="shared" si="847"/>
        <v>4208438.5145147135</v>
      </c>
      <c r="CA371" s="1194">
        <f t="shared" si="848"/>
        <v>3636438.5145147135</v>
      </c>
      <c r="CB371" s="1194">
        <v>26000</v>
      </c>
      <c r="CC371" s="1194">
        <f t="shared" si="849"/>
        <v>572000</v>
      </c>
      <c r="CD371" s="1194">
        <f t="shared" si="850"/>
        <v>68640</v>
      </c>
      <c r="CE371" s="1194">
        <f t="shared" si="851"/>
        <v>640640</v>
      </c>
      <c r="CF371" s="1200">
        <f t="shared" si="852"/>
        <v>4277078.5145147135</v>
      </c>
      <c r="CG371" s="757">
        <f t="shared" si="853"/>
        <v>4277078.5145147135</v>
      </c>
      <c r="CH371" s="758">
        <f t="shared" si="854"/>
        <v>436372.62174176559</v>
      </c>
      <c r="CI371" s="757">
        <f t="shared" si="804"/>
        <v>438400.54773775814</v>
      </c>
      <c r="CJ371" s="757">
        <f t="shared" si="805"/>
        <v>106926.96286286785</v>
      </c>
      <c r="CK371" s="759">
        <f t="shared" si="919"/>
        <v>5258778.6468571052</v>
      </c>
      <c r="CL371" s="764">
        <f t="shared" si="855"/>
        <v>0.125</v>
      </c>
      <c r="CM371" s="757">
        <f t="shared" si="856"/>
        <v>657347.33085713815</v>
      </c>
      <c r="CN371" s="757">
        <f t="shared" si="898"/>
        <v>30000</v>
      </c>
      <c r="CO371" s="757">
        <f t="shared" si="857"/>
        <v>627347.33085713815</v>
      </c>
      <c r="CP371" s="755">
        <f t="shared" si="858"/>
        <v>32</v>
      </c>
      <c r="CQ371" s="757">
        <f t="shared" si="901"/>
        <v>19604.604089285567</v>
      </c>
      <c r="CR371" s="764">
        <f t="shared" si="859"/>
        <v>0.875</v>
      </c>
      <c r="CS371" s="757">
        <f t="shared" si="860"/>
        <v>4601431.315999967</v>
      </c>
      <c r="CT371" s="1101">
        <f t="shared" si="861"/>
        <v>35674.84801618132</v>
      </c>
      <c r="CU371" s="1101">
        <f t="shared" si="862"/>
        <v>41358.965532064583</v>
      </c>
      <c r="CV371" s="1101">
        <f t="shared" si="863"/>
        <v>53426.519232970808</v>
      </c>
      <c r="CW371" s="1141">
        <f t="shared" si="806"/>
        <v>91113.855057897192</v>
      </c>
      <c r="CX371" s="1152">
        <f t="shared" si="864"/>
        <v>373788.89151384996</v>
      </c>
      <c r="CY371" s="1152">
        <f t="shared" si="865"/>
        <v>147906.44354180046</v>
      </c>
      <c r="CZ371" s="1152">
        <f t="shared" si="866"/>
        <v>106830.72934249975</v>
      </c>
      <c r="DA371" s="1152">
        <f t="shared" si="867"/>
        <v>81303.103262405057</v>
      </c>
      <c r="DB371" s="1143">
        <f t="shared" si="807"/>
        <v>0.27539640452879277</v>
      </c>
      <c r="DC371" s="1143">
        <f t="shared" si="868"/>
        <v>0.17617237234808411</v>
      </c>
      <c r="DD371" s="1098" t="s">
        <v>812</v>
      </c>
      <c r="DE371" s="1144"/>
      <c r="DF371" s="705"/>
      <c r="DG371" s="765">
        <f t="shared" si="899"/>
        <v>46082</v>
      </c>
      <c r="DH371" s="1116">
        <f t="shared" si="808"/>
        <v>28</v>
      </c>
      <c r="DI371" s="497"/>
      <c r="DJ371" s="1117">
        <f t="shared" si="869"/>
        <v>46147</v>
      </c>
      <c r="DK371" s="1116">
        <f t="shared" si="870"/>
        <v>30</v>
      </c>
      <c r="DL371" s="766" t="s">
        <v>813</v>
      </c>
      <c r="DM371" s="766" t="s">
        <v>234</v>
      </c>
      <c r="DN371" s="767">
        <f t="shared" si="809"/>
        <v>42060.541782579261</v>
      </c>
      <c r="DO371" s="767">
        <f t="shared" si="810"/>
        <v>925331.91921674379</v>
      </c>
      <c r="DP371" s="768">
        <f t="shared" si="811"/>
        <v>0.30844397307224791</v>
      </c>
      <c r="DR371" s="767">
        <f t="shared" si="812"/>
        <v>4277078.5145147135</v>
      </c>
      <c r="DS371" s="767">
        <f>SUM('[6]INTERNAL PRICELIST'!M371)</f>
        <v>0</v>
      </c>
      <c r="DT371" s="767">
        <f t="shared" si="871"/>
        <v>4277078.5145147135</v>
      </c>
      <c r="DV371" s="951">
        <f t="shared" si="813"/>
        <v>194412.6597506688</v>
      </c>
      <c r="DX371" s="781"/>
      <c r="DY371" s="782"/>
      <c r="DZ371" s="781"/>
      <c r="EA371" s="775"/>
      <c r="ED371" s="755" t="s">
        <v>836</v>
      </c>
      <c r="EE371" s="777" t="b">
        <f t="shared" si="814"/>
        <v>1</v>
      </c>
      <c r="EF371" s="777"/>
      <c r="EG371" s="777"/>
      <c r="EH371" s="1203"/>
      <c r="EP371" s="1230" t="s">
        <v>236</v>
      </c>
      <c r="EQ371" s="1145" t="s">
        <v>236</v>
      </c>
      <c r="ER371" s="753" t="b">
        <f t="shared" si="872"/>
        <v>1</v>
      </c>
      <c r="EU371" s="770">
        <v>3199466.85</v>
      </c>
      <c r="EV371" s="771" t="s">
        <v>236</v>
      </c>
      <c r="FJ371" s="994">
        <v>0.15</v>
      </c>
      <c r="FK371" s="993">
        <v>14908.389673312213</v>
      </c>
      <c r="FL371" s="993">
        <v>15311.319123942272</v>
      </c>
      <c r="FM371" s="497"/>
      <c r="FN371" s="993">
        <f t="shared" si="815"/>
        <v>5258778.6468571052</v>
      </c>
      <c r="FO371" s="994">
        <f t="shared" si="902"/>
        <v>0.15</v>
      </c>
      <c r="FP371" s="775">
        <f t="shared" si="816"/>
        <v>788816.79702856578</v>
      </c>
      <c r="FQ371" s="993">
        <f t="shared" si="817"/>
        <v>30000</v>
      </c>
      <c r="FR371" s="775">
        <f t="shared" si="874"/>
        <v>758816.79702856578</v>
      </c>
      <c r="FS371" s="497">
        <f t="shared" si="875"/>
        <v>40</v>
      </c>
      <c r="FT371" s="775">
        <f t="shared" si="876"/>
        <v>18970.419925714144</v>
      </c>
      <c r="FU371" s="497"/>
      <c r="FV371" s="993">
        <f t="shared" si="877"/>
        <v>5258778.6468571052</v>
      </c>
      <c r="FW371" s="705">
        <f t="shared" si="878"/>
        <v>525877.86468571052</v>
      </c>
      <c r="FX371" s="705">
        <f t="shared" si="879"/>
        <v>131469.46617142763</v>
      </c>
      <c r="FY371" s="705">
        <v>15000</v>
      </c>
      <c r="FZ371" s="705">
        <f t="shared" si="880"/>
        <v>510877.86468571052</v>
      </c>
      <c r="GA371" s="497">
        <f t="shared" si="881"/>
        <v>46</v>
      </c>
      <c r="GB371" s="775">
        <f t="shared" si="882"/>
        <v>11106.040536645882</v>
      </c>
      <c r="GC371" s="497"/>
      <c r="GD371" s="497"/>
      <c r="GH371" s="1095">
        <f t="shared" si="782"/>
        <v>5258778.6468571052</v>
      </c>
      <c r="GI371" s="1098">
        <f t="shared" si="783"/>
        <v>0.125</v>
      </c>
      <c r="GJ371" s="1095">
        <f t="shared" si="784"/>
        <v>657347.33085713815</v>
      </c>
      <c r="GK371" s="1095">
        <f t="shared" si="785"/>
        <v>30000</v>
      </c>
      <c r="GL371" s="1095">
        <f t="shared" si="786"/>
        <v>627347.33085713815</v>
      </c>
      <c r="GM371" s="1095">
        <f t="shared" si="787"/>
        <v>32</v>
      </c>
      <c r="GN371" s="1095">
        <f t="shared" si="788"/>
        <v>19604.604089285567</v>
      </c>
      <c r="GO371" s="1098">
        <f t="shared" si="789"/>
        <v>0.875</v>
      </c>
      <c r="GP371" s="1095">
        <f t="shared" si="790"/>
        <v>4601431.315999967</v>
      </c>
      <c r="GQ371" s="1095">
        <f t="shared" si="791"/>
        <v>35674.84801618132</v>
      </c>
      <c r="GR371" s="1095">
        <f t="shared" si="792"/>
        <v>41358.965532064583</v>
      </c>
      <c r="GS371" s="1095">
        <f t="shared" si="793"/>
        <v>53426.519232970808</v>
      </c>
      <c r="GT371" s="1095">
        <f t="shared" si="794"/>
        <v>91113.855057897192</v>
      </c>
      <c r="GU371" s="497"/>
      <c r="GV371" s="1095">
        <f t="shared" si="883"/>
        <v>5258778.6468571052</v>
      </c>
      <c r="GW371" s="1098">
        <f t="shared" si="884"/>
        <v>0.125</v>
      </c>
      <c r="GX371" s="1095">
        <f t="shared" si="885"/>
        <v>657347.33085713815</v>
      </c>
      <c r="GY371" s="1095">
        <f t="shared" si="886"/>
        <v>30000</v>
      </c>
      <c r="GZ371" s="1095">
        <f t="shared" si="887"/>
        <v>627347.33085713815</v>
      </c>
      <c r="HA371" s="1106">
        <f t="shared" si="888"/>
        <v>48</v>
      </c>
      <c r="HB371" s="770">
        <f t="shared" si="889"/>
        <v>13069.736059523711</v>
      </c>
      <c r="HC371" s="1098">
        <f t="shared" si="890"/>
        <v>0.875</v>
      </c>
      <c r="HD371" s="1102">
        <f t="shared" si="891"/>
        <v>4601431.315999967</v>
      </c>
      <c r="HE371" s="1101">
        <f t="shared" si="892"/>
        <v>35674.84801618132</v>
      </c>
      <c r="HF371" s="1101">
        <f t="shared" si="893"/>
        <v>41358.965532064583</v>
      </c>
      <c r="HG371" s="1101">
        <f t="shared" si="894"/>
        <v>53426.519232970808</v>
      </c>
      <c r="HH371" s="1101">
        <f t="shared" si="895"/>
        <v>91113.855057897192</v>
      </c>
      <c r="HI371" s="497"/>
      <c r="HJ371" s="1102">
        <f t="shared" si="896"/>
        <v>-6534.8680297618557</v>
      </c>
      <c r="HL371" s="775"/>
      <c r="HN371" s="775"/>
      <c r="HO371" s="775"/>
      <c r="HQ371" s="702"/>
      <c r="HR371" s="1171"/>
      <c r="HS371" s="702"/>
      <c r="HT371" s="1171"/>
    </row>
    <row r="372" spans="1:228" ht="14.25" hidden="1" customHeight="1">
      <c r="A372" s="753">
        <f t="shared" si="897"/>
        <v>366</v>
      </c>
      <c r="B372" s="753"/>
      <c r="C372" s="753">
        <f t="shared" si="911"/>
        <v>25</v>
      </c>
      <c r="D372" s="753" t="s">
        <v>292</v>
      </c>
      <c r="E372" s="717" t="s">
        <v>297</v>
      </c>
      <c r="F372" s="754"/>
      <c r="G372" s="756" t="s">
        <v>837</v>
      </c>
      <c r="H372" s="756"/>
      <c r="I372" s="755" t="s">
        <v>229</v>
      </c>
      <c r="J372" s="757">
        <v>22</v>
      </c>
      <c r="K372" s="758"/>
      <c r="L372" s="759" t="s">
        <v>69</v>
      </c>
      <c r="M372" s="760" t="s">
        <v>230</v>
      </c>
      <c r="N372" s="761">
        <f t="shared" si="818"/>
        <v>106005.26567735759</v>
      </c>
      <c r="O372" s="762">
        <f t="shared" si="819"/>
        <v>2332115.8449018667</v>
      </c>
      <c r="P372" s="762">
        <f t="shared" si="820"/>
        <v>22400</v>
      </c>
      <c r="Q372" s="762">
        <f t="shared" si="795"/>
        <v>50000</v>
      </c>
      <c r="R372" s="762"/>
      <c r="S372" s="762">
        <f t="shared" si="910"/>
        <v>176000</v>
      </c>
      <c r="T372" s="762"/>
      <c r="U372" s="762"/>
      <c r="V372" s="762">
        <f t="shared" ref="V372:V373" si="929">J372*$V$5</f>
        <v>55000</v>
      </c>
      <c r="W372" s="762"/>
      <c r="X372" s="762"/>
      <c r="Y372" s="762">
        <f t="shared" si="912"/>
        <v>200000</v>
      </c>
      <c r="Z372" s="762">
        <f t="shared" si="796"/>
        <v>142461</v>
      </c>
      <c r="AA372" s="762">
        <v>12700</v>
      </c>
      <c r="AB372" s="762"/>
      <c r="AC372" s="762"/>
      <c r="AD372" s="763">
        <f t="shared" si="821"/>
        <v>658561</v>
      </c>
      <c r="AE372" s="763">
        <f t="shared" si="797"/>
        <v>2990676.8449018667</v>
      </c>
      <c r="AF372" s="762">
        <f t="shared" si="798"/>
        <v>74766.921122546672</v>
      </c>
      <c r="AG372" s="762">
        <f t="shared" si="822"/>
        <v>3065443.7660244135</v>
      </c>
      <c r="AH372" s="762">
        <f t="shared" si="799"/>
        <v>76636.094150610341</v>
      </c>
      <c r="AI372" s="762">
        <f t="shared" si="823"/>
        <v>3142079.8601750238</v>
      </c>
      <c r="AJ372" s="762">
        <f t="shared" si="824"/>
        <v>157103.99300875119</v>
      </c>
      <c r="AK372" s="762">
        <f t="shared" si="825"/>
        <v>3299183.8531837752</v>
      </c>
      <c r="AL372" s="762">
        <f t="shared" si="826"/>
        <v>32991.838531837755</v>
      </c>
      <c r="AM372" s="762">
        <f t="shared" si="827"/>
        <v>27537.409960060559</v>
      </c>
      <c r="AN372" s="762"/>
      <c r="AO372" s="763">
        <f t="shared" si="828"/>
        <v>3359713.1016756734</v>
      </c>
      <c r="AP372" s="763">
        <f t="shared" si="829"/>
        <v>554352.66177648609</v>
      </c>
      <c r="AQ372" s="763">
        <f t="shared" si="830"/>
        <v>3914065.7634521592</v>
      </c>
      <c r="AR372" s="1178">
        <f t="shared" si="800"/>
        <v>3000000</v>
      </c>
      <c r="AS372" s="1178">
        <f t="shared" si="831"/>
        <v>41548.443793279963</v>
      </c>
      <c r="AT372" s="1178">
        <f t="shared" si="832"/>
        <v>914065.76345215924</v>
      </c>
      <c r="AU372" s="1178">
        <f t="shared" si="801"/>
        <v>109687.8916142591</v>
      </c>
      <c r="AV372" s="1178">
        <f t="shared" si="833"/>
        <v>1023753.6550664183</v>
      </c>
      <c r="AW372" s="1178">
        <f t="shared" si="834"/>
        <v>4023753.6550664185</v>
      </c>
      <c r="AX372" s="762">
        <f t="shared" si="835"/>
        <v>50296.920688330232</v>
      </c>
      <c r="AY372" s="717" t="s">
        <v>231</v>
      </c>
      <c r="AZ372" s="717">
        <f t="shared" si="836"/>
        <v>4074050.5757547487</v>
      </c>
      <c r="BA372" s="717">
        <f t="shared" si="837"/>
        <v>152776.89659080308</v>
      </c>
      <c r="BB372" s="717"/>
      <c r="BC372" s="717">
        <f t="shared" si="802"/>
        <v>33600</v>
      </c>
      <c r="BD372" s="717">
        <f t="shared" si="838"/>
        <v>4260427.4723455515</v>
      </c>
      <c r="BE372" s="717"/>
      <c r="BF372" s="717">
        <f t="shared" si="839"/>
        <v>4260427.4723455515</v>
      </c>
      <c r="BG372" s="1209"/>
      <c r="BH372" s="717">
        <f t="shared" si="840"/>
        <v>4260427.4723455515</v>
      </c>
      <c r="BI372" s="717"/>
      <c r="BJ372" s="717">
        <f t="shared" si="841"/>
        <v>4260427.4723455515</v>
      </c>
      <c r="BK372" s="717"/>
      <c r="BL372" s="717">
        <f t="shared" si="842"/>
        <v>4260427.4723455515</v>
      </c>
      <c r="BM372" s="717"/>
      <c r="BN372" s="717">
        <f t="shared" si="843"/>
        <v>4260427.4723455515</v>
      </c>
      <c r="BO372" s="717"/>
      <c r="BP372" s="717">
        <f t="shared" si="803"/>
        <v>4260427.4723455515</v>
      </c>
      <c r="BQ372" s="717"/>
      <c r="BR372" s="717">
        <f t="shared" si="903"/>
        <v>4260427.4723455515</v>
      </c>
      <c r="BS372" s="717"/>
      <c r="BT372" s="717">
        <f t="shared" si="844"/>
        <v>4260427.4723455515</v>
      </c>
      <c r="BU372" s="717"/>
      <c r="BV372" s="1235">
        <f t="shared" si="904"/>
        <v>51400</v>
      </c>
      <c r="BW372" s="717">
        <f t="shared" si="845"/>
        <v>4311827.4723455515</v>
      </c>
      <c r="BX372" s="717"/>
      <c r="BY372" s="717">
        <f t="shared" si="846"/>
        <v>4311827.4723455515</v>
      </c>
      <c r="BZ372" s="1194">
        <f t="shared" si="847"/>
        <v>4311827.4723455515</v>
      </c>
      <c r="CA372" s="1194">
        <f t="shared" si="848"/>
        <v>3640827.4723455515</v>
      </c>
      <c r="CB372" s="1194">
        <v>30500</v>
      </c>
      <c r="CC372" s="1194">
        <f t="shared" si="849"/>
        <v>671000</v>
      </c>
      <c r="CD372" s="1194">
        <f t="shared" si="850"/>
        <v>80520</v>
      </c>
      <c r="CE372" s="1194">
        <f t="shared" si="851"/>
        <v>751520</v>
      </c>
      <c r="CF372" s="1200">
        <f t="shared" si="852"/>
        <v>4392347.4723455515</v>
      </c>
      <c r="CG372" s="757">
        <f t="shared" si="853"/>
        <v>4392347.4723455515</v>
      </c>
      <c r="CH372" s="758">
        <f t="shared" si="854"/>
        <v>436899.29668146616</v>
      </c>
      <c r="CI372" s="757">
        <f t="shared" si="804"/>
        <v>450215.61591541901</v>
      </c>
      <c r="CJ372" s="757">
        <f t="shared" si="805"/>
        <v>109808.6868086388</v>
      </c>
      <c r="CK372" s="759">
        <f t="shared" si="919"/>
        <v>5389271.0717510758</v>
      </c>
      <c r="CL372" s="764">
        <f t="shared" si="855"/>
        <v>0.125</v>
      </c>
      <c r="CM372" s="757">
        <f t="shared" si="856"/>
        <v>673658.88396888447</v>
      </c>
      <c r="CN372" s="757">
        <f t="shared" si="898"/>
        <v>30000</v>
      </c>
      <c r="CO372" s="757">
        <f t="shared" si="857"/>
        <v>643658.88396888447</v>
      </c>
      <c r="CP372" s="755">
        <f t="shared" si="858"/>
        <v>32</v>
      </c>
      <c r="CQ372" s="757">
        <f t="shared" si="901"/>
        <v>20114.34012402764</v>
      </c>
      <c r="CR372" s="764">
        <f t="shared" si="859"/>
        <v>0.875</v>
      </c>
      <c r="CS372" s="757">
        <f t="shared" si="860"/>
        <v>4715612.1877821917</v>
      </c>
      <c r="CT372" s="1101">
        <f t="shared" si="861"/>
        <v>36560.091099789257</v>
      </c>
      <c r="CU372" s="1101">
        <f t="shared" si="862"/>
        <v>42385.25548754898</v>
      </c>
      <c r="CV372" s="1101">
        <f t="shared" si="863"/>
        <v>54752.25597081989</v>
      </c>
      <c r="CW372" s="1141">
        <f t="shared" si="806"/>
        <v>93374.773169567212</v>
      </c>
      <c r="CX372" s="1152">
        <f t="shared" si="864"/>
        <v>383064.16665425216</v>
      </c>
      <c r="CY372" s="1152">
        <f t="shared" si="865"/>
        <v>151576.62473239834</v>
      </c>
      <c r="CZ372" s="1152">
        <f t="shared" si="866"/>
        <v>109481.64923497816</v>
      </c>
      <c r="DA372" s="1152">
        <f t="shared" si="867"/>
        <v>83320.575342629774</v>
      </c>
      <c r="DB372" s="1143">
        <f t="shared" si="807"/>
        <v>0.30468858781738639</v>
      </c>
      <c r="DC372" s="1143">
        <f t="shared" si="868"/>
        <v>0.20641461472928402</v>
      </c>
      <c r="DD372" s="1098" t="s">
        <v>812</v>
      </c>
      <c r="DE372" s="1144"/>
      <c r="DF372" s="705"/>
      <c r="DG372" s="765">
        <f t="shared" si="899"/>
        <v>46082</v>
      </c>
      <c r="DH372" s="1116">
        <f t="shared" si="808"/>
        <v>28</v>
      </c>
      <c r="DI372" s="497"/>
      <c r="DJ372" s="1117">
        <f t="shared" si="869"/>
        <v>46147</v>
      </c>
      <c r="DK372" s="1116">
        <f t="shared" si="870"/>
        <v>30</v>
      </c>
      <c r="DL372" s="766" t="s">
        <v>813</v>
      </c>
      <c r="DM372" s="766" t="s">
        <v>234</v>
      </c>
      <c r="DN372" s="767">
        <f t="shared" si="809"/>
        <v>46534.257048473562</v>
      </c>
      <c r="DO372" s="767">
        <f t="shared" si="810"/>
        <v>1023753.6550664183</v>
      </c>
      <c r="DP372" s="768">
        <f t="shared" si="811"/>
        <v>0.34125121835547279</v>
      </c>
      <c r="DR372" s="767">
        <f t="shared" si="812"/>
        <v>4392347.4723455515</v>
      </c>
      <c r="DS372" s="767">
        <f>SUM('[6]INTERNAL PRICELIST'!M372)</f>
        <v>0</v>
      </c>
      <c r="DT372" s="767">
        <f t="shared" si="871"/>
        <v>4392347.4723455515</v>
      </c>
      <c r="DV372" s="951">
        <f t="shared" si="813"/>
        <v>199652.15783388869</v>
      </c>
      <c r="DX372" s="781"/>
      <c r="DY372" s="782"/>
      <c r="DZ372" s="781"/>
      <c r="EA372" s="775"/>
      <c r="ED372" s="1133" t="s">
        <v>837</v>
      </c>
      <c r="EE372" s="777" t="b">
        <f t="shared" si="814"/>
        <v>1</v>
      </c>
      <c r="EF372" s="777"/>
      <c r="EG372" s="777"/>
      <c r="EH372" s="1203"/>
      <c r="EP372" s="1230" t="s">
        <v>236</v>
      </c>
      <c r="EQ372" s="1145" t="s">
        <v>236</v>
      </c>
      <c r="ER372" s="753" t="b">
        <f t="shared" si="872"/>
        <v>1</v>
      </c>
      <c r="EU372" s="770">
        <v>3588896.178275059</v>
      </c>
      <c r="EV372" s="771" t="s">
        <v>258</v>
      </c>
      <c r="EW372" s="775">
        <f t="shared" ref="EW372:EW378" si="930">EU372-CG372</f>
        <v>-803451.2940704925</v>
      </c>
      <c r="EY372" s="775">
        <v>3551474.8993021832</v>
      </c>
      <c r="FJ372" s="994">
        <v>0.15</v>
      </c>
      <c r="FK372" s="993">
        <v>15485.622216943038</v>
      </c>
      <c r="FL372" s="993">
        <v>15904.152547130689</v>
      </c>
      <c r="FM372" s="497"/>
      <c r="FN372" s="993">
        <f t="shared" si="815"/>
        <v>5389271.0717510758</v>
      </c>
      <c r="FO372" s="994">
        <f t="shared" si="902"/>
        <v>0.15</v>
      </c>
      <c r="FP372" s="775">
        <f t="shared" si="816"/>
        <v>808390.66076266137</v>
      </c>
      <c r="FQ372" s="993">
        <f t="shared" si="817"/>
        <v>30000</v>
      </c>
      <c r="FR372" s="775">
        <f t="shared" si="874"/>
        <v>778390.66076266137</v>
      </c>
      <c r="FS372" s="497">
        <f t="shared" si="875"/>
        <v>40</v>
      </c>
      <c r="FT372" s="775">
        <f t="shared" si="876"/>
        <v>19459.766519066536</v>
      </c>
      <c r="FU372" s="497"/>
      <c r="FV372" s="993">
        <f t="shared" si="877"/>
        <v>5389271.0717510758</v>
      </c>
      <c r="FW372" s="705">
        <f t="shared" si="878"/>
        <v>538927.10717510758</v>
      </c>
      <c r="FX372" s="705">
        <f t="shared" si="879"/>
        <v>134731.77679377689</v>
      </c>
      <c r="FY372" s="705">
        <v>15000</v>
      </c>
      <c r="FZ372" s="705">
        <f t="shared" si="880"/>
        <v>523927.10717510758</v>
      </c>
      <c r="GA372" s="497">
        <f t="shared" si="881"/>
        <v>46</v>
      </c>
      <c r="GB372" s="775">
        <f t="shared" si="882"/>
        <v>11389.719721197991</v>
      </c>
      <c r="GC372" s="497"/>
      <c r="GD372" s="497"/>
      <c r="GH372" s="1095">
        <f t="shared" si="782"/>
        <v>5389271.0717510758</v>
      </c>
      <c r="GI372" s="1098">
        <f t="shared" si="783"/>
        <v>0.125</v>
      </c>
      <c r="GJ372" s="1095">
        <f t="shared" si="784"/>
        <v>673658.88396888447</v>
      </c>
      <c r="GK372" s="1095">
        <f t="shared" si="785"/>
        <v>30000</v>
      </c>
      <c r="GL372" s="1095">
        <f t="shared" si="786"/>
        <v>643658.88396888447</v>
      </c>
      <c r="GM372" s="1095">
        <f t="shared" si="787"/>
        <v>32</v>
      </c>
      <c r="GN372" s="1095">
        <f t="shared" si="788"/>
        <v>20114.34012402764</v>
      </c>
      <c r="GO372" s="1098">
        <f t="shared" si="789"/>
        <v>0.875</v>
      </c>
      <c r="GP372" s="1095">
        <f t="shared" si="790"/>
        <v>4715612.1877821917</v>
      </c>
      <c r="GQ372" s="1095">
        <f t="shared" si="791"/>
        <v>36560.091099789257</v>
      </c>
      <c r="GR372" s="1095">
        <f t="shared" si="792"/>
        <v>42385.25548754898</v>
      </c>
      <c r="GS372" s="1095">
        <f t="shared" si="793"/>
        <v>54752.25597081989</v>
      </c>
      <c r="GT372" s="1095">
        <f t="shared" si="794"/>
        <v>93374.773169567212</v>
      </c>
      <c r="GU372" s="497"/>
      <c r="GV372" s="1095">
        <f t="shared" si="883"/>
        <v>5389271.0717510758</v>
      </c>
      <c r="GW372" s="1098">
        <f t="shared" si="884"/>
        <v>0.125</v>
      </c>
      <c r="GX372" s="1095">
        <f t="shared" si="885"/>
        <v>673658.88396888447</v>
      </c>
      <c r="GY372" s="1095">
        <f t="shared" si="886"/>
        <v>30000</v>
      </c>
      <c r="GZ372" s="1095">
        <f t="shared" si="887"/>
        <v>643658.88396888447</v>
      </c>
      <c r="HA372" s="1106">
        <f t="shared" si="888"/>
        <v>48</v>
      </c>
      <c r="HB372" s="770">
        <f t="shared" si="889"/>
        <v>13409.560082685093</v>
      </c>
      <c r="HC372" s="1098">
        <f t="shared" si="890"/>
        <v>0.875</v>
      </c>
      <c r="HD372" s="1102">
        <f t="shared" si="891"/>
        <v>4715612.1877821917</v>
      </c>
      <c r="HE372" s="1101">
        <f t="shared" si="892"/>
        <v>36560.091099789257</v>
      </c>
      <c r="HF372" s="1101">
        <f t="shared" si="893"/>
        <v>42385.25548754898</v>
      </c>
      <c r="HG372" s="1101">
        <f t="shared" si="894"/>
        <v>54752.25597081989</v>
      </c>
      <c r="HH372" s="1101">
        <f t="shared" si="895"/>
        <v>93374.773169567212</v>
      </c>
      <c r="HI372" s="497"/>
      <c r="HJ372" s="1102">
        <f t="shared" si="896"/>
        <v>-6704.7800413425466</v>
      </c>
      <c r="HL372" s="775"/>
      <c r="HN372" s="775"/>
      <c r="HO372" s="775"/>
    </row>
    <row r="373" spans="1:228" ht="14.25" hidden="1" customHeight="1">
      <c r="A373" s="753">
        <f t="shared" si="897"/>
        <v>367</v>
      </c>
      <c r="B373" s="753"/>
      <c r="C373" s="753">
        <f t="shared" si="911"/>
        <v>26</v>
      </c>
      <c r="D373" s="753" t="s">
        <v>292</v>
      </c>
      <c r="E373" s="717" t="s">
        <v>297</v>
      </c>
      <c r="F373" s="754"/>
      <c r="G373" s="756" t="s">
        <v>838</v>
      </c>
      <c r="H373" s="756"/>
      <c r="I373" s="755" t="s">
        <v>229</v>
      </c>
      <c r="J373" s="757">
        <v>22</v>
      </c>
      <c r="K373" s="758"/>
      <c r="L373" s="759" t="s">
        <v>277</v>
      </c>
      <c r="M373" s="760" t="s">
        <v>230</v>
      </c>
      <c r="N373" s="761">
        <f t="shared" si="818"/>
        <v>106005.26567735759</v>
      </c>
      <c r="O373" s="762">
        <f t="shared" si="819"/>
        <v>2332115.8449018667</v>
      </c>
      <c r="P373" s="762">
        <f t="shared" si="820"/>
        <v>22400</v>
      </c>
      <c r="Q373" s="762">
        <f t="shared" si="795"/>
        <v>50000</v>
      </c>
      <c r="R373" s="762"/>
      <c r="S373" s="762">
        <f t="shared" si="910"/>
        <v>176000</v>
      </c>
      <c r="T373" s="762"/>
      <c r="U373" s="762"/>
      <c r="V373" s="762">
        <f t="shared" si="929"/>
        <v>55000</v>
      </c>
      <c r="W373" s="762"/>
      <c r="X373" s="762"/>
      <c r="Y373" s="762">
        <f t="shared" si="912"/>
        <v>200000</v>
      </c>
      <c r="Z373" s="762">
        <f t="shared" si="796"/>
        <v>142461</v>
      </c>
      <c r="AA373" s="762"/>
      <c r="AB373" s="762"/>
      <c r="AC373" s="762"/>
      <c r="AD373" s="763">
        <f t="shared" si="821"/>
        <v>645861</v>
      </c>
      <c r="AE373" s="763">
        <f t="shared" si="797"/>
        <v>2977976.8449018667</v>
      </c>
      <c r="AF373" s="762">
        <f t="shared" si="798"/>
        <v>74449.421122546672</v>
      </c>
      <c r="AG373" s="762">
        <f t="shared" si="822"/>
        <v>3052426.2660244135</v>
      </c>
      <c r="AH373" s="762">
        <f t="shared" si="799"/>
        <v>76310.656650610341</v>
      </c>
      <c r="AI373" s="762">
        <f t="shared" si="823"/>
        <v>3128736.9226750238</v>
      </c>
      <c r="AJ373" s="762">
        <f t="shared" si="824"/>
        <v>156436.84613375118</v>
      </c>
      <c r="AK373" s="762">
        <f t="shared" si="825"/>
        <v>3285173.7688087751</v>
      </c>
      <c r="AL373" s="762">
        <f t="shared" si="826"/>
        <v>32851.737688087749</v>
      </c>
      <c r="AM373" s="762">
        <f t="shared" si="827"/>
        <v>27537.409960060559</v>
      </c>
      <c r="AN373" s="762"/>
      <c r="AO373" s="763">
        <f t="shared" si="828"/>
        <v>3345562.9164569234</v>
      </c>
      <c r="AP373" s="763">
        <f t="shared" si="829"/>
        <v>552017.88121539238</v>
      </c>
      <c r="AQ373" s="763">
        <f t="shared" si="830"/>
        <v>3897580.7976723155</v>
      </c>
      <c r="AR373" s="1178">
        <f t="shared" si="800"/>
        <v>3000000</v>
      </c>
      <c r="AS373" s="1178">
        <f t="shared" si="831"/>
        <v>40799.127166923434</v>
      </c>
      <c r="AT373" s="1178">
        <f t="shared" si="832"/>
        <v>897580.7976723155</v>
      </c>
      <c r="AU373" s="1178">
        <f t="shared" si="801"/>
        <v>107709.69572067786</v>
      </c>
      <c r="AV373" s="1178">
        <f t="shared" si="833"/>
        <v>1005290.4933929933</v>
      </c>
      <c r="AW373" s="1178">
        <f t="shared" si="834"/>
        <v>4005290.4933929932</v>
      </c>
      <c r="AX373" s="762">
        <f t="shared" si="835"/>
        <v>50066.131167412415</v>
      </c>
      <c r="AY373" s="717" t="s">
        <v>231</v>
      </c>
      <c r="AZ373" s="717">
        <f t="shared" si="836"/>
        <v>4055356.6245604055</v>
      </c>
      <c r="BA373" s="717">
        <f t="shared" si="837"/>
        <v>152075.87342101519</v>
      </c>
      <c r="BB373" s="717"/>
      <c r="BC373" s="717">
        <f t="shared" si="802"/>
        <v>33600</v>
      </c>
      <c r="BD373" s="717">
        <f t="shared" si="838"/>
        <v>4241032.4979814207</v>
      </c>
      <c r="BE373" s="717"/>
      <c r="BF373" s="717">
        <f t="shared" si="839"/>
        <v>4241032.4979814207</v>
      </c>
      <c r="BG373" s="1209"/>
      <c r="BH373" s="717">
        <f t="shared" si="840"/>
        <v>4241032.4979814207</v>
      </c>
      <c r="BI373" s="717"/>
      <c r="BJ373" s="717">
        <f t="shared" si="841"/>
        <v>4241032.4979814207</v>
      </c>
      <c r="BK373" s="717"/>
      <c r="BL373" s="717">
        <f t="shared" si="842"/>
        <v>4241032.4979814207</v>
      </c>
      <c r="BM373" s="717"/>
      <c r="BN373" s="717">
        <f t="shared" si="843"/>
        <v>4241032.4979814207</v>
      </c>
      <c r="BO373" s="717"/>
      <c r="BP373" s="717">
        <f t="shared" si="803"/>
        <v>4241032.4979814207</v>
      </c>
      <c r="BQ373" s="717"/>
      <c r="BR373" s="717">
        <f t="shared" si="903"/>
        <v>4241032.4979814207</v>
      </c>
      <c r="BS373" s="717"/>
      <c r="BT373" s="717">
        <f t="shared" si="844"/>
        <v>4241032.4979814207</v>
      </c>
      <c r="BU373" s="717"/>
      <c r="BV373" s="1235">
        <f t="shared" si="904"/>
        <v>51400</v>
      </c>
      <c r="BW373" s="717">
        <f t="shared" si="845"/>
        <v>4292432.4979814207</v>
      </c>
      <c r="BX373" s="717"/>
      <c r="BY373" s="717">
        <f t="shared" si="846"/>
        <v>4292432.4979814207</v>
      </c>
      <c r="BZ373" s="1194">
        <f t="shared" si="847"/>
        <v>4292432.4979814207</v>
      </c>
      <c r="CA373" s="1194">
        <f t="shared" si="848"/>
        <v>3632432.4979814207</v>
      </c>
      <c r="CB373" s="1194">
        <v>30000</v>
      </c>
      <c r="CC373" s="1194">
        <f t="shared" si="849"/>
        <v>660000</v>
      </c>
      <c r="CD373" s="1194">
        <f t="shared" si="850"/>
        <v>79200</v>
      </c>
      <c r="CE373" s="1194">
        <f t="shared" si="851"/>
        <v>739200</v>
      </c>
      <c r="CF373" s="1200">
        <f t="shared" si="852"/>
        <v>4371632.4979814207</v>
      </c>
      <c r="CG373" s="757">
        <f t="shared" si="853"/>
        <v>4371632.4979814207</v>
      </c>
      <c r="CH373" s="758">
        <f t="shared" si="854"/>
        <v>435891.89975777047</v>
      </c>
      <c r="CI373" s="757">
        <f t="shared" si="804"/>
        <v>448092.33104309562</v>
      </c>
      <c r="CJ373" s="757">
        <f t="shared" si="805"/>
        <v>109290.81244953553</v>
      </c>
      <c r="CK373" s="759">
        <f t="shared" si="919"/>
        <v>5364907.5412318222</v>
      </c>
      <c r="CL373" s="764">
        <f t="shared" si="855"/>
        <v>0.125</v>
      </c>
      <c r="CM373" s="757">
        <f t="shared" si="856"/>
        <v>670613.44265397778</v>
      </c>
      <c r="CN373" s="757">
        <f t="shared" si="898"/>
        <v>30000</v>
      </c>
      <c r="CO373" s="757">
        <f t="shared" si="857"/>
        <v>640613.44265397778</v>
      </c>
      <c r="CP373" s="755">
        <f t="shared" si="858"/>
        <v>32</v>
      </c>
      <c r="CQ373" s="757">
        <f t="shared" si="901"/>
        <v>20019.170082936806</v>
      </c>
      <c r="CR373" s="764">
        <f t="shared" si="859"/>
        <v>0.875</v>
      </c>
      <c r="CS373" s="757">
        <f t="shared" si="860"/>
        <v>4694294.098577844</v>
      </c>
      <c r="CT373" s="1101">
        <f t="shared" si="861"/>
        <v>36394.812181093665</v>
      </c>
      <c r="CU373" s="1101">
        <f t="shared" si="862"/>
        <v>42193.64247497476</v>
      </c>
      <c r="CV373" s="1101">
        <f t="shared" si="863"/>
        <v>54504.734879083517</v>
      </c>
      <c r="CW373" s="1141">
        <f t="shared" si="806"/>
        <v>92952.649452731042</v>
      </c>
      <c r="CX373" s="1152">
        <f t="shared" si="864"/>
        <v>381332.43050833198</v>
      </c>
      <c r="CY373" s="1152">
        <f t="shared" si="865"/>
        <v>150891.38517522882</v>
      </c>
      <c r="CZ373" s="1152">
        <f t="shared" si="866"/>
        <v>108986.71040801582</v>
      </c>
      <c r="DA373" s="1152">
        <f t="shared" si="867"/>
        <v>82943.90410950467</v>
      </c>
      <c r="DB373" s="1143">
        <f t="shared" si="807"/>
        <v>0.29919359922410516</v>
      </c>
      <c r="DC373" s="1143">
        <f t="shared" si="868"/>
        <v>0.20349999632774479</v>
      </c>
      <c r="DD373" s="1098" t="s">
        <v>812</v>
      </c>
      <c r="DE373" s="1144"/>
      <c r="DF373" s="705"/>
      <c r="DG373" s="765">
        <f t="shared" si="899"/>
        <v>46082</v>
      </c>
      <c r="DH373" s="1116">
        <f t="shared" si="808"/>
        <v>28</v>
      </c>
      <c r="DI373" s="497"/>
      <c r="DJ373" s="1117">
        <f t="shared" si="869"/>
        <v>46147</v>
      </c>
      <c r="DK373" s="1116">
        <f t="shared" si="870"/>
        <v>30</v>
      </c>
      <c r="DL373" s="766" t="s">
        <v>813</v>
      </c>
      <c r="DM373" s="766" t="s">
        <v>234</v>
      </c>
      <c r="DN373" s="767">
        <f t="shared" si="809"/>
        <v>45695.022426954245</v>
      </c>
      <c r="DO373" s="767">
        <f t="shared" si="810"/>
        <v>1005290.4933929933</v>
      </c>
      <c r="DP373" s="768">
        <f t="shared" si="811"/>
        <v>0.33509683113099781</v>
      </c>
      <c r="DR373" s="767">
        <f t="shared" si="812"/>
        <v>4371632.4979814207</v>
      </c>
      <c r="DS373" s="767">
        <f>SUM('[6]INTERNAL PRICELIST'!M373)</f>
        <v>0</v>
      </c>
      <c r="DT373" s="767">
        <f t="shared" si="871"/>
        <v>4371632.4979814207</v>
      </c>
      <c r="DV373" s="951">
        <f t="shared" si="813"/>
        <v>198710.56809006457</v>
      </c>
      <c r="DX373" s="781"/>
      <c r="DY373" s="782"/>
      <c r="DZ373" s="781"/>
      <c r="EA373" s="775"/>
      <c r="ED373" s="1133" t="s">
        <v>838</v>
      </c>
      <c r="EE373" s="777" t="b">
        <f t="shared" si="814"/>
        <v>1</v>
      </c>
      <c r="EF373" s="777"/>
      <c r="EG373" s="777"/>
      <c r="EH373" s="1203"/>
      <c r="EP373" s="1230" t="s">
        <v>236</v>
      </c>
      <c r="EQ373" s="1145" t="s">
        <v>236</v>
      </c>
      <c r="ER373" s="823" t="b">
        <f t="shared" si="872"/>
        <v>1</v>
      </c>
      <c r="EU373" s="770">
        <v>3588896.178275059</v>
      </c>
      <c r="EV373" s="771" t="s">
        <v>258</v>
      </c>
      <c r="EW373" s="775">
        <f t="shared" si="930"/>
        <v>-782736.31970636174</v>
      </c>
      <c r="EY373" s="775">
        <v>3551474.8993021832</v>
      </c>
      <c r="FJ373" s="994">
        <v>0.15</v>
      </c>
      <c r="FK373" s="993">
        <v>15485.622216943038</v>
      </c>
      <c r="FL373" s="993">
        <v>15904.152547130689</v>
      </c>
      <c r="FM373" s="497"/>
      <c r="FN373" s="993">
        <f t="shared" si="815"/>
        <v>5364907.5412318222</v>
      </c>
      <c r="FO373" s="994">
        <f t="shared" ref="FO373:FO378" si="931">FJ373</f>
        <v>0.15</v>
      </c>
      <c r="FP373" s="775">
        <f t="shared" si="816"/>
        <v>804736.13118477329</v>
      </c>
      <c r="FQ373" s="993">
        <f t="shared" si="817"/>
        <v>30000</v>
      </c>
      <c r="FR373" s="775">
        <f t="shared" si="874"/>
        <v>774736.13118477329</v>
      </c>
      <c r="FS373" s="497">
        <f t="shared" si="875"/>
        <v>40</v>
      </c>
      <c r="FT373" s="775">
        <f t="shared" si="876"/>
        <v>19368.403279619331</v>
      </c>
      <c r="FU373" s="497"/>
      <c r="FV373" s="993">
        <f t="shared" si="877"/>
        <v>5364907.5412318222</v>
      </c>
      <c r="FW373" s="705">
        <f t="shared" si="878"/>
        <v>536490.75412318227</v>
      </c>
      <c r="FX373" s="705">
        <f t="shared" si="879"/>
        <v>134122.68853079557</v>
      </c>
      <c r="FY373" s="705">
        <v>15000</v>
      </c>
      <c r="FZ373" s="705">
        <f t="shared" si="880"/>
        <v>521490.75412318227</v>
      </c>
      <c r="GA373" s="497">
        <f t="shared" si="881"/>
        <v>46</v>
      </c>
      <c r="GB373" s="775">
        <f t="shared" si="882"/>
        <v>11336.755524417005</v>
      </c>
      <c r="GC373" s="497"/>
      <c r="GD373" s="497"/>
      <c r="GH373" s="1095">
        <f t="shared" si="782"/>
        <v>5364907.5412318222</v>
      </c>
      <c r="GI373" s="1098">
        <f t="shared" si="783"/>
        <v>0.125</v>
      </c>
      <c r="GJ373" s="1095">
        <f t="shared" si="784"/>
        <v>670613.44265397778</v>
      </c>
      <c r="GK373" s="1095">
        <f t="shared" si="785"/>
        <v>30000</v>
      </c>
      <c r="GL373" s="1095">
        <f t="shared" si="786"/>
        <v>640613.44265397778</v>
      </c>
      <c r="GM373" s="1095">
        <f t="shared" si="787"/>
        <v>32</v>
      </c>
      <c r="GN373" s="1095">
        <f t="shared" si="788"/>
        <v>20019.170082936806</v>
      </c>
      <c r="GO373" s="1098">
        <f t="shared" si="789"/>
        <v>0.875</v>
      </c>
      <c r="GP373" s="1095">
        <f t="shared" si="790"/>
        <v>4694294.098577844</v>
      </c>
      <c r="GQ373" s="1095">
        <f t="shared" si="791"/>
        <v>36394.812181093665</v>
      </c>
      <c r="GR373" s="1095">
        <f t="shared" si="792"/>
        <v>42193.64247497476</v>
      </c>
      <c r="GS373" s="1095">
        <f t="shared" si="793"/>
        <v>54504.734879083517</v>
      </c>
      <c r="GT373" s="1095">
        <f t="shared" si="794"/>
        <v>92952.649452731042</v>
      </c>
      <c r="GU373" s="497"/>
      <c r="GV373" s="1095">
        <f t="shared" si="883"/>
        <v>5364907.5412318222</v>
      </c>
      <c r="GW373" s="1098">
        <f t="shared" si="884"/>
        <v>0.125</v>
      </c>
      <c r="GX373" s="1095">
        <f t="shared" si="885"/>
        <v>670613.44265397778</v>
      </c>
      <c r="GY373" s="1095">
        <f t="shared" si="886"/>
        <v>30000</v>
      </c>
      <c r="GZ373" s="1095">
        <f t="shared" si="887"/>
        <v>640613.44265397778</v>
      </c>
      <c r="HA373" s="1106">
        <f t="shared" si="888"/>
        <v>48</v>
      </c>
      <c r="HB373" s="770">
        <f t="shared" si="889"/>
        <v>13346.113388624537</v>
      </c>
      <c r="HC373" s="1098">
        <f t="shared" si="890"/>
        <v>0.875</v>
      </c>
      <c r="HD373" s="1102">
        <f t="shared" si="891"/>
        <v>4694294.098577844</v>
      </c>
      <c r="HE373" s="1101">
        <f t="shared" si="892"/>
        <v>36394.812181093665</v>
      </c>
      <c r="HF373" s="1101">
        <f t="shared" si="893"/>
        <v>42193.64247497476</v>
      </c>
      <c r="HG373" s="1101">
        <f t="shared" si="894"/>
        <v>54504.734879083517</v>
      </c>
      <c r="HH373" s="1101">
        <f t="shared" si="895"/>
        <v>92952.649452731042</v>
      </c>
      <c r="HI373" s="497"/>
      <c r="HJ373" s="1102">
        <f t="shared" si="896"/>
        <v>-6673.0566943122685</v>
      </c>
      <c r="HL373" s="775"/>
      <c r="HN373" s="775"/>
      <c r="HO373" s="775"/>
      <c r="HQ373" s="702"/>
      <c r="HR373" s="1171"/>
      <c r="HS373" s="702"/>
      <c r="HT373" s="1171"/>
    </row>
    <row r="374" spans="1:228" ht="14.25" hidden="1" customHeight="1">
      <c r="A374" s="753">
        <f t="shared" si="897"/>
        <v>368</v>
      </c>
      <c r="B374" s="753"/>
      <c r="C374" s="753">
        <f t="shared" si="911"/>
        <v>27</v>
      </c>
      <c r="D374" s="753" t="s">
        <v>292</v>
      </c>
      <c r="E374" s="717" t="s">
        <v>297</v>
      </c>
      <c r="F374" s="754"/>
      <c r="G374" s="756" t="s">
        <v>839</v>
      </c>
      <c r="H374" s="756"/>
      <c r="I374" s="755" t="s">
        <v>229</v>
      </c>
      <c r="J374" s="757">
        <v>22</v>
      </c>
      <c r="K374" s="758"/>
      <c r="L374" s="759" t="s">
        <v>277</v>
      </c>
      <c r="M374" s="760" t="s">
        <v>278</v>
      </c>
      <c r="N374" s="761">
        <f t="shared" si="818"/>
        <v>106005.26567735759</v>
      </c>
      <c r="O374" s="762">
        <f t="shared" si="819"/>
        <v>2332115.8449018667</v>
      </c>
      <c r="P374" s="762">
        <f t="shared" si="820"/>
        <v>22400</v>
      </c>
      <c r="Q374" s="762">
        <f t="shared" si="795"/>
        <v>50000</v>
      </c>
      <c r="R374" s="762"/>
      <c r="S374" s="762">
        <f t="shared" si="910"/>
        <v>176000</v>
      </c>
      <c r="T374" s="762"/>
      <c r="U374" s="762"/>
      <c r="V374" s="762"/>
      <c r="W374" s="762">
        <f t="shared" ref="W374:W375" si="932">J374*$W$5</f>
        <v>22000</v>
      </c>
      <c r="X374" s="762"/>
      <c r="Y374" s="762">
        <f t="shared" si="912"/>
        <v>200000</v>
      </c>
      <c r="Z374" s="762">
        <f t="shared" si="796"/>
        <v>142461</v>
      </c>
      <c r="AA374" s="762"/>
      <c r="AB374" s="762"/>
      <c r="AC374" s="762"/>
      <c r="AD374" s="763">
        <f t="shared" si="821"/>
        <v>612861</v>
      </c>
      <c r="AE374" s="763">
        <f t="shared" si="797"/>
        <v>2944976.8449018667</v>
      </c>
      <c r="AF374" s="762">
        <f t="shared" si="798"/>
        <v>73624.421122546672</v>
      </c>
      <c r="AG374" s="762">
        <f t="shared" si="822"/>
        <v>3018601.2660244135</v>
      </c>
      <c r="AH374" s="762">
        <f t="shared" si="799"/>
        <v>75465.031650610341</v>
      </c>
      <c r="AI374" s="762">
        <f t="shared" si="823"/>
        <v>3094066.2976750238</v>
      </c>
      <c r="AJ374" s="762">
        <f t="shared" si="824"/>
        <v>154703.31488375118</v>
      </c>
      <c r="AK374" s="762">
        <f t="shared" si="825"/>
        <v>3248769.6125587751</v>
      </c>
      <c r="AL374" s="762">
        <f t="shared" si="826"/>
        <v>32487.69612558775</v>
      </c>
      <c r="AM374" s="762">
        <f t="shared" si="827"/>
        <v>27537.409960060559</v>
      </c>
      <c r="AN374" s="762"/>
      <c r="AO374" s="763">
        <f t="shared" si="828"/>
        <v>3308794.7186444234</v>
      </c>
      <c r="AP374" s="763">
        <f t="shared" si="829"/>
        <v>545951.12857632991</v>
      </c>
      <c r="AQ374" s="763">
        <f t="shared" si="830"/>
        <v>3854745.8472207533</v>
      </c>
      <c r="AR374" s="1178">
        <f t="shared" si="800"/>
        <v>3000000</v>
      </c>
      <c r="AS374" s="1178">
        <f t="shared" si="831"/>
        <v>38852.083964579695</v>
      </c>
      <c r="AT374" s="1178">
        <f t="shared" si="832"/>
        <v>854745.84722075332</v>
      </c>
      <c r="AU374" s="1178">
        <f t="shared" si="801"/>
        <v>102569.5016664904</v>
      </c>
      <c r="AV374" s="1178">
        <f t="shared" si="833"/>
        <v>957315.34888724377</v>
      </c>
      <c r="AW374" s="1178">
        <f t="shared" si="834"/>
        <v>3957315.3488872438</v>
      </c>
      <c r="AX374" s="762">
        <f t="shared" si="835"/>
        <v>49466.441861090549</v>
      </c>
      <c r="AY374" s="717" t="s">
        <v>231</v>
      </c>
      <c r="AZ374" s="717">
        <f t="shared" si="836"/>
        <v>4006781.7907483345</v>
      </c>
      <c r="BA374" s="717">
        <f t="shared" si="837"/>
        <v>150254.31715306253</v>
      </c>
      <c r="BB374" s="717"/>
      <c r="BC374" s="717">
        <f t="shared" si="802"/>
        <v>33600</v>
      </c>
      <c r="BD374" s="717">
        <f t="shared" si="838"/>
        <v>4190636.1079013972</v>
      </c>
      <c r="BE374" s="717"/>
      <c r="BF374" s="717">
        <f t="shared" si="839"/>
        <v>4190636.1079013972</v>
      </c>
      <c r="BG374" s="1209"/>
      <c r="BH374" s="717">
        <f t="shared" si="840"/>
        <v>4190636.1079013972</v>
      </c>
      <c r="BI374" s="717"/>
      <c r="BJ374" s="717">
        <f t="shared" si="841"/>
        <v>4190636.1079013972</v>
      </c>
      <c r="BK374" s="717"/>
      <c r="BL374" s="717">
        <f t="shared" si="842"/>
        <v>4190636.1079013972</v>
      </c>
      <c r="BM374" s="717"/>
      <c r="BN374" s="717">
        <f t="shared" si="843"/>
        <v>4190636.1079013972</v>
      </c>
      <c r="BO374" s="717"/>
      <c r="BP374" s="717">
        <f t="shared" si="803"/>
        <v>4190636.1079013972</v>
      </c>
      <c r="BQ374" s="717"/>
      <c r="BR374" s="717">
        <f t="shared" si="903"/>
        <v>4190636.1079013972</v>
      </c>
      <c r="BS374" s="717"/>
      <c r="BT374" s="717">
        <f t="shared" si="844"/>
        <v>4190636.1079013972</v>
      </c>
      <c r="BU374" s="717"/>
      <c r="BV374" s="1235">
        <f t="shared" si="904"/>
        <v>51400</v>
      </c>
      <c r="BW374" s="717">
        <f t="shared" si="845"/>
        <v>4242036.1079013972</v>
      </c>
      <c r="BX374" s="717"/>
      <c r="BY374" s="717">
        <f t="shared" si="846"/>
        <v>4242036.1079013972</v>
      </c>
      <c r="BZ374" s="1194">
        <f t="shared" si="847"/>
        <v>4242036.1079013972</v>
      </c>
      <c r="CA374" s="1194">
        <f t="shared" si="848"/>
        <v>3637036.1079013972</v>
      </c>
      <c r="CB374" s="1194">
        <v>27500</v>
      </c>
      <c r="CC374" s="1194">
        <f t="shared" si="849"/>
        <v>605000</v>
      </c>
      <c r="CD374" s="1194">
        <f t="shared" si="850"/>
        <v>72600</v>
      </c>
      <c r="CE374" s="1194">
        <f t="shared" si="851"/>
        <v>677600</v>
      </c>
      <c r="CF374" s="1200">
        <f t="shared" si="852"/>
        <v>4314636.1079013972</v>
      </c>
      <c r="CG374" s="757">
        <f t="shared" si="853"/>
        <v>4314636.1079013972</v>
      </c>
      <c r="CH374" s="758">
        <f t="shared" si="854"/>
        <v>436444.33294816763</v>
      </c>
      <c r="CI374" s="757">
        <f t="shared" si="804"/>
        <v>442250.20105989318</v>
      </c>
      <c r="CJ374" s="757">
        <f t="shared" si="805"/>
        <v>107865.90269753494</v>
      </c>
      <c r="CK374" s="759">
        <f t="shared" si="919"/>
        <v>5301196.544606993</v>
      </c>
      <c r="CL374" s="764">
        <f t="shared" si="855"/>
        <v>0.125</v>
      </c>
      <c r="CM374" s="757">
        <f t="shared" si="856"/>
        <v>662649.56807587412</v>
      </c>
      <c r="CN374" s="757">
        <f t="shared" si="898"/>
        <v>30000</v>
      </c>
      <c r="CO374" s="757">
        <f t="shared" si="857"/>
        <v>632649.56807587412</v>
      </c>
      <c r="CP374" s="755">
        <f t="shared" si="858"/>
        <v>32</v>
      </c>
      <c r="CQ374" s="757">
        <f t="shared" si="901"/>
        <v>19770.299002371066</v>
      </c>
      <c r="CR374" s="764">
        <f t="shared" si="859"/>
        <v>0.875</v>
      </c>
      <c r="CS374" s="757">
        <f t="shared" si="860"/>
        <v>4638546.9765311191</v>
      </c>
      <c r="CT374" s="1101">
        <f t="shared" si="861"/>
        <v>35962.605337227258</v>
      </c>
      <c r="CU374" s="1101">
        <f t="shared" si="862"/>
        <v>41692.571581832191</v>
      </c>
      <c r="CV374" s="1101">
        <f t="shared" si="863"/>
        <v>53857.463522917489</v>
      </c>
      <c r="CW374" s="1141">
        <f t="shared" si="806"/>
        <v>91848.789621030752</v>
      </c>
      <c r="CX374" s="1152">
        <f t="shared" si="864"/>
        <v>376803.91459145263</v>
      </c>
      <c r="CY374" s="1152">
        <f t="shared" si="865"/>
        <v>149099.4734865872</v>
      </c>
      <c r="CZ374" s="1152">
        <f t="shared" si="866"/>
        <v>107692.43797450393</v>
      </c>
      <c r="DA374" s="1152">
        <f t="shared" si="867"/>
        <v>81958.903202376736</v>
      </c>
      <c r="DB374" s="1143">
        <f t="shared" si="807"/>
        <v>0.28491528240691777</v>
      </c>
      <c r="DC374" s="1143">
        <f t="shared" si="868"/>
        <v>0.18630554657621515</v>
      </c>
      <c r="DD374" s="1098" t="s">
        <v>812</v>
      </c>
      <c r="DE374" s="1144"/>
      <c r="DF374" s="705"/>
      <c r="DG374" s="765">
        <f t="shared" si="899"/>
        <v>46082</v>
      </c>
      <c r="DH374" s="1116">
        <f t="shared" si="808"/>
        <v>28</v>
      </c>
      <c r="DI374" s="497"/>
      <c r="DJ374" s="1117">
        <f t="shared" si="869"/>
        <v>46147</v>
      </c>
      <c r="DK374" s="1116">
        <f t="shared" si="870"/>
        <v>30</v>
      </c>
      <c r="DL374" s="766" t="s">
        <v>813</v>
      </c>
      <c r="DM374" s="766" t="s">
        <v>234</v>
      </c>
      <c r="DN374" s="767">
        <f t="shared" si="809"/>
        <v>43514.33404032926</v>
      </c>
      <c r="DO374" s="767">
        <f t="shared" si="810"/>
        <v>957315.34888724377</v>
      </c>
      <c r="DP374" s="768">
        <f t="shared" si="811"/>
        <v>0.31910511629574795</v>
      </c>
      <c r="DR374" s="767">
        <f t="shared" si="812"/>
        <v>4314636.1079013972</v>
      </c>
      <c r="DS374" s="767">
        <f>SUM('[6]INTERNAL PRICELIST'!M374)</f>
        <v>0</v>
      </c>
      <c r="DT374" s="767">
        <f t="shared" si="871"/>
        <v>4314636.1079013972</v>
      </c>
      <c r="DV374" s="951">
        <f t="shared" si="813"/>
        <v>196119.82308642715</v>
      </c>
      <c r="DX374" s="781"/>
      <c r="DY374" s="782"/>
      <c r="DZ374" s="781"/>
      <c r="EA374" s="775"/>
      <c r="ED374" s="755" t="s">
        <v>839</v>
      </c>
      <c r="EE374" s="777" t="b">
        <f t="shared" si="814"/>
        <v>1</v>
      </c>
      <c r="EF374" s="777"/>
      <c r="EG374" s="777"/>
      <c r="EH374" s="1203"/>
      <c r="EP374" s="1230" t="s">
        <v>236</v>
      </c>
      <c r="EQ374" s="1145" t="s">
        <v>236</v>
      </c>
      <c r="ER374" s="823" t="b">
        <f t="shared" si="872"/>
        <v>1</v>
      </c>
      <c r="EU374" s="770">
        <v>3485255.8224007287</v>
      </c>
      <c r="EV374" s="771" t="s">
        <v>258</v>
      </c>
      <c r="EW374" s="775">
        <f t="shared" si="930"/>
        <v>-829380.28550066845</v>
      </c>
      <c r="EY374" s="775">
        <v>3448751.6400652993</v>
      </c>
      <c r="FJ374" s="994">
        <v>0.15</v>
      </c>
      <c r="FK374" s="993">
        <v>15030.576200148069</v>
      </c>
      <c r="FL374" s="993">
        <v>15436.80798934126</v>
      </c>
      <c r="FM374" s="497"/>
      <c r="FN374" s="993">
        <f t="shared" si="815"/>
        <v>5301196.544606993</v>
      </c>
      <c r="FO374" s="994">
        <f t="shared" si="931"/>
        <v>0.15</v>
      </c>
      <c r="FP374" s="775">
        <f t="shared" si="816"/>
        <v>795179.48169104895</v>
      </c>
      <c r="FQ374" s="993">
        <f t="shared" si="817"/>
        <v>30000</v>
      </c>
      <c r="FR374" s="775">
        <f t="shared" si="874"/>
        <v>765179.48169104895</v>
      </c>
      <c r="FS374" s="497">
        <f t="shared" si="875"/>
        <v>40</v>
      </c>
      <c r="FT374" s="775">
        <f t="shared" si="876"/>
        <v>19129.487042276225</v>
      </c>
      <c r="FU374" s="497"/>
      <c r="FV374" s="993">
        <f t="shared" si="877"/>
        <v>5301196.544606993</v>
      </c>
      <c r="FW374" s="705">
        <f t="shared" si="878"/>
        <v>530119.6544606993</v>
      </c>
      <c r="FX374" s="705">
        <f t="shared" si="879"/>
        <v>132529.91361517482</v>
      </c>
      <c r="FY374" s="705">
        <v>15000</v>
      </c>
      <c r="FZ374" s="705">
        <f t="shared" si="880"/>
        <v>515119.6544606993</v>
      </c>
      <c r="GA374" s="497">
        <f t="shared" si="881"/>
        <v>46</v>
      </c>
      <c r="GB374" s="775">
        <f t="shared" si="882"/>
        <v>11198.253357841289</v>
      </c>
      <c r="GC374" s="497"/>
      <c r="GD374" s="497"/>
      <c r="GH374" s="1095">
        <f t="shared" si="782"/>
        <v>5301196.544606993</v>
      </c>
      <c r="GI374" s="1098">
        <f t="shared" si="783"/>
        <v>0.125</v>
      </c>
      <c r="GJ374" s="1095">
        <f t="shared" si="784"/>
        <v>662649.56807587412</v>
      </c>
      <c r="GK374" s="1095">
        <f t="shared" si="785"/>
        <v>30000</v>
      </c>
      <c r="GL374" s="1095">
        <f t="shared" si="786"/>
        <v>632649.56807587412</v>
      </c>
      <c r="GM374" s="1095">
        <f t="shared" si="787"/>
        <v>32</v>
      </c>
      <c r="GN374" s="1095">
        <f t="shared" si="788"/>
        <v>19770.299002371066</v>
      </c>
      <c r="GO374" s="1098">
        <f t="shared" si="789"/>
        <v>0.875</v>
      </c>
      <c r="GP374" s="1095">
        <f t="shared" si="790"/>
        <v>4638546.9765311191</v>
      </c>
      <c r="GQ374" s="1095">
        <f t="shared" si="791"/>
        <v>35962.605337227258</v>
      </c>
      <c r="GR374" s="1095">
        <f t="shared" si="792"/>
        <v>41692.571581832191</v>
      </c>
      <c r="GS374" s="1095">
        <f t="shared" si="793"/>
        <v>53857.463522917489</v>
      </c>
      <c r="GT374" s="1095">
        <f t="shared" si="794"/>
        <v>91848.789621030752</v>
      </c>
      <c r="GU374" s="497"/>
      <c r="GV374" s="1095">
        <f t="shared" si="883"/>
        <v>5301196.544606993</v>
      </c>
      <c r="GW374" s="1098">
        <f t="shared" si="884"/>
        <v>0.125</v>
      </c>
      <c r="GX374" s="1095">
        <f t="shared" si="885"/>
        <v>662649.56807587412</v>
      </c>
      <c r="GY374" s="1095">
        <f t="shared" si="886"/>
        <v>30000</v>
      </c>
      <c r="GZ374" s="1095">
        <f t="shared" si="887"/>
        <v>632649.56807587412</v>
      </c>
      <c r="HA374" s="1106">
        <f t="shared" si="888"/>
        <v>48</v>
      </c>
      <c r="HB374" s="770">
        <f t="shared" si="889"/>
        <v>13180.199334914045</v>
      </c>
      <c r="HC374" s="1098">
        <f t="shared" si="890"/>
        <v>0.875</v>
      </c>
      <c r="HD374" s="1102">
        <f t="shared" si="891"/>
        <v>4638546.9765311191</v>
      </c>
      <c r="HE374" s="1101">
        <f t="shared" si="892"/>
        <v>35962.605337227258</v>
      </c>
      <c r="HF374" s="1101">
        <f t="shared" si="893"/>
        <v>41692.571581832191</v>
      </c>
      <c r="HG374" s="1101">
        <f t="shared" si="894"/>
        <v>53857.463522917489</v>
      </c>
      <c r="HH374" s="1101">
        <f t="shared" si="895"/>
        <v>91848.789621030752</v>
      </c>
      <c r="HI374" s="497"/>
      <c r="HJ374" s="1102">
        <f t="shared" si="896"/>
        <v>-6590.0996674570215</v>
      </c>
      <c r="HL374" s="775"/>
      <c r="HN374" s="775"/>
      <c r="HO374" s="775"/>
      <c r="HQ374" s="702"/>
      <c r="HR374" s="1171"/>
      <c r="HS374" s="702"/>
      <c r="HT374" s="1171"/>
    </row>
    <row r="375" spans="1:228" ht="14.25" hidden="1" customHeight="1">
      <c r="A375" s="753">
        <f t="shared" si="897"/>
        <v>369</v>
      </c>
      <c r="B375" s="753"/>
      <c r="C375" s="753">
        <f t="shared" si="911"/>
        <v>28</v>
      </c>
      <c r="D375" s="753" t="s">
        <v>292</v>
      </c>
      <c r="E375" s="717" t="s">
        <v>297</v>
      </c>
      <c r="F375" s="754"/>
      <c r="G375" s="756" t="s">
        <v>840</v>
      </c>
      <c r="H375" s="756"/>
      <c r="I375" s="755" t="s">
        <v>229</v>
      </c>
      <c r="J375" s="757">
        <v>22</v>
      </c>
      <c r="K375" s="758"/>
      <c r="L375" s="759" t="s">
        <v>277</v>
      </c>
      <c r="M375" s="760" t="s">
        <v>278</v>
      </c>
      <c r="N375" s="761">
        <f t="shared" si="818"/>
        <v>106005.26567735759</v>
      </c>
      <c r="O375" s="762">
        <f t="shared" si="819"/>
        <v>2332115.8449018667</v>
      </c>
      <c r="P375" s="762">
        <f t="shared" si="820"/>
        <v>22400</v>
      </c>
      <c r="Q375" s="762">
        <f t="shared" si="795"/>
        <v>50000</v>
      </c>
      <c r="R375" s="762"/>
      <c r="S375" s="762">
        <f t="shared" si="910"/>
        <v>176000</v>
      </c>
      <c r="T375" s="762"/>
      <c r="U375" s="762"/>
      <c r="V375" s="762"/>
      <c r="W375" s="762">
        <f t="shared" si="932"/>
        <v>22000</v>
      </c>
      <c r="X375" s="762"/>
      <c r="Y375" s="762">
        <f t="shared" si="912"/>
        <v>200000</v>
      </c>
      <c r="Z375" s="762">
        <f t="shared" si="796"/>
        <v>142461</v>
      </c>
      <c r="AA375" s="762"/>
      <c r="AB375" s="762"/>
      <c r="AC375" s="762"/>
      <c r="AD375" s="763">
        <f t="shared" si="821"/>
        <v>612861</v>
      </c>
      <c r="AE375" s="763">
        <f t="shared" si="797"/>
        <v>2944976.8449018667</v>
      </c>
      <c r="AF375" s="762">
        <f t="shared" si="798"/>
        <v>73624.421122546672</v>
      </c>
      <c r="AG375" s="762">
        <f t="shared" si="822"/>
        <v>3018601.2660244135</v>
      </c>
      <c r="AH375" s="762">
        <f t="shared" si="799"/>
        <v>75465.031650610341</v>
      </c>
      <c r="AI375" s="762">
        <f t="shared" si="823"/>
        <v>3094066.2976750238</v>
      </c>
      <c r="AJ375" s="762">
        <f t="shared" si="824"/>
        <v>154703.31488375118</v>
      </c>
      <c r="AK375" s="762">
        <f t="shared" si="825"/>
        <v>3248769.6125587751</v>
      </c>
      <c r="AL375" s="762">
        <f t="shared" si="826"/>
        <v>32487.69612558775</v>
      </c>
      <c r="AM375" s="762">
        <f t="shared" si="827"/>
        <v>27537.409960060559</v>
      </c>
      <c r="AN375" s="762"/>
      <c r="AO375" s="763">
        <f t="shared" si="828"/>
        <v>3308794.7186444234</v>
      </c>
      <c r="AP375" s="763">
        <f t="shared" si="829"/>
        <v>545951.12857632991</v>
      </c>
      <c r="AQ375" s="763">
        <f t="shared" si="830"/>
        <v>3854745.8472207533</v>
      </c>
      <c r="AR375" s="1178">
        <f t="shared" si="800"/>
        <v>3000000</v>
      </c>
      <c r="AS375" s="1178">
        <f t="shared" si="831"/>
        <v>38852.083964579695</v>
      </c>
      <c r="AT375" s="1178">
        <f t="shared" si="832"/>
        <v>854745.84722075332</v>
      </c>
      <c r="AU375" s="1178">
        <f t="shared" si="801"/>
        <v>102569.5016664904</v>
      </c>
      <c r="AV375" s="1178">
        <f t="shared" si="833"/>
        <v>957315.34888724377</v>
      </c>
      <c r="AW375" s="1178">
        <f t="shared" si="834"/>
        <v>3957315.3488872438</v>
      </c>
      <c r="AX375" s="762">
        <f t="shared" si="835"/>
        <v>49466.441861090549</v>
      </c>
      <c r="AY375" s="717" t="s">
        <v>231</v>
      </c>
      <c r="AZ375" s="717">
        <f t="shared" si="836"/>
        <v>4006781.7907483345</v>
      </c>
      <c r="BA375" s="717">
        <f t="shared" si="837"/>
        <v>150254.31715306253</v>
      </c>
      <c r="BB375" s="717"/>
      <c r="BC375" s="717">
        <f t="shared" si="802"/>
        <v>33600</v>
      </c>
      <c r="BD375" s="717">
        <f t="shared" si="838"/>
        <v>4190636.1079013972</v>
      </c>
      <c r="BE375" s="717"/>
      <c r="BF375" s="717">
        <f t="shared" si="839"/>
        <v>4190636.1079013972</v>
      </c>
      <c r="BG375" s="1209"/>
      <c r="BH375" s="717">
        <f t="shared" si="840"/>
        <v>4190636.1079013972</v>
      </c>
      <c r="BI375" s="717"/>
      <c r="BJ375" s="717">
        <f t="shared" si="841"/>
        <v>4190636.1079013972</v>
      </c>
      <c r="BK375" s="717"/>
      <c r="BL375" s="717">
        <f t="shared" si="842"/>
        <v>4190636.1079013972</v>
      </c>
      <c r="BM375" s="717"/>
      <c r="BN375" s="717">
        <f t="shared" si="843"/>
        <v>4190636.1079013972</v>
      </c>
      <c r="BO375" s="717"/>
      <c r="BP375" s="717">
        <f t="shared" si="803"/>
        <v>4190636.1079013972</v>
      </c>
      <c r="BQ375" s="717"/>
      <c r="BR375" s="717">
        <f t="shared" si="903"/>
        <v>4190636.1079013972</v>
      </c>
      <c r="BS375" s="717"/>
      <c r="BT375" s="717">
        <f t="shared" si="844"/>
        <v>4190636.1079013972</v>
      </c>
      <c r="BU375" s="717"/>
      <c r="BV375" s="1235">
        <f t="shared" si="904"/>
        <v>51400</v>
      </c>
      <c r="BW375" s="717">
        <f t="shared" si="845"/>
        <v>4242036.1079013972</v>
      </c>
      <c r="BX375" s="717"/>
      <c r="BY375" s="717">
        <f t="shared" si="846"/>
        <v>4242036.1079013972</v>
      </c>
      <c r="BZ375" s="1194">
        <f t="shared" si="847"/>
        <v>4242036.1079013972</v>
      </c>
      <c r="CA375" s="1194">
        <f t="shared" si="848"/>
        <v>3637036.1079013972</v>
      </c>
      <c r="CB375" s="1194">
        <v>27500</v>
      </c>
      <c r="CC375" s="1194">
        <f t="shared" si="849"/>
        <v>605000</v>
      </c>
      <c r="CD375" s="1194">
        <f t="shared" si="850"/>
        <v>72600</v>
      </c>
      <c r="CE375" s="1194">
        <f t="shared" si="851"/>
        <v>677600</v>
      </c>
      <c r="CF375" s="1200">
        <f t="shared" si="852"/>
        <v>4314636.1079013972</v>
      </c>
      <c r="CG375" s="757">
        <f t="shared" si="853"/>
        <v>4314636.1079013972</v>
      </c>
      <c r="CH375" s="758">
        <f t="shared" si="854"/>
        <v>436444.33294816763</v>
      </c>
      <c r="CI375" s="757">
        <f t="shared" si="804"/>
        <v>442250.20105989318</v>
      </c>
      <c r="CJ375" s="757">
        <f t="shared" si="805"/>
        <v>107865.90269753494</v>
      </c>
      <c r="CK375" s="759">
        <f t="shared" si="919"/>
        <v>5301196.544606993</v>
      </c>
      <c r="CL375" s="764">
        <f t="shared" si="855"/>
        <v>0.125</v>
      </c>
      <c r="CM375" s="757">
        <f t="shared" si="856"/>
        <v>662649.56807587412</v>
      </c>
      <c r="CN375" s="757">
        <f t="shared" si="898"/>
        <v>30000</v>
      </c>
      <c r="CO375" s="757">
        <f t="shared" si="857"/>
        <v>632649.56807587412</v>
      </c>
      <c r="CP375" s="755">
        <f t="shared" si="858"/>
        <v>32</v>
      </c>
      <c r="CQ375" s="757">
        <f t="shared" si="901"/>
        <v>19770.299002371066</v>
      </c>
      <c r="CR375" s="764">
        <f t="shared" si="859"/>
        <v>0.875</v>
      </c>
      <c r="CS375" s="757">
        <f t="shared" si="860"/>
        <v>4638546.9765311191</v>
      </c>
      <c r="CT375" s="1101">
        <f t="shared" si="861"/>
        <v>35962.605337227258</v>
      </c>
      <c r="CU375" s="1101">
        <f t="shared" si="862"/>
        <v>41692.571581832191</v>
      </c>
      <c r="CV375" s="1101">
        <f t="shared" si="863"/>
        <v>53857.463522917489</v>
      </c>
      <c r="CW375" s="1141">
        <f t="shared" si="806"/>
        <v>91848.789621030752</v>
      </c>
      <c r="CX375" s="1152">
        <f t="shared" si="864"/>
        <v>376803.91459145263</v>
      </c>
      <c r="CY375" s="1152">
        <f t="shared" si="865"/>
        <v>149099.4734865872</v>
      </c>
      <c r="CZ375" s="1152">
        <f t="shared" si="866"/>
        <v>107692.43797450393</v>
      </c>
      <c r="DA375" s="1152">
        <f t="shared" si="867"/>
        <v>81958.903202376736</v>
      </c>
      <c r="DB375" s="1143">
        <f t="shared" si="807"/>
        <v>0.28491528240691777</v>
      </c>
      <c r="DC375" s="1143">
        <f t="shared" si="868"/>
        <v>0.18630554657621515</v>
      </c>
      <c r="DD375" s="1098" t="s">
        <v>812</v>
      </c>
      <c r="DE375" s="1144"/>
      <c r="DF375" s="705"/>
      <c r="DG375" s="765">
        <f t="shared" si="899"/>
        <v>46082</v>
      </c>
      <c r="DH375" s="1116">
        <f t="shared" si="808"/>
        <v>28</v>
      </c>
      <c r="DI375" s="497"/>
      <c r="DJ375" s="1117">
        <f t="shared" si="869"/>
        <v>46147</v>
      </c>
      <c r="DK375" s="1116">
        <f t="shared" si="870"/>
        <v>30</v>
      </c>
      <c r="DL375" s="766" t="s">
        <v>813</v>
      </c>
      <c r="DM375" s="766" t="s">
        <v>234</v>
      </c>
      <c r="DN375" s="767">
        <f t="shared" si="809"/>
        <v>43514.33404032926</v>
      </c>
      <c r="DO375" s="767">
        <f t="shared" si="810"/>
        <v>957315.34888724377</v>
      </c>
      <c r="DP375" s="768">
        <f t="shared" si="811"/>
        <v>0.31910511629574795</v>
      </c>
      <c r="DR375" s="767">
        <f t="shared" si="812"/>
        <v>4314636.1079013972</v>
      </c>
      <c r="DS375" s="767">
        <f>SUM('[6]INTERNAL PRICELIST'!M375)</f>
        <v>0</v>
      </c>
      <c r="DT375" s="767">
        <f t="shared" si="871"/>
        <v>4314636.1079013972</v>
      </c>
      <c r="DV375" s="951">
        <f t="shared" si="813"/>
        <v>196119.82308642715</v>
      </c>
      <c r="DX375" s="781"/>
      <c r="DY375" s="782"/>
      <c r="DZ375" s="781"/>
      <c r="EA375" s="775"/>
      <c r="ED375" s="755" t="s">
        <v>840</v>
      </c>
      <c r="EE375" s="777" t="b">
        <f t="shared" si="814"/>
        <v>1</v>
      </c>
      <c r="EF375" s="777"/>
      <c r="EG375" s="777"/>
      <c r="EH375" s="1203"/>
      <c r="EP375" s="1230" t="s">
        <v>236</v>
      </c>
      <c r="EQ375" s="1145" t="s">
        <v>236</v>
      </c>
      <c r="ER375" s="753" t="b">
        <f t="shared" si="872"/>
        <v>1</v>
      </c>
      <c r="EU375" s="770">
        <v>3485255.8224007287</v>
      </c>
      <c r="EV375" s="771" t="s">
        <v>258</v>
      </c>
      <c r="EW375" s="775">
        <f t="shared" si="930"/>
        <v>-829380.28550066845</v>
      </c>
      <c r="EY375" s="775">
        <v>3448751.6400652993</v>
      </c>
      <c r="FJ375" s="994">
        <v>0.15</v>
      </c>
      <c r="FK375" s="993">
        <v>15030.576200148069</v>
      </c>
      <c r="FL375" s="993">
        <v>15436.80798934126</v>
      </c>
      <c r="FM375" s="497"/>
      <c r="FN375" s="993">
        <f t="shared" si="815"/>
        <v>5301196.544606993</v>
      </c>
      <c r="FO375" s="994">
        <f t="shared" si="931"/>
        <v>0.15</v>
      </c>
      <c r="FP375" s="775">
        <f t="shared" si="816"/>
        <v>795179.48169104895</v>
      </c>
      <c r="FQ375" s="993">
        <f t="shared" si="817"/>
        <v>30000</v>
      </c>
      <c r="FR375" s="775">
        <f t="shared" si="874"/>
        <v>765179.48169104895</v>
      </c>
      <c r="FS375" s="497">
        <f t="shared" si="875"/>
        <v>40</v>
      </c>
      <c r="FT375" s="775">
        <f t="shared" si="876"/>
        <v>19129.487042276225</v>
      </c>
      <c r="FU375" s="497"/>
      <c r="FV375" s="993">
        <f t="shared" si="877"/>
        <v>5301196.544606993</v>
      </c>
      <c r="FW375" s="705">
        <f t="shared" si="878"/>
        <v>530119.6544606993</v>
      </c>
      <c r="FX375" s="705">
        <f t="shared" si="879"/>
        <v>132529.91361517482</v>
      </c>
      <c r="FY375" s="705">
        <v>15000</v>
      </c>
      <c r="FZ375" s="705">
        <f t="shared" si="880"/>
        <v>515119.6544606993</v>
      </c>
      <c r="GA375" s="497">
        <f t="shared" si="881"/>
        <v>46</v>
      </c>
      <c r="GB375" s="775">
        <f t="shared" si="882"/>
        <v>11198.253357841289</v>
      </c>
      <c r="GC375" s="497"/>
      <c r="GD375" s="497"/>
      <c r="GH375" s="1095">
        <f t="shared" si="782"/>
        <v>5301196.544606993</v>
      </c>
      <c r="GI375" s="1098">
        <f t="shared" si="783"/>
        <v>0.125</v>
      </c>
      <c r="GJ375" s="1095">
        <f t="shared" si="784"/>
        <v>662649.56807587412</v>
      </c>
      <c r="GK375" s="1095">
        <f t="shared" si="785"/>
        <v>30000</v>
      </c>
      <c r="GL375" s="1095">
        <f t="shared" si="786"/>
        <v>632649.56807587412</v>
      </c>
      <c r="GM375" s="1095">
        <f t="shared" si="787"/>
        <v>32</v>
      </c>
      <c r="GN375" s="1095">
        <f t="shared" si="788"/>
        <v>19770.299002371066</v>
      </c>
      <c r="GO375" s="1098">
        <f t="shared" si="789"/>
        <v>0.875</v>
      </c>
      <c r="GP375" s="1095">
        <f t="shared" si="790"/>
        <v>4638546.9765311191</v>
      </c>
      <c r="GQ375" s="1095">
        <f t="shared" si="791"/>
        <v>35962.605337227258</v>
      </c>
      <c r="GR375" s="1095">
        <f t="shared" si="792"/>
        <v>41692.571581832191</v>
      </c>
      <c r="GS375" s="1095">
        <f t="shared" si="793"/>
        <v>53857.463522917489</v>
      </c>
      <c r="GT375" s="1095">
        <f t="shared" si="794"/>
        <v>91848.789621030752</v>
      </c>
      <c r="GU375" s="497"/>
      <c r="GV375" s="1095">
        <f t="shared" si="883"/>
        <v>5301196.544606993</v>
      </c>
      <c r="GW375" s="1098">
        <f t="shared" si="884"/>
        <v>0.125</v>
      </c>
      <c r="GX375" s="1095">
        <f t="shared" si="885"/>
        <v>662649.56807587412</v>
      </c>
      <c r="GY375" s="1095">
        <f t="shared" si="886"/>
        <v>30000</v>
      </c>
      <c r="GZ375" s="1095">
        <f t="shared" si="887"/>
        <v>632649.56807587412</v>
      </c>
      <c r="HA375" s="1106">
        <f t="shared" si="888"/>
        <v>48</v>
      </c>
      <c r="HB375" s="770">
        <f t="shared" si="889"/>
        <v>13180.199334914045</v>
      </c>
      <c r="HC375" s="1098">
        <f t="shared" si="890"/>
        <v>0.875</v>
      </c>
      <c r="HD375" s="1102">
        <f t="shared" si="891"/>
        <v>4638546.9765311191</v>
      </c>
      <c r="HE375" s="1101">
        <f t="shared" si="892"/>
        <v>35962.605337227258</v>
      </c>
      <c r="HF375" s="1101">
        <f t="shared" si="893"/>
        <v>41692.571581832191</v>
      </c>
      <c r="HG375" s="1101">
        <f t="shared" si="894"/>
        <v>53857.463522917489</v>
      </c>
      <c r="HH375" s="1101">
        <f t="shared" si="895"/>
        <v>91848.789621030752</v>
      </c>
      <c r="HI375" s="497"/>
      <c r="HJ375" s="1102">
        <f t="shared" si="896"/>
        <v>-6590.0996674570215</v>
      </c>
      <c r="HL375" s="775"/>
      <c r="HN375" s="775"/>
      <c r="HO375" s="775"/>
      <c r="HQ375" s="702"/>
      <c r="HR375" s="1171"/>
      <c r="HS375" s="702"/>
      <c r="HT375" s="1171"/>
    </row>
    <row r="376" spans="1:228" ht="14.25" hidden="1" customHeight="1">
      <c r="A376" s="753">
        <f t="shared" si="897"/>
        <v>370</v>
      </c>
      <c r="B376" s="753"/>
      <c r="C376" s="753">
        <f t="shared" si="911"/>
        <v>29</v>
      </c>
      <c r="D376" s="753" t="s">
        <v>292</v>
      </c>
      <c r="E376" s="717" t="s">
        <v>297</v>
      </c>
      <c r="F376" s="754"/>
      <c r="G376" s="756" t="s">
        <v>841</v>
      </c>
      <c r="H376" s="756"/>
      <c r="I376" s="755" t="s">
        <v>229</v>
      </c>
      <c r="J376" s="757">
        <v>22</v>
      </c>
      <c r="K376" s="758"/>
      <c r="L376" s="759" t="s">
        <v>277</v>
      </c>
      <c r="M376" s="760" t="s">
        <v>68</v>
      </c>
      <c r="N376" s="761">
        <f t="shared" si="818"/>
        <v>106005.26567735759</v>
      </c>
      <c r="O376" s="762">
        <f t="shared" si="819"/>
        <v>2332115.8449018667</v>
      </c>
      <c r="P376" s="762">
        <f t="shared" si="820"/>
        <v>22400</v>
      </c>
      <c r="Q376" s="762">
        <f t="shared" si="795"/>
        <v>50000</v>
      </c>
      <c r="R376" s="762"/>
      <c r="S376" s="762">
        <f t="shared" si="910"/>
        <v>176000</v>
      </c>
      <c r="T376" s="762"/>
      <c r="U376" s="762"/>
      <c r="V376" s="762"/>
      <c r="W376" s="762"/>
      <c r="X376" s="762"/>
      <c r="Y376" s="762">
        <f t="shared" si="912"/>
        <v>200000</v>
      </c>
      <c r="Z376" s="762">
        <f t="shared" si="796"/>
        <v>142461</v>
      </c>
      <c r="AA376" s="762"/>
      <c r="AB376" s="762"/>
      <c r="AC376" s="762"/>
      <c r="AD376" s="763">
        <f t="shared" si="821"/>
        <v>590861</v>
      </c>
      <c r="AE376" s="763">
        <f t="shared" si="797"/>
        <v>2922976.8449018667</v>
      </c>
      <c r="AF376" s="762">
        <f t="shared" si="798"/>
        <v>73074.421122546672</v>
      </c>
      <c r="AG376" s="762">
        <f t="shared" si="822"/>
        <v>2996051.2660244135</v>
      </c>
      <c r="AH376" s="762">
        <f t="shared" si="799"/>
        <v>74901.281650610341</v>
      </c>
      <c r="AI376" s="762">
        <f t="shared" si="823"/>
        <v>3070952.5476750238</v>
      </c>
      <c r="AJ376" s="762">
        <f t="shared" si="824"/>
        <v>153547.62738375118</v>
      </c>
      <c r="AK376" s="762">
        <f t="shared" si="825"/>
        <v>3224500.1750587751</v>
      </c>
      <c r="AL376" s="762">
        <f t="shared" si="826"/>
        <v>32245.001750587751</v>
      </c>
      <c r="AM376" s="762">
        <f t="shared" si="827"/>
        <v>27537.409960060559</v>
      </c>
      <c r="AN376" s="762"/>
      <c r="AO376" s="763">
        <f t="shared" si="828"/>
        <v>3284282.5867694234</v>
      </c>
      <c r="AP376" s="763">
        <f t="shared" si="829"/>
        <v>541906.62681695493</v>
      </c>
      <c r="AQ376" s="763">
        <f t="shared" si="830"/>
        <v>3826189.2135863784</v>
      </c>
      <c r="AR376" s="1178">
        <f t="shared" si="800"/>
        <v>3000000</v>
      </c>
      <c r="AS376" s="1178">
        <f t="shared" si="831"/>
        <v>37554.055163017198</v>
      </c>
      <c r="AT376" s="1178">
        <f t="shared" si="832"/>
        <v>826189.21358637838</v>
      </c>
      <c r="AU376" s="1178">
        <f t="shared" si="801"/>
        <v>99142.705630365395</v>
      </c>
      <c r="AV376" s="1178">
        <f t="shared" si="833"/>
        <v>925331.91921674379</v>
      </c>
      <c r="AW376" s="1178">
        <f t="shared" si="834"/>
        <v>3925331.9192167437</v>
      </c>
      <c r="AX376" s="762">
        <f t="shared" si="835"/>
        <v>49066.648990209302</v>
      </c>
      <c r="AY376" s="717" t="s">
        <v>231</v>
      </c>
      <c r="AZ376" s="717">
        <f t="shared" si="836"/>
        <v>3974398.5682069529</v>
      </c>
      <c r="BA376" s="717">
        <f t="shared" si="837"/>
        <v>149039.94630776072</v>
      </c>
      <c r="BB376" s="717"/>
      <c r="BC376" s="717">
        <f t="shared" si="802"/>
        <v>33600</v>
      </c>
      <c r="BD376" s="717">
        <f t="shared" si="838"/>
        <v>4157038.5145147135</v>
      </c>
      <c r="BE376" s="717"/>
      <c r="BF376" s="717">
        <f t="shared" si="839"/>
        <v>4157038.5145147135</v>
      </c>
      <c r="BG376" s="1209"/>
      <c r="BH376" s="717">
        <f t="shared" si="840"/>
        <v>4157038.5145147135</v>
      </c>
      <c r="BI376" s="717"/>
      <c r="BJ376" s="717">
        <f t="shared" si="841"/>
        <v>4157038.5145147135</v>
      </c>
      <c r="BK376" s="717"/>
      <c r="BL376" s="717">
        <f t="shared" si="842"/>
        <v>4157038.5145147135</v>
      </c>
      <c r="BM376" s="717"/>
      <c r="BN376" s="717">
        <f t="shared" si="843"/>
        <v>4157038.5145147135</v>
      </c>
      <c r="BO376" s="717"/>
      <c r="BP376" s="717">
        <f t="shared" si="803"/>
        <v>4157038.5145147135</v>
      </c>
      <c r="BQ376" s="717"/>
      <c r="BR376" s="717">
        <f t="shared" si="903"/>
        <v>4157038.5145147135</v>
      </c>
      <c r="BS376" s="717"/>
      <c r="BT376" s="717">
        <f t="shared" si="844"/>
        <v>4157038.5145147135</v>
      </c>
      <c r="BU376" s="717"/>
      <c r="BV376" s="1235">
        <f t="shared" si="904"/>
        <v>51400</v>
      </c>
      <c r="BW376" s="717">
        <f t="shared" si="845"/>
        <v>4208438.5145147135</v>
      </c>
      <c r="BX376" s="717"/>
      <c r="BY376" s="717">
        <f t="shared" si="846"/>
        <v>4208438.5145147135</v>
      </c>
      <c r="BZ376" s="1194">
        <f t="shared" si="847"/>
        <v>4208438.5145147135</v>
      </c>
      <c r="CA376" s="1194">
        <f t="shared" si="848"/>
        <v>3636438.5145147135</v>
      </c>
      <c r="CB376" s="1194">
        <v>26000</v>
      </c>
      <c r="CC376" s="1194">
        <f t="shared" si="849"/>
        <v>572000</v>
      </c>
      <c r="CD376" s="1194">
        <f t="shared" si="850"/>
        <v>68640</v>
      </c>
      <c r="CE376" s="1194">
        <f t="shared" si="851"/>
        <v>640640</v>
      </c>
      <c r="CF376" s="1200">
        <f t="shared" si="852"/>
        <v>4277078.5145147135</v>
      </c>
      <c r="CG376" s="757">
        <f t="shared" si="853"/>
        <v>4277078.5145147135</v>
      </c>
      <c r="CH376" s="758">
        <f t="shared" si="854"/>
        <v>436372.62174176559</v>
      </c>
      <c r="CI376" s="757">
        <f t="shared" si="804"/>
        <v>438400.54773775814</v>
      </c>
      <c r="CJ376" s="757">
        <f t="shared" si="805"/>
        <v>106926.96286286785</v>
      </c>
      <c r="CK376" s="759">
        <f t="shared" si="919"/>
        <v>5258778.6468571052</v>
      </c>
      <c r="CL376" s="764">
        <f t="shared" si="855"/>
        <v>0.125</v>
      </c>
      <c r="CM376" s="757">
        <f t="shared" si="856"/>
        <v>657347.33085713815</v>
      </c>
      <c r="CN376" s="757">
        <f t="shared" si="898"/>
        <v>30000</v>
      </c>
      <c r="CO376" s="757">
        <f t="shared" si="857"/>
        <v>627347.33085713815</v>
      </c>
      <c r="CP376" s="755">
        <f t="shared" si="858"/>
        <v>32</v>
      </c>
      <c r="CQ376" s="757">
        <f t="shared" si="901"/>
        <v>19604.604089285567</v>
      </c>
      <c r="CR376" s="764">
        <f t="shared" si="859"/>
        <v>0.875</v>
      </c>
      <c r="CS376" s="757">
        <f t="shared" si="860"/>
        <v>4601431.315999967</v>
      </c>
      <c r="CT376" s="1101">
        <f t="shared" si="861"/>
        <v>35674.84801618132</v>
      </c>
      <c r="CU376" s="1101">
        <f t="shared" si="862"/>
        <v>41358.965532064583</v>
      </c>
      <c r="CV376" s="1101">
        <f t="shared" si="863"/>
        <v>53426.519232970808</v>
      </c>
      <c r="CW376" s="1141">
        <f t="shared" si="806"/>
        <v>91113.855057897192</v>
      </c>
      <c r="CX376" s="1152">
        <f t="shared" si="864"/>
        <v>373788.89151384996</v>
      </c>
      <c r="CY376" s="1152">
        <f t="shared" si="865"/>
        <v>147906.44354180046</v>
      </c>
      <c r="CZ376" s="1152">
        <f t="shared" si="866"/>
        <v>106830.72934249975</v>
      </c>
      <c r="DA376" s="1152">
        <f t="shared" si="867"/>
        <v>81303.103262405057</v>
      </c>
      <c r="DB376" s="1143">
        <f t="shared" si="807"/>
        <v>0.27539640452879277</v>
      </c>
      <c r="DC376" s="1143">
        <f t="shared" si="868"/>
        <v>0.17617237234808411</v>
      </c>
      <c r="DD376" s="1098" t="s">
        <v>812</v>
      </c>
      <c r="DE376" s="1144"/>
      <c r="DF376" s="705"/>
      <c r="DG376" s="765">
        <f t="shared" si="899"/>
        <v>46082</v>
      </c>
      <c r="DH376" s="1116">
        <f t="shared" si="808"/>
        <v>28</v>
      </c>
      <c r="DI376" s="497"/>
      <c r="DJ376" s="1117">
        <f t="shared" si="869"/>
        <v>46147</v>
      </c>
      <c r="DK376" s="1116">
        <f t="shared" si="870"/>
        <v>30</v>
      </c>
      <c r="DL376" s="766" t="s">
        <v>813</v>
      </c>
      <c r="DM376" s="766" t="s">
        <v>234</v>
      </c>
      <c r="DN376" s="767">
        <f t="shared" si="809"/>
        <v>42060.541782579261</v>
      </c>
      <c r="DO376" s="767">
        <f t="shared" si="810"/>
        <v>925331.91921674379</v>
      </c>
      <c r="DP376" s="768">
        <f t="shared" si="811"/>
        <v>0.30844397307224791</v>
      </c>
      <c r="DR376" s="767">
        <f t="shared" si="812"/>
        <v>4277078.5145147135</v>
      </c>
      <c r="DS376" s="767">
        <f>SUM('[6]INTERNAL PRICELIST'!M376)</f>
        <v>0</v>
      </c>
      <c r="DT376" s="767">
        <f t="shared" si="871"/>
        <v>4277078.5145147135</v>
      </c>
      <c r="DV376" s="951">
        <f t="shared" si="813"/>
        <v>194412.6597506688</v>
      </c>
      <c r="DX376" s="781"/>
      <c r="DY376" s="782"/>
      <c r="DZ376" s="781"/>
      <c r="EA376" s="775"/>
      <c r="ED376" s="755" t="s">
        <v>841</v>
      </c>
      <c r="EE376" s="777" t="b">
        <f t="shared" si="814"/>
        <v>1</v>
      </c>
      <c r="EF376" s="777"/>
      <c r="EG376" s="777"/>
      <c r="EH376" s="1203"/>
      <c r="EP376" s="1230" t="s">
        <v>236</v>
      </c>
      <c r="EQ376" s="1145" t="s">
        <v>236</v>
      </c>
      <c r="ER376" s="823" t="b">
        <f t="shared" si="872"/>
        <v>1</v>
      </c>
      <c r="EU376" s="770">
        <v>3457426.8674007286</v>
      </c>
      <c r="EV376" s="771" t="s">
        <v>258</v>
      </c>
      <c r="EW376" s="775">
        <f t="shared" si="930"/>
        <v>-819651.64711398492</v>
      </c>
      <c r="EY376" s="775">
        <v>3421168.9389577992</v>
      </c>
      <c r="FJ376" s="994">
        <v>0.15</v>
      </c>
      <c r="FK376" s="993">
        <v>14908.389673312213</v>
      </c>
      <c r="FL376" s="993">
        <v>15311.319123942272</v>
      </c>
      <c r="FM376" s="497"/>
      <c r="FN376" s="993">
        <f t="shared" si="815"/>
        <v>5258778.6468571052</v>
      </c>
      <c r="FO376" s="994">
        <f t="shared" si="931"/>
        <v>0.15</v>
      </c>
      <c r="FP376" s="775">
        <f t="shared" si="816"/>
        <v>788816.79702856578</v>
      </c>
      <c r="FQ376" s="993">
        <f t="shared" si="817"/>
        <v>30000</v>
      </c>
      <c r="FR376" s="775">
        <f t="shared" si="874"/>
        <v>758816.79702856578</v>
      </c>
      <c r="FS376" s="497">
        <f t="shared" si="875"/>
        <v>40</v>
      </c>
      <c r="FT376" s="775">
        <f t="shared" si="876"/>
        <v>18970.419925714144</v>
      </c>
      <c r="FU376" s="497"/>
      <c r="FV376" s="993">
        <f t="shared" si="877"/>
        <v>5258778.6468571052</v>
      </c>
      <c r="FW376" s="705">
        <f t="shared" si="878"/>
        <v>525877.86468571052</v>
      </c>
      <c r="FX376" s="705">
        <f t="shared" si="879"/>
        <v>131469.46617142763</v>
      </c>
      <c r="FY376" s="705">
        <v>15000</v>
      </c>
      <c r="FZ376" s="705">
        <f t="shared" si="880"/>
        <v>510877.86468571052</v>
      </c>
      <c r="GA376" s="497">
        <f t="shared" si="881"/>
        <v>46</v>
      </c>
      <c r="GB376" s="775">
        <f t="shared" si="882"/>
        <v>11106.040536645882</v>
      </c>
      <c r="GC376" s="497"/>
      <c r="GD376" s="497"/>
      <c r="GH376" s="1095">
        <f t="shared" si="782"/>
        <v>5258778.6468571052</v>
      </c>
      <c r="GI376" s="1098">
        <f t="shared" si="783"/>
        <v>0.125</v>
      </c>
      <c r="GJ376" s="1095">
        <f t="shared" si="784"/>
        <v>657347.33085713815</v>
      </c>
      <c r="GK376" s="1095">
        <f t="shared" si="785"/>
        <v>30000</v>
      </c>
      <c r="GL376" s="1095">
        <f t="shared" si="786"/>
        <v>627347.33085713815</v>
      </c>
      <c r="GM376" s="1095">
        <f t="shared" si="787"/>
        <v>32</v>
      </c>
      <c r="GN376" s="1095">
        <f t="shared" si="788"/>
        <v>19604.604089285567</v>
      </c>
      <c r="GO376" s="1098">
        <f t="shared" si="789"/>
        <v>0.875</v>
      </c>
      <c r="GP376" s="1095">
        <f t="shared" si="790"/>
        <v>4601431.315999967</v>
      </c>
      <c r="GQ376" s="1095">
        <f t="shared" si="791"/>
        <v>35674.84801618132</v>
      </c>
      <c r="GR376" s="1095">
        <f t="shared" si="792"/>
        <v>41358.965532064583</v>
      </c>
      <c r="GS376" s="1095">
        <f t="shared" si="793"/>
        <v>53426.519232970808</v>
      </c>
      <c r="GT376" s="1095">
        <f t="shared" si="794"/>
        <v>91113.855057897192</v>
      </c>
      <c r="GU376" s="497"/>
      <c r="GV376" s="1095">
        <f t="shared" si="883"/>
        <v>5258778.6468571052</v>
      </c>
      <c r="GW376" s="1098">
        <f t="shared" si="884"/>
        <v>0.125</v>
      </c>
      <c r="GX376" s="1095">
        <f t="shared" si="885"/>
        <v>657347.33085713815</v>
      </c>
      <c r="GY376" s="1095">
        <f t="shared" si="886"/>
        <v>30000</v>
      </c>
      <c r="GZ376" s="1095">
        <f t="shared" si="887"/>
        <v>627347.33085713815</v>
      </c>
      <c r="HA376" s="1106">
        <f t="shared" si="888"/>
        <v>48</v>
      </c>
      <c r="HB376" s="770">
        <f t="shared" si="889"/>
        <v>13069.736059523711</v>
      </c>
      <c r="HC376" s="1098">
        <f t="shared" si="890"/>
        <v>0.875</v>
      </c>
      <c r="HD376" s="1102">
        <f t="shared" si="891"/>
        <v>4601431.315999967</v>
      </c>
      <c r="HE376" s="1101">
        <f t="shared" si="892"/>
        <v>35674.84801618132</v>
      </c>
      <c r="HF376" s="1101">
        <f t="shared" si="893"/>
        <v>41358.965532064583</v>
      </c>
      <c r="HG376" s="1101">
        <f t="shared" si="894"/>
        <v>53426.519232970808</v>
      </c>
      <c r="HH376" s="1101">
        <f t="shared" si="895"/>
        <v>91113.855057897192</v>
      </c>
      <c r="HI376" s="497"/>
      <c r="HJ376" s="1102">
        <f t="shared" si="896"/>
        <v>-6534.8680297618557</v>
      </c>
      <c r="HL376" s="775"/>
      <c r="HN376" s="775"/>
      <c r="HO376" s="775"/>
      <c r="HQ376" s="702"/>
      <c r="HR376" s="1171"/>
      <c r="HS376" s="702"/>
      <c r="HT376" s="1171"/>
    </row>
    <row r="377" spans="1:228" ht="14.25" hidden="1" customHeight="1">
      <c r="A377" s="753">
        <f t="shared" si="897"/>
        <v>371</v>
      </c>
      <c r="B377" s="753"/>
      <c r="C377" s="753">
        <f t="shared" si="911"/>
        <v>30</v>
      </c>
      <c r="D377" s="753" t="s">
        <v>292</v>
      </c>
      <c r="E377" s="717" t="s">
        <v>297</v>
      </c>
      <c r="F377" s="754"/>
      <c r="G377" s="756" t="s">
        <v>842</v>
      </c>
      <c r="H377" s="756"/>
      <c r="I377" s="755" t="s">
        <v>229</v>
      </c>
      <c r="J377" s="757">
        <v>22</v>
      </c>
      <c r="K377" s="758"/>
      <c r="L377" s="759" t="s">
        <v>277</v>
      </c>
      <c r="M377" s="760" t="s">
        <v>68</v>
      </c>
      <c r="N377" s="761">
        <f t="shared" si="818"/>
        <v>106005.26567735759</v>
      </c>
      <c r="O377" s="762">
        <f t="shared" si="819"/>
        <v>2332115.8449018667</v>
      </c>
      <c r="P377" s="762">
        <f t="shared" si="820"/>
        <v>22400</v>
      </c>
      <c r="Q377" s="762">
        <f t="shared" si="795"/>
        <v>50000</v>
      </c>
      <c r="R377" s="762"/>
      <c r="S377" s="762">
        <f t="shared" si="910"/>
        <v>176000</v>
      </c>
      <c r="T377" s="762"/>
      <c r="U377" s="762"/>
      <c r="V377" s="762"/>
      <c r="W377" s="762"/>
      <c r="X377" s="762"/>
      <c r="Y377" s="762">
        <f t="shared" si="912"/>
        <v>200000</v>
      </c>
      <c r="Z377" s="762">
        <f t="shared" si="796"/>
        <v>142461</v>
      </c>
      <c r="AA377" s="762"/>
      <c r="AB377" s="762"/>
      <c r="AC377" s="762"/>
      <c r="AD377" s="763">
        <f t="shared" si="821"/>
        <v>590861</v>
      </c>
      <c r="AE377" s="763">
        <f t="shared" si="797"/>
        <v>2922976.8449018667</v>
      </c>
      <c r="AF377" s="762">
        <f t="shared" si="798"/>
        <v>73074.421122546672</v>
      </c>
      <c r="AG377" s="762">
        <f t="shared" si="822"/>
        <v>2996051.2660244135</v>
      </c>
      <c r="AH377" s="762">
        <f t="shared" si="799"/>
        <v>74901.281650610341</v>
      </c>
      <c r="AI377" s="762">
        <f t="shared" si="823"/>
        <v>3070952.5476750238</v>
      </c>
      <c r="AJ377" s="762">
        <f t="shared" si="824"/>
        <v>153547.62738375118</v>
      </c>
      <c r="AK377" s="762">
        <f t="shared" si="825"/>
        <v>3224500.1750587751</v>
      </c>
      <c r="AL377" s="762">
        <f t="shared" si="826"/>
        <v>32245.001750587751</v>
      </c>
      <c r="AM377" s="762">
        <f t="shared" si="827"/>
        <v>27537.409960060559</v>
      </c>
      <c r="AN377" s="762"/>
      <c r="AO377" s="763">
        <f t="shared" si="828"/>
        <v>3284282.5867694234</v>
      </c>
      <c r="AP377" s="763">
        <f t="shared" si="829"/>
        <v>541906.62681695493</v>
      </c>
      <c r="AQ377" s="763">
        <f t="shared" si="830"/>
        <v>3826189.2135863784</v>
      </c>
      <c r="AR377" s="1178">
        <f t="shared" si="800"/>
        <v>3000000</v>
      </c>
      <c r="AS377" s="1178">
        <f t="shared" si="831"/>
        <v>37554.055163017198</v>
      </c>
      <c r="AT377" s="1178">
        <f t="shared" si="832"/>
        <v>826189.21358637838</v>
      </c>
      <c r="AU377" s="1178">
        <f t="shared" si="801"/>
        <v>99142.705630365395</v>
      </c>
      <c r="AV377" s="1178">
        <f t="shared" si="833"/>
        <v>925331.91921674379</v>
      </c>
      <c r="AW377" s="1178">
        <f t="shared" si="834"/>
        <v>3925331.9192167437</v>
      </c>
      <c r="AX377" s="762">
        <f t="shared" si="835"/>
        <v>49066.648990209302</v>
      </c>
      <c r="AY377" s="717" t="s">
        <v>231</v>
      </c>
      <c r="AZ377" s="717">
        <f t="shared" si="836"/>
        <v>3974398.5682069529</v>
      </c>
      <c r="BA377" s="717">
        <f t="shared" si="837"/>
        <v>149039.94630776072</v>
      </c>
      <c r="BB377" s="717"/>
      <c r="BC377" s="717">
        <f t="shared" si="802"/>
        <v>33600</v>
      </c>
      <c r="BD377" s="717">
        <f t="shared" si="838"/>
        <v>4157038.5145147135</v>
      </c>
      <c r="BE377" s="717"/>
      <c r="BF377" s="717">
        <f t="shared" si="839"/>
        <v>4157038.5145147135</v>
      </c>
      <c r="BG377" s="1209"/>
      <c r="BH377" s="717">
        <f t="shared" si="840"/>
        <v>4157038.5145147135</v>
      </c>
      <c r="BI377" s="717"/>
      <c r="BJ377" s="717">
        <f t="shared" si="841"/>
        <v>4157038.5145147135</v>
      </c>
      <c r="BK377" s="717"/>
      <c r="BL377" s="717">
        <f t="shared" si="842"/>
        <v>4157038.5145147135</v>
      </c>
      <c r="BM377" s="717"/>
      <c r="BN377" s="717">
        <f t="shared" si="843"/>
        <v>4157038.5145147135</v>
      </c>
      <c r="BO377" s="717"/>
      <c r="BP377" s="717">
        <f t="shared" si="803"/>
        <v>4157038.5145147135</v>
      </c>
      <c r="BQ377" s="717"/>
      <c r="BR377" s="717">
        <f t="shared" si="903"/>
        <v>4157038.5145147135</v>
      </c>
      <c r="BS377" s="717"/>
      <c r="BT377" s="717">
        <f t="shared" si="844"/>
        <v>4157038.5145147135</v>
      </c>
      <c r="BU377" s="717"/>
      <c r="BV377" s="1235">
        <f t="shared" si="904"/>
        <v>51400</v>
      </c>
      <c r="BW377" s="717">
        <f t="shared" si="845"/>
        <v>4208438.5145147135</v>
      </c>
      <c r="BX377" s="717"/>
      <c r="BY377" s="717">
        <f t="shared" si="846"/>
        <v>4208438.5145147135</v>
      </c>
      <c r="BZ377" s="1194">
        <f t="shared" si="847"/>
        <v>4208438.5145147135</v>
      </c>
      <c r="CA377" s="1194">
        <f t="shared" si="848"/>
        <v>3636438.5145147135</v>
      </c>
      <c r="CB377" s="1194">
        <v>26000</v>
      </c>
      <c r="CC377" s="1194">
        <f t="shared" si="849"/>
        <v>572000</v>
      </c>
      <c r="CD377" s="1194">
        <f t="shared" si="850"/>
        <v>68640</v>
      </c>
      <c r="CE377" s="1194">
        <f t="shared" si="851"/>
        <v>640640</v>
      </c>
      <c r="CF377" s="1200">
        <f t="shared" si="852"/>
        <v>4277078.5145147135</v>
      </c>
      <c r="CG377" s="757">
        <f t="shared" si="853"/>
        <v>4277078.5145147135</v>
      </c>
      <c r="CH377" s="758">
        <f t="shared" si="854"/>
        <v>436372.62174176559</v>
      </c>
      <c r="CI377" s="757">
        <f t="shared" si="804"/>
        <v>438400.54773775814</v>
      </c>
      <c r="CJ377" s="757">
        <f t="shared" si="805"/>
        <v>106926.96286286785</v>
      </c>
      <c r="CK377" s="759">
        <f t="shared" si="919"/>
        <v>5258778.6468571052</v>
      </c>
      <c r="CL377" s="764">
        <f t="shared" si="855"/>
        <v>0.125</v>
      </c>
      <c r="CM377" s="757">
        <f t="shared" si="856"/>
        <v>657347.33085713815</v>
      </c>
      <c r="CN377" s="757">
        <f t="shared" si="898"/>
        <v>30000</v>
      </c>
      <c r="CO377" s="757">
        <f t="shared" si="857"/>
        <v>627347.33085713815</v>
      </c>
      <c r="CP377" s="755">
        <f t="shared" si="858"/>
        <v>32</v>
      </c>
      <c r="CQ377" s="757">
        <f t="shared" si="901"/>
        <v>19604.604089285567</v>
      </c>
      <c r="CR377" s="764">
        <f t="shared" si="859"/>
        <v>0.875</v>
      </c>
      <c r="CS377" s="757">
        <f t="shared" si="860"/>
        <v>4601431.315999967</v>
      </c>
      <c r="CT377" s="1101">
        <f t="shared" si="861"/>
        <v>35674.84801618132</v>
      </c>
      <c r="CU377" s="1101">
        <f t="shared" si="862"/>
        <v>41358.965532064583</v>
      </c>
      <c r="CV377" s="1101">
        <f t="shared" si="863"/>
        <v>53426.519232970808</v>
      </c>
      <c r="CW377" s="1141">
        <f t="shared" si="806"/>
        <v>91113.855057897192</v>
      </c>
      <c r="CX377" s="1152">
        <f t="shared" si="864"/>
        <v>373788.89151384996</v>
      </c>
      <c r="CY377" s="1152">
        <f t="shared" si="865"/>
        <v>147906.44354180046</v>
      </c>
      <c r="CZ377" s="1152">
        <f t="shared" si="866"/>
        <v>106830.72934249975</v>
      </c>
      <c r="DA377" s="1152">
        <f t="shared" si="867"/>
        <v>81303.103262405057</v>
      </c>
      <c r="DB377" s="1143">
        <f t="shared" si="807"/>
        <v>0.27539640452879277</v>
      </c>
      <c r="DC377" s="1143">
        <f t="shared" si="868"/>
        <v>0.17617237234808411</v>
      </c>
      <c r="DD377" s="1098" t="s">
        <v>812</v>
      </c>
      <c r="DE377" s="1144"/>
      <c r="DF377" s="705"/>
      <c r="DG377" s="765">
        <f t="shared" si="899"/>
        <v>46082</v>
      </c>
      <c r="DH377" s="1116">
        <f t="shared" si="808"/>
        <v>28</v>
      </c>
      <c r="DI377" s="497"/>
      <c r="DJ377" s="1117">
        <f t="shared" si="869"/>
        <v>46147</v>
      </c>
      <c r="DK377" s="1116">
        <f t="shared" si="870"/>
        <v>30</v>
      </c>
      <c r="DL377" s="766" t="s">
        <v>813</v>
      </c>
      <c r="DM377" s="766" t="s">
        <v>234</v>
      </c>
      <c r="DN377" s="767">
        <f t="shared" si="809"/>
        <v>42060.541782579261</v>
      </c>
      <c r="DO377" s="767">
        <f t="shared" si="810"/>
        <v>925331.91921674379</v>
      </c>
      <c r="DP377" s="768">
        <f t="shared" si="811"/>
        <v>0.30844397307224791</v>
      </c>
      <c r="DR377" s="767">
        <f t="shared" si="812"/>
        <v>4277078.5145147135</v>
      </c>
      <c r="DS377" s="767">
        <f>SUM('[6]INTERNAL PRICELIST'!M377)</f>
        <v>0</v>
      </c>
      <c r="DT377" s="767">
        <f t="shared" si="871"/>
        <v>4277078.5145147135</v>
      </c>
      <c r="DV377" s="951">
        <f t="shared" si="813"/>
        <v>194412.6597506688</v>
      </c>
      <c r="DX377" s="781"/>
      <c r="DY377" s="782"/>
      <c r="DZ377" s="781"/>
      <c r="EA377" s="775"/>
      <c r="ED377" s="755" t="s">
        <v>842</v>
      </c>
      <c r="EE377" s="777" t="b">
        <f t="shared" si="814"/>
        <v>1</v>
      </c>
      <c r="EF377" s="777"/>
      <c r="EG377" s="777"/>
      <c r="EH377" s="1203"/>
      <c r="EP377" s="1230" t="s">
        <v>236</v>
      </c>
      <c r="EQ377" s="1145" t="s">
        <v>236</v>
      </c>
      <c r="ER377" s="753" t="b">
        <f t="shared" si="872"/>
        <v>1</v>
      </c>
      <c r="EU377" s="770">
        <v>3457426.8674007286</v>
      </c>
      <c r="EV377" s="771" t="s">
        <v>258</v>
      </c>
      <c r="EW377" s="775">
        <f t="shared" si="930"/>
        <v>-819651.64711398492</v>
      </c>
      <c r="EY377" s="775">
        <v>3421168.9389577992</v>
      </c>
      <c r="FJ377" s="994">
        <v>0.15</v>
      </c>
      <c r="FK377" s="993">
        <v>14908.389673312213</v>
      </c>
      <c r="FL377" s="993">
        <v>15311.319123942272</v>
      </c>
      <c r="FM377" s="497"/>
      <c r="FN377" s="993">
        <f t="shared" si="815"/>
        <v>5258778.6468571052</v>
      </c>
      <c r="FO377" s="994">
        <f t="shared" si="931"/>
        <v>0.15</v>
      </c>
      <c r="FP377" s="775">
        <f t="shared" si="816"/>
        <v>788816.79702856578</v>
      </c>
      <c r="FQ377" s="993">
        <f t="shared" si="817"/>
        <v>30000</v>
      </c>
      <c r="FR377" s="775">
        <f t="shared" si="874"/>
        <v>758816.79702856578</v>
      </c>
      <c r="FS377" s="497">
        <f t="shared" si="875"/>
        <v>40</v>
      </c>
      <c r="FT377" s="775">
        <f t="shared" si="876"/>
        <v>18970.419925714144</v>
      </c>
      <c r="FU377" s="497"/>
      <c r="FV377" s="993">
        <f t="shared" si="877"/>
        <v>5258778.6468571052</v>
      </c>
      <c r="FW377" s="705">
        <f t="shared" si="878"/>
        <v>525877.86468571052</v>
      </c>
      <c r="FX377" s="705">
        <f t="shared" si="879"/>
        <v>131469.46617142763</v>
      </c>
      <c r="FY377" s="705">
        <v>15000</v>
      </c>
      <c r="FZ377" s="705">
        <f t="shared" si="880"/>
        <v>510877.86468571052</v>
      </c>
      <c r="GA377" s="497">
        <f t="shared" si="881"/>
        <v>46</v>
      </c>
      <c r="GB377" s="775">
        <f t="shared" si="882"/>
        <v>11106.040536645882</v>
      </c>
      <c r="GC377" s="497"/>
      <c r="GD377" s="497"/>
      <c r="GH377" s="1095">
        <f t="shared" si="782"/>
        <v>5258778.6468571052</v>
      </c>
      <c r="GI377" s="1098">
        <f t="shared" si="783"/>
        <v>0.125</v>
      </c>
      <c r="GJ377" s="1095">
        <f t="shared" si="784"/>
        <v>657347.33085713815</v>
      </c>
      <c r="GK377" s="1095">
        <f t="shared" si="785"/>
        <v>30000</v>
      </c>
      <c r="GL377" s="1095">
        <f t="shared" si="786"/>
        <v>627347.33085713815</v>
      </c>
      <c r="GM377" s="1095">
        <f t="shared" si="787"/>
        <v>32</v>
      </c>
      <c r="GN377" s="1095">
        <f t="shared" si="788"/>
        <v>19604.604089285567</v>
      </c>
      <c r="GO377" s="1098">
        <f t="shared" si="789"/>
        <v>0.875</v>
      </c>
      <c r="GP377" s="1095">
        <f t="shared" si="790"/>
        <v>4601431.315999967</v>
      </c>
      <c r="GQ377" s="1095">
        <f t="shared" si="791"/>
        <v>35674.84801618132</v>
      </c>
      <c r="GR377" s="1095">
        <f t="shared" si="792"/>
        <v>41358.965532064583</v>
      </c>
      <c r="GS377" s="1095">
        <f t="shared" si="793"/>
        <v>53426.519232970808</v>
      </c>
      <c r="GT377" s="1095">
        <f t="shared" si="794"/>
        <v>91113.855057897192</v>
      </c>
      <c r="GU377" s="497"/>
      <c r="GV377" s="1095">
        <f t="shared" si="883"/>
        <v>5258778.6468571052</v>
      </c>
      <c r="GW377" s="1098">
        <f t="shared" si="884"/>
        <v>0.125</v>
      </c>
      <c r="GX377" s="1095">
        <f t="shared" si="885"/>
        <v>657347.33085713815</v>
      </c>
      <c r="GY377" s="1095">
        <f t="shared" si="886"/>
        <v>30000</v>
      </c>
      <c r="GZ377" s="1095">
        <f t="shared" si="887"/>
        <v>627347.33085713815</v>
      </c>
      <c r="HA377" s="1106">
        <f t="shared" si="888"/>
        <v>48</v>
      </c>
      <c r="HB377" s="770">
        <f t="shared" si="889"/>
        <v>13069.736059523711</v>
      </c>
      <c r="HC377" s="1098">
        <f t="shared" si="890"/>
        <v>0.875</v>
      </c>
      <c r="HD377" s="1102">
        <f t="shared" si="891"/>
        <v>4601431.315999967</v>
      </c>
      <c r="HE377" s="1101">
        <f t="shared" si="892"/>
        <v>35674.84801618132</v>
      </c>
      <c r="HF377" s="1101">
        <f t="shared" si="893"/>
        <v>41358.965532064583</v>
      </c>
      <c r="HG377" s="1101">
        <f t="shared" si="894"/>
        <v>53426.519232970808</v>
      </c>
      <c r="HH377" s="1101">
        <f t="shared" si="895"/>
        <v>91113.855057897192</v>
      </c>
      <c r="HI377" s="497"/>
      <c r="HJ377" s="1102">
        <f t="shared" si="896"/>
        <v>-6534.8680297618557</v>
      </c>
      <c r="HL377" s="775"/>
      <c r="HN377" s="775"/>
      <c r="HO377" s="775"/>
      <c r="HQ377" s="702"/>
      <c r="HR377" s="1171"/>
      <c r="HS377" s="702"/>
      <c r="HT377" s="1171"/>
    </row>
    <row r="378" spans="1:228" ht="14.25" customHeight="1">
      <c r="A378" s="753">
        <f t="shared" si="897"/>
        <v>372</v>
      </c>
      <c r="B378" s="753"/>
      <c r="C378" s="753">
        <f t="shared" si="911"/>
        <v>31</v>
      </c>
      <c r="D378" s="753" t="s">
        <v>292</v>
      </c>
      <c r="E378" s="717" t="s">
        <v>297</v>
      </c>
      <c r="F378" s="754"/>
      <c r="G378" s="756" t="s">
        <v>843</v>
      </c>
      <c r="H378" s="756"/>
      <c r="I378" s="755" t="s">
        <v>229</v>
      </c>
      <c r="J378" s="757">
        <v>22</v>
      </c>
      <c r="K378" s="758"/>
      <c r="L378" s="759" t="s">
        <v>277</v>
      </c>
      <c r="M378" s="760" t="s">
        <v>278</v>
      </c>
      <c r="N378" s="761">
        <f t="shared" si="818"/>
        <v>106005.26567735759</v>
      </c>
      <c r="O378" s="762">
        <f t="shared" si="819"/>
        <v>2332115.8449018667</v>
      </c>
      <c r="P378" s="762">
        <f t="shared" si="820"/>
        <v>22400</v>
      </c>
      <c r="Q378" s="762">
        <f t="shared" si="795"/>
        <v>50000</v>
      </c>
      <c r="R378" s="762"/>
      <c r="S378" s="762">
        <f t="shared" si="910"/>
        <v>176000</v>
      </c>
      <c r="T378" s="762"/>
      <c r="U378" s="762"/>
      <c r="V378" s="762"/>
      <c r="W378" s="762">
        <f>J378*$W$5</f>
        <v>22000</v>
      </c>
      <c r="X378" s="762"/>
      <c r="Y378" s="762">
        <f t="shared" si="912"/>
        <v>200000</v>
      </c>
      <c r="Z378" s="762">
        <f t="shared" si="796"/>
        <v>142461</v>
      </c>
      <c r="AA378" s="762">
        <v>3500</v>
      </c>
      <c r="AB378" s="762"/>
      <c r="AC378" s="762"/>
      <c r="AD378" s="763">
        <f t="shared" si="821"/>
        <v>616361</v>
      </c>
      <c r="AE378" s="763">
        <f t="shared" si="797"/>
        <v>2948476.8449018667</v>
      </c>
      <c r="AF378" s="762">
        <f t="shared" si="798"/>
        <v>73711.921122546672</v>
      </c>
      <c r="AG378" s="762">
        <f t="shared" si="822"/>
        <v>3022188.7660244135</v>
      </c>
      <c r="AH378" s="762">
        <f t="shared" si="799"/>
        <v>75554.719150610341</v>
      </c>
      <c r="AI378" s="762">
        <f t="shared" si="823"/>
        <v>3097743.4851750238</v>
      </c>
      <c r="AJ378" s="762">
        <f t="shared" si="824"/>
        <v>154887.17425875118</v>
      </c>
      <c r="AK378" s="762">
        <f t="shared" si="825"/>
        <v>3252630.6594337751</v>
      </c>
      <c r="AL378" s="762">
        <f t="shared" si="826"/>
        <v>32526.306594337751</v>
      </c>
      <c r="AM378" s="762">
        <f t="shared" si="827"/>
        <v>27537.409960060559</v>
      </c>
      <c r="AN378" s="762"/>
      <c r="AO378" s="763">
        <f t="shared" si="828"/>
        <v>3312694.3759881733</v>
      </c>
      <c r="AP378" s="763">
        <f t="shared" si="829"/>
        <v>546594.57203804865</v>
      </c>
      <c r="AQ378" s="763">
        <f t="shared" si="830"/>
        <v>3859288.9480262222</v>
      </c>
      <c r="AR378" s="1178">
        <f t="shared" si="800"/>
        <v>3000000</v>
      </c>
      <c r="AS378" s="1178">
        <f t="shared" si="831"/>
        <v>39058.588546646461</v>
      </c>
      <c r="AT378" s="1178">
        <f t="shared" si="832"/>
        <v>859288.94802622218</v>
      </c>
      <c r="AU378" s="1178">
        <f t="shared" si="801"/>
        <v>103114.67376314665</v>
      </c>
      <c r="AV378" s="1178">
        <f t="shared" si="833"/>
        <v>962403.6217893688</v>
      </c>
      <c r="AW378" s="1178">
        <f t="shared" si="834"/>
        <v>3962403.6217893688</v>
      </c>
      <c r="AX378" s="762">
        <f t="shared" si="835"/>
        <v>49530.045272367111</v>
      </c>
      <c r="AY378" s="717">
        <v>7575.3956645161297</v>
      </c>
      <c r="AZ378" s="717">
        <f>AW378+AX378+AY378</f>
        <v>4019509.0627262518</v>
      </c>
      <c r="BA378" s="717">
        <f t="shared" si="837"/>
        <v>150731.58985223444</v>
      </c>
      <c r="BB378" s="717"/>
      <c r="BC378" s="717">
        <f>$BC$5*1.12</f>
        <v>33600</v>
      </c>
      <c r="BD378" s="717">
        <f t="shared" si="838"/>
        <v>4203840.6525784861</v>
      </c>
      <c r="BE378" s="717">
        <v>18367.830916129038</v>
      </c>
      <c r="BF378" s="717">
        <f t="shared" si="839"/>
        <v>4222208.4834946152</v>
      </c>
      <c r="BG378" s="1209"/>
      <c r="BH378" s="717">
        <f t="shared" si="840"/>
        <v>4222208.4834946152</v>
      </c>
      <c r="BI378" s="717">
        <v>718.43902439024396</v>
      </c>
      <c r="BJ378" s="717">
        <f t="shared" si="841"/>
        <v>4222926.9225190058</v>
      </c>
      <c r="BK378" s="717"/>
      <c r="BL378" s="717">
        <f t="shared" si="842"/>
        <v>4222926.9225190058</v>
      </c>
      <c r="BM378" s="717">
        <f>$BM$5/41</f>
        <v>1038.0487804878051</v>
      </c>
      <c r="BN378" s="717">
        <f t="shared" si="843"/>
        <v>4223964.9712994937</v>
      </c>
      <c r="BO378" s="717">
        <f>$BO$5/51</f>
        <v>7289.0781490196077</v>
      </c>
      <c r="BP378" s="717">
        <f>BN378+BO378</f>
        <v>4231254.0494485134</v>
      </c>
      <c r="BQ378" s="717">
        <f>$BQ$5/56</f>
        <v>4468.4242000000004</v>
      </c>
      <c r="BR378" s="717">
        <f>BP378+BQ378</f>
        <v>4235722.4736485137</v>
      </c>
      <c r="BS378" s="1234">
        <f>$BS$5/64</f>
        <v>2651.4786794501206</v>
      </c>
      <c r="BT378" s="1235">
        <f t="shared" si="844"/>
        <v>4238373.9523279639</v>
      </c>
      <c r="BU378" s="1235">
        <f>$BU$5/65</f>
        <v>211.07692307692309</v>
      </c>
      <c r="BV378" s="1235">
        <f t="shared" si="904"/>
        <v>51400</v>
      </c>
      <c r="BW378" s="717">
        <f t="shared" si="845"/>
        <v>4289985.0292510409</v>
      </c>
      <c r="BX378" s="1234">
        <f t="shared" si="908"/>
        <v>27651.078536278128</v>
      </c>
      <c r="BY378" s="717">
        <f t="shared" si="846"/>
        <v>4317636.1077873195</v>
      </c>
      <c r="BZ378" s="1194">
        <f t="shared" si="847"/>
        <v>4317636.1077873195</v>
      </c>
      <c r="CA378" s="1194">
        <f t="shared" si="848"/>
        <v>3437636.1077873195</v>
      </c>
      <c r="CB378" s="1194">
        <f>$CB$5</f>
        <v>40000</v>
      </c>
      <c r="CC378" s="1194">
        <f t="shared" si="849"/>
        <v>880000</v>
      </c>
      <c r="CD378" s="1194">
        <f t="shared" si="850"/>
        <v>105600</v>
      </c>
      <c r="CE378" s="1194">
        <f t="shared" si="851"/>
        <v>985600</v>
      </c>
      <c r="CF378" s="1200">
        <f t="shared" si="852"/>
        <v>4423236.1077873195</v>
      </c>
      <c r="CG378" s="757">
        <f t="shared" si="853"/>
        <v>4423236.1077873195</v>
      </c>
      <c r="CH378" s="758">
        <f t="shared" si="854"/>
        <v>0</v>
      </c>
      <c r="CI378" s="757">
        <f t="shared" si="804"/>
        <v>453381.70104820019</v>
      </c>
      <c r="CJ378" s="757">
        <f t="shared" si="805"/>
        <v>110580.902694683</v>
      </c>
      <c r="CK378" s="759">
        <f t="shared" si="919"/>
        <v>4987198.7115302021</v>
      </c>
      <c r="CL378" s="764">
        <f t="shared" si="855"/>
        <v>0.125</v>
      </c>
      <c r="CM378" s="757">
        <f t="shared" si="856"/>
        <v>623399.83894127526</v>
      </c>
      <c r="CN378" s="757">
        <f t="shared" si="898"/>
        <v>30000</v>
      </c>
      <c r="CO378" s="757">
        <f t="shared" si="857"/>
        <v>593399.83894127526</v>
      </c>
      <c r="CP378" s="755">
        <f t="shared" si="858"/>
        <v>32</v>
      </c>
      <c r="CQ378" s="757">
        <f t="shared" si="901"/>
        <v>18543.744966914852</v>
      </c>
      <c r="CR378" s="764">
        <f t="shared" si="859"/>
        <v>0.875</v>
      </c>
      <c r="CS378" s="757">
        <f t="shared" si="860"/>
        <v>4363798.8725889269</v>
      </c>
      <c r="CT378" s="1101">
        <f t="shared" si="861"/>
        <v>33832.4862117304</v>
      </c>
      <c r="CU378" s="1101">
        <f t="shared" si="862"/>
        <v>39223.057949968759</v>
      </c>
      <c r="CV378" s="1101">
        <f t="shared" si="863"/>
        <v>50667.405071224654</v>
      </c>
      <c r="CW378" s="1141">
        <f t="shared" si="806"/>
        <v>86408.447866286806</v>
      </c>
      <c r="CX378" s="1152">
        <f t="shared" si="864"/>
        <v>354485.25281745504</v>
      </c>
      <c r="CY378" s="1152">
        <f t="shared" si="865"/>
        <v>140268.08774305985</v>
      </c>
      <c r="CZ378" s="1152">
        <f t="shared" si="866"/>
        <v>101313.653132589</v>
      </c>
      <c r="DA378" s="1152">
        <f t="shared" si="867"/>
        <v>77104.354273592471</v>
      </c>
      <c r="DB378" s="1143">
        <f t="shared" si="807"/>
        <v>0.28642964934207404</v>
      </c>
      <c r="DC378" s="1143">
        <f t="shared" si="868"/>
        <v>0.2867086477731916</v>
      </c>
      <c r="DD378" s="1098" t="s">
        <v>812</v>
      </c>
      <c r="DE378" s="1144"/>
      <c r="DF378" s="705"/>
      <c r="DG378" s="765">
        <f t="shared" si="899"/>
        <v>46082</v>
      </c>
      <c r="DH378" s="1116">
        <f t="shared" si="808"/>
        <v>28</v>
      </c>
      <c r="DI378" s="497"/>
      <c r="DJ378" s="1117">
        <f t="shared" si="869"/>
        <v>46147</v>
      </c>
      <c r="DK378" s="1116">
        <f t="shared" si="870"/>
        <v>30</v>
      </c>
      <c r="DL378" s="766" t="s">
        <v>813</v>
      </c>
      <c r="DM378" s="766" t="s">
        <v>234</v>
      </c>
      <c r="DN378" s="767">
        <f t="shared" si="809"/>
        <v>43745.619172244034</v>
      </c>
      <c r="DO378" s="767">
        <f t="shared" si="810"/>
        <v>962403.6217893688</v>
      </c>
      <c r="DP378" s="768">
        <f t="shared" si="811"/>
        <v>0.32080120726312294</v>
      </c>
      <c r="DR378" s="767">
        <f t="shared" si="812"/>
        <v>4423236.1077873195</v>
      </c>
      <c r="DS378" s="767">
        <f>SUM('[6]INTERNAL PRICELIST'!M378)</f>
        <v>0</v>
      </c>
      <c r="DT378" s="767">
        <f t="shared" si="871"/>
        <v>4423236.1077873195</v>
      </c>
      <c r="DV378" s="951">
        <f t="shared" si="813"/>
        <v>201056.18671760542</v>
      </c>
      <c r="DX378" s="781"/>
      <c r="DY378" s="782"/>
      <c r="DZ378" s="781"/>
      <c r="EA378" s="775"/>
      <c r="ED378" s="755" t="s">
        <v>843</v>
      </c>
      <c r="EE378" s="777" t="b">
        <f t="shared" si="814"/>
        <v>1</v>
      </c>
      <c r="EF378" s="777"/>
      <c r="EG378" s="777"/>
      <c r="EH378" s="1203"/>
      <c r="EP378" s="1230" t="s">
        <v>258</v>
      </c>
      <c r="EQ378" s="1145" t="s">
        <v>258</v>
      </c>
      <c r="ER378" s="823" t="b">
        <f t="shared" si="872"/>
        <v>1</v>
      </c>
      <c r="EU378" s="770">
        <v>3485255.8224007287</v>
      </c>
      <c r="EV378" s="771" t="s">
        <v>258</v>
      </c>
      <c r="EW378" s="775">
        <f t="shared" si="930"/>
        <v>-937980.28538659075</v>
      </c>
      <c r="EY378" s="775">
        <v>3448751.6400652993</v>
      </c>
      <c r="FJ378" s="994">
        <v>0.15</v>
      </c>
      <c r="FK378" s="993">
        <v>15030.576200148069</v>
      </c>
      <c r="FL378" s="993">
        <v>15436.80798934126</v>
      </c>
      <c r="FM378" s="497"/>
      <c r="FN378" s="993">
        <f t="shared" si="815"/>
        <v>4987198.7115302021</v>
      </c>
      <c r="FO378" s="994">
        <f t="shared" si="931"/>
        <v>0.15</v>
      </c>
      <c r="FP378" s="775">
        <f t="shared" si="816"/>
        <v>748079.80672953033</v>
      </c>
      <c r="FQ378" s="993">
        <f t="shared" si="817"/>
        <v>30000</v>
      </c>
      <c r="FR378" s="775">
        <f t="shared" si="874"/>
        <v>718079.80672953033</v>
      </c>
      <c r="FS378" s="497">
        <f t="shared" si="875"/>
        <v>40</v>
      </c>
      <c r="FT378" s="775">
        <f t="shared" si="876"/>
        <v>17951.99516823826</v>
      </c>
      <c r="FU378" s="497"/>
      <c r="FV378" s="993">
        <f t="shared" si="877"/>
        <v>4987198.7115302021</v>
      </c>
      <c r="FW378" s="705">
        <f t="shared" si="878"/>
        <v>498719.87115302024</v>
      </c>
      <c r="FX378" s="705">
        <f t="shared" si="879"/>
        <v>124679.96778825506</v>
      </c>
      <c r="FY378" s="705">
        <v>15000</v>
      </c>
      <c r="FZ378" s="705">
        <f t="shared" si="880"/>
        <v>483719.87115302024</v>
      </c>
      <c r="GA378" s="497">
        <f t="shared" si="881"/>
        <v>46</v>
      </c>
      <c r="GB378" s="775">
        <f t="shared" si="882"/>
        <v>10515.649372891745</v>
      </c>
      <c r="GC378" s="497"/>
      <c r="GD378" s="497"/>
      <c r="GH378" s="1095">
        <f t="shared" si="782"/>
        <v>4987198.7115302021</v>
      </c>
      <c r="GI378" s="1098">
        <f t="shared" si="783"/>
        <v>0.125</v>
      </c>
      <c r="GJ378" s="1095">
        <f t="shared" si="784"/>
        <v>623399.83894127526</v>
      </c>
      <c r="GK378" s="1095">
        <f t="shared" si="785"/>
        <v>30000</v>
      </c>
      <c r="GL378" s="1095">
        <f t="shared" si="786"/>
        <v>593399.83894127526</v>
      </c>
      <c r="GM378" s="1095">
        <f t="shared" si="787"/>
        <v>32</v>
      </c>
      <c r="GN378" s="1095">
        <f t="shared" si="788"/>
        <v>18543.744966914852</v>
      </c>
      <c r="GO378" s="1098">
        <f t="shared" si="789"/>
        <v>0.875</v>
      </c>
      <c r="GP378" s="1095">
        <f t="shared" si="790"/>
        <v>4363798.8725889269</v>
      </c>
      <c r="GQ378" s="1095">
        <f t="shared" si="791"/>
        <v>33832.4862117304</v>
      </c>
      <c r="GR378" s="1095">
        <f t="shared" si="792"/>
        <v>39223.057949968759</v>
      </c>
      <c r="GS378" s="1095">
        <f t="shared" si="793"/>
        <v>50667.405071224654</v>
      </c>
      <c r="GT378" s="1095">
        <f t="shared" si="794"/>
        <v>86408.447866286806</v>
      </c>
      <c r="GU378" s="497"/>
      <c r="GV378" s="1095">
        <f t="shared" si="883"/>
        <v>4987198.7115302021</v>
      </c>
      <c r="GW378" s="1098">
        <f t="shared" si="884"/>
        <v>0.125</v>
      </c>
      <c r="GX378" s="1095">
        <f t="shared" si="885"/>
        <v>623399.83894127526</v>
      </c>
      <c r="GY378" s="1095">
        <f t="shared" si="886"/>
        <v>30000</v>
      </c>
      <c r="GZ378" s="1095">
        <f t="shared" si="887"/>
        <v>593399.83894127526</v>
      </c>
      <c r="HA378" s="1106">
        <f t="shared" si="888"/>
        <v>48</v>
      </c>
      <c r="HB378" s="770">
        <f t="shared" si="889"/>
        <v>12362.496644609901</v>
      </c>
      <c r="HC378" s="1098">
        <f t="shared" si="890"/>
        <v>0.875</v>
      </c>
      <c r="HD378" s="1102">
        <f t="shared" si="891"/>
        <v>4363798.8725889269</v>
      </c>
      <c r="HE378" s="1101">
        <f t="shared" si="892"/>
        <v>33832.4862117304</v>
      </c>
      <c r="HF378" s="1101">
        <f t="shared" si="893"/>
        <v>39223.057949968759</v>
      </c>
      <c r="HG378" s="1101">
        <f t="shared" si="894"/>
        <v>50667.405071224654</v>
      </c>
      <c r="HH378" s="1101">
        <f t="shared" si="895"/>
        <v>86408.447866286806</v>
      </c>
      <c r="HI378" s="497"/>
      <c r="HJ378" s="1102">
        <f t="shared" si="896"/>
        <v>-6181.2483223049512</v>
      </c>
      <c r="HL378" s="775"/>
      <c r="HN378" s="775"/>
      <c r="HO378" s="775"/>
      <c r="HQ378" s="702"/>
      <c r="HR378" s="1171"/>
      <c r="HS378" s="702"/>
      <c r="HT378" s="1171"/>
    </row>
    <row r="379" spans="1:228" ht="14.25" hidden="1" customHeight="1" thickBot="1">
      <c r="A379" s="783"/>
      <c r="B379" s="783">
        <f t="shared" ref="B379:M379" si="933">SUM(B7:B183)</f>
        <v>0</v>
      </c>
      <c r="C379" s="783"/>
      <c r="D379" s="783"/>
      <c r="E379" s="783">
        <f t="shared" si="933"/>
        <v>0</v>
      </c>
      <c r="F379" s="783">
        <f t="shared" si="933"/>
        <v>0</v>
      </c>
      <c r="G379" s="784">
        <f t="shared" si="933"/>
        <v>0</v>
      </c>
      <c r="H379" s="783">
        <f t="shared" si="933"/>
        <v>0</v>
      </c>
      <c r="I379" s="784">
        <f t="shared" si="933"/>
        <v>0</v>
      </c>
      <c r="J379" s="784">
        <f>SUM(J7:J378)</f>
        <v>8184</v>
      </c>
      <c r="K379" s="783">
        <f t="shared" si="933"/>
        <v>0</v>
      </c>
      <c r="L379" s="785">
        <f t="shared" si="933"/>
        <v>0</v>
      </c>
      <c r="M379" s="784">
        <f t="shared" si="933"/>
        <v>0</v>
      </c>
      <c r="N379" s="783">
        <f>SUM(N7:N378)</f>
        <v>39433958.831977084</v>
      </c>
      <c r="O379" s="783">
        <f t="shared" ref="O379:DA379" si="934">SUM(O7:O378)</f>
        <v>867547094.30350053</v>
      </c>
      <c r="P379" s="783">
        <f t="shared" si="934"/>
        <v>8332800</v>
      </c>
      <c r="Q379" s="783">
        <f t="shared" si="934"/>
        <v>18600000</v>
      </c>
      <c r="R379" s="783">
        <f t="shared" si="934"/>
        <v>0</v>
      </c>
      <c r="S379" s="783"/>
      <c r="T379" s="783">
        <f t="shared" si="934"/>
        <v>2046000</v>
      </c>
      <c r="U379" s="783">
        <f t="shared" si="934"/>
        <v>0</v>
      </c>
      <c r="V379" s="783">
        <f t="shared" si="934"/>
        <v>2640000</v>
      </c>
      <c r="W379" s="783">
        <f t="shared" si="934"/>
        <v>1584000</v>
      </c>
      <c r="X379" s="783">
        <f t="shared" si="934"/>
        <v>0</v>
      </c>
      <c r="Y379" s="783">
        <f t="shared" si="934"/>
        <v>34100000</v>
      </c>
      <c r="Z379" s="783">
        <f t="shared" si="934"/>
        <v>52995492</v>
      </c>
      <c r="AA379" s="783">
        <f t="shared" si="934"/>
        <v>7275660.4437931124</v>
      </c>
      <c r="AB379" s="783">
        <f t="shared" si="934"/>
        <v>0</v>
      </c>
      <c r="AC379" s="783">
        <f t="shared" si="934"/>
        <v>0</v>
      </c>
      <c r="AD379" s="784">
        <f t="shared" si="934"/>
        <v>133029952.44379321</v>
      </c>
      <c r="AE379" s="784">
        <f t="shared" si="934"/>
        <v>1000577046.747293</v>
      </c>
      <c r="AF379" s="783">
        <f t="shared" si="934"/>
        <v>25014426.168682322</v>
      </c>
      <c r="AG379" s="783">
        <f t="shared" si="934"/>
        <v>1025591472.9159755</v>
      </c>
      <c r="AH379" s="783">
        <f t="shared" si="934"/>
        <v>25639786.822899252</v>
      </c>
      <c r="AI379" s="783">
        <f t="shared" si="934"/>
        <v>1051231259.7388661</v>
      </c>
      <c r="AJ379" s="783">
        <f t="shared" si="934"/>
        <v>52561562.986943528</v>
      </c>
      <c r="AK379" s="783">
        <f t="shared" si="934"/>
        <v>1103792822.7258055</v>
      </c>
      <c r="AL379" s="783">
        <f>SUM(AL7:AL378)</f>
        <v>11752466.83725813</v>
      </c>
      <c r="AM379" s="783">
        <f t="shared" ref="AM379" si="935">SUM(AM7:AM378)</f>
        <v>10243916.505142542</v>
      </c>
      <c r="AN379" s="783"/>
      <c r="AO379" s="784">
        <f t="shared" si="934"/>
        <v>1125789206.068212</v>
      </c>
      <c r="AP379" s="784">
        <f t="shared" si="934"/>
        <v>185755219.00125542</v>
      </c>
      <c r="AQ379" s="784">
        <f t="shared" si="934"/>
        <v>1311544425.0694649</v>
      </c>
      <c r="AR379" s="1179">
        <f t="shared" si="934"/>
        <v>1116000000</v>
      </c>
      <c r="AS379" s="1179">
        <f t="shared" si="934"/>
        <v>8888382.9577030949</v>
      </c>
      <c r="AT379" s="1179">
        <f t="shared" si="934"/>
        <v>195544425.06946814</v>
      </c>
      <c r="AU379" s="1179">
        <f t="shared" si="934"/>
        <v>23465331.008336186</v>
      </c>
      <c r="AV379" s="1179">
        <f t="shared" si="934"/>
        <v>219009756.07780439</v>
      </c>
      <c r="AW379" s="1179">
        <f t="shared" si="934"/>
        <v>1335009756.0778039</v>
      </c>
      <c r="AX379" s="783">
        <f t="shared" si="934"/>
        <v>16687621.950972568</v>
      </c>
      <c r="AY379" s="783">
        <f t="shared" si="934"/>
        <v>234837.26560000007</v>
      </c>
      <c r="AZ379" s="783">
        <f t="shared" si="934"/>
        <v>1351932215.2943804</v>
      </c>
      <c r="BA379" s="783">
        <f t="shared" si="934"/>
        <v>50697458.073539145</v>
      </c>
      <c r="BB379" s="783">
        <f t="shared" si="934"/>
        <v>0</v>
      </c>
      <c r="BC379" s="783">
        <f t="shared" si="934"/>
        <v>12499200</v>
      </c>
      <c r="BD379" s="783">
        <f t="shared" si="934"/>
        <v>1415128873.3679152</v>
      </c>
      <c r="BE379" s="783">
        <f t="shared" si="934"/>
        <v>569402.75840000052</v>
      </c>
      <c r="BF379" s="783">
        <f t="shared" si="934"/>
        <v>1415698276.1263149</v>
      </c>
      <c r="BG379" s="783">
        <f t="shared" si="934"/>
        <v>14728.000000000002</v>
      </c>
      <c r="BH379" s="783">
        <f t="shared" si="934"/>
        <v>1415713004.1263149</v>
      </c>
      <c r="BI379" s="783">
        <f t="shared" si="934"/>
        <v>29456.000000000022</v>
      </c>
      <c r="BJ379" s="783">
        <f t="shared" si="934"/>
        <v>1415742460.1263149</v>
      </c>
      <c r="BK379" s="783">
        <f t="shared" si="934"/>
        <v>0</v>
      </c>
      <c r="BL379" s="783">
        <f t="shared" si="934"/>
        <v>1415742460.1263149</v>
      </c>
      <c r="BM379" s="783">
        <f>SUM(BM7:BM378)</f>
        <v>42560.000000000044</v>
      </c>
      <c r="BN379" s="783"/>
      <c r="BO379" s="783">
        <f>SUM(BO7:BO378)</f>
        <v>371742.98560000001</v>
      </c>
      <c r="BP379" s="783">
        <f>SUM(BP7:BP378)</f>
        <v>1416156763.1119144</v>
      </c>
      <c r="BQ379" s="783">
        <f>SUM(BQ7:BQ378)</f>
        <v>250231.75520000016</v>
      </c>
      <c r="BR379" s="783">
        <f>SUM(BR7:BR378)</f>
        <v>1416406994.8671153</v>
      </c>
      <c r="BS379" s="783">
        <f t="shared" ref="BS379:BV379" si="936">SUM(BS7:BS378)</f>
        <v>169694.63548480775</v>
      </c>
      <c r="BT379" s="783">
        <f t="shared" si="936"/>
        <v>1416576689.5025997</v>
      </c>
      <c r="BU379" s="783">
        <f t="shared" ref="BU379:BY379" si="937">SUM(BU7:BU378)</f>
        <v>13720.000000000013</v>
      </c>
      <c r="BV379" s="783">
        <f t="shared" si="936"/>
        <v>19120800</v>
      </c>
      <c r="BW379" s="783">
        <f t="shared" si="937"/>
        <v>1435711209.5025992</v>
      </c>
      <c r="BX379" s="783">
        <f t="shared" si="937"/>
        <v>1880273.3404669112</v>
      </c>
      <c r="BY379" s="783">
        <f t="shared" si="937"/>
        <v>1437591482.843066</v>
      </c>
      <c r="BZ379" s="1195">
        <f t="shared" si="934"/>
        <v>1437591482.843066</v>
      </c>
      <c r="CA379" s="1195">
        <f t="shared" si="934"/>
        <v>1144606482.8430648</v>
      </c>
      <c r="CB379" s="1195">
        <f t="shared" si="934"/>
        <v>13317500</v>
      </c>
      <c r="CC379" s="1195">
        <f t="shared" si="934"/>
        <v>292985000</v>
      </c>
      <c r="CD379" s="1195">
        <f t="shared" si="934"/>
        <v>35158200</v>
      </c>
      <c r="CE379" s="1195">
        <f t="shared" si="934"/>
        <v>328143200</v>
      </c>
      <c r="CF379" s="1201">
        <f t="shared" si="934"/>
        <v>1472749682.843066</v>
      </c>
      <c r="CG379" s="784">
        <f>SUM(CG7:CG378)</f>
        <v>1472749682.843066</v>
      </c>
      <c r="CH379" s="783"/>
      <c r="CI379" s="784">
        <f t="shared" si="934"/>
        <v>150956842.49141449</v>
      </c>
      <c r="CJ379" s="784">
        <f t="shared" si="934"/>
        <v>36818742.071076617</v>
      </c>
      <c r="CK379" s="784">
        <f t="shared" si="934"/>
        <v>1670997586.0172303</v>
      </c>
      <c r="CL379" s="784"/>
      <c r="CM379" s="784">
        <f t="shared" si="934"/>
        <v>208874698.25215378</v>
      </c>
      <c r="CN379" s="784">
        <f t="shared" si="934"/>
        <v>11160000</v>
      </c>
      <c r="CO379" s="784">
        <f t="shared" si="934"/>
        <v>197714698.25215396</v>
      </c>
      <c r="CP379" s="784"/>
      <c r="CQ379" s="784">
        <f t="shared" si="934"/>
        <v>6699004.8071114589</v>
      </c>
      <c r="CR379" s="785"/>
      <c r="CS379" s="784">
        <f t="shared" si="934"/>
        <v>1462122887.7650785</v>
      </c>
      <c r="CT379" s="784">
        <f t="shared" si="934"/>
        <v>11335823.186282624</v>
      </c>
      <c r="CU379" s="784">
        <f t="shared" si="934"/>
        <v>13141973.869836414</v>
      </c>
      <c r="CV379" s="784">
        <f t="shared" si="934"/>
        <v>16976486.49291461</v>
      </c>
      <c r="CW379" s="784">
        <f t="shared" si="934"/>
        <v>28951785.591025535</v>
      </c>
      <c r="CX379" s="784">
        <f t="shared" si="934"/>
        <v>118772889.55164371</v>
      </c>
      <c r="CY379" s="784">
        <f t="shared" si="934"/>
        <v>46997853.819622524</v>
      </c>
      <c r="CZ379" s="784">
        <f t="shared" si="934"/>
        <v>33945884.174163722</v>
      </c>
      <c r="DA379" s="784">
        <f t="shared" si="934"/>
        <v>25834380.644331537</v>
      </c>
      <c r="DB379" s="786"/>
      <c r="DG379" s="787"/>
      <c r="DH379" s="787"/>
      <c r="DI379" s="497"/>
      <c r="DJ379" s="787"/>
      <c r="DK379" s="788"/>
      <c r="DL379" s="788"/>
      <c r="DM379" s="787"/>
      <c r="DN379" s="788"/>
      <c r="DO379" s="788"/>
      <c r="DP379" s="788"/>
      <c r="DR379" s="789">
        <f>SUM(DR7:DR183)</f>
        <v>683103282.06978381</v>
      </c>
      <c r="DS379" s="789">
        <f>SUM(DS7:DS183)</f>
        <v>412335997</v>
      </c>
      <c r="DT379" s="789">
        <f>SUM(DT7:DT183)</f>
        <v>270767285.06978428</v>
      </c>
      <c r="DV379" s="789"/>
      <c r="FM379" s="497"/>
      <c r="FU379" s="497"/>
      <c r="GC379" s="497"/>
      <c r="GD379" s="497"/>
      <c r="GU379" s="497"/>
      <c r="HI379" s="497"/>
      <c r="HQ379" s="702"/>
      <c r="HR379" s="702"/>
      <c r="HS379" s="702"/>
      <c r="HT379" s="702"/>
    </row>
    <row r="380" spans="1:228" ht="14.25" hidden="1" customHeight="1">
      <c r="G380" s="700"/>
      <c r="H380" s="701"/>
      <c r="I380" s="700"/>
      <c r="AI380" s="790">
        <f>AI379/A378</f>
        <v>2825890.483168995</v>
      </c>
      <c r="AK380" s="791"/>
      <c r="AO380" s="792"/>
      <c r="AP380" s="792"/>
      <c r="AQ380" s="792"/>
      <c r="CL380" s="706"/>
      <c r="CP380" s="700"/>
      <c r="EO380" s="777" t="s">
        <v>844</v>
      </c>
      <c r="EP380" s="425">
        <f>COUNTIF($EP$7:$EP$378,"HOLD (FOR REACTIVATION)")</f>
        <v>0</v>
      </c>
      <c r="FM380" s="497"/>
      <c r="GC380" s="497"/>
      <c r="GD380" s="497"/>
      <c r="HQ380" s="702"/>
      <c r="HR380" s="702"/>
      <c r="HS380" s="702"/>
      <c r="HT380" s="702"/>
    </row>
    <row r="381" spans="1:228" ht="14.25" hidden="1" customHeight="1">
      <c r="A381" s="791" t="s">
        <v>845</v>
      </c>
      <c r="G381" s="700"/>
      <c r="H381" s="701"/>
      <c r="I381" s="700"/>
      <c r="AI381" s="790" t="str">
        <f>AH6</f>
        <v>2ND INCREASE</v>
      </c>
      <c r="AK381" s="793"/>
      <c r="AO381" s="792"/>
      <c r="AP381" s="792"/>
      <c r="AQ381" s="792"/>
      <c r="CL381" s="706"/>
      <c r="CP381" s="700"/>
      <c r="DR381" s="780" t="s">
        <v>846</v>
      </c>
      <c r="DS381" s="780" t="s">
        <v>847</v>
      </c>
      <c r="EO381" s="425" t="s">
        <v>236</v>
      </c>
      <c r="EP381" s="425">
        <f>COUNTIF($EP$7:$EP$378,"SOLD")</f>
        <v>304</v>
      </c>
      <c r="FM381" s="497"/>
      <c r="GC381" s="497"/>
      <c r="GD381" s="497"/>
      <c r="HQ381" s="702"/>
      <c r="HR381" s="702"/>
      <c r="HS381" s="702"/>
      <c r="HT381" s="702"/>
    </row>
    <row r="382" spans="1:228" ht="14.25" hidden="1" customHeight="1">
      <c r="A382" s="794" t="s">
        <v>236</v>
      </c>
      <c r="B382" s="794">
        <f>COUNTIF(B7:B183,"SOLD")</f>
        <v>129</v>
      </c>
      <c r="C382" s="794"/>
      <c r="D382" s="794"/>
      <c r="E382" s="794">
        <f>SUMIFS(CG7:CG183,B7:B183,"SOLD")</f>
        <v>497737579.15872037</v>
      </c>
      <c r="G382" s="700"/>
      <c r="H382" s="701"/>
      <c r="I382" s="700"/>
      <c r="CL382" s="706"/>
      <c r="CP382" s="700"/>
      <c r="DR382" s="795" t="str">
        <f>DR6</f>
        <v>CURRENT PRICE STUDY</v>
      </c>
      <c r="DS382" s="796">
        <f>DS379</f>
        <v>412335997</v>
      </c>
      <c r="EO382" s="425" t="s">
        <v>258</v>
      </c>
      <c r="EP382" s="425">
        <f>COUNTIF(EP7:EP378,"UNSOLD")</f>
        <v>68</v>
      </c>
      <c r="FM382" s="497"/>
      <c r="GC382" s="497"/>
      <c r="GD382" s="497"/>
      <c r="HQ382" s="702"/>
      <c r="HR382" s="702"/>
      <c r="HS382" s="702"/>
      <c r="HT382" s="702"/>
    </row>
    <row r="383" spans="1:228" ht="14.25" hidden="1" customHeight="1">
      <c r="A383" s="794" t="s">
        <v>258</v>
      </c>
      <c r="B383" s="794">
        <f>COUNTIF(B7:B183,"UNSOLD")</f>
        <v>0</v>
      </c>
      <c r="C383" s="794"/>
      <c r="D383" s="794"/>
      <c r="E383" s="794">
        <f>SUMIFS(CG7:CG183,B7:B183,"UNSOLD")</f>
        <v>0</v>
      </c>
      <c r="G383" s="700"/>
      <c r="H383" s="701"/>
      <c r="I383" s="700"/>
      <c r="CG383" s="512"/>
      <c r="CH383" s="710"/>
      <c r="CL383" s="706"/>
      <c r="CP383" s="700"/>
      <c r="DR383" s="797" t="str">
        <f>DS6</f>
        <v>ORIGINAL NSP</v>
      </c>
      <c r="DS383" s="796">
        <f>DR379</f>
        <v>683103282.06978381</v>
      </c>
      <c r="EO383" s="425" t="s">
        <v>848</v>
      </c>
      <c r="EP383" s="425">
        <f>COUNTIF($EP$7:$EP$378,"HOLD (AO)")</f>
        <v>0</v>
      </c>
      <c r="FM383" s="497"/>
      <c r="GC383" s="497"/>
      <c r="GD383" s="497"/>
      <c r="HQ383" s="702"/>
      <c r="HR383" s="702"/>
      <c r="HS383" s="702"/>
      <c r="HT383" s="702"/>
    </row>
    <row r="384" spans="1:228" ht="14.25" hidden="1" customHeight="1" thickBot="1">
      <c r="A384" s="699"/>
      <c r="G384" s="700"/>
      <c r="H384" s="701"/>
      <c r="I384" s="700"/>
      <c r="CG384" s="798">
        <f>SUBTOTAL(9,CG7:CG378)</f>
        <v>275214221.74367386</v>
      </c>
      <c r="CL384" s="706"/>
      <c r="CP384" s="700"/>
      <c r="DR384" s="799" t="s">
        <v>849</v>
      </c>
      <c r="DS384" s="789">
        <f>DS383-DS382</f>
        <v>270767285.06978381</v>
      </c>
      <c r="EO384" s="497" t="s">
        <v>850</v>
      </c>
      <c r="EP384" s="425">
        <f>COUNTIF($EP$7:$EP$378,"HOLD by sir carvin")</f>
        <v>0</v>
      </c>
      <c r="FM384" s="497"/>
      <c r="GC384" s="497"/>
      <c r="GD384" s="497"/>
      <c r="HQ384" s="702"/>
      <c r="HR384" s="702"/>
      <c r="HS384" s="702"/>
      <c r="HT384" s="702"/>
    </row>
    <row r="385" spans="1:228" ht="14.25" hidden="1" customHeight="1">
      <c r="A385" s="699"/>
      <c r="E385" s="800"/>
      <c r="H385" s="701"/>
      <c r="I385" s="700"/>
      <c r="AH385" s="1317" t="s">
        <v>236</v>
      </c>
      <c r="AI385" s="801">
        <v>412711213</v>
      </c>
      <c r="CL385" s="706"/>
      <c r="CP385" s="700"/>
      <c r="EO385" s="425" t="s">
        <v>48</v>
      </c>
      <c r="EP385" s="425">
        <f>SUM(EP380:EP384)</f>
        <v>372</v>
      </c>
      <c r="FM385" s="497"/>
      <c r="GC385" s="497"/>
      <c r="GD385" s="497"/>
      <c r="HQ385" s="702"/>
      <c r="HR385" s="702"/>
      <c r="HS385" s="702"/>
      <c r="HT385" s="702"/>
    </row>
    <row r="386" spans="1:228" ht="14.25" hidden="1" customHeight="1">
      <c r="A386" s="802" t="s">
        <v>851</v>
      </c>
      <c r="B386" s="699"/>
      <c r="C386" s="699"/>
      <c r="D386" s="699"/>
      <c r="E386" s="803"/>
      <c r="F386" s="701"/>
      <c r="G386" s="700"/>
      <c r="AH386" s="1317"/>
      <c r="AI386" s="770">
        <v>177</v>
      </c>
      <c r="CL386" s="706"/>
      <c r="CP386" s="700"/>
      <c r="EP386" s="714">
        <f>372-SUM(EP380:EP384)</f>
        <v>0</v>
      </c>
      <c r="FM386" s="497"/>
      <c r="GC386" s="497"/>
      <c r="GD386" s="497"/>
      <c r="HQ386" s="702"/>
      <c r="HR386" s="702"/>
      <c r="HS386" s="702"/>
      <c r="HT386" s="702"/>
    </row>
    <row r="387" spans="1:228" ht="14.25" hidden="1" customHeight="1">
      <c r="A387" s="804" t="s">
        <v>852</v>
      </c>
      <c r="B387" s="805">
        <v>129</v>
      </c>
      <c r="C387" s="805"/>
      <c r="D387" s="805"/>
      <c r="E387" s="805">
        <v>264746057</v>
      </c>
      <c r="F387" s="806"/>
      <c r="AH387" s="1307" t="s">
        <v>853</v>
      </c>
      <c r="AI387" s="770">
        <f>AI379-AI385</f>
        <v>638520046.73886609</v>
      </c>
      <c r="CL387" s="706"/>
      <c r="CP387" s="700"/>
      <c r="FM387" s="497"/>
      <c r="GC387" s="497"/>
      <c r="GD387" s="497"/>
      <c r="HQ387" s="702"/>
      <c r="HR387" s="702"/>
      <c r="HS387" s="702"/>
      <c r="HT387" s="702"/>
    </row>
    <row r="388" spans="1:228" ht="14.25" hidden="1" customHeight="1">
      <c r="A388" s="794" t="s">
        <v>854</v>
      </c>
      <c r="B388" s="807">
        <v>6</v>
      </c>
      <c r="C388" s="807"/>
      <c r="D388" s="807"/>
      <c r="E388" s="808">
        <v>4017000</v>
      </c>
      <c r="F388" s="806"/>
      <c r="AH388" s="1307"/>
      <c r="AI388" s="770">
        <f>A378-AI386</f>
        <v>195</v>
      </c>
      <c r="CL388" s="706"/>
      <c r="CP388" s="700"/>
      <c r="CT388" s="984" t="s">
        <v>855</v>
      </c>
      <c r="CU388" s="985"/>
      <c r="CV388" s="985"/>
      <c r="CW388" s="985"/>
      <c r="CX388" s="985"/>
      <c r="CY388" s="985"/>
      <c r="CZ388" s="985"/>
      <c r="DA388" s="985"/>
      <c r="FM388" s="497"/>
      <c r="GC388" s="497"/>
      <c r="GD388" s="497"/>
      <c r="HQ388" s="702"/>
      <c r="HR388" s="702"/>
      <c r="HS388" s="702"/>
      <c r="HT388" s="702"/>
    </row>
    <row r="389" spans="1:228" ht="14.25" hidden="1" customHeight="1">
      <c r="A389" s="699"/>
      <c r="E389" s="809"/>
      <c r="AH389" s="705"/>
      <c r="AI389" s="705"/>
      <c r="CL389" s="706"/>
      <c r="CP389" s="700"/>
      <c r="CT389" s="986" t="s">
        <v>856</v>
      </c>
      <c r="CU389" s="983"/>
      <c r="CV389" s="983"/>
      <c r="CW389" s="985"/>
      <c r="CX389" s="985"/>
      <c r="CY389" s="985"/>
      <c r="CZ389" s="985"/>
      <c r="DA389" s="985"/>
      <c r="EX389" s="1136"/>
      <c r="EY389" s="945">
        <v>533860474.3170076</v>
      </c>
      <c r="FM389" s="497"/>
      <c r="GC389" s="497"/>
      <c r="GD389" s="497"/>
      <c r="HQ389" s="702"/>
      <c r="HR389" s="702"/>
      <c r="HS389" s="702"/>
      <c r="HT389" s="702"/>
    </row>
    <row r="390" spans="1:228" ht="12" hidden="1" customHeight="1">
      <c r="A390" s="699"/>
      <c r="E390" s="809"/>
      <c r="AH390" s="810" t="s">
        <v>857</v>
      </c>
      <c r="AI390" s="811">
        <f>AI387/AI388</f>
        <v>3274461.7781480313</v>
      </c>
      <c r="CL390" s="706"/>
      <c r="CP390" s="700"/>
      <c r="CT390" s="987" t="s">
        <v>858</v>
      </c>
      <c r="CU390" s="987" t="s">
        <v>859</v>
      </c>
      <c r="CV390" s="983"/>
      <c r="CW390" s="985"/>
      <c r="CX390" s="985"/>
      <c r="CY390" s="985"/>
      <c r="CZ390" s="985"/>
      <c r="DA390" s="985"/>
      <c r="EX390" s="1136"/>
      <c r="EY390" s="497">
        <v>167</v>
      </c>
      <c r="FM390" s="497"/>
      <c r="GC390" s="497"/>
      <c r="GD390" s="497"/>
      <c r="HQ390" s="702"/>
      <c r="HR390" s="702"/>
      <c r="HS390" s="702"/>
      <c r="HT390" s="702"/>
    </row>
    <row r="391" spans="1:228" ht="14.25" hidden="1" customHeight="1" thickBot="1">
      <c r="A391" s="699"/>
      <c r="E391" s="702"/>
      <c r="CL391" s="706"/>
      <c r="CP391" s="700"/>
      <c r="CT391" s="987" t="s">
        <v>860</v>
      </c>
      <c r="CU391" s="987" t="s">
        <v>861</v>
      </c>
      <c r="CV391" s="983"/>
      <c r="CW391" s="988"/>
      <c r="CX391" s="988"/>
      <c r="CY391" s="988"/>
      <c r="CZ391" s="988"/>
      <c r="DA391" s="988"/>
      <c r="EX391" s="1137"/>
      <c r="EY391" s="705">
        <v>3196769.3072874704</v>
      </c>
      <c r="FM391" s="497"/>
      <c r="GC391" s="497"/>
      <c r="GD391" s="497"/>
      <c r="HQ391" s="702"/>
      <c r="HR391" s="702"/>
      <c r="HS391" s="702"/>
      <c r="HT391" s="702"/>
    </row>
    <row r="392" spans="1:228" ht="39" hidden="1" customHeight="1" thickBot="1">
      <c r="E392" s="809"/>
      <c r="F392" s="806"/>
      <c r="CL392" s="706"/>
      <c r="CP392" s="700"/>
      <c r="CT392" s="1302" t="s">
        <v>862</v>
      </c>
      <c r="CU392" s="1303"/>
      <c r="CV392" s="1303"/>
      <c r="CW392" s="1304"/>
      <c r="CX392" s="1149"/>
      <c r="CY392" s="1149"/>
      <c r="CZ392" s="1149"/>
      <c r="DA392" s="1149"/>
      <c r="EX392" s="1136"/>
      <c r="FM392" s="497"/>
      <c r="GC392" s="497"/>
      <c r="GD392" s="497"/>
      <c r="HQ392" s="702"/>
      <c r="HR392" s="702"/>
      <c r="HS392" s="702"/>
      <c r="HT392" s="702"/>
    </row>
    <row r="393" spans="1:228" ht="14.25" customHeight="1">
      <c r="E393" s="809"/>
      <c r="F393" s="806"/>
      <c r="CL393" s="706"/>
      <c r="CP393" s="700"/>
    </row>
    <row r="394" spans="1:228" ht="14.25" customHeight="1">
      <c r="E394" s="809"/>
      <c r="F394" s="812"/>
      <c r="AO394" s="699"/>
      <c r="AP394" s="699"/>
      <c r="AQ394" s="699"/>
      <c r="CG394" s="699"/>
      <c r="CH394" s="699"/>
      <c r="CI394" s="699"/>
      <c r="CJ394" s="699"/>
      <c r="CK394" s="699"/>
      <c r="CL394" s="706"/>
      <c r="CP394" s="700"/>
    </row>
    <row r="395" spans="1:228" ht="14.25" customHeight="1">
      <c r="E395" s="816"/>
      <c r="F395" s="806"/>
      <c r="AF395" s="705"/>
      <c r="AG395" s="705"/>
      <c r="AH395" s="705"/>
      <c r="AI395" s="705"/>
      <c r="AJ395" s="705"/>
      <c r="AK395" s="705"/>
      <c r="AL395" s="705"/>
      <c r="AM395" s="705"/>
      <c r="AN395" s="705"/>
      <c r="CL395" s="706"/>
      <c r="CP395" s="700"/>
    </row>
    <row r="396" spans="1:228" ht="14.25" customHeight="1">
      <c r="A396" s="699"/>
      <c r="E396" s="702"/>
      <c r="F396" s="813"/>
      <c r="CH396" s="1110">
        <v>0.03</v>
      </c>
      <c r="CJ396" s="1110">
        <v>0.03</v>
      </c>
      <c r="CK396" s="497"/>
      <c r="CL396" s="706"/>
      <c r="CP396" s="700"/>
    </row>
    <row r="397" spans="1:228" ht="14.25" customHeight="1">
      <c r="A397" s="699"/>
      <c r="E397" s="701"/>
      <c r="F397" s="814"/>
      <c r="G397" s="700"/>
      <c r="CG397" s="744" t="s">
        <v>166</v>
      </c>
      <c r="CH397" s="823" t="s">
        <v>130</v>
      </c>
      <c r="CI397" s="751" t="s">
        <v>211</v>
      </c>
      <c r="CJ397" s="823" t="s">
        <v>130</v>
      </c>
      <c r="CK397" s="751" t="s">
        <v>211</v>
      </c>
      <c r="CL397" s="706"/>
      <c r="CP397" s="700"/>
    </row>
    <row r="398" spans="1:228" ht="14.25" customHeight="1">
      <c r="A398" s="708">
        <v>372</v>
      </c>
      <c r="E398" s="701"/>
      <c r="F398" s="806"/>
      <c r="G398" s="700"/>
      <c r="CG398" s="779">
        <v>2969189.725581754</v>
      </c>
      <c r="CH398" s="1108">
        <f t="shared" ref="CH398:CH424" si="938">CG398*$CH$396</f>
        <v>89075.691767452619</v>
      </c>
      <c r="CI398" s="1102">
        <f t="shared" ref="CI398:CI424" si="939">CG398+CH398</f>
        <v>3058265.4173492067</v>
      </c>
      <c r="CJ398" s="1108">
        <f>CI398*$CJ$396</f>
        <v>91747.962520476198</v>
      </c>
      <c r="CK398" s="1102">
        <f t="shared" ref="CK398:CK424" si="940">CI398+CJ398</f>
        <v>3150013.3798696827</v>
      </c>
      <c r="CL398" s="706"/>
      <c r="CP398" s="700"/>
    </row>
    <row r="399" spans="1:228" ht="14.25" customHeight="1">
      <c r="A399" s="815">
        <f>A398-A378</f>
        <v>0</v>
      </c>
      <c r="E399" s="701"/>
      <c r="F399" s="701"/>
      <c r="G399" s="700"/>
      <c r="CG399" s="779">
        <v>2994147.532581754</v>
      </c>
      <c r="CH399" s="1108">
        <f t="shared" si="938"/>
        <v>89824.425977452614</v>
      </c>
      <c r="CI399" s="1102">
        <f t="shared" si="939"/>
        <v>3083971.9585592067</v>
      </c>
      <c r="CJ399" s="1108">
        <f t="shared" ref="CJ399:CJ424" si="941">CI399*$CJ$396</f>
        <v>92519.158756776204</v>
      </c>
      <c r="CK399" s="1102">
        <f t="shared" si="940"/>
        <v>3176491.1173159829</v>
      </c>
      <c r="CL399" s="706"/>
      <c r="CP399" s="700"/>
    </row>
    <row r="400" spans="1:228" ht="14.25" customHeight="1">
      <c r="E400" s="702"/>
      <c r="CG400" s="757">
        <v>3019105.3395817541</v>
      </c>
      <c r="CH400" s="1108">
        <f t="shared" si="938"/>
        <v>90573.160187452624</v>
      </c>
      <c r="CI400" s="1102">
        <f t="shared" si="939"/>
        <v>3109678.4997692066</v>
      </c>
      <c r="CJ400" s="1108">
        <f t="shared" si="941"/>
        <v>93290.354993076195</v>
      </c>
      <c r="CK400" s="1102">
        <f t="shared" si="940"/>
        <v>3202968.8547622827</v>
      </c>
      <c r="CL400" s="706"/>
      <c r="CP400" s="700"/>
    </row>
    <row r="401" spans="5:94" ht="14.25" customHeight="1">
      <c r="E401" s="809"/>
      <c r="CG401" s="757">
        <v>3171347.9622817542</v>
      </c>
      <c r="CH401" s="1108">
        <f t="shared" si="938"/>
        <v>95140.43886845262</v>
      </c>
      <c r="CI401" s="1102">
        <f t="shared" si="939"/>
        <v>3266488.401150207</v>
      </c>
      <c r="CJ401" s="1108">
        <f t="shared" si="941"/>
        <v>97994.652034506202</v>
      </c>
      <c r="CK401" s="1102">
        <f t="shared" si="940"/>
        <v>3364483.0531847132</v>
      </c>
      <c r="CL401" s="706"/>
      <c r="CP401" s="700"/>
    </row>
    <row r="402" spans="5:94" ht="14.25" customHeight="1">
      <c r="E402" s="809"/>
      <c r="CG402" s="757">
        <v>3196305.7692817538</v>
      </c>
      <c r="CH402" s="1108">
        <f t="shared" si="938"/>
        <v>95889.173078452615</v>
      </c>
      <c r="CI402" s="1102">
        <f t="shared" si="939"/>
        <v>3292194.9423602065</v>
      </c>
      <c r="CJ402" s="1108">
        <f t="shared" si="941"/>
        <v>98765.848270806193</v>
      </c>
      <c r="CK402" s="1102">
        <f t="shared" si="940"/>
        <v>3390960.7906310125</v>
      </c>
      <c r="CL402" s="706"/>
      <c r="CP402" s="700"/>
    </row>
    <row r="403" spans="5:94" ht="14.25" customHeight="1">
      <c r="E403" s="809"/>
      <c r="CG403" s="779">
        <v>3168852.1815817538</v>
      </c>
      <c r="CH403" s="1108">
        <f t="shared" si="938"/>
        <v>95065.565447452609</v>
      </c>
      <c r="CI403" s="1102">
        <f t="shared" si="939"/>
        <v>3263917.7470292062</v>
      </c>
      <c r="CJ403" s="1108">
        <f t="shared" si="941"/>
        <v>97917.532410876185</v>
      </c>
      <c r="CK403" s="1102">
        <f t="shared" si="940"/>
        <v>3361835.2794400826</v>
      </c>
      <c r="CL403" s="706"/>
      <c r="CP403" s="700"/>
    </row>
    <row r="404" spans="5:94" ht="14.25" customHeight="1">
      <c r="E404" s="816"/>
      <c r="F404" s="701"/>
      <c r="G404" s="700"/>
      <c r="CG404" s="757">
        <v>3221263.5762817538</v>
      </c>
      <c r="CH404" s="1108">
        <f t="shared" si="938"/>
        <v>96637.90728845261</v>
      </c>
      <c r="CI404" s="1102">
        <f t="shared" si="939"/>
        <v>3317901.4835702064</v>
      </c>
      <c r="CJ404" s="1108">
        <f t="shared" si="941"/>
        <v>99537.044507106184</v>
      </c>
      <c r="CK404" s="1102">
        <f t="shared" si="940"/>
        <v>3417438.5280773127</v>
      </c>
      <c r="CL404" s="706"/>
      <c r="CP404" s="700"/>
    </row>
    <row r="405" spans="5:94" ht="14.25" customHeight="1">
      <c r="E405" s="817"/>
      <c r="F405" s="701"/>
      <c r="G405" s="700"/>
      <c r="CG405" s="757">
        <v>3193809.9885817538</v>
      </c>
      <c r="CH405" s="1108">
        <f t="shared" si="938"/>
        <v>95814.299657452604</v>
      </c>
      <c r="CI405" s="1102">
        <f t="shared" si="939"/>
        <v>3289624.2882392062</v>
      </c>
      <c r="CJ405" s="1108">
        <f t="shared" si="941"/>
        <v>98688.728647176176</v>
      </c>
      <c r="CK405" s="1102">
        <f t="shared" si="940"/>
        <v>3388313.0168863824</v>
      </c>
      <c r="CL405" s="706"/>
      <c r="CP405" s="700"/>
    </row>
    <row r="406" spans="5:94" ht="14.25" customHeight="1">
      <c r="E406" s="817"/>
      <c r="F406" s="701"/>
      <c r="G406" s="700"/>
      <c r="CG406" s="757">
        <v>3193809.9885817538</v>
      </c>
      <c r="CH406" s="1108">
        <f t="shared" si="938"/>
        <v>95814.299657452604</v>
      </c>
      <c r="CI406" s="1102">
        <f t="shared" si="939"/>
        <v>3289624.2882392062</v>
      </c>
      <c r="CJ406" s="1108">
        <f t="shared" si="941"/>
        <v>98688.728647176176</v>
      </c>
      <c r="CK406" s="1102">
        <f t="shared" si="940"/>
        <v>3388313.0168863824</v>
      </c>
      <c r="CL406" s="706"/>
      <c r="CP406" s="700"/>
    </row>
    <row r="407" spans="5:94" ht="14.25" customHeight="1">
      <c r="E407" s="701"/>
      <c r="F407" s="701"/>
      <c r="G407" s="700"/>
      <c r="CG407" s="757">
        <v>3221263.5762817538</v>
      </c>
      <c r="CH407" s="1108">
        <f t="shared" si="938"/>
        <v>96637.90728845261</v>
      </c>
      <c r="CI407" s="1102">
        <f t="shared" si="939"/>
        <v>3317901.4835702064</v>
      </c>
      <c r="CJ407" s="1108">
        <f t="shared" si="941"/>
        <v>99537.044507106184</v>
      </c>
      <c r="CK407" s="1102">
        <f t="shared" si="940"/>
        <v>3417438.5280773127</v>
      </c>
      <c r="CL407" s="706"/>
      <c r="CP407" s="700"/>
    </row>
    <row r="408" spans="5:94" ht="14.25" customHeight="1">
      <c r="E408" s="818"/>
      <c r="CG408" s="757">
        <v>3319313.0808961978</v>
      </c>
      <c r="CH408" s="1108">
        <f t="shared" si="938"/>
        <v>99579.392426885926</v>
      </c>
      <c r="CI408" s="1102">
        <f t="shared" si="939"/>
        <v>3418892.4733230839</v>
      </c>
      <c r="CJ408" s="1108">
        <f t="shared" si="941"/>
        <v>102566.77419969252</v>
      </c>
      <c r="CK408" s="1102">
        <f t="shared" si="940"/>
        <v>3521459.2475227765</v>
      </c>
      <c r="CL408" s="706"/>
      <c r="CP408" s="700"/>
    </row>
    <row r="409" spans="5:94" ht="14.25" customHeight="1">
      <c r="E409" s="818"/>
      <c r="G409" s="700"/>
      <c r="H409" s="701"/>
      <c r="I409" s="700"/>
      <c r="CG409" s="757">
        <v>3319313.0808961978</v>
      </c>
      <c r="CH409" s="1108">
        <f t="shared" si="938"/>
        <v>99579.392426885926</v>
      </c>
      <c r="CI409" s="1102">
        <f t="shared" si="939"/>
        <v>3418892.4733230839</v>
      </c>
      <c r="CJ409" s="1108">
        <f t="shared" si="941"/>
        <v>102566.77419969252</v>
      </c>
      <c r="CK409" s="1102">
        <f t="shared" si="940"/>
        <v>3521459.2475227765</v>
      </c>
      <c r="CL409" s="706"/>
      <c r="CP409" s="700"/>
    </row>
    <row r="410" spans="5:94" ht="14.25" customHeight="1">
      <c r="E410" s="818"/>
      <c r="G410" s="700"/>
      <c r="H410" s="701"/>
      <c r="I410" s="700"/>
      <c r="CG410" s="757">
        <v>3221263.5762817538</v>
      </c>
      <c r="CH410" s="1108">
        <f t="shared" si="938"/>
        <v>96637.90728845261</v>
      </c>
      <c r="CI410" s="1102">
        <f t="shared" si="939"/>
        <v>3317901.4835702064</v>
      </c>
      <c r="CJ410" s="1108">
        <f t="shared" si="941"/>
        <v>99537.044507106184</v>
      </c>
      <c r="CK410" s="1102">
        <f t="shared" si="940"/>
        <v>3417438.5280773127</v>
      </c>
      <c r="CL410" s="706"/>
      <c r="CP410" s="700"/>
    </row>
    <row r="411" spans="5:94" ht="14.25" customHeight="1">
      <c r="E411" s="818"/>
      <c r="G411" s="700"/>
      <c r="H411" s="701"/>
      <c r="I411" s="700"/>
      <c r="CG411" s="757">
        <v>3221263.5762817538</v>
      </c>
      <c r="CH411" s="1108">
        <f t="shared" si="938"/>
        <v>96637.90728845261</v>
      </c>
      <c r="CI411" s="1102">
        <f t="shared" si="939"/>
        <v>3317901.4835702064</v>
      </c>
      <c r="CJ411" s="1108">
        <f t="shared" si="941"/>
        <v>99537.044507106184</v>
      </c>
      <c r="CK411" s="1102">
        <f t="shared" si="940"/>
        <v>3417438.5280773127</v>
      </c>
      <c r="CL411" s="706"/>
      <c r="CP411" s="700"/>
    </row>
    <row r="412" spans="5:94" ht="14.25" customHeight="1">
      <c r="E412" s="818"/>
      <c r="G412" s="700"/>
      <c r="H412" s="701"/>
      <c r="I412" s="700"/>
      <c r="CG412" s="757">
        <v>3193809.9885817538</v>
      </c>
      <c r="CH412" s="1108">
        <f t="shared" si="938"/>
        <v>95814.299657452604</v>
      </c>
      <c r="CI412" s="1102">
        <f t="shared" si="939"/>
        <v>3289624.2882392062</v>
      </c>
      <c r="CJ412" s="1108">
        <f t="shared" si="941"/>
        <v>98688.728647176176</v>
      </c>
      <c r="CK412" s="1102">
        <f t="shared" si="940"/>
        <v>3388313.0168863824</v>
      </c>
      <c r="CL412" s="706"/>
      <c r="CP412" s="700"/>
    </row>
    <row r="413" spans="5:94" ht="14.25" customHeight="1">
      <c r="E413" s="818"/>
      <c r="G413" s="700"/>
      <c r="H413" s="701"/>
      <c r="I413" s="700"/>
      <c r="CG413" s="757">
        <v>3193809.9885817538</v>
      </c>
      <c r="CH413" s="1108">
        <f t="shared" si="938"/>
        <v>95814.299657452604</v>
      </c>
      <c r="CI413" s="1102">
        <f t="shared" si="939"/>
        <v>3289624.2882392062</v>
      </c>
      <c r="CJ413" s="1108">
        <f t="shared" si="941"/>
        <v>98688.728647176176</v>
      </c>
      <c r="CK413" s="1102">
        <f t="shared" si="940"/>
        <v>3388313.0168863824</v>
      </c>
      <c r="CL413" s="706"/>
      <c r="CP413" s="700"/>
    </row>
    <row r="414" spans="5:94" ht="14.25" customHeight="1">
      <c r="E414" s="818"/>
      <c r="G414" s="700"/>
      <c r="H414" s="701"/>
      <c r="I414" s="700"/>
      <c r="CG414" s="757">
        <v>3221263.5762817538</v>
      </c>
      <c r="CH414" s="1108">
        <f t="shared" si="938"/>
        <v>96637.90728845261</v>
      </c>
      <c r="CI414" s="1102">
        <f t="shared" si="939"/>
        <v>3317901.4835702064</v>
      </c>
      <c r="CJ414" s="1108">
        <f t="shared" si="941"/>
        <v>99537.044507106184</v>
      </c>
      <c r="CK414" s="1102">
        <f t="shared" si="940"/>
        <v>3417438.5280773127</v>
      </c>
      <c r="CL414" s="706"/>
      <c r="CP414" s="700"/>
    </row>
    <row r="415" spans="5:94" ht="14.25" customHeight="1">
      <c r="E415" s="818"/>
      <c r="G415" s="700"/>
      <c r="H415" s="701"/>
      <c r="I415" s="700"/>
      <c r="CG415" s="757">
        <v>3465850.0848817541</v>
      </c>
      <c r="CH415" s="1108">
        <f t="shared" si="938"/>
        <v>103975.50254645263</v>
      </c>
      <c r="CI415" s="1102">
        <f t="shared" si="939"/>
        <v>3569825.5874282066</v>
      </c>
      <c r="CJ415" s="1108">
        <f t="shared" si="941"/>
        <v>107094.76762284619</v>
      </c>
      <c r="CK415" s="1102">
        <f t="shared" si="940"/>
        <v>3676920.3550510528</v>
      </c>
      <c r="CL415" s="706"/>
      <c r="CP415" s="700"/>
    </row>
    <row r="416" spans="5:94" ht="14.25" customHeight="1">
      <c r="E416" s="818"/>
      <c r="G416" s="700"/>
      <c r="H416" s="701"/>
      <c r="I416" s="700"/>
      <c r="CG416" s="757">
        <v>3438396.4971817541</v>
      </c>
      <c r="CH416" s="1108">
        <f t="shared" si="938"/>
        <v>103151.89491545262</v>
      </c>
      <c r="CI416" s="1102">
        <f t="shared" si="939"/>
        <v>3541548.3920972068</v>
      </c>
      <c r="CJ416" s="1108">
        <f t="shared" si="941"/>
        <v>106246.4517629162</v>
      </c>
      <c r="CK416" s="1102">
        <f t="shared" si="940"/>
        <v>3647794.8438601228</v>
      </c>
      <c r="CL416" s="706"/>
      <c r="CP416" s="700"/>
    </row>
    <row r="417" spans="5:94" ht="14.25" customHeight="1">
      <c r="E417" s="818"/>
      <c r="G417" s="700"/>
      <c r="H417" s="701"/>
      <c r="I417" s="700"/>
      <c r="CG417" s="757">
        <v>3438396.4971817541</v>
      </c>
      <c r="CH417" s="1108">
        <f t="shared" si="938"/>
        <v>103151.89491545262</v>
      </c>
      <c r="CI417" s="1102">
        <f t="shared" si="939"/>
        <v>3541548.3920972068</v>
      </c>
      <c r="CJ417" s="1108">
        <f t="shared" si="941"/>
        <v>106246.4517629162</v>
      </c>
      <c r="CK417" s="1102">
        <f t="shared" si="940"/>
        <v>3647794.8438601228</v>
      </c>
      <c r="CL417" s="706"/>
      <c r="CP417" s="700"/>
    </row>
    <row r="418" spans="5:94" ht="14.25" customHeight="1">
      <c r="E418" s="818"/>
      <c r="G418" s="700"/>
      <c r="H418" s="701"/>
      <c r="I418" s="700"/>
      <c r="CG418" s="757">
        <v>3438396.4971817541</v>
      </c>
      <c r="CH418" s="1108">
        <f t="shared" si="938"/>
        <v>103151.89491545262</v>
      </c>
      <c r="CI418" s="1102">
        <f t="shared" si="939"/>
        <v>3541548.3920972068</v>
      </c>
      <c r="CJ418" s="1108">
        <f t="shared" si="941"/>
        <v>106246.4517629162</v>
      </c>
      <c r="CK418" s="1102">
        <f t="shared" si="940"/>
        <v>3647794.8438601228</v>
      </c>
      <c r="CL418" s="706"/>
      <c r="CP418" s="700"/>
    </row>
    <row r="419" spans="5:94" ht="14.25" customHeight="1">
      <c r="E419" s="818"/>
      <c r="G419" s="700"/>
      <c r="H419" s="701"/>
      <c r="I419" s="700"/>
      <c r="CG419" s="757">
        <v>3465850.0848817541</v>
      </c>
      <c r="CH419" s="1108">
        <f t="shared" si="938"/>
        <v>103975.50254645263</v>
      </c>
      <c r="CI419" s="1102">
        <f t="shared" si="939"/>
        <v>3569825.5874282066</v>
      </c>
      <c r="CJ419" s="1108">
        <f t="shared" si="941"/>
        <v>107094.76762284619</v>
      </c>
      <c r="CK419" s="1102">
        <f t="shared" si="940"/>
        <v>3676920.3550510528</v>
      </c>
      <c r="CL419" s="706"/>
      <c r="CP419" s="700"/>
    </row>
    <row r="420" spans="5:94" ht="14.25" customHeight="1">
      <c r="E420" s="818"/>
      <c r="G420" s="700"/>
      <c r="H420" s="701"/>
      <c r="I420" s="700"/>
      <c r="CG420" s="757">
        <v>3568092.5010721977</v>
      </c>
      <c r="CH420" s="1108">
        <f t="shared" si="938"/>
        <v>107042.77503216593</v>
      </c>
      <c r="CI420" s="1102">
        <f t="shared" si="939"/>
        <v>3675135.2761043636</v>
      </c>
      <c r="CJ420" s="1108">
        <f t="shared" si="941"/>
        <v>110254.0582831309</v>
      </c>
      <c r="CK420" s="1102">
        <f t="shared" si="940"/>
        <v>3785389.3343874947</v>
      </c>
      <c r="CL420" s="706"/>
      <c r="CP420" s="700"/>
    </row>
    <row r="421" spans="5:94" ht="14.25" customHeight="1">
      <c r="E421" s="818"/>
      <c r="G421" s="700"/>
      <c r="H421" s="701"/>
      <c r="I421" s="700"/>
      <c r="CG421" s="757">
        <v>3465850.0848817541</v>
      </c>
      <c r="CH421" s="1108">
        <f t="shared" si="938"/>
        <v>103975.50254645263</v>
      </c>
      <c r="CI421" s="1102">
        <f t="shared" si="939"/>
        <v>3569825.5874282066</v>
      </c>
      <c r="CJ421" s="1108">
        <f t="shared" si="941"/>
        <v>107094.76762284619</v>
      </c>
      <c r="CK421" s="1102">
        <f t="shared" si="940"/>
        <v>3676920.3550510528</v>
      </c>
      <c r="CL421" s="706"/>
      <c r="CP421" s="700"/>
    </row>
    <row r="422" spans="5:94" ht="14.25" customHeight="1">
      <c r="E422" s="818"/>
      <c r="G422" s="700"/>
      <c r="H422" s="701"/>
      <c r="I422" s="700"/>
      <c r="CG422" s="757">
        <v>3438396.4971817541</v>
      </c>
      <c r="CH422" s="1108">
        <f t="shared" si="938"/>
        <v>103151.89491545262</v>
      </c>
      <c r="CI422" s="1102">
        <f t="shared" si="939"/>
        <v>3541548.3920972068</v>
      </c>
      <c r="CJ422" s="1108">
        <f t="shared" si="941"/>
        <v>106246.4517629162</v>
      </c>
      <c r="CK422" s="1102">
        <f t="shared" si="940"/>
        <v>3647794.8438601228</v>
      </c>
      <c r="CL422" s="706"/>
      <c r="CP422" s="700"/>
    </row>
    <row r="423" spans="5:94" ht="14.25" customHeight="1">
      <c r="E423" s="818"/>
      <c r="G423" s="700"/>
      <c r="H423" s="701"/>
      <c r="I423" s="700"/>
      <c r="CG423" s="757">
        <v>3438396.4971817541</v>
      </c>
      <c r="CH423" s="1108">
        <f t="shared" si="938"/>
        <v>103151.89491545262</v>
      </c>
      <c r="CI423" s="1102">
        <f t="shared" si="939"/>
        <v>3541548.3920972068</v>
      </c>
      <c r="CJ423" s="1108">
        <f t="shared" si="941"/>
        <v>106246.4517629162</v>
      </c>
      <c r="CK423" s="1102">
        <f t="shared" si="940"/>
        <v>3647794.8438601228</v>
      </c>
      <c r="CL423" s="706"/>
      <c r="CP423" s="700"/>
    </row>
    <row r="424" spans="5:94" ht="14.25" customHeight="1">
      <c r="E424" s="818"/>
      <c r="G424" s="700"/>
      <c r="H424" s="701"/>
      <c r="I424" s="700"/>
      <c r="CG424" s="757">
        <v>3465850.0848817541</v>
      </c>
      <c r="CH424" s="1108">
        <f t="shared" si="938"/>
        <v>103975.50254645263</v>
      </c>
      <c r="CI424" s="1102">
        <f t="shared" si="939"/>
        <v>3569825.5874282066</v>
      </c>
      <c r="CJ424" s="1108">
        <f t="shared" si="941"/>
        <v>107094.76762284619</v>
      </c>
      <c r="CK424" s="1102">
        <f t="shared" si="940"/>
        <v>3676920.3550510528</v>
      </c>
      <c r="CL424" s="706"/>
      <c r="CP424" s="700"/>
    </row>
    <row r="425" spans="5:94" ht="14.25" customHeight="1" thickBot="1">
      <c r="E425" s="818"/>
      <c r="G425" s="700"/>
      <c r="H425" s="701"/>
      <c r="I425" s="700"/>
      <c r="CG425" s="1109">
        <f>SUM(CG398:CG424)</f>
        <v>88662607.834926695</v>
      </c>
      <c r="CH425" s="1109">
        <f>SUM(CH398:CH424)</f>
        <v>2659878.2350478005</v>
      </c>
      <c r="CI425" s="1109">
        <f>SUM(CI398:CI424)</f>
        <v>91322486.069974482</v>
      </c>
      <c r="CJ425" s="1109">
        <f>SUM(CJ398:CJ424)</f>
        <v>2739674.5820992352</v>
      </c>
      <c r="CK425" s="1109">
        <f>SUM(CK398:CK424)</f>
        <v>94062160.652073726</v>
      </c>
      <c r="CL425" s="706"/>
      <c r="CP425" s="700"/>
    </row>
    <row r="426" spans="5:94" ht="14.25" customHeight="1">
      <c r="E426" s="818"/>
      <c r="G426" s="700"/>
      <c r="H426" s="701"/>
      <c r="I426" s="700"/>
      <c r="CL426" s="706"/>
      <c r="CP426" s="700"/>
    </row>
    <row r="427" spans="5:94" ht="14.25" customHeight="1">
      <c r="E427" s="818"/>
      <c r="G427" s="700"/>
      <c r="H427" s="701"/>
      <c r="I427" s="700"/>
      <c r="CL427" s="706"/>
      <c r="CP427" s="700"/>
    </row>
    <row r="428" spans="5:94" ht="14.25" customHeight="1">
      <c r="E428" s="818"/>
      <c r="G428" s="700"/>
      <c r="H428" s="701"/>
      <c r="I428" s="700"/>
      <c r="CL428" s="706"/>
      <c r="CP428" s="700"/>
    </row>
    <row r="429" spans="5:94" ht="14.25" customHeight="1">
      <c r="G429" s="700"/>
      <c r="H429" s="701"/>
      <c r="I429" s="700"/>
      <c r="L429" s="520" t="s">
        <v>863</v>
      </c>
      <c r="M429" s="512" t="s">
        <v>258</v>
      </c>
      <c r="CH429" s="814" t="s">
        <v>864</v>
      </c>
      <c r="CL429" s="706"/>
      <c r="CP429" s="700"/>
    </row>
    <row r="430" spans="5:94" ht="14.25" customHeight="1">
      <c r="G430" s="700"/>
      <c r="H430" s="701"/>
      <c r="I430" s="700"/>
      <c r="M430" s="520">
        <v>18</v>
      </c>
      <c r="CG430" s="520" t="s">
        <v>4</v>
      </c>
      <c r="CH430" s="699">
        <v>2959247.99</v>
      </c>
      <c r="CK430" s="1111">
        <f>CH430*M430</f>
        <v>53266463.820000008</v>
      </c>
      <c r="CL430" s="706">
        <f>CK430/CK433</f>
        <v>0.20708362999509455</v>
      </c>
      <c r="CM430" s="775">
        <f>CK434*CL430</f>
        <v>6605967.7968435166</v>
      </c>
      <c r="CN430" s="943">
        <f>CK430+CM430</f>
        <v>59872431.616843522</v>
      </c>
      <c r="CP430" s="700"/>
    </row>
    <row r="431" spans="5:94" ht="14.25" customHeight="1">
      <c r="G431" s="700"/>
      <c r="H431" s="701"/>
      <c r="I431" s="700"/>
      <c r="L431" s="520">
        <v>8</v>
      </c>
      <c r="M431" s="520">
        <v>38</v>
      </c>
      <c r="CG431" s="520" t="s">
        <v>5</v>
      </c>
      <c r="CH431" s="699">
        <v>3034024.22</v>
      </c>
      <c r="CI431" s="775">
        <f>CH431-CH430</f>
        <v>74776.229999999981</v>
      </c>
      <c r="CJ431" s="819">
        <f>CI431/CH430</f>
        <v>2.526865955563257E-2</v>
      </c>
      <c r="CK431" s="1111">
        <f>CH431*M431</f>
        <v>115292920.36000001</v>
      </c>
      <c r="CL431" s="706">
        <f>CK431/CK433</f>
        <v>0.44822341767541318</v>
      </c>
      <c r="CM431" s="775">
        <f>CK434*CL431</f>
        <v>14298327.02384568</v>
      </c>
      <c r="CN431" s="943">
        <f>CK431+CM431</f>
        <v>129591247.38384569</v>
      </c>
      <c r="CP431" s="700"/>
    </row>
    <row r="432" spans="5:94" ht="14.25" customHeight="1">
      <c r="G432" s="700"/>
      <c r="H432" s="701"/>
      <c r="I432" s="700"/>
      <c r="L432" s="520">
        <v>3</v>
      </c>
      <c r="M432" s="520">
        <v>27</v>
      </c>
      <c r="CG432" s="520" t="s">
        <v>6</v>
      </c>
      <c r="CH432" s="699">
        <v>3283800.29</v>
      </c>
      <c r="CI432" s="775">
        <f>CH432-CH431</f>
        <v>249776.06999999983</v>
      </c>
      <c r="CJ432" s="819">
        <f>CI432/CH431</f>
        <v>8.232500859864586E-2</v>
      </c>
      <c r="CK432" s="1111">
        <f>CH432*M432</f>
        <v>88662607.829999998</v>
      </c>
      <c r="CL432" s="706">
        <f>CK432/CK433</f>
        <v>0.34469295232949237</v>
      </c>
      <c r="CM432" s="775">
        <f>CK434*CL432</f>
        <v>10995705.179310806</v>
      </c>
      <c r="CN432" s="943">
        <f>CK432+CM432</f>
        <v>99658313.009310812</v>
      </c>
      <c r="CP432" s="700"/>
    </row>
    <row r="433" spans="7:94" ht="14.25" customHeight="1">
      <c r="G433" s="700"/>
      <c r="H433" s="701"/>
      <c r="I433" s="700"/>
      <c r="CH433" s="1112">
        <f>SUM(CH430:CH432)</f>
        <v>9277072.5</v>
      </c>
      <c r="CK433" s="1112">
        <f>SUM(CK430:CK432)</f>
        <v>257221992.00999999</v>
      </c>
      <c r="CL433" s="706"/>
      <c r="CM433" s="1112">
        <f>SUM(CM430:CM432)</f>
        <v>31900000.000000004</v>
      </c>
      <c r="CN433" s="1112">
        <f>SUM(CN430:CN432)</f>
        <v>289121992.00999999</v>
      </c>
      <c r="CP433" s="700"/>
    </row>
    <row r="434" spans="7:94" ht="14.25" customHeight="1">
      <c r="G434" s="700"/>
      <c r="H434" s="701"/>
      <c r="I434" s="700"/>
      <c r="CK434" s="714">
        <f>29000000+2900000</f>
        <v>31900000</v>
      </c>
      <c r="CL434" s="706"/>
      <c r="CP434" s="700"/>
    </row>
    <row r="435" spans="7:94" ht="14.25" customHeight="1">
      <c r="G435" s="700"/>
      <c r="H435" s="701"/>
      <c r="I435" s="700"/>
      <c r="CK435" s="1112">
        <f>CK433+CK434</f>
        <v>289121992.00999999</v>
      </c>
      <c r="CL435" s="706"/>
      <c r="CP435" s="700"/>
    </row>
    <row r="436" spans="7:94" ht="14.25" customHeight="1">
      <c r="G436" s="700"/>
      <c r="H436" s="701"/>
      <c r="I436" s="700"/>
      <c r="CL436" s="706"/>
      <c r="CP436" s="700"/>
    </row>
    <row r="437" spans="7:94" ht="14.25" customHeight="1">
      <c r="G437" s="700"/>
      <c r="H437" s="701"/>
      <c r="I437" s="700"/>
      <c r="CL437" s="706"/>
      <c r="CP437" s="700"/>
    </row>
    <row r="438" spans="7:94" ht="14.25" customHeight="1">
      <c r="G438" s="700"/>
      <c r="H438" s="701"/>
      <c r="I438" s="700"/>
      <c r="CL438" s="706"/>
      <c r="CP438" s="700"/>
    </row>
    <row r="439" spans="7:94" ht="14.25" customHeight="1">
      <c r="G439" s="700"/>
      <c r="H439" s="701"/>
      <c r="I439" s="700"/>
      <c r="CL439" s="706"/>
      <c r="CP439" s="700"/>
    </row>
    <row r="440" spans="7:94" ht="14.25" customHeight="1">
      <c r="G440" s="700"/>
      <c r="H440" s="701"/>
      <c r="I440" s="700"/>
      <c r="CL440" s="706"/>
      <c r="CP440" s="700"/>
    </row>
    <row r="441" spans="7:94" ht="14.25" customHeight="1">
      <c r="G441" s="700"/>
      <c r="H441" s="701"/>
      <c r="I441" s="700"/>
      <c r="CL441" s="706"/>
      <c r="CP441" s="700"/>
    </row>
    <row r="442" spans="7:94" ht="14.25" customHeight="1">
      <c r="G442" s="700"/>
      <c r="H442" s="701"/>
      <c r="I442" s="700"/>
      <c r="CL442" s="706"/>
      <c r="CP442" s="700"/>
    </row>
    <row r="443" spans="7:94" ht="14.25" customHeight="1">
      <c r="G443" s="700"/>
      <c r="H443" s="701"/>
      <c r="I443" s="700"/>
      <c r="CL443" s="706"/>
      <c r="CP443" s="700"/>
    </row>
    <row r="444" spans="7:94" ht="14.25" customHeight="1">
      <c r="G444" s="700"/>
      <c r="H444" s="701"/>
      <c r="I444" s="700"/>
      <c r="CL444" s="706"/>
      <c r="CP444" s="700"/>
    </row>
    <row r="445" spans="7:94" ht="14.25" customHeight="1">
      <c r="G445" s="700"/>
      <c r="H445" s="701"/>
      <c r="I445" s="700"/>
      <c r="CL445" s="706"/>
      <c r="CP445" s="700"/>
    </row>
    <row r="446" spans="7:94" ht="14.25" customHeight="1">
      <c r="G446" s="700"/>
      <c r="H446" s="701"/>
      <c r="I446" s="700"/>
      <c r="CL446" s="706"/>
      <c r="CP446" s="700"/>
    </row>
    <row r="447" spans="7:94" ht="14.25" customHeight="1">
      <c r="G447" s="700"/>
      <c r="H447" s="701"/>
      <c r="I447" s="700"/>
      <c r="CL447" s="706"/>
      <c r="CP447" s="700"/>
    </row>
    <row r="448" spans="7:94" ht="14.25" customHeight="1">
      <c r="G448" s="700"/>
      <c r="H448" s="701"/>
      <c r="I448" s="700"/>
      <c r="CL448" s="706"/>
      <c r="CP448" s="700"/>
    </row>
    <row r="449" spans="7:94" ht="14.25" customHeight="1">
      <c r="G449" s="700"/>
      <c r="H449" s="701"/>
      <c r="I449" s="700"/>
      <c r="CL449" s="706"/>
      <c r="CP449" s="700"/>
    </row>
    <row r="450" spans="7:94" ht="14.25" customHeight="1">
      <c r="G450" s="700"/>
      <c r="H450" s="701"/>
      <c r="I450" s="700"/>
      <c r="CL450" s="706"/>
      <c r="CP450" s="700"/>
    </row>
    <row r="451" spans="7:94" ht="14.25" customHeight="1">
      <c r="G451" s="700"/>
      <c r="H451" s="701"/>
      <c r="I451" s="700"/>
      <c r="CL451" s="706"/>
      <c r="CP451" s="700"/>
    </row>
    <row r="452" spans="7:94" ht="14.25" customHeight="1">
      <c r="G452" s="700"/>
      <c r="H452" s="701"/>
      <c r="I452" s="700"/>
      <c r="CL452" s="706"/>
      <c r="CP452" s="700"/>
    </row>
    <row r="453" spans="7:94" ht="14.25" customHeight="1">
      <c r="G453" s="700"/>
      <c r="H453" s="701"/>
      <c r="I453" s="700"/>
      <c r="CL453" s="706"/>
      <c r="CP453" s="700"/>
    </row>
    <row r="454" spans="7:94" ht="14.25" customHeight="1">
      <c r="G454" s="700"/>
      <c r="H454" s="701"/>
      <c r="I454" s="700"/>
      <c r="CL454" s="706"/>
      <c r="CP454" s="700"/>
    </row>
    <row r="455" spans="7:94" ht="14.25" customHeight="1">
      <c r="G455" s="700"/>
      <c r="H455" s="701"/>
      <c r="I455" s="700"/>
      <c r="CL455" s="706"/>
      <c r="CP455" s="700"/>
    </row>
    <row r="456" spans="7:94" ht="14.25" customHeight="1">
      <c r="G456" s="700"/>
      <c r="H456" s="701"/>
      <c r="I456" s="700"/>
      <c r="CL456" s="706"/>
      <c r="CP456" s="700"/>
    </row>
    <row r="457" spans="7:94" ht="14.25" customHeight="1">
      <c r="G457" s="700"/>
      <c r="H457" s="701"/>
      <c r="I457" s="700"/>
      <c r="CL457" s="706"/>
      <c r="CP457" s="700"/>
    </row>
    <row r="458" spans="7:94" ht="14.25" customHeight="1">
      <c r="G458" s="700"/>
      <c r="H458" s="701"/>
      <c r="I458" s="700"/>
      <c r="CL458" s="706"/>
      <c r="CP458" s="700"/>
    </row>
    <row r="459" spans="7:94" ht="14.25" customHeight="1">
      <c r="G459" s="700"/>
      <c r="H459" s="701"/>
      <c r="I459" s="700"/>
      <c r="CL459" s="706"/>
      <c r="CP459" s="700"/>
    </row>
    <row r="460" spans="7:94" ht="14.25" customHeight="1">
      <c r="G460" s="700"/>
      <c r="H460" s="701"/>
      <c r="I460" s="700"/>
      <c r="CL460" s="706"/>
      <c r="CP460" s="700"/>
    </row>
    <row r="461" spans="7:94" ht="14.25" customHeight="1">
      <c r="G461" s="700"/>
      <c r="H461" s="701"/>
      <c r="I461" s="700"/>
      <c r="CL461" s="706"/>
      <c r="CP461" s="700"/>
    </row>
    <row r="462" spans="7:94" ht="14.25" customHeight="1">
      <c r="G462" s="700"/>
      <c r="H462" s="701"/>
      <c r="I462" s="700"/>
      <c r="CL462" s="706"/>
      <c r="CP462" s="700"/>
    </row>
    <row r="463" spans="7:94" ht="14.25" customHeight="1">
      <c r="G463" s="700"/>
      <c r="H463" s="701"/>
      <c r="I463" s="700"/>
      <c r="CL463" s="706"/>
      <c r="CP463" s="700"/>
    </row>
    <row r="464" spans="7:94" ht="14.25" customHeight="1">
      <c r="G464" s="700"/>
      <c r="H464" s="701"/>
      <c r="I464" s="700"/>
      <c r="CL464" s="706"/>
      <c r="CP464" s="700"/>
    </row>
    <row r="465" spans="7:94" ht="14.25" customHeight="1">
      <c r="G465" s="700"/>
      <c r="H465" s="701"/>
      <c r="I465" s="700"/>
      <c r="CL465" s="706"/>
      <c r="CP465" s="700"/>
    </row>
    <row r="466" spans="7:94" ht="14.25" customHeight="1">
      <c r="G466" s="700"/>
      <c r="H466" s="701"/>
      <c r="I466" s="700"/>
      <c r="CL466" s="706"/>
      <c r="CP466" s="700"/>
    </row>
    <row r="467" spans="7:94" ht="14.25" customHeight="1">
      <c r="G467" s="700"/>
      <c r="H467" s="701"/>
      <c r="I467" s="700"/>
      <c r="CL467" s="706"/>
      <c r="CP467" s="700"/>
    </row>
    <row r="468" spans="7:94" ht="14.25" customHeight="1">
      <c r="G468" s="700"/>
      <c r="H468" s="701"/>
      <c r="I468" s="700"/>
      <c r="CL468" s="706"/>
      <c r="CP468" s="700"/>
    </row>
    <row r="469" spans="7:94" ht="14.25" customHeight="1">
      <c r="G469" s="700"/>
      <c r="H469" s="701"/>
      <c r="I469" s="700"/>
      <c r="CL469" s="706"/>
      <c r="CP469" s="700"/>
    </row>
    <row r="470" spans="7:94" ht="14.25" customHeight="1">
      <c r="G470" s="700"/>
      <c r="H470" s="701"/>
      <c r="I470" s="700"/>
      <c r="CL470" s="706"/>
      <c r="CP470" s="700"/>
    </row>
    <row r="471" spans="7:94" ht="14.25" customHeight="1">
      <c r="G471" s="700"/>
      <c r="H471" s="701"/>
      <c r="I471" s="700"/>
      <c r="CL471" s="706"/>
      <c r="CP471" s="700"/>
    </row>
    <row r="472" spans="7:94" ht="14.25" customHeight="1">
      <c r="G472" s="700"/>
      <c r="H472" s="701"/>
      <c r="I472" s="700"/>
      <c r="CL472" s="706"/>
      <c r="CP472" s="700"/>
    </row>
    <row r="473" spans="7:94" ht="14.25" customHeight="1">
      <c r="G473" s="700"/>
      <c r="H473" s="701"/>
      <c r="I473" s="700"/>
      <c r="CL473" s="706"/>
      <c r="CP473" s="700"/>
    </row>
    <row r="474" spans="7:94" ht="14.25" customHeight="1">
      <c r="G474" s="700"/>
      <c r="H474" s="701"/>
      <c r="I474" s="700"/>
      <c r="CL474" s="706"/>
      <c r="CP474" s="700"/>
    </row>
    <row r="475" spans="7:94" ht="14.25" customHeight="1">
      <c r="G475" s="700"/>
      <c r="H475" s="701"/>
      <c r="I475" s="700"/>
      <c r="CL475" s="706"/>
      <c r="CP475" s="700"/>
    </row>
    <row r="476" spans="7:94" ht="14.25" customHeight="1">
      <c r="G476" s="700"/>
      <c r="H476" s="701"/>
      <c r="I476" s="700"/>
      <c r="CL476" s="706"/>
      <c r="CP476" s="700"/>
    </row>
    <row r="477" spans="7:94" ht="14.25" customHeight="1">
      <c r="G477" s="700"/>
      <c r="H477" s="701"/>
      <c r="I477" s="700"/>
      <c r="CL477" s="706"/>
      <c r="CP477" s="700"/>
    </row>
    <row r="478" spans="7:94" ht="14.25" customHeight="1">
      <c r="G478" s="700"/>
      <c r="H478" s="701"/>
      <c r="I478" s="700"/>
      <c r="CL478" s="706"/>
      <c r="CP478" s="700"/>
    </row>
    <row r="479" spans="7:94" ht="14.25" customHeight="1">
      <c r="G479" s="700"/>
      <c r="H479" s="701"/>
      <c r="I479" s="700"/>
      <c r="CL479" s="706"/>
      <c r="CP479" s="700"/>
    </row>
    <row r="480" spans="7:94" ht="14.25" customHeight="1">
      <c r="G480" s="700"/>
      <c r="H480" s="701"/>
      <c r="I480" s="700"/>
      <c r="CL480" s="706"/>
      <c r="CP480" s="700"/>
    </row>
    <row r="481" spans="7:94" ht="14.25" customHeight="1">
      <c r="G481" s="700"/>
      <c r="H481" s="701"/>
      <c r="I481" s="700"/>
      <c r="CL481" s="706"/>
      <c r="CP481" s="700"/>
    </row>
    <row r="482" spans="7:94" ht="14.25" customHeight="1">
      <c r="G482" s="700"/>
      <c r="H482" s="701"/>
      <c r="I482" s="700"/>
      <c r="CL482" s="706"/>
      <c r="CP482" s="700"/>
    </row>
    <row r="483" spans="7:94" ht="14.25" customHeight="1">
      <c r="G483" s="700"/>
      <c r="H483" s="701"/>
      <c r="I483" s="700"/>
      <c r="CL483" s="706"/>
      <c r="CP483" s="700"/>
    </row>
    <row r="484" spans="7:94" ht="14.25" customHeight="1">
      <c r="G484" s="700"/>
      <c r="H484" s="701"/>
      <c r="I484" s="700"/>
      <c r="CL484" s="706"/>
      <c r="CP484" s="700"/>
    </row>
    <row r="485" spans="7:94" ht="14.25" customHeight="1">
      <c r="G485" s="700"/>
      <c r="H485" s="701"/>
      <c r="I485" s="700"/>
      <c r="CL485" s="706"/>
      <c r="CP485" s="700"/>
    </row>
    <row r="486" spans="7:94" ht="14.25" customHeight="1">
      <c r="G486" s="700"/>
      <c r="H486" s="701"/>
      <c r="I486" s="700"/>
      <c r="CL486" s="706"/>
      <c r="CP486" s="700"/>
    </row>
    <row r="487" spans="7:94" ht="14.25" customHeight="1">
      <c r="G487" s="700"/>
      <c r="H487" s="701"/>
      <c r="I487" s="700"/>
      <c r="CL487" s="706"/>
      <c r="CP487" s="700"/>
    </row>
    <row r="488" spans="7:94" ht="14.25" customHeight="1">
      <c r="G488" s="700"/>
      <c r="H488" s="701"/>
      <c r="I488" s="700"/>
      <c r="CL488" s="706"/>
      <c r="CP488" s="700"/>
    </row>
    <row r="489" spans="7:94" ht="14.25" customHeight="1">
      <c r="G489" s="700"/>
      <c r="H489" s="701"/>
      <c r="I489" s="700"/>
      <c r="CL489" s="706"/>
      <c r="CP489" s="700"/>
    </row>
    <row r="490" spans="7:94" ht="14.25" customHeight="1">
      <c r="G490" s="700"/>
      <c r="H490" s="701"/>
      <c r="I490" s="700"/>
      <c r="CL490" s="706"/>
      <c r="CP490" s="700"/>
    </row>
    <row r="491" spans="7:94" ht="14.25" customHeight="1">
      <c r="G491" s="700"/>
      <c r="H491" s="701"/>
      <c r="I491" s="700"/>
      <c r="CL491" s="706"/>
      <c r="CP491" s="700"/>
    </row>
    <row r="492" spans="7:94" ht="14.25" customHeight="1">
      <c r="G492" s="700"/>
      <c r="H492" s="701"/>
      <c r="I492" s="700"/>
      <c r="CL492" s="706"/>
      <c r="CP492" s="700"/>
    </row>
    <row r="493" spans="7:94" ht="14.25" customHeight="1">
      <c r="G493" s="700"/>
      <c r="H493" s="701"/>
      <c r="I493" s="700"/>
      <c r="CL493" s="706"/>
      <c r="CP493" s="700"/>
    </row>
    <row r="494" spans="7:94" ht="14.25" customHeight="1">
      <c r="G494" s="700"/>
      <c r="H494" s="701"/>
      <c r="I494" s="700"/>
      <c r="CL494" s="706"/>
      <c r="CP494" s="700"/>
    </row>
    <row r="495" spans="7:94" ht="14.25" customHeight="1">
      <c r="G495" s="700"/>
      <c r="H495" s="701"/>
      <c r="I495" s="700"/>
      <c r="CL495" s="706"/>
      <c r="CP495" s="700"/>
    </row>
    <row r="496" spans="7:94" ht="14.25" customHeight="1">
      <c r="G496" s="700"/>
      <c r="H496" s="701"/>
      <c r="I496" s="700"/>
      <c r="CL496" s="706"/>
      <c r="CP496" s="700"/>
    </row>
    <row r="497" spans="7:94" ht="14.25" customHeight="1">
      <c r="G497" s="700"/>
      <c r="H497" s="701"/>
      <c r="I497" s="700"/>
      <c r="CL497" s="706"/>
      <c r="CP497" s="700"/>
    </row>
    <row r="498" spans="7:94" ht="14.25" customHeight="1">
      <c r="G498" s="700"/>
      <c r="H498" s="701"/>
      <c r="I498" s="700"/>
      <c r="CL498" s="706"/>
      <c r="CP498" s="700"/>
    </row>
    <row r="499" spans="7:94" ht="14.25" customHeight="1">
      <c r="G499" s="700"/>
      <c r="H499" s="701"/>
      <c r="I499" s="700"/>
      <c r="CL499" s="706"/>
      <c r="CP499" s="700"/>
    </row>
    <row r="500" spans="7:94" ht="14.25" customHeight="1">
      <c r="G500" s="700"/>
      <c r="H500" s="701"/>
      <c r="I500" s="700"/>
      <c r="CL500" s="706"/>
      <c r="CP500" s="700"/>
    </row>
    <row r="501" spans="7:94" ht="14.25" customHeight="1">
      <c r="G501" s="700"/>
      <c r="H501" s="701"/>
      <c r="I501" s="700"/>
      <c r="CL501" s="706"/>
      <c r="CP501" s="700"/>
    </row>
    <row r="502" spans="7:94" ht="14.25" customHeight="1">
      <c r="G502" s="700"/>
      <c r="H502" s="701"/>
      <c r="I502" s="700"/>
      <c r="CL502" s="706"/>
      <c r="CP502" s="700"/>
    </row>
    <row r="503" spans="7:94" ht="14.25" customHeight="1">
      <c r="G503" s="700"/>
      <c r="H503" s="701"/>
      <c r="I503" s="700"/>
      <c r="CL503" s="706"/>
      <c r="CP503" s="700"/>
    </row>
    <row r="504" spans="7:94" ht="14.25" customHeight="1">
      <c r="G504" s="700"/>
      <c r="H504" s="701"/>
      <c r="I504" s="700"/>
      <c r="CL504" s="706"/>
      <c r="CP504" s="700"/>
    </row>
    <row r="505" spans="7:94" ht="14.25" customHeight="1">
      <c r="G505" s="700"/>
      <c r="H505" s="701"/>
      <c r="I505" s="700"/>
      <c r="CL505" s="706"/>
      <c r="CP505" s="700"/>
    </row>
    <row r="506" spans="7:94" ht="14.25" customHeight="1">
      <c r="G506" s="700"/>
      <c r="H506" s="701"/>
      <c r="I506" s="700"/>
      <c r="CL506" s="706"/>
      <c r="CP506" s="700"/>
    </row>
    <row r="507" spans="7:94" ht="14.25" customHeight="1">
      <c r="G507" s="700"/>
      <c r="H507" s="701"/>
      <c r="I507" s="700"/>
      <c r="CL507" s="706"/>
      <c r="CP507" s="700"/>
    </row>
    <row r="508" spans="7:94" ht="14.25" customHeight="1">
      <c r="G508" s="700"/>
      <c r="H508" s="701"/>
      <c r="I508" s="700"/>
      <c r="CL508" s="706"/>
      <c r="CP508" s="700"/>
    </row>
    <row r="509" spans="7:94" ht="14.25" customHeight="1">
      <c r="G509" s="700"/>
      <c r="H509" s="701"/>
      <c r="I509" s="700"/>
      <c r="CL509" s="706"/>
      <c r="CP509" s="700"/>
    </row>
    <row r="510" spans="7:94" ht="14.25" customHeight="1">
      <c r="G510" s="700"/>
      <c r="H510" s="701"/>
      <c r="I510" s="700"/>
      <c r="CL510" s="706"/>
      <c r="CP510" s="700"/>
    </row>
    <row r="511" spans="7:94" ht="14.25" customHeight="1">
      <c r="G511" s="700"/>
      <c r="H511" s="701"/>
      <c r="I511" s="700"/>
      <c r="CL511" s="706"/>
      <c r="CP511" s="700"/>
    </row>
    <row r="512" spans="7:94" ht="14.25" customHeight="1">
      <c r="G512" s="700"/>
      <c r="H512" s="701"/>
      <c r="I512" s="700"/>
      <c r="CL512" s="706"/>
      <c r="CP512" s="700"/>
    </row>
    <row r="513" spans="7:94" ht="14.25" customHeight="1">
      <c r="G513" s="700"/>
      <c r="H513" s="701"/>
      <c r="I513" s="700"/>
      <c r="CL513" s="706"/>
      <c r="CP513" s="700"/>
    </row>
    <row r="514" spans="7:94" ht="14.25" customHeight="1">
      <c r="G514" s="700"/>
      <c r="H514" s="701"/>
      <c r="I514" s="700"/>
      <c r="CL514" s="706"/>
      <c r="CP514" s="700"/>
    </row>
    <row r="515" spans="7:94" ht="14.25" customHeight="1">
      <c r="G515" s="700"/>
      <c r="H515" s="701"/>
      <c r="I515" s="700"/>
      <c r="CL515" s="706"/>
      <c r="CP515" s="700"/>
    </row>
    <row r="516" spans="7:94" ht="14.25" customHeight="1">
      <c r="G516" s="700"/>
      <c r="H516" s="701"/>
      <c r="I516" s="700"/>
      <c r="CL516" s="706"/>
      <c r="CP516" s="700"/>
    </row>
    <row r="517" spans="7:94" ht="14.25" customHeight="1">
      <c r="G517" s="700"/>
      <c r="H517" s="701"/>
      <c r="I517" s="700"/>
      <c r="CL517" s="706"/>
      <c r="CP517" s="700"/>
    </row>
    <row r="518" spans="7:94" ht="14.25" customHeight="1">
      <c r="G518" s="700"/>
      <c r="H518" s="701"/>
      <c r="I518" s="700"/>
      <c r="CL518" s="706"/>
      <c r="CP518" s="700"/>
    </row>
    <row r="519" spans="7:94" ht="14.25" customHeight="1">
      <c r="G519" s="700"/>
      <c r="H519" s="701"/>
      <c r="I519" s="700"/>
      <c r="CL519" s="706"/>
      <c r="CP519" s="700"/>
    </row>
    <row r="520" spans="7:94" ht="14.25" customHeight="1">
      <c r="G520" s="700"/>
      <c r="H520" s="701"/>
      <c r="I520" s="700"/>
      <c r="CL520" s="706"/>
      <c r="CP520" s="700"/>
    </row>
    <row r="521" spans="7:94" ht="14.25" customHeight="1">
      <c r="G521" s="700"/>
      <c r="H521" s="701"/>
      <c r="I521" s="700"/>
      <c r="CL521" s="706"/>
      <c r="CP521" s="700"/>
    </row>
    <row r="522" spans="7:94" ht="14.25" customHeight="1">
      <c r="G522" s="700"/>
      <c r="H522" s="701"/>
      <c r="I522" s="700"/>
      <c r="CL522" s="706"/>
      <c r="CP522" s="700"/>
    </row>
    <row r="523" spans="7:94" ht="14.25" customHeight="1">
      <c r="G523" s="700"/>
      <c r="H523" s="701"/>
      <c r="I523" s="700"/>
      <c r="CL523" s="706"/>
      <c r="CP523" s="700"/>
    </row>
    <row r="524" spans="7:94" ht="14.25" customHeight="1">
      <c r="G524" s="700"/>
      <c r="H524" s="701"/>
      <c r="I524" s="700"/>
      <c r="CL524" s="706"/>
      <c r="CP524" s="700"/>
    </row>
    <row r="525" spans="7:94" ht="14.25" customHeight="1">
      <c r="G525" s="700"/>
      <c r="H525" s="701"/>
      <c r="I525" s="700"/>
      <c r="CL525" s="706"/>
      <c r="CP525" s="700"/>
    </row>
    <row r="526" spans="7:94" ht="14.25" customHeight="1">
      <c r="G526" s="700"/>
      <c r="H526" s="701"/>
      <c r="I526" s="700"/>
      <c r="CL526" s="706"/>
      <c r="CP526" s="700"/>
    </row>
    <row r="527" spans="7:94" ht="14.25" customHeight="1">
      <c r="G527" s="700"/>
      <c r="H527" s="701"/>
      <c r="I527" s="700"/>
      <c r="CL527" s="706"/>
      <c r="CP527" s="700"/>
    </row>
    <row r="528" spans="7:94" ht="14.25" customHeight="1">
      <c r="G528" s="700"/>
      <c r="H528" s="701"/>
      <c r="I528" s="700"/>
      <c r="CL528" s="706"/>
      <c r="CP528" s="700"/>
    </row>
    <row r="529" spans="7:94" ht="14.25" customHeight="1">
      <c r="G529" s="700"/>
      <c r="H529" s="701"/>
      <c r="I529" s="700"/>
      <c r="CL529" s="706"/>
      <c r="CP529" s="700"/>
    </row>
    <row r="530" spans="7:94" ht="14.25" customHeight="1">
      <c r="G530" s="700"/>
      <c r="H530" s="701"/>
      <c r="I530" s="700"/>
      <c r="CL530" s="706"/>
      <c r="CP530" s="700"/>
    </row>
    <row r="531" spans="7:94" ht="14.25" customHeight="1">
      <c r="G531" s="700"/>
      <c r="H531" s="701"/>
      <c r="I531" s="700"/>
      <c r="CL531" s="706"/>
      <c r="CP531" s="700"/>
    </row>
    <row r="532" spans="7:94" ht="14.25" customHeight="1">
      <c r="G532" s="700"/>
      <c r="H532" s="701"/>
      <c r="I532" s="700"/>
      <c r="CL532" s="706"/>
      <c r="CP532" s="700"/>
    </row>
    <row r="533" spans="7:94" ht="14.25" customHeight="1">
      <c r="G533" s="700"/>
      <c r="H533" s="701"/>
      <c r="I533" s="700"/>
      <c r="CL533" s="706"/>
      <c r="CP533" s="700"/>
    </row>
    <row r="534" spans="7:94" ht="14.25" customHeight="1">
      <c r="G534" s="700"/>
      <c r="H534" s="701"/>
      <c r="I534" s="700"/>
      <c r="CL534" s="706"/>
      <c r="CP534" s="700"/>
    </row>
    <row r="535" spans="7:94" ht="14.25" customHeight="1">
      <c r="G535" s="700"/>
      <c r="H535" s="701"/>
      <c r="I535" s="700"/>
      <c r="CL535" s="706"/>
      <c r="CP535" s="700"/>
    </row>
    <row r="536" spans="7:94" ht="14.25" customHeight="1">
      <c r="G536" s="700"/>
      <c r="H536" s="701"/>
      <c r="I536" s="700"/>
      <c r="CL536" s="706"/>
      <c r="CP536" s="700"/>
    </row>
    <row r="537" spans="7:94" ht="14.25" customHeight="1">
      <c r="G537" s="700"/>
      <c r="H537" s="701"/>
      <c r="I537" s="700"/>
      <c r="CL537" s="706"/>
      <c r="CP537" s="700"/>
    </row>
    <row r="538" spans="7:94" ht="14.25" customHeight="1">
      <c r="G538" s="700"/>
      <c r="H538" s="701"/>
      <c r="I538" s="700"/>
      <c r="CL538" s="706"/>
      <c r="CP538" s="700"/>
    </row>
    <row r="539" spans="7:94" ht="14.25" customHeight="1">
      <c r="G539" s="700"/>
      <c r="H539" s="701"/>
      <c r="I539" s="700"/>
      <c r="CL539" s="706"/>
      <c r="CP539" s="700"/>
    </row>
    <row r="540" spans="7:94" ht="14.25" customHeight="1">
      <c r="G540" s="700"/>
      <c r="H540" s="701"/>
      <c r="I540" s="700"/>
      <c r="CL540" s="706"/>
      <c r="CP540" s="700"/>
    </row>
    <row r="541" spans="7:94" ht="14.25" customHeight="1">
      <c r="G541" s="700"/>
      <c r="H541" s="701"/>
      <c r="I541" s="700"/>
      <c r="CL541" s="706"/>
      <c r="CP541" s="700"/>
    </row>
    <row r="542" spans="7:94" ht="14.25" customHeight="1">
      <c r="G542" s="700"/>
      <c r="H542" s="701"/>
      <c r="I542" s="700"/>
      <c r="CL542" s="706"/>
      <c r="CP542" s="700"/>
    </row>
    <row r="543" spans="7:94" ht="14.25" customHeight="1">
      <c r="G543" s="700"/>
      <c r="H543" s="701"/>
      <c r="I543" s="700"/>
      <c r="CL543" s="706"/>
      <c r="CP543" s="700"/>
    </row>
    <row r="544" spans="7:94" ht="14.25" customHeight="1">
      <c r="G544" s="700"/>
      <c r="H544" s="701"/>
      <c r="I544" s="700"/>
      <c r="CL544" s="706"/>
      <c r="CP544" s="700"/>
    </row>
    <row r="545" spans="7:94" ht="14.25" customHeight="1">
      <c r="G545" s="700"/>
      <c r="H545" s="701"/>
      <c r="I545" s="700"/>
      <c r="CL545" s="706"/>
      <c r="CP545" s="700"/>
    </row>
    <row r="546" spans="7:94" ht="14.25" customHeight="1">
      <c r="G546" s="700"/>
      <c r="H546" s="701"/>
      <c r="I546" s="700"/>
      <c r="CL546" s="706"/>
      <c r="CP546" s="700"/>
    </row>
    <row r="547" spans="7:94" ht="14.25" customHeight="1">
      <c r="G547" s="700"/>
      <c r="H547" s="701"/>
      <c r="I547" s="700"/>
      <c r="CL547" s="706"/>
      <c r="CP547" s="700"/>
    </row>
    <row r="548" spans="7:94" ht="14.25" customHeight="1">
      <c r="G548" s="700"/>
      <c r="H548" s="701"/>
      <c r="I548" s="700"/>
      <c r="CL548" s="706"/>
      <c r="CP548" s="700"/>
    </row>
    <row r="549" spans="7:94" ht="14.25" customHeight="1">
      <c r="G549" s="700"/>
      <c r="H549" s="701"/>
      <c r="I549" s="700"/>
      <c r="CL549" s="706"/>
      <c r="CP549" s="700"/>
    </row>
    <row r="550" spans="7:94" ht="14.25" customHeight="1">
      <c r="G550" s="700"/>
      <c r="H550" s="701"/>
      <c r="I550" s="700"/>
      <c r="CL550" s="706"/>
      <c r="CP550" s="700"/>
    </row>
    <row r="551" spans="7:94" ht="14.25" customHeight="1">
      <c r="G551" s="700"/>
      <c r="H551" s="701"/>
      <c r="I551" s="700"/>
      <c r="CL551" s="706"/>
      <c r="CP551" s="700"/>
    </row>
    <row r="552" spans="7:94" ht="14.25" customHeight="1">
      <c r="G552" s="700"/>
      <c r="H552" s="701"/>
      <c r="I552" s="700"/>
      <c r="CL552" s="706"/>
      <c r="CP552" s="700"/>
    </row>
    <row r="553" spans="7:94" ht="14.25" customHeight="1">
      <c r="G553" s="700"/>
      <c r="H553" s="701"/>
      <c r="I553" s="700"/>
      <c r="CL553" s="706"/>
      <c r="CP553" s="700"/>
    </row>
    <row r="554" spans="7:94" ht="14.25" customHeight="1">
      <c r="G554" s="700"/>
      <c r="H554" s="701"/>
      <c r="I554" s="700"/>
      <c r="CL554" s="706"/>
      <c r="CP554" s="700"/>
    </row>
    <row r="555" spans="7:94" ht="14.25" customHeight="1">
      <c r="G555" s="700"/>
      <c r="H555" s="701"/>
      <c r="I555" s="700"/>
      <c r="CL555" s="706"/>
      <c r="CP555" s="700"/>
    </row>
    <row r="556" spans="7:94" ht="14.25" customHeight="1">
      <c r="G556" s="700"/>
      <c r="H556" s="701"/>
      <c r="I556" s="700"/>
      <c r="CL556" s="706"/>
      <c r="CP556" s="700"/>
    </row>
    <row r="557" spans="7:94" ht="14.25" customHeight="1">
      <c r="G557" s="700"/>
      <c r="H557" s="701"/>
      <c r="I557" s="700"/>
      <c r="CL557" s="706"/>
      <c r="CP557" s="700"/>
    </row>
    <row r="558" spans="7:94" ht="14.25" customHeight="1">
      <c r="G558" s="700"/>
      <c r="H558" s="701"/>
      <c r="I558" s="700"/>
      <c r="CL558" s="706"/>
      <c r="CP558" s="700"/>
    </row>
    <row r="559" spans="7:94" ht="14.25" customHeight="1">
      <c r="G559" s="700"/>
      <c r="H559" s="701"/>
      <c r="I559" s="700"/>
      <c r="CL559" s="706"/>
      <c r="CP559" s="700"/>
    </row>
    <row r="560" spans="7:94" ht="14.25" customHeight="1">
      <c r="G560" s="700"/>
      <c r="H560" s="701"/>
      <c r="I560" s="700"/>
      <c r="CL560" s="706"/>
      <c r="CP560" s="700"/>
    </row>
    <row r="561" spans="7:94" ht="14.25" customHeight="1">
      <c r="G561" s="700"/>
      <c r="H561" s="701"/>
      <c r="I561" s="700"/>
      <c r="CL561" s="706"/>
      <c r="CP561" s="700"/>
    </row>
    <row r="562" spans="7:94" ht="14.25" customHeight="1">
      <c r="G562" s="700"/>
      <c r="H562" s="701"/>
      <c r="I562" s="700"/>
      <c r="CL562" s="706"/>
      <c r="CP562" s="700"/>
    </row>
    <row r="563" spans="7:94" ht="14.25" customHeight="1">
      <c r="G563" s="700"/>
      <c r="H563" s="701"/>
      <c r="I563" s="700"/>
      <c r="CL563" s="706"/>
      <c r="CP563" s="700"/>
    </row>
    <row r="564" spans="7:94" ht="14.25" customHeight="1">
      <c r="G564" s="700"/>
      <c r="H564" s="701"/>
      <c r="I564" s="700"/>
      <c r="CL564" s="706"/>
      <c r="CP564" s="700"/>
    </row>
    <row r="565" spans="7:94" ht="14.25" customHeight="1">
      <c r="G565" s="700"/>
      <c r="H565" s="701"/>
      <c r="I565" s="700"/>
      <c r="CL565" s="706"/>
      <c r="CP565" s="700"/>
    </row>
    <row r="566" spans="7:94" ht="14.25" customHeight="1">
      <c r="G566" s="700"/>
      <c r="H566" s="701"/>
      <c r="I566" s="700"/>
      <c r="CL566" s="706"/>
      <c r="CP566" s="700"/>
    </row>
    <row r="567" spans="7:94" ht="14.25" customHeight="1">
      <c r="G567" s="700"/>
      <c r="H567" s="701"/>
      <c r="I567" s="700"/>
      <c r="CL567" s="706"/>
      <c r="CP567" s="700"/>
    </row>
    <row r="568" spans="7:94" ht="14.25" customHeight="1">
      <c r="G568" s="700"/>
      <c r="H568" s="701"/>
      <c r="I568" s="700"/>
      <c r="CL568" s="706"/>
      <c r="CP568" s="700"/>
    </row>
    <row r="569" spans="7:94" ht="14.25" customHeight="1">
      <c r="G569" s="700"/>
      <c r="H569" s="701"/>
      <c r="I569" s="700"/>
      <c r="CL569" s="706"/>
      <c r="CP569" s="700"/>
    </row>
    <row r="570" spans="7:94" ht="14.25" customHeight="1">
      <c r="G570" s="700"/>
      <c r="H570" s="701"/>
      <c r="I570" s="700"/>
      <c r="CL570" s="706"/>
      <c r="CP570" s="700"/>
    </row>
    <row r="571" spans="7:94" ht="14.25" customHeight="1">
      <c r="G571" s="700"/>
      <c r="H571" s="701"/>
      <c r="I571" s="700"/>
      <c r="CL571" s="706"/>
      <c r="CP571" s="700"/>
    </row>
    <row r="572" spans="7:94" ht="14.25" customHeight="1">
      <c r="G572" s="700"/>
      <c r="H572" s="701"/>
      <c r="I572" s="700"/>
      <c r="CL572" s="706"/>
      <c r="CP572" s="700"/>
    </row>
    <row r="573" spans="7:94" ht="14.25" customHeight="1">
      <c r="G573" s="700"/>
      <c r="H573" s="701"/>
      <c r="I573" s="700"/>
      <c r="CL573" s="706"/>
      <c r="CP573" s="700"/>
    </row>
    <row r="574" spans="7:94" ht="14.25" customHeight="1">
      <c r="G574" s="700"/>
      <c r="H574" s="701"/>
      <c r="I574" s="700"/>
      <c r="CL574" s="706"/>
      <c r="CP574" s="700"/>
    </row>
    <row r="575" spans="7:94" ht="14.25" customHeight="1">
      <c r="G575" s="700"/>
      <c r="H575" s="701"/>
      <c r="I575" s="700"/>
      <c r="CL575" s="706"/>
      <c r="CP575" s="700"/>
    </row>
    <row r="576" spans="7:94" ht="14.25" customHeight="1">
      <c r="G576" s="700"/>
      <c r="H576" s="701"/>
      <c r="I576" s="700"/>
      <c r="CL576" s="706"/>
      <c r="CP576" s="700"/>
    </row>
    <row r="577" spans="7:94" ht="14.25" customHeight="1">
      <c r="G577" s="700"/>
      <c r="H577" s="701"/>
      <c r="I577" s="700"/>
      <c r="CL577" s="706"/>
      <c r="CP577" s="700"/>
    </row>
    <row r="578" spans="7:94" ht="14.25" customHeight="1">
      <c r="G578" s="700"/>
      <c r="H578" s="701"/>
      <c r="I578" s="700"/>
      <c r="CL578" s="706"/>
      <c r="CP578" s="700"/>
    </row>
    <row r="579" spans="7:94" ht="14.25" customHeight="1">
      <c r="G579" s="700"/>
      <c r="H579" s="701"/>
      <c r="I579" s="700"/>
      <c r="CL579" s="706"/>
      <c r="CP579" s="700"/>
    </row>
    <row r="580" spans="7:94" ht="14.25" customHeight="1">
      <c r="G580" s="700"/>
      <c r="H580" s="701"/>
      <c r="I580" s="700"/>
      <c r="CL580" s="706"/>
      <c r="CP580" s="700"/>
    </row>
    <row r="581" spans="7:94" ht="14.25" customHeight="1">
      <c r="G581" s="700"/>
      <c r="H581" s="701"/>
      <c r="I581" s="700"/>
      <c r="CL581" s="706"/>
      <c r="CP581" s="700"/>
    </row>
    <row r="582" spans="7:94" ht="14.25" customHeight="1">
      <c r="G582" s="700"/>
      <c r="H582" s="701"/>
      <c r="I582" s="700"/>
      <c r="CL582" s="706"/>
      <c r="CP582" s="700"/>
    </row>
    <row r="583" spans="7:94" ht="14.25" customHeight="1">
      <c r="G583" s="700"/>
      <c r="H583" s="701"/>
      <c r="I583" s="700"/>
      <c r="CL583" s="706"/>
      <c r="CP583" s="700"/>
    </row>
    <row r="584" spans="7:94" ht="14.25" customHeight="1">
      <c r="G584" s="700"/>
      <c r="H584" s="701"/>
      <c r="I584" s="700"/>
      <c r="CL584" s="706"/>
      <c r="CP584" s="700"/>
    </row>
    <row r="585" spans="7:94" ht="14.25" customHeight="1">
      <c r="G585" s="700"/>
      <c r="H585" s="701"/>
      <c r="I585" s="700"/>
      <c r="CL585" s="706"/>
      <c r="CP585" s="700"/>
    </row>
    <row r="586" spans="7:94" ht="14.25" customHeight="1">
      <c r="G586" s="700"/>
      <c r="H586" s="701"/>
      <c r="I586" s="700"/>
      <c r="CL586" s="706"/>
      <c r="CP586" s="700"/>
    </row>
    <row r="587" spans="7:94" ht="14.25" customHeight="1">
      <c r="G587" s="700"/>
      <c r="H587" s="701"/>
      <c r="I587" s="700"/>
      <c r="CL587" s="706"/>
      <c r="CP587" s="700"/>
    </row>
    <row r="588" spans="7:94" ht="14.25" customHeight="1">
      <c r="G588" s="700"/>
      <c r="H588" s="701"/>
      <c r="I588" s="700"/>
      <c r="CL588" s="706"/>
      <c r="CP588" s="700"/>
    </row>
    <row r="589" spans="7:94" ht="14.25" customHeight="1">
      <c r="G589" s="700"/>
      <c r="H589" s="701"/>
      <c r="I589" s="700"/>
      <c r="CL589" s="706"/>
      <c r="CP589" s="700"/>
    </row>
    <row r="590" spans="7:94" ht="14.25" customHeight="1">
      <c r="G590" s="700"/>
      <c r="H590" s="701"/>
      <c r="I590" s="700"/>
      <c r="CL590" s="706"/>
      <c r="CP590" s="700"/>
    </row>
    <row r="591" spans="7:94" ht="14.25" customHeight="1">
      <c r="G591" s="700"/>
      <c r="H591" s="701"/>
      <c r="I591" s="700"/>
      <c r="CL591" s="706"/>
      <c r="CP591" s="700"/>
    </row>
    <row r="592" spans="7:94" ht="14.25" customHeight="1">
      <c r="G592" s="700"/>
      <c r="H592" s="701"/>
      <c r="I592" s="700"/>
      <c r="CL592" s="706"/>
      <c r="CP592" s="700"/>
    </row>
    <row r="593" spans="7:94" ht="14.25" customHeight="1">
      <c r="G593" s="700"/>
      <c r="H593" s="701"/>
      <c r="I593" s="700"/>
      <c r="CL593" s="706"/>
      <c r="CP593" s="700"/>
    </row>
    <row r="594" spans="7:94" ht="14.25" customHeight="1">
      <c r="G594" s="700"/>
      <c r="H594" s="701"/>
      <c r="I594" s="700"/>
      <c r="CL594" s="706"/>
      <c r="CP594" s="700"/>
    </row>
    <row r="595" spans="7:94" ht="14.25" customHeight="1">
      <c r="G595" s="700"/>
      <c r="H595" s="701"/>
      <c r="I595" s="700"/>
      <c r="CL595" s="706"/>
      <c r="CP595" s="700"/>
    </row>
    <row r="596" spans="7:94" ht="14.25" customHeight="1">
      <c r="G596" s="700"/>
      <c r="H596" s="701"/>
      <c r="I596" s="700"/>
      <c r="CL596" s="706"/>
      <c r="CP596" s="700"/>
    </row>
    <row r="597" spans="7:94" ht="14.25" customHeight="1">
      <c r="G597" s="700"/>
      <c r="H597" s="701"/>
      <c r="I597" s="700"/>
      <c r="CL597" s="706"/>
      <c r="CP597" s="700"/>
    </row>
    <row r="598" spans="7:94" ht="14.25" customHeight="1">
      <c r="G598" s="700"/>
      <c r="H598" s="701"/>
      <c r="I598" s="700"/>
      <c r="CL598" s="706"/>
      <c r="CP598" s="700"/>
    </row>
    <row r="599" spans="7:94" ht="14.25" customHeight="1">
      <c r="G599" s="700"/>
      <c r="H599" s="701"/>
      <c r="I599" s="700"/>
      <c r="CL599" s="706"/>
      <c r="CP599" s="700"/>
    </row>
    <row r="600" spans="7:94" ht="14.25" customHeight="1">
      <c r="G600" s="700"/>
      <c r="H600" s="701"/>
      <c r="I600" s="700"/>
      <c r="CL600" s="706"/>
      <c r="CP600" s="700"/>
    </row>
    <row r="601" spans="7:94" ht="14.25" customHeight="1">
      <c r="G601" s="700"/>
      <c r="H601" s="701"/>
      <c r="I601" s="700"/>
      <c r="CL601" s="706"/>
      <c r="CP601" s="700"/>
    </row>
    <row r="602" spans="7:94" ht="14.25" customHeight="1">
      <c r="G602" s="700"/>
      <c r="H602" s="701"/>
      <c r="I602" s="700"/>
      <c r="CL602" s="706"/>
      <c r="CP602" s="700"/>
    </row>
    <row r="603" spans="7:94" ht="14.25" customHeight="1">
      <c r="G603" s="700"/>
      <c r="H603" s="701"/>
      <c r="I603" s="700"/>
      <c r="CL603" s="706"/>
      <c r="CP603" s="700"/>
    </row>
    <row r="604" spans="7:94" ht="14.25" customHeight="1">
      <c r="G604" s="700"/>
      <c r="H604" s="701"/>
      <c r="I604" s="700"/>
      <c r="CL604" s="706"/>
      <c r="CP604" s="700"/>
    </row>
    <row r="605" spans="7:94" ht="14.25" customHeight="1">
      <c r="G605" s="700"/>
      <c r="H605" s="701"/>
      <c r="I605" s="700"/>
      <c r="CL605" s="706"/>
      <c r="CP605" s="700"/>
    </row>
    <row r="606" spans="7:94" ht="14.25" customHeight="1">
      <c r="G606" s="700"/>
      <c r="H606" s="701"/>
      <c r="I606" s="700"/>
      <c r="CL606" s="706"/>
      <c r="CP606" s="700"/>
    </row>
    <row r="607" spans="7:94" ht="14.25" customHeight="1">
      <c r="G607" s="700"/>
      <c r="H607" s="701"/>
      <c r="I607" s="700"/>
      <c r="CL607" s="706"/>
      <c r="CP607" s="700"/>
    </row>
    <row r="608" spans="7:94" ht="14.25" customHeight="1">
      <c r="G608" s="700"/>
      <c r="H608" s="701"/>
      <c r="I608" s="700"/>
      <c r="CL608" s="706"/>
      <c r="CP608" s="700"/>
    </row>
    <row r="609" spans="7:94" ht="14.25" customHeight="1">
      <c r="G609" s="700"/>
      <c r="H609" s="701"/>
      <c r="I609" s="700"/>
      <c r="CL609" s="706"/>
      <c r="CP609" s="700"/>
    </row>
    <row r="610" spans="7:94" ht="14.25" customHeight="1">
      <c r="G610" s="700"/>
      <c r="H610" s="701"/>
      <c r="I610" s="700"/>
      <c r="CL610" s="706"/>
      <c r="CP610" s="700"/>
    </row>
    <row r="611" spans="7:94" ht="14.25" customHeight="1">
      <c r="G611" s="700"/>
      <c r="H611" s="701"/>
      <c r="I611" s="700"/>
      <c r="CL611" s="706"/>
      <c r="CP611" s="700"/>
    </row>
    <row r="612" spans="7:94" ht="14.25" customHeight="1">
      <c r="G612" s="700"/>
      <c r="H612" s="701"/>
      <c r="I612" s="700"/>
      <c r="CL612" s="706"/>
      <c r="CP612" s="700"/>
    </row>
    <row r="613" spans="7:94" ht="14.25" customHeight="1">
      <c r="G613" s="700"/>
      <c r="H613" s="701"/>
      <c r="I613" s="700"/>
      <c r="CL613" s="706"/>
      <c r="CP613" s="700"/>
    </row>
    <row r="614" spans="7:94" ht="14.25" customHeight="1">
      <c r="G614" s="700"/>
      <c r="H614" s="701"/>
      <c r="I614" s="700"/>
      <c r="CL614" s="706"/>
      <c r="CP614" s="700"/>
    </row>
    <row r="615" spans="7:94" ht="14.25" customHeight="1">
      <c r="G615" s="700"/>
      <c r="H615" s="701"/>
      <c r="I615" s="700"/>
      <c r="CL615" s="706"/>
      <c r="CP615" s="700"/>
    </row>
    <row r="616" spans="7:94" ht="14.25" customHeight="1">
      <c r="G616" s="700"/>
      <c r="H616" s="701"/>
      <c r="I616" s="700"/>
      <c r="CL616" s="706"/>
      <c r="CP616" s="700"/>
    </row>
    <row r="617" spans="7:94" ht="14.25" customHeight="1">
      <c r="G617" s="700"/>
      <c r="H617" s="701"/>
      <c r="I617" s="700"/>
      <c r="CL617" s="706"/>
      <c r="CP617" s="700"/>
    </row>
    <row r="618" spans="7:94" ht="14.25" customHeight="1">
      <c r="G618" s="700"/>
      <c r="H618" s="701"/>
      <c r="I618" s="700"/>
      <c r="CL618" s="706"/>
      <c r="CP618" s="700"/>
    </row>
    <row r="619" spans="7:94" ht="14.25" customHeight="1">
      <c r="G619" s="700"/>
      <c r="H619" s="701"/>
      <c r="I619" s="700"/>
      <c r="CL619" s="706"/>
      <c r="CP619" s="700"/>
    </row>
    <row r="620" spans="7:94" ht="14.25" customHeight="1">
      <c r="G620" s="700"/>
      <c r="H620" s="701"/>
      <c r="I620" s="700"/>
      <c r="CL620" s="706"/>
      <c r="CP620" s="700"/>
    </row>
    <row r="621" spans="7:94" ht="14.25" customHeight="1">
      <c r="G621" s="700"/>
      <c r="H621" s="701"/>
      <c r="I621" s="700"/>
      <c r="CL621" s="706"/>
      <c r="CP621" s="700"/>
    </row>
    <row r="622" spans="7:94" ht="14.25" customHeight="1">
      <c r="G622" s="700"/>
      <c r="H622" s="701"/>
      <c r="I622" s="700"/>
      <c r="CL622" s="706"/>
      <c r="CP622" s="700"/>
    </row>
    <row r="623" spans="7:94" ht="14.25" customHeight="1">
      <c r="G623" s="700"/>
      <c r="H623" s="701"/>
      <c r="I623" s="700"/>
      <c r="CL623" s="706"/>
      <c r="CP623" s="700"/>
    </row>
    <row r="624" spans="7:94" ht="14.25" customHeight="1">
      <c r="G624" s="700"/>
      <c r="H624" s="701"/>
      <c r="I624" s="700"/>
      <c r="CL624" s="706"/>
      <c r="CP624" s="700"/>
    </row>
    <row r="625" spans="7:94" ht="14.25" customHeight="1">
      <c r="G625" s="700"/>
      <c r="H625" s="701"/>
      <c r="I625" s="700"/>
      <c r="CL625" s="706"/>
      <c r="CP625" s="700"/>
    </row>
    <row r="626" spans="7:94" ht="14.25" customHeight="1">
      <c r="G626" s="700"/>
      <c r="H626" s="701"/>
      <c r="I626" s="700"/>
      <c r="CL626" s="706"/>
      <c r="CP626" s="700"/>
    </row>
    <row r="627" spans="7:94" ht="14.25" customHeight="1">
      <c r="G627" s="700"/>
      <c r="H627" s="701"/>
      <c r="I627" s="700"/>
      <c r="CL627" s="706"/>
      <c r="CP627" s="700"/>
    </row>
    <row r="628" spans="7:94" ht="14.25" customHeight="1">
      <c r="G628" s="700"/>
      <c r="H628" s="701"/>
      <c r="I628" s="700"/>
      <c r="CL628" s="706"/>
      <c r="CP628" s="700"/>
    </row>
    <row r="629" spans="7:94" ht="14.25" customHeight="1">
      <c r="G629" s="700"/>
      <c r="H629" s="701"/>
      <c r="I629" s="700"/>
      <c r="CL629" s="706"/>
      <c r="CP629" s="700"/>
    </row>
    <row r="630" spans="7:94" ht="14.25" customHeight="1">
      <c r="G630" s="700"/>
      <c r="H630" s="701"/>
      <c r="I630" s="700"/>
      <c r="CL630" s="706"/>
      <c r="CP630" s="700"/>
    </row>
    <row r="631" spans="7:94" ht="14.25" customHeight="1">
      <c r="G631" s="700"/>
      <c r="H631" s="701"/>
      <c r="I631" s="700"/>
      <c r="CL631" s="706"/>
      <c r="CP631" s="700"/>
    </row>
    <row r="632" spans="7:94" ht="14.25" customHeight="1">
      <c r="G632" s="700"/>
      <c r="H632" s="701"/>
      <c r="I632" s="700"/>
      <c r="CL632" s="706"/>
      <c r="CP632" s="700"/>
    </row>
    <row r="633" spans="7:94" ht="14.25" customHeight="1">
      <c r="G633" s="700"/>
      <c r="H633" s="701"/>
      <c r="I633" s="700"/>
      <c r="CL633" s="706"/>
      <c r="CP633" s="700"/>
    </row>
    <row r="634" spans="7:94" ht="14.25" customHeight="1">
      <c r="G634" s="700"/>
      <c r="H634" s="701"/>
      <c r="I634" s="700"/>
      <c r="CL634" s="706"/>
      <c r="CP634" s="700"/>
    </row>
    <row r="635" spans="7:94" ht="14.25" customHeight="1">
      <c r="G635" s="700"/>
      <c r="H635" s="701"/>
      <c r="I635" s="700"/>
      <c r="CL635" s="706"/>
      <c r="CP635" s="700"/>
    </row>
    <row r="636" spans="7:94" ht="14.25" customHeight="1">
      <c r="G636" s="700"/>
      <c r="H636" s="701"/>
      <c r="I636" s="700"/>
      <c r="CL636" s="706"/>
      <c r="CP636" s="700"/>
    </row>
    <row r="637" spans="7:94" ht="14.25" customHeight="1">
      <c r="G637" s="700"/>
      <c r="H637" s="701"/>
      <c r="I637" s="700"/>
      <c r="CL637" s="706"/>
      <c r="CP637" s="700"/>
    </row>
    <row r="638" spans="7:94" ht="14.25" customHeight="1">
      <c r="G638" s="700"/>
      <c r="H638" s="701"/>
      <c r="I638" s="700"/>
      <c r="CL638" s="706"/>
      <c r="CP638" s="700"/>
    </row>
    <row r="639" spans="7:94" ht="14.25" customHeight="1">
      <c r="G639" s="700"/>
      <c r="H639" s="701"/>
      <c r="I639" s="700"/>
      <c r="CL639" s="706"/>
      <c r="CP639" s="700"/>
    </row>
    <row r="640" spans="7:94" ht="14.25" customHeight="1">
      <c r="G640" s="700"/>
      <c r="H640" s="701"/>
      <c r="I640" s="700"/>
      <c r="CL640" s="706"/>
      <c r="CP640" s="700"/>
    </row>
    <row r="641" spans="7:94" ht="14.25" customHeight="1">
      <c r="G641" s="700"/>
      <c r="H641" s="701"/>
      <c r="I641" s="700"/>
      <c r="CL641" s="706"/>
      <c r="CP641" s="700"/>
    </row>
    <row r="642" spans="7:94" ht="14.25" customHeight="1">
      <c r="G642" s="700"/>
      <c r="H642" s="701"/>
      <c r="I642" s="700"/>
      <c r="CL642" s="706"/>
      <c r="CP642" s="700"/>
    </row>
    <row r="643" spans="7:94" ht="14.25" customHeight="1">
      <c r="G643" s="700"/>
      <c r="H643" s="701"/>
      <c r="I643" s="700"/>
      <c r="CL643" s="706"/>
      <c r="CP643" s="700"/>
    </row>
    <row r="644" spans="7:94" ht="14.25" customHeight="1">
      <c r="G644" s="700"/>
      <c r="H644" s="701"/>
      <c r="I644" s="700"/>
      <c r="CL644" s="706"/>
      <c r="CP644" s="700"/>
    </row>
    <row r="645" spans="7:94" ht="14.25" customHeight="1">
      <c r="G645" s="700"/>
      <c r="H645" s="701"/>
      <c r="I645" s="700"/>
      <c r="CL645" s="706"/>
      <c r="CP645" s="700"/>
    </row>
    <row r="646" spans="7:94" ht="14.25" customHeight="1">
      <c r="G646" s="700"/>
      <c r="H646" s="701"/>
      <c r="I646" s="700"/>
      <c r="CL646" s="706"/>
      <c r="CP646" s="700"/>
    </row>
    <row r="647" spans="7:94" ht="14.25" customHeight="1">
      <c r="G647" s="700"/>
      <c r="H647" s="701"/>
      <c r="I647" s="700"/>
      <c r="CL647" s="706"/>
      <c r="CP647" s="700"/>
    </row>
    <row r="648" spans="7:94" ht="14.25" customHeight="1">
      <c r="G648" s="700"/>
      <c r="H648" s="701"/>
      <c r="I648" s="700"/>
      <c r="CL648" s="706"/>
      <c r="CP648" s="700"/>
    </row>
    <row r="649" spans="7:94" ht="14.25" customHeight="1">
      <c r="G649" s="700"/>
      <c r="H649" s="701"/>
      <c r="I649" s="700"/>
      <c r="CL649" s="706"/>
      <c r="CP649" s="700"/>
    </row>
    <row r="650" spans="7:94" ht="14.25" customHeight="1">
      <c r="G650" s="700"/>
      <c r="H650" s="701"/>
      <c r="I650" s="700"/>
      <c r="CL650" s="706"/>
      <c r="CP650" s="700"/>
    </row>
    <row r="651" spans="7:94" ht="14.25" customHeight="1">
      <c r="G651" s="700"/>
      <c r="H651" s="701"/>
      <c r="I651" s="700"/>
      <c r="CL651" s="706"/>
      <c r="CP651" s="700"/>
    </row>
    <row r="652" spans="7:94" ht="14.25" customHeight="1">
      <c r="G652" s="700"/>
      <c r="H652" s="701"/>
      <c r="I652" s="700"/>
      <c r="CL652" s="706"/>
      <c r="CP652" s="700"/>
    </row>
    <row r="653" spans="7:94" ht="14.25" customHeight="1">
      <c r="G653" s="700"/>
      <c r="H653" s="701"/>
      <c r="I653" s="700"/>
      <c r="CL653" s="706"/>
      <c r="CP653" s="700"/>
    </row>
    <row r="654" spans="7:94" ht="14.25" customHeight="1">
      <c r="G654" s="700"/>
      <c r="H654" s="701"/>
      <c r="I654" s="700"/>
      <c r="CL654" s="706"/>
      <c r="CP654" s="700"/>
    </row>
    <row r="655" spans="7:94" ht="14.25" customHeight="1">
      <c r="G655" s="700"/>
      <c r="H655" s="701"/>
      <c r="I655" s="700"/>
      <c r="CL655" s="706"/>
      <c r="CP655" s="700"/>
    </row>
    <row r="656" spans="7:94" ht="14.25" customHeight="1">
      <c r="G656" s="700"/>
      <c r="H656" s="701"/>
      <c r="I656" s="700"/>
      <c r="CL656" s="706"/>
      <c r="CP656" s="700"/>
    </row>
    <row r="657" spans="7:94" ht="14.25" customHeight="1">
      <c r="G657" s="700"/>
      <c r="H657" s="701"/>
      <c r="I657" s="700"/>
      <c r="CL657" s="706"/>
      <c r="CP657" s="700"/>
    </row>
    <row r="658" spans="7:94" ht="14.25" customHeight="1">
      <c r="G658" s="700"/>
      <c r="H658" s="701"/>
      <c r="I658" s="700"/>
      <c r="CL658" s="706"/>
      <c r="CP658" s="700"/>
    </row>
    <row r="659" spans="7:94" ht="14.25" customHeight="1">
      <c r="G659" s="700"/>
      <c r="H659" s="701"/>
      <c r="I659" s="700"/>
      <c r="CL659" s="706"/>
      <c r="CP659" s="700"/>
    </row>
    <row r="660" spans="7:94" ht="14.25" customHeight="1">
      <c r="G660" s="700"/>
      <c r="H660" s="701"/>
      <c r="I660" s="700"/>
      <c r="CL660" s="706"/>
      <c r="CP660" s="700"/>
    </row>
    <row r="661" spans="7:94" ht="14.25" customHeight="1">
      <c r="G661" s="700"/>
      <c r="H661" s="701"/>
      <c r="I661" s="700"/>
      <c r="CL661" s="706"/>
      <c r="CP661" s="700"/>
    </row>
    <row r="662" spans="7:94" ht="14.25" customHeight="1">
      <c r="G662" s="700"/>
      <c r="H662" s="701"/>
      <c r="I662" s="700"/>
      <c r="CL662" s="706"/>
      <c r="CP662" s="700"/>
    </row>
    <row r="663" spans="7:94" ht="14.25" customHeight="1">
      <c r="G663" s="700"/>
      <c r="H663" s="701"/>
      <c r="I663" s="700"/>
      <c r="CL663" s="706"/>
      <c r="CP663" s="700"/>
    </row>
    <row r="664" spans="7:94" ht="14.25" customHeight="1">
      <c r="G664" s="700"/>
      <c r="H664" s="701"/>
      <c r="I664" s="700"/>
      <c r="CL664" s="706"/>
      <c r="CP664" s="700"/>
    </row>
    <row r="665" spans="7:94" ht="14.25" customHeight="1">
      <c r="G665" s="700"/>
      <c r="H665" s="701"/>
      <c r="I665" s="700"/>
      <c r="CL665" s="706"/>
      <c r="CP665" s="700"/>
    </row>
    <row r="666" spans="7:94" ht="14.25" customHeight="1">
      <c r="G666" s="700"/>
      <c r="H666" s="701"/>
      <c r="I666" s="700"/>
      <c r="CL666" s="706"/>
      <c r="CP666" s="700"/>
    </row>
    <row r="667" spans="7:94" ht="14.25" customHeight="1">
      <c r="G667" s="700"/>
      <c r="H667" s="701"/>
      <c r="I667" s="700"/>
      <c r="CL667" s="706"/>
      <c r="CP667" s="700"/>
    </row>
    <row r="668" spans="7:94" ht="14.25" customHeight="1">
      <c r="G668" s="700"/>
      <c r="H668" s="701"/>
      <c r="I668" s="700"/>
      <c r="CL668" s="706"/>
      <c r="CP668" s="700"/>
    </row>
    <row r="669" spans="7:94" ht="14.25" customHeight="1">
      <c r="G669" s="700"/>
      <c r="H669" s="701"/>
      <c r="I669" s="700"/>
      <c r="CL669" s="706"/>
      <c r="CP669" s="700"/>
    </row>
    <row r="670" spans="7:94" ht="14.25" customHeight="1">
      <c r="G670" s="700"/>
      <c r="H670" s="701"/>
      <c r="I670" s="700"/>
      <c r="CL670" s="706"/>
      <c r="CP670" s="700"/>
    </row>
    <row r="671" spans="7:94" ht="14.25" customHeight="1">
      <c r="G671" s="700"/>
      <c r="H671" s="701"/>
      <c r="I671" s="700"/>
      <c r="CL671" s="706"/>
      <c r="CP671" s="700"/>
    </row>
    <row r="672" spans="7:94" ht="14.25" customHeight="1">
      <c r="G672" s="700"/>
      <c r="H672" s="701"/>
      <c r="I672" s="700"/>
      <c r="CL672" s="706"/>
      <c r="CP672" s="700"/>
    </row>
    <row r="673" spans="7:94" ht="14.25" customHeight="1">
      <c r="G673" s="700"/>
      <c r="H673" s="701"/>
      <c r="I673" s="700"/>
      <c r="CL673" s="706"/>
      <c r="CP673" s="700"/>
    </row>
    <row r="674" spans="7:94" ht="14.25" customHeight="1">
      <c r="G674" s="700"/>
      <c r="H674" s="701"/>
      <c r="I674" s="700"/>
      <c r="CL674" s="706"/>
      <c r="CP674" s="700"/>
    </row>
    <row r="675" spans="7:94" ht="14.25" customHeight="1">
      <c r="G675" s="700"/>
      <c r="H675" s="701"/>
      <c r="I675" s="700"/>
      <c r="CL675" s="706"/>
      <c r="CP675" s="700"/>
    </row>
    <row r="676" spans="7:94" ht="14.25" customHeight="1">
      <c r="G676" s="700"/>
      <c r="H676" s="701"/>
      <c r="I676" s="700"/>
      <c r="CL676" s="706"/>
      <c r="CP676" s="700"/>
    </row>
    <row r="677" spans="7:94" ht="14.25" customHeight="1">
      <c r="G677" s="700"/>
      <c r="H677" s="701"/>
      <c r="I677" s="700"/>
      <c r="CL677" s="706"/>
      <c r="CP677" s="700"/>
    </row>
    <row r="678" spans="7:94" ht="14.25" customHeight="1">
      <c r="G678" s="700"/>
      <c r="H678" s="701"/>
      <c r="I678" s="700"/>
      <c r="CL678" s="706"/>
      <c r="CP678" s="700"/>
    </row>
    <row r="679" spans="7:94" ht="14.25" customHeight="1">
      <c r="G679" s="700"/>
      <c r="H679" s="701"/>
      <c r="I679" s="700"/>
      <c r="CL679" s="706"/>
      <c r="CP679" s="700"/>
    </row>
    <row r="680" spans="7:94" ht="14.25" customHeight="1">
      <c r="G680" s="700"/>
      <c r="H680" s="701"/>
      <c r="I680" s="700"/>
      <c r="CL680" s="706"/>
      <c r="CP680" s="700"/>
    </row>
    <row r="681" spans="7:94" ht="14.25" customHeight="1">
      <c r="G681" s="700"/>
      <c r="H681" s="701"/>
      <c r="I681" s="700"/>
      <c r="CL681" s="706"/>
      <c r="CP681" s="700"/>
    </row>
    <row r="682" spans="7:94" ht="14.25" customHeight="1">
      <c r="G682" s="700"/>
      <c r="H682" s="701"/>
      <c r="I682" s="700"/>
      <c r="CL682" s="706"/>
      <c r="CP682" s="700"/>
    </row>
    <row r="683" spans="7:94" ht="14.25" customHeight="1">
      <c r="G683" s="700"/>
      <c r="H683" s="701"/>
      <c r="I683" s="700"/>
      <c r="CL683" s="706"/>
      <c r="CP683" s="700"/>
    </row>
    <row r="684" spans="7:94" ht="14.25" customHeight="1">
      <c r="G684" s="700"/>
      <c r="H684" s="701"/>
      <c r="I684" s="700"/>
      <c r="CL684" s="706"/>
      <c r="CP684" s="700"/>
    </row>
    <row r="685" spans="7:94" ht="14.25" customHeight="1">
      <c r="G685" s="700"/>
      <c r="H685" s="701"/>
      <c r="I685" s="700"/>
      <c r="CL685" s="706"/>
      <c r="CP685" s="700"/>
    </row>
    <row r="686" spans="7:94" ht="14.25" customHeight="1">
      <c r="G686" s="700"/>
      <c r="H686" s="701"/>
      <c r="I686" s="700"/>
      <c r="CL686" s="706"/>
      <c r="CP686" s="700"/>
    </row>
    <row r="687" spans="7:94" ht="14.25" customHeight="1">
      <c r="G687" s="700"/>
      <c r="H687" s="701"/>
      <c r="I687" s="700"/>
      <c r="CL687" s="706"/>
      <c r="CP687" s="700"/>
    </row>
    <row r="688" spans="7:94" ht="14.25" customHeight="1">
      <c r="G688" s="700"/>
      <c r="H688" s="701"/>
      <c r="I688" s="700"/>
      <c r="CL688" s="706"/>
      <c r="CP688" s="700"/>
    </row>
    <row r="689" spans="7:94" ht="14.25" customHeight="1">
      <c r="G689" s="700"/>
      <c r="H689" s="701"/>
      <c r="I689" s="700"/>
      <c r="CL689" s="706"/>
      <c r="CP689" s="700"/>
    </row>
    <row r="690" spans="7:94" ht="14.25" customHeight="1">
      <c r="G690" s="700"/>
      <c r="H690" s="701"/>
      <c r="I690" s="700"/>
      <c r="CL690" s="706"/>
      <c r="CP690" s="700"/>
    </row>
    <row r="691" spans="7:94" ht="14.25" customHeight="1">
      <c r="G691" s="700"/>
      <c r="H691" s="701"/>
      <c r="I691" s="700"/>
      <c r="CL691" s="706"/>
      <c r="CP691" s="700"/>
    </row>
    <row r="692" spans="7:94" ht="14.25" customHeight="1">
      <c r="G692" s="700"/>
      <c r="H692" s="701"/>
      <c r="I692" s="700"/>
      <c r="CL692" s="706"/>
      <c r="CP692" s="700"/>
    </row>
    <row r="693" spans="7:94" ht="14.25" customHeight="1">
      <c r="G693" s="700"/>
      <c r="H693" s="701"/>
      <c r="I693" s="700"/>
      <c r="CL693" s="706"/>
      <c r="CP693" s="700"/>
    </row>
    <row r="694" spans="7:94" ht="14.25" customHeight="1">
      <c r="G694" s="700"/>
      <c r="H694" s="701"/>
      <c r="I694" s="700"/>
      <c r="CL694" s="706"/>
      <c r="CP694" s="700"/>
    </row>
    <row r="695" spans="7:94" ht="14.25" customHeight="1">
      <c r="G695" s="700"/>
      <c r="H695" s="701"/>
      <c r="I695" s="700"/>
      <c r="CL695" s="706"/>
      <c r="CP695" s="700"/>
    </row>
    <row r="696" spans="7:94" ht="14.25" customHeight="1">
      <c r="G696" s="700"/>
      <c r="H696" s="701"/>
      <c r="I696" s="700"/>
      <c r="CL696" s="706"/>
      <c r="CP696" s="700"/>
    </row>
    <row r="697" spans="7:94" ht="14.25" customHeight="1">
      <c r="G697" s="700"/>
      <c r="H697" s="701"/>
      <c r="I697" s="700"/>
      <c r="CL697" s="706"/>
      <c r="CP697" s="700"/>
    </row>
    <row r="698" spans="7:94" ht="14.25" customHeight="1">
      <c r="G698" s="700"/>
      <c r="H698" s="701"/>
      <c r="I698" s="700"/>
      <c r="CL698" s="706"/>
      <c r="CP698" s="700"/>
    </row>
    <row r="699" spans="7:94" ht="14.25" customHeight="1">
      <c r="G699" s="700"/>
      <c r="H699" s="701"/>
      <c r="I699" s="700"/>
      <c r="CL699" s="706"/>
      <c r="CP699" s="700"/>
    </row>
    <row r="700" spans="7:94" ht="14.25" customHeight="1">
      <c r="G700" s="700"/>
      <c r="H700" s="701"/>
      <c r="I700" s="700"/>
      <c r="CL700" s="706"/>
      <c r="CP700" s="700"/>
    </row>
    <row r="701" spans="7:94" ht="14.25" customHeight="1">
      <c r="G701" s="700"/>
      <c r="H701" s="701"/>
      <c r="I701" s="700"/>
      <c r="CL701" s="706"/>
      <c r="CP701" s="700"/>
    </row>
    <row r="702" spans="7:94" ht="14.25" customHeight="1">
      <c r="G702" s="700"/>
      <c r="H702" s="701"/>
      <c r="I702" s="700"/>
      <c r="CL702" s="706"/>
      <c r="CP702" s="700"/>
    </row>
    <row r="703" spans="7:94" ht="14.25" customHeight="1">
      <c r="G703" s="700"/>
      <c r="H703" s="701"/>
      <c r="I703" s="700"/>
      <c r="CL703" s="706"/>
      <c r="CP703" s="700"/>
    </row>
    <row r="704" spans="7:94" ht="14.25" customHeight="1">
      <c r="G704" s="700"/>
      <c r="H704" s="701"/>
      <c r="I704" s="700"/>
      <c r="CL704" s="706"/>
      <c r="CP704" s="700"/>
    </row>
    <row r="705" spans="7:94" ht="14.25" customHeight="1">
      <c r="G705" s="700"/>
      <c r="H705" s="701"/>
      <c r="I705" s="700"/>
      <c r="CL705" s="706"/>
      <c r="CP705" s="700"/>
    </row>
    <row r="706" spans="7:94" ht="14.25" customHeight="1">
      <c r="G706" s="700"/>
      <c r="H706" s="701"/>
      <c r="I706" s="700"/>
      <c r="CL706" s="706"/>
      <c r="CP706" s="700"/>
    </row>
    <row r="707" spans="7:94" ht="14.25" customHeight="1">
      <c r="G707" s="700"/>
      <c r="H707" s="701"/>
      <c r="I707" s="700"/>
      <c r="CL707" s="706"/>
      <c r="CP707" s="700"/>
    </row>
    <row r="708" spans="7:94" ht="14.25" customHeight="1">
      <c r="G708" s="700"/>
      <c r="H708" s="701"/>
      <c r="I708" s="700"/>
      <c r="CL708" s="706"/>
      <c r="CP708" s="700"/>
    </row>
    <row r="709" spans="7:94" ht="14.25" customHeight="1">
      <c r="G709" s="700"/>
      <c r="H709" s="701"/>
      <c r="I709" s="700"/>
      <c r="CL709" s="706"/>
      <c r="CP709" s="700"/>
    </row>
    <row r="710" spans="7:94" ht="14.25" customHeight="1">
      <c r="G710" s="700"/>
      <c r="H710" s="701"/>
      <c r="I710" s="700"/>
      <c r="CL710" s="706"/>
      <c r="CP710" s="700"/>
    </row>
    <row r="711" spans="7:94" ht="14.25" customHeight="1">
      <c r="G711" s="700"/>
      <c r="H711" s="701"/>
      <c r="I711" s="700"/>
      <c r="CL711" s="706"/>
      <c r="CP711" s="700"/>
    </row>
    <row r="712" spans="7:94" ht="14.25" customHeight="1">
      <c r="G712" s="700"/>
      <c r="H712" s="701"/>
      <c r="I712" s="700"/>
      <c r="CL712" s="706"/>
      <c r="CP712" s="700"/>
    </row>
    <row r="713" spans="7:94" ht="14.25" customHeight="1">
      <c r="G713" s="700"/>
      <c r="H713" s="701"/>
      <c r="I713" s="700"/>
      <c r="CL713" s="706"/>
      <c r="CP713" s="700"/>
    </row>
    <row r="714" spans="7:94" ht="14.25" customHeight="1">
      <c r="G714" s="700"/>
      <c r="H714" s="701"/>
      <c r="I714" s="700"/>
      <c r="CL714" s="706"/>
      <c r="CP714" s="700"/>
    </row>
    <row r="715" spans="7:94" ht="14.25" customHeight="1">
      <c r="G715" s="700"/>
      <c r="H715" s="701"/>
      <c r="I715" s="700"/>
      <c r="CL715" s="706"/>
      <c r="CP715" s="700"/>
    </row>
    <row r="716" spans="7:94" ht="14.25" customHeight="1">
      <c r="G716" s="700"/>
      <c r="H716" s="701"/>
      <c r="I716" s="700"/>
      <c r="CL716" s="706"/>
      <c r="CP716" s="700"/>
    </row>
    <row r="717" spans="7:94" ht="14.25" customHeight="1">
      <c r="G717" s="700"/>
      <c r="H717" s="701"/>
      <c r="I717" s="700"/>
      <c r="CL717" s="706"/>
      <c r="CP717" s="700"/>
    </row>
    <row r="718" spans="7:94" ht="14.25" customHeight="1">
      <c r="G718" s="700"/>
      <c r="H718" s="701"/>
      <c r="I718" s="700"/>
      <c r="CL718" s="706"/>
      <c r="CP718" s="700"/>
    </row>
    <row r="719" spans="7:94" ht="14.25" customHeight="1">
      <c r="G719" s="700"/>
      <c r="H719" s="701"/>
      <c r="I719" s="700"/>
      <c r="CL719" s="706"/>
      <c r="CP719" s="700"/>
    </row>
    <row r="720" spans="7:94" ht="14.25" customHeight="1">
      <c r="G720" s="700"/>
      <c r="H720" s="701"/>
      <c r="I720" s="700"/>
      <c r="CL720" s="706"/>
      <c r="CP720" s="700"/>
    </row>
    <row r="721" spans="7:94" ht="14.25" customHeight="1">
      <c r="G721" s="700"/>
      <c r="H721" s="701"/>
      <c r="I721" s="700"/>
      <c r="CL721" s="706"/>
      <c r="CP721" s="700"/>
    </row>
    <row r="722" spans="7:94" ht="14.25" customHeight="1">
      <c r="G722" s="700"/>
      <c r="H722" s="701"/>
      <c r="I722" s="700"/>
      <c r="CL722" s="706"/>
      <c r="CP722" s="700"/>
    </row>
    <row r="723" spans="7:94" ht="14.25" customHeight="1">
      <c r="G723" s="700"/>
      <c r="H723" s="701"/>
      <c r="I723" s="700"/>
      <c r="CL723" s="706"/>
      <c r="CP723" s="700"/>
    </row>
    <row r="724" spans="7:94" ht="14.25" customHeight="1">
      <c r="G724" s="700"/>
      <c r="H724" s="701"/>
      <c r="I724" s="700"/>
      <c r="CL724" s="706"/>
      <c r="CP724" s="700"/>
    </row>
    <row r="725" spans="7:94" ht="14.25" customHeight="1">
      <c r="G725" s="700"/>
      <c r="H725" s="701"/>
      <c r="I725" s="700"/>
      <c r="CL725" s="706"/>
      <c r="CP725" s="700"/>
    </row>
    <row r="726" spans="7:94" ht="14.25" customHeight="1">
      <c r="G726" s="700"/>
      <c r="H726" s="701"/>
      <c r="I726" s="700"/>
      <c r="CL726" s="706"/>
      <c r="CP726" s="700"/>
    </row>
    <row r="727" spans="7:94" ht="14.25" customHeight="1">
      <c r="G727" s="700"/>
      <c r="H727" s="701"/>
      <c r="I727" s="700"/>
      <c r="CL727" s="706"/>
      <c r="CP727" s="700"/>
    </row>
    <row r="728" spans="7:94" ht="14.25" customHeight="1">
      <c r="G728" s="700"/>
      <c r="H728" s="701"/>
      <c r="I728" s="700"/>
      <c r="CL728" s="706"/>
      <c r="CP728" s="700"/>
    </row>
    <row r="729" spans="7:94" ht="14.25" customHeight="1">
      <c r="G729" s="700"/>
      <c r="H729" s="701"/>
      <c r="I729" s="700"/>
      <c r="CL729" s="706"/>
      <c r="CP729" s="700"/>
    </row>
    <row r="730" spans="7:94" ht="14.25" customHeight="1">
      <c r="G730" s="700"/>
      <c r="H730" s="701"/>
      <c r="I730" s="700"/>
      <c r="CL730" s="706"/>
      <c r="CP730" s="700"/>
    </row>
    <row r="731" spans="7:94" ht="14.25" customHeight="1">
      <c r="G731" s="700"/>
      <c r="H731" s="701"/>
      <c r="I731" s="700"/>
      <c r="CL731" s="706"/>
      <c r="CP731" s="700"/>
    </row>
    <row r="732" spans="7:94" ht="14.25" customHeight="1">
      <c r="G732" s="700"/>
      <c r="H732" s="701"/>
      <c r="I732" s="700"/>
      <c r="CL732" s="706"/>
      <c r="CP732" s="700"/>
    </row>
    <row r="733" spans="7:94" ht="14.25" customHeight="1">
      <c r="G733" s="700"/>
      <c r="H733" s="701"/>
      <c r="I733" s="700"/>
      <c r="CL733" s="706"/>
      <c r="CP733" s="700"/>
    </row>
    <row r="734" spans="7:94" ht="14.25" customHeight="1">
      <c r="G734" s="700"/>
      <c r="H734" s="701"/>
      <c r="I734" s="700"/>
      <c r="CL734" s="706"/>
      <c r="CP734" s="700"/>
    </row>
    <row r="735" spans="7:94" ht="14.25" customHeight="1">
      <c r="G735" s="700"/>
      <c r="H735" s="701"/>
      <c r="I735" s="700"/>
      <c r="CL735" s="706"/>
      <c r="CP735" s="700"/>
    </row>
    <row r="736" spans="7:94" ht="14.25" customHeight="1">
      <c r="G736" s="700"/>
      <c r="H736" s="701"/>
      <c r="I736" s="700"/>
      <c r="CL736" s="706"/>
      <c r="CP736" s="700"/>
    </row>
    <row r="737" spans="7:94" ht="14.25" customHeight="1">
      <c r="G737" s="700"/>
      <c r="H737" s="701"/>
      <c r="I737" s="700"/>
      <c r="CL737" s="706"/>
      <c r="CP737" s="700"/>
    </row>
    <row r="738" spans="7:94" ht="14.25" customHeight="1">
      <c r="G738" s="700"/>
      <c r="H738" s="701"/>
      <c r="I738" s="700"/>
      <c r="CL738" s="706"/>
      <c r="CP738" s="700"/>
    </row>
    <row r="739" spans="7:94" ht="14.25" customHeight="1">
      <c r="G739" s="700"/>
      <c r="H739" s="701"/>
      <c r="I739" s="700"/>
      <c r="CL739" s="706"/>
      <c r="CP739" s="700"/>
    </row>
    <row r="740" spans="7:94" ht="14.25" customHeight="1">
      <c r="G740" s="700"/>
      <c r="H740" s="701"/>
      <c r="I740" s="700"/>
      <c r="CL740" s="706"/>
      <c r="CP740" s="700"/>
    </row>
    <row r="741" spans="7:94" ht="14.25" customHeight="1">
      <c r="G741" s="700"/>
      <c r="H741" s="701"/>
      <c r="I741" s="700"/>
      <c r="CL741" s="706"/>
      <c r="CP741" s="700"/>
    </row>
    <row r="742" spans="7:94" ht="14.25" customHeight="1">
      <c r="G742" s="700"/>
      <c r="H742" s="701"/>
      <c r="I742" s="700"/>
      <c r="CL742" s="706"/>
      <c r="CP742" s="700"/>
    </row>
    <row r="743" spans="7:94" ht="14.25" customHeight="1">
      <c r="G743" s="700"/>
      <c r="H743" s="701"/>
      <c r="I743" s="700"/>
      <c r="CL743" s="706"/>
      <c r="CP743" s="700"/>
    </row>
    <row r="744" spans="7:94" ht="14.25" customHeight="1">
      <c r="G744" s="700"/>
      <c r="H744" s="701"/>
      <c r="I744" s="700"/>
      <c r="CL744" s="706"/>
      <c r="CP744" s="700"/>
    </row>
    <row r="745" spans="7:94" ht="14.25" customHeight="1">
      <c r="G745" s="700"/>
      <c r="H745" s="701"/>
      <c r="I745" s="700"/>
      <c r="CL745" s="706"/>
      <c r="CP745" s="700"/>
    </row>
    <row r="746" spans="7:94" ht="14.25" customHeight="1">
      <c r="G746" s="700"/>
      <c r="H746" s="701"/>
      <c r="I746" s="700"/>
      <c r="CL746" s="706"/>
      <c r="CP746" s="700"/>
    </row>
    <row r="747" spans="7:94" ht="14.25" customHeight="1">
      <c r="G747" s="700"/>
      <c r="H747" s="701"/>
      <c r="I747" s="700"/>
      <c r="CL747" s="706"/>
      <c r="CP747" s="700"/>
    </row>
    <row r="748" spans="7:94" ht="14.25" customHeight="1">
      <c r="G748" s="700"/>
      <c r="H748" s="701"/>
      <c r="I748" s="700"/>
      <c r="CL748" s="706"/>
      <c r="CP748" s="700"/>
    </row>
    <row r="749" spans="7:94" ht="14.25" customHeight="1">
      <c r="G749" s="700"/>
      <c r="H749" s="701"/>
      <c r="I749" s="700"/>
      <c r="CL749" s="706"/>
      <c r="CP749" s="700"/>
    </row>
    <row r="750" spans="7:94" ht="14.25" customHeight="1">
      <c r="G750" s="700"/>
      <c r="H750" s="701"/>
      <c r="I750" s="700"/>
      <c r="CL750" s="706"/>
      <c r="CP750" s="700"/>
    </row>
    <row r="751" spans="7:94" ht="14.25" customHeight="1">
      <c r="G751" s="700"/>
      <c r="H751" s="701"/>
      <c r="I751" s="700"/>
      <c r="CL751" s="706"/>
      <c r="CP751" s="700"/>
    </row>
    <row r="752" spans="7:94" ht="14.25" customHeight="1">
      <c r="G752" s="700"/>
      <c r="H752" s="701"/>
      <c r="I752" s="700"/>
      <c r="CL752" s="706"/>
      <c r="CP752" s="700"/>
    </row>
    <row r="753" spans="7:94" ht="14.25" customHeight="1">
      <c r="G753" s="700"/>
      <c r="H753" s="701"/>
      <c r="I753" s="700"/>
      <c r="CL753" s="706"/>
      <c r="CP753" s="700"/>
    </row>
    <row r="754" spans="7:94" ht="14.25" customHeight="1">
      <c r="G754" s="700"/>
      <c r="H754" s="701"/>
      <c r="I754" s="700"/>
      <c r="CL754" s="706"/>
      <c r="CP754" s="700"/>
    </row>
    <row r="755" spans="7:94" ht="14.25" customHeight="1">
      <c r="G755" s="700"/>
      <c r="H755" s="701"/>
      <c r="I755" s="700"/>
      <c r="CL755" s="706"/>
      <c r="CP755" s="700"/>
    </row>
    <row r="756" spans="7:94" ht="14.25" customHeight="1">
      <c r="G756" s="700"/>
      <c r="H756" s="701"/>
      <c r="I756" s="700"/>
      <c r="CL756" s="706"/>
      <c r="CP756" s="700"/>
    </row>
    <row r="757" spans="7:94" ht="14.25" customHeight="1">
      <c r="G757" s="700"/>
      <c r="H757" s="701"/>
      <c r="I757" s="700"/>
      <c r="CL757" s="706"/>
      <c r="CP757" s="700"/>
    </row>
    <row r="758" spans="7:94" ht="14.25" customHeight="1">
      <c r="G758" s="700"/>
      <c r="H758" s="701"/>
      <c r="I758" s="700"/>
      <c r="CL758" s="706"/>
      <c r="CP758" s="700"/>
    </row>
    <row r="759" spans="7:94" ht="14.25" customHeight="1">
      <c r="G759" s="700"/>
      <c r="H759" s="701"/>
      <c r="I759" s="700"/>
      <c r="CL759" s="706"/>
      <c r="CP759" s="700"/>
    </row>
    <row r="760" spans="7:94" ht="14.25" customHeight="1">
      <c r="G760" s="700"/>
      <c r="H760" s="701"/>
      <c r="I760" s="700"/>
      <c r="CL760" s="706"/>
      <c r="CP760" s="700"/>
    </row>
    <row r="761" spans="7:94" ht="14.25" customHeight="1">
      <c r="G761" s="700"/>
      <c r="H761" s="701"/>
      <c r="I761" s="700"/>
      <c r="CL761" s="706"/>
      <c r="CP761" s="700"/>
    </row>
    <row r="762" spans="7:94" ht="14.25" customHeight="1">
      <c r="G762" s="700"/>
      <c r="H762" s="701"/>
      <c r="I762" s="700"/>
      <c r="CL762" s="706"/>
      <c r="CP762" s="700"/>
    </row>
    <row r="763" spans="7:94" ht="14.25" customHeight="1">
      <c r="G763" s="700"/>
      <c r="H763" s="701"/>
      <c r="I763" s="700"/>
      <c r="CL763" s="706"/>
      <c r="CP763" s="700"/>
    </row>
    <row r="764" spans="7:94" ht="14.25" customHeight="1">
      <c r="G764" s="700"/>
      <c r="H764" s="701"/>
      <c r="I764" s="700"/>
      <c r="CL764" s="706"/>
      <c r="CP764" s="700"/>
    </row>
    <row r="765" spans="7:94" ht="14.25" customHeight="1">
      <c r="G765" s="700"/>
      <c r="H765" s="701"/>
      <c r="I765" s="700"/>
      <c r="CL765" s="706"/>
      <c r="CP765" s="700"/>
    </row>
    <row r="766" spans="7:94" ht="14.25" customHeight="1">
      <c r="G766" s="700"/>
      <c r="H766" s="701"/>
      <c r="I766" s="700"/>
      <c r="CL766" s="706"/>
      <c r="CP766" s="700"/>
    </row>
    <row r="767" spans="7:94" ht="14.25" customHeight="1">
      <c r="G767" s="700"/>
      <c r="H767" s="701"/>
      <c r="I767" s="700"/>
      <c r="CL767" s="706"/>
      <c r="CP767" s="700"/>
    </row>
    <row r="768" spans="7:94" ht="14.25" customHeight="1">
      <c r="G768" s="700"/>
      <c r="H768" s="701"/>
      <c r="I768" s="700"/>
      <c r="CL768" s="706"/>
      <c r="CP768" s="700"/>
    </row>
    <row r="769" spans="7:94" ht="14.25" customHeight="1">
      <c r="G769" s="700"/>
      <c r="H769" s="701"/>
      <c r="I769" s="700"/>
      <c r="CL769" s="706"/>
      <c r="CP769" s="700"/>
    </row>
    <row r="770" spans="7:94" ht="14.25" customHeight="1">
      <c r="G770" s="700"/>
      <c r="H770" s="701"/>
      <c r="I770" s="700"/>
      <c r="CL770" s="706"/>
      <c r="CP770" s="700"/>
    </row>
    <row r="771" spans="7:94" ht="14.25" customHeight="1">
      <c r="G771" s="700"/>
      <c r="H771" s="701"/>
      <c r="I771" s="700"/>
      <c r="CL771" s="706"/>
      <c r="CP771" s="700"/>
    </row>
    <row r="772" spans="7:94" ht="14.25" customHeight="1">
      <c r="G772" s="700"/>
      <c r="H772" s="701"/>
      <c r="I772" s="700"/>
      <c r="CL772" s="706"/>
      <c r="CP772" s="700"/>
    </row>
    <row r="773" spans="7:94" ht="14.25" customHeight="1">
      <c r="G773" s="700"/>
      <c r="H773" s="701"/>
      <c r="I773" s="700"/>
      <c r="CL773" s="706"/>
      <c r="CP773" s="700"/>
    </row>
    <row r="774" spans="7:94" ht="14.25" customHeight="1">
      <c r="G774" s="700"/>
      <c r="H774" s="701"/>
      <c r="I774" s="700"/>
      <c r="CL774" s="706"/>
      <c r="CP774" s="700"/>
    </row>
    <row r="775" spans="7:94" ht="14.25" customHeight="1">
      <c r="G775" s="700"/>
      <c r="H775" s="701"/>
      <c r="I775" s="700"/>
      <c r="CL775" s="706"/>
      <c r="CP775" s="700"/>
    </row>
    <row r="776" spans="7:94" ht="14.25" customHeight="1">
      <c r="G776" s="700"/>
      <c r="H776" s="701"/>
      <c r="I776" s="700"/>
      <c r="CL776" s="706"/>
      <c r="CP776" s="700"/>
    </row>
    <row r="777" spans="7:94" ht="14.25" customHeight="1">
      <c r="G777" s="700"/>
      <c r="H777" s="701"/>
      <c r="I777" s="700"/>
      <c r="CL777" s="706"/>
      <c r="CP777" s="700"/>
    </row>
    <row r="778" spans="7:94" ht="14.25" customHeight="1">
      <c r="G778" s="700"/>
      <c r="H778" s="701"/>
      <c r="I778" s="700"/>
      <c r="CL778" s="706"/>
      <c r="CP778" s="700"/>
    </row>
    <row r="779" spans="7:94" ht="14.25" customHeight="1">
      <c r="G779" s="700"/>
      <c r="H779" s="701"/>
      <c r="I779" s="700"/>
      <c r="CL779" s="706"/>
      <c r="CP779" s="700"/>
    </row>
    <row r="780" spans="7:94" ht="14.25" customHeight="1">
      <c r="G780" s="700"/>
      <c r="H780" s="701"/>
      <c r="I780" s="700"/>
      <c r="CL780" s="706"/>
      <c r="CP780" s="700"/>
    </row>
    <row r="781" spans="7:94" ht="14.25" customHeight="1">
      <c r="G781" s="700"/>
      <c r="H781" s="701"/>
      <c r="I781" s="700"/>
      <c r="CL781" s="706"/>
      <c r="CP781" s="700"/>
    </row>
    <row r="782" spans="7:94" ht="14.25" customHeight="1">
      <c r="G782" s="700"/>
      <c r="H782" s="701"/>
      <c r="I782" s="700"/>
      <c r="CL782" s="706"/>
      <c r="CP782" s="700"/>
    </row>
    <row r="783" spans="7:94" ht="14.25" customHeight="1">
      <c r="G783" s="700"/>
      <c r="H783" s="701"/>
      <c r="I783" s="700"/>
      <c r="CL783" s="706"/>
      <c r="CP783" s="700"/>
    </row>
    <row r="784" spans="7:94" ht="14.25" customHeight="1">
      <c r="G784" s="700"/>
      <c r="H784" s="701"/>
      <c r="I784" s="700"/>
      <c r="CL784" s="706"/>
      <c r="CP784" s="700"/>
    </row>
    <row r="785" spans="7:94" ht="14.25" customHeight="1">
      <c r="G785" s="700"/>
      <c r="H785" s="701"/>
      <c r="I785" s="700"/>
      <c r="CL785" s="706"/>
      <c r="CP785" s="700"/>
    </row>
    <row r="786" spans="7:94" ht="14.25" customHeight="1">
      <c r="G786" s="700"/>
      <c r="H786" s="701"/>
      <c r="I786" s="700"/>
      <c r="CL786" s="706"/>
      <c r="CP786" s="700"/>
    </row>
    <row r="787" spans="7:94" ht="14.25" customHeight="1">
      <c r="G787" s="700"/>
      <c r="H787" s="701"/>
      <c r="I787" s="700"/>
      <c r="CL787" s="706"/>
      <c r="CP787" s="700"/>
    </row>
    <row r="788" spans="7:94" ht="14.25" customHeight="1">
      <c r="G788" s="700"/>
      <c r="H788" s="701"/>
      <c r="I788" s="700"/>
      <c r="CL788" s="706"/>
      <c r="CP788" s="700"/>
    </row>
    <row r="789" spans="7:94" ht="14.25" customHeight="1">
      <c r="G789" s="700"/>
      <c r="H789" s="701"/>
      <c r="I789" s="700"/>
      <c r="CL789" s="706"/>
      <c r="CP789" s="700"/>
    </row>
    <row r="790" spans="7:94" ht="14.25" customHeight="1">
      <c r="G790" s="700"/>
      <c r="H790" s="701"/>
      <c r="I790" s="700"/>
      <c r="CL790" s="706"/>
      <c r="CP790" s="700"/>
    </row>
    <row r="791" spans="7:94" ht="14.25" customHeight="1">
      <c r="G791" s="700"/>
      <c r="H791" s="701"/>
      <c r="I791" s="700"/>
      <c r="CL791" s="706"/>
      <c r="CP791" s="700"/>
    </row>
    <row r="792" spans="7:94" ht="14.25" customHeight="1">
      <c r="G792" s="700"/>
      <c r="H792" s="701"/>
      <c r="I792" s="700"/>
      <c r="CL792" s="706"/>
      <c r="CP792" s="700"/>
    </row>
    <row r="793" spans="7:94" ht="14.25" customHeight="1">
      <c r="G793" s="700"/>
      <c r="H793" s="701"/>
      <c r="I793" s="700"/>
      <c r="CL793" s="706"/>
      <c r="CP793" s="700"/>
    </row>
    <row r="794" spans="7:94" ht="14.25" customHeight="1">
      <c r="G794" s="700"/>
      <c r="H794" s="701"/>
      <c r="I794" s="700"/>
      <c r="CL794" s="706"/>
      <c r="CP794" s="700"/>
    </row>
    <row r="795" spans="7:94" ht="14.25" customHeight="1">
      <c r="G795" s="700"/>
      <c r="H795" s="701"/>
      <c r="I795" s="700"/>
      <c r="CL795" s="706"/>
      <c r="CP795" s="700"/>
    </row>
    <row r="796" spans="7:94" ht="14.25" customHeight="1">
      <c r="G796" s="700"/>
      <c r="H796" s="701"/>
      <c r="I796" s="700"/>
      <c r="CL796" s="706"/>
      <c r="CP796" s="700"/>
    </row>
    <row r="797" spans="7:94" ht="14.25" customHeight="1">
      <c r="G797" s="700"/>
      <c r="H797" s="701"/>
      <c r="I797" s="700"/>
      <c r="CL797" s="706"/>
      <c r="CP797" s="700"/>
    </row>
    <row r="798" spans="7:94" ht="14.25" customHeight="1">
      <c r="G798" s="700"/>
      <c r="H798" s="701"/>
      <c r="I798" s="700"/>
      <c r="CL798" s="706"/>
      <c r="CP798" s="700"/>
    </row>
    <row r="799" spans="7:94" ht="14.25" customHeight="1">
      <c r="G799" s="700"/>
      <c r="H799" s="701"/>
      <c r="I799" s="700"/>
      <c r="CL799" s="706"/>
      <c r="CP799" s="700"/>
    </row>
    <row r="800" spans="7:94" ht="14.25" customHeight="1">
      <c r="G800" s="700"/>
      <c r="H800" s="701"/>
      <c r="I800" s="700"/>
      <c r="CL800" s="706"/>
      <c r="CP800" s="700"/>
    </row>
    <row r="801" spans="7:94" ht="14.25" customHeight="1">
      <c r="G801" s="700"/>
      <c r="H801" s="701"/>
      <c r="I801" s="700"/>
      <c r="CL801" s="706"/>
      <c r="CP801" s="700"/>
    </row>
    <row r="802" spans="7:94" ht="14.25" customHeight="1">
      <c r="G802" s="700"/>
      <c r="H802" s="701"/>
      <c r="I802" s="700"/>
      <c r="CL802" s="706"/>
      <c r="CP802" s="700"/>
    </row>
    <row r="803" spans="7:94" ht="14.25" customHeight="1">
      <c r="G803" s="700"/>
      <c r="H803" s="701"/>
      <c r="I803" s="700"/>
      <c r="CL803" s="706"/>
      <c r="CP803" s="700"/>
    </row>
    <row r="804" spans="7:94" ht="14.25" customHeight="1">
      <c r="G804" s="700"/>
      <c r="H804" s="701"/>
      <c r="I804" s="700"/>
      <c r="CL804" s="706"/>
      <c r="CP804" s="700"/>
    </row>
    <row r="805" spans="7:94" ht="14.25" customHeight="1">
      <c r="G805" s="700"/>
      <c r="H805" s="701"/>
      <c r="I805" s="700"/>
      <c r="CL805" s="706"/>
      <c r="CP805" s="700"/>
    </row>
    <row r="806" spans="7:94" ht="14.25" customHeight="1">
      <c r="G806" s="700"/>
      <c r="H806" s="701"/>
      <c r="I806" s="700"/>
      <c r="CL806" s="706"/>
      <c r="CP806" s="700"/>
    </row>
    <row r="807" spans="7:94" ht="14.25" customHeight="1">
      <c r="G807" s="700"/>
      <c r="H807" s="701"/>
      <c r="I807" s="700"/>
      <c r="CL807" s="706"/>
      <c r="CP807" s="700"/>
    </row>
    <row r="808" spans="7:94" ht="14.25" customHeight="1">
      <c r="G808" s="700"/>
      <c r="H808" s="701"/>
      <c r="I808" s="700"/>
      <c r="CL808" s="706"/>
      <c r="CP808" s="700"/>
    </row>
    <row r="809" spans="7:94" ht="14.25" customHeight="1">
      <c r="G809" s="700"/>
      <c r="H809" s="701"/>
      <c r="I809" s="700"/>
      <c r="CL809" s="706"/>
      <c r="CP809" s="700"/>
    </row>
    <row r="810" spans="7:94" ht="14.25" customHeight="1">
      <c r="G810" s="700"/>
      <c r="H810" s="701"/>
      <c r="I810" s="700"/>
      <c r="CL810" s="706"/>
      <c r="CP810" s="700"/>
    </row>
    <row r="811" spans="7:94" ht="14.25" customHeight="1">
      <c r="G811" s="700"/>
      <c r="H811" s="701"/>
      <c r="I811" s="700"/>
      <c r="CL811" s="706"/>
      <c r="CP811" s="700"/>
    </row>
    <row r="812" spans="7:94" ht="14.25" customHeight="1">
      <c r="G812" s="700"/>
      <c r="H812" s="701"/>
      <c r="I812" s="700"/>
      <c r="CL812" s="706"/>
      <c r="CP812" s="700"/>
    </row>
    <row r="813" spans="7:94" ht="14.25" customHeight="1">
      <c r="G813" s="700"/>
      <c r="H813" s="701"/>
      <c r="I813" s="700"/>
      <c r="CL813" s="706"/>
      <c r="CP813" s="700"/>
    </row>
    <row r="814" spans="7:94" ht="14.25" customHeight="1">
      <c r="G814" s="700"/>
      <c r="H814" s="701"/>
      <c r="I814" s="700"/>
      <c r="CL814" s="706"/>
      <c r="CP814" s="700"/>
    </row>
    <row r="815" spans="7:94" ht="14.25" customHeight="1">
      <c r="G815" s="700"/>
      <c r="H815" s="701"/>
      <c r="I815" s="700"/>
      <c r="CL815" s="706"/>
      <c r="CP815" s="700"/>
    </row>
    <row r="816" spans="7:94" ht="14.25" customHeight="1">
      <c r="G816" s="700"/>
      <c r="H816" s="701"/>
      <c r="I816" s="700"/>
      <c r="CL816" s="706"/>
      <c r="CP816" s="700"/>
    </row>
    <row r="817" spans="7:94" ht="14.25" customHeight="1">
      <c r="G817" s="700"/>
      <c r="H817" s="701"/>
      <c r="I817" s="700"/>
      <c r="CL817" s="706"/>
      <c r="CP817" s="700"/>
    </row>
    <row r="818" spans="7:94" ht="14.25" customHeight="1">
      <c r="G818" s="700"/>
      <c r="H818" s="701"/>
      <c r="I818" s="700"/>
      <c r="CL818" s="706"/>
      <c r="CP818" s="700"/>
    </row>
    <row r="819" spans="7:94" ht="14.25" customHeight="1">
      <c r="G819" s="700"/>
      <c r="H819" s="701"/>
      <c r="I819" s="700"/>
      <c r="CL819" s="706"/>
      <c r="CP819" s="700"/>
    </row>
    <row r="820" spans="7:94" ht="14.25" customHeight="1">
      <c r="G820" s="700"/>
      <c r="H820" s="701"/>
      <c r="I820" s="700"/>
      <c r="CL820" s="706"/>
      <c r="CP820" s="700"/>
    </row>
    <row r="821" spans="7:94" ht="14.25" customHeight="1">
      <c r="G821" s="700"/>
      <c r="H821" s="701"/>
      <c r="I821" s="700"/>
      <c r="CL821" s="706"/>
      <c r="CP821" s="700"/>
    </row>
    <row r="822" spans="7:94" ht="14.25" customHeight="1">
      <c r="G822" s="700"/>
      <c r="H822" s="701"/>
      <c r="I822" s="700"/>
      <c r="CL822" s="706"/>
      <c r="CP822" s="700"/>
    </row>
    <row r="823" spans="7:94" ht="14.25" customHeight="1">
      <c r="G823" s="700"/>
      <c r="H823" s="701"/>
      <c r="I823" s="700"/>
      <c r="CL823" s="706"/>
      <c r="CP823" s="700"/>
    </row>
    <row r="824" spans="7:94" ht="14.25" customHeight="1">
      <c r="G824" s="700"/>
      <c r="H824" s="701"/>
      <c r="I824" s="700"/>
      <c r="CL824" s="706"/>
      <c r="CP824" s="700"/>
    </row>
    <row r="825" spans="7:94" ht="14.25" customHeight="1">
      <c r="G825" s="700"/>
      <c r="H825" s="701"/>
      <c r="I825" s="700"/>
      <c r="CL825" s="706"/>
      <c r="CP825" s="700"/>
    </row>
    <row r="826" spans="7:94" ht="14.25" customHeight="1">
      <c r="G826" s="700"/>
      <c r="H826" s="701"/>
      <c r="I826" s="700"/>
      <c r="CL826" s="706"/>
      <c r="CP826" s="700"/>
    </row>
    <row r="827" spans="7:94" ht="14.25" customHeight="1">
      <c r="G827" s="700"/>
      <c r="H827" s="701"/>
      <c r="I827" s="700"/>
      <c r="CL827" s="706"/>
      <c r="CP827" s="700"/>
    </row>
    <row r="828" spans="7:94" ht="14.25" customHeight="1">
      <c r="G828" s="700"/>
      <c r="H828" s="701"/>
      <c r="I828" s="700"/>
      <c r="CL828" s="706"/>
      <c r="CP828" s="700"/>
    </row>
    <row r="829" spans="7:94" ht="14.25" customHeight="1">
      <c r="G829" s="700"/>
      <c r="H829" s="701"/>
      <c r="I829" s="700"/>
      <c r="CL829" s="706"/>
      <c r="CP829" s="700"/>
    </row>
    <row r="830" spans="7:94" ht="14.25" customHeight="1">
      <c r="G830" s="700"/>
      <c r="H830" s="701"/>
      <c r="I830" s="700"/>
      <c r="CL830" s="706"/>
      <c r="CP830" s="700"/>
    </row>
    <row r="831" spans="7:94" ht="14.25" customHeight="1">
      <c r="G831" s="700"/>
      <c r="H831" s="701"/>
      <c r="I831" s="700"/>
      <c r="CL831" s="706"/>
      <c r="CP831" s="700"/>
    </row>
    <row r="832" spans="7:94" ht="14.25" customHeight="1">
      <c r="G832" s="700"/>
      <c r="H832" s="701"/>
      <c r="I832" s="700"/>
      <c r="CL832" s="706"/>
      <c r="CP832" s="700"/>
    </row>
    <row r="833" spans="7:94" ht="14.25" customHeight="1">
      <c r="G833" s="700"/>
      <c r="H833" s="701"/>
      <c r="I833" s="700"/>
      <c r="CL833" s="706"/>
      <c r="CP833" s="700"/>
    </row>
    <row r="834" spans="7:94" ht="14.25" customHeight="1">
      <c r="G834" s="700"/>
      <c r="H834" s="701"/>
      <c r="I834" s="700"/>
      <c r="CL834" s="706"/>
      <c r="CP834" s="700"/>
    </row>
    <row r="835" spans="7:94" ht="14.25" customHeight="1">
      <c r="G835" s="700"/>
      <c r="H835" s="701"/>
      <c r="I835" s="700"/>
      <c r="CL835" s="706"/>
      <c r="CP835" s="700"/>
    </row>
    <row r="836" spans="7:94" ht="14.25" customHeight="1">
      <c r="G836" s="700"/>
      <c r="H836" s="701"/>
      <c r="I836" s="700"/>
      <c r="CL836" s="706"/>
      <c r="CP836" s="700"/>
    </row>
    <row r="837" spans="7:94" ht="14.25" customHeight="1">
      <c r="G837" s="700"/>
      <c r="H837" s="701"/>
      <c r="I837" s="700"/>
      <c r="CL837" s="706"/>
      <c r="CP837" s="700"/>
    </row>
    <row r="838" spans="7:94" ht="14.25" customHeight="1">
      <c r="G838" s="700"/>
      <c r="H838" s="701"/>
      <c r="I838" s="700"/>
      <c r="CL838" s="706"/>
      <c r="CP838" s="700"/>
    </row>
    <row r="839" spans="7:94" ht="14.25" customHeight="1">
      <c r="G839" s="700"/>
      <c r="H839" s="701"/>
      <c r="I839" s="700"/>
      <c r="CL839" s="706"/>
      <c r="CP839" s="700"/>
    </row>
    <row r="840" spans="7:94" ht="14.25" customHeight="1">
      <c r="G840" s="700"/>
      <c r="H840" s="701"/>
      <c r="I840" s="700"/>
      <c r="CL840" s="706"/>
      <c r="CP840" s="700"/>
    </row>
    <row r="841" spans="7:94" ht="14.25" customHeight="1">
      <c r="G841" s="700"/>
      <c r="H841" s="701"/>
      <c r="I841" s="700"/>
      <c r="CL841" s="706"/>
      <c r="CP841" s="700"/>
    </row>
    <row r="842" spans="7:94" ht="14.25" customHeight="1">
      <c r="G842" s="700"/>
      <c r="H842" s="701"/>
      <c r="I842" s="700"/>
      <c r="CL842" s="706"/>
      <c r="CP842" s="700"/>
    </row>
    <row r="843" spans="7:94" ht="14.25" customHeight="1">
      <c r="G843" s="700"/>
      <c r="H843" s="701"/>
      <c r="I843" s="700"/>
      <c r="CL843" s="706"/>
      <c r="CP843" s="700"/>
    </row>
    <row r="844" spans="7:94" ht="14.25" customHeight="1">
      <c r="G844" s="700"/>
      <c r="H844" s="701"/>
      <c r="I844" s="700"/>
      <c r="CL844" s="706"/>
      <c r="CP844" s="700"/>
    </row>
    <row r="845" spans="7:94" ht="14.25" customHeight="1">
      <c r="G845" s="700"/>
      <c r="H845" s="701"/>
      <c r="I845" s="700"/>
      <c r="CL845" s="706"/>
      <c r="CP845" s="700"/>
    </row>
    <row r="846" spans="7:94" ht="14.25" customHeight="1">
      <c r="G846" s="700"/>
      <c r="H846" s="701"/>
      <c r="I846" s="700"/>
      <c r="CL846" s="706"/>
      <c r="CP846" s="700"/>
    </row>
    <row r="847" spans="7:94" ht="14.25" customHeight="1">
      <c r="G847" s="700"/>
      <c r="H847" s="701"/>
      <c r="I847" s="700"/>
      <c r="CL847" s="706"/>
      <c r="CP847" s="700"/>
    </row>
    <row r="848" spans="7:94" ht="14.25" customHeight="1">
      <c r="G848" s="700"/>
      <c r="H848" s="701"/>
      <c r="I848" s="700"/>
      <c r="CL848" s="706"/>
      <c r="CP848" s="700"/>
    </row>
    <row r="849" spans="7:94" ht="14.25" customHeight="1">
      <c r="G849" s="700"/>
      <c r="H849" s="701"/>
      <c r="I849" s="700"/>
      <c r="CL849" s="706"/>
      <c r="CP849" s="700"/>
    </row>
    <row r="850" spans="7:94" ht="14.25" customHeight="1">
      <c r="G850" s="700"/>
      <c r="H850" s="701"/>
      <c r="I850" s="700"/>
      <c r="CL850" s="706"/>
      <c r="CP850" s="700"/>
    </row>
    <row r="851" spans="7:94" ht="14.25" customHeight="1">
      <c r="G851" s="700"/>
      <c r="H851" s="701"/>
      <c r="I851" s="700"/>
      <c r="CL851" s="706"/>
      <c r="CP851" s="700"/>
    </row>
    <row r="852" spans="7:94" ht="14.25" customHeight="1">
      <c r="G852" s="700"/>
      <c r="H852" s="701"/>
      <c r="I852" s="700"/>
      <c r="CL852" s="706"/>
      <c r="CP852" s="700"/>
    </row>
    <row r="853" spans="7:94" ht="14.25" customHeight="1">
      <c r="G853" s="700"/>
      <c r="H853" s="701"/>
      <c r="I853" s="700"/>
      <c r="CL853" s="706"/>
      <c r="CP853" s="700"/>
    </row>
    <row r="854" spans="7:94" ht="14.25" customHeight="1">
      <c r="G854" s="700"/>
      <c r="H854" s="701"/>
      <c r="I854" s="700"/>
      <c r="CL854" s="706"/>
      <c r="CP854" s="700"/>
    </row>
    <row r="855" spans="7:94" ht="14.25" customHeight="1">
      <c r="G855" s="700"/>
      <c r="H855" s="701"/>
      <c r="I855" s="700"/>
      <c r="CL855" s="706"/>
      <c r="CP855" s="700"/>
    </row>
    <row r="856" spans="7:94" ht="14.25" customHeight="1">
      <c r="G856" s="700"/>
      <c r="H856" s="701"/>
      <c r="I856" s="700"/>
      <c r="CL856" s="706"/>
      <c r="CP856" s="700"/>
    </row>
    <row r="857" spans="7:94" ht="14.25" customHeight="1">
      <c r="G857" s="700"/>
      <c r="H857" s="701"/>
      <c r="I857" s="700"/>
      <c r="CL857" s="706"/>
      <c r="CP857" s="700"/>
    </row>
    <row r="858" spans="7:94" ht="14.25" customHeight="1">
      <c r="G858" s="700"/>
      <c r="H858" s="701"/>
      <c r="I858" s="700"/>
      <c r="CL858" s="706"/>
      <c r="CP858" s="700"/>
    </row>
    <row r="859" spans="7:94" ht="14.25" customHeight="1">
      <c r="G859" s="700"/>
      <c r="H859" s="701"/>
      <c r="I859" s="700"/>
      <c r="CL859" s="706"/>
      <c r="CP859" s="700"/>
    </row>
    <row r="860" spans="7:94" ht="14.25" customHeight="1">
      <c r="G860" s="700"/>
      <c r="H860" s="701"/>
      <c r="I860" s="700"/>
      <c r="CL860" s="706"/>
      <c r="CP860" s="700"/>
    </row>
    <row r="861" spans="7:94" ht="14.25" customHeight="1">
      <c r="G861" s="700"/>
      <c r="H861" s="701"/>
      <c r="I861" s="700"/>
      <c r="CL861" s="706"/>
      <c r="CP861" s="700"/>
    </row>
    <row r="862" spans="7:94" ht="14.25" customHeight="1">
      <c r="G862" s="700"/>
      <c r="H862" s="701"/>
      <c r="I862" s="700"/>
      <c r="CL862" s="706"/>
      <c r="CP862" s="700"/>
    </row>
    <row r="863" spans="7:94" ht="14.25" customHeight="1">
      <c r="G863" s="700"/>
      <c r="H863" s="701"/>
      <c r="I863" s="700"/>
      <c r="CL863" s="706"/>
      <c r="CP863" s="700"/>
    </row>
    <row r="864" spans="7:94" ht="14.25" customHeight="1">
      <c r="G864" s="700"/>
      <c r="H864" s="701"/>
      <c r="I864" s="700"/>
      <c r="CL864" s="706"/>
      <c r="CP864" s="700"/>
    </row>
    <row r="865" spans="7:94" ht="14.25" customHeight="1">
      <c r="G865" s="700"/>
      <c r="H865" s="701"/>
      <c r="I865" s="700"/>
      <c r="CL865" s="706"/>
      <c r="CP865" s="700"/>
    </row>
    <row r="866" spans="7:94" ht="14.25" customHeight="1">
      <c r="G866" s="700"/>
      <c r="H866" s="701"/>
      <c r="I866" s="700"/>
      <c r="CL866" s="706"/>
      <c r="CP866" s="700"/>
    </row>
    <row r="867" spans="7:94" ht="14.25" customHeight="1">
      <c r="G867" s="700"/>
      <c r="H867" s="701"/>
      <c r="I867" s="700"/>
      <c r="CL867" s="706"/>
      <c r="CP867" s="700"/>
    </row>
    <row r="868" spans="7:94" ht="14.25" customHeight="1">
      <c r="G868" s="700"/>
      <c r="H868" s="701"/>
      <c r="I868" s="700"/>
      <c r="CL868" s="706"/>
      <c r="CP868" s="700"/>
    </row>
    <row r="869" spans="7:94" ht="14.25" customHeight="1">
      <c r="G869" s="700"/>
      <c r="H869" s="701"/>
      <c r="I869" s="700"/>
      <c r="CL869" s="706"/>
      <c r="CP869" s="700"/>
    </row>
    <row r="870" spans="7:94" ht="14.25" customHeight="1">
      <c r="G870" s="700"/>
      <c r="H870" s="701"/>
      <c r="I870" s="700"/>
      <c r="CL870" s="706"/>
      <c r="CP870" s="700"/>
    </row>
    <row r="871" spans="7:94" ht="14.25" customHeight="1">
      <c r="G871" s="700"/>
      <c r="H871" s="701"/>
      <c r="I871" s="700"/>
      <c r="CL871" s="706"/>
      <c r="CP871" s="700"/>
    </row>
    <row r="872" spans="7:94" ht="14.25" customHeight="1">
      <c r="G872" s="700"/>
      <c r="H872" s="701"/>
      <c r="I872" s="700"/>
      <c r="CL872" s="706"/>
      <c r="CP872" s="700"/>
    </row>
    <row r="873" spans="7:94" ht="14.25" customHeight="1">
      <c r="G873" s="700"/>
      <c r="H873" s="701"/>
      <c r="I873" s="700"/>
      <c r="CL873" s="706"/>
      <c r="CP873" s="700"/>
    </row>
    <row r="874" spans="7:94" ht="14.25" customHeight="1">
      <c r="G874" s="700"/>
      <c r="H874" s="701"/>
      <c r="I874" s="700"/>
      <c r="CL874" s="706"/>
      <c r="CP874" s="700"/>
    </row>
    <row r="875" spans="7:94" ht="14.25" customHeight="1">
      <c r="G875" s="700"/>
      <c r="H875" s="701"/>
      <c r="I875" s="700"/>
      <c r="CL875" s="706"/>
      <c r="CP875" s="700"/>
    </row>
    <row r="876" spans="7:94" ht="14.25" customHeight="1">
      <c r="G876" s="700"/>
      <c r="H876" s="701"/>
      <c r="I876" s="700"/>
      <c r="CL876" s="706"/>
      <c r="CP876" s="700"/>
    </row>
    <row r="877" spans="7:94" ht="14.25" customHeight="1">
      <c r="G877" s="700"/>
      <c r="H877" s="701"/>
      <c r="I877" s="700"/>
      <c r="CL877" s="706"/>
      <c r="CP877" s="700"/>
    </row>
    <row r="878" spans="7:94" ht="14.25" customHeight="1">
      <c r="G878" s="700"/>
      <c r="H878" s="701"/>
      <c r="I878" s="700"/>
      <c r="CL878" s="706"/>
      <c r="CP878" s="700"/>
    </row>
    <row r="879" spans="7:94" ht="14.25" customHeight="1">
      <c r="G879" s="700"/>
      <c r="H879" s="701"/>
      <c r="I879" s="700"/>
      <c r="CL879" s="706"/>
      <c r="CP879" s="700"/>
    </row>
    <row r="880" spans="7:94" ht="14.25" customHeight="1">
      <c r="G880" s="700"/>
      <c r="H880" s="701"/>
      <c r="I880" s="700"/>
      <c r="CL880" s="706"/>
      <c r="CP880" s="700"/>
    </row>
    <row r="881" spans="7:94" ht="14.25" customHeight="1">
      <c r="G881" s="700"/>
      <c r="H881" s="701"/>
      <c r="I881" s="700"/>
      <c r="CL881" s="706"/>
      <c r="CP881" s="700"/>
    </row>
    <row r="882" spans="7:94" ht="14.25" customHeight="1">
      <c r="G882" s="700"/>
      <c r="H882" s="701"/>
      <c r="I882" s="700"/>
      <c r="CL882" s="706"/>
      <c r="CP882" s="700"/>
    </row>
    <row r="883" spans="7:94" ht="14.25" customHeight="1">
      <c r="G883" s="700"/>
      <c r="H883" s="701"/>
      <c r="I883" s="700"/>
      <c r="CL883" s="706"/>
      <c r="CP883" s="700"/>
    </row>
    <row r="884" spans="7:94" ht="14.25" customHeight="1">
      <c r="G884" s="700"/>
      <c r="H884" s="701"/>
      <c r="I884" s="700"/>
      <c r="CL884" s="706"/>
      <c r="CP884" s="700"/>
    </row>
    <row r="885" spans="7:94" ht="14.25" customHeight="1">
      <c r="G885" s="700"/>
      <c r="H885" s="701"/>
      <c r="I885" s="700"/>
      <c r="CL885" s="706"/>
      <c r="CP885" s="700"/>
    </row>
    <row r="886" spans="7:94" ht="14.25" customHeight="1">
      <c r="G886" s="700"/>
      <c r="H886" s="701"/>
      <c r="I886" s="700"/>
      <c r="CL886" s="706"/>
      <c r="CP886" s="700"/>
    </row>
    <row r="887" spans="7:94" ht="14.25" customHeight="1">
      <c r="G887" s="700"/>
      <c r="H887" s="701"/>
      <c r="I887" s="700"/>
      <c r="CL887" s="706"/>
      <c r="CP887" s="700"/>
    </row>
    <row r="888" spans="7:94" ht="14.25" customHeight="1">
      <c r="G888" s="700"/>
      <c r="H888" s="701"/>
      <c r="I888" s="700"/>
      <c r="CL888" s="706"/>
      <c r="CP888" s="700"/>
    </row>
    <row r="889" spans="7:94" ht="14.25" customHeight="1">
      <c r="G889" s="700"/>
      <c r="H889" s="701"/>
      <c r="I889" s="700"/>
      <c r="CL889" s="706"/>
      <c r="CP889" s="700"/>
    </row>
    <row r="890" spans="7:94" ht="14.25" customHeight="1">
      <c r="G890" s="700"/>
      <c r="H890" s="701"/>
      <c r="I890" s="700"/>
      <c r="CL890" s="706"/>
      <c r="CP890" s="700"/>
    </row>
    <row r="891" spans="7:94" ht="14.25" customHeight="1">
      <c r="G891" s="700"/>
      <c r="H891" s="701"/>
      <c r="I891" s="700"/>
      <c r="CL891" s="706"/>
      <c r="CP891" s="700"/>
    </row>
    <row r="892" spans="7:94" ht="14.25" customHeight="1">
      <c r="G892" s="700"/>
      <c r="H892" s="701"/>
      <c r="I892" s="700"/>
      <c r="CL892" s="706"/>
      <c r="CP892" s="700"/>
    </row>
    <row r="893" spans="7:94" ht="14.25" customHeight="1">
      <c r="G893" s="700"/>
      <c r="H893" s="701"/>
      <c r="I893" s="700"/>
      <c r="CL893" s="706"/>
      <c r="CP893" s="700"/>
    </row>
    <row r="894" spans="7:94" ht="14.25" customHeight="1">
      <c r="G894" s="700"/>
      <c r="H894" s="701"/>
      <c r="I894" s="700"/>
      <c r="CL894" s="706"/>
      <c r="CP894" s="700"/>
    </row>
    <row r="895" spans="7:94" ht="14.25" customHeight="1">
      <c r="G895" s="700"/>
      <c r="H895" s="701"/>
      <c r="I895" s="700"/>
      <c r="CL895" s="706"/>
      <c r="CP895" s="700"/>
    </row>
    <row r="896" spans="7:94" ht="14.25" customHeight="1">
      <c r="G896" s="700"/>
      <c r="H896" s="701"/>
      <c r="I896" s="700"/>
      <c r="CL896" s="706"/>
      <c r="CP896" s="700"/>
    </row>
    <row r="897" spans="7:94" ht="14.25" customHeight="1">
      <c r="G897" s="700"/>
      <c r="H897" s="701"/>
      <c r="I897" s="700"/>
      <c r="CL897" s="706"/>
      <c r="CP897" s="700"/>
    </row>
    <row r="898" spans="7:94" ht="14.25" customHeight="1">
      <c r="G898" s="700"/>
      <c r="H898" s="701"/>
      <c r="I898" s="700"/>
      <c r="CL898" s="706"/>
      <c r="CP898" s="700"/>
    </row>
    <row r="899" spans="7:94" ht="14.25" customHeight="1">
      <c r="G899" s="700"/>
      <c r="H899" s="701"/>
      <c r="I899" s="700"/>
      <c r="CL899" s="706"/>
      <c r="CP899" s="700"/>
    </row>
    <row r="900" spans="7:94" ht="14.25" customHeight="1">
      <c r="G900" s="700"/>
      <c r="H900" s="701"/>
      <c r="I900" s="700"/>
      <c r="CL900" s="706"/>
      <c r="CP900" s="700"/>
    </row>
    <row r="901" spans="7:94" ht="14.25" customHeight="1">
      <c r="G901" s="700"/>
      <c r="H901" s="701"/>
      <c r="I901" s="700"/>
      <c r="CL901" s="706"/>
      <c r="CP901" s="700"/>
    </row>
    <row r="902" spans="7:94" ht="14.25" customHeight="1">
      <c r="G902" s="700"/>
      <c r="H902" s="701"/>
      <c r="I902" s="700"/>
      <c r="CL902" s="706"/>
      <c r="CP902" s="700"/>
    </row>
    <row r="903" spans="7:94" ht="14.25" customHeight="1">
      <c r="G903" s="700"/>
      <c r="H903" s="701"/>
      <c r="I903" s="700"/>
      <c r="CL903" s="706"/>
      <c r="CP903" s="700"/>
    </row>
    <row r="904" spans="7:94" ht="14.25" customHeight="1">
      <c r="G904" s="700"/>
      <c r="H904" s="701"/>
      <c r="I904" s="700"/>
      <c r="CL904" s="706"/>
      <c r="CP904" s="700"/>
    </row>
    <row r="905" spans="7:94" ht="14.25" customHeight="1">
      <c r="G905" s="700"/>
      <c r="H905" s="701"/>
      <c r="I905" s="700"/>
      <c r="CL905" s="706"/>
      <c r="CP905" s="700"/>
    </row>
    <row r="906" spans="7:94" ht="14.25" customHeight="1">
      <c r="G906" s="700"/>
      <c r="H906" s="701"/>
      <c r="I906" s="700"/>
      <c r="CL906" s="706"/>
      <c r="CP906" s="700"/>
    </row>
    <row r="907" spans="7:94" ht="14.25" customHeight="1">
      <c r="G907" s="700"/>
      <c r="H907" s="701"/>
      <c r="I907" s="700"/>
      <c r="CL907" s="706"/>
      <c r="CP907" s="700"/>
    </row>
    <row r="908" spans="7:94" ht="14.25" customHeight="1">
      <c r="G908" s="700"/>
      <c r="H908" s="701"/>
      <c r="I908" s="700"/>
      <c r="CL908" s="706"/>
      <c r="CP908" s="700"/>
    </row>
    <row r="909" spans="7:94" ht="14.25" customHeight="1">
      <c r="G909" s="700"/>
      <c r="H909" s="701"/>
      <c r="I909" s="700"/>
      <c r="CL909" s="706"/>
      <c r="CP909" s="700"/>
    </row>
    <row r="910" spans="7:94" ht="14.25" customHeight="1">
      <c r="G910" s="700"/>
      <c r="H910" s="701"/>
      <c r="I910" s="700"/>
      <c r="CL910" s="706"/>
      <c r="CP910" s="700"/>
    </row>
    <row r="911" spans="7:94" ht="14.25" customHeight="1">
      <c r="G911" s="700"/>
      <c r="H911" s="701"/>
      <c r="I911" s="700"/>
      <c r="CL911" s="706"/>
      <c r="CP911" s="700"/>
    </row>
    <row r="912" spans="7:94" ht="14.25" customHeight="1">
      <c r="G912" s="700"/>
      <c r="H912" s="701"/>
      <c r="I912" s="700"/>
      <c r="CL912" s="706"/>
      <c r="CP912" s="700"/>
    </row>
    <row r="913" spans="7:94" ht="14.25" customHeight="1">
      <c r="G913" s="700"/>
      <c r="H913" s="701"/>
      <c r="I913" s="700"/>
      <c r="CL913" s="706"/>
      <c r="CP913" s="700"/>
    </row>
    <row r="914" spans="7:94" ht="14.25" customHeight="1">
      <c r="G914" s="700"/>
      <c r="H914" s="701"/>
      <c r="I914" s="700"/>
      <c r="CL914" s="706"/>
      <c r="CP914" s="700"/>
    </row>
    <row r="915" spans="7:94" ht="14.25" customHeight="1">
      <c r="G915" s="700"/>
      <c r="H915" s="701"/>
      <c r="I915" s="700"/>
      <c r="CL915" s="706"/>
      <c r="CP915" s="700"/>
    </row>
    <row r="916" spans="7:94" ht="14.25" customHeight="1">
      <c r="G916" s="700"/>
      <c r="H916" s="701"/>
      <c r="I916" s="700"/>
      <c r="CL916" s="706"/>
      <c r="CP916" s="700"/>
    </row>
    <row r="917" spans="7:94" ht="14.25" customHeight="1">
      <c r="G917" s="700"/>
      <c r="H917" s="701"/>
      <c r="I917" s="700"/>
      <c r="CL917" s="706"/>
      <c r="CP917" s="700"/>
    </row>
    <row r="918" spans="7:94" ht="14.25" customHeight="1">
      <c r="G918" s="700"/>
      <c r="H918" s="701"/>
      <c r="I918" s="700"/>
      <c r="CL918" s="706"/>
      <c r="CP918" s="700"/>
    </row>
    <row r="919" spans="7:94" ht="14.25" customHeight="1">
      <c r="G919" s="700"/>
      <c r="H919" s="701"/>
      <c r="I919" s="700"/>
      <c r="CL919" s="706"/>
      <c r="CP919" s="700"/>
    </row>
    <row r="920" spans="7:94" ht="14.25" customHeight="1">
      <c r="G920" s="700"/>
      <c r="H920" s="701"/>
      <c r="I920" s="700"/>
      <c r="CL920" s="706"/>
      <c r="CP920" s="700"/>
    </row>
    <row r="921" spans="7:94" ht="14.25" customHeight="1">
      <c r="G921" s="700"/>
      <c r="H921" s="701"/>
      <c r="I921" s="700"/>
      <c r="CL921" s="706"/>
      <c r="CP921" s="700"/>
    </row>
    <row r="922" spans="7:94" ht="14.25" customHeight="1">
      <c r="G922" s="700"/>
      <c r="H922" s="701"/>
      <c r="I922" s="700"/>
      <c r="CL922" s="706"/>
      <c r="CP922" s="700"/>
    </row>
    <row r="923" spans="7:94" ht="14.25" customHeight="1">
      <c r="G923" s="700"/>
      <c r="H923" s="701"/>
      <c r="I923" s="700"/>
      <c r="CL923" s="706"/>
      <c r="CP923" s="700"/>
    </row>
    <row r="924" spans="7:94" ht="14.25" customHeight="1">
      <c r="G924" s="700"/>
      <c r="H924" s="701"/>
      <c r="I924" s="700"/>
      <c r="CL924" s="706"/>
      <c r="CP924" s="700"/>
    </row>
    <row r="925" spans="7:94" ht="14.25" customHeight="1">
      <c r="G925" s="700"/>
      <c r="H925" s="701"/>
      <c r="I925" s="700"/>
      <c r="CL925" s="706"/>
      <c r="CP925" s="700"/>
    </row>
    <row r="926" spans="7:94" ht="14.25" customHeight="1">
      <c r="G926" s="700"/>
      <c r="H926" s="701"/>
      <c r="I926" s="700"/>
      <c r="CL926" s="706"/>
      <c r="CP926" s="700"/>
    </row>
    <row r="927" spans="7:94" ht="14.25" customHeight="1">
      <c r="G927" s="700"/>
      <c r="H927" s="701"/>
      <c r="I927" s="700"/>
      <c r="CL927" s="706"/>
      <c r="CP927" s="700"/>
    </row>
    <row r="928" spans="7:94" ht="14.25" customHeight="1">
      <c r="G928" s="700"/>
      <c r="H928" s="701"/>
      <c r="I928" s="700"/>
      <c r="CL928" s="706"/>
      <c r="CP928" s="700"/>
    </row>
    <row r="929" spans="7:94" ht="14.25" customHeight="1">
      <c r="G929" s="700"/>
      <c r="H929" s="701"/>
      <c r="I929" s="700"/>
      <c r="CL929" s="706"/>
      <c r="CP929" s="700"/>
    </row>
    <row r="930" spans="7:94" ht="14.25" customHeight="1">
      <c r="G930" s="700"/>
      <c r="H930" s="701"/>
      <c r="I930" s="700"/>
      <c r="CL930" s="706"/>
      <c r="CP930" s="700"/>
    </row>
    <row r="931" spans="7:94" ht="14.25" customHeight="1">
      <c r="G931" s="700"/>
      <c r="H931" s="701"/>
      <c r="I931" s="700"/>
      <c r="CL931" s="706"/>
      <c r="CP931" s="700"/>
    </row>
    <row r="932" spans="7:94" ht="14.25" customHeight="1">
      <c r="G932" s="700"/>
      <c r="H932" s="701"/>
      <c r="I932" s="700"/>
      <c r="CL932" s="706"/>
      <c r="CP932" s="700"/>
    </row>
    <row r="933" spans="7:94" ht="14.25" customHeight="1">
      <c r="G933" s="700"/>
      <c r="H933" s="701"/>
      <c r="I933" s="700"/>
      <c r="CL933" s="706"/>
      <c r="CP933" s="700"/>
    </row>
    <row r="934" spans="7:94" ht="14.25" customHeight="1">
      <c r="G934" s="700"/>
      <c r="H934" s="701"/>
      <c r="I934" s="700"/>
      <c r="CL934" s="706"/>
      <c r="CP934" s="700"/>
    </row>
    <row r="935" spans="7:94" ht="14.25" customHeight="1">
      <c r="G935" s="700"/>
      <c r="H935" s="701"/>
      <c r="I935" s="700"/>
      <c r="CL935" s="706"/>
      <c r="CP935" s="700"/>
    </row>
    <row r="936" spans="7:94" ht="14.25" customHeight="1">
      <c r="G936" s="700"/>
      <c r="H936" s="701"/>
      <c r="I936" s="700"/>
      <c r="CL936" s="706"/>
      <c r="CP936" s="700"/>
    </row>
    <row r="937" spans="7:94" ht="14.25" customHeight="1">
      <c r="G937" s="700"/>
      <c r="H937" s="701"/>
      <c r="I937" s="700"/>
      <c r="CL937" s="706"/>
      <c r="CP937" s="700"/>
    </row>
    <row r="938" spans="7:94" ht="14.25" customHeight="1">
      <c r="G938" s="700"/>
      <c r="H938" s="701"/>
      <c r="I938" s="700"/>
      <c r="CL938" s="706"/>
      <c r="CP938" s="700"/>
    </row>
    <row r="939" spans="7:94" ht="14.25" customHeight="1">
      <c r="G939" s="700"/>
      <c r="H939" s="701"/>
      <c r="I939" s="700"/>
      <c r="CL939" s="706"/>
      <c r="CP939" s="700"/>
    </row>
    <row r="940" spans="7:94" ht="14.25" customHeight="1">
      <c r="G940" s="700"/>
      <c r="H940" s="701"/>
      <c r="I940" s="700"/>
      <c r="CL940" s="706"/>
      <c r="CP940" s="700"/>
    </row>
    <row r="941" spans="7:94" ht="14.25" customHeight="1">
      <c r="G941" s="700"/>
      <c r="H941" s="701"/>
      <c r="I941" s="700"/>
      <c r="CL941" s="706"/>
      <c r="CP941" s="700"/>
    </row>
    <row r="942" spans="7:94" ht="14.25" customHeight="1">
      <c r="G942" s="700"/>
      <c r="H942" s="701"/>
      <c r="I942" s="700"/>
      <c r="CL942" s="706"/>
      <c r="CP942" s="700"/>
    </row>
    <row r="943" spans="7:94" ht="14.25" customHeight="1">
      <c r="G943" s="700"/>
      <c r="H943" s="701"/>
      <c r="I943" s="700"/>
      <c r="CL943" s="706"/>
      <c r="CP943" s="700"/>
    </row>
    <row r="944" spans="7:94" ht="14.25" customHeight="1">
      <c r="G944" s="700"/>
      <c r="H944" s="701"/>
      <c r="I944" s="700"/>
      <c r="CL944" s="706"/>
      <c r="CP944" s="700"/>
    </row>
    <row r="945" spans="7:94" ht="14.25" customHeight="1">
      <c r="G945" s="700"/>
      <c r="H945" s="701"/>
      <c r="I945" s="700"/>
      <c r="CL945" s="706"/>
      <c r="CP945" s="700"/>
    </row>
    <row r="946" spans="7:94" ht="14.25" customHeight="1">
      <c r="G946" s="700"/>
      <c r="H946" s="701"/>
      <c r="I946" s="700"/>
      <c r="CL946" s="706"/>
      <c r="CP946" s="700"/>
    </row>
    <row r="947" spans="7:94" ht="14.25" customHeight="1">
      <c r="G947" s="700"/>
      <c r="H947" s="701"/>
      <c r="I947" s="700"/>
      <c r="CL947" s="706"/>
      <c r="CP947" s="700"/>
    </row>
    <row r="948" spans="7:94" ht="14.25" customHeight="1">
      <c r="G948" s="700"/>
      <c r="H948" s="701"/>
      <c r="I948" s="700"/>
      <c r="CL948" s="706"/>
      <c r="CP948" s="700"/>
    </row>
    <row r="949" spans="7:94" ht="14.25" customHeight="1">
      <c r="G949" s="700"/>
      <c r="H949" s="701"/>
      <c r="I949" s="700"/>
      <c r="CL949" s="706"/>
      <c r="CP949" s="700"/>
    </row>
    <row r="950" spans="7:94" ht="14.25" customHeight="1">
      <c r="G950" s="700"/>
      <c r="H950" s="701"/>
      <c r="I950" s="700"/>
      <c r="CL950" s="706"/>
      <c r="CP950" s="700"/>
    </row>
    <row r="951" spans="7:94" ht="14.25" customHeight="1">
      <c r="G951" s="700"/>
      <c r="H951" s="701"/>
      <c r="I951" s="700"/>
      <c r="CL951" s="706"/>
      <c r="CP951" s="700"/>
    </row>
    <row r="952" spans="7:94" ht="14.25" customHeight="1">
      <c r="G952" s="700"/>
      <c r="H952" s="701"/>
      <c r="I952" s="700"/>
      <c r="CL952" s="706"/>
      <c r="CP952" s="700"/>
    </row>
    <row r="953" spans="7:94" ht="14.25" customHeight="1">
      <c r="G953" s="700"/>
      <c r="H953" s="701"/>
      <c r="I953" s="700"/>
      <c r="CL953" s="706"/>
      <c r="CP953" s="700"/>
    </row>
    <row r="954" spans="7:94" ht="14.25" customHeight="1">
      <c r="G954" s="700"/>
      <c r="H954" s="701"/>
      <c r="I954" s="700"/>
      <c r="CL954" s="706"/>
      <c r="CP954" s="700"/>
    </row>
    <row r="955" spans="7:94" ht="14.25" customHeight="1">
      <c r="G955" s="700"/>
      <c r="H955" s="701"/>
      <c r="I955" s="700"/>
      <c r="CL955" s="706"/>
      <c r="CP955" s="700"/>
    </row>
    <row r="956" spans="7:94" ht="14.25" customHeight="1">
      <c r="G956" s="700"/>
      <c r="H956" s="701"/>
      <c r="I956" s="700"/>
      <c r="CL956" s="706"/>
      <c r="CP956" s="700"/>
    </row>
    <row r="957" spans="7:94" ht="14.25" customHeight="1">
      <c r="G957" s="700"/>
      <c r="H957" s="701"/>
      <c r="I957" s="700"/>
      <c r="CL957" s="706"/>
      <c r="CP957" s="700"/>
    </row>
    <row r="958" spans="7:94" ht="14.25" customHeight="1">
      <c r="G958" s="700"/>
      <c r="H958" s="701"/>
      <c r="I958" s="700"/>
      <c r="CL958" s="706"/>
      <c r="CP958" s="700"/>
    </row>
    <row r="959" spans="7:94" ht="14.25" customHeight="1">
      <c r="G959" s="700"/>
      <c r="H959" s="701"/>
      <c r="I959" s="700"/>
      <c r="CL959" s="706"/>
      <c r="CP959" s="700"/>
    </row>
    <row r="960" spans="7:94" ht="14.25" customHeight="1">
      <c r="G960" s="700"/>
      <c r="H960" s="701"/>
      <c r="I960" s="700"/>
      <c r="CL960" s="706"/>
      <c r="CP960" s="700"/>
    </row>
    <row r="961" spans="7:94" ht="14.25" customHeight="1">
      <c r="G961" s="700"/>
      <c r="H961" s="701"/>
      <c r="I961" s="700"/>
      <c r="CL961" s="706"/>
      <c r="CP961" s="700"/>
    </row>
    <row r="962" spans="7:94" ht="14.25" customHeight="1">
      <c r="G962" s="700"/>
      <c r="H962" s="701"/>
      <c r="I962" s="700"/>
      <c r="CL962" s="706"/>
      <c r="CP962" s="700"/>
    </row>
    <row r="963" spans="7:94" ht="14.25" customHeight="1">
      <c r="G963" s="700"/>
      <c r="H963" s="701"/>
      <c r="I963" s="700"/>
      <c r="CL963" s="706"/>
      <c r="CP963" s="700"/>
    </row>
    <row r="964" spans="7:94" ht="14.25" customHeight="1">
      <c r="G964" s="700"/>
      <c r="H964" s="701"/>
      <c r="I964" s="700"/>
      <c r="CL964" s="706"/>
      <c r="CP964" s="700"/>
    </row>
    <row r="965" spans="7:94" ht="14.25" customHeight="1">
      <c r="G965" s="700"/>
      <c r="H965" s="701"/>
      <c r="I965" s="700"/>
      <c r="CL965" s="706"/>
      <c r="CP965" s="700"/>
    </row>
    <row r="966" spans="7:94" ht="14.25" customHeight="1">
      <c r="G966" s="700"/>
      <c r="H966" s="701"/>
      <c r="I966" s="700"/>
      <c r="CL966" s="706"/>
      <c r="CP966" s="700"/>
    </row>
    <row r="967" spans="7:94" ht="14.25" customHeight="1">
      <c r="G967" s="700"/>
      <c r="H967" s="701"/>
      <c r="I967" s="700"/>
      <c r="CL967" s="706"/>
      <c r="CP967" s="700"/>
    </row>
    <row r="968" spans="7:94" ht="14.25" customHeight="1">
      <c r="G968" s="700"/>
      <c r="H968" s="701"/>
      <c r="I968" s="700"/>
      <c r="CL968" s="706"/>
      <c r="CP968" s="700"/>
    </row>
    <row r="969" spans="7:94" ht="14.25" customHeight="1">
      <c r="G969" s="700"/>
      <c r="H969" s="701"/>
      <c r="I969" s="700"/>
      <c r="CL969" s="706"/>
      <c r="CP969" s="700"/>
    </row>
    <row r="970" spans="7:94" ht="14.25" customHeight="1">
      <c r="G970" s="700"/>
      <c r="H970" s="701"/>
      <c r="I970" s="700"/>
      <c r="CL970" s="706"/>
      <c r="CP970" s="700"/>
    </row>
    <row r="971" spans="7:94" ht="14.25" customHeight="1">
      <c r="G971" s="700"/>
      <c r="H971" s="701"/>
      <c r="I971" s="700"/>
      <c r="CL971" s="706"/>
      <c r="CP971" s="700"/>
    </row>
    <row r="972" spans="7:94" ht="14.25" customHeight="1">
      <c r="G972" s="700"/>
      <c r="H972" s="701"/>
      <c r="I972" s="700"/>
      <c r="CL972" s="706"/>
      <c r="CP972" s="700"/>
    </row>
    <row r="973" spans="7:94" ht="14.25" customHeight="1">
      <c r="G973" s="700"/>
      <c r="H973" s="701"/>
      <c r="I973" s="700"/>
      <c r="CL973" s="706"/>
      <c r="CP973" s="700"/>
    </row>
    <row r="974" spans="7:94" ht="14.25" customHeight="1">
      <c r="G974" s="700"/>
      <c r="H974" s="701"/>
      <c r="I974" s="700"/>
      <c r="CL974" s="706"/>
      <c r="CP974" s="700"/>
    </row>
    <row r="975" spans="7:94" ht="14.25" customHeight="1">
      <c r="G975" s="700"/>
      <c r="H975" s="701"/>
      <c r="I975" s="700"/>
      <c r="CL975" s="706"/>
      <c r="CP975" s="700"/>
    </row>
    <row r="976" spans="7:94" ht="14.25" customHeight="1">
      <c r="G976" s="700"/>
      <c r="H976" s="701"/>
      <c r="I976" s="700"/>
      <c r="CL976" s="706"/>
      <c r="CP976" s="700"/>
    </row>
    <row r="977" spans="7:94" ht="14.25" customHeight="1">
      <c r="G977" s="700"/>
      <c r="H977" s="701"/>
      <c r="I977" s="700"/>
      <c r="CL977" s="706"/>
      <c r="CP977" s="700"/>
    </row>
    <row r="978" spans="7:94" ht="14.25" customHeight="1">
      <c r="G978" s="700"/>
      <c r="H978" s="701"/>
      <c r="I978" s="700"/>
      <c r="CL978" s="706"/>
      <c r="CP978" s="700"/>
    </row>
    <row r="979" spans="7:94" ht="14.25" customHeight="1">
      <c r="G979" s="700"/>
      <c r="H979" s="701"/>
      <c r="I979" s="700"/>
      <c r="CL979" s="706"/>
      <c r="CP979" s="700"/>
    </row>
    <row r="980" spans="7:94" ht="14.25" customHeight="1">
      <c r="G980" s="700"/>
      <c r="H980" s="701"/>
      <c r="I980" s="700"/>
      <c r="CL980" s="706"/>
      <c r="CP980" s="700"/>
    </row>
    <row r="981" spans="7:94" ht="14.25" customHeight="1">
      <c r="G981" s="700"/>
      <c r="H981" s="701"/>
      <c r="I981" s="700"/>
      <c r="CL981" s="706"/>
      <c r="CP981" s="700"/>
    </row>
    <row r="982" spans="7:94" ht="14.25" customHeight="1">
      <c r="G982" s="700"/>
      <c r="H982" s="701"/>
      <c r="I982" s="700"/>
      <c r="CL982" s="706"/>
      <c r="CP982" s="700"/>
    </row>
    <row r="983" spans="7:94" ht="14.25" customHeight="1">
      <c r="G983" s="700"/>
      <c r="H983" s="701"/>
      <c r="I983" s="700"/>
      <c r="CL983" s="706"/>
      <c r="CP983" s="700"/>
    </row>
    <row r="984" spans="7:94" ht="14.25" customHeight="1">
      <c r="G984" s="700"/>
      <c r="H984" s="701"/>
      <c r="I984" s="700"/>
      <c r="CL984" s="706"/>
      <c r="CP984" s="700"/>
    </row>
    <row r="985" spans="7:94" ht="14.25" customHeight="1">
      <c r="G985" s="700"/>
      <c r="H985" s="701"/>
      <c r="I985" s="700"/>
      <c r="CL985" s="706"/>
      <c r="CP985" s="700"/>
    </row>
    <row r="986" spans="7:94" ht="14.25" customHeight="1">
      <c r="G986" s="700"/>
      <c r="H986" s="701"/>
      <c r="I986" s="700"/>
      <c r="CL986" s="706"/>
      <c r="CP986" s="700"/>
    </row>
    <row r="987" spans="7:94" ht="14.25" customHeight="1">
      <c r="G987" s="700"/>
      <c r="H987" s="701"/>
      <c r="I987" s="700"/>
      <c r="CL987" s="706"/>
      <c r="CP987" s="700"/>
    </row>
    <row r="988" spans="7:94" ht="14.25" customHeight="1">
      <c r="G988" s="700"/>
      <c r="H988" s="701"/>
      <c r="I988" s="700"/>
      <c r="CL988" s="706"/>
      <c r="CP988" s="700"/>
    </row>
    <row r="989" spans="7:94" ht="14.25" customHeight="1">
      <c r="G989" s="700"/>
      <c r="H989" s="701"/>
      <c r="I989" s="700"/>
      <c r="CL989" s="706"/>
      <c r="CP989" s="700"/>
    </row>
    <row r="990" spans="7:94" ht="14.25" customHeight="1">
      <c r="G990" s="700"/>
      <c r="H990" s="701"/>
      <c r="I990" s="700"/>
      <c r="CL990" s="706"/>
      <c r="CP990" s="700"/>
    </row>
    <row r="991" spans="7:94" ht="14.25" customHeight="1">
      <c r="G991" s="700"/>
      <c r="H991" s="701"/>
      <c r="I991" s="700"/>
      <c r="CL991" s="706"/>
      <c r="CP991" s="700"/>
    </row>
    <row r="992" spans="7:94" ht="14.25" customHeight="1">
      <c r="G992" s="700"/>
      <c r="H992" s="701"/>
      <c r="I992" s="700"/>
      <c r="CL992" s="706"/>
      <c r="CP992" s="700"/>
    </row>
    <row r="993" spans="7:94" ht="14.25" customHeight="1">
      <c r="G993" s="700"/>
      <c r="H993" s="701"/>
      <c r="I993" s="700"/>
      <c r="CL993" s="706"/>
      <c r="CP993" s="700"/>
    </row>
    <row r="994" spans="7:94" ht="14.25" customHeight="1">
      <c r="G994" s="700"/>
      <c r="H994" s="701"/>
      <c r="I994" s="700"/>
      <c r="CL994" s="706"/>
      <c r="CP994" s="700"/>
    </row>
    <row r="995" spans="7:94" ht="14.25" customHeight="1">
      <c r="G995" s="700"/>
      <c r="H995" s="701"/>
      <c r="I995" s="700"/>
      <c r="CL995" s="706"/>
      <c r="CP995" s="700"/>
    </row>
    <row r="996" spans="7:94" ht="14.25" customHeight="1">
      <c r="G996" s="700"/>
      <c r="H996" s="701"/>
      <c r="I996" s="700"/>
      <c r="CL996" s="706"/>
      <c r="CP996" s="700"/>
    </row>
    <row r="997" spans="7:94" ht="14.25" customHeight="1">
      <c r="G997" s="700"/>
      <c r="H997" s="701"/>
      <c r="I997" s="700"/>
      <c r="CL997" s="706"/>
      <c r="CP997" s="700"/>
    </row>
    <row r="998" spans="7:94" ht="14.25" customHeight="1">
      <c r="G998" s="700"/>
      <c r="H998" s="701"/>
      <c r="I998" s="700"/>
      <c r="CL998" s="706"/>
      <c r="CP998" s="700"/>
    </row>
    <row r="999" spans="7:94" ht="14.25" customHeight="1">
      <c r="G999" s="700"/>
      <c r="H999" s="701"/>
      <c r="I999" s="700"/>
      <c r="CL999" s="706"/>
      <c r="CP999" s="700"/>
    </row>
    <row r="1000" spans="7:94" ht="14.25" customHeight="1">
      <c r="G1000" s="700"/>
      <c r="H1000" s="701"/>
      <c r="I1000" s="700"/>
      <c r="CL1000" s="706"/>
      <c r="CP1000" s="700"/>
    </row>
    <row r="1001" spans="7:94" ht="14.25" customHeight="1">
      <c r="G1001" s="700"/>
      <c r="H1001" s="701"/>
      <c r="I1001" s="700"/>
      <c r="CL1001" s="706"/>
      <c r="CP1001" s="700"/>
    </row>
    <row r="1002" spans="7:94" ht="14.25" customHeight="1">
      <c r="G1002" s="700"/>
      <c r="H1002" s="701"/>
      <c r="I1002" s="700"/>
      <c r="CL1002" s="706"/>
      <c r="CP1002" s="700"/>
    </row>
    <row r="1003" spans="7:94" ht="14.25" customHeight="1">
      <c r="G1003" s="700"/>
      <c r="H1003" s="701"/>
      <c r="I1003" s="700"/>
      <c r="CL1003" s="706"/>
      <c r="CP1003" s="700"/>
    </row>
    <row r="1004" spans="7:94" ht="14.25" customHeight="1">
      <c r="G1004" s="700"/>
      <c r="H1004" s="701"/>
      <c r="I1004" s="700"/>
      <c r="CL1004" s="706"/>
      <c r="CP1004" s="700"/>
    </row>
    <row r="1005" spans="7:94" ht="14.25" customHeight="1">
      <c r="G1005" s="700"/>
      <c r="H1005" s="701"/>
      <c r="I1005" s="700"/>
      <c r="CL1005" s="706"/>
      <c r="CP1005" s="700"/>
    </row>
    <row r="1006" spans="7:94" ht="14.25" customHeight="1">
      <c r="G1006" s="700"/>
      <c r="H1006" s="701"/>
      <c r="I1006" s="700"/>
      <c r="CL1006" s="706"/>
      <c r="CP1006" s="700"/>
    </row>
    <row r="1007" spans="7:94" ht="14.25" customHeight="1">
      <c r="G1007" s="700"/>
      <c r="H1007" s="701"/>
      <c r="I1007" s="700"/>
      <c r="CL1007" s="706"/>
      <c r="CP1007" s="700"/>
    </row>
    <row r="1008" spans="7:94" ht="14.25" customHeight="1">
      <c r="G1008" s="700"/>
      <c r="H1008" s="701"/>
      <c r="I1008" s="700"/>
      <c r="CL1008" s="706"/>
      <c r="CP1008" s="700"/>
    </row>
    <row r="1009" spans="7:94" ht="14.25" customHeight="1">
      <c r="G1009" s="700"/>
      <c r="H1009" s="701"/>
      <c r="I1009" s="700"/>
      <c r="CL1009" s="706"/>
      <c r="CP1009" s="700"/>
    </row>
    <row r="1010" spans="7:94" ht="14.25" customHeight="1">
      <c r="G1010" s="700"/>
      <c r="H1010" s="701"/>
      <c r="I1010" s="700"/>
      <c r="CL1010" s="706"/>
      <c r="CP1010" s="700"/>
    </row>
    <row r="1011" spans="7:94" ht="14.25" customHeight="1">
      <c r="G1011" s="700"/>
      <c r="H1011" s="701"/>
      <c r="I1011" s="700"/>
      <c r="CL1011" s="706"/>
      <c r="CP1011" s="700"/>
    </row>
    <row r="1012" spans="7:94" ht="14.25" customHeight="1">
      <c r="G1012" s="700"/>
      <c r="H1012" s="701"/>
      <c r="I1012" s="700"/>
      <c r="CL1012" s="706"/>
      <c r="CP1012" s="700"/>
    </row>
    <row r="1013" spans="7:94" ht="14.25" customHeight="1">
      <c r="G1013" s="700"/>
      <c r="H1013" s="701"/>
      <c r="I1013" s="700"/>
      <c r="CL1013" s="706"/>
      <c r="CP1013" s="700"/>
    </row>
    <row r="1014" spans="7:94" ht="14.25" customHeight="1">
      <c r="G1014" s="700"/>
      <c r="H1014" s="701"/>
      <c r="I1014" s="700"/>
      <c r="CL1014" s="706"/>
      <c r="CP1014" s="700"/>
    </row>
    <row r="1015" spans="7:94" ht="14.25" customHeight="1">
      <c r="G1015" s="700"/>
      <c r="H1015" s="701"/>
      <c r="I1015" s="700"/>
      <c r="CL1015" s="706"/>
      <c r="CP1015" s="700"/>
    </row>
    <row r="1016" spans="7:94" ht="14.25" customHeight="1">
      <c r="G1016" s="700"/>
      <c r="H1016" s="701"/>
      <c r="I1016" s="700"/>
      <c r="CL1016" s="706"/>
      <c r="CP1016" s="700"/>
    </row>
    <row r="1017" spans="7:94" ht="14.25" customHeight="1">
      <c r="G1017" s="700"/>
      <c r="H1017" s="701"/>
      <c r="I1017" s="700"/>
      <c r="CL1017" s="706"/>
      <c r="CP1017" s="700"/>
    </row>
    <row r="1018" spans="7:94" ht="14.25" customHeight="1">
      <c r="G1018" s="700"/>
      <c r="H1018" s="701"/>
      <c r="I1018" s="700"/>
      <c r="CL1018" s="706"/>
      <c r="CP1018" s="700"/>
    </row>
    <row r="1019" spans="7:94" ht="14.25" customHeight="1">
      <c r="G1019" s="700"/>
      <c r="H1019" s="701"/>
      <c r="I1019" s="700"/>
      <c r="CL1019" s="706"/>
      <c r="CP1019" s="700"/>
    </row>
    <row r="1020" spans="7:94" ht="14.25" customHeight="1">
      <c r="G1020" s="700"/>
      <c r="H1020" s="701"/>
      <c r="I1020" s="700"/>
      <c r="CL1020" s="706"/>
      <c r="CP1020" s="700"/>
    </row>
    <row r="1021" spans="7:94" ht="14.25" customHeight="1">
      <c r="G1021" s="700"/>
      <c r="H1021" s="701"/>
      <c r="I1021" s="700"/>
      <c r="CL1021" s="706"/>
      <c r="CP1021" s="700"/>
    </row>
    <row r="1022" spans="7:94" ht="14.25" customHeight="1">
      <c r="G1022" s="700"/>
      <c r="H1022" s="701"/>
      <c r="I1022" s="700"/>
      <c r="CL1022" s="706"/>
      <c r="CP1022" s="700"/>
    </row>
    <row r="1023" spans="7:94" ht="14.25" customHeight="1">
      <c r="G1023" s="700"/>
      <c r="H1023" s="701"/>
      <c r="I1023" s="700"/>
      <c r="CL1023" s="706"/>
      <c r="CP1023" s="700"/>
    </row>
    <row r="1024" spans="7:94" ht="14.25" customHeight="1">
      <c r="G1024" s="700"/>
      <c r="H1024" s="701"/>
      <c r="I1024" s="700"/>
      <c r="CL1024" s="706"/>
      <c r="CP1024" s="700"/>
    </row>
    <row r="1025" spans="7:94" ht="14.25" customHeight="1">
      <c r="G1025" s="700"/>
      <c r="H1025" s="701"/>
      <c r="I1025" s="700"/>
      <c r="CL1025" s="706"/>
      <c r="CP1025" s="700"/>
    </row>
    <row r="1026" spans="7:94" ht="14.25" customHeight="1">
      <c r="G1026" s="700"/>
      <c r="H1026" s="701"/>
      <c r="I1026" s="700"/>
      <c r="CL1026" s="706"/>
      <c r="CP1026" s="700"/>
    </row>
    <row r="1027" spans="7:94" ht="14.25" customHeight="1">
      <c r="G1027" s="700"/>
      <c r="H1027" s="701"/>
      <c r="I1027" s="700"/>
      <c r="CL1027" s="706"/>
      <c r="CP1027" s="700"/>
    </row>
    <row r="1028" spans="7:94" ht="14.25" customHeight="1">
      <c r="G1028" s="700"/>
      <c r="H1028" s="701"/>
      <c r="I1028" s="700"/>
      <c r="CL1028" s="706"/>
      <c r="CP1028" s="700"/>
    </row>
    <row r="1029" spans="7:94" ht="14.25" customHeight="1">
      <c r="G1029" s="700"/>
      <c r="H1029" s="701"/>
      <c r="I1029" s="700"/>
      <c r="CL1029" s="706"/>
      <c r="CP1029" s="700"/>
    </row>
    <row r="1030" spans="7:94" ht="14.25" customHeight="1">
      <c r="G1030" s="700"/>
      <c r="H1030" s="701"/>
      <c r="I1030" s="700"/>
      <c r="CL1030" s="706"/>
      <c r="CP1030" s="700"/>
    </row>
    <row r="1031" spans="7:94" ht="14.25" customHeight="1">
      <c r="G1031" s="700"/>
      <c r="H1031" s="701"/>
      <c r="I1031" s="700"/>
      <c r="CL1031" s="706"/>
      <c r="CP1031" s="700"/>
    </row>
    <row r="1032" spans="7:94" ht="14.25" customHeight="1">
      <c r="G1032" s="700"/>
      <c r="H1032" s="701"/>
      <c r="I1032" s="700"/>
      <c r="CL1032" s="706"/>
      <c r="CP1032" s="700"/>
    </row>
    <row r="1033" spans="7:94" ht="14.25" customHeight="1">
      <c r="G1033" s="700"/>
      <c r="H1033" s="701"/>
      <c r="I1033" s="700"/>
      <c r="CL1033" s="706"/>
      <c r="CP1033" s="700"/>
    </row>
    <row r="1034" spans="7:94" ht="14.25" customHeight="1">
      <c r="G1034" s="700"/>
      <c r="H1034" s="701"/>
      <c r="I1034" s="700"/>
      <c r="CL1034" s="706"/>
      <c r="CP1034" s="700"/>
    </row>
    <row r="1035" spans="7:94" ht="14.25" customHeight="1">
      <c r="G1035" s="700"/>
      <c r="H1035" s="701"/>
      <c r="I1035" s="700"/>
      <c r="CL1035" s="706"/>
      <c r="CP1035" s="700"/>
    </row>
    <row r="1036" spans="7:94" ht="14.25" customHeight="1">
      <c r="G1036" s="700"/>
      <c r="H1036" s="701"/>
      <c r="I1036" s="700"/>
      <c r="CL1036" s="706"/>
      <c r="CP1036" s="700"/>
    </row>
    <row r="1037" spans="7:94" ht="14.25" customHeight="1">
      <c r="G1037" s="700"/>
      <c r="H1037" s="701"/>
      <c r="I1037" s="700"/>
      <c r="CL1037" s="706"/>
      <c r="CP1037" s="700"/>
    </row>
    <row r="1038" spans="7:94" ht="14.25" customHeight="1">
      <c r="G1038" s="700"/>
      <c r="H1038" s="701"/>
      <c r="I1038" s="700"/>
      <c r="CL1038" s="706"/>
      <c r="CP1038" s="700"/>
    </row>
    <row r="1039" spans="7:94" ht="14.25" customHeight="1">
      <c r="G1039" s="700"/>
      <c r="H1039" s="701"/>
      <c r="I1039" s="700"/>
      <c r="CL1039" s="706"/>
      <c r="CP1039" s="700"/>
    </row>
    <row r="1040" spans="7:94" ht="14.25" customHeight="1">
      <c r="G1040" s="700"/>
      <c r="H1040" s="701"/>
      <c r="I1040" s="700"/>
      <c r="CL1040" s="706"/>
      <c r="CP1040" s="700"/>
    </row>
    <row r="1041" spans="7:94" ht="14.25" customHeight="1">
      <c r="G1041" s="700"/>
      <c r="H1041" s="701"/>
      <c r="I1041" s="700"/>
      <c r="CL1041" s="706"/>
      <c r="CP1041" s="700"/>
    </row>
    <row r="1042" spans="7:94" ht="14.25" customHeight="1">
      <c r="G1042" s="700"/>
      <c r="H1042" s="701"/>
      <c r="I1042" s="700"/>
      <c r="CL1042" s="706"/>
      <c r="CP1042" s="700"/>
    </row>
    <row r="1043" spans="7:94" ht="14.25" customHeight="1">
      <c r="G1043" s="700"/>
      <c r="H1043" s="701"/>
      <c r="I1043" s="700"/>
      <c r="CL1043" s="706"/>
      <c r="CP1043" s="700"/>
    </row>
    <row r="1044" spans="7:94" ht="14.25" customHeight="1">
      <c r="G1044" s="700"/>
      <c r="H1044" s="701"/>
      <c r="I1044" s="700"/>
      <c r="CL1044" s="706"/>
      <c r="CP1044" s="700"/>
    </row>
    <row r="1045" spans="7:94" ht="14.25" customHeight="1">
      <c r="G1045" s="700"/>
      <c r="H1045" s="701"/>
      <c r="I1045" s="700"/>
      <c r="CL1045" s="706"/>
      <c r="CP1045" s="700"/>
    </row>
    <row r="1046" spans="7:94" ht="14.25" customHeight="1">
      <c r="G1046" s="700"/>
      <c r="H1046" s="701"/>
      <c r="I1046" s="700"/>
      <c r="CL1046" s="706"/>
      <c r="CP1046" s="700"/>
    </row>
    <row r="1047" spans="7:94" ht="14.25" customHeight="1">
      <c r="G1047" s="700"/>
      <c r="H1047" s="701"/>
      <c r="I1047" s="700"/>
      <c r="CL1047" s="706"/>
      <c r="CP1047" s="700"/>
    </row>
    <row r="1048" spans="7:94" ht="14.25" customHeight="1">
      <c r="G1048" s="700"/>
      <c r="H1048" s="701"/>
      <c r="I1048" s="700"/>
      <c r="CL1048" s="706"/>
      <c r="CP1048" s="700"/>
    </row>
    <row r="1049" spans="7:94" ht="14.25" customHeight="1">
      <c r="G1049" s="700"/>
      <c r="H1049" s="701"/>
      <c r="I1049" s="700"/>
      <c r="CL1049" s="706"/>
      <c r="CP1049" s="700"/>
    </row>
    <row r="1050" spans="7:94" ht="14.25" customHeight="1">
      <c r="G1050" s="700"/>
      <c r="H1050" s="701"/>
      <c r="I1050" s="700"/>
      <c r="CL1050" s="706"/>
      <c r="CP1050" s="700"/>
    </row>
    <row r="1051" spans="7:94" ht="14.25" customHeight="1">
      <c r="G1051" s="700"/>
      <c r="H1051" s="701"/>
      <c r="I1051" s="700"/>
      <c r="CL1051" s="706"/>
      <c r="CP1051" s="700"/>
    </row>
    <row r="1052" spans="7:94" ht="14.25" customHeight="1">
      <c r="G1052" s="700"/>
      <c r="H1052" s="701"/>
      <c r="I1052" s="700"/>
      <c r="CL1052" s="706"/>
      <c r="CP1052" s="700"/>
    </row>
    <row r="1053" spans="7:94" ht="14.25" customHeight="1">
      <c r="G1053" s="700"/>
      <c r="H1053" s="701"/>
      <c r="I1053" s="700"/>
      <c r="CL1053" s="706"/>
      <c r="CP1053" s="700"/>
    </row>
    <row r="1054" spans="7:94" ht="14.25" customHeight="1">
      <c r="G1054" s="700"/>
      <c r="H1054" s="701"/>
      <c r="I1054" s="700"/>
      <c r="CL1054" s="706"/>
      <c r="CP1054" s="700"/>
    </row>
    <row r="1055" spans="7:94" ht="14.25" customHeight="1">
      <c r="G1055" s="700"/>
      <c r="H1055" s="701"/>
      <c r="I1055" s="700"/>
      <c r="CL1055" s="706"/>
      <c r="CP1055" s="700"/>
    </row>
    <row r="1056" spans="7:94" ht="14.25" customHeight="1">
      <c r="G1056" s="700"/>
      <c r="H1056" s="701"/>
      <c r="I1056" s="700"/>
      <c r="CL1056" s="706"/>
      <c r="CP1056" s="700"/>
    </row>
    <row r="1057" spans="7:94" ht="14.25" customHeight="1">
      <c r="G1057" s="700"/>
      <c r="H1057" s="701"/>
      <c r="I1057" s="700"/>
      <c r="CL1057" s="706"/>
      <c r="CP1057" s="700"/>
    </row>
    <row r="1058" spans="7:94" ht="14.25" customHeight="1">
      <c r="G1058" s="700"/>
      <c r="H1058" s="701"/>
      <c r="I1058" s="700"/>
      <c r="CL1058" s="706"/>
      <c r="CP1058" s="700"/>
    </row>
    <row r="1059" spans="7:94" ht="14.25" customHeight="1">
      <c r="G1059" s="700"/>
      <c r="H1059" s="701"/>
      <c r="I1059" s="700"/>
      <c r="CL1059" s="706"/>
      <c r="CP1059" s="700"/>
    </row>
    <row r="1060" spans="7:94" ht="14.25" customHeight="1">
      <c r="G1060" s="700"/>
      <c r="H1060" s="701"/>
      <c r="I1060" s="700"/>
      <c r="CL1060" s="706"/>
      <c r="CP1060" s="700"/>
    </row>
    <row r="1061" spans="7:94" ht="14.25" customHeight="1">
      <c r="G1061" s="700"/>
      <c r="H1061" s="701"/>
      <c r="I1061" s="700"/>
      <c r="CL1061" s="706"/>
      <c r="CP1061" s="700"/>
    </row>
    <row r="1062" spans="7:94" ht="14.25" customHeight="1">
      <c r="G1062" s="700"/>
      <c r="H1062" s="701"/>
      <c r="I1062" s="700"/>
      <c r="CL1062" s="706"/>
      <c r="CP1062" s="700"/>
    </row>
    <row r="1063" spans="7:94" ht="14.25" customHeight="1">
      <c r="G1063" s="700"/>
      <c r="H1063" s="701"/>
      <c r="I1063" s="700"/>
      <c r="CL1063" s="706"/>
      <c r="CP1063" s="700"/>
    </row>
    <row r="1064" spans="7:94" ht="14.25" customHeight="1">
      <c r="G1064" s="700"/>
      <c r="H1064" s="701"/>
      <c r="I1064" s="700"/>
      <c r="CL1064" s="706"/>
      <c r="CP1064" s="700"/>
    </row>
    <row r="1065" spans="7:94" ht="14.25" customHeight="1">
      <c r="G1065" s="700"/>
      <c r="H1065" s="701"/>
      <c r="I1065" s="700"/>
      <c r="CL1065" s="706"/>
      <c r="CP1065" s="700"/>
    </row>
    <row r="1066" spans="7:94" ht="14.25" customHeight="1">
      <c r="G1066" s="700"/>
      <c r="H1066" s="701"/>
      <c r="I1066" s="700"/>
      <c r="CL1066" s="706"/>
      <c r="CP1066" s="700"/>
    </row>
    <row r="1067" spans="7:94" ht="14.25" customHeight="1">
      <c r="G1067" s="700"/>
      <c r="H1067" s="701"/>
      <c r="I1067" s="700"/>
      <c r="CL1067" s="706"/>
      <c r="CP1067" s="700"/>
    </row>
    <row r="1068" spans="7:94" ht="14.25" customHeight="1">
      <c r="G1068" s="700"/>
      <c r="H1068" s="701"/>
      <c r="I1068" s="700"/>
      <c r="CL1068" s="706"/>
      <c r="CP1068" s="700"/>
    </row>
    <row r="1069" spans="7:94" ht="14.25" customHeight="1">
      <c r="G1069" s="700"/>
      <c r="H1069" s="701"/>
      <c r="I1069" s="700"/>
      <c r="CL1069" s="706"/>
      <c r="CP1069" s="700"/>
    </row>
    <row r="1070" spans="7:94" ht="14.25" customHeight="1">
      <c r="G1070" s="700"/>
      <c r="H1070" s="701"/>
      <c r="I1070" s="700"/>
      <c r="CL1070" s="706"/>
      <c r="CP1070" s="700"/>
    </row>
    <row r="1071" spans="7:94" ht="14.25" customHeight="1">
      <c r="G1071" s="700"/>
      <c r="H1071" s="701"/>
      <c r="I1071" s="700"/>
      <c r="CL1071" s="706"/>
      <c r="CP1071" s="700"/>
    </row>
    <row r="1072" spans="7:94" ht="14.25" customHeight="1">
      <c r="G1072" s="700"/>
      <c r="H1072" s="701"/>
      <c r="I1072" s="700"/>
      <c r="CL1072" s="706"/>
      <c r="CP1072" s="700"/>
    </row>
    <row r="1073" spans="7:94" ht="14.25" customHeight="1">
      <c r="G1073" s="700"/>
      <c r="H1073" s="701"/>
      <c r="I1073" s="700"/>
      <c r="CL1073" s="706"/>
      <c r="CP1073" s="700"/>
    </row>
    <row r="1074" spans="7:94" ht="14.25" customHeight="1">
      <c r="G1074" s="700"/>
      <c r="H1074" s="701"/>
      <c r="I1074" s="700"/>
      <c r="CL1074" s="706"/>
      <c r="CP1074" s="700"/>
    </row>
    <row r="1075" spans="7:94" ht="14.25" customHeight="1">
      <c r="G1075" s="700"/>
      <c r="H1075" s="701"/>
      <c r="I1075" s="700"/>
      <c r="CL1075" s="706"/>
      <c r="CP1075" s="700"/>
    </row>
    <row r="1076" spans="7:94" ht="14.25" customHeight="1">
      <c r="G1076" s="700"/>
      <c r="H1076" s="701"/>
      <c r="I1076" s="700"/>
      <c r="CL1076" s="706"/>
      <c r="CP1076" s="700"/>
    </row>
    <row r="1077" spans="7:94" ht="14.25" customHeight="1">
      <c r="G1077" s="700"/>
      <c r="H1077" s="701"/>
      <c r="I1077" s="700"/>
      <c r="CL1077" s="706"/>
      <c r="CP1077" s="700"/>
    </row>
    <row r="1078" spans="7:94" ht="14.25" customHeight="1">
      <c r="G1078" s="700"/>
      <c r="H1078" s="701"/>
      <c r="I1078" s="700"/>
      <c r="CL1078" s="706"/>
      <c r="CP1078" s="700"/>
    </row>
    <row r="1079" spans="7:94" ht="14.25" customHeight="1">
      <c r="G1079" s="700"/>
      <c r="H1079" s="701"/>
      <c r="I1079" s="700"/>
      <c r="CL1079" s="706"/>
      <c r="CP1079" s="700"/>
    </row>
    <row r="1080" spans="7:94" ht="14.25" customHeight="1">
      <c r="G1080" s="700"/>
      <c r="H1080" s="701"/>
      <c r="I1080" s="700"/>
      <c r="CL1080" s="706"/>
      <c r="CP1080" s="700"/>
    </row>
    <row r="1081" spans="7:94" ht="14.25" customHeight="1">
      <c r="G1081" s="700"/>
      <c r="H1081" s="701"/>
      <c r="I1081" s="700"/>
      <c r="CL1081" s="706"/>
      <c r="CP1081" s="700"/>
    </row>
    <row r="1082" spans="7:94" ht="14.25" customHeight="1">
      <c r="G1082" s="700"/>
      <c r="H1082" s="701"/>
      <c r="I1082" s="700"/>
      <c r="CL1082" s="706"/>
      <c r="CP1082" s="700"/>
    </row>
    <row r="1083" spans="7:94" ht="14.25" customHeight="1">
      <c r="G1083" s="700"/>
      <c r="H1083" s="701"/>
      <c r="I1083" s="700"/>
      <c r="CL1083" s="706"/>
      <c r="CP1083" s="700"/>
    </row>
    <row r="1084" spans="7:94" ht="14.25" customHeight="1">
      <c r="G1084" s="700"/>
      <c r="H1084" s="701"/>
      <c r="I1084" s="700"/>
      <c r="CL1084" s="706"/>
      <c r="CP1084" s="700"/>
    </row>
    <row r="1085" spans="7:94" ht="14.25" customHeight="1">
      <c r="G1085" s="700"/>
      <c r="H1085" s="701"/>
      <c r="I1085" s="700"/>
      <c r="CL1085" s="706"/>
      <c r="CP1085" s="700"/>
    </row>
    <row r="1086" spans="7:94" ht="14.25" customHeight="1">
      <c r="G1086" s="700"/>
      <c r="H1086" s="701"/>
      <c r="I1086" s="700"/>
      <c r="CL1086" s="706"/>
      <c r="CP1086" s="700"/>
    </row>
    <row r="1087" spans="7:94" ht="14.25" customHeight="1">
      <c r="G1087" s="700"/>
      <c r="H1087" s="701"/>
      <c r="I1087" s="700"/>
      <c r="CL1087" s="706"/>
      <c r="CP1087" s="700"/>
    </row>
    <row r="1088" spans="7:94" ht="14.25" customHeight="1">
      <c r="G1088" s="700"/>
      <c r="H1088" s="701"/>
      <c r="I1088" s="700"/>
      <c r="CL1088" s="706"/>
      <c r="CP1088" s="700"/>
    </row>
    <row r="1089" spans="7:94" ht="14.25" customHeight="1">
      <c r="G1089" s="700"/>
      <c r="H1089" s="701"/>
      <c r="I1089" s="700"/>
      <c r="CL1089" s="706"/>
      <c r="CP1089" s="700"/>
    </row>
    <row r="1090" spans="7:94" ht="14.25" customHeight="1">
      <c r="G1090" s="700"/>
      <c r="H1090" s="701"/>
      <c r="I1090" s="700"/>
      <c r="CL1090" s="706"/>
      <c r="CP1090" s="700"/>
    </row>
    <row r="1091" spans="7:94" ht="14.25" customHeight="1">
      <c r="G1091" s="700"/>
      <c r="H1091" s="701"/>
      <c r="I1091" s="700"/>
      <c r="CL1091" s="706"/>
      <c r="CP1091" s="700"/>
    </row>
    <row r="1092" spans="7:94" ht="14.25" customHeight="1">
      <c r="G1092" s="700"/>
      <c r="H1092" s="701"/>
      <c r="I1092" s="700"/>
      <c r="CL1092" s="706"/>
      <c r="CP1092" s="700"/>
    </row>
    <row r="1093" spans="7:94" ht="14.25" customHeight="1">
      <c r="G1093" s="700"/>
      <c r="H1093" s="701"/>
      <c r="I1093" s="700"/>
      <c r="CL1093" s="706"/>
      <c r="CP1093" s="700"/>
    </row>
    <row r="1094" spans="7:94" ht="14.25" customHeight="1">
      <c r="G1094" s="700"/>
      <c r="H1094" s="701"/>
      <c r="I1094" s="700"/>
      <c r="CL1094" s="706"/>
      <c r="CP1094" s="700"/>
    </row>
    <row r="1095" spans="7:94" ht="14.25" customHeight="1">
      <c r="G1095" s="700"/>
      <c r="H1095" s="701"/>
      <c r="I1095" s="700"/>
      <c r="CL1095" s="706"/>
      <c r="CP1095" s="700"/>
    </row>
    <row r="1096" spans="7:94" ht="14.25" customHeight="1">
      <c r="G1096" s="700"/>
      <c r="H1096" s="701"/>
      <c r="I1096" s="700"/>
      <c r="CL1096" s="706"/>
      <c r="CP1096" s="700"/>
    </row>
    <row r="1097" spans="7:94" ht="14.25" customHeight="1">
      <c r="G1097" s="700"/>
      <c r="H1097" s="701"/>
      <c r="I1097" s="700"/>
      <c r="CL1097" s="706"/>
      <c r="CP1097" s="700"/>
    </row>
    <row r="1098" spans="7:94" ht="14.25" customHeight="1">
      <c r="G1098" s="700"/>
      <c r="H1098" s="701"/>
      <c r="I1098" s="700"/>
      <c r="CL1098" s="706"/>
      <c r="CP1098" s="700"/>
    </row>
    <row r="1099" spans="7:94" ht="14.25" customHeight="1">
      <c r="G1099" s="700"/>
      <c r="H1099" s="701"/>
      <c r="I1099" s="700"/>
      <c r="CL1099" s="706"/>
      <c r="CP1099" s="700"/>
    </row>
    <row r="1100" spans="7:94" ht="14.25" customHeight="1">
      <c r="G1100" s="700"/>
      <c r="H1100" s="701"/>
      <c r="I1100" s="700"/>
      <c r="CL1100" s="706"/>
      <c r="CP1100" s="700"/>
    </row>
    <row r="1101" spans="7:94" ht="14.25" customHeight="1">
      <c r="G1101" s="700"/>
      <c r="H1101" s="701"/>
      <c r="I1101" s="700"/>
      <c r="CL1101" s="706"/>
      <c r="CP1101" s="700"/>
    </row>
    <row r="1102" spans="7:94" ht="14.25" customHeight="1">
      <c r="G1102" s="700"/>
      <c r="H1102" s="701"/>
      <c r="I1102" s="700"/>
      <c r="CL1102" s="706"/>
      <c r="CP1102" s="700"/>
    </row>
    <row r="1103" spans="7:94" ht="14.25" customHeight="1">
      <c r="G1103" s="700"/>
      <c r="H1103" s="701"/>
      <c r="I1103" s="700"/>
      <c r="CL1103" s="706"/>
      <c r="CP1103" s="700"/>
    </row>
    <row r="1104" spans="7:94" ht="14.25" customHeight="1">
      <c r="G1104" s="700"/>
      <c r="H1104" s="701"/>
      <c r="I1104" s="700"/>
      <c r="CL1104" s="706"/>
      <c r="CP1104" s="700"/>
    </row>
    <row r="1105" spans="7:94" ht="14.25" customHeight="1">
      <c r="G1105" s="700"/>
      <c r="H1105" s="701"/>
      <c r="I1105" s="700"/>
      <c r="CL1105" s="706"/>
      <c r="CP1105" s="700"/>
    </row>
    <row r="1106" spans="7:94" ht="14.25" customHeight="1">
      <c r="G1106" s="700"/>
      <c r="H1106" s="701"/>
      <c r="I1106" s="700"/>
      <c r="CL1106" s="706"/>
      <c r="CP1106" s="700"/>
    </row>
    <row r="1107" spans="7:94" ht="14.25" customHeight="1">
      <c r="G1107" s="700"/>
      <c r="H1107" s="701"/>
      <c r="I1107" s="700"/>
      <c r="CL1107" s="706"/>
      <c r="CP1107" s="700"/>
    </row>
    <row r="1108" spans="7:94" ht="14.25" customHeight="1">
      <c r="G1108" s="700"/>
      <c r="H1108" s="701"/>
      <c r="I1108" s="700"/>
      <c r="CL1108" s="706"/>
      <c r="CP1108" s="700"/>
    </row>
    <row r="1109" spans="7:94" ht="14.25" customHeight="1">
      <c r="G1109" s="700"/>
      <c r="H1109" s="701"/>
      <c r="I1109" s="700"/>
      <c r="CL1109" s="706"/>
      <c r="CP1109" s="700"/>
    </row>
    <row r="1110" spans="7:94" ht="14.25" customHeight="1">
      <c r="G1110" s="700"/>
      <c r="H1110" s="701"/>
      <c r="I1110" s="700"/>
      <c r="CL1110" s="706"/>
      <c r="CP1110" s="700"/>
    </row>
    <row r="1111" spans="7:94" ht="14.25" customHeight="1">
      <c r="G1111" s="700"/>
      <c r="H1111" s="701"/>
      <c r="I1111" s="700"/>
      <c r="CL1111" s="706"/>
      <c r="CP1111" s="700"/>
    </row>
    <row r="1112" spans="7:94" ht="14.25" customHeight="1">
      <c r="G1112" s="700"/>
      <c r="H1112" s="701"/>
      <c r="I1112" s="700"/>
      <c r="CL1112" s="706"/>
      <c r="CP1112" s="700"/>
    </row>
    <row r="1113" spans="7:94" ht="14.25" customHeight="1">
      <c r="G1113" s="700"/>
      <c r="H1113" s="701"/>
      <c r="I1113" s="700"/>
      <c r="CL1113" s="706"/>
      <c r="CP1113" s="700"/>
    </row>
    <row r="1114" spans="7:94" ht="14.25" customHeight="1">
      <c r="G1114" s="700"/>
      <c r="H1114" s="701"/>
      <c r="I1114" s="700"/>
      <c r="CL1114" s="706"/>
      <c r="CP1114" s="700"/>
    </row>
    <row r="1115" spans="7:94" ht="14.25" customHeight="1">
      <c r="G1115" s="700"/>
      <c r="H1115" s="701"/>
      <c r="I1115" s="700"/>
      <c r="CL1115" s="706"/>
      <c r="CP1115" s="700"/>
    </row>
    <row r="1116" spans="7:94" ht="14.25" customHeight="1">
      <c r="G1116" s="700"/>
      <c r="H1116" s="701"/>
      <c r="I1116" s="700"/>
      <c r="CL1116" s="706"/>
      <c r="CP1116" s="700"/>
    </row>
    <row r="1117" spans="7:94" ht="14.25" customHeight="1">
      <c r="G1117" s="700"/>
      <c r="H1117" s="701"/>
      <c r="I1117" s="700"/>
      <c r="CL1117" s="706"/>
      <c r="CP1117" s="700"/>
    </row>
    <row r="1118" spans="7:94" ht="14.25" customHeight="1">
      <c r="G1118" s="700"/>
      <c r="H1118" s="701"/>
      <c r="I1118" s="700"/>
      <c r="CL1118" s="706"/>
      <c r="CP1118" s="700"/>
    </row>
    <row r="1119" spans="7:94" ht="14.25" customHeight="1">
      <c r="G1119" s="700"/>
      <c r="H1119" s="701"/>
      <c r="I1119" s="700"/>
      <c r="CL1119" s="706"/>
      <c r="CP1119" s="700"/>
    </row>
    <row r="1120" spans="7:94" ht="14.25" customHeight="1">
      <c r="G1120" s="700"/>
      <c r="H1120" s="701"/>
      <c r="I1120" s="700"/>
      <c r="CL1120" s="706"/>
      <c r="CP1120" s="700"/>
    </row>
    <row r="1121" spans="7:94" ht="14.25" customHeight="1">
      <c r="G1121" s="700"/>
      <c r="H1121" s="701"/>
      <c r="I1121" s="700"/>
      <c r="CL1121" s="706"/>
      <c r="CP1121" s="700"/>
    </row>
    <row r="1122" spans="7:94" ht="14.25" customHeight="1">
      <c r="G1122" s="700"/>
      <c r="H1122" s="701"/>
      <c r="I1122" s="700"/>
      <c r="CL1122" s="706"/>
      <c r="CP1122" s="700"/>
    </row>
    <row r="1123" spans="7:94" ht="14.25" customHeight="1">
      <c r="G1123" s="700"/>
      <c r="H1123" s="701"/>
      <c r="I1123" s="700"/>
      <c r="CL1123" s="706"/>
      <c r="CP1123" s="700"/>
    </row>
    <row r="1124" spans="7:94" ht="14.25" customHeight="1">
      <c r="G1124" s="700"/>
      <c r="H1124" s="701"/>
      <c r="I1124" s="700"/>
      <c r="CL1124" s="706"/>
      <c r="CP1124" s="700"/>
    </row>
    <row r="1125" spans="7:94" ht="14.25" customHeight="1">
      <c r="G1125" s="700"/>
      <c r="H1125" s="701"/>
      <c r="I1125" s="700"/>
      <c r="CL1125" s="706"/>
      <c r="CP1125" s="700"/>
    </row>
    <row r="1126" spans="7:94" ht="14.25" customHeight="1">
      <c r="G1126" s="700"/>
      <c r="H1126" s="701"/>
      <c r="I1126" s="700"/>
      <c r="CL1126" s="706"/>
      <c r="CP1126" s="700"/>
    </row>
    <row r="1127" spans="7:94" ht="14.25" customHeight="1">
      <c r="G1127" s="700"/>
      <c r="H1127" s="701"/>
      <c r="I1127" s="700"/>
      <c r="CL1127" s="706"/>
      <c r="CP1127" s="700"/>
    </row>
    <row r="1128" spans="7:94" ht="14.25" customHeight="1">
      <c r="G1128" s="700"/>
      <c r="H1128" s="701"/>
      <c r="I1128" s="700"/>
      <c r="CL1128" s="706"/>
      <c r="CP1128" s="700"/>
    </row>
    <row r="1129" spans="7:94" ht="14.25" customHeight="1">
      <c r="G1129" s="700"/>
      <c r="H1129" s="701"/>
      <c r="I1129" s="700"/>
      <c r="CL1129" s="706"/>
      <c r="CP1129" s="700"/>
    </row>
    <row r="1130" spans="7:94" ht="14.25" customHeight="1">
      <c r="G1130" s="700"/>
      <c r="H1130" s="701"/>
      <c r="I1130" s="700"/>
      <c r="CL1130" s="706"/>
      <c r="CP1130" s="700"/>
    </row>
    <row r="1131" spans="7:94" ht="14.25" customHeight="1">
      <c r="G1131" s="700"/>
      <c r="H1131" s="701"/>
      <c r="I1131" s="700"/>
      <c r="CL1131" s="706"/>
      <c r="CP1131" s="700"/>
    </row>
    <row r="1132" spans="7:94" ht="14.25" customHeight="1">
      <c r="G1132" s="700"/>
      <c r="H1132" s="701"/>
      <c r="I1132" s="700"/>
      <c r="CL1132" s="706"/>
      <c r="CP1132" s="700"/>
    </row>
    <row r="1133" spans="7:94" ht="14.25" customHeight="1">
      <c r="G1133" s="700"/>
      <c r="H1133" s="701"/>
      <c r="I1133" s="700"/>
      <c r="CL1133" s="706"/>
      <c r="CP1133" s="700"/>
    </row>
    <row r="1134" spans="7:94" ht="14.25" customHeight="1">
      <c r="G1134" s="700"/>
      <c r="H1134" s="701"/>
      <c r="I1134" s="700"/>
      <c r="CL1134" s="706"/>
      <c r="CP1134" s="700"/>
    </row>
    <row r="1135" spans="7:94" ht="14.25" customHeight="1">
      <c r="G1135" s="700"/>
      <c r="H1135" s="701"/>
      <c r="I1135" s="700"/>
      <c r="CL1135" s="706"/>
      <c r="CP1135" s="700"/>
    </row>
    <row r="1136" spans="7:94" ht="14.25" customHeight="1">
      <c r="G1136" s="700"/>
      <c r="H1136" s="701"/>
      <c r="I1136" s="700"/>
      <c r="CL1136" s="706"/>
      <c r="CP1136" s="700"/>
    </row>
    <row r="1137" spans="7:94" ht="14.25" customHeight="1">
      <c r="G1137" s="700"/>
      <c r="H1137" s="701"/>
      <c r="I1137" s="700"/>
      <c r="CL1137" s="706"/>
      <c r="CP1137" s="700"/>
    </row>
    <row r="1138" spans="7:94" ht="14.25" customHeight="1">
      <c r="G1138" s="700"/>
      <c r="H1138" s="701"/>
      <c r="I1138" s="700"/>
      <c r="CL1138" s="706"/>
      <c r="CP1138" s="700"/>
    </row>
    <row r="1139" spans="7:94" ht="14.25" customHeight="1">
      <c r="G1139" s="700"/>
      <c r="H1139" s="701"/>
      <c r="I1139" s="700"/>
      <c r="CL1139" s="706"/>
      <c r="CP1139" s="700"/>
    </row>
    <row r="1140" spans="7:94" ht="14.25" customHeight="1">
      <c r="G1140" s="700"/>
      <c r="H1140" s="701"/>
      <c r="I1140" s="700"/>
      <c r="CL1140" s="706"/>
      <c r="CP1140" s="700"/>
    </row>
    <row r="1141" spans="7:94" ht="14.25" customHeight="1">
      <c r="G1141" s="700"/>
      <c r="H1141" s="701"/>
      <c r="I1141" s="700"/>
      <c r="CL1141" s="706"/>
      <c r="CP1141" s="700"/>
    </row>
    <row r="1142" spans="7:94" ht="14.25" customHeight="1">
      <c r="G1142" s="700"/>
      <c r="H1142" s="701"/>
      <c r="I1142" s="700"/>
      <c r="CL1142" s="706"/>
      <c r="CP1142" s="700"/>
    </row>
    <row r="1143" spans="7:94" ht="14.25" customHeight="1">
      <c r="G1143" s="700"/>
      <c r="H1143" s="701"/>
      <c r="I1143" s="700"/>
      <c r="CL1143" s="706"/>
      <c r="CP1143" s="700"/>
    </row>
    <row r="1144" spans="7:94" ht="14.25" customHeight="1">
      <c r="G1144" s="700"/>
      <c r="H1144" s="701"/>
      <c r="I1144" s="700"/>
      <c r="CL1144" s="706"/>
      <c r="CP1144" s="700"/>
    </row>
    <row r="1145" spans="7:94" ht="14.25" customHeight="1">
      <c r="G1145" s="700"/>
      <c r="H1145" s="701"/>
      <c r="I1145" s="700"/>
      <c r="CL1145" s="706"/>
      <c r="CP1145" s="700"/>
    </row>
    <row r="1146" spans="7:94" ht="14.25" customHeight="1">
      <c r="G1146" s="700"/>
      <c r="H1146" s="701"/>
      <c r="I1146" s="700"/>
      <c r="CL1146" s="706"/>
      <c r="CP1146" s="700"/>
    </row>
    <row r="1147" spans="7:94" ht="14.25" customHeight="1">
      <c r="G1147" s="700"/>
      <c r="H1147" s="701"/>
      <c r="I1147" s="700"/>
      <c r="CL1147" s="706"/>
      <c r="CP1147" s="700"/>
    </row>
    <row r="1148" spans="7:94" ht="14.25" customHeight="1">
      <c r="G1148" s="700"/>
      <c r="H1148" s="701"/>
      <c r="I1148" s="700"/>
      <c r="CL1148" s="706"/>
      <c r="CP1148" s="700"/>
    </row>
    <row r="1149" spans="7:94" ht="14.25" customHeight="1">
      <c r="G1149" s="700"/>
      <c r="H1149" s="701"/>
      <c r="I1149" s="700"/>
      <c r="CL1149" s="706"/>
      <c r="CP1149" s="700"/>
    </row>
    <row r="1150" spans="7:94" ht="14.25" customHeight="1">
      <c r="G1150" s="700"/>
      <c r="H1150" s="701"/>
      <c r="I1150" s="700"/>
      <c r="CL1150" s="706"/>
      <c r="CP1150" s="700"/>
    </row>
    <row r="1151" spans="7:94" ht="14.25" customHeight="1">
      <c r="G1151" s="700"/>
      <c r="H1151" s="701"/>
      <c r="I1151" s="700"/>
      <c r="CL1151" s="706"/>
      <c r="CP1151" s="700"/>
    </row>
    <row r="1152" spans="7:94" ht="14.25" customHeight="1">
      <c r="G1152" s="700"/>
      <c r="H1152" s="701"/>
      <c r="I1152" s="700"/>
      <c r="CL1152" s="706"/>
      <c r="CP1152" s="700"/>
    </row>
    <row r="1153" spans="7:94" ht="14.25" customHeight="1">
      <c r="G1153" s="700"/>
      <c r="H1153" s="701"/>
      <c r="I1153" s="700"/>
      <c r="CL1153" s="706"/>
      <c r="CP1153" s="700"/>
    </row>
    <row r="1154" spans="7:94" ht="14.25" customHeight="1">
      <c r="G1154" s="700"/>
      <c r="H1154" s="701"/>
      <c r="I1154" s="700"/>
      <c r="CL1154" s="706"/>
      <c r="CP1154" s="700"/>
    </row>
    <row r="1155" spans="7:94" ht="14.25" customHeight="1">
      <c r="G1155" s="700"/>
      <c r="H1155" s="701"/>
      <c r="I1155" s="700"/>
      <c r="CL1155" s="706"/>
      <c r="CP1155" s="700"/>
    </row>
    <row r="1156" spans="7:94" ht="14.25" customHeight="1">
      <c r="G1156" s="700"/>
      <c r="H1156" s="701"/>
      <c r="I1156" s="700"/>
      <c r="CL1156" s="706"/>
      <c r="CP1156" s="700"/>
    </row>
    <row r="1157" spans="7:94" ht="14.25" customHeight="1">
      <c r="G1157" s="700"/>
      <c r="H1157" s="701"/>
      <c r="I1157" s="700"/>
      <c r="CL1157" s="706"/>
      <c r="CP1157" s="700"/>
    </row>
    <row r="1158" spans="7:94" ht="14.25" customHeight="1">
      <c r="G1158" s="700"/>
      <c r="H1158" s="701"/>
      <c r="I1158" s="700"/>
      <c r="CL1158" s="706"/>
      <c r="CP1158" s="700"/>
    </row>
    <row r="1159" spans="7:94" ht="14.25" customHeight="1">
      <c r="G1159" s="700"/>
      <c r="H1159" s="701"/>
      <c r="I1159" s="700"/>
      <c r="CL1159" s="706"/>
      <c r="CP1159" s="700"/>
    </row>
    <row r="1160" spans="7:94" ht="14.25" customHeight="1">
      <c r="G1160" s="700"/>
      <c r="H1160" s="701"/>
      <c r="I1160" s="700"/>
      <c r="CL1160" s="706"/>
      <c r="CP1160" s="700"/>
    </row>
    <row r="1161" spans="7:94" ht="14.25" customHeight="1">
      <c r="G1161" s="700"/>
      <c r="H1161" s="701"/>
      <c r="I1161" s="700"/>
      <c r="CL1161" s="706"/>
      <c r="CP1161" s="700"/>
    </row>
    <row r="1162" spans="7:94" ht="14.25" customHeight="1">
      <c r="G1162" s="700"/>
      <c r="H1162" s="701"/>
      <c r="I1162" s="700"/>
      <c r="CL1162" s="706"/>
      <c r="CP1162" s="700"/>
    </row>
    <row r="1163" spans="7:94" ht="14.25" customHeight="1">
      <c r="G1163" s="700"/>
      <c r="H1163" s="701"/>
      <c r="I1163" s="700"/>
      <c r="CL1163" s="706"/>
      <c r="CP1163" s="700"/>
    </row>
    <row r="1164" spans="7:94" ht="14.25" customHeight="1">
      <c r="G1164" s="700"/>
      <c r="H1164" s="701"/>
      <c r="I1164" s="700"/>
      <c r="CL1164" s="706"/>
      <c r="CP1164" s="700"/>
    </row>
    <row r="1165" spans="7:94" ht="14.25" customHeight="1">
      <c r="G1165" s="700"/>
      <c r="H1165" s="701"/>
      <c r="I1165" s="700"/>
      <c r="CL1165" s="706"/>
      <c r="CP1165" s="700"/>
    </row>
    <row r="1166" spans="7:94" ht="14.25" customHeight="1">
      <c r="G1166" s="700"/>
      <c r="H1166" s="701"/>
      <c r="I1166" s="700"/>
      <c r="CL1166" s="706"/>
      <c r="CP1166" s="700"/>
    </row>
    <row r="1167" spans="7:94" ht="14.25" customHeight="1">
      <c r="G1167" s="700"/>
      <c r="H1167" s="701"/>
      <c r="I1167" s="700"/>
      <c r="CL1167" s="706"/>
      <c r="CP1167" s="700"/>
    </row>
    <row r="1168" spans="7:94" ht="14.25" customHeight="1">
      <c r="G1168" s="700"/>
      <c r="H1168" s="701"/>
      <c r="I1168" s="700"/>
      <c r="CL1168" s="706"/>
      <c r="CP1168" s="700"/>
    </row>
    <row r="1169" spans="7:94" ht="14.25" customHeight="1">
      <c r="G1169" s="700"/>
      <c r="H1169" s="701"/>
      <c r="I1169" s="700"/>
      <c r="CL1169" s="706"/>
      <c r="CP1169" s="700"/>
    </row>
    <row r="1170" spans="7:94" ht="14.25" customHeight="1">
      <c r="G1170" s="700"/>
      <c r="H1170" s="701"/>
      <c r="I1170" s="700"/>
      <c r="CL1170" s="706"/>
      <c r="CP1170" s="700"/>
    </row>
    <row r="1171" spans="7:94" ht="14.25" customHeight="1">
      <c r="G1171" s="700"/>
      <c r="H1171" s="701"/>
      <c r="I1171" s="700"/>
      <c r="CL1171" s="706"/>
      <c r="CP1171" s="700"/>
    </row>
    <row r="1172" spans="7:94" ht="14.25" customHeight="1">
      <c r="G1172" s="700"/>
      <c r="H1172" s="701"/>
      <c r="I1172" s="700"/>
      <c r="CL1172" s="706"/>
      <c r="CP1172" s="700"/>
    </row>
    <row r="1173" spans="7:94" ht="14.25" customHeight="1">
      <c r="G1173" s="700"/>
      <c r="H1173" s="701"/>
      <c r="I1173" s="700"/>
      <c r="CL1173" s="706"/>
      <c r="CP1173" s="700"/>
    </row>
    <row r="1174" spans="7:94" ht="14.25" customHeight="1">
      <c r="G1174" s="700"/>
      <c r="H1174" s="701"/>
      <c r="I1174" s="700"/>
      <c r="CL1174" s="706"/>
      <c r="CP1174" s="700"/>
    </row>
    <row r="1175" spans="7:94" ht="14.25" customHeight="1">
      <c r="G1175" s="700"/>
      <c r="H1175" s="701"/>
      <c r="I1175" s="700"/>
      <c r="CL1175" s="706"/>
      <c r="CP1175" s="700"/>
    </row>
    <row r="1176" spans="7:94" ht="14.25" customHeight="1">
      <c r="G1176" s="700"/>
      <c r="H1176" s="701"/>
      <c r="I1176" s="700"/>
      <c r="CL1176" s="706"/>
      <c r="CP1176" s="700"/>
    </row>
    <row r="1177" spans="7:94" ht="14.25" customHeight="1">
      <c r="G1177" s="700"/>
      <c r="H1177" s="701"/>
      <c r="I1177" s="700"/>
      <c r="CL1177" s="706"/>
      <c r="CP1177" s="700"/>
    </row>
    <row r="1178" spans="7:94" ht="14.25" customHeight="1">
      <c r="G1178" s="700"/>
      <c r="H1178" s="701"/>
      <c r="I1178" s="700"/>
      <c r="CL1178" s="706"/>
      <c r="CP1178" s="700"/>
    </row>
    <row r="1179" spans="7:94" ht="14.25" customHeight="1">
      <c r="G1179" s="700"/>
      <c r="H1179" s="701"/>
      <c r="I1179" s="700"/>
      <c r="CL1179" s="706"/>
      <c r="CP1179" s="700"/>
    </row>
    <row r="1180" spans="7:94" ht="14.25" customHeight="1">
      <c r="G1180" s="700"/>
      <c r="H1180" s="701"/>
      <c r="I1180" s="700"/>
      <c r="CL1180" s="706"/>
      <c r="CP1180" s="700"/>
    </row>
    <row r="1181" spans="7:94" ht="14.25" customHeight="1">
      <c r="G1181" s="700"/>
      <c r="H1181" s="701"/>
      <c r="I1181" s="700"/>
      <c r="CL1181" s="706"/>
      <c r="CP1181" s="700"/>
    </row>
    <row r="1182" spans="7:94" ht="14.25" customHeight="1">
      <c r="G1182" s="700"/>
      <c r="H1182" s="701"/>
      <c r="I1182" s="700"/>
      <c r="CL1182" s="706"/>
      <c r="CP1182" s="700"/>
    </row>
    <row r="1183" spans="7:94" ht="14.25" customHeight="1">
      <c r="G1183" s="700"/>
      <c r="H1183" s="701"/>
      <c r="I1183" s="700"/>
      <c r="CL1183" s="706"/>
      <c r="CP1183" s="700"/>
    </row>
    <row r="1184" spans="7:94" ht="14.25" customHeight="1">
      <c r="G1184" s="700"/>
      <c r="H1184" s="701"/>
      <c r="I1184" s="700"/>
      <c r="CL1184" s="706"/>
      <c r="CP1184" s="700"/>
    </row>
    <row r="1185" spans="7:94" ht="14.25" customHeight="1">
      <c r="G1185" s="700"/>
      <c r="H1185" s="701"/>
      <c r="I1185" s="700"/>
      <c r="CL1185" s="706"/>
      <c r="CP1185" s="700"/>
    </row>
    <row r="1186" spans="7:94" ht="14.25" customHeight="1">
      <c r="G1186" s="700"/>
      <c r="H1186" s="701"/>
      <c r="I1186" s="700"/>
      <c r="CL1186" s="706"/>
      <c r="CP1186" s="700"/>
    </row>
    <row r="1187" spans="7:94" ht="14.25" customHeight="1">
      <c r="G1187" s="700"/>
      <c r="H1187" s="701"/>
      <c r="I1187" s="700"/>
      <c r="CL1187" s="706"/>
      <c r="CP1187" s="700"/>
    </row>
    <row r="1188" spans="7:94" ht="14.25" customHeight="1">
      <c r="G1188" s="700"/>
      <c r="H1188" s="701"/>
      <c r="I1188" s="700"/>
      <c r="CL1188" s="706"/>
      <c r="CP1188" s="700"/>
    </row>
    <row r="1189" spans="7:94" ht="14.25" customHeight="1">
      <c r="G1189" s="700"/>
      <c r="H1189" s="701"/>
      <c r="I1189" s="700"/>
      <c r="CL1189" s="706"/>
      <c r="CP1189" s="700"/>
    </row>
    <row r="1190" spans="7:94" ht="14.25" customHeight="1">
      <c r="G1190" s="700"/>
      <c r="H1190" s="701"/>
      <c r="I1190" s="700"/>
      <c r="CL1190" s="706"/>
      <c r="CP1190" s="700"/>
    </row>
    <row r="1191" spans="7:94" ht="14.25" customHeight="1">
      <c r="G1191" s="700"/>
      <c r="H1191" s="701"/>
      <c r="I1191" s="700"/>
      <c r="CL1191" s="706"/>
      <c r="CP1191" s="700"/>
    </row>
    <row r="1192" spans="7:94" ht="14.25" customHeight="1">
      <c r="G1192" s="700"/>
      <c r="H1192" s="701"/>
      <c r="I1192" s="700"/>
      <c r="CL1192" s="706"/>
      <c r="CP1192" s="700"/>
    </row>
    <row r="1193" spans="7:94" ht="14.25" customHeight="1">
      <c r="G1193" s="700"/>
      <c r="H1193" s="701"/>
      <c r="I1193" s="700"/>
      <c r="CL1193" s="706"/>
      <c r="CP1193" s="700"/>
    </row>
    <row r="1194" spans="7:94" ht="14.25" customHeight="1">
      <c r="G1194" s="700"/>
      <c r="H1194" s="701"/>
      <c r="I1194" s="700"/>
      <c r="CL1194" s="706"/>
      <c r="CP1194" s="700"/>
    </row>
    <row r="1195" spans="7:94" ht="14.25" customHeight="1">
      <c r="G1195" s="700"/>
      <c r="H1195" s="701"/>
      <c r="I1195" s="700"/>
      <c r="CL1195" s="706"/>
      <c r="CP1195" s="700"/>
    </row>
    <row r="1196" spans="7:94" ht="14.25" customHeight="1">
      <c r="G1196" s="700"/>
      <c r="H1196" s="701"/>
      <c r="I1196" s="700"/>
      <c r="CL1196" s="706"/>
      <c r="CP1196" s="700"/>
    </row>
    <row r="1197" spans="7:94" ht="14.25" customHeight="1">
      <c r="G1197" s="700"/>
      <c r="H1197" s="701"/>
      <c r="I1197" s="700"/>
      <c r="CL1197" s="706"/>
      <c r="CP1197" s="700"/>
    </row>
    <row r="1198" spans="7:94" ht="14.25" customHeight="1">
      <c r="G1198" s="700"/>
      <c r="H1198" s="701"/>
      <c r="I1198" s="700"/>
      <c r="CL1198" s="706"/>
      <c r="CP1198" s="700"/>
    </row>
    <row r="1199" spans="7:94" ht="14.25" customHeight="1">
      <c r="G1199" s="700"/>
      <c r="H1199" s="701"/>
      <c r="I1199" s="700"/>
      <c r="CL1199" s="706"/>
      <c r="CP1199" s="700"/>
    </row>
    <row r="1200" spans="7:94" ht="14.25" customHeight="1">
      <c r="G1200" s="700"/>
      <c r="H1200" s="701"/>
      <c r="I1200" s="700"/>
      <c r="CL1200" s="706"/>
      <c r="CP1200" s="700"/>
    </row>
    <row r="1201" spans="7:94" ht="14.25" customHeight="1">
      <c r="G1201" s="700"/>
      <c r="H1201" s="701"/>
      <c r="I1201" s="700"/>
      <c r="CL1201" s="706"/>
      <c r="CP1201" s="700"/>
    </row>
    <row r="1202" spans="7:94" ht="14.25" customHeight="1">
      <c r="G1202" s="700"/>
      <c r="H1202" s="701"/>
      <c r="I1202" s="700"/>
      <c r="CL1202" s="706"/>
      <c r="CP1202" s="700"/>
    </row>
    <row r="1203" spans="7:94" ht="14.25" customHeight="1">
      <c r="G1203" s="700"/>
      <c r="H1203" s="701"/>
      <c r="I1203" s="700"/>
      <c r="CL1203" s="706"/>
      <c r="CP1203" s="700"/>
    </row>
    <row r="1204" spans="7:94" ht="14.25" customHeight="1">
      <c r="G1204" s="700"/>
      <c r="H1204" s="701"/>
      <c r="I1204" s="700"/>
      <c r="CL1204" s="706"/>
      <c r="CP1204" s="700"/>
    </row>
    <row r="1205" spans="7:94" ht="14.25" customHeight="1">
      <c r="G1205" s="700"/>
      <c r="H1205" s="701"/>
      <c r="I1205" s="700"/>
      <c r="CL1205" s="706"/>
      <c r="CP1205" s="700"/>
    </row>
    <row r="1206" spans="7:94" ht="14.25" customHeight="1">
      <c r="G1206" s="700"/>
      <c r="H1206" s="701"/>
      <c r="I1206" s="700"/>
      <c r="CL1206" s="706"/>
      <c r="CP1206" s="700"/>
    </row>
    <row r="1207" spans="7:94" ht="14.25" customHeight="1">
      <c r="G1207" s="700"/>
      <c r="H1207" s="701"/>
      <c r="I1207" s="700"/>
      <c r="CL1207" s="706"/>
      <c r="CP1207" s="700"/>
    </row>
    <row r="1208" spans="7:94" ht="14.25" customHeight="1">
      <c r="G1208" s="700"/>
      <c r="H1208" s="701"/>
      <c r="I1208" s="700"/>
      <c r="CL1208" s="706"/>
      <c r="CP1208" s="700"/>
    </row>
    <row r="1209" spans="7:94" ht="14.25" customHeight="1">
      <c r="G1209" s="700"/>
      <c r="H1209" s="701"/>
      <c r="I1209" s="700"/>
      <c r="CL1209" s="706"/>
      <c r="CP1209" s="700"/>
    </row>
    <row r="1210" spans="7:94" ht="14.25" customHeight="1">
      <c r="G1210" s="700"/>
      <c r="H1210" s="701"/>
      <c r="I1210" s="700"/>
      <c r="CL1210" s="706"/>
      <c r="CP1210" s="700"/>
    </row>
    <row r="1211" spans="7:94" ht="14.25" customHeight="1">
      <c r="G1211" s="700"/>
      <c r="H1211" s="701"/>
      <c r="I1211" s="700"/>
      <c r="CL1211" s="706"/>
      <c r="CP1211" s="700"/>
    </row>
    <row r="1212" spans="7:94" ht="14.25" customHeight="1">
      <c r="G1212" s="700"/>
      <c r="H1212" s="701"/>
      <c r="I1212" s="700"/>
      <c r="CL1212" s="706"/>
      <c r="CP1212" s="700"/>
    </row>
    <row r="1213" spans="7:94" ht="14.25" customHeight="1">
      <c r="G1213" s="700"/>
      <c r="H1213" s="701"/>
      <c r="I1213" s="700"/>
      <c r="CL1213" s="706"/>
      <c r="CP1213" s="700"/>
    </row>
    <row r="1214" spans="7:94" ht="14.25" customHeight="1">
      <c r="G1214" s="700"/>
      <c r="H1214" s="701"/>
      <c r="I1214" s="700"/>
      <c r="CL1214" s="706"/>
      <c r="CP1214" s="700"/>
    </row>
    <row r="1215" spans="7:94" ht="14.25" customHeight="1">
      <c r="G1215" s="700"/>
      <c r="H1215" s="701"/>
      <c r="I1215" s="700"/>
      <c r="CL1215" s="706"/>
      <c r="CP1215" s="700"/>
    </row>
    <row r="1216" spans="7:94" ht="14.25" customHeight="1">
      <c r="G1216" s="700"/>
      <c r="H1216" s="701"/>
      <c r="I1216" s="700"/>
      <c r="CL1216" s="706"/>
      <c r="CP1216" s="700"/>
    </row>
    <row r="1217" spans="7:94" ht="14.25" customHeight="1">
      <c r="G1217" s="700"/>
      <c r="H1217" s="701"/>
      <c r="I1217" s="700"/>
      <c r="CL1217" s="706"/>
      <c r="CP1217" s="700"/>
    </row>
    <row r="1218" spans="7:94" ht="14.25" customHeight="1">
      <c r="G1218" s="700"/>
      <c r="H1218" s="701"/>
      <c r="I1218" s="700"/>
      <c r="CL1218" s="706"/>
      <c r="CP1218" s="700"/>
    </row>
    <row r="1219" spans="7:94" ht="14.25" customHeight="1">
      <c r="G1219" s="700"/>
      <c r="H1219" s="701"/>
      <c r="I1219" s="700"/>
      <c r="CL1219" s="706"/>
      <c r="CP1219" s="700"/>
    </row>
    <row r="1220" spans="7:94" ht="14.25" customHeight="1">
      <c r="G1220" s="700"/>
      <c r="H1220" s="701"/>
      <c r="I1220" s="700"/>
      <c r="CL1220" s="706"/>
      <c r="CP1220" s="700"/>
    </row>
    <row r="1221" spans="7:94" ht="14.25" customHeight="1">
      <c r="G1221" s="700"/>
      <c r="H1221" s="701"/>
      <c r="I1221" s="700"/>
      <c r="CL1221" s="706"/>
      <c r="CP1221" s="700"/>
    </row>
    <row r="1222" spans="7:94" ht="14.25" customHeight="1">
      <c r="G1222" s="700"/>
      <c r="H1222" s="701"/>
      <c r="I1222" s="700"/>
      <c r="CL1222" s="706"/>
      <c r="CP1222" s="700"/>
    </row>
    <row r="1223" spans="7:94" ht="14.25" customHeight="1">
      <c r="G1223" s="700"/>
      <c r="H1223" s="701"/>
      <c r="I1223" s="700"/>
      <c r="CL1223" s="706"/>
      <c r="CP1223" s="700"/>
    </row>
    <row r="1224" spans="7:94" ht="14.25" customHeight="1">
      <c r="G1224" s="700"/>
      <c r="H1224" s="701"/>
      <c r="I1224" s="700"/>
      <c r="CL1224" s="706"/>
      <c r="CP1224" s="700"/>
    </row>
    <row r="1225" spans="7:94" ht="14.25" customHeight="1">
      <c r="G1225" s="700"/>
      <c r="H1225" s="701"/>
      <c r="I1225" s="700"/>
      <c r="CL1225" s="706"/>
      <c r="CP1225" s="700"/>
    </row>
    <row r="1226" spans="7:94" ht="14.25" customHeight="1">
      <c r="G1226" s="700"/>
      <c r="H1226" s="701"/>
      <c r="I1226" s="700"/>
      <c r="CL1226" s="706"/>
      <c r="CP1226" s="700"/>
    </row>
    <row r="1227" spans="7:94" ht="14.25" customHeight="1">
      <c r="G1227" s="700"/>
      <c r="H1227" s="701"/>
      <c r="I1227" s="700"/>
      <c r="CL1227" s="706"/>
      <c r="CP1227" s="700"/>
    </row>
    <row r="1228" spans="7:94" ht="14.25" customHeight="1">
      <c r="G1228" s="700"/>
      <c r="H1228" s="701"/>
      <c r="I1228" s="700"/>
      <c r="CL1228" s="706"/>
      <c r="CP1228" s="700"/>
    </row>
    <row r="1229" spans="7:94" ht="14.25" customHeight="1">
      <c r="G1229" s="700"/>
      <c r="H1229" s="701"/>
      <c r="I1229" s="700"/>
      <c r="CL1229" s="706"/>
      <c r="CP1229" s="700"/>
    </row>
    <row r="1230" spans="7:94" ht="14.25" customHeight="1">
      <c r="G1230" s="700"/>
      <c r="H1230" s="701"/>
      <c r="I1230" s="700"/>
      <c r="CL1230" s="706"/>
      <c r="CP1230" s="700"/>
    </row>
    <row r="1231" spans="7:94" ht="14.25" customHeight="1">
      <c r="G1231" s="700"/>
      <c r="H1231" s="701"/>
      <c r="I1231" s="700"/>
      <c r="CL1231" s="706"/>
      <c r="CP1231" s="700"/>
    </row>
    <row r="1232" spans="7:94" ht="14.25" customHeight="1">
      <c r="G1232" s="700"/>
      <c r="H1232" s="701"/>
      <c r="I1232" s="700"/>
      <c r="CL1232" s="706"/>
      <c r="CP1232" s="700"/>
    </row>
    <row r="1233" spans="7:94" ht="14.25" customHeight="1">
      <c r="G1233" s="700"/>
      <c r="H1233" s="701"/>
      <c r="I1233" s="700"/>
      <c r="CL1233" s="706"/>
      <c r="CP1233" s="700"/>
    </row>
    <row r="1234" spans="7:94" ht="14.25" customHeight="1">
      <c r="G1234" s="700"/>
      <c r="H1234" s="701"/>
      <c r="I1234" s="700"/>
      <c r="CL1234" s="706"/>
      <c r="CP1234" s="700"/>
    </row>
    <row r="1235" spans="7:94" ht="14.25" customHeight="1">
      <c r="G1235" s="700"/>
      <c r="H1235" s="701"/>
      <c r="I1235" s="700"/>
      <c r="CL1235" s="706"/>
      <c r="CP1235" s="700"/>
    </row>
  </sheetData>
  <sheetProtection password="CC2E" sheet="1" objects="1" scenarios="1"/>
  <autoFilter ref="A6:IF392" xr:uid="{FCCCC645-7FD3-47F6-9642-3DF77810B36C}">
    <filterColumn colId="127" showButton="0"/>
    <filterColumn colId="128" showButton="0"/>
    <filterColumn colId="138" showButton="0"/>
    <filterColumn colId="139" showButton="0"/>
    <filterColumn colId="140" showButton="0"/>
    <filterColumn colId="141" showButton="0"/>
    <filterColumn colId="142" showButton="0"/>
    <filterColumn colId="145">
      <filters>
        <filter val="UNSOLD"/>
      </filters>
    </filterColumn>
  </autoFilter>
  <mergeCells count="12">
    <mergeCell ref="GV1:HH1"/>
    <mergeCell ref="AD5:AD6"/>
    <mergeCell ref="DX6:DZ6"/>
    <mergeCell ref="AH385:AH386"/>
    <mergeCell ref="FN2:FT2"/>
    <mergeCell ref="FV2:GB2"/>
    <mergeCell ref="CT392:CW392"/>
    <mergeCell ref="EU5:EV5"/>
    <mergeCell ref="AH387:AH388"/>
    <mergeCell ref="EI6:EN6"/>
    <mergeCell ref="GH1:GT1"/>
    <mergeCell ref="CX4:DA4"/>
  </mergeCells>
  <pageMargins left="0.7" right="0.7" top="0.75" bottom="0.75" header="0.3" footer="0.3"/>
  <pageSetup orientation="portrait"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8">
    <tabColor rgb="FFFF0000"/>
  </sheetPr>
  <dimension ref="A1:AZ1138"/>
  <sheetViews>
    <sheetView zoomScaleNormal="100" workbookViewId="0">
      <pane xSplit="5" ySplit="6" topLeftCell="AF25" activePane="bottomRight" state="frozen"/>
      <selection pane="bottomRight" activeCell="F20" sqref="F20:H20"/>
      <selection pane="bottomLeft" activeCell="F20" sqref="F20:H20"/>
      <selection pane="topRight" activeCell="F20" sqref="F20:H20"/>
    </sheetView>
  </sheetViews>
  <sheetFormatPr defaultColWidth="14.42578125" defaultRowHeight="14.45"/>
  <cols>
    <col min="1" max="1" width="10.140625" style="402" hidden="1" customWidth="1"/>
    <col min="2" max="3" width="14.5703125" customWidth="1"/>
    <col min="4" max="4" width="11.85546875" customWidth="1"/>
    <col min="5" max="5" width="9" customWidth="1"/>
    <col min="6" max="6" width="14.140625" customWidth="1"/>
    <col min="7" max="7" width="10.85546875" customWidth="1"/>
    <col min="8" max="8" width="12.5703125" style="583" customWidth="1"/>
    <col min="9" max="9" width="12.42578125" style="105" customWidth="1"/>
    <col min="10" max="13" width="13.85546875" style="105" customWidth="1"/>
    <col min="14" max="14" width="13.85546875" style="670" customWidth="1"/>
    <col min="15" max="15" width="13.85546875" style="685" customWidth="1"/>
    <col min="16" max="16" width="13.85546875" customWidth="1"/>
    <col min="17" max="18" width="13.85546875" style="670" hidden="1" customWidth="1"/>
    <col min="19" max="19" width="13.85546875" customWidth="1"/>
    <col min="20" max="20" width="13.140625" bestFit="1" customWidth="1"/>
    <col min="21" max="21" width="13.140625" customWidth="1"/>
    <col min="22" max="22" width="18.140625" style="103" customWidth="1"/>
    <col min="23" max="23" width="10.5703125" style="349" customWidth="1"/>
    <col min="24" max="26" width="14.42578125" customWidth="1"/>
    <col min="27" max="27" width="11" customWidth="1"/>
    <col min="28" max="28" width="13.140625" customWidth="1"/>
    <col min="29" max="29" width="16.42578125" bestFit="1" customWidth="1"/>
    <col min="30" max="30" width="13.42578125" customWidth="1"/>
    <col min="31" max="33" width="13.5703125" customWidth="1"/>
    <col min="34" max="34" width="10.5703125" customWidth="1"/>
    <col min="35" max="35" width="17.42578125" customWidth="1"/>
    <col min="36" max="36" width="17.140625" customWidth="1"/>
    <col min="37" max="37" width="18.140625" customWidth="1"/>
    <col min="38" max="38" width="15.140625" customWidth="1"/>
    <col min="39" max="39" width="11" customWidth="1"/>
    <col min="40" max="40" width="15.42578125" customWidth="1"/>
    <col min="41" max="41" width="13.42578125" customWidth="1"/>
    <col min="42" max="44" width="8.85546875" customWidth="1"/>
    <col min="45" max="45" width="14.42578125" customWidth="1"/>
  </cols>
  <sheetData>
    <row r="1" spans="1:45" ht="14.25" customHeight="1">
      <c r="B1" s="318" t="s">
        <v>51</v>
      </c>
      <c r="C1" s="318"/>
      <c r="D1" s="318"/>
      <c r="E1" s="319"/>
      <c r="F1" s="319"/>
      <c r="W1" s="348"/>
      <c r="AA1" s="319"/>
    </row>
    <row r="2" spans="1:45" ht="14.25" customHeight="1">
      <c r="B2" s="318" t="s">
        <v>61</v>
      </c>
      <c r="C2" s="318"/>
      <c r="D2" s="318"/>
      <c r="E2" s="319"/>
      <c r="F2" s="319"/>
      <c r="P2" t="s">
        <v>64</v>
      </c>
      <c r="W2" s="348"/>
      <c r="AA2" s="319"/>
    </row>
    <row r="3" spans="1:45" ht="14.25" customHeight="1">
      <c r="B3" s="318" t="s">
        <v>865</v>
      </c>
      <c r="C3" s="318"/>
      <c r="D3" s="318"/>
      <c r="E3" s="319"/>
      <c r="F3" s="319"/>
      <c r="J3" s="590"/>
      <c r="K3" s="590"/>
      <c r="L3" s="590"/>
      <c r="M3" s="590"/>
      <c r="N3" s="692"/>
      <c r="O3" s="686"/>
      <c r="P3" s="383" t="s">
        <v>74</v>
      </c>
      <c r="Q3" s="671"/>
      <c r="R3" s="671"/>
      <c r="S3" s="383"/>
      <c r="T3" s="402">
        <v>3199200</v>
      </c>
      <c r="U3" s="402"/>
      <c r="W3" s="348"/>
      <c r="AA3" s="319"/>
    </row>
    <row r="4" spans="1:45" ht="14.25" customHeight="1">
      <c r="B4" s="625" t="s">
        <v>866</v>
      </c>
      <c r="C4" s="318"/>
      <c r="D4" s="318"/>
      <c r="E4" s="319"/>
      <c r="F4" s="319"/>
      <c r="H4" s="589" t="s">
        <v>72</v>
      </c>
      <c r="I4" s="589" t="s">
        <v>72</v>
      </c>
      <c r="J4" s="589" t="s">
        <v>72</v>
      </c>
      <c r="K4" s="589"/>
      <c r="L4" s="589"/>
      <c r="M4" s="589"/>
      <c r="N4" s="680"/>
      <c r="O4" s="687"/>
      <c r="P4" s="320">
        <v>100000</v>
      </c>
      <c r="Q4" s="672" t="s">
        <v>867</v>
      </c>
      <c r="R4" s="672" t="s">
        <v>867</v>
      </c>
      <c r="S4" s="320"/>
      <c r="T4" s="321"/>
      <c r="U4" s="321"/>
      <c r="W4" s="350"/>
      <c r="Y4" s="351"/>
      <c r="AA4" s="352"/>
      <c r="AE4" s="657"/>
      <c r="AF4" s="657"/>
      <c r="AG4" s="657"/>
      <c r="AH4" s="353"/>
    </row>
    <row r="5" spans="1:45" ht="12.95" customHeight="1" thickBot="1">
      <c r="B5" s="319"/>
      <c r="C5" s="364"/>
      <c r="D5" s="319"/>
      <c r="E5" s="319"/>
      <c r="F5" s="319"/>
      <c r="G5" s="319"/>
      <c r="H5" s="584"/>
      <c r="I5" s="581"/>
      <c r="J5" s="591">
        <v>0.12</v>
      </c>
      <c r="K5" s="665">
        <v>0.91</v>
      </c>
      <c r="L5" s="665"/>
      <c r="M5" s="665"/>
      <c r="N5" s="690" t="s">
        <v>868</v>
      </c>
      <c r="O5" s="691" t="s">
        <v>868</v>
      </c>
      <c r="P5" s="322">
        <v>90000</v>
      </c>
      <c r="Q5" s="673"/>
      <c r="R5" s="674" t="s">
        <v>869</v>
      </c>
      <c r="S5" s="594">
        <v>7.4999999999999997E-2</v>
      </c>
      <c r="T5" s="595">
        <v>2.5000000000000001E-2</v>
      </c>
      <c r="U5" s="595"/>
      <c r="V5" s="384"/>
      <c r="W5" s="385">
        <v>0.1</v>
      </c>
      <c r="X5" s="384"/>
      <c r="Y5" s="623">
        <v>15000</v>
      </c>
      <c r="Z5" s="384"/>
      <c r="AA5" s="353">
        <v>30</v>
      </c>
      <c r="AB5" s="319"/>
      <c r="AC5" s="319"/>
      <c r="AD5" s="663">
        <v>7.7529893561887461E-3</v>
      </c>
      <c r="AE5" s="663">
        <v>8.9882826999999992E-3</v>
      </c>
      <c r="AF5" s="664">
        <v>1.1610847921862406E-2</v>
      </c>
      <c r="AG5" s="664">
        <v>1.9801198540349535E-2</v>
      </c>
      <c r="AH5" s="319"/>
      <c r="AI5" s="319"/>
      <c r="AJ5" s="319"/>
      <c r="AK5" s="319"/>
      <c r="AL5" s="319"/>
      <c r="AM5" s="319"/>
      <c r="AN5" s="319"/>
      <c r="AO5" s="319"/>
      <c r="AP5" s="319"/>
      <c r="AQ5" s="319"/>
      <c r="AR5" s="319"/>
    </row>
    <row r="6" spans="1:45" s="383" customFormat="1" ht="35.1" customHeight="1" thickBot="1">
      <c r="A6" s="650" t="s">
        <v>870</v>
      </c>
      <c r="B6" s="637" t="s">
        <v>101</v>
      </c>
      <c r="C6" s="395" t="s">
        <v>102</v>
      </c>
      <c r="D6" s="396" t="s">
        <v>871</v>
      </c>
      <c r="E6" s="420" t="s">
        <v>103</v>
      </c>
      <c r="F6" s="421" t="s">
        <v>105</v>
      </c>
      <c r="G6" s="422" t="s">
        <v>106</v>
      </c>
      <c r="H6" s="585" t="s">
        <v>872</v>
      </c>
      <c r="I6" s="586" t="s">
        <v>873</v>
      </c>
      <c r="J6" s="592" t="s">
        <v>137</v>
      </c>
      <c r="K6" s="654" t="s">
        <v>874</v>
      </c>
      <c r="L6" s="582" t="s">
        <v>166</v>
      </c>
      <c r="M6" s="667" t="s">
        <v>875</v>
      </c>
      <c r="N6" s="681" t="s">
        <v>876</v>
      </c>
      <c r="O6" s="689" t="s">
        <v>877</v>
      </c>
      <c r="P6" s="582" t="s">
        <v>166</v>
      </c>
      <c r="Q6" s="675" t="s">
        <v>878</v>
      </c>
      <c r="R6" s="675" t="s">
        <v>879</v>
      </c>
      <c r="S6" s="602" t="s">
        <v>168</v>
      </c>
      <c r="T6" s="621" t="s">
        <v>169</v>
      </c>
      <c r="U6" s="622" t="s">
        <v>880</v>
      </c>
      <c r="V6" s="422" t="s">
        <v>170</v>
      </c>
      <c r="W6" s="399" t="s">
        <v>171</v>
      </c>
      <c r="X6" s="397" t="s">
        <v>172</v>
      </c>
      <c r="Y6" s="397" t="s">
        <v>173</v>
      </c>
      <c r="Z6" s="397" t="s">
        <v>174</v>
      </c>
      <c r="AA6" s="398" t="s">
        <v>175</v>
      </c>
      <c r="AB6" s="397" t="s">
        <v>176</v>
      </c>
      <c r="AC6" s="659" t="s">
        <v>178</v>
      </c>
      <c r="AD6" s="660" t="s">
        <v>881</v>
      </c>
      <c r="AE6" s="661" t="s">
        <v>882</v>
      </c>
      <c r="AF6" s="662" t="s">
        <v>883</v>
      </c>
      <c r="AG6" s="662" t="s">
        <v>884</v>
      </c>
      <c r="AH6" s="323"/>
      <c r="AI6" s="323"/>
      <c r="AJ6" s="1308" t="s">
        <v>207</v>
      </c>
      <c r="AK6" s="1309"/>
      <c r="AL6" s="1706"/>
      <c r="AM6" s="1706"/>
      <c r="AN6" s="1706"/>
      <c r="AO6" s="1707"/>
      <c r="AP6" s="323"/>
      <c r="AQ6" s="323"/>
      <c r="AR6" s="696" t="s">
        <v>209</v>
      </c>
      <c r="AS6" s="382" t="s">
        <v>885</v>
      </c>
    </row>
    <row r="7" spans="1:45" ht="14.25" customHeight="1">
      <c r="A7" s="651"/>
      <c r="B7" s="638" t="s">
        <v>886</v>
      </c>
      <c r="C7" s="392"/>
      <c r="D7" s="393"/>
      <c r="E7" s="414" t="s">
        <v>887</v>
      </c>
      <c r="F7" s="401" t="s">
        <v>888</v>
      </c>
      <c r="G7" s="375">
        <v>20.89</v>
      </c>
      <c r="H7" s="587">
        <v>2500000</v>
      </c>
      <c r="I7" s="588"/>
      <c r="J7" s="593"/>
      <c r="K7" s="653"/>
      <c r="L7" s="653"/>
      <c r="M7" s="653"/>
      <c r="N7" s="682"/>
      <c r="O7" s="682"/>
      <c r="P7" s="601">
        <f t="shared" ref="P7:P9" si="0">+SUM(H7:K7)</f>
        <v>2500000</v>
      </c>
      <c r="Q7" s="676"/>
      <c r="R7" s="676"/>
      <c r="S7" s="605"/>
      <c r="T7" s="605"/>
      <c r="U7" s="607"/>
      <c r="V7" s="606"/>
      <c r="W7" s="394">
        <v>0.4</v>
      </c>
      <c r="X7" s="376"/>
      <c r="Y7" s="376"/>
      <c r="Z7" s="376"/>
      <c r="AA7" s="365"/>
      <c r="AB7" s="658"/>
      <c r="AC7" s="354"/>
      <c r="AD7" s="354"/>
      <c r="AE7" s="354"/>
      <c r="AF7" s="354"/>
      <c r="AG7" s="354"/>
      <c r="AJ7" s="324" t="s">
        <v>174</v>
      </c>
      <c r="AK7" s="403"/>
      <c r="AL7" s="325">
        <f>Z10</f>
        <v>369344.565</v>
      </c>
      <c r="AM7" s="326"/>
      <c r="AN7" s="326"/>
      <c r="AO7" s="327"/>
      <c r="AS7" s="355" t="s">
        <v>889</v>
      </c>
    </row>
    <row r="8" spans="1:45" ht="14.25" customHeight="1">
      <c r="A8" s="651"/>
      <c r="B8" s="639" t="s">
        <v>886</v>
      </c>
      <c r="C8" s="391"/>
      <c r="D8" s="386"/>
      <c r="E8" s="372" t="s">
        <v>890</v>
      </c>
      <c r="F8" s="367" t="s">
        <v>888</v>
      </c>
      <c r="G8" s="371">
        <v>20.56</v>
      </c>
      <c r="H8" s="587">
        <v>2500000</v>
      </c>
      <c r="I8" s="588"/>
      <c r="J8" s="593"/>
      <c r="K8" s="653"/>
      <c r="L8" s="653"/>
      <c r="M8" s="653"/>
      <c r="N8" s="682"/>
      <c r="O8" s="682"/>
      <c r="P8" s="601">
        <f t="shared" si="0"/>
        <v>2500000</v>
      </c>
      <c r="Q8" s="669"/>
      <c r="R8" s="669"/>
      <c r="S8" s="600"/>
      <c r="T8" s="600"/>
      <c r="U8" s="600"/>
      <c r="V8" s="606"/>
      <c r="W8" s="394">
        <v>0.4</v>
      </c>
      <c r="X8" s="368"/>
      <c r="Y8" s="368"/>
      <c r="Z8" s="368"/>
      <c r="AA8" s="366"/>
      <c r="AB8" s="369"/>
      <c r="AC8" s="354"/>
      <c r="AD8" s="354"/>
      <c r="AE8" s="354"/>
      <c r="AF8" s="354"/>
      <c r="AG8" s="354"/>
      <c r="AJ8" s="332"/>
      <c r="AK8" s="406" t="s">
        <v>239</v>
      </c>
      <c r="AL8" s="333" t="s">
        <v>240</v>
      </c>
      <c r="AM8" s="333" t="s">
        <v>241</v>
      </c>
      <c r="AN8" s="333" t="s">
        <v>94</v>
      </c>
      <c r="AO8" s="334" t="s">
        <v>242</v>
      </c>
      <c r="AS8" s="355" t="s">
        <v>889</v>
      </c>
    </row>
    <row r="9" spans="1:45" ht="14.25" customHeight="1">
      <c r="A9" s="651"/>
      <c r="B9" s="639" t="s">
        <v>886</v>
      </c>
      <c r="C9" s="391"/>
      <c r="D9" s="386"/>
      <c r="E9" s="372" t="s">
        <v>891</v>
      </c>
      <c r="F9" s="367" t="s">
        <v>888</v>
      </c>
      <c r="G9" s="371">
        <v>20.56</v>
      </c>
      <c r="H9" s="587">
        <v>2500000</v>
      </c>
      <c r="I9" s="588"/>
      <c r="J9" s="593"/>
      <c r="K9" s="653"/>
      <c r="L9" s="653"/>
      <c r="M9" s="653"/>
      <c r="N9" s="682"/>
      <c r="O9" s="682"/>
      <c r="P9" s="601">
        <f t="shared" si="0"/>
        <v>2500000</v>
      </c>
      <c r="Q9" s="669"/>
      <c r="R9" s="669"/>
      <c r="S9" s="600"/>
      <c r="T9" s="600"/>
      <c r="U9" s="600"/>
      <c r="V9" s="606"/>
      <c r="W9" s="394">
        <v>0.4</v>
      </c>
      <c r="X9" s="368"/>
      <c r="Y9" s="368"/>
      <c r="Z9" s="368"/>
      <c r="AA9" s="366"/>
      <c r="AB9" s="369"/>
      <c r="AC9" s="354"/>
      <c r="AD9" s="354"/>
      <c r="AE9" s="354"/>
      <c r="AF9" s="354"/>
      <c r="AG9" s="354"/>
      <c r="AJ9" s="332" t="s">
        <v>248</v>
      </c>
      <c r="AK9" s="406" t="s">
        <v>892</v>
      </c>
      <c r="AL9" s="330">
        <v>10</v>
      </c>
      <c r="AM9" s="329">
        <v>0.25</v>
      </c>
      <c r="AN9" s="328">
        <f>AL7*AM9</f>
        <v>92336.141250000001</v>
      </c>
      <c r="AO9" s="331">
        <f t="shared" ref="AO9:AO11" si="1">AN9/AL9</f>
        <v>9233.6141250000001</v>
      </c>
      <c r="AS9" s="355" t="s">
        <v>889</v>
      </c>
    </row>
    <row r="10" spans="1:45" ht="14.25" customHeight="1">
      <c r="A10" s="651">
        <v>5000</v>
      </c>
      <c r="B10" s="639" t="s">
        <v>886</v>
      </c>
      <c r="C10" s="391"/>
      <c r="D10" s="386"/>
      <c r="E10" s="372" t="s">
        <v>893</v>
      </c>
      <c r="F10" s="367" t="s">
        <v>894</v>
      </c>
      <c r="G10" s="371">
        <v>22</v>
      </c>
      <c r="H10" s="587">
        <v>2000000</v>
      </c>
      <c r="I10" s="600">
        <f>+G10*A10</f>
        <v>110000</v>
      </c>
      <c r="J10" s="600">
        <f>+I10*0.12</f>
        <v>13200</v>
      </c>
      <c r="K10" s="604">
        <f>+SUM(Q10:R10)*$K$5</f>
        <v>63700</v>
      </c>
      <c r="L10" s="666">
        <f>SUM(H10:K10)</f>
        <v>2186900</v>
      </c>
      <c r="M10" s="666"/>
      <c r="N10" s="683">
        <v>75000</v>
      </c>
      <c r="O10" s="688">
        <f>(H10+I10+K10+N10)*3%</f>
        <v>67461</v>
      </c>
      <c r="P10" s="601">
        <f>SUM(L10+N10+O10)</f>
        <v>2329361</v>
      </c>
      <c r="Q10" s="669">
        <v>20000</v>
      </c>
      <c r="R10" s="669">
        <v>50000</v>
      </c>
      <c r="S10" s="600">
        <f>+P10*$S$5</f>
        <v>174702.07499999998</v>
      </c>
      <c r="T10" s="600">
        <f>+P10*$T$5</f>
        <v>58234.025000000001</v>
      </c>
      <c r="U10" s="600"/>
      <c r="V10" s="606">
        <f>P10+S10+T10</f>
        <v>2562297.1</v>
      </c>
      <c r="W10" s="370">
        <f>W$295</f>
        <v>0.15</v>
      </c>
      <c r="X10" s="655">
        <f>+V10*W10</f>
        <v>384344.565</v>
      </c>
      <c r="Y10" s="368">
        <f>Y$5</f>
        <v>15000</v>
      </c>
      <c r="Z10" s="655">
        <f>+X10-Y10</f>
        <v>369344.565</v>
      </c>
      <c r="AA10" s="366">
        <f>AA$5</f>
        <v>30</v>
      </c>
      <c r="AB10" s="655">
        <f>+Z10/AA10</f>
        <v>12311.485500000001</v>
      </c>
      <c r="AC10" s="655">
        <f>+V10-X10</f>
        <v>2177952.5350000001</v>
      </c>
      <c r="AD10" s="655">
        <f>+$AC10*AD$5</f>
        <v>16885.6428221393</v>
      </c>
      <c r="AE10" s="655">
        <f>+$AC10*AE$5</f>
        <v>19576.053091761645</v>
      </c>
      <c r="AF10" s="655">
        <f>+$AC10*AF$5</f>
        <v>25287.875664919713</v>
      </c>
      <c r="AG10" s="655">
        <f>+$AC10*AG$5</f>
        <v>43126.07055699257</v>
      </c>
      <c r="AJ10" s="332" t="s">
        <v>252</v>
      </c>
      <c r="AK10" s="406" t="s">
        <v>895</v>
      </c>
      <c r="AL10" s="330">
        <v>10</v>
      </c>
      <c r="AM10" s="329">
        <v>0.35</v>
      </c>
      <c r="AN10" s="328">
        <f>AL7*AM10</f>
        <v>129270.59774999999</v>
      </c>
      <c r="AO10" s="331">
        <f t="shared" si="1"/>
        <v>12927.059774999998</v>
      </c>
      <c r="AR10" t="str">
        <f>VLOOKUP(E$6:E$287,'[7]Sales Report'!$B$7:$C$288,2,FALSE)</f>
        <v>SOLD</v>
      </c>
      <c r="AS10" s="355" t="s">
        <v>236</v>
      </c>
    </row>
    <row r="11" spans="1:45" ht="14.25" customHeight="1">
      <c r="A11" s="651">
        <v>5000</v>
      </c>
      <c r="B11" s="639" t="s">
        <v>886</v>
      </c>
      <c r="C11" s="391"/>
      <c r="D11" s="386"/>
      <c r="E11" s="372" t="s">
        <v>896</v>
      </c>
      <c r="F11" s="367" t="s">
        <v>894</v>
      </c>
      <c r="G11" s="374">
        <v>22</v>
      </c>
      <c r="H11" s="587">
        <v>2000000</v>
      </c>
      <c r="I11" s="600">
        <f t="shared" ref="I11:I74" si="2">+G11*A11</f>
        <v>110000</v>
      </c>
      <c r="J11" s="600">
        <f t="shared" ref="J11:J74" si="3">+I11*0.12</f>
        <v>13200</v>
      </c>
      <c r="K11" s="604">
        <f t="shared" ref="K11:K74" si="4">+SUM(Q11:R11)*$K$5</f>
        <v>63700</v>
      </c>
      <c r="L11" s="666">
        <f t="shared" ref="L11:L74" si="5">SUM(H11:K11)</f>
        <v>2186900</v>
      </c>
      <c r="M11" s="666"/>
      <c r="N11" s="683">
        <v>75000</v>
      </c>
      <c r="O11" s="688">
        <f t="shared" ref="O11:O17" si="6">(H11+I11+K11+N11)*3%</f>
        <v>67461</v>
      </c>
      <c r="P11" s="601">
        <f t="shared" ref="P11:P74" si="7">SUM(L11+N11+O11)</f>
        <v>2329361</v>
      </c>
      <c r="Q11" s="669">
        <v>20000</v>
      </c>
      <c r="R11" s="669">
        <v>50000</v>
      </c>
      <c r="S11" s="600">
        <f t="shared" ref="S11:S74" si="8">+P11*$S$5</f>
        <v>174702.07499999998</v>
      </c>
      <c r="T11" s="600">
        <f t="shared" ref="T11:T74" si="9">+P11*$T$5</f>
        <v>58234.025000000001</v>
      </c>
      <c r="U11" s="600"/>
      <c r="V11" s="606">
        <f t="shared" ref="V11:V74" si="10">P11+S11+T11</f>
        <v>2562297.1</v>
      </c>
      <c r="W11" s="370">
        <f t="shared" ref="W11:W74" si="11">W$295</f>
        <v>0.15</v>
      </c>
      <c r="X11" s="655">
        <f t="shared" ref="X11:X74" si="12">+V11*W11</f>
        <v>384344.565</v>
      </c>
      <c r="Y11" s="368">
        <f t="shared" ref="Y11:Y74" si="13">Y$5</f>
        <v>15000</v>
      </c>
      <c r="Z11" s="655">
        <f>+X11-Y11</f>
        <v>369344.565</v>
      </c>
      <c r="AA11" s="366">
        <f t="shared" ref="AA11:AA74" si="14">AA$5</f>
        <v>30</v>
      </c>
      <c r="AB11" s="655">
        <f t="shared" ref="AB11:AB74" si="15">+Z11/AA11</f>
        <v>12311.485500000001</v>
      </c>
      <c r="AC11" s="655">
        <f t="shared" ref="AC11:AC74" si="16">+V11-X11</f>
        <v>2177952.5350000001</v>
      </c>
      <c r="AD11" s="655">
        <f>+$AC11*AD$5</f>
        <v>16885.6428221393</v>
      </c>
      <c r="AE11" s="655">
        <f t="shared" ref="AD11:AG74" si="17">+$AC11*AE$5</f>
        <v>19576.053091761645</v>
      </c>
      <c r="AF11" s="655">
        <f t="shared" si="17"/>
        <v>25287.875664919713</v>
      </c>
      <c r="AG11" s="655">
        <f t="shared" si="17"/>
        <v>43126.07055699257</v>
      </c>
      <c r="AJ11" s="332" t="s">
        <v>257</v>
      </c>
      <c r="AK11" s="406" t="s">
        <v>897</v>
      </c>
      <c r="AL11" s="330">
        <v>10</v>
      </c>
      <c r="AM11" s="329">
        <v>0.4</v>
      </c>
      <c r="AN11" s="328">
        <f>AL7*AM11</f>
        <v>147737.826</v>
      </c>
      <c r="AO11" s="331">
        <f t="shared" si="1"/>
        <v>14773.7826</v>
      </c>
      <c r="AR11" t="str">
        <f>VLOOKUP(E$6:E$287,'[7]Sales Report'!$B$7:$C$288,2,FALSE)</f>
        <v>SOLD</v>
      </c>
      <c r="AS11" s="355" t="s">
        <v>236</v>
      </c>
    </row>
    <row r="12" spans="1:45" ht="14.25" customHeight="1" thickBot="1">
      <c r="A12" s="651">
        <v>5000</v>
      </c>
      <c r="B12" s="639" t="s">
        <v>886</v>
      </c>
      <c r="C12" s="391"/>
      <c r="D12" s="386"/>
      <c r="E12" s="372" t="s">
        <v>898</v>
      </c>
      <c r="F12" s="367" t="s">
        <v>894</v>
      </c>
      <c r="G12" s="373">
        <v>22</v>
      </c>
      <c r="H12" s="587">
        <v>2000000</v>
      </c>
      <c r="I12" s="600">
        <f t="shared" si="2"/>
        <v>110000</v>
      </c>
      <c r="J12" s="600">
        <f t="shared" si="3"/>
        <v>13200</v>
      </c>
      <c r="K12" s="604">
        <f t="shared" si="4"/>
        <v>63700</v>
      </c>
      <c r="L12" s="666">
        <f t="shared" si="5"/>
        <v>2186900</v>
      </c>
      <c r="M12" s="666"/>
      <c r="N12" s="683">
        <v>75000</v>
      </c>
      <c r="O12" s="688">
        <f t="shared" si="6"/>
        <v>67461</v>
      </c>
      <c r="P12" s="601">
        <f t="shared" si="7"/>
        <v>2329361</v>
      </c>
      <c r="Q12" s="669">
        <v>20000</v>
      </c>
      <c r="R12" s="669">
        <v>50000</v>
      </c>
      <c r="S12" s="600">
        <f t="shared" si="8"/>
        <v>174702.07499999998</v>
      </c>
      <c r="T12" s="600">
        <f t="shared" si="9"/>
        <v>58234.025000000001</v>
      </c>
      <c r="U12" s="600"/>
      <c r="V12" s="606">
        <f t="shared" si="10"/>
        <v>2562297.1</v>
      </c>
      <c r="W12" s="370">
        <f t="shared" si="11"/>
        <v>0.15</v>
      </c>
      <c r="X12" s="655">
        <f t="shared" si="12"/>
        <v>384344.565</v>
      </c>
      <c r="Y12" s="368">
        <f t="shared" si="13"/>
        <v>15000</v>
      </c>
      <c r="Z12" s="655">
        <f t="shared" ref="Z12:Z74" si="18">+X12-Y12</f>
        <v>369344.565</v>
      </c>
      <c r="AA12" s="366">
        <f t="shared" si="14"/>
        <v>30</v>
      </c>
      <c r="AB12" s="655">
        <f t="shared" si="15"/>
        <v>12311.485500000001</v>
      </c>
      <c r="AC12" s="655">
        <f>+V12-X12</f>
        <v>2177952.5350000001</v>
      </c>
      <c r="AD12" s="655">
        <f t="shared" si="17"/>
        <v>16885.6428221393</v>
      </c>
      <c r="AE12" s="655">
        <f t="shared" si="17"/>
        <v>19576.053091761645</v>
      </c>
      <c r="AF12" s="655">
        <f t="shared" si="17"/>
        <v>25287.875664919713</v>
      </c>
      <c r="AG12" s="655">
        <f t="shared" si="17"/>
        <v>43126.07055699257</v>
      </c>
      <c r="AJ12" s="335" t="s">
        <v>94</v>
      </c>
      <c r="AK12" s="405"/>
      <c r="AL12" s="336">
        <f t="shared" ref="AL12:AN12" si="19">SUM(AL9:AL11)</f>
        <v>30</v>
      </c>
      <c r="AM12" s="337">
        <f t="shared" si="19"/>
        <v>1</v>
      </c>
      <c r="AN12" s="338">
        <f t="shared" si="19"/>
        <v>369344.565</v>
      </c>
      <c r="AO12" s="339"/>
      <c r="AR12" t="str">
        <f>VLOOKUP(E$6:E$287,'[7]Sales Report'!$B$7:$C$288,2,FALSE)</f>
        <v>SOLD</v>
      </c>
      <c r="AS12" s="355" t="s">
        <v>236</v>
      </c>
    </row>
    <row r="13" spans="1:45" ht="14.25" customHeight="1" thickBot="1">
      <c r="A13" s="651">
        <v>5000</v>
      </c>
      <c r="B13" s="639" t="s">
        <v>886</v>
      </c>
      <c r="C13" s="391"/>
      <c r="D13" s="386"/>
      <c r="E13" s="372" t="s">
        <v>899</v>
      </c>
      <c r="F13" s="367" t="s">
        <v>894</v>
      </c>
      <c r="G13" s="373">
        <v>22</v>
      </c>
      <c r="H13" s="587">
        <v>2000000</v>
      </c>
      <c r="I13" s="600">
        <f t="shared" si="2"/>
        <v>110000</v>
      </c>
      <c r="J13" s="600">
        <f t="shared" si="3"/>
        <v>13200</v>
      </c>
      <c r="K13" s="604">
        <f t="shared" si="4"/>
        <v>63700</v>
      </c>
      <c r="L13" s="666">
        <f t="shared" si="5"/>
        <v>2186900</v>
      </c>
      <c r="M13" s="666"/>
      <c r="N13" s="683">
        <v>75000</v>
      </c>
      <c r="O13" s="688">
        <f t="shared" si="6"/>
        <v>67461</v>
      </c>
      <c r="P13" s="601">
        <f t="shared" si="7"/>
        <v>2329361</v>
      </c>
      <c r="Q13" s="669">
        <v>20000</v>
      </c>
      <c r="R13" s="669">
        <v>50000</v>
      </c>
      <c r="S13" s="600">
        <f t="shared" si="8"/>
        <v>174702.07499999998</v>
      </c>
      <c r="T13" s="600">
        <f t="shared" si="9"/>
        <v>58234.025000000001</v>
      </c>
      <c r="U13" s="600"/>
      <c r="V13" s="606">
        <f t="shared" si="10"/>
        <v>2562297.1</v>
      </c>
      <c r="W13" s="370">
        <f t="shared" si="11"/>
        <v>0.15</v>
      </c>
      <c r="X13" s="655">
        <f t="shared" si="12"/>
        <v>384344.565</v>
      </c>
      <c r="Y13" s="368">
        <f t="shared" si="13"/>
        <v>15000</v>
      </c>
      <c r="Z13" s="655">
        <f t="shared" si="18"/>
        <v>369344.565</v>
      </c>
      <c r="AA13" s="366">
        <f t="shared" si="14"/>
        <v>30</v>
      </c>
      <c r="AB13" s="655">
        <f t="shared" si="15"/>
        <v>12311.485500000001</v>
      </c>
      <c r="AC13" s="655">
        <f t="shared" si="16"/>
        <v>2177952.5350000001</v>
      </c>
      <c r="AD13" s="655">
        <f t="shared" si="17"/>
        <v>16885.6428221393</v>
      </c>
      <c r="AE13" s="655">
        <f t="shared" si="17"/>
        <v>19576.053091761645</v>
      </c>
      <c r="AF13" s="655">
        <f t="shared" si="17"/>
        <v>25287.875664919713</v>
      </c>
      <c r="AG13" s="655">
        <f t="shared" si="17"/>
        <v>43126.07055699257</v>
      </c>
      <c r="AJ13" s="340"/>
      <c r="AK13" s="341"/>
      <c r="AL13" s="341"/>
      <c r="AM13" s="341"/>
      <c r="AN13" s="341"/>
      <c r="AO13" s="342"/>
      <c r="AR13" t="str">
        <f>VLOOKUP(E$6:E$287,'[7]Sales Report'!$B$7:$C$288,2,FALSE)</f>
        <v>SOLD</v>
      </c>
      <c r="AS13" s="355" t="s">
        <v>236</v>
      </c>
    </row>
    <row r="14" spans="1:45" ht="14.25" customHeight="1">
      <c r="A14" s="651">
        <v>5000</v>
      </c>
      <c r="B14" s="639" t="s">
        <v>886</v>
      </c>
      <c r="C14" s="391"/>
      <c r="D14" s="386"/>
      <c r="E14" s="372" t="s">
        <v>900</v>
      </c>
      <c r="F14" s="367" t="s">
        <v>894</v>
      </c>
      <c r="G14" s="373">
        <v>22</v>
      </c>
      <c r="H14" s="587">
        <v>2000000</v>
      </c>
      <c r="I14" s="600">
        <f t="shared" si="2"/>
        <v>110000</v>
      </c>
      <c r="J14" s="600">
        <f t="shared" si="3"/>
        <v>13200</v>
      </c>
      <c r="K14" s="604">
        <f t="shared" si="4"/>
        <v>63700</v>
      </c>
      <c r="L14" s="666">
        <f t="shared" si="5"/>
        <v>2186900</v>
      </c>
      <c r="M14" s="666"/>
      <c r="N14" s="683">
        <v>75000</v>
      </c>
      <c r="O14" s="688">
        <f t="shared" si="6"/>
        <v>67461</v>
      </c>
      <c r="P14" s="601">
        <f t="shared" si="7"/>
        <v>2329361</v>
      </c>
      <c r="Q14" s="669">
        <v>20000</v>
      </c>
      <c r="R14" s="669">
        <v>50000</v>
      </c>
      <c r="S14" s="600">
        <f t="shared" si="8"/>
        <v>174702.07499999998</v>
      </c>
      <c r="T14" s="600">
        <f t="shared" si="9"/>
        <v>58234.025000000001</v>
      </c>
      <c r="U14" s="600"/>
      <c r="V14" s="606">
        <f t="shared" si="10"/>
        <v>2562297.1</v>
      </c>
      <c r="W14" s="370">
        <f t="shared" si="11"/>
        <v>0.15</v>
      </c>
      <c r="X14" s="655">
        <f t="shared" si="12"/>
        <v>384344.565</v>
      </c>
      <c r="Y14" s="368">
        <f t="shared" si="13"/>
        <v>15000</v>
      </c>
      <c r="Z14" s="655">
        <f t="shared" si="18"/>
        <v>369344.565</v>
      </c>
      <c r="AA14" s="366">
        <f t="shared" si="14"/>
        <v>30</v>
      </c>
      <c r="AB14" s="655">
        <f t="shared" si="15"/>
        <v>12311.485500000001</v>
      </c>
      <c r="AC14" s="655">
        <f t="shared" si="16"/>
        <v>2177952.5350000001</v>
      </c>
      <c r="AD14" s="655">
        <f t="shared" si="17"/>
        <v>16885.6428221393</v>
      </c>
      <c r="AE14" s="655">
        <f t="shared" si="17"/>
        <v>19576.053091761645</v>
      </c>
      <c r="AF14" s="655">
        <f t="shared" si="17"/>
        <v>25287.875664919713</v>
      </c>
      <c r="AG14" s="655">
        <f t="shared" si="17"/>
        <v>43126.07055699257</v>
      </c>
      <c r="AJ14" s="324"/>
      <c r="AK14" s="403"/>
      <c r="AL14" s="325"/>
      <c r="AM14" s="326"/>
      <c r="AN14" s="326"/>
      <c r="AO14" s="327"/>
      <c r="AR14" t="str">
        <f>VLOOKUP(E$6:E$287,'[7]Sales Report'!$B$7:$C$288,2,FALSE)</f>
        <v>SOLD</v>
      </c>
      <c r="AS14" s="355" t="s">
        <v>236</v>
      </c>
    </row>
    <row r="15" spans="1:45" ht="14.25" customHeight="1">
      <c r="A15" s="651">
        <v>5000</v>
      </c>
      <c r="B15" s="639" t="s">
        <v>886</v>
      </c>
      <c r="C15" s="391"/>
      <c r="D15" s="386"/>
      <c r="E15" s="372" t="s">
        <v>901</v>
      </c>
      <c r="F15" s="367" t="s">
        <v>894</v>
      </c>
      <c r="G15" s="373">
        <v>22</v>
      </c>
      <c r="H15" s="587">
        <v>2000000</v>
      </c>
      <c r="I15" s="600">
        <f t="shared" si="2"/>
        <v>110000</v>
      </c>
      <c r="J15" s="600">
        <f t="shared" si="3"/>
        <v>13200</v>
      </c>
      <c r="K15" s="604">
        <f t="shared" si="4"/>
        <v>63700</v>
      </c>
      <c r="L15" s="666">
        <f t="shared" si="5"/>
        <v>2186900</v>
      </c>
      <c r="M15" s="666"/>
      <c r="N15" s="683">
        <v>75000</v>
      </c>
      <c r="O15" s="688">
        <f t="shared" si="6"/>
        <v>67461</v>
      </c>
      <c r="P15" s="601">
        <f t="shared" si="7"/>
        <v>2329361</v>
      </c>
      <c r="Q15" s="669">
        <v>20000</v>
      </c>
      <c r="R15" s="669">
        <v>50000</v>
      </c>
      <c r="S15" s="600">
        <f t="shared" si="8"/>
        <v>174702.07499999998</v>
      </c>
      <c r="T15" s="600">
        <f t="shared" si="9"/>
        <v>58234.025000000001</v>
      </c>
      <c r="U15" s="600"/>
      <c r="V15" s="606">
        <f t="shared" si="10"/>
        <v>2562297.1</v>
      </c>
      <c r="W15" s="370">
        <f t="shared" si="11"/>
        <v>0.15</v>
      </c>
      <c r="X15" s="655">
        <f t="shared" si="12"/>
        <v>384344.565</v>
      </c>
      <c r="Y15" s="368">
        <f t="shared" si="13"/>
        <v>15000</v>
      </c>
      <c r="Z15" s="655">
        <f t="shared" si="18"/>
        <v>369344.565</v>
      </c>
      <c r="AA15" s="366">
        <f t="shared" si="14"/>
        <v>30</v>
      </c>
      <c r="AB15" s="655">
        <f t="shared" si="15"/>
        <v>12311.485500000001</v>
      </c>
      <c r="AC15" s="655">
        <f t="shared" si="16"/>
        <v>2177952.5350000001</v>
      </c>
      <c r="AD15" s="655">
        <f t="shared" si="17"/>
        <v>16885.6428221393</v>
      </c>
      <c r="AE15" s="655">
        <f t="shared" si="17"/>
        <v>19576.053091761645</v>
      </c>
      <c r="AF15" s="655">
        <f t="shared" si="17"/>
        <v>25287.875664919713</v>
      </c>
      <c r="AG15" s="655">
        <f t="shared" si="17"/>
        <v>43126.07055699257</v>
      </c>
      <c r="AJ15" s="332"/>
      <c r="AK15" s="404"/>
      <c r="AL15" s="333"/>
      <c r="AM15" s="333"/>
      <c r="AN15" s="333"/>
      <c r="AO15" s="334"/>
      <c r="AR15" t="str">
        <f>VLOOKUP(E$6:E$287,'[7]Sales Report'!$B$7:$C$288,2,FALSE)</f>
        <v>SOLD</v>
      </c>
      <c r="AS15" s="355" t="s">
        <v>236</v>
      </c>
    </row>
    <row r="16" spans="1:45" ht="14.25" customHeight="1">
      <c r="A16" s="651">
        <v>5000</v>
      </c>
      <c r="B16" s="639" t="s">
        <v>886</v>
      </c>
      <c r="C16" s="391"/>
      <c r="D16" s="386"/>
      <c r="E16" s="372" t="s">
        <v>902</v>
      </c>
      <c r="F16" s="367" t="s">
        <v>894</v>
      </c>
      <c r="G16" s="373">
        <v>22</v>
      </c>
      <c r="H16" s="587">
        <v>2000000</v>
      </c>
      <c r="I16" s="600">
        <f t="shared" si="2"/>
        <v>110000</v>
      </c>
      <c r="J16" s="600">
        <f t="shared" si="3"/>
        <v>13200</v>
      </c>
      <c r="K16" s="604">
        <f t="shared" si="4"/>
        <v>63700</v>
      </c>
      <c r="L16" s="666">
        <f t="shared" si="5"/>
        <v>2186900</v>
      </c>
      <c r="M16" s="666"/>
      <c r="N16" s="683">
        <v>75000</v>
      </c>
      <c r="O16" s="688">
        <f t="shared" si="6"/>
        <v>67461</v>
      </c>
      <c r="P16" s="601">
        <f t="shared" si="7"/>
        <v>2329361</v>
      </c>
      <c r="Q16" s="669">
        <v>20000</v>
      </c>
      <c r="R16" s="669">
        <v>50000</v>
      </c>
      <c r="S16" s="600">
        <f t="shared" si="8"/>
        <v>174702.07499999998</v>
      </c>
      <c r="T16" s="600">
        <f t="shared" si="9"/>
        <v>58234.025000000001</v>
      </c>
      <c r="U16" s="600"/>
      <c r="V16" s="606">
        <f t="shared" si="10"/>
        <v>2562297.1</v>
      </c>
      <c r="W16" s="370">
        <f t="shared" si="11"/>
        <v>0.15</v>
      </c>
      <c r="X16" s="655">
        <f t="shared" si="12"/>
        <v>384344.565</v>
      </c>
      <c r="Y16" s="368">
        <f t="shared" si="13"/>
        <v>15000</v>
      </c>
      <c r="Z16" s="655">
        <f t="shared" si="18"/>
        <v>369344.565</v>
      </c>
      <c r="AA16" s="366">
        <f t="shared" si="14"/>
        <v>30</v>
      </c>
      <c r="AB16" s="655">
        <f t="shared" si="15"/>
        <v>12311.485500000001</v>
      </c>
      <c r="AC16" s="655">
        <f t="shared" si="16"/>
        <v>2177952.5350000001</v>
      </c>
      <c r="AD16" s="655">
        <f t="shared" si="17"/>
        <v>16885.6428221393</v>
      </c>
      <c r="AE16" s="655">
        <f t="shared" si="17"/>
        <v>19576.053091761645</v>
      </c>
      <c r="AF16" s="655">
        <f t="shared" si="17"/>
        <v>25287.875664919713</v>
      </c>
      <c r="AG16" s="655">
        <f t="shared" si="17"/>
        <v>43126.07055699257</v>
      </c>
      <c r="AJ16" s="332"/>
      <c r="AK16" s="404"/>
      <c r="AL16" s="330"/>
      <c r="AM16" s="329"/>
      <c r="AN16" s="328"/>
      <c r="AO16" s="331"/>
      <c r="AR16" t="str">
        <f>VLOOKUP(E$6:E$287,'[7]Sales Report'!$B$7:$C$288,2,FALSE)</f>
        <v>SOLD</v>
      </c>
      <c r="AS16" s="355" t="s">
        <v>236</v>
      </c>
    </row>
    <row r="17" spans="1:45" ht="14.25" customHeight="1">
      <c r="A17" s="651">
        <v>5000</v>
      </c>
      <c r="B17" s="640" t="s">
        <v>886</v>
      </c>
      <c r="C17" s="391"/>
      <c r="D17" s="386"/>
      <c r="E17" s="372" t="s">
        <v>903</v>
      </c>
      <c r="F17" s="367" t="s">
        <v>894</v>
      </c>
      <c r="G17" s="373">
        <v>22</v>
      </c>
      <c r="H17" s="587">
        <v>2000000</v>
      </c>
      <c r="I17" s="600">
        <f t="shared" si="2"/>
        <v>110000</v>
      </c>
      <c r="J17" s="600">
        <f t="shared" si="3"/>
        <v>13200</v>
      </c>
      <c r="K17" s="604">
        <f t="shared" si="4"/>
        <v>63700</v>
      </c>
      <c r="L17" s="666">
        <f t="shared" si="5"/>
        <v>2186900</v>
      </c>
      <c r="M17" s="666"/>
      <c r="N17" s="683">
        <v>75000</v>
      </c>
      <c r="O17" s="688">
        <f t="shared" si="6"/>
        <v>67461</v>
      </c>
      <c r="P17" s="601">
        <f t="shared" si="7"/>
        <v>2329361</v>
      </c>
      <c r="Q17" s="669">
        <v>20000</v>
      </c>
      <c r="R17" s="669">
        <v>50000</v>
      </c>
      <c r="S17" s="600">
        <f t="shared" si="8"/>
        <v>174702.07499999998</v>
      </c>
      <c r="T17" s="600">
        <f t="shared" si="9"/>
        <v>58234.025000000001</v>
      </c>
      <c r="U17" s="600"/>
      <c r="V17" s="606">
        <f t="shared" si="10"/>
        <v>2562297.1</v>
      </c>
      <c r="W17" s="370">
        <f t="shared" si="11"/>
        <v>0.15</v>
      </c>
      <c r="X17" s="655">
        <f t="shared" si="12"/>
        <v>384344.565</v>
      </c>
      <c r="Y17" s="368">
        <f t="shared" si="13"/>
        <v>15000</v>
      </c>
      <c r="Z17" s="655">
        <f t="shared" si="18"/>
        <v>369344.565</v>
      </c>
      <c r="AA17" s="366">
        <f t="shared" si="14"/>
        <v>30</v>
      </c>
      <c r="AB17" s="655">
        <f t="shared" si="15"/>
        <v>12311.485500000001</v>
      </c>
      <c r="AC17" s="655">
        <f t="shared" si="16"/>
        <v>2177952.5350000001</v>
      </c>
      <c r="AD17" s="655">
        <f t="shared" si="17"/>
        <v>16885.6428221393</v>
      </c>
      <c r="AE17" s="655">
        <f t="shared" si="17"/>
        <v>19576.053091761645</v>
      </c>
      <c r="AF17" s="655">
        <f t="shared" si="17"/>
        <v>25287.875664919713</v>
      </c>
      <c r="AG17" s="655">
        <f t="shared" si="17"/>
        <v>43126.07055699257</v>
      </c>
      <c r="AJ17" s="332"/>
      <c r="AK17" s="404"/>
      <c r="AL17" s="330"/>
      <c r="AM17" s="329"/>
      <c r="AN17" s="328"/>
      <c r="AO17" s="331"/>
      <c r="AR17" t="str">
        <f>VLOOKUP(E$6:E$287,'[7]Sales Report'!$B$7:$C$288,2,FALSE)</f>
        <v>SOLD</v>
      </c>
      <c r="AS17" s="355" t="s">
        <v>236</v>
      </c>
    </row>
    <row r="18" spans="1:45" ht="14.25" customHeight="1">
      <c r="A18" s="651">
        <v>5000</v>
      </c>
      <c r="B18" s="641" t="s">
        <v>886</v>
      </c>
      <c r="C18" s="391"/>
      <c r="D18" s="386"/>
      <c r="E18" s="372" t="s">
        <v>904</v>
      </c>
      <c r="F18" s="367" t="s">
        <v>894</v>
      </c>
      <c r="G18" s="373">
        <v>22</v>
      </c>
      <c r="H18" s="587">
        <v>2000000</v>
      </c>
      <c r="I18" s="600">
        <f t="shared" si="2"/>
        <v>110000</v>
      </c>
      <c r="J18" s="600">
        <f t="shared" si="3"/>
        <v>13200</v>
      </c>
      <c r="K18" s="604">
        <f t="shared" si="4"/>
        <v>63700</v>
      </c>
      <c r="L18" s="666">
        <f t="shared" si="5"/>
        <v>2186900</v>
      </c>
      <c r="M18" s="666"/>
      <c r="N18" s="683">
        <v>75000</v>
      </c>
      <c r="O18" s="688">
        <f>(H18+I18+K18+N18)*3%</f>
        <v>67461</v>
      </c>
      <c r="P18" s="601">
        <f t="shared" si="7"/>
        <v>2329361</v>
      </c>
      <c r="Q18" s="669">
        <v>20000</v>
      </c>
      <c r="R18" s="669">
        <v>50000</v>
      </c>
      <c r="S18" s="600">
        <f t="shared" si="8"/>
        <v>174702.07499999998</v>
      </c>
      <c r="T18" s="600">
        <f t="shared" si="9"/>
        <v>58234.025000000001</v>
      </c>
      <c r="U18" s="600"/>
      <c r="V18" s="606">
        <f t="shared" si="10"/>
        <v>2562297.1</v>
      </c>
      <c r="W18" s="370">
        <f t="shared" si="11"/>
        <v>0.15</v>
      </c>
      <c r="X18" s="655">
        <f t="shared" si="12"/>
        <v>384344.565</v>
      </c>
      <c r="Y18" s="368">
        <f t="shared" si="13"/>
        <v>15000</v>
      </c>
      <c r="Z18" s="655">
        <f t="shared" si="18"/>
        <v>369344.565</v>
      </c>
      <c r="AA18" s="366">
        <f t="shared" si="14"/>
        <v>30</v>
      </c>
      <c r="AB18" s="655">
        <f t="shared" si="15"/>
        <v>12311.485500000001</v>
      </c>
      <c r="AC18" s="655">
        <f t="shared" si="16"/>
        <v>2177952.5350000001</v>
      </c>
      <c r="AD18" s="655">
        <f t="shared" si="17"/>
        <v>16885.6428221393</v>
      </c>
      <c r="AE18" s="655">
        <f t="shared" si="17"/>
        <v>19576.053091761645</v>
      </c>
      <c r="AF18" s="655">
        <f t="shared" si="17"/>
        <v>25287.875664919713</v>
      </c>
      <c r="AG18" s="655">
        <f t="shared" si="17"/>
        <v>43126.07055699257</v>
      </c>
      <c r="AJ18" s="332"/>
      <c r="AK18" s="404"/>
      <c r="AL18" s="330"/>
      <c r="AM18" s="329"/>
      <c r="AN18" s="328"/>
      <c r="AO18" s="331"/>
      <c r="AR18" t="str">
        <f>VLOOKUP(E$6:E$287,'[7]Sales Report'!$B$7:$C$288,2,FALSE)</f>
        <v>SOLD</v>
      </c>
      <c r="AS18" s="355" t="s">
        <v>236</v>
      </c>
    </row>
    <row r="19" spans="1:45" ht="14.25" customHeight="1" thickBot="1">
      <c r="A19" s="651">
        <v>5000</v>
      </c>
      <c r="B19" s="638" t="s">
        <v>886</v>
      </c>
      <c r="C19" s="391"/>
      <c r="D19" s="386"/>
      <c r="E19" s="372" t="s">
        <v>905</v>
      </c>
      <c r="F19" s="367" t="s">
        <v>894</v>
      </c>
      <c r="G19" s="373">
        <v>22</v>
      </c>
      <c r="H19" s="587">
        <v>2000000</v>
      </c>
      <c r="I19" s="600">
        <f t="shared" si="2"/>
        <v>110000</v>
      </c>
      <c r="J19" s="600">
        <f t="shared" si="3"/>
        <v>13200</v>
      </c>
      <c r="K19" s="604">
        <f t="shared" si="4"/>
        <v>63700</v>
      </c>
      <c r="L19" s="666">
        <f t="shared" si="5"/>
        <v>2186900</v>
      </c>
      <c r="M19" s="666"/>
      <c r="N19" s="683">
        <v>75000</v>
      </c>
      <c r="O19" s="688">
        <f t="shared" ref="O19:O82" si="20">(H19+I19+K19+N19)*3%</f>
        <v>67461</v>
      </c>
      <c r="P19" s="601">
        <f t="shared" si="7"/>
        <v>2329361</v>
      </c>
      <c r="Q19" s="669">
        <v>20000</v>
      </c>
      <c r="R19" s="669">
        <v>50000</v>
      </c>
      <c r="S19" s="600">
        <f t="shared" si="8"/>
        <v>174702.07499999998</v>
      </c>
      <c r="T19" s="600">
        <f t="shared" si="9"/>
        <v>58234.025000000001</v>
      </c>
      <c r="U19" s="600"/>
      <c r="V19" s="606">
        <f t="shared" si="10"/>
        <v>2562297.1</v>
      </c>
      <c r="W19" s="370">
        <f t="shared" si="11"/>
        <v>0.15</v>
      </c>
      <c r="X19" s="655">
        <f t="shared" si="12"/>
        <v>384344.565</v>
      </c>
      <c r="Y19" s="368">
        <f t="shared" si="13"/>
        <v>15000</v>
      </c>
      <c r="Z19" s="655">
        <f t="shared" si="18"/>
        <v>369344.565</v>
      </c>
      <c r="AA19" s="366">
        <f t="shared" si="14"/>
        <v>30</v>
      </c>
      <c r="AB19" s="655">
        <f t="shared" si="15"/>
        <v>12311.485500000001</v>
      </c>
      <c r="AC19" s="655">
        <f t="shared" si="16"/>
        <v>2177952.5350000001</v>
      </c>
      <c r="AD19" s="655">
        <f t="shared" si="17"/>
        <v>16885.6428221393</v>
      </c>
      <c r="AE19" s="655">
        <f t="shared" si="17"/>
        <v>19576.053091761645</v>
      </c>
      <c r="AF19" s="655">
        <f t="shared" si="17"/>
        <v>25287.875664919713</v>
      </c>
      <c r="AG19" s="655">
        <f t="shared" si="17"/>
        <v>43126.07055699257</v>
      </c>
      <c r="AJ19" s="335"/>
      <c r="AK19" s="405"/>
      <c r="AL19" s="336"/>
      <c r="AM19" s="337"/>
      <c r="AN19" s="338"/>
      <c r="AO19" s="339"/>
      <c r="AR19" t="str">
        <f>VLOOKUP(E$6:E$287,'[7]Sales Report'!$B$7:$C$288,2,FALSE)</f>
        <v>SOLD</v>
      </c>
      <c r="AS19" s="355" t="s">
        <v>236</v>
      </c>
    </row>
    <row r="20" spans="1:45" ht="14.25" customHeight="1" thickBot="1">
      <c r="A20" s="651">
        <v>5000</v>
      </c>
      <c r="B20" s="640" t="s">
        <v>886</v>
      </c>
      <c r="C20" s="391"/>
      <c r="D20" s="386"/>
      <c r="E20" s="372" t="s">
        <v>906</v>
      </c>
      <c r="F20" s="367" t="s">
        <v>894</v>
      </c>
      <c r="G20" s="373">
        <v>22</v>
      </c>
      <c r="H20" s="587">
        <v>2000000</v>
      </c>
      <c r="I20" s="600">
        <f t="shared" si="2"/>
        <v>110000</v>
      </c>
      <c r="J20" s="600">
        <f t="shared" si="3"/>
        <v>13200</v>
      </c>
      <c r="K20" s="604">
        <f t="shared" si="4"/>
        <v>63700</v>
      </c>
      <c r="L20" s="666">
        <f t="shared" si="5"/>
        <v>2186900</v>
      </c>
      <c r="M20" s="666"/>
      <c r="N20" s="683">
        <v>75000</v>
      </c>
      <c r="O20" s="688">
        <f t="shared" si="20"/>
        <v>67461</v>
      </c>
      <c r="P20" s="601">
        <f t="shared" si="7"/>
        <v>2329361</v>
      </c>
      <c r="Q20" s="669">
        <v>20000</v>
      </c>
      <c r="R20" s="669">
        <v>50000</v>
      </c>
      <c r="S20" s="600">
        <f t="shared" si="8"/>
        <v>174702.07499999998</v>
      </c>
      <c r="T20" s="600">
        <f t="shared" si="9"/>
        <v>58234.025000000001</v>
      </c>
      <c r="U20" s="600"/>
      <c r="V20" s="606">
        <f t="shared" si="10"/>
        <v>2562297.1</v>
      </c>
      <c r="W20" s="370">
        <f t="shared" si="11"/>
        <v>0.15</v>
      </c>
      <c r="X20" s="655">
        <f t="shared" si="12"/>
        <v>384344.565</v>
      </c>
      <c r="Y20" s="368">
        <f t="shared" si="13"/>
        <v>15000</v>
      </c>
      <c r="Z20" s="655">
        <f t="shared" si="18"/>
        <v>369344.565</v>
      </c>
      <c r="AA20" s="366">
        <f t="shared" si="14"/>
        <v>30</v>
      </c>
      <c r="AB20" s="655">
        <f t="shared" si="15"/>
        <v>12311.485500000001</v>
      </c>
      <c r="AC20" s="655">
        <f t="shared" si="16"/>
        <v>2177952.5350000001</v>
      </c>
      <c r="AD20" s="655">
        <f t="shared" si="17"/>
        <v>16885.6428221393</v>
      </c>
      <c r="AE20" s="655">
        <f t="shared" si="17"/>
        <v>19576.053091761645</v>
      </c>
      <c r="AF20" s="655">
        <f t="shared" si="17"/>
        <v>25287.875664919713</v>
      </c>
      <c r="AG20" s="655">
        <f t="shared" si="17"/>
        <v>43126.07055699257</v>
      </c>
      <c r="AJ20" s="343"/>
      <c r="AK20" s="344"/>
      <c r="AL20" s="344"/>
      <c r="AM20" s="344"/>
      <c r="AN20" s="344"/>
      <c r="AO20" s="345"/>
      <c r="AR20" t="str">
        <f>VLOOKUP(E$6:E$287,'[7]Sales Report'!$B$7:$C$288,2,FALSE)</f>
        <v>SOLD</v>
      </c>
      <c r="AS20" s="355" t="s">
        <v>236</v>
      </c>
    </row>
    <row r="21" spans="1:45" ht="14.25" customHeight="1">
      <c r="A21" s="651">
        <v>5000</v>
      </c>
      <c r="B21" s="641" t="s">
        <v>886</v>
      </c>
      <c r="C21" s="391"/>
      <c r="D21" s="386"/>
      <c r="E21" s="372" t="s">
        <v>907</v>
      </c>
      <c r="F21" s="367" t="s">
        <v>894</v>
      </c>
      <c r="G21" s="373">
        <v>22</v>
      </c>
      <c r="H21" s="587">
        <v>2000000</v>
      </c>
      <c r="I21" s="600">
        <f t="shared" si="2"/>
        <v>110000</v>
      </c>
      <c r="J21" s="600">
        <f t="shared" si="3"/>
        <v>13200</v>
      </c>
      <c r="K21" s="604">
        <f t="shared" si="4"/>
        <v>63700</v>
      </c>
      <c r="L21" s="666">
        <f t="shared" si="5"/>
        <v>2186900</v>
      </c>
      <c r="M21" s="666"/>
      <c r="N21" s="683">
        <v>75000</v>
      </c>
      <c r="O21" s="688">
        <f t="shared" si="20"/>
        <v>67461</v>
      </c>
      <c r="P21" s="601">
        <f t="shared" si="7"/>
        <v>2329361</v>
      </c>
      <c r="Q21" s="669">
        <v>20000</v>
      </c>
      <c r="R21" s="669">
        <v>50000</v>
      </c>
      <c r="S21" s="600">
        <f t="shared" si="8"/>
        <v>174702.07499999998</v>
      </c>
      <c r="T21" s="600">
        <f t="shared" si="9"/>
        <v>58234.025000000001</v>
      </c>
      <c r="U21" s="600"/>
      <c r="V21" s="606">
        <f t="shared" si="10"/>
        <v>2562297.1</v>
      </c>
      <c r="W21" s="370">
        <f t="shared" si="11"/>
        <v>0.15</v>
      </c>
      <c r="X21" s="655">
        <f t="shared" si="12"/>
        <v>384344.565</v>
      </c>
      <c r="Y21" s="368">
        <f t="shared" si="13"/>
        <v>15000</v>
      </c>
      <c r="Z21" s="655">
        <f t="shared" si="18"/>
        <v>369344.565</v>
      </c>
      <c r="AA21" s="366">
        <f t="shared" si="14"/>
        <v>30</v>
      </c>
      <c r="AB21" s="655">
        <f t="shared" si="15"/>
        <v>12311.485500000001</v>
      </c>
      <c r="AC21" s="655">
        <f t="shared" si="16"/>
        <v>2177952.5350000001</v>
      </c>
      <c r="AD21" s="655">
        <f t="shared" si="17"/>
        <v>16885.6428221393</v>
      </c>
      <c r="AE21" s="655">
        <f t="shared" si="17"/>
        <v>19576.053091761645</v>
      </c>
      <c r="AF21" s="655">
        <f t="shared" si="17"/>
        <v>25287.875664919713</v>
      </c>
      <c r="AG21" s="655">
        <f t="shared" si="17"/>
        <v>43126.07055699257</v>
      </c>
      <c r="AK21" s="413" t="s">
        <v>280</v>
      </c>
      <c r="AR21" t="str">
        <f>VLOOKUP(E$6:E$287,'[7]Sales Report'!$B$7:$C$288,2,FALSE)</f>
        <v>SOLD</v>
      </c>
      <c r="AS21" s="355" t="s">
        <v>236</v>
      </c>
    </row>
    <row r="22" spans="1:45" ht="14.25" customHeight="1">
      <c r="A22" s="651">
        <v>5000</v>
      </c>
      <c r="B22" s="638" t="s">
        <v>886</v>
      </c>
      <c r="C22" s="391"/>
      <c r="D22" s="386"/>
      <c r="E22" s="377" t="s">
        <v>908</v>
      </c>
      <c r="F22" s="367" t="s">
        <v>894</v>
      </c>
      <c r="G22" s="373">
        <v>22</v>
      </c>
      <c r="H22" s="587">
        <v>2000000</v>
      </c>
      <c r="I22" s="600">
        <f t="shared" si="2"/>
        <v>110000</v>
      </c>
      <c r="J22" s="600">
        <f t="shared" si="3"/>
        <v>13200</v>
      </c>
      <c r="K22" s="604">
        <f t="shared" si="4"/>
        <v>63700</v>
      </c>
      <c r="L22" s="666">
        <f t="shared" si="5"/>
        <v>2186900</v>
      </c>
      <c r="M22" s="666"/>
      <c r="N22" s="683">
        <v>75000</v>
      </c>
      <c r="O22" s="688">
        <f t="shared" si="20"/>
        <v>67461</v>
      </c>
      <c r="P22" s="601">
        <f t="shared" si="7"/>
        <v>2329361</v>
      </c>
      <c r="Q22" s="669">
        <v>20000</v>
      </c>
      <c r="R22" s="669">
        <v>50000</v>
      </c>
      <c r="S22" s="600">
        <f t="shared" si="8"/>
        <v>174702.07499999998</v>
      </c>
      <c r="T22" s="600">
        <f t="shared" si="9"/>
        <v>58234.025000000001</v>
      </c>
      <c r="U22" s="600"/>
      <c r="V22" s="606">
        <f t="shared" si="10"/>
        <v>2562297.1</v>
      </c>
      <c r="W22" s="370">
        <f t="shared" si="11"/>
        <v>0.15</v>
      </c>
      <c r="X22" s="655">
        <f t="shared" si="12"/>
        <v>384344.565</v>
      </c>
      <c r="Y22" s="368">
        <f t="shared" si="13"/>
        <v>15000</v>
      </c>
      <c r="Z22" s="655">
        <f t="shared" si="18"/>
        <v>369344.565</v>
      </c>
      <c r="AA22" s="366">
        <f t="shared" si="14"/>
        <v>30</v>
      </c>
      <c r="AB22" s="655">
        <f t="shared" si="15"/>
        <v>12311.485500000001</v>
      </c>
      <c r="AC22" s="655">
        <f t="shared" si="16"/>
        <v>2177952.5350000001</v>
      </c>
      <c r="AD22" s="655">
        <f t="shared" si="17"/>
        <v>16885.6428221393</v>
      </c>
      <c r="AE22" s="655">
        <f t="shared" si="17"/>
        <v>19576.053091761645</v>
      </c>
      <c r="AF22" s="655">
        <f t="shared" si="17"/>
        <v>25287.875664919713</v>
      </c>
      <c r="AG22" s="655">
        <f t="shared" si="17"/>
        <v>43126.07055699257</v>
      </c>
      <c r="AK22" s="627" t="s">
        <v>909</v>
      </c>
      <c r="AL22" s="412"/>
      <c r="AR22" t="str">
        <f>VLOOKUP(E$6:E$287,'[7]Sales Report'!$B$7:$C$288,2,FALSE)</f>
        <v>SOLD</v>
      </c>
      <c r="AS22" s="355" t="s">
        <v>236</v>
      </c>
    </row>
    <row r="23" spans="1:45" ht="14.25" customHeight="1">
      <c r="A23" s="651">
        <v>5000</v>
      </c>
      <c r="B23" s="640" t="s">
        <v>886</v>
      </c>
      <c r="C23" s="416"/>
      <c r="D23" s="417"/>
      <c r="E23" s="367" t="s">
        <v>910</v>
      </c>
      <c r="F23" s="367" t="s">
        <v>894</v>
      </c>
      <c r="G23" s="378">
        <v>22</v>
      </c>
      <c r="H23" s="587">
        <v>2000000</v>
      </c>
      <c r="I23" s="600">
        <f t="shared" si="2"/>
        <v>110000</v>
      </c>
      <c r="J23" s="600">
        <f t="shared" si="3"/>
        <v>13200</v>
      </c>
      <c r="K23" s="604">
        <f t="shared" si="4"/>
        <v>63700</v>
      </c>
      <c r="L23" s="666">
        <f t="shared" si="5"/>
        <v>2186900</v>
      </c>
      <c r="M23" s="666"/>
      <c r="N23" s="683">
        <v>75000</v>
      </c>
      <c r="O23" s="688">
        <f t="shared" si="20"/>
        <v>67461</v>
      </c>
      <c r="P23" s="601">
        <f t="shared" si="7"/>
        <v>2329361</v>
      </c>
      <c r="Q23" s="669">
        <v>20000</v>
      </c>
      <c r="R23" s="669">
        <v>50000</v>
      </c>
      <c r="S23" s="600">
        <f t="shared" si="8"/>
        <v>174702.07499999998</v>
      </c>
      <c r="T23" s="600">
        <f t="shared" si="9"/>
        <v>58234.025000000001</v>
      </c>
      <c r="U23" s="600"/>
      <c r="V23" s="606">
        <f t="shared" si="10"/>
        <v>2562297.1</v>
      </c>
      <c r="W23" s="370">
        <f t="shared" si="11"/>
        <v>0.15</v>
      </c>
      <c r="X23" s="655">
        <f t="shared" si="12"/>
        <v>384344.565</v>
      </c>
      <c r="Y23" s="368">
        <f t="shared" si="13"/>
        <v>15000</v>
      </c>
      <c r="Z23" s="655">
        <f t="shared" si="18"/>
        <v>369344.565</v>
      </c>
      <c r="AA23" s="366">
        <f t="shared" si="14"/>
        <v>30</v>
      </c>
      <c r="AB23" s="655">
        <f t="shared" si="15"/>
        <v>12311.485500000001</v>
      </c>
      <c r="AC23" s="655">
        <f t="shared" si="16"/>
        <v>2177952.5350000001</v>
      </c>
      <c r="AD23" s="655">
        <f t="shared" si="17"/>
        <v>16885.6428221393</v>
      </c>
      <c r="AE23" s="655">
        <f t="shared" si="17"/>
        <v>19576.053091761645</v>
      </c>
      <c r="AF23" s="655">
        <f t="shared" si="17"/>
        <v>25287.875664919713</v>
      </c>
      <c r="AG23" s="655">
        <f t="shared" si="17"/>
        <v>43126.07055699257</v>
      </c>
      <c r="AR23" t="str">
        <f>VLOOKUP(E$6:E$287,'[7]Sales Report'!$B$7:$C$288,2,FALSE)</f>
        <v>SOLD</v>
      </c>
      <c r="AS23" s="355" t="s">
        <v>236</v>
      </c>
    </row>
    <row r="24" spans="1:45" ht="14.25" customHeight="1">
      <c r="A24" s="651">
        <v>5000</v>
      </c>
      <c r="B24" s="641" t="s">
        <v>886</v>
      </c>
      <c r="C24" s="391"/>
      <c r="D24" s="367"/>
      <c r="E24" s="367" t="s">
        <v>911</v>
      </c>
      <c r="F24" s="367" t="s">
        <v>894</v>
      </c>
      <c r="G24" s="354">
        <v>22</v>
      </c>
      <c r="H24" s="587">
        <v>2000000</v>
      </c>
      <c r="I24" s="600">
        <f t="shared" si="2"/>
        <v>110000</v>
      </c>
      <c r="J24" s="600">
        <f t="shared" si="3"/>
        <v>13200</v>
      </c>
      <c r="K24" s="604">
        <f t="shared" si="4"/>
        <v>63700</v>
      </c>
      <c r="L24" s="666">
        <f t="shared" si="5"/>
        <v>2186900</v>
      </c>
      <c r="M24" s="666"/>
      <c r="N24" s="683">
        <v>75000</v>
      </c>
      <c r="O24" s="688">
        <f t="shared" si="20"/>
        <v>67461</v>
      </c>
      <c r="P24" s="601">
        <f t="shared" si="7"/>
        <v>2329361</v>
      </c>
      <c r="Q24" s="669">
        <v>20000</v>
      </c>
      <c r="R24" s="669">
        <v>50000</v>
      </c>
      <c r="S24" s="600">
        <f t="shared" si="8"/>
        <v>174702.07499999998</v>
      </c>
      <c r="T24" s="600">
        <f t="shared" si="9"/>
        <v>58234.025000000001</v>
      </c>
      <c r="U24" s="600"/>
      <c r="V24" s="606">
        <f t="shared" si="10"/>
        <v>2562297.1</v>
      </c>
      <c r="W24" s="370">
        <f t="shared" si="11"/>
        <v>0.15</v>
      </c>
      <c r="X24" s="655">
        <f t="shared" si="12"/>
        <v>384344.565</v>
      </c>
      <c r="Y24" s="368">
        <f t="shared" si="13"/>
        <v>15000</v>
      </c>
      <c r="Z24" s="655">
        <f t="shared" si="18"/>
        <v>369344.565</v>
      </c>
      <c r="AA24" s="366">
        <f t="shared" si="14"/>
        <v>30</v>
      </c>
      <c r="AB24" s="655">
        <f t="shared" si="15"/>
        <v>12311.485500000001</v>
      </c>
      <c r="AC24" s="655">
        <f t="shared" si="16"/>
        <v>2177952.5350000001</v>
      </c>
      <c r="AD24" s="655">
        <f t="shared" si="17"/>
        <v>16885.6428221393</v>
      </c>
      <c r="AE24" s="655">
        <f t="shared" si="17"/>
        <v>19576.053091761645</v>
      </c>
      <c r="AF24" s="655">
        <f t="shared" si="17"/>
        <v>25287.875664919713</v>
      </c>
      <c r="AG24" s="655">
        <f t="shared" si="17"/>
        <v>43126.07055699257</v>
      </c>
      <c r="AJ24" s="383" t="s">
        <v>290</v>
      </c>
      <c r="AK24" s="412" t="s">
        <v>291</v>
      </c>
      <c r="AL24" s="412"/>
      <c r="AR24" t="str">
        <f>VLOOKUP(E$6:E$287,'[7]Sales Report'!$B$7:$C$288,2,FALSE)</f>
        <v>SOLD</v>
      </c>
      <c r="AS24" s="355" t="s">
        <v>236</v>
      </c>
    </row>
    <row r="25" spans="1:45" ht="14.25" customHeight="1">
      <c r="A25" s="651">
        <v>5000</v>
      </c>
      <c r="B25" s="642" t="s">
        <v>886</v>
      </c>
      <c r="C25" s="391"/>
      <c r="D25" s="367"/>
      <c r="E25" s="367" t="s">
        <v>912</v>
      </c>
      <c r="F25" s="367" t="s">
        <v>894</v>
      </c>
      <c r="G25" s="354">
        <v>22</v>
      </c>
      <c r="H25" s="587">
        <v>2000000</v>
      </c>
      <c r="I25" s="600">
        <f t="shared" si="2"/>
        <v>110000</v>
      </c>
      <c r="J25" s="600">
        <f t="shared" si="3"/>
        <v>13200</v>
      </c>
      <c r="K25" s="604">
        <f t="shared" si="4"/>
        <v>63700</v>
      </c>
      <c r="L25" s="666">
        <f t="shared" si="5"/>
        <v>2186900</v>
      </c>
      <c r="M25" s="666"/>
      <c r="N25" s="683">
        <v>75000</v>
      </c>
      <c r="O25" s="688">
        <f t="shared" si="20"/>
        <v>67461</v>
      </c>
      <c r="P25" s="601">
        <f t="shared" si="7"/>
        <v>2329361</v>
      </c>
      <c r="Q25" s="669">
        <v>20000</v>
      </c>
      <c r="R25" s="669">
        <v>50000</v>
      </c>
      <c r="S25" s="600">
        <f t="shared" si="8"/>
        <v>174702.07499999998</v>
      </c>
      <c r="T25" s="600">
        <f t="shared" si="9"/>
        <v>58234.025000000001</v>
      </c>
      <c r="U25" s="600"/>
      <c r="V25" s="606">
        <f t="shared" si="10"/>
        <v>2562297.1</v>
      </c>
      <c r="W25" s="370">
        <f t="shared" si="11"/>
        <v>0.15</v>
      </c>
      <c r="X25" s="655">
        <f t="shared" si="12"/>
        <v>384344.565</v>
      </c>
      <c r="Y25" s="368">
        <f t="shared" si="13"/>
        <v>15000</v>
      </c>
      <c r="Z25" s="655">
        <f t="shared" si="18"/>
        <v>369344.565</v>
      </c>
      <c r="AA25" s="366">
        <f t="shared" si="14"/>
        <v>30</v>
      </c>
      <c r="AB25" s="655">
        <f t="shared" si="15"/>
        <v>12311.485500000001</v>
      </c>
      <c r="AC25" s="655">
        <f t="shared" si="16"/>
        <v>2177952.5350000001</v>
      </c>
      <c r="AD25" s="655">
        <f t="shared" si="17"/>
        <v>16885.6428221393</v>
      </c>
      <c r="AE25" s="655">
        <f t="shared" si="17"/>
        <v>19576.053091761645</v>
      </c>
      <c r="AF25" s="655">
        <f t="shared" si="17"/>
        <v>25287.875664919713</v>
      </c>
      <c r="AG25" s="655">
        <f t="shared" si="17"/>
        <v>43126.07055699257</v>
      </c>
      <c r="AJ25" s="383" t="s">
        <v>295</v>
      </c>
      <c r="AK25" s="412" t="s">
        <v>913</v>
      </c>
      <c r="AL25" s="412"/>
      <c r="AR25" t="str">
        <f>VLOOKUP(E$6:E$287,'[7]Sales Report'!$B$7:$C$288,2,FALSE)</f>
        <v>SOLD</v>
      </c>
      <c r="AS25" s="355" t="s">
        <v>236</v>
      </c>
    </row>
    <row r="26" spans="1:45" ht="14.25" customHeight="1">
      <c r="A26" s="651">
        <v>5000</v>
      </c>
      <c r="B26" s="641" t="s">
        <v>886</v>
      </c>
      <c r="C26" s="391"/>
      <c r="D26" s="367"/>
      <c r="E26" s="367" t="s">
        <v>914</v>
      </c>
      <c r="F26" s="367" t="s">
        <v>894</v>
      </c>
      <c r="G26" s="354">
        <v>22</v>
      </c>
      <c r="H26" s="587">
        <v>2000000</v>
      </c>
      <c r="I26" s="600">
        <f t="shared" si="2"/>
        <v>110000</v>
      </c>
      <c r="J26" s="600">
        <f t="shared" si="3"/>
        <v>13200</v>
      </c>
      <c r="K26" s="604">
        <f t="shared" si="4"/>
        <v>63700</v>
      </c>
      <c r="L26" s="666">
        <f t="shared" si="5"/>
        <v>2186900</v>
      </c>
      <c r="M26" s="666"/>
      <c r="N26" s="683">
        <v>75000</v>
      </c>
      <c r="O26" s="688">
        <f t="shared" si="20"/>
        <v>67461</v>
      </c>
      <c r="P26" s="601">
        <f t="shared" si="7"/>
        <v>2329361</v>
      </c>
      <c r="Q26" s="669">
        <v>20000</v>
      </c>
      <c r="R26" s="669">
        <v>50000</v>
      </c>
      <c r="S26" s="600">
        <f t="shared" si="8"/>
        <v>174702.07499999998</v>
      </c>
      <c r="T26" s="600">
        <f t="shared" si="9"/>
        <v>58234.025000000001</v>
      </c>
      <c r="U26" s="600"/>
      <c r="V26" s="606">
        <f t="shared" si="10"/>
        <v>2562297.1</v>
      </c>
      <c r="W26" s="370">
        <f t="shared" si="11"/>
        <v>0.15</v>
      </c>
      <c r="X26" s="655">
        <f t="shared" si="12"/>
        <v>384344.565</v>
      </c>
      <c r="Y26" s="368">
        <f t="shared" si="13"/>
        <v>15000</v>
      </c>
      <c r="Z26" s="655">
        <f t="shared" si="18"/>
        <v>369344.565</v>
      </c>
      <c r="AA26" s="366">
        <f t="shared" si="14"/>
        <v>30</v>
      </c>
      <c r="AB26" s="655">
        <f t="shared" si="15"/>
        <v>12311.485500000001</v>
      </c>
      <c r="AC26" s="655">
        <f t="shared" si="16"/>
        <v>2177952.5350000001</v>
      </c>
      <c r="AD26" s="655">
        <f t="shared" si="17"/>
        <v>16885.6428221393</v>
      </c>
      <c r="AE26" s="655">
        <f t="shared" si="17"/>
        <v>19576.053091761645</v>
      </c>
      <c r="AF26" s="655">
        <f t="shared" si="17"/>
        <v>25287.875664919713</v>
      </c>
      <c r="AG26" s="655">
        <f t="shared" si="17"/>
        <v>43126.07055699257</v>
      </c>
      <c r="AJ26" s="383" t="s">
        <v>300</v>
      </c>
      <c r="AK26" s="412" t="s">
        <v>915</v>
      </c>
      <c r="AL26" s="412"/>
      <c r="AR26" t="str">
        <f>VLOOKUP(E$6:E$287,'[7]Sales Report'!$B$7:$C$288,2,FALSE)</f>
        <v>SOLD</v>
      </c>
      <c r="AS26" s="355" t="s">
        <v>236</v>
      </c>
    </row>
    <row r="27" spans="1:45" ht="14.25" customHeight="1">
      <c r="A27" s="651">
        <v>5000</v>
      </c>
      <c r="B27" s="643" t="s">
        <v>886</v>
      </c>
      <c r="C27" s="391"/>
      <c r="D27" s="367"/>
      <c r="E27" s="367" t="s">
        <v>916</v>
      </c>
      <c r="F27" s="367" t="s">
        <v>894</v>
      </c>
      <c r="G27" s="354">
        <v>22</v>
      </c>
      <c r="H27" s="587">
        <v>2000000</v>
      </c>
      <c r="I27" s="600">
        <f t="shared" si="2"/>
        <v>110000</v>
      </c>
      <c r="J27" s="600">
        <f t="shared" si="3"/>
        <v>13200</v>
      </c>
      <c r="K27" s="604">
        <f t="shared" si="4"/>
        <v>63700</v>
      </c>
      <c r="L27" s="666">
        <f t="shared" si="5"/>
        <v>2186900</v>
      </c>
      <c r="M27" s="666"/>
      <c r="N27" s="683">
        <v>75000</v>
      </c>
      <c r="O27" s="688">
        <f t="shared" si="20"/>
        <v>67461</v>
      </c>
      <c r="P27" s="601">
        <f t="shared" si="7"/>
        <v>2329361</v>
      </c>
      <c r="Q27" s="669">
        <v>20000</v>
      </c>
      <c r="R27" s="669">
        <v>50000</v>
      </c>
      <c r="S27" s="600">
        <f t="shared" si="8"/>
        <v>174702.07499999998</v>
      </c>
      <c r="T27" s="600">
        <f t="shared" si="9"/>
        <v>58234.025000000001</v>
      </c>
      <c r="U27" s="600"/>
      <c r="V27" s="606">
        <f t="shared" si="10"/>
        <v>2562297.1</v>
      </c>
      <c r="W27" s="370">
        <f t="shared" si="11"/>
        <v>0.15</v>
      </c>
      <c r="X27" s="655">
        <f t="shared" si="12"/>
        <v>384344.565</v>
      </c>
      <c r="Y27" s="368">
        <f t="shared" si="13"/>
        <v>15000</v>
      </c>
      <c r="Z27" s="655">
        <f t="shared" si="18"/>
        <v>369344.565</v>
      </c>
      <c r="AA27" s="366">
        <f t="shared" si="14"/>
        <v>30</v>
      </c>
      <c r="AB27" s="655">
        <f t="shared" si="15"/>
        <v>12311.485500000001</v>
      </c>
      <c r="AC27" s="655">
        <f t="shared" si="16"/>
        <v>2177952.5350000001</v>
      </c>
      <c r="AD27" s="655">
        <f t="shared" si="17"/>
        <v>16885.6428221393</v>
      </c>
      <c r="AE27" s="655">
        <f t="shared" si="17"/>
        <v>19576.053091761645</v>
      </c>
      <c r="AF27" s="655">
        <f t="shared" si="17"/>
        <v>25287.875664919713</v>
      </c>
      <c r="AG27" s="655">
        <f t="shared" si="17"/>
        <v>43126.07055699257</v>
      </c>
      <c r="AR27" t="str">
        <f>VLOOKUP(E$6:E$287,'[7]Sales Report'!$B$7:$C$288,2,FALSE)</f>
        <v>SOLD</v>
      </c>
      <c r="AS27" s="355" t="s">
        <v>236</v>
      </c>
    </row>
    <row r="28" spans="1:45" ht="14.25" customHeight="1">
      <c r="A28" s="651">
        <v>5000</v>
      </c>
      <c r="B28" s="641" t="s">
        <v>886</v>
      </c>
      <c r="C28" s="391"/>
      <c r="D28" s="367"/>
      <c r="E28" s="367" t="s">
        <v>917</v>
      </c>
      <c r="F28" s="367" t="s">
        <v>894</v>
      </c>
      <c r="G28" s="354">
        <v>22</v>
      </c>
      <c r="H28" s="587">
        <v>2000000</v>
      </c>
      <c r="I28" s="600">
        <f t="shared" si="2"/>
        <v>110000</v>
      </c>
      <c r="J28" s="600">
        <f t="shared" si="3"/>
        <v>13200</v>
      </c>
      <c r="K28" s="604">
        <f t="shared" si="4"/>
        <v>63700</v>
      </c>
      <c r="L28" s="666">
        <f t="shared" si="5"/>
        <v>2186900</v>
      </c>
      <c r="M28" s="666"/>
      <c r="N28" s="683">
        <v>75000</v>
      </c>
      <c r="O28" s="688">
        <f t="shared" si="20"/>
        <v>67461</v>
      </c>
      <c r="P28" s="601">
        <f t="shared" si="7"/>
        <v>2329361</v>
      </c>
      <c r="Q28" s="669">
        <v>20000</v>
      </c>
      <c r="R28" s="669">
        <v>50000</v>
      </c>
      <c r="S28" s="600">
        <f t="shared" si="8"/>
        <v>174702.07499999998</v>
      </c>
      <c r="T28" s="600">
        <f t="shared" si="9"/>
        <v>58234.025000000001</v>
      </c>
      <c r="U28" s="600"/>
      <c r="V28" s="606">
        <f t="shared" si="10"/>
        <v>2562297.1</v>
      </c>
      <c r="W28" s="370">
        <f t="shared" si="11"/>
        <v>0.15</v>
      </c>
      <c r="X28" s="655">
        <f t="shared" si="12"/>
        <v>384344.565</v>
      </c>
      <c r="Y28" s="368">
        <f t="shared" si="13"/>
        <v>15000</v>
      </c>
      <c r="Z28" s="655">
        <f t="shared" si="18"/>
        <v>369344.565</v>
      </c>
      <c r="AA28" s="366">
        <f t="shared" si="14"/>
        <v>30</v>
      </c>
      <c r="AB28" s="655">
        <f t="shared" si="15"/>
        <v>12311.485500000001</v>
      </c>
      <c r="AC28" s="655">
        <f t="shared" si="16"/>
        <v>2177952.5350000001</v>
      </c>
      <c r="AD28" s="655">
        <f t="shared" si="17"/>
        <v>16885.6428221393</v>
      </c>
      <c r="AE28" s="655">
        <f t="shared" si="17"/>
        <v>19576.053091761645</v>
      </c>
      <c r="AF28" s="655">
        <f t="shared" si="17"/>
        <v>25287.875664919713</v>
      </c>
      <c r="AG28" s="655">
        <f t="shared" si="17"/>
        <v>43126.07055699257</v>
      </c>
      <c r="AR28" t="str">
        <f>VLOOKUP(E$6:E$287,'[7]Sales Report'!$B$7:$C$288,2,FALSE)</f>
        <v>SOLD</v>
      </c>
      <c r="AS28" s="355" t="s">
        <v>236</v>
      </c>
    </row>
    <row r="29" spans="1:45" ht="14.25" customHeight="1">
      <c r="A29" s="651">
        <v>5000</v>
      </c>
      <c r="B29" s="642" t="s">
        <v>886</v>
      </c>
      <c r="C29" s="391"/>
      <c r="D29" s="367"/>
      <c r="E29" s="367" t="s">
        <v>918</v>
      </c>
      <c r="F29" s="367" t="s">
        <v>894</v>
      </c>
      <c r="G29" s="354">
        <v>22</v>
      </c>
      <c r="H29" s="587">
        <v>2000000</v>
      </c>
      <c r="I29" s="600">
        <f t="shared" si="2"/>
        <v>110000</v>
      </c>
      <c r="J29" s="600">
        <f t="shared" si="3"/>
        <v>13200</v>
      </c>
      <c r="K29" s="604">
        <f t="shared" si="4"/>
        <v>63700</v>
      </c>
      <c r="L29" s="666">
        <f t="shared" si="5"/>
        <v>2186900</v>
      </c>
      <c r="M29" s="666"/>
      <c r="N29" s="683">
        <v>75000</v>
      </c>
      <c r="O29" s="688">
        <f t="shared" si="20"/>
        <v>67461</v>
      </c>
      <c r="P29" s="601">
        <f t="shared" si="7"/>
        <v>2329361</v>
      </c>
      <c r="Q29" s="669">
        <v>20000</v>
      </c>
      <c r="R29" s="669">
        <v>50000</v>
      </c>
      <c r="S29" s="600">
        <f t="shared" si="8"/>
        <v>174702.07499999998</v>
      </c>
      <c r="T29" s="600">
        <f t="shared" si="9"/>
        <v>58234.025000000001</v>
      </c>
      <c r="U29" s="600"/>
      <c r="V29" s="606">
        <f t="shared" si="10"/>
        <v>2562297.1</v>
      </c>
      <c r="W29" s="370">
        <f t="shared" si="11"/>
        <v>0.15</v>
      </c>
      <c r="X29" s="655">
        <f t="shared" si="12"/>
        <v>384344.565</v>
      </c>
      <c r="Y29" s="368">
        <f t="shared" si="13"/>
        <v>15000</v>
      </c>
      <c r="Z29" s="655">
        <f t="shared" si="18"/>
        <v>369344.565</v>
      </c>
      <c r="AA29" s="366">
        <f t="shared" si="14"/>
        <v>30</v>
      </c>
      <c r="AB29" s="655">
        <f t="shared" si="15"/>
        <v>12311.485500000001</v>
      </c>
      <c r="AC29" s="655">
        <f t="shared" si="16"/>
        <v>2177952.5350000001</v>
      </c>
      <c r="AD29" s="655">
        <f t="shared" si="17"/>
        <v>16885.6428221393</v>
      </c>
      <c r="AE29" s="655">
        <f t="shared" si="17"/>
        <v>19576.053091761645</v>
      </c>
      <c r="AF29" s="655">
        <f t="shared" si="17"/>
        <v>25287.875664919713</v>
      </c>
      <c r="AG29" s="655">
        <f t="shared" si="17"/>
        <v>43126.07055699257</v>
      </c>
      <c r="AR29" t="str">
        <f>VLOOKUP(E$6:E$287,'[7]Sales Report'!$B$7:$C$288,2,FALSE)</f>
        <v>SOLD</v>
      </c>
      <c r="AS29" s="355" t="s">
        <v>236</v>
      </c>
    </row>
    <row r="30" spans="1:45" ht="14.25" customHeight="1">
      <c r="A30" s="651">
        <v>5000</v>
      </c>
      <c r="B30" s="641" t="s">
        <v>886</v>
      </c>
      <c r="C30" s="391"/>
      <c r="D30" s="367"/>
      <c r="E30" s="367" t="s">
        <v>919</v>
      </c>
      <c r="F30" s="367" t="s">
        <v>894</v>
      </c>
      <c r="G30" s="354">
        <v>22</v>
      </c>
      <c r="H30" s="587">
        <v>2000000</v>
      </c>
      <c r="I30" s="600">
        <f t="shared" si="2"/>
        <v>110000</v>
      </c>
      <c r="J30" s="600">
        <f t="shared" si="3"/>
        <v>13200</v>
      </c>
      <c r="K30" s="604">
        <f t="shared" si="4"/>
        <v>63700</v>
      </c>
      <c r="L30" s="666">
        <f t="shared" si="5"/>
        <v>2186900</v>
      </c>
      <c r="M30" s="666"/>
      <c r="N30" s="683">
        <v>75000</v>
      </c>
      <c r="O30" s="688">
        <f t="shared" si="20"/>
        <v>67461</v>
      </c>
      <c r="P30" s="601">
        <f t="shared" si="7"/>
        <v>2329361</v>
      </c>
      <c r="Q30" s="669">
        <v>20000</v>
      </c>
      <c r="R30" s="669">
        <v>50000</v>
      </c>
      <c r="S30" s="600">
        <f t="shared" si="8"/>
        <v>174702.07499999998</v>
      </c>
      <c r="T30" s="600">
        <f t="shared" si="9"/>
        <v>58234.025000000001</v>
      </c>
      <c r="U30" s="600"/>
      <c r="V30" s="606">
        <f t="shared" si="10"/>
        <v>2562297.1</v>
      </c>
      <c r="W30" s="370">
        <f t="shared" si="11"/>
        <v>0.15</v>
      </c>
      <c r="X30" s="655">
        <f t="shared" si="12"/>
        <v>384344.565</v>
      </c>
      <c r="Y30" s="368">
        <f t="shared" si="13"/>
        <v>15000</v>
      </c>
      <c r="Z30" s="655">
        <f t="shared" si="18"/>
        <v>369344.565</v>
      </c>
      <c r="AA30" s="366">
        <f t="shared" si="14"/>
        <v>30</v>
      </c>
      <c r="AB30" s="655">
        <f t="shared" si="15"/>
        <v>12311.485500000001</v>
      </c>
      <c r="AC30" s="655">
        <f t="shared" si="16"/>
        <v>2177952.5350000001</v>
      </c>
      <c r="AD30" s="655">
        <f t="shared" si="17"/>
        <v>16885.6428221393</v>
      </c>
      <c r="AE30" s="655">
        <f t="shared" si="17"/>
        <v>19576.053091761645</v>
      </c>
      <c r="AF30" s="655">
        <f t="shared" si="17"/>
        <v>25287.875664919713</v>
      </c>
      <c r="AG30" s="655">
        <f t="shared" si="17"/>
        <v>43126.07055699257</v>
      </c>
      <c r="AR30" t="str">
        <f>VLOOKUP(E$6:E$287,'[7]Sales Report'!$B$7:$C$288,2,FALSE)</f>
        <v>SOLD</v>
      </c>
      <c r="AS30" s="355" t="s">
        <v>236</v>
      </c>
    </row>
    <row r="31" spans="1:45" ht="14.25" customHeight="1">
      <c r="A31" s="651">
        <v>7000</v>
      </c>
      <c r="B31" s="641" t="s">
        <v>920</v>
      </c>
      <c r="C31" s="391"/>
      <c r="D31" s="367"/>
      <c r="E31" s="367" t="s">
        <v>921</v>
      </c>
      <c r="F31" s="367" t="s">
        <v>894</v>
      </c>
      <c r="G31" s="354">
        <v>22</v>
      </c>
      <c r="H31" s="587">
        <v>2000000</v>
      </c>
      <c r="I31" s="600">
        <f t="shared" si="2"/>
        <v>154000</v>
      </c>
      <c r="J31" s="600">
        <f t="shared" si="3"/>
        <v>18480</v>
      </c>
      <c r="K31" s="604">
        <f t="shared" si="4"/>
        <v>63700</v>
      </c>
      <c r="L31" s="666">
        <f t="shared" si="5"/>
        <v>2236180</v>
      </c>
      <c r="M31" s="666"/>
      <c r="N31" s="683">
        <v>75000</v>
      </c>
      <c r="O31" s="688">
        <f t="shared" si="20"/>
        <v>68781</v>
      </c>
      <c r="P31" s="601">
        <f t="shared" si="7"/>
        <v>2379961</v>
      </c>
      <c r="Q31" s="669">
        <v>20000</v>
      </c>
      <c r="R31" s="669">
        <v>50000</v>
      </c>
      <c r="S31" s="600">
        <f t="shared" si="8"/>
        <v>178497.07499999998</v>
      </c>
      <c r="T31" s="600">
        <f t="shared" si="9"/>
        <v>59499.025000000001</v>
      </c>
      <c r="U31" s="600"/>
      <c r="V31" s="606">
        <f t="shared" si="10"/>
        <v>2617957.1</v>
      </c>
      <c r="W31" s="370">
        <f t="shared" si="11"/>
        <v>0.15</v>
      </c>
      <c r="X31" s="655">
        <f t="shared" si="12"/>
        <v>392693.565</v>
      </c>
      <c r="Y31" s="368">
        <f t="shared" si="13"/>
        <v>15000</v>
      </c>
      <c r="Z31" s="655">
        <f t="shared" si="18"/>
        <v>377693.565</v>
      </c>
      <c r="AA31" s="366">
        <f t="shared" si="14"/>
        <v>30</v>
      </c>
      <c r="AB31" s="655">
        <f t="shared" si="15"/>
        <v>12589.7855</v>
      </c>
      <c r="AC31" s="655">
        <f t="shared" si="16"/>
        <v>2225263.5350000001</v>
      </c>
      <c r="AD31" s="655">
        <f t="shared" si="17"/>
        <v>17252.444501569946</v>
      </c>
      <c r="AE31" s="655">
        <f t="shared" si="17"/>
        <v>20001.297734581345</v>
      </c>
      <c r="AF31" s="655">
        <f t="shared" si="17"/>
        <v>25837.196490950944</v>
      </c>
      <c r="AG31" s="655">
        <f t="shared" si="17"/>
        <v>44062.88506113505</v>
      </c>
      <c r="AR31" t="str">
        <f>VLOOKUP(E$6:E$287,'[7]Sales Report'!$B$7:$C$288,2,FALSE)</f>
        <v>SOLD</v>
      </c>
      <c r="AS31" s="355" t="s">
        <v>236</v>
      </c>
    </row>
    <row r="32" spans="1:45" ht="14.25" customHeight="1">
      <c r="A32" s="651">
        <v>7000</v>
      </c>
      <c r="B32" s="641" t="s">
        <v>920</v>
      </c>
      <c r="C32" s="391"/>
      <c r="D32" s="367"/>
      <c r="E32" s="367" t="s">
        <v>922</v>
      </c>
      <c r="F32" s="367" t="s">
        <v>894</v>
      </c>
      <c r="G32" s="354">
        <v>22</v>
      </c>
      <c r="H32" s="587">
        <v>2000000</v>
      </c>
      <c r="I32" s="600">
        <f t="shared" si="2"/>
        <v>154000</v>
      </c>
      <c r="J32" s="600">
        <f t="shared" si="3"/>
        <v>18480</v>
      </c>
      <c r="K32" s="604">
        <f t="shared" si="4"/>
        <v>63700</v>
      </c>
      <c r="L32" s="666">
        <f t="shared" si="5"/>
        <v>2236180</v>
      </c>
      <c r="M32" s="666"/>
      <c r="N32" s="683">
        <v>75000</v>
      </c>
      <c r="O32" s="688">
        <f t="shared" si="20"/>
        <v>68781</v>
      </c>
      <c r="P32" s="601">
        <f t="shared" si="7"/>
        <v>2379961</v>
      </c>
      <c r="Q32" s="669">
        <v>20000</v>
      </c>
      <c r="R32" s="669">
        <v>50000</v>
      </c>
      <c r="S32" s="600">
        <f t="shared" si="8"/>
        <v>178497.07499999998</v>
      </c>
      <c r="T32" s="600">
        <f t="shared" si="9"/>
        <v>59499.025000000001</v>
      </c>
      <c r="U32" s="600"/>
      <c r="V32" s="606">
        <f t="shared" si="10"/>
        <v>2617957.1</v>
      </c>
      <c r="W32" s="370">
        <f t="shared" si="11"/>
        <v>0.15</v>
      </c>
      <c r="X32" s="655">
        <f t="shared" si="12"/>
        <v>392693.565</v>
      </c>
      <c r="Y32" s="368">
        <f t="shared" si="13"/>
        <v>15000</v>
      </c>
      <c r="Z32" s="655">
        <f t="shared" si="18"/>
        <v>377693.565</v>
      </c>
      <c r="AA32" s="366">
        <f t="shared" si="14"/>
        <v>30</v>
      </c>
      <c r="AB32" s="655">
        <f t="shared" si="15"/>
        <v>12589.7855</v>
      </c>
      <c r="AC32" s="655">
        <f t="shared" si="16"/>
        <v>2225263.5350000001</v>
      </c>
      <c r="AD32" s="655">
        <f t="shared" si="17"/>
        <v>17252.444501569946</v>
      </c>
      <c r="AE32" s="655">
        <f t="shared" si="17"/>
        <v>20001.297734581345</v>
      </c>
      <c r="AF32" s="655">
        <f t="shared" si="17"/>
        <v>25837.196490950944</v>
      </c>
      <c r="AG32" s="655">
        <f t="shared" si="17"/>
        <v>44062.88506113505</v>
      </c>
      <c r="AR32" t="str">
        <f>VLOOKUP(E$6:E$287,'[7]Sales Report'!$B$7:$C$288,2,FALSE)</f>
        <v>SOLD</v>
      </c>
      <c r="AS32" s="355" t="s">
        <v>236</v>
      </c>
    </row>
    <row r="33" spans="1:45" ht="14.25" customHeight="1">
      <c r="A33" s="651">
        <v>7000</v>
      </c>
      <c r="B33" s="641" t="s">
        <v>920</v>
      </c>
      <c r="C33" s="391"/>
      <c r="D33" s="367"/>
      <c r="E33" s="367" t="s">
        <v>923</v>
      </c>
      <c r="F33" s="367" t="s">
        <v>894</v>
      </c>
      <c r="G33" s="354">
        <v>22</v>
      </c>
      <c r="H33" s="587">
        <v>2000000</v>
      </c>
      <c r="I33" s="600">
        <f t="shared" si="2"/>
        <v>154000</v>
      </c>
      <c r="J33" s="600">
        <f t="shared" si="3"/>
        <v>18480</v>
      </c>
      <c r="K33" s="604">
        <f t="shared" si="4"/>
        <v>63700</v>
      </c>
      <c r="L33" s="666">
        <f t="shared" si="5"/>
        <v>2236180</v>
      </c>
      <c r="M33" s="666"/>
      <c r="N33" s="683">
        <v>75000</v>
      </c>
      <c r="O33" s="688">
        <f t="shared" si="20"/>
        <v>68781</v>
      </c>
      <c r="P33" s="601">
        <f t="shared" si="7"/>
        <v>2379961</v>
      </c>
      <c r="Q33" s="669">
        <v>20000</v>
      </c>
      <c r="R33" s="669">
        <v>50000</v>
      </c>
      <c r="S33" s="600">
        <f t="shared" si="8"/>
        <v>178497.07499999998</v>
      </c>
      <c r="T33" s="600">
        <f t="shared" si="9"/>
        <v>59499.025000000001</v>
      </c>
      <c r="U33" s="600"/>
      <c r="V33" s="606">
        <f t="shared" si="10"/>
        <v>2617957.1</v>
      </c>
      <c r="W33" s="370">
        <f t="shared" si="11"/>
        <v>0.15</v>
      </c>
      <c r="X33" s="655">
        <f t="shared" si="12"/>
        <v>392693.565</v>
      </c>
      <c r="Y33" s="368">
        <f t="shared" si="13"/>
        <v>15000</v>
      </c>
      <c r="Z33" s="655">
        <f t="shared" si="18"/>
        <v>377693.565</v>
      </c>
      <c r="AA33" s="366">
        <f t="shared" si="14"/>
        <v>30</v>
      </c>
      <c r="AB33" s="655">
        <f t="shared" si="15"/>
        <v>12589.7855</v>
      </c>
      <c r="AC33" s="655">
        <f t="shared" si="16"/>
        <v>2225263.5350000001</v>
      </c>
      <c r="AD33" s="655">
        <f t="shared" si="17"/>
        <v>17252.444501569946</v>
      </c>
      <c r="AE33" s="655">
        <f t="shared" si="17"/>
        <v>20001.297734581345</v>
      </c>
      <c r="AF33" s="655">
        <f t="shared" si="17"/>
        <v>25837.196490950944</v>
      </c>
      <c r="AG33" s="655">
        <f t="shared" si="17"/>
        <v>44062.88506113505</v>
      </c>
      <c r="AR33" t="str">
        <f>VLOOKUP(E$6:E$287,'[7]Sales Report'!$B$7:$C$288,2,FALSE)</f>
        <v>SOLD</v>
      </c>
      <c r="AS33" s="355" t="s">
        <v>236</v>
      </c>
    </row>
    <row r="34" spans="1:45" ht="14.25" customHeight="1">
      <c r="A34" s="651">
        <v>7000</v>
      </c>
      <c r="B34" s="641" t="s">
        <v>920</v>
      </c>
      <c r="C34" s="391"/>
      <c r="D34" s="367"/>
      <c r="E34" s="367" t="s">
        <v>924</v>
      </c>
      <c r="F34" s="367" t="s">
        <v>894</v>
      </c>
      <c r="G34" s="354">
        <v>22</v>
      </c>
      <c r="H34" s="587">
        <v>2000000</v>
      </c>
      <c r="I34" s="600">
        <f t="shared" si="2"/>
        <v>154000</v>
      </c>
      <c r="J34" s="600">
        <f t="shared" si="3"/>
        <v>18480</v>
      </c>
      <c r="K34" s="604">
        <f t="shared" si="4"/>
        <v>63700</v>
      </c>
      <c r="L34" s="666">
        <f t="shared" si="5"/>
        <v>2236180</v>
      </c>
      <c r="M34" s="666"/>
      <c r="N34" s="683">
        <v>75000</v>
      </c>
      <c r="O34" s="688">
        <f t="shared" si="20"/>
        <v>68781</v>
      </c>
      <c r="P34" s="601">
        <f t="shared" si="7"/>
        <v>2379961</v>
      </c>
      <c r="Q34" s="669">
        <v>20000</v>
      </c>
      <c r="R34" s="669">
        <v>50000</v>
      </c>
      <c r="S34" s="600">
        <f t="shared" si="8"/>
        <v>178497.07499999998</v>
      </c>
      <c r="T34" s="600">
        <f t="shared" si="9"/>
        <v>59499.025000000001</v>
      </c>
      <c r="U34" s="600"/>
      <c r="V34" s="606">
        <f t="shared" si="10"/>
        <v>2617957.1</v>
      </c>
      <c r="W34" s="370">
        <f t="shared" si="11"/>
        <v>0.15</v>
      </c>
      <c r="X34" s="655">
        <f t="shared" si="12"/>
        <v>392693.565</v>
      </c>
      <c r="Y34" s="368">
        <f t="shared" si="13"/>
        <v>15000</v>
      </c>
      <c r="Z34" s="655">
        <f t="shared" si="18"/>
        <v>377693.565</v>
      </c>
      <c r="AA34" s="366">
        <f t="shared" si="14"/>
        <v>30</v>
      </c>
      <c r="AB34" s="655">
        <f t="shared" si="15"/>
        <v>12589.7855</v>
      </c>
      <c r="AC34" s="655">
        <f t="shared" si="16"/>
        <v>2225263.5350000001</v>
      </c>
      <c r="AD34" s="655">
        <f t="shared" si="17"/>
        <v>17252.444501569946</v>
      </c>
      <c r="AE34" s="655">
        <f t="shared" si="17"/>
        <v>20001.297734581345</v>
      </c>
      <c r="AF34" s="655">
        <f t="shared" si="17"/>
        <v>25837.196490950944</v>
      </c>
      <c r="AG34" s="655">
        <f t="shared" si="17"/>
        <v>44062.88506113505</v>
      </c>
      <c r="AR34" t="str">
        <f>VLOOKUP(E$6:E$287,'[7]Sales Report'!$B$7:$C$288,2,FALSE)</f>
        <v>SOLD</v>
      </c>
      <c r="AS34" s="355" t="s">
        <v>236</v>
      </c>
    </row>
    <row r="35" spans="1:45" ht="14.25" customHeight="1">
      <c r="A35" s="651">
        <v>7000</v>
      </c>
      <c r="B35" s="641" t="s">
        <v>920</v>
      </c>
      <c r="C35" s="391"/>
      <c r="D35" s="367"/>
      <c r="E35" s="367" t="s">
        <v>925</v>
      </c>
      <c r="F35" s="367" t="s">
        <v>894</v>
      </c>
      <c r="G35" s="354">
        <v>22</v>
      </c>
      <c r="H35" s="587">
        <v>2000000</v>
      </c>
      <c r="I35" s="600">
        <f t="shared" si="2"/>
        <v>154000</v>
      </c>
      <c r="J35" s="600">
        <f t="shared" si="3"/>
        <v>18480</v>
      </c>
      <c r="K35" s="604">
        <f t="shared" si="4"/>
        <v>63700</v>
      </c>
      <c r="L35" s="666">
        <f t="shared" si="5"/>
        <v>2236180</v>
      </c>
      <c r="M35" s="666"/>
      <c r="N35" s="683">
        <v>75000</v>
      </c>
      <c r="O35" s="688">
        <f t="shared" si="20"/>
        <v>68781</v>
      </c>
      <c r="P35" s="601">
        <f t="shared" si="7"/>
        <v>2379961</v>
      </c>
      <c r="Q35" s="669">
        <v>20000</v>
      </c>
      <c r="R35" s="669">
        <v>50000</v>
      </c>
      <c r="S35" s="600">
        <f t="shared" si="8"/>
        <v>178497.07499999998</v>
      </c>
      <c r="T35" s="600">
        <f t="shared" si="9"/>
        <v>59499.025000000001</v>
      </c>
      <c r="U35" s="600"/>
      <c r="V35" s="606">
        <f t="shared" si="10"/>
        <v>2617957.1</v>
      </c>
      <c r="W35" s="370">
        <f t="shared" si="11"/>
        <v>0.15</v>
      </c>
      <c r="X35" s="655">
        <f t="shared" si="12"/>
        <v>392693.565</v>
      </c>
      <c r="Y35" s="368">
        <f t="shared" si="13"/>
        <v>15000</v>
      </c>
      <c r="Z35" s="655">
        <f t="shared" si="18"/>
        <v>377693.565</v>
      </c>
      <c r="AA35" s="366">
        <f t="shared" si="14"/>
        <v>30</v>
      </c>
      <c r="AB35" s="655">
        <f t="shared" si="15"/>
        <v>12589.7855</v>
      </c>
      <c r="AC35" s="655">
        <f t="shared" si="16"/>
        <v>2225263.5350000001</v>
      </c>
      <c r="AD35" s="655">
        <f t="shared" si="17"/>
        <v>17252.444501569946</v>
      </c>
      <c r="AE35" s="655">
        <f t="shared" si="17"/>
        <v>20001.297734581345</v>
      </c>
      <c r="AF35" s="655">
        <f t="shared" si="17"/>
        <v>25837.196490950944</v>
      </c>
      <c r="AG35" s="655">
        <f t="shared" si="17"/>
        <v>44062.88506113505</v>
      </c>
      <c r="AR35" t="str">
        <f>VLOOKUP(E$6:E$287,'[7]Sales Report'!$B$7:$C$288,2,FALSE)</f>
        <v>SOLD</v>
      </c>
      <c r="AS35" s="355" t="s">
        <v>236</v>
      </c>
    </row>
    <row r="36" spans="1:45" ht="14.25" customHeight="1">
      <c r="A36" s="651">
        <v>7000</v>
      </c>
      <c r="B36" s="641" t="s">
        <v>920</v>
      </c>
      <c r="C36" s="391"/>
      <c r="D36" s="367"/>
      <c r="E36" s="367" t="s">
        <v>926</v>
      </c>
      <c r="F36" s="367" t="s">
        <v>894</v>
      </c>
      <c r="G36" s="354">
        <v>22</v>
      </c>
      <c r="H36" s="587">
        <v>2000000</v>
      </c>
      <c r="I36" s="600">
        <f t="shared" si="2"/>
        <v>154000</v>
      </c>
      <c r="J36" s="600">
        <f t="shared" si="3"/>
        <v>18480</v>
      </c>
      <c r="K36" s="604">
        <f t="shared" si="4"/>
        <v>63700</v>
      </c>
      <c r="L36" s="666">
        <f t="shared" si="5"/>
        <v>2236180</v>
      </c>
      <c r="M36" s="666"/>
      <c r="N36" s="683">
        <v>75000</v>
      </c>
      <c r="O36" s="688">
        <f t="shared" si="20"/>
        <v>68781</v>
      </c>
      <c r="P36" s="601">
        <f t="shared" si="7"/>
        <v>2379961</v>
      </c>
      <c r="Q36" s="669">
        <v>20000</v>
      </c>
      <c r="R36" s="669">
        <v>50000</v>
      </c>
      <c r="S36" s="600">
        <f t="shared" si="8"/>
        <v>178497.07499999998</v>
      </c>
      <c r="T36" s="600">
        <f t="shared" si="9"/>
        <v>59499.025000000001</v>
      </c>
      <c r="U36" s="600"/>
      <c r="V36" s="606">
        <f t="shared" si="10"/>
        <v>2617957.1</v>
      </c>
      <c r="W36" s="370">
        <f t="shared" si="11"/>
        <v>0.15</v>
      </c>
      <c r="X36" s="655">
        <f t="shared" si="12"/>
        <v>392693.565</v>
      </c>
      <c r="Y36" s="368">
        <f t="shared" si="13"/>
        <v>15000</v>
      </c>
      <c r="Z36" s="655">
        <f t="shared" si="18"/>
        <v>377693.565</v>
      </c>
      <c r="AA36" s="366">
        <f t="shared" si="14"/>
        <v>30</v>
      </c>
      <c r="AB36" s="655">
        <f t="shared" si="15"/>
        <v>12589.7855</v>
      </c>
      <c r="AC36" s="655">
        <f t="shared" si="16"/>
        <v>2225263.5350000001</v>
      </c>
      <c r="AD36" s="655">
        <f t="shared" si="17"/>
        <v>17252.444501569946</v>
      </c>
      <c r="AE36" s="655">
        <f t="shared" si="17"/>
        <v>20001.297734581345</v>
      </c>
      <c r="AF36" s="655">
        <f t="shared" si="17"/>
        <v>25837.196490950944</v>
      </c>
      <c r="AG36" s="655">
        <f t="shared" si="17"/>
        <v>44062.88506113505</v>
      </c>
      <c r="AR36" t="str">
        <f>VLOOKUP(E$6:E$287,'[7]Sales Report'!$B$7:$C$288,2,FALSE)</f>
        <v>SOLD</v>
      </c>
      <c r="AS36" s="355" t="s">
        <v>236</v>
      </c>
    </row>
    <row r="37" spans="1:45" ht="14.25" customHeight="1">
      <c r="A37" s="651">
        <v>7000</v>
      </c>
      <c r="B37" s="641" t="s">
        <v>920</v>
      </c>
      <c r="C37" s="391"/>
      <c r="D37" s="367"/>
      <c r="E37" s="367" t="s">
        <v>927</v>
      </c>
      <c r="F37" s="367" t="s">
        <v>894</v>
      </c>
      <c r="G37" s="354">
        <v>22</v>
      </c>
      <c r="H37" s="587">
        <v>2000000</v>
      </c>
      <c r="I37" s="600">
        <f t="shared" si="2"/>
        <v>154000</v>
      </c>
      <c r="J37" s="600">
        <f t="shared" si="3"/>
        <v>18480</v>
      </c>
      <c r="K37" s="604">
        <f t="shared" si="4"/>
        <v>63700</v>
      </c>
      <c r="L37" s="666">
        <f t="shared" si="5"/>
        <v>2236180</v>
      </c>
      <c r="M37" s="666"/>
      <c r="N37" s="683">
        <v>75000</v>
      </c>
      <c r="O37" s="688">
        <f t="shared" si="20"/>
        <v>68781</v>
      </c>
      <c r="P37" s="601">
        <f t="shared" si="7"/>
        <v>2379961</v>
      </c>
      <c r="Q37" s="669">
        <v>20000</v>
      </c>
      <c r="R37" s="669">
        <v>50000</v>
      </c>
      <c r="S37" s="600">
        <f t="shared" si="8"/>
        <v>178497.07499999998</v>
      </c>
      <c r="T37" s="600">
        <f t="shared" si="9"/>
        <v>59499.025000000001</v>
      </c>
      <c r="U37" s="600"/>
      <c r="V37" s="606">
        <f t="shared" si="10"/>
        <v>2617957.1</v>
      </c>
      <c r="W37" s="370">
        <f t="shared" si="11"/>
        <v>0.15</v>
      </c>
      <c r="X37" s="655">
        <f t="shared" si="12"/>
        <v>392693.565</v>
      </c>
      <c r="Y37" s="368">
        <f t="shared" si="13"/>
        <v>15000</v>
      </c>
      <c r="Z37" s="655">
        <f t="shared" si="18"/>
        <v>377693.565</v>
      </c>
      <c r="AA37" s="366">
        <f t="shared" si="14"/>
        <v>30</v>
      </c>
      <c r="AB37" s="655">
        <f t="shared" si="15"/>
        <v>12589.7855</v>
      </c>
      <c r="AC37" s="655">
        <f t="shared" si="16"/>
        <v>2225263.5350000001</v>
      </c>
      <c r="AD37" s="655">
        <f t="shared" si="17"/>
        <v>17252.444501569946</v>
      </c>
      <c r="AE37" s="655">
        <f t="shared" si="17"/>
        <v>20001.297734581345</v>
      </c>
      <c r="AF37" s="655">
        <f t="shared" si="17"/>
        <v>25837.196490950944</v>
      </c>
      <c r="AG37" s="655">
        <f t="shared" si="17"/>
        <v>44062.88506113505</v>
      </c>
      <c r="AR37" t="str">
        <f>VLOOKUP(E$6:E$287,'[7]Sales Report'!$B$7:$C$288,2,FALSE)</f>
        <v>SOLD</v>
      </c>
      <c r="AS37" s="355" t="s">
        <v>236</v>
      </c>
    </row>
    <row r="38" spans="1:45" ht="14.25" customHeight="1">
      <c r="A38" s="651">
        <v>7000</v>
      </c>
      <c r="B38" s="641" t="s">
        <v>920</v>
      </c>
      <c r="C38" s="391"/>
      <c r="D38" s="367"/>
      <c r="E38" s="367" t="s">
        <v>928</v>
      </c>
      <c r="F38" s="367" t="s">
        <v>894</v>
      </c>
      <c r="G38" s="354">
        <v>22</v>
      </c>
      <c r="H38" s="587">
        <v>2000000</v>
      </c>
      <c r="I38" s="600">
        <f t="shared" si="2"/>
        <v>154000</v>
      </c>
      <c r="J38" s="600">
        <f t="shared" si="3"/>
        <v>18480</v>
      </c>
      <c r="K38" s="604">
        <f t="shared" si="4"/>
        <v>63700</v>
      </c>
      <c r="L38" s="666">
        <f t="shared" si="5"/>
        <v>2236180</v>
      </c>
      <c r="M38" s="666"/>
      <c r="N38" s="683">
        <v>75000</v>
      </c>
      <c r="O38" s="688">
        <f t="shared" si="20"/>
        <v>68781</v>
      </c>
      <c r="P38" s="601">
        <f t="shared" si="7"/>
        <v>2379961</v>
      </c>
      <c r="Q38" s="669">
        <v>20000</v>
      </c>
      <c r="R38" s="669">
        <v>50000</v>
      </c>
      <c r="S38" s="600">
        <f t="shared" si="8"/>
        <v>178497.07499999998</v>
      </c>
      <c r="T38" s="600">
        <f t="shared" si="9"/>
        <v>59499.025000000001</v>
      </c>
      <c r="U38" s="600"/>
      <c r="V38" s="606">
        <f t="shared" si="10"/>
        <v>2617957.1</v>
      </c>
      <c r="W38" s="370">
        <f t="shared" si="11"/>
        <v>0.15</v>
      </c>
      <c r="X38" s="655">
        <f t="shared" si="12"/>
        <v>392693.565</v>
      </c>
      <c r="Y38" s="368">
        <f t="shared" si="13"/>
        <v>15000</v>
      </c>
      <c r="Z38" s="655">
        <f t="shared" si="18"/>
        <v>377693.565</v>
      </c>
      <c r="AA38" s="366">
        <f t="shared" si="14"/>
        <v>30</v>
      </c>
      <c r="AB38" s="655">
        <f t="shared" si="15"/>
        <v>12589.7855</v>
      </c>
      <c r="AC38" s="655">
        <f t="shared" si="16"/>
        <v>2225263.5350000001</v>
      </c>
      <c r="AD38" s="655">
        <f t="shared" si="17"/>
        <v>17252.444501569946</v>
      </c>
      <c r="AE38" s="655">
        <f t="shared" si="17"/>
        <v>20001.297734581345</v>
      </c>
      <c r="AF38" s="655">
        <f t="shared" si="17"/>
        <v>25837.196490950944</v>
      </c>
      <c r="AG38" s="655">
        <f t="shared" si="17"/>
        <v>44062.88506113505</v>
      </c>
      <c r="AR38" t="str">
        <f>VLOOKUP(E$6:E$287,'[7]Sales Report'!$B$7:$C$288,2,FALSE)</f>
        <v>SOLD</v>
      </c>
      <c r="AS38" s="355" t="s">
        <v>236</v>
      </c>
    </row>
    <row r="39" spans="1:45" ht="14.25" customHeight="1">
      <c r="A39" s="651">
        <v>7000</v>
      </c>
      <c r="B39" s="641" t="s">
        <v>920</v>
      </c>
      <c r="C39" s="391"/>
      <c r="D39" s="367"/>
      <c r="E39" s="367" t="s">
        <v>929</v>
      </c>
      <c r="F39" s="367" t="s">
        <v>894</v>
      </c>
      <c r="G39" s="354">
        <v>22</v>
      </c>
      <c r="H39" s="587">
        <v>2000000</v>
      </c>
      <c r="I39" s="600">
        <f t="shared" si="2"/>
        <v>154000</v>
      </c>
      <c r="J39" s="600">
        <f t="shared" si="3"/>
        <v>18480</v>
      </c>
      <c r="K39" s="604">
        <f t="shared" si="4"/>
        <v>63700</v>
      </c>
      <c r="L39" s="666">
        <f t="shared" si="5"/>
        <v>2236180</v>
      </c>
      <c r="M39" s="666"/>
      <c r="N39" s="683">
        <v>75000</v>
      </c>
      <c r="O39" s="688">
        <f t="shared" si="20"/>
        <v>68781</v>
      </c>
      <c r="P39" s="601">
        <f t="shared" si="7"/>
        <v>2379961</v>
      </c>
      <c r="Q39" s="669">
        <v>20000</v>
      </c>
      <c r="R39" s="669">
        <v>50000</v>
      </c>
      <c r="S39" s="600">
        <f t="shared" si="8"/>
        <v>178497.07499999998</v>
      </c>
      <c r="T39" s="600">
        <f t="shared" si="9"/>
        <v>59499.025000000001</v>
      </c>
      <c r="U39" s="600"/>
      <c r="V39" s="606">
        <f t="shared" si="10"/>
        <v>2617957.1</v>
      </c>
      <c r="W39" s="370">
        <f t="shared" si="11"/>
        <v>0.15</v>
      </c>
      <c r="X39" s="655">
        <f t="shared" si="12"/>
        <v>392693.565</v>
      </c>
      <c r="Y39" s="368">
        <f t="shared" si="13"/>
        <v>15000</v>
      </c>
      <c r="Z39" s="655">
        <f t="shared" si="18"/>
        <v>377693.565</v>
      </c>
      <c r="AA39" s="366">
        <f t="shared" si="14"/>
        <v>30</v>
      </c>
      <c r="AB39" s="655">
        <f t="shared" si="15"/>
        <v>12589.7855</v>
      </c>
      <c r="AC39" s="655">
        <f t="shared" si="16"/>
        <v>2225263.5350000001</v>
      </c>
      <c r="AD39" s="655">
        <f t="shared" si="17"/>
        <v>17252.444501569946</v>
      </c>
      <c r="AE39" s="655">
        <f t="shared" si="17"/>
        <v>20001.297734581345</v>
      </c>
      <c r="AF39" s="655">
        <f t="shared" si="17"/>
        <v>25837.196490950944</v>
      </c>
      <c r="AG39" s="655">
        <f t="shared" si="17"/>
        <v>44062.88506113505</v>
      </c>
      <c r="AR39" t="str">
        <f>VLOOKUP(E$6:E$287,'[7]Sales Report'!$B$7:$C$288,2,FALSE)</f>
        <v>SOLD</v>
      </c>
      <c r="AS39" s="355" t="s">
        <v>236</v>
      </c>
    </row>
    <row r="40" spans="1:45" ht="14.25" customHeight="1">
      <c r="A40" s="651">
        <v>5000</v>
      </c>
      <c r="B40" s="643" t="s">
        <v>920</v>
      </c>
      <c r="C40" s="391"/>
      <c r="D40" s="367"/>
      <c r="E40" s="367" t="s">
        <v>930</v>
      </c>
      <c r="F40" s="367" t="s">
        <v>894</v>
      </c>
      <c r="G40" s="354">
        <v>22</v>
      </c>
      <c r="H40" s="587">
        <v>2000000</v>
      </c>
      <c r="I40" s="600">
        <f t="shared" si="2"/>
        <v>110000</v>
      </c>
      <c r="J40" s="600">
        <f t="shared" si="3"/>
        <v>13200</v>
      </c>
      <c r="K40" s="604">
        <f t="shared" si="4"/>
        <v>63700</v>
      </c>
      <c r="L40" s="666">
        <f t="shared" si="5"/>
        <v>2186900</v>
      </c>
      <c r="M40" s="666"/>
      <c r="N40" s="683">
        <v>75000</v>
      </c>
      <c r="O40" s="688">
        <f t="shared" si="20"/>
        <v>67461</v>
      </c>
      <c r="P40" s="601">
        <f>SUM(L40+N40+O40)</f>
        <v>2329361</v>
      </c>
      <c r="Q40" s="669">
        <v>20000</v>
      </c>
      <c r="R40" s="669">
        <v>50000</v>
      </c>
      <c r="S40" s="600">
        <f>+P40*$S$5</f>
        <v>174702.07499999998</v>
      </c>
      <c r="T40" s="600">
        <f>+P40*$T$5</f>
        <v>58234.025000000001</v>
      </c>
      <c r="U40" s="600"/>
      <c r="V40" s="606">
        <f>P40+S40+T40</f>
        <v>2562297.1</v>
      </c>
      <c r="W40" s="370">
        <f t="shared" si="11"/>
        <v>0.15</v>
      </c>
      <c r="X40" s="655">
        <f t="shared" si="12"/>
        <v>384344.565</v>
      </c>
      <c r="Y40" s="368">
        <f t="shared" si="13"/>
        <v>15000</v>
      </c>
      <c r="Z40" s="655">
        <f t="shared" si="18"/>
        <v>369344.565</v>
      </c>
      <c r="AA40" s="366">
        <f t="shared" si="14"/>
        <v>30</v>
      </c>
      <c r="AB40" s="655">
        <f t="shared" si="15"/>
        <v>12311.485500000001</v>
      </c>
      <c r="AC40" s="655">
        <f t="shared" si="16"/>
        <v>2177952.5350000001</v>
      </c>
      <c r="AD40" s="655">
        <f t="shared" si="17"/>
        <v>16885.6428221393</v>
      </c>
      <c r="AE40" s="655">
        <f t="shared" si="17"/>
        <v>19576.053091761645</v>
      </c>
      <c r="AF40" s="655">
        <f t="shared" si="17"/>
        <v>25287.875664919713</v>
      </c>
      <c r="AG40" s="655">
        <f t="shared" si="17"/>
        <v>43126.07055699257</v>
      </c>
      <c r="AR40" t="s">
        <v>258</v>
      </c>
      <c r="AS40" s="355" t="s">
        <v>258</v>
      </c>
    </row>
    <row r="41" spans="1:45" ht="14.25" customHeight="1">
      <c r="A41" s="651">
        <v>5000</v>
      </c>
      <c r="B41" s="641" t="s">
        <v>920</v>
      </c>
      <c r="C41" s="391"/>
      <c r="D41" s="367"/>
      <c r="E41" s="367" t="s">
        <v>931</v>
      </c>
      <c r="F41" s="367" t="s">
        <v>894</v>
      </c>
      <c r="G41" s="354">
        <v>22</v>
      </c>
      <c r="H41" s="587">
        <v>2000000</v>
      </c>
      <c r="I41" s="600">
        <f t="shared" si="2"/>
        <v>110000</v>
      </c>
      <c r="J41" s="600">
        <f t="shared" si="3"/>
        <v>13200</v>
      </c>
      <c r="K41" s="604">
        <f t="shared" si="4"/>
        <v>63700</v>
      </c>
      <c r="L41" s="666">
        <f t="shared" si="5"/>
        <v>2186900</v>
      </c>
      <c r="M41" s="666"/>
      <c r="N41" s="683">
        <v>75000</v>
      </c>
      <c r="O41" s="688">
        <f t="shared" si="20"/>
        <v>67461</v>
      </c>
      <c r="P41" s="601">
        <f>SUM(L41+N41+O41)</f>
        <v>2329361</v>
      </c>
      <c r="Q41" s="669">
        <v>20000</v>
      </c>
      <c r="R41" s="669">
        <v>50000</v>
      </c>
      <c r="S41" s="600">
        <f t="shared" si="8"/>
        <v>174702.07499999998</v>
      </c>
      <c r="T41" s="600">
        <f t="shared" si="9"/>
        <v>58234.025000000001</v>
      </c>
      <c r="U41" s="600"/>
      <c r="V41" s="606">
        <f t="shared" si="10"/>
        <v>2562297.1</v>
      </c>
      <c r="W41" s="370">
        <f t="shared" si="11"/>
        <v>0.15</v>
      </c>
      <c r="X41" s="655">
        <f t="shared" si="12"/>
        <v>384344.565</v>
      </c>
      <c r="Y41" s="368">
        <f t="shared" si="13"/>
        <v>15000</v>
      </c>
      <c r="Z41" s="655">
        <f t="shared" si="18"/>
        <v>369344.565</v>
      </c>
      <c r="AA41" s="366">
        <f t="shared" si="14"/>
        <v>30</v>
      </c>
      <c r="AB41" s="655">
        <f t="shared" si="15"/>
        <v>12311.485500000001</v>
      </c>
      <c r="AC41" s="655">
        <f t="shared" si="16"/>
        <v>2177952.5350000001</v>
      </c>
      <c r="AD41" s="655">
        <f t="shared" si="17"/>
        <v>16885.6428221393</v>
      </c>
      <c r="AE41" s="655">
        <f t="shared" si="17"/>
        <v>19576.053091761645</v>
      </c>
      <c r="AF41" s="655">
        <f t="shared" si="17"/>
        <v>25287.875664919713</v>
      </c>
      <c r="AG41" s="655">
        <f t="shared" si="17"/>
        <v>43126.07055699257</v>
      </c>
      <c r="AR41" t="s">
        <v>258</v>
      </c>
      <c r="AS41" s="355" t="s">
        <v>258</v>
      </c>
    </row>
    <row r="42" spans="1:45" ht="14.25" customHeight="1">
      <c r="A42" s="651">
        <v>5000</v>
      </c>
      <c r="B42" s="642" t="s">
        <v>920</v>
      </c>
      <c r="C42" s="391"/>
      <c r="D42" s="367"/>
      <c r="E42" s="367" t="s">
        <v>932</v>
      </c>
      <c r="F42" s="367" t="s">
        <v>894</v>
      </c>
      <c r="G42" s="354">
        <v>22</v>
      </c>
      <c r="H42" s="587">
        <v>2000000</v>
      </c>
      <c r="I42" s="600">
        <f t="shared" si="2"/>
        <v>110000</v>
      </c>
      <c r="J42" s="600">
        <f t="shared" si="3"/>
        <v>13200</v>
      </c>
      <c r="K42" s="604">
        <f t="shared" si="4"/>
        <v>63700</v>
      </c>
      <c r="L42" s="666">
        <f t="shared" si="5"/>
        <v>2186900</v>
      </c>
      <c r="M42" s="666"/>
      <c r="N42" s="683">
        <v>75000</v>
      </c>
      <c r="O42" s="688">
        <f t="shared" si="20"/>
        <v>67461</v>
      </c>
      <c r="P42" s="601">
        <f t="shared" si="7"/>
        <v>2329361</v>
      </c>
      <c r="Q42" s="669">
        <v>20000</v>
      </c>
      <c r="R42" s="669">
        <v>50000</v>
      </c>
      <c r="S42" s="600">
        <f t="shared" si="8"/>
        <v>174702.07499999998</v>
      </c>
      <c r="T42" s="600">
        <f t="shared" si="9"/>
        <v>58234.025000000001</v>
      </c>
      <c r="U42" s="600"/>
      <c r="V42" s="606">
        <f t="shared" si="10"/>
        <v>2562297.1</v>
      </c>
      <c r="W42" s="370">
        <f t="shared" si="11"/>
        <v>0.15</v>
      </c>
      <c r="X42" s="655">
        <f t="shared" si="12"/>
        <v>384344.565</v>
      </c>
      <c r="Y42" s="368">
        <f t="shared" si="13"/>
        <v>15000</v>
      </c>
      <c r="Z42" s="655">
        <f t="shared" si="18"/>
        <v>369344.565</v>
      </c>
      <c r="AA42" s="366">
        <f t="shared" si="14"/>
        <v>30</v>
      </c>
      <c r="AB42" s="655">
        <f t="shared" si="15"/>
        <v>12311.485500000001</v>
      </c>
      <c r="AC42" s="655">
        <f t="shared" si="16"/>
        <v>2177952.5350000001</v>
      </c>
      <c r="AD42" s="655">
        <f t="shared" si="17"/>
        <v>16885.6428221393</v>
      </c>
      <c r="AE42" s="655">
        <f t="shared" si="17"/>
        <v>19576.053091761645</v>
      </c>
      <c r="AF42" s="655">
        <f t="shared" si="17"/>
        <v>25287.875664919713</v>
      </c>
      <c r="AG42" s="655">
        <f t="shared" si="17"/>
        <v>43126.07055699257</v>
      </c>
      <c r="AR42" t="s">
        <v>258</v>
      </c>
      <c r="AS42" s="355" t="s">
        <v>258</v>
      </c>
    </row>
    <row r="43" spans="1:45" ht="14.25" customHeight="1">
      <c r="A43" s="651">
        <v>5000</v>
      </c>
      <c r="B43" s="641" t="s">
        <v>920</v>
      </c>
      <c r="C43" s="391"/>
      <c r="D43" s="367"/>
      <c r="E43" s="367" t="s">
        <v>933</v>
      </c>
      <c r="F43" s="367" t="s">
        <v>894</v>
      </c>
      <c r="G43" s="354">
        <v>22</v>
      </c>
      <c r="H43" s="587">
        <v>2000000</v>
      </c>
      <c r="I43" s="600">
        <f t="shared" si="2"/>
        <v>110000</v>
      </c>
      <c r="J43" s="600">
        <f t="shared" si="3"/>
        <v>13200</v>
      </c>
      <c r="K43" s="604">
        <f t="shared" si="4"/>
        <v>63700</v>
      </c>
      <c r="L43" s="666">
        <f t="shared" si="5"/>
        <v>2186900</v>
      </c>
      <c r="M43" s="666"/>
      <c r="N43" s="683">
        <v>75000</v>
      </c>
      <c r="O43" s="688">
        <f t="shared" si="20"/>
        <v>67461</v>
      </c>
      <c r="P43" s="601">
        <f t="shared" si="7"/>
        <v>2329361</v>
      </c>
      <c r="Q43" s="669">
        <v>20000</v>
      </c>
      <c r="R43" s="669">
        <v>50000</v>
      </c>
      <c r="S43" s="600">
        <f t="shared" si="8"/>
        <v>174702.07499999998</v>
      </c>
      <c r="T43" s="600">
        <f t="shared" si="9"/>
        <v>58234.025000000001</v>
      </c>
      <c r="U43" s="600"/>
      <c r="V43" s="606">
        <f t="shared" si="10"/>
        <v>2562297.1</v>
      </c>
      <c r="W43" s="370">
        <f t="shared" si="11"/>
        <v>0.15</v>
      </c>
      <c r="X43" s="655">
        <f t="shared" si="12"/>
        <v>384344.565</v>
      </c>
      <c r="Y43" s="368">
        <f t="shared" si="13"/>
        <v>15000</v>
      </c>
      <c r="Z43" s="655">
        <f t="shared" si="18"/>
        <v>369344.565</v>
      </c>
      <c r="AA43" s="366">
        <f t="shared" si="14"/>
        <v>30</v>
      </c>
      <c r="AB43" s="655">
        <f t="shared" si="15"/>
        <v>12311.485500000001</v>
      </c>
      <c r="AC43" s="655">
        <f t="shared" si="16"/>
        <v>2177952.5350000001</v>
      </c>
      <c r="AD43" s="655">
        <f t="shared" si="17"/>
        <v>16885.6428221393</v>
      </c>
      <c r="AE43" s="655">
        <f t="shared" si="17"/>
        <v>19576.053091761645</v>
      </c>
      <c r="AF43" s="655">
        <f t="shared" si="17"/>
        <v>25287.875664919713</v>
      </c>
      <c r="AG43" s="655">
        <f t="shared" si="17"/>
        <v>43126.07055699257</v>
      </c>
      <c r="AR43" t="s">
        <v>258</v>
      </c>
      <c r="AS43" s="355" t="s">
        <v>258</v>
      </c>
    </row>
    <row r="44" spans="1:45" ht="14.25" customHeight="1">
      <c r="A44" s="651">
        <v>5000</v>
      </c>
      <c r="B44" s="641" t="s">
        <v>920</v>
      </c>
      <c r="C44" s="391"/>
      <c r="D44" s="367"/>
      <c r="E44" s="367" t="s">
        <v>934</v>
      </c>
      <c r="F44" s="367" t="s">
        <v>894</v>
      </c>
      <c r="G44" s="354">
        <v>22</v>
      </c>
      <c r="H44" s="587">
        <v>2000000</v>
      </c>
      <c r="I44" s="600">
        <f t="shared" si="2"/>
        <v>110000</v>
      </c>
      <c r="J44" s="600">
        <f t="shared" si="3"/>
        <v>13200</v>
      </c>
      <c r="K44" s="604">
        <f t="shared" si="4"/>
        <v>63700</v>
      </c>
      <c r="L44" s="666">
        <f t="shared" si="5"/>
        <v>2186900</v>
      </c>
      <c r="M44" s="666"/>
      <c r="N44" s="683">
        <v>75000</v>
      </c>
      <c r="O44" s="688">
        <f t="shared" si="20"/>
        <v>67461</v>
      </c>
      <c r="P44" s="601">
        <f t="shared" si="7"/>
        <v>2329361</v>
      </c>
      <c r="Q44" s="669">
        <v>20000</v>
      </c>
      <c r="R44" s="669">
        <v>50000</v>
      </c>
      <c r="S44" s="600">
        <f t="shared" si="8"/>
        <v>174702.07499999998</v>
      </c>
      <c r="T44" s="600">
        <f t="shared" si="9"/>
        <v>58234.025000000001</v>
      </c>
      <c r="U44" s="600"/>
      <c r="V44" s="606">
        <f t="shared" si="10"/>
        <v>2562297.1</v>
      </c>
      <c r="W44" s="370">
        <f t="shared" si="11"/>
        <v>0.15</v>
      </c>
      <c r="X44" s="655">
        <f t="shared" si="12"/>
        <v>384344.565</v>
      </c>
      <c r="Y44" s="368">
        <f t="shared" si="13"/>
        <v>15000</v>
      </c>
      <c r="Z44" s="655">
        <f t="shared" si="18"/>
        <v>369344.565</v>
      </c>
      <c r="AA44" s="366">
        <f t="shared" si="14"/>
        <v>30</v>
      </c>
      <c r="AB44" s="655">
        <f t="shared" si="15"/>
        <v>12311.485500000001</v>
      </c>
      <c r="AC44" s="655">
        <f t="shared" si="16"/>
        <v>2177952.5350000001</v>
      </c>
      <c r="AD44" s="655">
        <f t="shared" si="17"/>
        <v>16885.6428221393</v>
      </c>
      <c r="AE44" s="655">
        <f t="shared" si="17"/>
        <v>19576.053091761645</v>
      </c>
      <c r="AF44" s="655">
        <f t="shared" si="17"/>
        <v>25287.875664919713</v>
      </c>
      <c r="AG44" s="655">
        <f t="shared" si="17"/>
        <v>43126.07055699257</v>
      </c>
      <c r="AR44" t="s">
        <v>258</v>
      </c>
      <c r="AS44" s="355" t="s">
        <v>258</v>
      </c>
    </row>
    <row r="45" spans="1:45" ht="14.25" customHeight="1">
      <c r="A45" s="651">
        <v>5000</v>
      </c>
      <c r="B45" s="641" t="s">
        <v>920</v>
      </c>
      <c r="C45" s="391"/>
      <c r="D45" s="367"/>
      <c r="E45" s="367" t="s">
        <v>935</v>
      </c>
      <c r="F45" s="367" t="s">
        <v>894</v>
      </c>
      <c r="G45" s="354">
        <v>22</v>
      </c>
      <c r="H45" s="587">
        <v>2000000</v>
      </c>
      <c r="I45" s="600">
        <f t="shared" si="2"/>
        <v>110000</v>
      </c>
      <c r="J45" s="600">
        <f t="shared" si="3"/>
        <v>13200</v>
      </c>
      <c r="K45" s="604">
        <f t="shared" si="4"/>
        <v>63700</v>
      </c>
      <c r="L45" s="666">
        <f t="shared" si="5"/>
        <v>2186900</v>
      </c>
      <c r="M45" s="666"/>
      <c r="N45" s="683">
        <v>75000</v>
      </c>
      <c r="O45" s="688">
        <f t="shared" si="20"/>
        <v>67461</v>
      </c>
      <c r="P45" s="601">
        <f t="shared" si="7"/>
        <v>2329361</v>
      </c>
      <c r="Q45" s="669">
        <v>20000</v>
      </c>
      <c r="R45" s="669">
        <v>50000</v>
      </c>
      <c r="S45" s="600">
        <f t="shared" si="8"/>
        <v>174702.07499999998</v>
      </c>
      <c r="T45" s="600">
        <f t="shared" si="9"/>
        <v>58234.025000000001</v>
      </c>
      <c r="U45" s="600"/>
      <c r="V45" s="606">
        <f t="shared" si="10"/>
        <v>2562297.1</v>
      </c>
      <c r="W45" s="370">
        <f t="shared" si="11"/>
        <v>0.15</v>
      </c>
      <c r="X45" s="655">
        <f t="shared" si="12"/>
        <v>384344.565</v>
      </c>
      <c r="Y45" s="368">
        <f t="shared" si="13"/>
        <v>15000</v>
      </c>
      <c r="Z45" s="655">
        <f t="shared" si="18"/>
        <v>369344.565</v>
      </c>
      <c r="AA45" s="366">
        <f t="shared" si="14"/>
        <v>30</v>
      </c>
      <c r="AB45" s="655">
        <f t="shared" si="15"/>
        <v>12311.485500000001</v>
      </c>
      <c r="AC45" s="655">
        <f t="shared" si="16"/>
        <v>2177952.5350000001</v>
      </c>
      <c r="AD45" s="655">
        <f t="shared" si="17"/>
        <v>16885.6428221393</v>
      </c>
      <c r="AE45" s="655">
        <f t="shared" si="17"/>
        <v>19576.053091761645</v>
      </c>
      <c r="AF45" s="655">
        <f t="shared" si="17"/>
        <v>25287.875664919713</v>
      </c>
      <c r="AG45" s="655">
        <f t="shared" si="17"/>
        <v>43126.07055699257</v>
      </c>
      <c r="AR45" t="str">
        <f>VLOOKUP(E$6:E$287,'[7]Sales Report'!$B$7:$C$288,2,FALSE)</f>
        <v>UNSOLD</v>
      </c>
      <c r="AS45" s="355" t="s">
        <v>258</v>
      </c>
    </row>
    <row r="46" spans="1:45" ht="14.25" customHeight="1">
      <c r="A46" s="651">
        <v>5000</v>
      </c>
      <c r="B46" s="641" t="s">
        <v>920</v>
      </c>
      <c r="C46" s="391"/>
      <c r="D46" s="367"/>
      <c r="E46" s="367" t="s">
        <v>936</v>
      </c>
      <c r="F46" s="367" t="s">
        <v>894</v>
      </c>
      <c r="G46" s="354">
        <v>22</v>
      </c>
      <c r="H46" s="587">
        <v>2000000</v>
      </c>
      <c r="I46" s="600">
        <f t="shared" si="2"/>
        <v>110000</v>
      </c>
      <c r="J46" s="600">
        <f t="shared" si="3"/>
        <v>13200</v>
      </c>
      <c r="K46" s="604">
        <f t="shared" si="4"/>
        <v>63700</v>
      </c>
      <c r="L46" s="666">
        <f t="shared" si="5"/>
        <v>2186900</v>
      </c>
      <c r="M46" s="666"/>
      <c r="N46" s="683">
        <v>75000</v>
      </c>
      <c r="O46" s="688">
        <f t="shared" si="20"/>
        <v>67461</v>
      </c>
      <c r="P46" s="601">
        <f t="shared" si="7"/>
        <v>2329361</v>
      </c>
      <c r="Q46" s="669">
        <v>20000</v>
      </c>
      <c r="R46" s="669">
        <v>50000</v>
      </c>
      <c r="S46" s="600">
        <f t="shared" si="8"/>
        <v>174702.07499999998</v>
      </c>
      <c r="T46" s="600">
        <f t="shared" si="9"/>
        <v>58234.025000000001</v>
      </c>
      <c r="U46" s="600"/>
      <c r="V46" s="606">
        <f t="shared" si="10"/>
        <v>2562297.1</v>
      </c>
      <c r="W46" s="370">
        <f t="shared" si="11"/>
        <v>0.15</v>
      </c>
      <c r="X46" s="655">
        <f t="shared" si="12"/>
        <v>384344.565</v>
      </c>
      <c r="Y46" s="368">
        <f t="shared" si="13"/>
        <v>15000</v>
      </c>
      <c r="Z46" s="655">
        <f t="shared" si="18"/>
        <v>369344.565</v>
      </c>
      <c r="AA46" s="366">
        <f t="shared" si="14"/>
        <v>30</v>
      </c>
      <c r="AB46" s="655">
        <f t="shared" si="15"/>
        <v>12311.485500000001</v>
      </c>
      <c r="AC46" s="655">
        <f t="shared" si="16"/>
        <v>2177952.5350000001</v>
      </c>
      <c r="AD46" s="655">
        <f t="shared" si="17"/>
        <v>16885.6428221393</v>
      </c>
      <c r="AE46" s="655">
        <f t="shared" si="17"/>
        <v>19576.053091761645</v>
      </c>
      <c r="AF46" s="655">
        <f t="shared" si="17"/>
        <v>25287.875664919713</v>
      </c>
      <c r="AG46" s="655">
        <f t="shared" si="17"/>
        <v>43126.07055699257</v>
      </c>
      <c r="AR46" t="str">
        <f>VLOOKUP(E$6:E$287,'[7]Sales Report'!$B$7:$C$288,2,FALSE)</f>
        <v>SOLD</v>
      </c>
      <c r="AS46" s="355" t="s">
        <v>236</v>
      </c>
    </row>
    <row r="47" spans="1:45" ht="14.25" customHeight="1">
      <c r="A47" s="651">
        <v>7000</v>
      </c>
      <c r="B47" s="641" t="s">
        <v>920</v>
      </c>
      <c r="C47" s="391"/>
      <c r="D47" s="367"/>
      <c r="E47" s="367" t="s">
        <v>937</v>
      </c>
      <c r="F47" s="367" t="s">
        <v>894</v>
      </c>
      <c r="G47" s="354">
        <v>22</v>
      </c>
      <c r="H47" s="587">
        <v>2000000</v>
      </c>
      <c r="I47" s="600">
        <f t="shared" si="2"/>
        <v>154000</v>
      </c>
      <c r="J47" s="600">
        <f t="shared" si="3"/>
        <v>18480</v>
      </c>
      <c r="K47" s="604">
        <f t="shared" si="4"/>
        <v>63700</v>
      </c>
      <c r="L47" s="666">
        <f t="shared" si="5"/>
        <v>2236180</v>
      </c>
      <c r="M47" s="666"/>
      <c r="N47" s="683">
        <v>75000</v>
      </c>
      <c r="O47" s="688">
        <f t="shared" si="20"/>
        <v>68781</v>
      </c>
      <c r="P47" s="601">
        <f t="shared" si="7"/>
        <v>2379961</v>
      </c>
      <c r="Q47" s="669">
        <v>20000</v>
      </c>
      <c r="R47" s="669">
        <v>50000</v>
      </c>
      <c r="S47" s="600">
        <f t="shared" si="8"/>
        <v>178497.07499999998</v>
      </c>
      <c r="T47" s="600">
        <f t="shared" si="9"/>
        <v>59499.025000000001</v>
      </c>
      <c r="U47" s="600"/>
      <c r="V47" s="606">
        <f t="shared" si="10"/>
        <v>2617957.1</v>
      </c>
      <c r="W47" s="370">
        <f t="shared" si="11"/>
        <v>0.15</v>
      </c>
      <c r="X47" s="655">
        <f t="shared" si="12"/>
        <v>392693.565</v>
      </c>
      <c r="Y47" s="368">
        <f t="shared" si="13"/>
        <v>15000</v>
      </c>
      <c r="Z47" s="655">
        <f t="shared" si="18"/>
        <v>377693.565</v>
      </c>
      <c r="AA47" s="366">
        <f t="shared" si="14"/>
        <v>30</v>
      </c>
      <c r="AB47" s="655">
        <f t="shared" si="15"/>
        <v>12589.7855</v>
      </c>
      <c r="AC47" s="655">
        <f t="shared" si="16"/>
        <v>2225263.5350000001</v>
      </c>
      <c r="AD47" s="655">
        <f t="shared" si="17"/>
        <v>17252.444501569946</v>
      </c>
      <c r="AE47" s="655">
        <f t="shared" si="17"/>
        <v>20001.297734581345</v>
      </c>
      <c r="AF47" s="655">
        <f t="shared" si="17"/>
        <v>25837.196490950944</v>
      </c>
      <c r="AG47" s="655">
        <f t="shared" si="17"/>
        <v>44062.88506113505</v>
      </c>
      <c r="AR47" t="str">
        <f>VLOOKUP(E$6:E$287,'[7]Sales Report'!$B$7:$C$288,2,FALSE)</f>
        <v>SOLD</v>
      </c>
      <c r="AS47" s="355" t="s">
        <v>236</v>
      </c>
    </row>
    <row r="48" spans="1:45" ht="14.25" customHeight="1">
      <c r="A48" s="651">
        <v>7000</v>
      </c>
      <c r="B48" s="641" t="s">
        <v>920</v>
      </c>
      <c r="C48" s="391"/>
      <c r="D48" s="367"/>
      <c r="E48" s="367" t="s">
        <v>938</v>
      </c>
      <c r="F48" s="367" t="s">
        <v>894</v>
      </c>
      <c r="G48" s="354">
        <v>22</v>
      </c>
      <c r="H48" s="587">
        <v>2000000</v>
      </c>
      <c r="I48" s="600">
        <f t="shared" si="2"/>
        <v>154000</v>
      </c>
      <c r="J48" s="600">
        <f t="shared" si="3"/>
        <v>18480</v>
      </c>
      <c r="K48" s="604">
        <f t="shared" si="4"/>
        <v>63700</v>
      </c>
      <c r="L48" s="666">
        <f t="shared" si="5"/>
        <v>2236180</v>
      </c>
      <c r="M48" s="666"/>
      <c r="N48" s="683">
        <v>75000</v>
      </c>
      <c r="O48" s="688">
        <f t="shared" si="20"/>
        <v>68781</v>
      </c>
      <c r="P48" s="601">
        <f t="shared" si="7"/>
        <v>2379961</v>
      </c>
      <c r="Q48" s="669">
        <v>20000</v>
      </c>
      <c r="R48" s="669">
        <v>50000</v>
      </c>
      <c r="S48" s="600">
        <f t="shared" si="8"/>
        <v>178497.07499999998</v>
      </c>
      <c r="T48" s="600">
        <f t="shared" si="9"/>
        <v>59499.025000000001</v>
      </c>
      <c r="U48" s="600"/>
      <c r="V48" s="606">
        <f t="shared" si="10"/>
        <v>2617957.1</v>
      </c>
      <c r="W48" s="370">
        <f t="shared" si="11"/>
        <v>0.15</v>
      </c>
      <c r="X48" s="655">
        <f t="shared" si="12"/>
        <v>392693.565</v>
      </c>
      <c r="Y48" s="368">
        <f t="shared" si="13"/>
        <v>15000</v>
      </c>
      <c r="Z48" s="655">
        <f t="shared" si="18"/>
        <v>377693.565</v>
      </c>
      <c r="AA48" s="366">
        <f t="shared" si="14"/>
        <v>30</v>
      </c>
      <c r="AB48" s="655">
        <f t="shared" si="15"/>
        <v>12589.7855</v>
      </c>
      <c r="AC48" s="655">
        <f t="shared" si="16"/>
        <v>2225263.5350000001</v>
      </c>
      <c r="AD48" s="655">
        <f t="shared" si="17"/>
        <v>17252.444501569946</v>
      </c>
      <c r="AE48" s="655">
        <f t="shared" si="17"/>
        <v>20001.297734581345</v>
      </c>
      <c r="AF48" s="655">
        <f t="shared" si="17"/>
        <v>25837.196490950944</v>
      </c>
      <c r="AG48" s="655">
        <f t="shared" si="17"/>
        <v>44062.88506113505</v>
      </c>
      <c r="AR48" t="str">
        <f>VLOOKUP(E$6:E$287,'[7]Sales Report'!$B$7:$C$288,2,FALSE)</f>
        <v>SOLD</v>
      </c>
      <c r="AS48" s="355" t="s">
        <v>236</v>
      </c>
    </row>
    <row r="49" spans="1:45" ht="14.25" customHeight="1">
      <c r="A49" s="651">
        <v>7000</v>
      </c>
      <c r="B49" s="641" t="s">
        <v>920</v>
      </c>
      <c r="C49" s="391"/>
      <c r="D49" s="367"/>
      <c r="E49" s="367" t="s">
        <v>939</v>
      </c>
      <c r="F49" s="367" t="s">
        <v>894</v>
      </c>
      <c r="G49" s="354">
        <v>22</v>
      </c>
      <c r="H49" s="587">
        <v>2000000</v>
      </c>
      <c r="I49" s="600">
        <f t="shared" si="2"/>
        <v>154000</v>
      </c>
      <c r="J49" s="600">
        <f t="shared" si="3"/>
        <v>18480</v>
      </c>
      <c r="K49" s="604">
        <f t="shared" si="4"/>
        <v>63700</v>
      </c>
      <c r="L49" s="666">
        <f t="shared" si="5"/>
        <v>2236180</v>
      </c>
      <c r="M49" s="666"/>
      <c r="N49" s="683">
        <v>75000</v>
      </c>
      <c r="O49" s="688">
        <f t="shared" si="20"/>
        <v>68781</v>
      </c>
      <c r="P49" s="601">
        <f t="shared" si="7"/>
        <v>2379961</v>
      </c>
      <c r="Q49" s="669">
        <v>20000</v>
      </c>
      <c r="R49" s="669">
        <v>50000</v>
      </c>
      <c r="S49" s="600">
        <f t="shared" si="8"/>
        <v>178497.07499999998</v>
      </c>
      <c r="T49" s="600">
        <f t="shared" si="9"/>
        <v>59499.025000000001</v>
      </c>
      <c r="U49" s="600"/>
      <c r="V49" s="606">
        <f t="shared" si="10"/>
        <v>2617957.1</v>
      </c>
      <c r="W49" s="370">
        <f t="shared" si="11"/>
        <v>0.15</v>
      </c>
      <c r="X49" s="655">
        <f t="shared" si="12"/>
        <v>392693.565</v>
      </c>
      <c r="Y49" s="368">
        <f t="shared" si="13"/>
        <v>15000</v>
      </c>
      <c r="Z49" s="655">
        <f t="shared" si="18"/>
        <v>377693.565</v>
      </c>
      <c r="AA49" s="366">
        <f t="shared" si="14"/>
        <v>30</v>
      </c>
      <c r="AB49" s="655">
        <f t="shared" si="15"/>
        <v>12589.7855</v>
      </c>
      <c r="AC49" s="655">
        <f t="shared" si="16"/>
        <v>2225263.5350000001</v>
      </c>
      <c r="AD49" s="655">
        <f t="shared" si="17"/>
        <v>17252.444501569946</v>
      </c>
      <c r="AE49" s="655">
        <f t="shared" si="17"/>
        <v>20001.297734581345</v>
      </c>
      <c r="AF49" s="655">
        <f t="shared" si="17"/>
        <v>25837.196490950944</v>
      </c>
      <c r="AG49" s="655">
        <f t="shared" si="17"/>
        <v>44062.88506113505</v>
      </c>
      <c r="AR49" t="str">
        <f>VLOOKUP(E$6:E$287,'[7]Sales Report'!$B$7:$C$288,2,FALSE)</f>
        <v>SOLD</v>
      </c>
      <c r="AS49" s="355" t="s">
        <v>236</v>
      </c>
    </row>
    <row r="50" spans="1:45" ht="14.25" customHeight="1">
      <c r="A50" s="651">
        <v>7000</v>
      </c>
      <c r="B50" s="641" t="s">
        <v>920</v>
      </c>
      <c r="C50" s="391"/>
      <c r="D50" s="367"/>
      <c r="E50" s="367" t="s">
        <v>940</v>
      </c>
      <c r="F50" s="367" t="s">
        <v>894</v>
      </c>
      <c r="G50" s="354">
        <v>22</v>
      </c>
      <c r="H50" s="587">
        <v>2000000</v>
      </c>
      <c r="I50" s="600">
        <f t="shared" si="2"/>
        <v>154000</v>
      </c>
      <c r="J50" s="600">
        <f t="shared" si="3"/>
        <v>18480</v>
      </c>
      <c r="K50" s="604">
        <f t="shared" si="4"/>
        <v>63700</v>
      </c>
      <c r="L50" s="666">
        <f t="shared" si="5"/>
        <v>2236180</v>
      </c>
      <c r="M50" s="666"/>
      <c r="N50" s="683">
        <v>75000</v>
      </c>
      <c r="O50" s="688">
        <f t="shared" si="20"/>
        <v>68781</v>
      </c>
      <c r="P50" s="601">
        <f t="shared" si="7"/>
        <v>2379961</v>
      </c>
      <c r="Q50" s="669">
        <v>20000</v>
      </c>
      <c r="R50" s="669">
        <v>50000</v>
      </c>
      <c r="S50" s="600">
        <f t="shared" si="8"/>
        <v>178497.07499999998</v>
      </c>
      <c r="T50" s="600">
        <f t="shared" si="9"/>
        <v>59499.025000000001</v>
      </c>
      <c r="U50" s="600"/>
      <c r="V50" s="606">
        <f t="shared" si="10"/>
        <v>2617957.1</v>
      </c>
      <c r="W50" s="370">
        <f t="shared" si="11"/>
        <v>0.15</v>
      </c>
      <c r="X50" s="655">
        <f t="shared" si="12"/>
        <v>392693.565</v>
      </c>
      <c r="Y50" s="368">
        <f t="shared" si="13"/>
        <v>15000</v>
      </c>
      <c r="Z50" s="655">
        <f t="shared" si="18"/>
        <v>377693.565</v>
      </c>
      <c r="AA50" s="366">
        <f t="shared" si="14"/>
        <v>30</v>
      </c>
      <c r="AB50" s="655">
        <f t="shared" si="15"/>
        <v>12589.7855</v>
      </c>
      <c r="AC50" s="655">
        <f t="shared" si="16"/>
        <v>2225263.5350000001</v>
      </c>
      <c r="AD50" s="655">
        <f t="shared" si="17"/>
        <v>17252.444501569946</v>
      </c>
      <c r="AE50" s="655">
        <f t="shared" si="17"/>
        <v>20001.297734581345</v>
      </c>
      <c r="AF50" s="655">
        <f t="shared" si="17"/>
        <v>25837.196490950944</v>
      </c>
      <c r="AG50" s="655">
        <f t="shared" si="17"/>
        <v>44062.88506113505</v>
      </c>
      <c r="AR50" t="str">
        <f>VLOOKUP(E$6:E$287,'[7]Sales Report'!$B$7:$C$288,2,FALSE)</f>
        <v>SOLD</v>
      </c>
      <c r="AS50" s="355" t="s">
        <v>236</v>
      </c>
    </row>
    <row r="51" spans="1:45" ht="14.25" customHeight="1">
      <c r="A51" s="651">
        <v>7000</v>
      </c>
      <c r="B51" s="641" t="s">
        <v>920</v>
      </c>
      <c r="C51" s="391"/>
      <c r="D51" s="367"/>
      <c r="E51" s="367" t="s">
        <v>941</v>
      </c>
      <c r="F51" s="367" t="s">
        <v>894</v>
      </c>
      <c r="G51" s="354">
        <v>22</v>
      </c>
      <c r="H51" s="587">
        <v>2000000</v>
      </c>
      <c r="I51" s="600">
        <f t="shared" si="2"/>
        <v>154000</v>
      </c>
      <c r="J51" s="600">
        <f t="shared" si="3"/>
        <v>18480</v>
      </c>
      <c r="K51" s="604">
        <f t="shared" si="4"/>
        <v>63700</v>
      </c>
      <c r="L51" s="666">
        <f t="shared" si="5"/>
        <v>2236180</v>
      </c>
      <c r="M51" s="666"/>
      <c r="N51" s="683">
        <v>75000</v>
      </c>
      <c r="O51" s="688">
        <f t="shared" si="20"/>
        <v>68781</v>
      </c>
      <c r="P51" s="601">
        <f t="shared" si="7"/>
        <v>2379961</v>
      </c>
      <c r="Q51" s="669">
        <v>20000</v>
      </c>
      <c r="R51" s="669">
        <v>50000</v>
      </c>
      <c r="S51" s="600">
        <f t="shared" si="8"/>
        <v>178497.07499999998</v>
      </c>
      <c r="T51" s="600">
        <f t="shared" si="9"/>
        <v>59499.025000000001</v>
      </c>
      <c r="U51" s="600"/>
      <c r="V51" s="606">
        <f t="shared" si="10"/>
        <v>2617957.1</v>
      </c>
      <c r="W51" s="370">
        <f t="shared" si="11"/>
        <v>0.15</v>
      </c>
      <c r="X51" s="655">
        <f t="shared" si="12"/>
        <v>392693.565</v>
      </c>
      <c r="Y51" s="368">
        <f t="shared" si="13"/>
        <v>15000</v>
      </c>
      <c r="Z51" s="655">
        <f t="shared" si="18"/>
        <v>377693.565</v>
      </c>
      <c r="AA51" s="366">
        <f t="shared" si="14"/>
        <v>30</v>
      </c>
      <c r="AB51" s="655">
        <f t="shared" si="15"/>
        <v>12589.7855</v>
      </c>
      <c r="AC51" s="655">
        <f t="shared" si="16"/>
        <v>2225263.5350000001</v>
      </c>
      <c r="AD51" s="655">
        <f t="shared" si="17"/>
        <v>17252.444501569946</v>
      </c>
      <c r="AE51" s="655">
        <f t="shared" si="17"/>
        <v>20001.297734581345</v>
      </c>
      <c r="AF51" s="655">
        <f t="shared" si="17"/>
        <v>25837.196490950944</v>
      </c>
      <c r="AG51" s="655">
        <f t="shared" si="17"/>
        <v>44062.88506113505</v>
      </c>
      <c r="AR51" t="str">
        <f>VLOOKUP(E$6:E$287,'[7]Sales Report'!$B$7:$C$288,2,FALSE)</f>
        <v>SOLD</v>
      </c>
      <c r="AS51" s="355" t="s">
        <v>236</v>
      </c>
    </row>
    <row r="52" spans="1:45" ht="14.25" customHeight="1">
      <c r="A52" s="651">
        <v>7000</v>
      </c>
      <c r="B52" s="641" t="s">
        <v>920</v>
      </c>
      <c r="C52" s="391"/>
      <c r="D52" s="367"/>
      <c r="E52" s="367" t="s">
        <v>942</v>
      </c>
      <c r="F52" s="367" t="s">
        <v>894</v>
      </c>
      <c r="G52" s="354">
        <v>22</v>
      </c>
      <c r="H52" s="587">
        <v>2000000</v>
      </c>
      <c r="I52" s="600">
        <f t="shared" si="2"/>
        <v>154000</v>
      </c>
      <c r="J52" s="600">
        <f t="shared" si="3"/>
        <v>18480</v>
      </c>
      <c r="K52" s="604">
        <f t="shared" si="4"/>
        <v>63700</v>
      </c>
      <c r="L52" s="666">
        <f t="shared" si="5"/>
        <v>2236180</v>
      </c>
      <c r="M52" s="666"/>
      <c r="N52" s="683">
        <v>75000</v>
      </c>
      <c r="O52" s="688">
        <f t="shared" si="20"/>
        <v>68781</v>
      </c>
      <c r="P52" s="601">
        <f t="shared" si="7"/>
        <v>2379961</v>
      </c>
      <c r="Q52" s="669">
        <v>20000</v>
      </c>
      <c r="R52" s="669">
        <v>50000</v>
      </c>
      <c r="S52" s="600">
        <f t="shared" si="8"/>
        <v>178497.07499999998</v>
      </c>
      <c r="T52" s="600">
        <f t="shared" si="9"/>
        <v>59499.025000000001</v>
      </c>
      <c r="U52" s="600"/>
      <c r="V52" s="606">
        <f t="shared" si="10"/>
        <v>2617957.1</v>
      </c>
      <c r="W52" s="370">
        <f t="shared" si="11"/>
        <v>0.15</v>
      </c>
      <c r="X52" s="655">
        <f t="shared" si="12"/>
        <v>392693.565</v>
      </c>
      <c r="Y52" s="368">
        <f t="shared" si="13"/>
        <v>15000</v>
      </c>
      <c r="Z52" s="655">
        <f t="shared" si="18"/>
        <v>377693.565</v>
      </c>
      <c r="AA52" s="366">
        <f t="shared" si="14"/>
        <v>30</v>
      </c>
      <c r="AB52" s="655">
        <f t="shared" si="15"/>
        <v>12589.7855</v>
      </c>
      <c r="AC52" s="655">
        <f t="shared" si="16"/>
        <v>2225263.5350000001</v>
      </c>
      <c r="AD52" s="655">
        <f t="shared" si="17"/>
        <v>17252.444501569946</v>
      </c>
      <c r="AE52" s="655">
        <f t="shared" si="17"/>
        <v>20001.297734581345</v>
      </c>
      <c r="AF52" s="655">
        <f t="shared" si="17"/>
        <v>25837.196490950944</v>
      </c>
      <c r="AG52" s="655">
        <f t="shared" si="17"/>
        <v>44062.88506113505</v>
      </c>
      <c r="AR52" t="str">
        <f>VLOOKUP(E$6:E$287,'[7]Sales Report'!$B$7:$C$288,2,FALSE)</f>
        <v>SOLD</v>
      </c>
      <c r="AS52" s="355" t="s">
        <v>236</v>
      </c>
    </row>
    <row r="53" spans="1:45" ht="14.25" customHeight="1">
      <c r="A53" s="651">
        <v>7000</v>
      </c>
      <c r="B53" s="641" t="s">
        <v>920</v>
      </c>
      <c r="C53" s="391"/>
      <c r="D53" s="367"/>
      <c r="E53" s="367" t="s">
        <v>943</v>
      </c>
      <c r="F53" s="367" t="s">
        <v>894</v>
      </c>
      <c r="G53" s="354">
        <v>22</v>
      </c>
      <c r="H53" s="587">
        <v>2000000</v>
      </c>
      <c r="I53" s="600">
        <f t="shared" si="2"/>
        <v>154000</v>
      </c>
      <c r="J53" s="600">
        <f t="shared" si="3"/>
        <v>18480</v>
      </c>
      <c r="K53" s="604">
        <f t="shared" si="4"/>
        <v>63700</v>
      </c>
      <c r="L53" s="666">
        <f t="shared" si="5"/>
        <v>2236180</v>
      </c>
      <c r="M53" s="666"/>
      <c r="N53" s="683">
        <v>75000</v>
      </c>
      <c r="O53" s="688">
        <f t="shared" si="20"/>
        <v>68781</v>
      </c>
      <c r="P53" s="601">
        <f t="shared" si="7"/>
        <v>2379961</v>
      </c>
      <c r="Q53" s="669">
        <v>20000</v>
      </c>
      <c r="R53" s="669">
        <v>50000</v>
      </c>
      <c r="S53" s="600">
        <f t="shared" si="8"/>
        <v>178497.07499999998</v>
      </c>
      <c r="T53" s="600">
        <f t="shared" si="9"/>
        <v>59499.025000000001</v>
      </c>
      <c r="U53" s="600"/>
      <c r="V53" s="606">
        <f t="shared" si="10"/>
        <v>2617957.1</v>
      </c>
      <c r="W53" s="370">
        <f t="shared" si="11"/>
        <v>0.15</v>
      </c>
      <c r="X53" s="655">
        <f t="shared" si="12"/>
        <v>392693.565</v>
      </c>
      <c r="Y53" s="368">
        <f t="shared" si="13"/>
        <v>15000</v>
      </c>
      <c r="Z53" s="655">
        <f t="shared" si="18"/>
        <v>377693.565</v>
      </c>
      <c r="AA53" s="366">
        <f t="shared" si="14"/>
        <v>30</v>
      </c>
      <c r="AB53" s="655">
        <f t="shared" si="15"/>
        <v>12589.7855</v>
      </c>
      <c r="AC53" s="655">
        <f t="shared" si="16"/>
        <v>2225263.5350000001</v>
      </c>
      <c r="AD53" s="655">
        <f t="shared" si="17"/>
        <v>17252.444501569946</v>
      </c>
      <c r="AE53" s="655">
        <f t="shared" si="17"/>
        <v>20001.297734581345</v>
      </c>
      <c r="AF53" s="655">
        <f t="shared" si="17"/>
        <v>25837.196490950944</v>
      </c>
      <c r="AG53" s="655">
        <f t="shared" si="17"/>
        <v>44062.88506113505</v>
      </c>
      <c r="AR53" t="str">
        <f>VLOOKUP(E$6:E$287,'[7]Sales Report'!$B$7:$C$288,2,FALSE)</f>
        <v>SOLD</v>
      </c>
      <c r="AS53" s="355" t="s">
        <v>236</v>
      </c>
    </row>
    <row r="54" spans="1:45" ht="14.25" customHeight="1">
      <c r="A54" s="651">
        <v>7000</v>
      </c>
      <c r="B54" s="641" t="s">
        <v>920</v>
      </c>
      <c r="C54" s="391"/>
      <c r="D54" s="367"/>
      <c r="E54" s="367" t="s">
        <v>944</v>
      </c>
      <c r="F54" s="367" t="s">
        <v>894</v>
      </c>
      <c r="G54" s="354">
        <v>22</v>
      </c>
      <c r="H54" s="587">
        <v>2000000</v>
      </c>
      <c r="I54" s="600">
        <f t="shared" si="2"/>
        <v>154000</v>
      </c>
      <c r="J54" s="600">
        <f t="shared" si="3"/>
        <v>18480</v>
      </c>
      <c r="K54" s="604">
        <f t="shared" si="4"/>
        <v>63700</v>
      </c>
      <c r="L54" s="666">
        <f t="shared" si="5"/>
        <v>2236180</v>
      </c>
      <c r="M54" s="666"/>
      <c r="N54" s="683">
        <v>75000</v>
      </c>
      <c r="O54" s="688">
        <f t="shared" si="20"/>
        <v>68781</v>
      </c>
      <c r="P54" s="601">
        <f t="shared" si="7"/>
        <v>2379961</v>
      </c>
      <c r="Q54" s="669">
        <v>20000</v>
      </c>
      <c r="R54" s="669">
        <v>50000</v>
      </c>
      <c r="S54" s="600">
        <f t="shared" si="8"/>
        <v>178497.07499999998</v>
      </c>
      <c r="T54" s="600">
        <f t="shared" si="9"/>
        <v>59499.025000000001</v>
      </c>
      <c r="U54" s="600"/>
      <c r="V54" s="606">
        <f t="shared" si="10"/>
        <v>2617957.1</v>
      </c>
      <c r="W54" s="370">
        <f t="shared" si="11"/>
        <v>0.15</v>
      </c>
      <c r="X54" s="655">
        <f t="shared" si="12"/>
        <v>392693.565</v>
      </c>
      <c r="Y54" s="368">
        <f t="shared" si="13"/>
        <v>15000</v>
      </c>
      <c r="Z54" s="655">
        <f t="shared" si="18"/>
        <v>377693.565</v>
      </c>
      <c r="AA54" s="366">
        <f t="shared" si="14"/>
        <v>30</v>
      </c>
      <c r="AB54" s="655">
        <f t="shared" si="15"/>
        <v>12589.7855</v>
      </c>
      <c r="AC54" s="655">
        <f t="shared" si="16"/>
        <v>2225263.5350000001</v>
      </c>
      <c r="AD54" s="655">
        <f t="shared" si="17"/>
        <v>17252.444501569946</v>
      </c>
      <c r="AE54" s="655">
        <f t="shared" si="17"/>
        <v>20001.297734581345</v>
      </c>
      <c r="AF54" s="655">
        <f t="shared" si="17"/>
        <v>25837.196490950944</v>
      </c>
      <c r="AG54" s="655">
        <f t="shared" si="17"/>
        <v>44062.88506113505</v>
      </c>
      <c r="AR54" t="str">
        <f>VLOOKUP(E$6:E$287,'[7]Sales Report'!$B$7:$C$288,2,FALSE)</f>
        <v>SOLD</v>
      </c>
      <c r="AS54" s="355" t="s">
        <v>236</v>
      </c>
    </row>
    <row r="55" spans="1:45" ht="14.25" customHeight="1">
      <c r="A55" s="651">
        <v>7000</v>
      </c>
      <c r="B55" s="641" t="s">
        <v>920</v>
      </c>
      <c r="C55" s="391"/>
      <c r="D55" s="367"/>
      <c r="E55" s="367" t="s">
        <v>945</v>
      </c>
      <c r="F55" s="367" t="s">
        <v>894</v>
      </c>
      <c r="G55" s="354">
        <v>22</v>
      </c>
      <c r="H55" s="587">
        <v>2000000</v>
      </c>
      <c r="I55" s="600">
        <f t="shared" si="2"/>
        <v>154000</v>
      </c>
      <c r="J55" s="600">
        <f t="shared" si="3"/>
        <v>18480</v>
      </c>
      <c r="K55" s="604">
        <f t="shared" si="4"/>
        <v>63700</v>
      </c>
      <c r="L55" s="666">
        <f t="shared" si="5"/>
        <v>2236180</v>
      </c>
      <c r="M55" s="666"/>
      <c r="N55" s="683">
        <v>75000</v>
      </c>
      <c r="O55" s="688">
        <f t="shared" si="20"/>
        <v>68781</v>
      </c>
      <c r="P55" s="601">
        <f t="shared" si="7"/>
        <v>2379961</v>
      </c>
      <c r="Q55" s="669">
        <v>20000</v>
      </c>
      <c r="R55" s="669">
        <v>50000</v>
      </c>
      <c r="S55" s="600">
        <f t="shared" si="8"/>
        <v>178497.07499999998</v>
      </c>
      <c r="T55" s="600">
        <f t="shared" si="9"/>
        <v>59499.025000000001</v>
      </c>
      <c r="U55" s="600"/>
      <c r="V55" s="606">
        <f t="shared" si="10"/>
        <v>2617957.1</v>
      </c>
      <c r="W55" s="370">
        <f t="shared" si="11"/>
        <v>0.15</v>
      </c>
      <c r="X55" s="655">
        <f t="shared" si="12"/>
        <v>392693.565</v>
      </c>
      <c r="Y55" s="368">
        <f t="shared" si="13"/>
        <v>15000</v>
      </c>
      <c r="Z55" s="655">
        <f t="shared" si="18"/>
        <v>377693.565</v>
      </c>
      <c r="AA55" s="366">
        <f t="shared" si="14"/>
        <v>30</v>
      </c>
      <c r="AB55" s="655">
        <f t="shared" si="15"/>
        <v>12589.7855</v>
      </c>
      <c r="AC55" s="655">
        <f t="shared" si="16"/>
        <v>2225263.5350000001</v>
      </c>
      <c r="AD55" s="655">
        <f t="shared" si="17"/>
        <v>17252.444501569946</v>
      </c>
      <c r="AE55" s="655">
        <f t="shared" si="17"/>
        <v>20001.297734581345</v>
      </c>
      <c r="AF55" s="655">
        <f t="shared" si="17"/>
        <v>25837.196490950944</v>
      </c>
      <c r="AG55" s="655">
        <f t="shared" si="17"/>
        <v>44062.88506113505</v>
      </c>
      <c r="AR55" t="str">
        <f>VLOOKUP(E$6:E$287,'[7]Sales Report'!$B$7:$C$288,2,FALSE)</f>
        <v>SOLD</v>
      </c>
      <c r="AS55" s="355" t="s">
        <v>236</v>
      </c>
    </row>
    <row r="56" spans="1:45" ht="14.25" customHeight="1">
      <c r="A56" s="651">
        <v>5000</v>
      </c>
      <c r="B56" s="641" t="s">
        <v>920</v>
      </c>
      <c r="C56" s="391"/>
      <c r="D56" s="367"/>
      <c r="E56" s="367" t="s">
        <v>946</v>
      </c>
      <c r="F56" s="367" t="s">
        <v>894</v>
      </c>
      <c r="G56" s="354">
        <v>22</v>
      </c>
      <c r="H56" s="587">
        <v>2000000</v>
      </c>
      <c r="I56" s="600">
        <f t="shared" si="2"/>
        <v>110000</v>
      </c>
      <c r="J56" s="600">
        <f t="shared" si="3"/>
        <v>13200</v>
      </c>
      <c r="K56" s="604">
        <f t="shared" si="4"/>
        <v>63700</v>
      </c>
      <c r="L56" s="666">
        <f t="shared" si="5"/>
        <v>2186900</v>
      </c>
      <c r="M56" s="666"/>
      <c r="N56" s="683">
        <v>75000</v>
      </c>
      <c r="O56" s="688">
        <f t="shared" si="20"/>
        <v>67461</v>
      </c>
      <c r="P56" s="601">
        <f t="shared" si="7"/>
        <v>2329361</v>
      </c>
      <c r="Q56" s="669">
        <v>20000</v>
      </c>
      <c r="R56" s="669">
        <v>50000</v>
      </c>
      <c r="S56" s="600">
        <f t="shared" si="8"/>
        <v>174702.07499999998</v>
      </c>
      <c r="T56" s="600">
        <f t="shared" si="9"/>
        <v>58234.025000000001</v>
      </c>
      <c r="U56" s="600"/>
      <c r="V56" s="606">
        <f t="shared" si="10"/>
        <v>2562297.1</v>
      </c>
      <c r="W56" s="370">
        <f t="shared" si="11"/>
        <v>0.15</v>
      </c>
      <c r="X56" s="655">
        <f t="shared" si="12"/>
        <v>384344.565</v>
      </c>
      <c r="Y56" s="368">
        <f t="shared" si="13"/>
        <v>15000</v>
      </c>
      <c r="Z56" s="655">
        <f t="shared" si="18"/>
        <v>369344.565</v>
      </c>
      <c r="AA56" s="366">
        <f t="shared" si="14"/>
        <v>30</v>
      </c>
      <c r="AB56" s="655">
        <f t="shared" si="15"/>
        <v>12311.485500000001</v>
      </c>
      <c r="AC56" s="655">
        <f t="shared" si="16"/>
        <v>2177952.5350000001</v>
      </c>
      <c r="AD56" s="655">
        <f t="shared" si="17"/>
        <v>16885.6428221393</v>
      </c>
      <c r="AE56" s="655">
        <f t="shared" si="17"/>
        <v>19576.053091761645</v>
      </c>
      <c r="AF56" s="655">
        <f t="shared" si="17"/>
        <v>25287.875664919713</v>
      </c>
      <c r="AG56" s="655">
        <f t="shared" si="17"/>
        <v>43126.07055699257</v>
      </c>
      <c r="AR56" t="str">
        <f>VLOOKUP(E$6:E$287,'[7]Sales Report'!$B$7:$C$288,2,FALSE)</f>
        <v>SOLD</v>
      </c>
      <c r="AS56" s="355" t="s">
        <v>236</v>
      </c>
    </row>
    <row r="57" spans="1:45" ht="14.25" customHeight="1">
      <c r="A57" s="651">
        <v>5000</v>
      </c>
      <c r="B57" s="641" t="s">
        <v>920</v>
      </c>
      <c r="C57" s="391"/>
      <c r="D57" s="367"/>
      <c r="E57" s="367" t="s">
        <v>947</v>
      </c>
      <c r="F57" s="367" t="s">
        <v>894</v>
      </c>
      <c r="G57" s="354">
        <v>22</v>
      </c>
      <c r="H57" s="587">
        <v>2000000</v>
      </c>
      <c r="I57" s="600">
        <f t="shared" si="2"/>
        <v>110000</v>
      </c>
      <c r="J57" s="600">
        <f t="shared" si="3"/>
        <v>13200</v>
      </c>
      <c r="K57" s="604">
        <f t="shared" si="4"/>
        <v>63700</v>
      </c>
      <c r="L57" s="666">
        <f t="shared" si="5"/>
        <v>2186900</v>
      </c>
      <c r="M57" s="666"/>
      <c r="N57" s="683">
        <v>75000</v>
      </c>
      <c r="O57" s="688">
        <f t="shared" si="20"/>
        <v>67461</v>
      </c>
      <c r="P57" s="601">
        <f t="shared" si="7"/>
        <v>2329361</v>
      </c>
      <c r="Q57" s="669">
        <v>20000</v>
      </c>
      <c r="R57" s="669">
        <v>50000</v>
      </c>
      <c r="S57" s="600">
        <f t="shared" si="8"/>
        <v>174702.07499999998</v>
      </c>
      <c r="T57" s="600">
        <f t="shared" si="9"/>
        <v>58234.025000000001</v>
      </c>
      <c r="U57" s="600"/>
      <c r="V57" s="606">
        <f t="shared" si="10"/>
        <v>2562297.1</v>
      </c>
      <c r="W57" s="370">
        <f t="shared" si="11"/>
        <v>0.15</v>
      </c>
      <c r="X57" s="655">
        <f t="shared" si="12"/>
        <v>384344.565</v>
      </c>
      <c r="Y57" s="368">
        <f t="shared" si="13"/>
        <v>15000</v>
      </c>
      <c r="Z57" s="655">
        <f t="shared" si="18"/>
        <v>369344.565</v>
      </c>
      <c r="AA57" s="366">
        <f t="shared" si="14"/>
        <v>30</v>
      </c>
      <c r="AB57" s="655">
        <f t="shared" si="15"/>
        <v>12311.485500000001</v>
      </c>
      <c r="AC57" s="655">
        <f t="shared" si="16"/>
        <v>2177952.5350000001</v>
      </c>
      <c r="AD57" s="655">
        <f t="shared" si="17"/>
        <v>16885.6428221393</v>
      </c>
      <c r="AE57" s="655">
        <f t="shared" si="17"/>
        <v>19576.053091761645</v>
      </c>
      <c r="AF57" s="655">
        <f t="shared" si="17"/>
        <v>25287.875664919713</v>
      </c>
      <c r="AG57" s="655">
        <f t="shared" si="17"/>
        <v>43126.07055699257</v>
      </c>
      <c r="AR57" t="str">
        <f>VLOOKUP(E$6:E$287,'[7]Sales Report'!$B$7:$C$288,2,FALSE)</f>
        <v>SOLD</v>
      </c>
      <c r="AS57" s="355" t="s">
        <v>236</v>
      </c>
    </row>
    <row r="58" spans="1:45" ht="14.25" customHeight="1">
      <c r="A58" s="651">
        <v>5000</v>
      </c>
      <c r="B58" s="643" t="s">
        <v>920</v>
      </c>
      <c r="C58" s="391"/>
      <c r="D58" s="367"/>
      <c r="E58" s="367" t="s">
        <v>948</v>
      </c>
      <c r="F58" s="367" t="s">
        <v>894</v>
      </c>
      <c r="G58" s="354">
        <v>22</v>
      </c>
      <c r="H58" s="587">
        <v>2000000</v>
      </c>
      <c r="I58" s="600">
        <f t="shared" si="2"/>
        <v>110000</v>
      </c>
      <c r="J58" s="600">
        <f t="shared" si="3"/>
        <v>13200</v>
      </c>
      <c r="K58" s="604">
        <f t="shared" si="4"/>
        <v>63700</v>
      </c>
      <c r="L58" s="666">
        <f t="shared" si="5"/>
        <v>2186900</v>
      </c>
      <c r="M58" s="666"/>
      <c r="N58" s="683">
        <v>75000</v>
      </c>
      <c r="O58" s="688">
        <f t="shared" si="20"/>
        <v>67461</v>
      </c>
      <c r="P58" s="601">
        <f t="shared" si="7"/>
        <v>2329361</v>
      </c>
      <c r="Q58" s="669">
        <v>20000</v>
      </c>
      <c r="R58" s="669">
        <v>50000</v>
      </c>
      <c r="S58" s="600">
        <f t="shared" si="8"/>
        <v>174702.07499999998</v>
      </c>
      <c r="T58" s="600">
        <f t="shared" si="9"/>
        <v>58234.025000000001</v>
      </c>
      <c r="U58" s="600"/>
      <c r="V58" s="606">
        <f t="shared" si="10"/>
        <v>2562297.1</v>
      </c>
      <c r="W58" s="370">
        <f t="shared" si="11"/>
        <v>0.15</v>
      </c>
      <c r="X58" s="655">
        <f t="shared" si="12"/>
        <v>384344.565</v>
      </c>
      <c r="Y58" s="368">
        <f t="shared" si="13"/>
        <v>15000</v>
      </c>
      <c r="Z58" s="655">
        <f t="shared" si="18"/>
        <v>369344.565</v>
      </c>
      <c r="AA58" s="366">
        <f t="shared" si="14"/>
        <v>30</v>
      </c>
      <c r="AB58" s="655">
        <f t="shared" si="15"/>
        <v>12311.485500000001</v>
      </c>
      <c r="AC58" s="655">
        <f t="shared" si="16"/>
        <v>2177952.5350000001</v>
      </c>
      <c r="AD58" s="655">
        <f t="shared" si="17"/>
        <v>16885.6428221393</v>
      </c>
      <c r="AE58" s="655">
        <f t="shared" si="17"/>
        <v>19576.053091761645</v>
      </c>
      <c r="AF58" s="655">
        <f t="shared" si="17"/>
        <v>25287.875664919713</v>
      </c>
      <c r="AG58" s="655">
        <f t="shared" si="17"/>
        <v>43126.07055699257</v>
      </c>
      <c r="AR58" t="str">
        <f>VLOOKUP(E$6:E$287,'[7]Sales Report'!$B$7:$C$288,2,FALSE)</f>
        <v>SOLD</v>
      </c>
      <c r="AS58" s="355" t="s">
        <v>236</v>
      </c>
    </row>
    <row r="59" spans="1:45" ht="14.25" customHeight="1">
      <c r="A59" s="651">
        <v>5000</v>
      </c>
      <c r="B59" s="641" t="s">
        <v>920</v>
      </c>
      <c r="C59" s="391"/>
      <c r="D59" s="367"/>
      <c r="E59" s="367" t="s">
        <v>949</v>
      </c>
      <c r="F59" s="367" t="s">
        <v>894</v>
      </c>
      <c r="G59" s="354">
        <v>22</v>
      </c>
      <c r="H59" s="587">
        <v>2000000</v>
      </c>
      <c r="I59" s="600">
        <f t="shared" si="2"/>
        <v>110000</v>
      </c>
      <c r="J59" s="600">
        <f t="shared" si="3"/>
        <v>13200</v>
      </c>
      <c r="K59" s="604">
        <f t="shared" si="4"/>
        <v>63700</v>
      </c>
      <c r="L59" s="666">
        <f t="shared" si="5"/>
        <v>2186900</v>
      </c>
      <c r="M59" s="666"/>
      <c r="N59" s="683">
        <v>75000</v>
      </c>
      <c r="O59" s="688">
        <f t="shared" si="20"/>
        <v>67461</v>
      </c>
      <c r="P59" s="601">
        <f t="shared" si="7"/>
        <v>2329361</v>
      </c>
      <c r="Q59" s="669">
        <v>20000</v>
      </c>
      <c r="R59" s="669">
        <v>50000</v>
      </c>
      <c r="S59" s="600">
        <f t="shared" si="8"/>
        <v>174702.07499999998</v>
      </c>
      <c r="T59" s="600">
        <f t="shared" si="9"/>
        <v>58234.025000000001</v>
      </c>
      <c r="U59" s="600"/>
      <c r="V59" s="606">
        <f t="shared" si="10"/>
        <v>2562297.1</v>
      </c>
      <c r="W59" s="370">
        <f t="shared" si="11"/>
        <v>0.15</v>
      </c>
      <c r="X59" s="655">
        <f t="shared" si="12"/>
        <v>384344.565</v>
      </c>
      <c r="Y59" s="368">
        <f t="shared" si="13"/>
        <v>15000</v>
      </c>
      <c r="Z59" s="655">
        <f t="shared" si="18"/>
        <v>369344.565</v>
      </c>
      <c r="AA59" s="366">
        <f t="shared" si="14"/>
        <v>30</v>
      </c>
      <c r="AB59" s="655">
        <f t="shared" si="15"/>
        <v>12311.485500000001</v>
      </c>
      <c r="AC59" s="655">
        <f t="shared" si="16"/>
        <v>2177952.5350000001</v>
      </c>
      <c r="AD59" s="655">
        <f t="shared" si="17"/>
        <v>16885.6428221393</v>
      </c>
      <c r="AE59" s="655">
        <f t="shared" si="17"/>
        <v>19576.053091761645</v>
      </c>
      <c r="AF59" s="655">
        <f t="shared" si="17"/>
        <v>25287.875664919713</v>
      </c>
      <c r="AG59" s="655">
        <f t="shared" si="17"/>
        <v>43126.07055699257</v>
      </c>
      <c r="AR59" t="str">
        <f>VLOOKUP(E$6:E$287,'[7]Sales Report'!$B$7:$C$288,2,FALSE)</f>
        <v>SOLD</v>
      </c>
      <c r="AS59" s="355" t="s">
        <v>236</v>
      </c>
    </row>
    <row r="60" spans="1:45" ht="14.25" customHeight="1">
      <c r="A60" s="651">
        <v>5000</v>
      </c>
      <c r="B60" s="641" t="s">
        <v>920</v>
      </c>
      <c r="C60" s="392"/>
      <c r="D60" s="418"/>
      <c r="E60" s="414" t="s">
        <v>950</v>
      </c>
      <c r="F60" s="367" t="s">
        <v>894</v>
      </c>
      <c r="G60" s="375">
        <v>22</v>
      </c>
      <c r="H60" s="587">
        <v>2000000</v>
      </c>
      <c r="I60" s="600">
        <f t="shared" si="2"/>
        <v>110000</v>
      </c>
      <c r="J60" s="600">
        <f t="shared" si="3"/>
        <v>13200</v>
      </c>
      <c r="K60" s="604">
        <f t="shared" si="4"/>
        <v>63700</v>
      </c>
      <c r="L60" s="666">
        <f t="shared" si="5"/>
        <v>2186900</v>
      </c>
      <c r="M60" s="666"/>
      <c r="N60" s="683">
        <v>75000</v>
      </c>
      <c r="O60" s="688">
        <f t="shared" si="20"/>
        <v>67461</v>
      </c>
      <c r="P60" s="601">
        <f t="shared" si="7"/>
        <v>2329361</v>
      </c>
      <c r="Q60" s="669">
        <v>20000</v>
      </c>
      <c r="R60" s="669">
        <v>50000</v>
      </c>
      <c r="S60" s="600">
        <f t="shared" si="8"/>
        <v>174702.07499999998</v>
      </c>
      <c r="T60" s="600">
        <f t="shared" si="9"/>
        <v>58234.025000000001</v>
      </c>
      <c r="U60" s="600"/>
      <c r="V60" s="606">
        <f t="shared" si="10"/>
        <v>2562297.1</v>
      </c>
      <c r="W60" s="370">
        <f t="shared" si="11"/>
        <v>0.15</v>
      </c>
      <c r="X60" s="655">
        <f t="shared" si="12"/>
        <v>384344.565</v>
      </c>
      <c r="Y60" s="368">
        <f t="shared" si="13"/>
        <v>15000</v>
      </c>
      <c r="Z60" s="655">
        <f t="shared" si="18"/>
        <v>369344.565</v>
      </c>
      <c r="AA60" s="366">
        <f t="shared" si="14"/>
        <v>30</v>
      </c>
      <c r="AB60" s="655">
        <f t="shared" si="15"/>
        <v>12311.485500000001</v>
      </c>
      <c r="AC60" s="655">
        <f t="shared" si="16"/>
        <v>2177952.5350000001</v>
      </c>
      <c r="AD60" s="655">
        <f t="shared" si="17"/>
        <v>16885.6428221393</v>
      </c>
      <c r="AE60" s="655">
        <f t="shared" si="17"/>
        <v>19576.053091761645</v>
      </c>
      <c r="AF60" s="655">
        <f t="shared" si="17"/>
        <v>25287.875664919713</v>
      </c>
      <c r="AG60" s="655">
        <f t="shared" si="17"/>
        <v>43126.07055699257</v>
      </c>
      <c r="AR60" t="str">
        <f>VLOOKUP(E$6:E$287,'[7]Sales Report'!$B$7:$C$288,2,FALSE)</f>
        <v>SOLD</v>
      </c>
      <c r="AS60" s="355" t="s">
        <v>236</v>
      </c>
    </row>
    <row r="61" spans="1:45" ht="14.25" customHeight="1">
      <c r="A61" s="651">
        <v>5000</v>
      </c>
      <c r="B61" s="638" t="s">
        <v>920</v>
      </c>
      <c r="C61" s="391"/>
      <c r="D61" s="387"/>
      <c r="E61" s="372" t="s">
        <v>951</v>
      </c>
      <c r="F61" s="367" t="s">
        <v>894</v>
      </c>
      <c r="G61" s="371">
        <v>22</v>
      </c>
      <c r="H61" s="587">
        <v>2000000</v>
      </c>
      <c r="I61" s="600">
        <f t="shared" si="2"/>
        <v>110000</v>
      </c>
      <c r="J61" s="600">
        <f t="shared" si="3"/>
        <v>13200</v>
      </c>
      <c r="K61" s="604">
        <f t="shared" si="4"/>
        <v>63700</v>
      </c>
      <c r="L61" s="666">
        <f t="shared" si="5"/>
        <v>2186900</v>
      </c>
      <c r="M61" s="666"/>
      <c r="N61" s="683">
        <v>75000</v>
      </c>
      <c r="O61" s="688">
        <f t="shared" si="20"/>
        <v>67461</v>
      </c>
      <c r="P61" s="601">
        <f t="shared" si="7"/>
        <v>2329361</v>
      </c>
      <c r="Q61" s="669">
        <v>20000</v>
      </c>
      <c r="R61" s="669">
        <v>50000</v>
      </c>
      <c r="S61" s="600">
        <f t="shared" si="8"/>
        <v>174702.07499999998</v>
      </c>
      <c r="T61" s="600">
        <f t="shared" si="9"/>
        <v>58234.025000000001</v>
      </c>
      <c r="U61" s="600"/>
      <c r="V61" s="606">
        <f t="shared" si="10"/>
        <v>2562297.1</v>
      </c>
      <c r="W61" s="370">
        <f t="shared" si="11"/>
        <v>0.15</v>
      </c>
      <c r="X61" s="655">
        <f t="shared" si="12"/>
        <v>384344.565</v>
      </c>
      <c r="Y61" s="368">
        <f t="shared" si="13"/>
        <v>15000</v>
      </c>
      <c r="Z61" s="655">
        <f t="shared" si="18"/>
        <v>369344.565</v>
      </c>
      <c r="AA61" s="366">
        <f t="shared" si="14"/>
        <v>30</v>
      </c>
      <c r="AB61" s="655">
        <f t="shared" si="15"/>
        <v>12311.485500000001</v>
      </c>
      <c r="AC61" s="655">
        <f t="shared" si="16"/>
        <v>2177952.5350000001</v>
      </c>
      <c r="AD61" s="655">
        <f t="shared" si="17"/>
        <v>16885.6428221393</v>
      </c>
      <c r="AE61" s="655">
        <f t="shared" si="17"/>
        <v>19576.053091761645</v>
      </c>
      <c r="AF61" s="655">
        <f t="shared" si="17"/>
        <v>25287.875664919713</v>
      </c>
      <c r="AG61" s="655">
        <f t="shared" si="17"/>
        <v>43126.07055699257</v>
      </c>
      <c r="AR61" t="str">
        <f>VLOOKUP(E$6:E$287,'[7]Sales Report'!$B$7:$C$288,2,FALSE)</f>
        <v>SOLD</v>
      </c>
      <c r="AS61" s="355" t="s">
        <v>236</v>
      </c>
    </row>
    <row r="62" spans="1:45" ht="14.25" customHeight="1">
      <c r="A62" s="651">
        <v>9000</v>
      </c>
      <c r="B62" s="639" t="s">
        <v>952</v>
      </c>
      <c r="C62" s="391"/>
      <c r="D62" s="386"/>
      <c r="E62" s="372" t="s">
        <v>228</v>
      </c>
      <c r="F62" s="367" t="s">
        <v>894</v>
      </c>
      <c r="G62" s="371">
        <v>22</v>
      </c>
      <c r="H62" s="587">
        <v>2000000</v>
      </c>
      <c r="I62" s="600">
        <f t="shared" si="2"/>
        <v>198000</v>
      </c>
      <c r="J62" s="600">
        <f t="shared" si="3"/>
        <v>23760</v>
      </c>
      <c r="K62" s="604">
        <f t="shared" si="4"/>
        <v>63700</v>
      </c>
      <c r="L62" s="666">
        <f t="shared" si="5"/>
        <v>2285460</v>
      </c>
      <c r="M62" s="666"/>
      <c r="N62" s="683">
        <v>75000</v>
      </c>
      <c r="O62" s="688">
        <f t="shared" si="20"/>
        <v>70101</v>
      </c>
      <c r="P62" s="601">
        <f t="shared" si="7"/>
        <v>2430561</v>
      </c>
      <c r="Q62" s="669">
        <v>20000</v>
      </c>
      <c r="R62" s="669">
        <v>50000</v>
      </c>
      <c r="S62" s="600">
        <f t="shared" si="8"/>
        <v>182292.07499999998</v>
      </c>
      <c r="T62" s="600">
        <f t="shared" si="9"/>
        <v>60764.025000000001</v>
      </c>
      <c r="U62" s="600"/>
      <c r="V62" s="606">
        <f t="shared" si="10"/>
        <v>2673617.1</v>
      </c>
      <c r="W62" s="370">
        <f t="shared" si="11"/>
        <v>0.15</v>
      </c>
      <c r="X62" s="655">
        <f t="shared" si="12"/>
        <v>401042.565</v>
      </c>
      <c r="Y62" s="368">
        <f t="shared" si="13"/>
        <v>15000</v>
      </c>
      <c r="Z62" s="655">
        <f t="shared" si="18"/>
        <v>386042.565</v>
      </c>
      <c r="AA62" s="366">
        <f t="shared" si="14"/>
        <v>30</v>
      </c>
      <c r="AB62" s="655">
        <f t="shared" si="15"/>
        <v>12868.085499999999</v>
      </c>
      <c r="AC62" s="655">
        <f t="shared" si="16"/>
        <v>2272574.5350000001</v>
      </c>
      <c r="AD62" s="655">
        <f t="shared" si="17"/>
        <v>17619.246181000592</v>
      </c>
      <c r="AE62" s="655">
        <f t="shared" si="17"/>
        <v>20426.542377401045</v>
      </c>
      <c r="AF62" s="655">
        <f t="shared" si="17"/>
        <v>26386.517316982176</v>
      </c>
      <c r="AG62" s="655">
        <f t="shared" si="17"/>
        <v>44999.699565277529</v>
      </c>
      <c r="AR62" t="str">
        <f>VLOOKUP(E$6:E$287,'[7]Sales Report'!$B$7:$C$288,2,FALSE)</f>
        <v>SOLD</v>
      </c>
      <c r="AS62" s="355" t="s">
        <v>236</v>
      </c>
    </row>
    <row r="63" spans="1:45" ht="14.25" customHeight="1">
      <c r="A63" s="651">
        <v>9000</v>
      </c>
      <c r="B63" s="639" t="s">
        <v>952</v>
      </c>
      <c r="C63" s="391"/>
      <c r="D63" s="386"/>
      <c r="E63" s="372" t="s">
        <v>237</v>
      </c>
      <c r="F63" s="367" t="s">
        <v>894</v>
      </c>
      <c r="G63" s="371">
        <v>22</v>
      </c>
      <c r="H63" s="587">
        <v>2000000</v>
      </c>
      <c r="I63" s="600">
        <f t="shared" si="2"/>
        <v>198000</v>
      </c>
      <c r="J63" s="600">
        <f t="shared" si="3"/>
        <v>23760</v>
      </c>
      <c r="K63" s="604">
        <f t="shared" si="4"/>
        <v>63700</v>
      </c>
      <c r="L63" s="666">
        <f t="shared" si="5"/>
        <v>2285460</v>
      </c>
      <c r="M63" s="666"/>
      <c r="N63" s="683">
        <v>75000</v>
      </c>
      <c r="O63" s="688">
        <f t="shared" si="20"/>
        <v>70101</v>
      </c>
      <c r="P63" s="601">
        <f t="shared" si="7"/>
        <v>2430561</v>
      </c>
      <c r="Q63" s="669">
        <v>20000</v>
      </c>
      <c r="R63" s="669">
        <v>50000</v>
      </c>
      <c r="S63" s="600">
        <f t="shared" si="8"/>
        <v>182292.07499999998</v>
      </c>
      <c r="T63" s="600">
        <f t="shared" si="9"/>
        <v>60764.025000000001</v>
      </c>
      <c r="U63" s="600"/>
      <c r="V63" s="606">
        <f t="shared" si="10"/>
        <v>2673617.1</v>
      </c>
      <c r="W63" s="370">
        <f t="shared" si="11"/>
        <v>0.15</v>
      </c>
      <c r="X63" s="655">
        <f t="shared" si="12"/>
        <v>401042.565</v>
      </c>
      <c r="Y63" s="368">
        <f t="shared" si="13"/>
        <v>15000</v>
      </c>
      <c r="Z63" s="655">
        <f t="shared" si="18"/>
        <v>386042.565</v>
      </c>
      <c r="AA63" s="366">
        <f t="shared" si="14"/>
        <v>30</v>
      </c>
      <c r="AB63" s="655">
        <f t="shared" si="15"/>
        <v>12868.085499999999</v>
      </c>
      <c r="AC63" s="655">
        <f t="shared" si="16"/>
        <v>2272574.5350000001</v>
      </c>
      <c r="AD63" s="655">
        <f t="shared" si="17"/>
        <v>17619.246181000592</v>
      </c>
      <c r="AE63" s="655">
        <f t="shared" si="17"/>
        <v>20426.542377401045</v>
      </c>
      <c r="AF63" s="655">
        <f t="shared" si="17"/>
        <v>26386.517316982176</v>
      </c>
      <c r="AG63" s="655">
        <f t="shared" si="17"/>
        <v>44999.699565277529</v>
      </c>
      <c r="AR63" t="str">
        <f>VLOOKUP(E$6:E$287,'[7]Sales Report'!$B$7:$C$288,2,FALSE)</f>
        <v>SOLD</v>
      </c>
      <c r="AS63" s="355" t="s">
        <v>236</v>
      </c>
    </row>
    <row r="64" spans="1:45" ht="14.25" customHeight="1">
      <c r="A64" s="651">
        <v>9000</v>
      </c>
      <c r="B64" s="639" t="s">
        <v>952</v>
      </c>
      <c r="C64" s="391"/>
      <c r="D64" s="386"/>
      <c r="E64" s="372" t="s">
        <v>244</v>
      </c>
      <c r="F64" s="367" t="s">
        <v>894</v>
      </c>
      <c r="G64" s="371">
        <v>22</v>
      </c>
      <c r="H64" s="587">
        <v>2000000</v>
      </c>
      <c r="I64" s="600">
        <f t="shared" si="2"/>
        <v>198000</v>
      </c>
      <c r="J64" s="600">
        <f t="shared" si="3"/>
        <v>23760</v>
      </c>
      <c r="K64" s="604">
        <f t="shared" si="4"/>
        <v>63700</v>
      </c>
      <c r="L64" s="666">
        <f t="shared" si="5"/>
        <v>2285460</v>
      </c>
      <c r="M64" s="666"/>
      <c r="N64" s="683">
        <v>75000</v>
      </c>
      <c r="O64" s="688">
        <f t="shared" si="20"/>
        <v>70101</v>
      </c>
      <c r="P64" s="601">
        <f t="shared" si="7"/>
        <v>2430561</v>
      </c>
      <c r="Q64" s="669">
        <v>20000</v>
      </c>
      <c r="R64" s="669">
        <v>50000</v>
      </c>
      <c r="S64" s="600">
        <f t="shared" si="8"/>
        <v>182292.07499999998</v>
      </c>
      <c r="T64" s="600">
        <f t="shared" si="9"/>
        <v>60764.025000000001</v>
      </c>
      <c r="U64" s="600"/>
      <c r="V64" s="606">
        <f t="shared" si="10"/>
        <v>2673617.1</v>
      </c>
      <c r="W64" s="370">
        <f t="shared" si="11"/>
        <v>0.15</v>
      </c>
      <c r="X64" s="655">
        <f t="shared" si="12"/>
        <v>401042.565</v>
      </c>
      <c r="Y64" s="368">
        <f t="shared" si="13"/>
        <v>15000</v>
      </c>
      <c r="Z64" s="655">
        <f t="shared" si="18"/>
        <v>386042.565</v>
      </c>
      <c r="AA64" s="366">
        <f t="shared" si="14"/>
        <v>30</v>
      </c>
      <c r="AB64" s="655">
        <f t="shared" si="15"/>
        <v>12868.085499999999</v>
      </c>
      <c r="AC64" s="655">
        <f t="shared" si="16"/>
        <v>2272574.5350000001</v>
      </c>
      <c r="AD64" s="655">
        <f t="shared" si="17"/>
        <v>17619.246181000592</v>
      </c>
      <c r="AE64" s="655">
        <f t="shared" si="17"/>
        <v>20426.542377401045</v>
      </c>
      <c r="AF64" s="655">
        <f t="shared" si="17"/>
        <v>26386.517316982176</v>
      </c>
      <c r="AG64" s="655">
        <f t="shared" si="17"/>
        <v>44999.699565277529</v>
      </c>
      <c r="AR64" t="str">
        <f>VLOOKUP(E$6:E$287,'[7]Sales Report'!$B$7:$C$288,2,FALSE)</f>
        <v>SOLD</v>
      </c>
      <c r="AS64" s="355" t="s">
        <v>236</v>
      </c>
    </row>
    <row r="65" spans="1:45" ht="14.25" customHeight="1">
      <c r="A65" s="651">
        <v>9000</v>
      </c>
      <c r="B65" s="639" t="s">
        <v>952</v>
      </c>
      <c r="C65" s="391"/>
      <c r="D65" s="386"/>
      <c r="E65" s="372" t="s">
        <v>249</v>
      </c>
      <c r="F65" s="367" t="s">
        <v>894</v>
      </c>
      <c r="G65" s="374">
        <v>22</v>
      </c>
      <c r="H65" s="587">
        <v>2000000</v>
      </c>
      <c r="I65" s="600">
        <f t="shared" si="2"/>
        <v>198000</v>
      </c>
      <c r="J65" s="600">
        <f t="shared" si="3"/>
        <v>23760</v>
      </c>
      <c r="K65" s="604">
        <f t="shared" si="4"/>
        <v>63700</v>
      </c>
      <c r="L65" s="666">
        <f t="shared" si="5"/>
        <v>2285460</v>
      </c>
      <c r="M65" s="666"/>
      <c r="N65" s="683">
        <v>75000</v>
      </c>
      <c r="O65" s="688">
        <f t="shared" si="20"/>
        <v>70101</v>
      </c>
      <c r="P65" s="601">
        <f t="shared" si="7"/>
        <v>2430561</v>
      </c>
      <c r="Q65" s="669">
        <v>20000</v>
      </c>
      <c r="R65" s="669">
        <v>50000</v>
      </c>
      <c r="S65" s="600">
        <f t="shared" si="8"/>
        <v>182292.07499999998</v>
      </c>
      <c r="T65" s="600">
        <f t="shared" si="9"/>
        <v>60764.025000000001</v>
      </c>
      <c r="U65" s="600"/>
      <c r="V65" s="606">
        <f t="shared" si="10"/>
        <v>2673617.1</v>
      </c>
      <c r="W65" s="370">
        <f t="shared" si="11"/>
        <v>0.15</v>
      </c>
      <c r="X65" s="655">
        <f t="shared" si="12"/>
        <v>401042.565</v>
      </c>
      <c r="Y65" s="368">
        <f t="shared" si="13"/>
        <v>15000</v>
      </c>
      <c r="Z65" s="655">
        <f t="shared" si="18"/>
        <v>386042.565</v>
      </c>
      <c r="AA65" s="366">
        <f t="shared" si="14"/>
        <v>30</v>
      </c>
      <c r="AB65" s="655">
        <f t="shared" si="15"/>
        <v>12868.085499999999</v>
      </c>
      <c r="AC65" s="655">
        <f t="shared" si="16"/>
        <v>2272574.5350000001</v>
      </c>
      <c r="AD65" s="655">
        <f t="shared" si="17"/>
        <v>17619.246181000592</v>
      </c>
      <c r="AE65" s="655">
        <f t="shared" si="17"/>
        <v>20426.542377401045</v>
      </c>
      <c r="AF65" s="655">
        <f t="shared" si="17"/>
        <v>26386.517316982176</v>
      </c>
      <c r="AG65" s="655">
        <f t="shared" si="17"/>
        <v>44999.699565277529</v>
      </c>
      <c r="AR65" t="str">
        <f>VLOOKUP(E$6:E$287,'[7]Sales Report'!$B$7:$C$288,2,FALSE)</f>
        <v>SOLD</v>
      </c>
      <c r="AS65" s="355" t="s">
        <v>236</v>
      </c>
    </row>
    <row r="66" spans="1:45" ht="14.25" customHeight="1">
      <c r="A66" s="651">
        <v>9000</v>
      </c>
      <c r="B66" s="639" t="s">
        <v>952</v>
      </c>
      <c r="C66" s="391"/>
      <c r="D66" s="386"/>
      <c r="E66" s="372" t="s">
        <v>254</v>
      </c>
      <c r="F66" s="367" t="s">
        <v>894</v>
      </c>
      <c r="G66" s="373">
        <v>22</v>
      </c>
      <c r="H66" s="587">
        <v>2000000</v>
      </c>
      <c r="I66" s="600">
        <f t="shared" si="2"/>
        <v>198000</v>
      </c>
      <c r="J66" s="600">
        <f t="shared" si="3"/>
        <v>23760</v>
      </c>
      <c r="K66" s="604">
        <f t="shared" si="4"/>
        <v>63700</v>
      </c>
      <c r="L66" s="666">
        <f t="shared" si="5"/>
        <v>2285460</v>
      </c>
      <c r="M66" s="666"/>
      <c r="N66" s="683">
        <v>75000</v>
      </c>
      <c r="O66" s="688">
        <f t="shared" si="20"/>
        <v>70101</v>
      </c>
      <c r="P66" s="601">
        <f t="shared" si="7"/>
        <v>2430561</v>
      </c>
      <c r="Q66" s="669">
        <v>20000</v>
      </c>
      <c r="R66" s="669">
        <v>50000</v>
      </c>
      <c r="S66" s="600">
        <f t="shared" si="8"/>
        <v>182292.07499999998</v>
      </c>
      <c r="T66" s="600">
        <f t="shared" si="9"/>
        <v>60764.025000000001</v>
      </c>
      <c r="U66" s="600"/>
      <c r="V66" s="606">
        <f t="shared" si="10"/>
        <v>2673617.1</v>
      </c>
      <c r="W66" s="370">
        <f t="shared" si="11"/>
        <v>0.15</v>
      </c>
      <c r="X66" s="655">
        <f t="shared" si="12"/>
        <v>401042.565</v>
      </c>
      <c r="Y66" s="368">
        <f t="shared" si="13"/>
        <v>15000</v>
      </c>
      <c r="Z66" s="655">
        <f t="shared" si="18"/>
        <v>386042.565</v>
      </c>
      <c r="AA66" s="366">
        <f t="shared" si="14"/>
        <v>30</v>
      </c>
      <c r="AB66" s="655">
        <f t="shared" si="15"/>
        <v>12868.085499999999</v>
      </c>
      <c r="AC66" s="655">
        <f t="shared" si="16"/>
        <v>2272574.5350000001</v>
      </c>
      <c r="AD66" s="655">
        <f t="shared" si="17"/>
        <v>17619.246181000592</v>
      </c>
      <c r="AE66" s="655">
        <f t="shared" si="17"/>
        <v>20426.542377401045</v>
      </c>
      <c r="AF66" s="655">
        <f t="shared" si="17"/>
        <v>26386.517316982176</v>
      </c>
      <c r="AG66" s="655">
        <f t="shared" si="17"/>
        <v>44999.699565277529</v>
      </c>
      <c r="AR66" t="str">
        <f>VLOOKUP(E$6:E$287,'[7]Sales Report'!$B$7:$C$288,2,FALSE)</f>
        <v>SOLD</v>
      </c>
      <c r="AS66" s="355" t="s">
        <v>236</v>
      </c>
    </row>
    <row r="67" spans="1:45" ht="14.25" customHeight="1">
      <c r="A67" s="651">
        <v>9000</v>
      </c>
      <c r="B67" s="639" t="s">
        <v>952</v>
      </c>
      <c r="C67" s="391"/>
      <c r="D67" s="386"/>
      <c r="E67" s="372" t="s">
        <v>261</v>
      </c>
      <c r="F67" s="367" t="s">
        <v>894</v>
      </c>
      <c r="G67" s="373">
        <v>22</v>
      </c>
      <c r="H67" s="587">
        <v>2000000</v>
      </c>
      <c r="I67" s="600">
        <f t="shared" si="2"/>
        <v>198000</v>
      </c>
      <c r="J67" s="600">
        <f t="shared" si="3"/>
        <v>23760</v>
      </c>
      <c r="K67" s="604">
        <f t="shared" si="4"/>
        <v>63700</v>
      </c>
      <c r="L67" s="666">
        <f t="shared" si="5"/>
        <v>2285460</v>
      </c>
      <c r="M67" s="666"/>
      <c r="N67" s="683">
        <v>75000</v>
      </c>
      <c r="O67" s="688">
        <f t="shared" si="20"/>
        <v>70101</v>
      </c>
      <c r="P67" s="601">
        <f t="shared" si="7"/>
        <v>2430561</v>
      </c>
      <c r="Q67" s="669">
        <v>20000</v>
      </c>
      <c r="R67" s="669">
        <v>50000</v>
      </c>
      <c r="S67" s="600">
        <f t="shared" si="8"/>
        <v>182292.07499999998</v>
      </c>
      <c r="T67" s="600">
        <f t="shared" si="9"/>
        <v>60764.025000000001</v>
      </c>
      <c r="U67" s="600"/>
      <c r="V67" s="606">
        <f t="shared" si="10"/>
        <v>2673617.1</v>
      </c>
      <c r="W67" s="370">
        <f t="shared" si="11"/>
        <v>0.15</v>
      </c>
      <c r="X67" s="655">
        <f t="shared" si="12"/>
        <v>401042.565</v>
      </c>
      <c r="Y67" s="368">
        <f t="shared" si="13"/>
        <v>15000</v>
      </c>
      <c r="Z67" s="655">
        <f t="shared" si="18"/>
        <v>386042.565</v>
      </c>
      <c r="AA67" s="366">
        <f t="shared" si="14"/>
        <v>30</v>
      </c>
      <c r="AB67" s="655">
        <f t="shared" si="15"/>
        <v>12868.085499999999</v>
      </c>
      <c r="AC67" s="655">
        <f t="shared" si="16"/>
        <v>2272574.5350000001</v>
      </c>
      <c r="AD67" s="655">
        <f t="shared" si="17"/>
        <v>17619.246181000592</v>
      </c>
      <c r="AE67" s="655">
        <f t="shared" si="17"/>
        <v>20426.542377401045</v>
      </c>
      <c r="AF67" s="655">
        <f t="shared" si="17"/>
        <v>26386.517316982176</v>
      </c>
      <c r="AG67" s="655">
        <f t="shared" si="17"/>
        <v>44999.699565277529</v>
      </c>
      <c r="AR67" t="str">
        <f>VLOOKUP(E$6:E$287,'[7]Sales Report'!$B$7:$C$288,2,FALSE)</f>
        <v>SOLD</v>
      </c>
      <c r="AS67" s="355" t="s">
        <v>236</v>
      </c>
    </row>
    <row r="68" spans="1:45" ht="14.25" customHeight="1">
      <c r="A68" s="651">
        <v>9000</v>
      </c>
      <c r="B68" s="639" t="s">
        <v>952</v>
      </c>
      <c r="C68" s="391"/>
      <c r="D68" s="386"/>
      <c r="E68" s="372" t="s">
        <v>266</v>
      </c>
      <c r="F68" s="367" t="s">
        <v>894</v>
      </c>
      <c r="G68" s="373">
        <v>22</v>
      </c>
      <c r="H68" s="587">
        <v>2000000</v>
      </c>
      <c r="I68" s="600">
        <f t="shared" si="2"/>
        <v>198000</v>
      </c>
      <c r="J68" s="600">
        <f t="shared" si="3"/>
        <v>23760</v>
      </c>
      <c r="K68" s="604">
        <f t="shared" si="4"/>
        <v>63700</v>
      </c>
      <c r="L68" s="666">
        <f t="shared" si="5"/>
        <v>2285460</v>
      </c>
      <c r="M68" s="666"/>
      <c r="N68" s="683">
        <v>75000</v>
      </c>
      <c r="O68" s="688">
        <f t="shared" si="20"/>
        <v>70101</v>
      </c>
      <c r="P68" s="601">
        <f t="shared" si="7"/>
        <v>2430561</v>
      </c>
      <c r="Q68" s="669">
        <v>20000</v>
      </c>
      <c r="R68" s="669">
        <v>50000</v>
      </c>
      <c r="S68" s="600">
        <f t="shared" si="8"/>
        <v>182292.07499999998</v>
      </c>
      <c r="T68" s="600">
        <f t="shared" si="9"/>
        <v>60764.025000000001</v>
      </c>
      <c r="U68" s="600"/>
      <c r="V68" s="606">
        <f t="shared" si="10"/>
        <v>2673617.1</v>
      </c>
      <c r="W68" s="370">
        <f t="shared" si="11"/>
        <v>0.15</v>
      </c>
      <c r="X68" s="655">
        <f t="shared" si="12"/>
        <v>401042.565</v>
      </c>
      <c r="Y68" s="368">
        <f t="shared" si="13"/>
        <v>15000</v>
      </c>
      <c r="Z68" s="655">
        <f t="shared" si="18"/>
        <v>386042.565</v>
      </c>
      <c r="AA68" s="366">
        <f t="shared" si="14"/>
        <v>30</v>
      </c>
      <c r="AB68" s="655">
        <f t="shared" si="15"/>
        <v>12868.085499999999</v>
      </c>
      <c r="AC68" s="655">
        <f t="shared" si="16"/>
        <v>2272574.5350000001</v>
      </c>
      <c r="AD68" s="655">
        <f t="shared" si="17"/>
        <v>17619.246181000592</v>
      </c>
      <c r="AE68" s="655">
        <f t="shared" si="17"/>
        <v>20426.542377401045</v>
      </c>
      <c r="AF68" s="655">
        <f t="shared" si="17"/>
        <v>26386.517316982176</v>
      </c>
      <c r="AG68" s="655">
        <f t="shared" si="17"/>
        <v>44999.699565277529</v>
      </c>
      <c r="AR68" t="str">
        <f>VLOOKUP(E$6:E$287,'[7]Sales Report'!$B$7:$C$288,2,FALSE)</f>
        <v>SOLD</v>
      </c>
      <c r="AS68" s="355" t="s">
        <v>236</v>
      </c>
    </row>
    <row r="69" spans="1:45" ht="14.25" customHeight="1">
      <c r="A69" s="651">
        <v>9000</v>
      </c>
      <c r="B69" s="639" t="s">
        <v>952</v>
      </c>
      <c r="C69" s="391"/>
      <c r="D69" s="386"/>
      <c r="E69" s="372" t="s">
        <v>270</v>
      </c>
      <c r="F69" s="367" t="s">
        <v>894</v>
      </c>
      <c r="G69" s="373">
        <v>22</v>
      </c>
      <c r="H69" s="587">
        <v>2000000</v>
      </c>
      <c r="I69" s="600">
        <f t="shared" si="2"/>
        <v>198000</v>
      </c>
      <c r="J69" s="600">
        <f t="shared" si="3"/>
        <v>23760</v>
      </c>
      <c r="K69" s="604">
        <f t="shared" si="4"/>
        <v>63700</v>
      </c>
      <c r="L69" s="666">
        <f t="shared" si="5"/>
        <v>2285460</v>
      </c>
      <c r="M69" s="666"/>
      <c r="N69" s="683">
        <v>75000</v>
      </c>
      <c r="O69" s="688">
        <f t="shared" si="20"/>
        <v>70101</v>
      </c>
      <c r="P69" s="601">
        <f t="shared" si="7"/>
        <v>2430561</v>
      </c>
      <c r="Q69" s="669">
        <v>20000</v>
      </c>
      <c r="R69" s="669">
        <v>50000</v>
      </c>
      <c r="S69" s="600">
        <f t="shared" si="8"/>
        <v>182292.07499999998</v>
      </c>
      <c r="T69" s="600">
        <f t="shared" si="9"/>
        <v>60764.025000000001</v>
      </c>
      <c r="U69" s="600"/>
      <c r="V69" s="606">
        <f t="shared" si="10"/>
        <v>2673617.1</v>
      </c>
      <c r="W69" s="370">
        <f t="shared" si="11"/>
        <v>0.15</v>
      </c>
      <c r="X69" s="655">
        <f t="shared" si="12"/>
        <v>401042.565</v>
      </c>
      <c r="Y69" s="368">
        <f t="shared" si="13"/>
        <v>15000</v>
      </c>
      <c r="Z69" s="655">
        <f t="shared" si="18"/>
        <v>386042.565</v>
      </c>
      <c r="AA69" s="366">
        <f t="shared" si="14"/>
        <v>30</v>
      </c>
      <c r="AB69" s="655">
        <f t="shared" si="15"/>
        <v>12868.085499999999</v>
      </c>
      <c r="AC69" s="655">
        <f t="shared" si="16"/>
        <v>2272574.5350000001</v>
      </c>
      <c r="AD69" s="655">
        <f t="shared" si="17"/>
        <v>17619.246181000592</v>
      </c>
      <c r="AE69" s="655">
        <f t="shared" si="17"/>
        <v>20426.542377401045</v>
      </c>
      <c r="AF69" s="655">
        <f t="shared" si="17"/>
        <v>26386.517316982176</v>
      </c>
      <c r="AG69" s="655">
        <f t="shared" si="17"/>
        <v>44999.699565277529</v>
      </c>
      <c r="AR69" t="str">
        <f>VLOOKUP(E$6:E$287,'[7]Sales Report'!$B$7:$C$288,2,FALSE)</f>
        <v>SOLD</v>
      </c>
      <c r="AS69" s="355" t="s">
        <v>236</v>
      </c>
    </row>
    <row r="70" spans="1:45" ht="14.25" customHeight="1">
      <c r="A70" s="651">
        <v>9000</v>
      </c>
      <c r="B70" s="639" t="s">
        <v>952</v>
      </c>
      <c r="C70" s="391"/>
      <c r="D70" s="386"/>
      <c r="E70" s="372" t="s">
        <v>273</v>
      </c>
      <c r="F70" s="367" t="s">
        <v>894</v>
      </c>
      <c r="G70" s="373">
        <v>22</v>
      </c>
      <c r="H70" s="587">
        <v>2000000</v>
      </c>
      <c r="I70" s="600">
        <f t="shared" si="2"/>
        <v>198000</v>
      </c>
      <c r="J70" s="600">
        <f t="shared" si="3"/>
        <v>23760</v>
      </c>
      <c r="K70" s="604">
        <f t="shared" si="4"/>
        <v>63700</v>
      </c>
      <c r="L70" s="666">
        <f t="shared" si="5"/>
        <v>2285460</v>
      </c>
      <c r="M70" s="666"/>
      <c r="N70" s="683">
        <v>75000</v>
      </c>
      <c r="O70" s="688">
        <f t="shared" si="20"/>
        <v>70101</v>
      </c>
      <c r="P70" s="601">
        <f t="shared" si="7"/>
        <v>2430561</v>
      </c>
      <c r="Q70" s="669">
        <v>20000</v>
      </c>
      <c r="R70" s="669">
        <v>50000</v>
      </c>
      <c r="S70" s="600">
        <f t="shared" si="8"/>
        <v>182292.07499999998</v>
      </c>
      <c r="T70" s="600">
        <f t="shared" si="9"/>
        <v>60764.025000000001</v>
      </c>
      <c r="U70" s="600"/>
      <c r="V70" s="606">
        <f t="shared" si="10"/>
        <v>2673617.1</v>
      </c>
      <c r="W70" s="370">
        <f t="shared" si="11"/>
        <v>0.15</v>
      </c>
      <c r="X70" s="655">
        <f t="shared" si="12"/>
        <v>401042.565</v>
      </c>
      <c r="Y70" s="368">
        <f t="shared" si="13"/>
        <v>15000</v>
      </c>
      <c r="Z70" s="655">
        <f t="shared" si="18"/>
        <v>386042.565</v>
      </c>
      <c r="AA70" s="366">
        <f t="shared" si="14"/>
        <v>30</v>
      </c>
      <c r="AB70" s="655">
        <f t="shared" si="15"/>
        <v>12868.085499999999</v>
      </c>
      <c r="AC70" s="655">
        <f t="shared" si="16"/>
        <v>2272574.5350000001</v>
      </c>
      <c r="AD70" s="655">
        <f t="shared" si="17"/>
        <v>17619.246181000592</v>
      </c>
      <c r="AE70" s="655">
        <f t="shared" si="17"/>
        <v>20426.542377401045</v>
      </c>
      <c r="AF70" s="655">
        <f t="shared" si="17"/>
        <v>26386.517316982176</v>
      </c>
      <c r="AG70" s="655">
        <f t="shared" si="17"/>
        <v>44999.699565277529</v>
      </c>
      <c r="AR70" t="str">
        <f>VLOOKUP(E$6:E$287,'[7]Sales Report'!$B$7:$C$288,2,FALSE)</f>
        <v>SOLD</v>
      </c>
      <c r="AS70" s="355" t="s">
        <v>236</v>
      </c>
    </row>
    <row r="71" spans="1:45" ht="14.25" customHeight="1">
      <c r="A71" s="651">
        <v>7000</v>
      </c>
      <c r="B71" s="640" t="s">
        <v>952</v>
      </c>
      <c r="C71" s="391"/>
      <c r="D71" s="386"/>
      <c r="E71" s="372" t="s">
        <v>276</v>
      </c>
      <c r="F71" s="367" t="s">
        <v>894</v>
      </c>
      <c r="G71" s="373">
        <v>22</v>
      </c>
      <c r="H71" s="587">
        <v>2000000</v>
      </c>
      <c r="I71" s="600">
        <f t="shared" si="2"/>
        <v>154000</v>
      </c>
      <c r="J71" s="600">
        <f t="shared" si="3"/>
        <v>18480</v>
      </c>
      <c r="K71" s="604">
        <f t="shared" si="4"/>
        <v>63700</v>
      </c>
      <c r="L71" s="666">
        <f t="shared" si="5"/>
        <v>2236180</v>
      </c>
      <c r="M71" s="666"/>
      <c r="N71" s="683">
        <v>75000</v>
      </c>
      <c r="O71" s="688">
        <f t="shared" si="20"/>
        <v>68781</v>
      </c>
      <c r="P71" s="601">
        <f t="shared" si="7"/>
        <v>2379961</v>
      </c>
      <c r="Q71" s="669">
        <v>20000</v>
      </c>
      <c r="R71" s="669">
        <v>50000</v>
      </c>
      <c r="S71" s="600">
        <f t="shared" si="8"/>
        <v>178497.07499999998</v>
      </c>
      <c r="T71" s="600">
        <f t="shared" si="9"/>
        <v>59499.025000000001</v>
      </c>
      <c r="U71" s="600"/>
      <c r="V71" s="606">
        <f t="shared" si="10"/>
        <v>2617957.1</v>
      </c>
      <c r="W71" s="370">
        <f t="shared" si="11"/>
        <v>0.15</v>
      </c>
      <c r="X71" s="655">
        <f t="shared" si="12"/>
        <v>392693.565</v>
      </c>
      <c r="Y71" s="368">
        <f t="shared" si="13"/>
        <v>15000</v>
      </c>
      <c r="Z71" s="655">
        <f t="shared" si="18"/>
        <v>377693.565</v>
      </c>
      <c r="AA71" s="366">
        <f t="shared" si="14"/>
        <v>30</v>
      </c>
      <c r="AB71" s="655">
        <f t="shared" si="15"/>
        <v>12589.7855</v>
      </c>
      <c r="AC71" s="655">
        <f t="shared" si="16"/>
        <v>2225263.5350000001</v>
      </c>
      <c r="AD71" s="655">
        <f t="shared" si="17"/>
        <v>17252.444501569946</v>
      </c>
      <c r="AE71" s="655">
        <f t="shared" si="17"/>
        <v>20001.297734581345</v>
      </c>
      <c r="AF71" s="655">
        <f t="shared" si="17"/>
        <v>25837.196490950944</v>
      </c>
      <c r="AG71" s="655">
        <f t="shared" si="17"/>
        <v>44062.88506113505</v>
      </c>
      <c r="AR71" t="str">
        <f>VLOOKUP(E$6:E$287,'[7]Sales Report'!$B$7:$C$288,2,FALSE)</f>
        <v>SOLD</v>
      </c>
      <c r="AS71" s="355" t="s">
        <v>236</v>
      </c>
    </row>
    <row r="72" spans="1:45" ht="14.25" customHeight="1">
      <c r="A72" s="651">
        <v>7000</v>
      </c>
      <c r="B72" s="641" t="s">
        <v>952</v>
      </c>
      <c r="C72" s="391"/>
      <c r="D72" s="386"/>
      <c r="E72" s="372" t="s">
        <v>282</v>
      </c>
      <c r="F72" s="367" t="s">
        <v>894</v>
      </c>
      <c r="G72" s="373">
        <v>22</v>
      </c>
      <c r="H72" s="587">
        <v>2000000</v>
      </c>
      <c r="I72" s="600">
        <f t="shared" si="2"/>
        <v>154000</v>
      </c>
      <c r="J72" s="600">
        <f t="shared" si="3"/>
        <v>18480</v>
      </c>
      <c r="K72" s="604">
        <f t="shared" si="4"/>
        <v>63700</v>
      </c>
      <c r="L72" s="666">
        <f t="shared" si="5"/>
        <v>2236180</v>
      </c>
      <c r="M72" s="666"/>
      <c r="N72" s="683">
        <v>75000</v>
      </c>
      <c r="O72" s="688">
        <f t="shared" si="20"/>
        <v>68781</v>
      </c>
      <c r="P72" s="601">
        <f t="shared" si="7"/>
        <v>2379961</v>
      </c>
      <c r="Q72" s="669">
        <v>20000</v>
      </c>
      <c r="R72" s="669">
        <v>50000</v>
      </c>
      <c r="S72" s="600">
        <f t="shared" si="8"/>
        <v>178497.07499999998</v>
      </c>
      <c r="T72" s="600">
        <f t="shared" si="9"/>
        <v>59499.025000000001</v>
      </c>
      <c r="U72" s="600"/>
      <c r="V72" s="606">
        <f t="shared" si="10"/>
        <v>2617957.1</v>
      </c>
      <c r="W72" s="370">
        <f t="shared" si="11"/>
        <v>0.15</v>
      </c>
      <c r="X72" s="655">
        <f t="shared" si="12"/>
        <v>392693.565</v>
      </c>
      <c r="Y72" s="368">
        <f t="shared" si="13"/>
        <v>15000</v>
      </c>
      <c r="Z72" s="655">
        <f t="shared" si="18"/>
        <v>377693.565</v>
      </c>
      <c r="AA72" s="366">
        <f t="shared" si="14"/>
        <v>30</v>
      </c>
      <c r="AB72" s="655">
        <f t="shared" si="15"/>
        <v>12589.7855</v>
      </c>
      <c r="AC72" s="655">
        <f t="shared" si="16"/>
        <v>2225263.5350000001</v>
      </c>
      <c r="AD72" s="655">
        <f t="shared" si="17"/>
        <v>17252.444501569946</v>
      </c>
      <c r="AE72" s="655">
        <f t="shared" si="17"/>
        <v>20001.297734581345</v>
      </c>
      <c r="AF72" s="655">
        <f t="shared" si="17"/>
        <v>25837.196490950944</v>
      </c>
      <c r="AG72" s="655">
        <f t="shared" si="17"/>
        <v>44062.88506113505</v>
      </c>
      <c r="AR72" t="str">
        <f>VLOOKUP(E$6:E$287,'[7]Sales Report'!$B$7:$C$288,2,FALSE)</f>
        <v>SOLD</v>
      </c>
      <c r="AS72" s="355" t="s">
        <v>236</v>
      </c>
    </row>
    <row r="73" spans="1:45" ht="14.25" customHeight="1">
      <c r="A73" s="651">
        <v>7000</v>
      </c>
      <c r="B73" s="638" t="s">
        <v>952</v>
      </c>
      <c r="C73" s="391"/>
      <c r="D73" s="386"/>
      <c r="E73" s="372" t="s">
        <v>285</v>
      </c>
      <c r="F73" s="367" t="s">
        <v>894</v>
      </c>
      <c r="G73" s="373">
        <v>22</v>
      </c>
      <c r="H73" s="587">
        <v>2000000</v>
      </c>
      <c r="I73" s="600">
        <f t="shared" si="2"/>
        <v>154000</v>
      </c>
      <c r="J73" s="600">
        <f t="shared" si="3"/>
        <v>18480</v>
      </c>
      <c r="K73" s="604">
        <f t="shared" si="4"/>
        <v>63700</v>
      </c>
      <c r="L73" s="666">
        <f t="shared" si="5"/>
        <v>2236180</v>
      </c>
      <c r="M73" s="666"/>
      <c r="N73" s="683">
        <v>75000</v>
      </c>
      <c r="O73" s="688">
        <f t="shared" si="20"/>
        <v>68781</v>
      </c>
      <c r="P73" s="601">
        <f t="shared" si="7"/>
        <v>2379961</v>
      </c>
      <c r="Q73" s="669">
        <v>20000</v>
      </c>
      <c r="R73" s="669">
        <v>50000</v>
      </c>
      <c r="S73" s="600">
        <f t="shared" si="8"/>
        <v>178497.07499999998</v>
      </c>
      <c r="T73" s="600">
        <f t="shared" si="9"/>
        <v>59499.025000000001</v>
      </c>
      <c r="U73" s="600"/>
      <c r="V73" s="606">
        <f t="shared" si="10"/>
        <v>2617957.1</v>
      </c>
      <c r="W73" s="370">
        <f t="shared" si="11"/>
        <v>0.15</v>
      </c>
      <c r="X73" s="655">
        <f t="shared" si="12"/>
        <v>392693.565</v>
      </c>
      <c r="Y73" s="368">
        <f t="shared" si="13"/>
        <v>15000</v>
      </c>
      <c r="Z73" s="655">
        <f t="shared" si="18"/>
        <v>377693.565</v>
      </c>
      <c r="AA73" s="366">
        <f t="shared" si="14"/>
        <v>30</v>
      </c>
      <c r="AB73" s="655">
        <f t="shared" si="15"/>
        <v>12589.7855</v>
      </c>
      <c r="AC73" s="655">
        <f t="shared" si="16"/>
        <v>2225263.5350000001</v>
      </c>
      <c r="AD73" s="655">
        <f t="shared" si="17"/>
        <v>17252.444501569946</v>
      </c>
      <c r="AE73" s="655">
        <f t="shared" si="17"/>
        <v>20001.297734581345</v>
      </c>
      <c r="AF73" s="655">
        <f t="shared" si="17"/>
        <v>25837.196490950944</v>
      </c>
      <c r="AG73" s="655">
        <f t="shared" si="17"/>
        <v>44062.88506113505</v>
      </c>
      <c r="AR73" t="str">
        <f>VLOOKUP(E$6:E$287,'[7]Sales Report'!$B$7:$C$288,2,FALSE)</f>
        <v>SOLD</v>
      </c>
      <c r="AS73" s="355" t="s">
        <v>236</v>
      </c>
    </row>
    <row r="74" spans="1:45" ht="14.25" customHeight="1">
      <c r="A74" s="651">
        <v>7000</v>
      </c>
      <c r="B74" s="640" t="s">
        <v>952</v>
      </c>
      <c r="C74" s="391"/>
      <c r="D74" s="386"/>
      <c r="E74" s="372" t="s">
        <v>288</v>
      </c>
      <c r="F74" s="367" t="s">
        <v>894</v>
      </c>
      <c r="G74" s="373">
        <v>22</v>
      </c>
      <c r="H74" s="587">
        <v>2000000</v>
      </c>
      <c r="I74" s="600">
        <f t="shared" si="2"/>
        <v>154000</v>
      </c>
      <c r="J74" s="600">
        <f t="shared" si="3"/>
        <v>18480</v>
      </c>
      <c r="K74" s="604">
        <f t="shared" si="4"/>
        <v>63700</v>
      </c>
      <c r="L74" s="666">
        <f t="shared" si="5"/>
        <v>2236180</v>
      </c>
      <c r="M74" s="666"/>
      <c r="N74" s="683">
        <v>75000</v>
      </c>
      <c r="O74" s="688">
        <f t="shared" si="20"/>
        <v>68781</v>
      </c>
      <c r="P74" s="601">
        <f t="shared" si="7"/>
        <v>2379961</v>
      </c>
      <c r="Q74" s="669">
        <v>20000</v>
      </c>
      <c r="R74" s="669">
        <v>50000</v>
      </c>
      <c r="S74" s="600">
        <f t="shared" si="8"/>
        <v>178497.07499999998</v>
      </c>
      <c r="T74" s="600">
        <f t="shared" si="9"/>
        <v>59499.025000000001</v>
      </c>
      <c r="U74" s="600"/>
      <c r="V74" s="606">
        <f t="shared" si="10"/>
        <v>2617957.1</v>
      </c>
      <c r="W74" s="370">
        <f t="shared" si="11"/>
        <v>0.15</v>
      </c>
      <c r="X74" s="655">
        <f t="shared" si="12"/>
        <v>392693.565</v>
      </c>
      <c r="Y74" s="368">
        <f t="shared" si="13"/>
        <v>15000</v>
      </c>
      <c r="Z74" s="655">
        <f t="shared" si="18"/>
        <v>377693.565</v>
      </c>
      <c r="AA74" s="366">
        <f t="shared" si="14"/>
        <v>30</v>
      </c>
      <c r="AB74" s="655">
        <f t="shared" si="15"/>
        <v>12589.7855</v>
      </c>
      <c r="AC74" s="655">
        <f t="shared" si="16"/>
        <v>2225263.5350000001</v>
      </c>
      <c r="AD74" s="655">
        <f t="shared" si="17"/>
        <v>17252.444501569946</v>
      </c>
      <c r="AE74" s="655">
        <f t="shared" si="17"/>
        <v>20001.297734581345</v>
      </c>
      <c r="AF74" s="655">
        <f t="shared" si="17"/>
        <v>25837.196490950944</v>
      </c>
      <c r="AG74" s="655">
        <f t="shared" ref="AG74:AG137" si="21">+$AC74*AG$5</f>
        <v>44062.88506113505</v>
      </c>
      <c r="AR74" t="str">
        <f>VLOOKUP(E$6:E$287,'[7]Sales Report'!$B$7:$C$288,2,FALSE)</f>
        <v>SOLD</v>
      </c>
      <c r="AS74" s="355" t="s">
        <v>236</v>
      </c>
    </row>
    <row r="75" spans="1:45" ht="14.25" customHeight="1">
      <c r="A75" s="651">
        <v>7000</v>
      </c>
      <c r="B75" s="641" t="s">
        <v>952</v>
      </c>
      <c r="C75" s="391"/>
      <c r="D75" s="386"/>
      <c r="E75" s="372" t="s">
        <v>293</v>
      </c>
      <c r="F75" s="367" t="s">
        <v>894</v>
      </c>
      <c r="G75" s="373">
        <v>22</v>
      </c>
      <c r="H75" s="587">
        <v>2000000</v>
      </c>
      <c r="I75" s="600">
        <f t="shared" ref="I75:I138" si="22">+G75*A75</f>
        <v>154000</v>
      </c>
      <c r="J75" s="600">
        <f t="shared" ref="J75:J138" si="23">+I75*0.12</f>
        <v>18480</v>
      </c>
      <c r="K75" s="604">
        <f t="shared" ref="K75:K138" si="24">+SUM(Q75:R75)*$K$5</f>
        <v>63700</v>
      </c>
      <c r="L75" s="666">
        <f t="shared" ref="L75:L138" si="25">SUM(H75:K75)</f>
        <v>2236180</v>
      </c>
      <c r="M75" s="666"/>
      <c r="N75" s="683">
        <v>75000</v>
      </c>
      <c r="O75" s="688">
        <f t="shared" si="20"/>
        <v>68781</v>
      </c>
      <c r="P75" s="601">
        <f t="shared" ref="P75:P138" si="26">SUM(L75+N75+O75)</f>
        <v>2379961</v>
      </c>
      <c r="Q75" s="669">
        <v>20000</v>
      </c>
      <c r="R75" s="669">
        <v>50000</v>
      </c>
      <c r="S75" s="600">
        <f t="shared" ref="S75:S138" si="27">+P75*$S$5</f>
        <v>178497.07499999998</v>
      </c>
      <c r="T75" s="600">
        <f t="shared" ref="T75:T138" si="28">+P75*$T$5</f>
        <v>59499.025000000001</v>
      </c>
      <c r="U75" s="600"/>
      <c r="V75" s="606">
        <f t="shared" ref="V75:V138" si="29">P75+S75+T75</f>
        <v>2617957.1</v>
      </c>
      <c r="W75" s="370">
        <f t="shared" ref="W75:W92" si="30">W$295</f>
        <v>0.15</v>
      </c>
      <c r="X75" s="655">
        <f t="shared" ref="X75:X138" si="31">+V75*W75</f>
        <v>392693.565</v>
      </c>
      <c r="Y75" s="368">
        <f t="shared" ref="Y75:Y138" si="32">Y$5</f>
        <v>15000</v>
      </c>
      <c r="Z75" s="655">
        <f t="shared" ref="Z75:Z138" si="33">+X75-Y75</f>
        <v>377693.565</v>
      </c>
      <c r="AA75" s="366">
        <f t="shared" ref="AA75:AA138" si="34">AA$5</f>
        <v>30</v>
      </c>
      <c r="AB75" s="655">
        <f t="shared" ref="AB75:AB138" si="35">+Z75/AA75</f>
        <v>12589.7855</v>
      </c>
      <c r="AC75" s="655">
        <f t="shared" ref="AC75:AC138" si="36">+V75-X75</f>
        <v>2225263.5350000001</v>
      </c>
      <c r="AD75" s="655">
        <f t="shared" ref="AD75:AG138" si="37">+$AC75*AD$5</f>
        <v>17252.444501569946</v>
      </c>
      <c r="AE75" s="655">
        <f t="shared" si="37"/>
        <v>20001.297734581345</v>
      </c>
      <c r="AF75" s="655">
        <f t="shared" si="37"/>
        <v>25837.196490950944</v>
      </c>
      <c r="AG75" s="655">
        <f t="shared" si="21"/>
        <v>44062.88506113505</v>
      </c>
      <c r="AR75" t="str">
        <f>VLOOKUP(E$6:E$287,'[7]Sales Report'!$B$7:$C$288,2,FALSE)</f>
        <v>SOLD</v>
      </c>
      <c r="AS75" s="355" t="s">
        <v>236</v>
      </c>
    </row>
    <row r="76" spans="1:45" ht="14.25" customHeight="1">
      <c r="A76" s="651">
        <v>7000</v>
      </c>
      <c r="B76" s="638" t="s">
        <v>952</v>
      </c>
      <c r="C76" s="391"/>
      <c r="D76" s="386"/>
      <c r="E76" s="372" t="s">
        <v>298</v>
      </c>
      <c r="F76" s="367" t="s">
        <v>894</v>
      </c>
      <c r="G76" s="373">
        <v>22</v>
      </c>
      <c r="H76" s="587">
        <v>2000000</v>
      </c>
      <c r="I76" s="600">
        <f t="shared" si="22"/>
        <v>154000</v>
      </c>
      <c r="J76" s="600">
        <f t="shared" si="23"/>
        <v>18480</v>
      </c>
      <c r="K76" s="604">
        <f t="shared" si="24"/>
        <v>63700</v>
      </c>
      <c r="L76" s="666">
        <f t="shared" si="25"/>
        <v>2236180</v>
      </c>
      <c r="M76" s="666"/>
      <c r="N76" s="683">
        <v>75000</v>
      </c>
      <c r="O76" s="688">
        <f t="shared" si="20"/>
        <v>68781</v>
      </c>
      <c r="P76" s="601">
        <f t="shared" si="26"/>
        <v>2379961</v>
      </c>
      <c r="Q76" s="669">
        <v>20000</v>
      </c>
      <c r="R76" s="669">
        <v>50000</v>
      </c>
      <c r="S76" s="600">
        <f t="shared" si="27"/>
        <v>178497.07499999998</v>
      </c>
      <c r="T76" s="600">
        <f t="shared" si="28"/>
        <v>59499.025000000001</v>
      </c>
      <c r="U76" s="600"/>
      <c r="V76" s="606">
        <f t="shared" si="29"/>
        <v>2617957.1</v>
      </c>
      <c r="W76" s="370">
        <f t="shared" si="30"/>
        <v>0.15</v>
      </c>
      <c r="X76" s="655">
        <f t="shared" si="31"/>
        <v>392693.565</v>
      </c>
      <c r="Y76" s="368">
        <f t="shared" si="32"/>
        <v>15000</v>
      </c>
      <c r="Z76" s="655">
        <f t="shared" si="33"/>
        <v>377693.565</v>
      </c>
      <c r="AA76" s="366">
        <f t="shared" si="34"/>
        <v>30</v>
      </c>
      <c r="AB76" s="655">
        <f t="shared" si="35"/>
        <v>12589.7855</v>
      </c>
      <c r="AC76" s="655">
        <f t="shared" si="36"/>
        <v>2225263.5350000001</v>
      </c>
      <c r="AD76" s="655">
        <f t="shared" si="37"/>
        <v>17252.444501569946</v>
      </c>
      <c r="AE76" s="655">
        <f t="shared" si="37"/>
        <v>20001.297734581345</v>
      </c>
      <c r="AF76" s="655">
        <f t="shared" si="37"/>
        <v>25837.196490950944</v>
      </c>
      <c r="AG76" s="655">
        <f t="shared" si="21"/>
        <v>44062.88506113505</v>
      </c>
      <c r="AR76" t="str">
        <f>VLOOKUP(E$6:E$287,'[7]Sales Report'!$B$7:$C$288,2,FALSE)</f>
        <v>SOLD</v>
      </c>
      <c r="AS76" s="355" t="s">
        <v>236</v>
      </c>
    </row>
    <row r="77" spans="1:45" ht="14.25" customHeight="1">
      <c r="A77" s="651">
        <v>7000</v>
      </c>
      <c r="B77" s="640" t="s">
        <v>952</v>
      </c>
      <c r="C77" s="416"/>
      <c r="D77" s="417"/>
      <c r="E77" s="377" t="s">
        <v>302</v>
      </c>
      <c r="F77" s="367" t="s">
        <v>894</v>
      </c>
      <c r="G77" s="378">
        <v>22</v>
      </c>
      <c r="H77" s="587">
        <v>2000000</v>
      </c>
      <c r="I77" s="600">
        <f t="shared" si="22"/>
        <v>154000</v>
      </c>
      <c r="J77" s="600">
        <f t="shared" si="23"/>
        <v>18480</v>
      </c>
      <c r="K77" s="604">
        <f t="shared" si="24"/>
        <v>63700</v>
      </c>
      <c r="L77" s="666">
        <f t="shared" si="25"/>
        <v>2236180</v>
      </c>
      <c r="M77" s="666"/>
      <c r="N77" s="683">
        <v>75000</v>
      </c>
      <c r="O77" s="688">
        <f t="shared" si="20"/>
        <v>68781</v>
      </c>
      <c r="P77" s="601">
        <f t="shared" si="26"/>
        <v>2379961</v>
      </c>
      <c r="Q77" s="669">
        <v>20000</v>
      </c>
      <c r="R77" s="669">
        <v>50000</v>
      </c>
      <c r="S77" s="600">
        <f t="shared" si="27"/>
        <v>178497.07499999998</v>
      </c>
      <c r="T77" s="600">
        <f t="shared" si="28"/>
        <v>59499.025000000001</v>
      </c>
      <c r="U77" s="600"/>
      <c r="V77" s="606">
        <f t="shared" si="29"/>
        <v>2617957.1</v>
      </c>
      <c r="W77" s="370">
        <f t="shared" si="30"/>
        <v>0.15</v>
      </c>
      <c r="X77" s="655">
        <f t="shared" si="31"/>
        <v>392693.565</v>
      </c>
      <c r="Y77" s="368">
        <f t="shared" si="32"/>
        <v>15000</v>
      </c>
      <c r="Z77" s="655">
        <f t="shared" si="33"/>
        <v>377693.565</v>
      </c>
      <c r="AA77" s="366">
        <f t="shared" si="34"/>
        <v>30</v>
      </c>
      <c r="AB77" s="655">
        <f t="shared" si="35"/>
        <v>12589.7855</v>
      </c>
      <c r="AC77" s="655">
        <f t="shared" si="36"/>
        <v>2225263.5350000001</v>
      </c>
      <c r="AD77" s="655">
        <f t="shared" si="37"/>
        <v>17252.444501569946</v>
      </c>
      <c r="AE77" s="655">
        <f t="shared" si="37"/>
        <v>20001.297734581345</v>
      </c>
      <c r="AF77" s="655">
        <f t="shared" si="37"/>
        <v>25837.196490950944</v>
      </c>
      <c r="AG77" s="655">
        <f t="shared" si="21"/>
        <v>44062.88506113505</v>
      </c>
      <c r="AR77" t="str">
        <f>VLOOKUP(E$6:E$287,'[7]Sales Report'!$B$7:$C$288,2,FALSE)</f>
        <v>SOLD</v>
      </c>
      <c r="AS77" s="355" t="s">
        <v>236</v>
      </c>
    </row>
    <row r="78" spans="1:45" ht="14.25" customHeight="1">
      <c r="A78" s="651">
        <v>9000</v>
      </c>
      <c r="B78" s="641" t="s">
        <v>952</v>
      </c>
      <c r="C78" s="391"/>
      <c r="D78" s="367"/>
      <c r="E78" s="367" t="s">
        <v>304</v>
      </c>
      <c r="F78" s="367" t="s">
        <v>894</v>
      </c>
      <c r="G78" s="354">
        <v>22</v>
      </c>
      <c r="H78" s="587">
        <v>2000000</v>
      </c>
      <c r="I78" s="600">
        <f t="shared" si="22"/>
        <v>198000</v>
      </c>
      <c r="J78" s="600">
        <f t="shared" si="23"/>
        <v>23760</v>
      </c>
      <c r="K78" s="604">
        <f t="shared" si="24"/>
        <v>63700</v>
      </c>
      <c r="L78" s="666">
        <f t="shared" si="25"/>
        <v>2285460</v>
      </c>
      <c r="M78" s="666"/>
      <c r="N78" s="683">
        <v>75000</v>
      </c>
      <c r="O78" s="688">
        <f t="shared" si="20"/>
        <v>70101</v>
      </c>
      <c r="P78" s="601">
        <f>SUM(L78+N78+O78)</f>
        <v>2430561</v>
      </c>
      <c r="Q78" s="669">
        <v>20000</v>
      </c>
      <c r="R78" s="669">
        <v>50000</v>
      </c>
      <c r="S78" s="600">
        <f>+P78*$S$5</f>
        <v>182292.07499999998</v>
      </c>
      <c r="T78" s="600">
        <f>+P78*$T$5</f>
        <v>60764.025000000001</v>
      </c>
      <c r="U78" s="600"/>
      <c r="V78" s="606">
        <f t="shared" si="29"/>
        <v>2673617.1</v>
      </c>
      <c r="W78" s="370">
        <f t="shared" si="30"/>
        <v>0.15</v>
      </c>
      <c r="X78" s="655">
        <f t="shared" si="31"/>
        <v>401042.565</v>
      </c>
      <c r="Y78" s="368">
        <f t="shared" si="32"/>
        <v>15000</v>
      </c>
      <c r="Z78" s="655">
        <f t="shared" si="33"/>
        <v>386042.565</v>
      </c>
      <c r="AA78" s="366">
        <f t="shared" si="34"/>
        <v>30</v>
      </c>
      <c r="AB78" s="655">
        <f t="shared" si="35"/>
        <v>12868.085499999999</v>
      </c>
      <c r="AC78" s="655">
        <f t="shared" si="36"/>
        <v>2272574.5350000001</v>
      </c>
      <c r="AD78" s="655">
        <f t="shared" si="37"/>
        <v>17619.246181000592</v>
      </c>
      <c r="AE78" s="655">
        <f t="shared" si="37"/>
        <v>20426.542377401045</v>
      </c>
      <c r="AF78" s="655">
        <f t="shared" si="37"/>
        <v>26386.517316982176</v>
      </c>
      <c r="AG78" s="655">
        <f t="shared" si="21"/>
        <v>44999.699565277529</v>
      </c>
      <c r="AR78" t="str">
        <f>VLOOKUP(E$6:E$287,'[7]Sales Report'!$B$7:$C$288,2,FALSE)</f>
        <v>SOLD</v>
      </c>
      <c r="AS78" s="355" t="s">
        <v>236</v>
      </c>
    </row>
    <row r="79" spans="1:45" ht="14.25" customHeight="1">
      <c r="A79" s="651">
        <v>9000</v>
      </c>
      <c r="B79" s="642" t="s">
        <v>952</v>
      </c>
      <c r="C79" s="391"/>
      <c r="D79" s="367"/>
      <c r="E79" s="367" t="s">
        <v>307</v>
      </c>
      <c r="F79" s="367" t="s">
        <v>894</v>
      </c>
      <c r="G79" s="354">
        <v>22</v>
      </c>
      <c r="H79" s="587">
        <v>2000000</v>
      </c>
      <c r="I79" s="600">
        <f t="shared" si="22"/>
        <v>198000</v>
      </c>
      <c r="J79" s="600">
        <f t="shared" si="23"/>
        <v>23760</v>
      </c>
      <c r="K79" s="604">
        <f t="shared" si="24"/>
        <v>63700</v>
      </c>
      <c r="L79" s="666">
        <f t="shared" si="25"/>
        <v>2285460</v>
      </c>
      <c r="M79" s="666"/>
      <c r="N79" s="683">
        <v>75000</v>
      </c>
      <c r="O79" s="688">
        <f t="shared" si="20"/>
        <v>70101</v>
      </c>
      <c r="P79" s="601">
        <f t="shared" si="26"/>
        <v>2430561</v>
      </c>
      <c r="Q79" s="669">
        <v>20000</v>
      </c>
      <c r="R79" s="669">
        <v>50000</v>
      </c>
      <c r="S79" s="600">
        <f t="shared" si="27"/>
        <v>182292.07499999998</v>
      </c>
      <c r="T79" s="600">
        <f t="shared" si="28"/>
        <v>60764.025000000001</v>
      </c>
      <c r="U79" s="600"/>
      <c r="V79" s="606">
        <f t="shared" si="29"/>
        <v>2673617.1</v>
      </c>
      <c r="W79" s="370">
        <f t="shared" si="30"/>
        <v>0.15</v>
      </c>
      <c r="X79" s="655">
        <f t="shared" si="31"/>
        <v>401042.565</v>
      </c>
      <c r="Y79" s="368">
        <f t="shared" si="32"/>
        <v>15000</v>
      </c>
      <c r="Z79" s="655">
        <f t="shared" si="33"/>
        <v>386042.565</v>
      </c>
      <c r="AA79" s="366">
        <f t="shared" si="34"/>
        <v>30</v>
      </c>
      <c r="AB79" s="655">
        <f t="shared" si="35"/>
        <v>12868.085499999999</v>
      </c>
      <c r="AC79" s="655">
        <f t="shared" si="36"/>
        <v>2272574.5350000001</v>
      </c>
      <c r="AD79" s="655">
        <f t="shared" si="37"/>
        <v>17619.246181000592</v>
      </c>
      <c r="AE79" s="655">
        <f t="shared" si="37"/>
        <v>20426.542377401045</v>
      </c>
      <c r="AF79" s="655">
        <f t="shared" si="37"/>
        <v>26386.517316982176</v>
      </c>
      <c r="AG79" s="655">
        <f t="shared" si="21"/>
        <v>44999.699565277529</v>
      </c>
      <c r="AR79" t="str">
        <f>VLOOKUP(E$6:E$287,'[7]Sales Report'!$B$7:$C$288,2,FALSE)</f>
        <v>SOLD</v>
      </c>
      <c r="AS79" s="355" t="s">
        <v>236</v>
      </c>
    </row>
    <row r="80" spans="1:45" ht="14.25" customHeight="1">
      <c r="A80" s="651">
        <v>9000</v>
      </c>
      <c r="B80" s="641" t="s">
        <v>952</v>
      </c>
      <c r="C80" s="391"/>
      <c r="D80" s="367"/>
      <c r="E80" s="367" t="s">
        <v>309</v>
      </c>
      <c r="F80" s="367" t="s">
        <v>894</v>
      </c>
      <c r="G80" s="354">
        <v>22</v>
      </c>
      <c r="H80" s="587">
        <v>2000000</v>
      </c>
      <c r="I80" s="600">
        <f t="shared" si="22"/>
        <v>198000</v>
      </c>
      <c r="J80" s="600">
        <f t="shared" si="23"/>
        <v>23760</v>
      </c>
      <c r="K80" s="604">
        <f t="shared" si="24"/>
        <v>63700</v>
      </c>
      <c r="L80" s="666">
        <f t="shared" si="25"/>
        <v>2285460</v>
      </c>
      <c r="M80" s="666"/>
      <c r="N80" s="683">
        <v>75000</v>
      </c>
      <c r="O80" s="688">
        <f t="shared" si="20"/>
        <v>70101</v>
      </c>
      <c r="P80" s="601">
        <f t="shared" si="26"/>
        <v>2430561</v>
      </c>
      <c r="Q80" s="669">
        <v>20000</v>
      </c>
      <c r="R80" s="669">
        <v>50000</v>
      </c>
      <c r="S80" s="600">
        <f t="shared" si="27"/>
        <v>182292.07499999998</v>
      </c>
      <c r="T80" s="600">
        <f t="shared" si="28"/>
        <v>60764.025000000001</v>
      </c>
      <c r="U80" s="600"/>
      <c r="V80" s="606">
        <f t="shared" si="29"/>
        <v>2673617.1</v>
      </c>
      <c r="W80" s="370">
        <f t="shared" si="30"/>
        <v>0.15</v>
      </c>
      <c r="X80" s="655">
        <f t="shared" si="31"/>
        <v>401042.565</v>
      </c>
      <c r="Y80" s="368">
        <f t="shared" si="32"/>
        <v>15000</v>
      </c>
      <c r="Z80" s="655">
        <f t="shared" si="33"/>
        <v>386042.565</v>
      </c>
      <c r="AA80" s="366">
        <f t="shared" si="34"/>
        <v>30</v>
      </c>
      <c r="AB80" s="655">
        <f t="shared" si="35"/>
        <v>12868.085499999999</v>
      </c>
      <c r="AC80" s="655">
        <f t="shared" si="36"/>
        <v>2272574.5350000001</v>
      </c>
      <c r="AD80" s="655">
        <f t="shared" si="37"/>
        <v>17619.246181000592</v>
      </c>
      <c r="AE80" s="655">
        <f t="shared" si="37"/>
        <v>20426.542377401045</v>
      </c>
      <c r="AF80" s="655">
        <f t="shared" si="37"/>
        <v>26386.517316982176</v>
      </c>
      <c r="AG80" s="655">
        <f t="shared" si="21"/>
        <v>44999.699565277529</v>
      </c>
      <c r="AR80" t="str">
        <f>VLOOKUP(E$6:E$287,'[7]Sales Report'!$B$7:$C$288,2,FALSE)</f>
        <v>SOLD</v>
      </c>
      <c r="AS80" s="355" t="s">
        <v>236</v>
      </c>
    </row>
    <row r="81" spans="1:45" ht="14.25" customHeight="1">
      <c r="A81" s="651">
        <v>9000</v>
      </c>
      <c r="B81" s="643" t="s">
        <v>952</v>
      </c>
      <c r="C81" s="391"/>
      <c r="D81" s="367"/>
      <c r="E81" s="367" t="s">
        <v>312</v>
      </c>
      <c r="F81" s="367" t="s">
        <v>894</v>
      </c>
      <c r="G81" s="354">
        <v>22</v>
      </c>
      <c r="H81" s="587">
        <v>2000000</v>
      </c>
      <c r="I81" s="600">
        <f t="shared" si="22"/>
        <v>198000</v>
      </c>
      <c r="J81" s="600">
        <f t="shared" si="23"/>
        <v>23760</v>
      </c>
      <c r="K81" s="604">
        <f t="shared" si="24"/>
        <v>63700</v>
      </c>
      <c r="L81" s="666">
        <f t="shared" si="25"/>
        <v>2285460</v>
      </c>
      <c r="M81" s="666"/>
      <c r="N81" s="683">
        <v>75000</v>
      </c>
      <c r="O81" s="688">
        <f t="shared" si="20"/>
        <v>70101</v>
      </c>
      <c r="P81" s="601">
        <f t="shared" si="26"/>
        <v>2430561</v>
      </c>
      <c r="Q81" s="669">
        <v>20000</v>
      </c>
      <c r="R81" s="669">
        <v>50000</v>
      </c>
      <c r="S81" s="600">
        <f t="shared" si="27"/>
        <v>182292.07499999998</v>
      </c>
      <c r="T81" s="600">
        <f t="shared" si="28"/>
        <v>60764.025000000001</v>
      </c>
      <c r="U81" s="600"/>
      <c r="V81" s="606">
        <f t="shared" si="29"/>
        <v>2673617.1</v>
      </c>
      <c r="W81" s="370">
        <f t="shared" si="30"/>
        <v>0.15</v>
      </c>
      <c r="X81" s="655">
        <f t="shared" si="31"/>
        <v>401042.565</v>
      </c>
      <c r="Y81" s="368">
        <f t="shared" si="32"/>
        <v>15000</v>
      </c>
      <c r="Z81" s="655">
        <f t="shared" si="33"/>
        <v>386042.565</v>
      </c>
      <c r="AA81" s="366">
        <f t="shared" si="34"/>
        <v>30</v>
      </c>
      <c r="AB81" s="655">
        <f t="shared" si="35"/>
        <v>12868.085499999999</v>
      </c>
      <c r="AC81" s="655">
        <f t="shared" si="36"/>
        <v>2272574.5350000001</v>
      </c>
      <c r="AD81" s="655">
        <f t="shared" si="37"/>
        <v>17619.246181000592</v>
      </c>
      <c r="AE81" s="655">
        <f t="shared" si="37"/>
        <v>20426.542377401045</v>
      </c>
      <c r="AF81" s="655">
        <f t="shared" si="37"/>
        <v>26386.517316982176</v>
      </c>
      <c r="AG81" s="655">
        <f t="shared" si="21"/>
        <v>44999.699565277529</v>
      </c>
      <c r="AR81" t="str">
        <f>VLOOKUP(E$6:E$287,'[7]Sales Report'!$B$7:$C$288,2,FALSE)</f>
        <v>SOLD</v>
      </c>
      <c r="AS81" s="355" t="s">
        <v>236</v>
      </c>
    </row>
    <row r="82" spans="1:45" ht="14.25" customHeight="1">
      <c r="A82" s="651">
        <v>9000</v>
      </c>
      <c r="B82" s="641" t="s">
        <v>952</v>
      </c>
      <c r="C82" s="391"/>
      <c r="D82" s="367"/>
      <c r="E82" s="367" t="s">
        <v>314</v>
      </c>
      <c r="F82" s="367" t="s">
        <v>894</v>
      </c>
      <c r="G82" s="354">
        <v>22</v>
      </c>
      <c r="H82" s="587">
        <v>2000000</v>
      </c>
      <c r="I82" s="600">
        <f t="shared" si="22"/>
        <v>198000</v>
      </c>
      <c r="J82" s="600">
        <f t="shared" si="23"/>
        <v>23760</v>
      </c>
      <c r="K82" s="604">
        <f t="shared" si="24"/>
        <v>63700</v>
      </c>
      <c r="L82" s="666">
        <f t="shared" si="25"/>
        <v>2285460</v>
      </c>
      <c r="M82" s="666"/>
      <c r="N82" s="683">
        <v>75000</v>
      </c>
      <c r="O82" s="688">
        <f t="shared" si="20"/>
        <v>70101</v>
      </c>
      <c r="P82" s="601">
        <f t="shared" si="26"/>
        <v>2430561</v>
      </c>
      <c r="Q82" s="669">
        <v>20000</v>
      </c>
      <c r="R82" s="669">
        <v>50000</v>
      </c>
      <c r="S82" s="600">
        <f t="shared" si="27"/>
        <v>182292.07499999998</v>
      </c>
      <c r="T82" s="600">
        <f t="shared" si="28"/>
        <v>60764.025000000001</v>
      </c>
      <c r="U82" s="600"/>
      <c r="V82" s="606">
        <f t="shared" si="29"/>
        <v>2673617.1</v>
      </c>
      <c r="W82" s="370">
        <f t="shared" si="30"/>
        <v>0.15</v>
      </c>
      <c r="X82" s="655">
        <f t="shared" si="31"/>
        <v>401042.565</v>
      </c>
      <c r="Y82" s="368">
        <f t="shared" si="32"/>
        <v>15000</v>
      </c>
      <c r="Z82" s="655">
        <f t="shared" si="33"/>
        <v>386042.565</v>
      </c>
      <c r="AA82" s="366">
        <f t="shared" si="34"/>
        <v>30</v>
      </c>
      <c r="AB82" s="655">
        <f t="shared" si="35"/>
        <v>12868.085499999999</v>
      </c>
      <c r="AC82" s="655">
        <f t="shared" si="36"/>
        <v>2272574.5350000001</v>
      </c>
      <c r="AD82" s="655">
        <f t="shared" si="37"/>
        <v>17619.246181000592</v>
      </c>
      <c r="AE82" s="655">
        <f t="shared" si="37"/>
        <v>20426.542377401045</v>
      </c>
      <c r="AF82" s="655">
        <f t="shared" si="37"/>
        <v>26386.517316982176</v>
      </c>
      <c r="AG82" s="655">
        <f t="shared" si="21"/>
        <v>44999.699565277529</v>
      </c>
      <c r="AR82" t="str">
        <f>VLOOKUP(E$6:E$287,'[7]Sales Report'!$B$7:$C$288,2,FALSE)</f>
        <v>SOLD</v>
      </c>
      <c r="AS82" s="355" t="s">
        <v>236</v>
      </c>
    </row>
    <row r="83" spans="1:45" ht="14.25" customHeight="1">
      <c r="A83" s="651">
        <v>9000</v>
      </c>
      <c r="B83" s="642" t="s">
        <v>952</v>
      </c>
      <c r="C83" s="391"/>
      <c r="D83" s="367"/>
      <c r="E83" s="367" t="s">
        <v>316</v>
      </c>
      <c r="F83" s="367" t="s">
        <v>894</v>
      </c>
      <c r="G83" s="354">
        <v>22</v>
      </c>
      <c r="H83" s="587">
        <v>2000000</v>
      </c>
      <c r="I83" s="600">
        <f t="shared" si="22"/>
        <v>198000</v>
      </c>
      <c r="J83" s="600">
        <f t="shared" si="23"/>
        <v>23760</v>
      </c>
      <c r="K83" s="604">
        <f t="shared" si="24"/>
        <v>63700</v>
      </c>
      <c r="L83" s="666">
        <f t="shared" si="25"/>
        <v>2285460</v>
      </c>
      <c r="M83" s="666"/>
      <c r="N83" s="683">
        <v>75000</v>
      </c>
      <c r="O83" s="688">
        <f t="shared" ref="O83:O123" si="38">(H83+I83+K83+N83)*3%</f>
        <v>70101</v>
      </c>
      <c r="P83" s="601">
        <f t="shared" si="26"/>
        <v>2430561</v>
      </c>
      <c r="Q83" s="669">
        <v>20000</v>
      </c>
      <c r="R83" s="669">
        <v>50000</v>
      </c>
      <c r="S83" s="600">
        <f t="shared" si="27"/>
        <v>182292.07499999998</v>
      </c>
      <c r="T83" s="600">
        <f t="shared" si="28"/>
        <v>60764.025000000001</v>
      </c>
      <c r="U83" s="600"/>
      <c r="V83" s="606">
        <f t="shared" si="29"/>
        <v>2673617.1</v>
      </c>
      <c r="W83" s="370">
        <f t="shared" si="30"/>
        <v>0.15</v>
      </c>
      <c r="X83" s="655">
        <f t="shared" si="31"/>
        <v>401042.565</v>
      </c>
      <c r="Y83" s="368">
        <f t="shared" si="32"/>
        <v>15000</v>
      </c>
      <c r="Z83" s="655">
        <f t="shared" si="33"/>
        <v>386042.565</v>
      </c>
      <c r="AA83" s="366">
        <f t="shared" si="34"/>
        <v>30</v>
      </c>
      <c r="AB83" s="655">
        <f t="shared" si="35"/>
        <v>12868.085499999999</v>
      </c>
      <c r="AC83" s="655">
        <f t="shared" si="36"/>
        <v>2272574.5350000001</v>
      </c>
      <c r="AD83" s="655">
        <f t="shared" si="37"/>
        <v>17619.246181000592</v>
      </c>
      <c r="AE83" s="655">
        <f t="shared" si="37"/>
        <v>20426.542377401045</v>
      </c>
      <c r="AF83" s="655">
        <f t="shared" si="37"/>
        <v>26386.517316982176</v>
      </c>
      <c r="AG83" s="655">
        <f t="shared" si="21"/>
        <v>44999.699565277529</v>
      </c>
      <c r="AR83" t="str">
        <f>VLOOKUP(E$6:E$287,'[7]Sales Report'!$B$7:$C$288,2,FALSE)</f>
        <v>SOLD</v>
      </c>
      <c r="AS83" s="355" t="s">
        <v>236</v>
      </c>
    </row>
    <row r="84" spans="1:45" ht="14.25" customHeight="1">
      <c r="A84" s="651">
        <v>9000</v>
      </c>
      <c r="B84" s="641" t="s">
        <v>952</v>
      </c>
      <c r="C84" s="391"/>
      <c r="D84" s="367"/>
      <c r="E84" s="367" t="s">
        <v>319</v>
      </c>
      <c r="F84" s="367" t="s">
        <v>894</v>
      </c>
      <c r="G84" s="354">
        <v>22</v>
      </c>
      <c r="H84" s="587">
        <v>2000000</v>
      </c>
      <c r="I84" s="600">
        <f t="shared" si="22"/>
        <v>198000</v>
      </c>
      <c r="J84" s="600">
        <f t="shared" si="23"/>
        <v>23760</v>
      </c>
      <c r="K84" s="604">
        <f t="shared" si="24"/>
        <v>63700</v>
      </c>
      <c r="L84" s="666">
        <f t="shared" si="25"/>
        <v>2285460</v>
      </c>
      <c r="M84" s="666"/>
      <c r="N84" s="683">
        <v>75000</v>
      </c>
      <c r="O84" s="688">
        <f t="shared" si="38"/>
        <v>70101</v>
      </c>
      <c r="P84" s="601">
        <f t="shared" si="26"/>
        <v>2430561</v>
      </c>
      <c r="Q84" s="669">
        <v>20000</v>
      </c>
      <c r="R84" s="669">
        <v>50000</v>
      </c>
      <c r="S84" s="600">
        <f t="shared" si="27"/>
        <v>182292.07499999998</v>
      </c>
      <c r="T84" s="600">
        <f t="shared" si="28"/>
        <v>60764.025000000001</v>
      </c>
      <c r="U84" s="600"/>
      <c r="V84" s="606">
        <f t="shared" si="29"/>
        <v>2673617.1</v>
      </c>
      <c r="W84" s="370">
        <f t="shared" si="30"/>
        <v>0.15</v>
      </c>
      <c r="X84" s="655">
        <f t="shared" si="31"/>
        <v>401042.565</v>
      </c>
      <c r="Y84" s="368">
        <f t="shared" si="32"/>
        <v>15000</v>
      </c>
      <c r="Z84" s="655">
        <f t="shared" si="33"/>
        <v>386042.565</v>
      </c>
      <c r="AA84" s="366">
        <f t="shared" si="34"/>
        <v>30</v>
      </c>
      <c r="AB84" s="655">
        <f t="shared" si="35"/>
        <v>12868.085499999999</v>
      </c>
      <c r="AC84" s="655">
        <f t="shared" si="36"/>
        <v>2272574.5350000001</v>
      </c>
      <c r="AD84" s="655">
        <f t="shared" si="37"/>
        <v>17619.246181000592</v>
      </c>
      <c r="AE84" s="655">
        <f t="shared" si="37"/>
        <v>20426.542377401045</v>
      </c>
      <c r="AF84" s="655">
        <f t="shared" si="37"/>
        <v>26386.517316982176</v>
      </c>
      <c r="AG84" s="655">
        <f t="shared" si="21"/>
        <v>44999.699565277529</v>
      </c>
      <c r="AR84" t="str">
        <f>VLOOKUP(E$6:E$287,'[7]Sales Report'!$B$7:$C$288,2,FALSE)</f>
        <v>SOLD</v>
      </c>
      <c r="AS84" s="355" t="s">
        <v>236</v>
      </c>
    </row>
    <row r="85" spans="1:45" ht="14.25" customHeight="1">
      <c r="A85" s="651">
        <v>9000</v>
      </c>
      <c r="B85" s="641" t="s">
        <v>952</v>
      </c>
      <c r="C85" s="391"/>
      <c r="D85" s="367"/>
      <c r="E85" s="367" t="s">
        <v>320</v>
      </c>
      <c r="F85" s="367" t="s">
        <v>894</v>
      </c>
      <c r="G85" s="354">
        <v>22</v>
      </c>
      <c r="H85" s="587">
        <v>2000000</v>
      </c>
      <c r="I85" s="600">
        <f t="shared" si="22"/>
        <v>198000</v>
      </c>
      <c r="J85" s="600">
        <f t="shared" si="23"/>
        <v>23760</v>
      </c>
      <c r="K85" s="604">
        <f t="shared" si="24"/>
        <v>63700</v>
      </c>
      <c r="L85" s="666">
        <f t="shared" si="25"/>
        <v>2285460</v>
      </c>
      <c r="M85" s="666"/>
      <c r="N85" s="683">
        <v>75000</v>
      </c>
      <c r="O85" s="688">
        <f t="shared" si="38"/>
        <v>70101</v>
      </c>
      <c r="P85" s="601">
        <f t="shared" si="26"/>
        <v>2430561</v>
      </c>
      <c r="Q85" s="669">
        <v>20000</v>
      </c>
      <c r="R85" s="669">
        <v>50000</v>
      </c>
      <c r="S85" s="600">
        <f t="shared" si="27"/>
        <v>182292.07499999998</v>
      </c>
      <c r="T85" s="600">
        <f t="shared" si="28"/>
        <v>60764.025000000001</v>
      </c>
      <c r="U85" s="600"/>
      <c r="V85" s="606">
        <f t="shared" si="29"/>
        <v>2673617.1</v>
      </c>
      <c r="W85" s="370">
        <f t="shared" si="30"/>
        <v>0.15</v>
      </c>
      <c r="X85" s="655">
        <f t="shared" si="31"/>
        <v>401042.565</v>
      </c>
      <c r="Y85" s="368">
        <f t="shared" si="32"/>
        <v>15000</v>
      </c>
      <c r="Z85" s="655">
        <f t="shared" si="33"/>
        <v>386042.565</v>
      </c>
      <c r="AA85" s="366">
        <f t="shared" si="34"/>
        <v>30</v>
      </c>
      <c r="AB85" s="655">
        <f t="shared" si="35"/>
        <v>12868.085499999999</v>
      </c>
      <c r="AC85" s="655">
        <f t="shared" si="36"/>
        <v>2272574.5350000001</v>
      </c>
      <c r="AD85" s="655">
        <f t="shared" si="37"/>
        <v>17619.246181000592</v>
      </c>
      <c r="AE85" s="655">
        <f t="shared" si="37"/>
        <v>20426.542377401045</v>
      </c>
      <c r="AF85" s="655">
        <f t="shared" si="37"/>
        <v>26386.517316982176</v>
      </c>
      <c r="AG85" s="655">
        <f t="shared" si="21"/>
        <v>44999.699565277529</v>
      </c>
      <c r="AR85" t="str">
        <f>VLOOKUP(E$6:E$287,'[7]Sales Report'!$B$7:$C$288,2,FALSE)</f>
        <v>SOLD</v>
      </c>
      <c r="AS85" s="355" t="s">
        <v>236</v>
      </c>
    </row>
    <row r="86" spans="1:45" ht="14.25" customHeight="1">
      <c r="A86" s="651">
        <v>9000</v>
      </c>
      <c r="B86" s="641" t="s">
        <v>952</v>
      </c>
      <c r="C86" s="391"/>
      <c r="D86" s="367"/>
      <c r="E86" s="367" t="s">
        <v>323</v>
      </c>
      <c r="F86" s="367" t="s">
        <v>894</v>
      </c>
      <c r="G86" s="354">
        <v>22</v>
      </c>
      <c r="H86" s="587">
        <v>2000000</v>
      </c>
      <c r="I86" s="600">
        <f t="shared" si="22"/>
        <v>198000</v>
      </c>
      <c r="J86" s="600">
        <f t="shared" si="23"/>
        <v>23760</v>
      </c>
      <c r="K86" s="604">
        <f t="shared" si="24"/>
        <v>63700</v>
      </c>
      <c r="L86" s="666">
        <f t="shared" si="25"/>
        <v>2285460</v>
      </c>
      <c r="M86" s="666"/>
      <c r="N86" s="683">
        <v>75000</v>
      </c>
      <c r="O86" s="688">
        <f t="shared" si="38"/>
        <v>70101</v>
      </c>
      <c r="P86" s="601">
        <f t="shared" si="26"/>
        <v>2430561</v>
      </c>
      <c r="Q86" s="669">
        <v>20000</v>
      </c>
      <c r="R86" s="669">
        <v>50000</v>
      </c>
      <c r="S86" s="600">
        <f t="shared" si="27"/>
        <v>182292.07499999998</v>
      </c>
      <c r="T86" s="600">
        <f t="shared" si="28"/>
        <v>60764.025000000001</v>
      </c>
      <c r="U86" s="600"/>
      <c r="V86" s="606">
        <f t="shared" si="29"/>
        <v>2673617.1</v>
      </c>
      <c r="W86" s="370">
        <f t="shared" si="30"/>
        <v>0.15</v>
      </c>
      <c r="X86" s="655">
        <f t="shared" si="31"/>
        <v>401042.565</v>
      </c>
      <c r="Y86" s="368">
        <f t="shared" si="32"/>
        <v>15000</v>
      </c>
      <c r="Z86" s="655">
        <f t="shared" si="33"/>
        <v>386042.565</v>
      </c>
      <c r="AA86" s="366">
        <f t="shared" si="34"/>
        <v>30</v>
      </c>
      <c r="AB86" s="655">
        <f t="shared" si="35"/>
        <v>12868.085499999999</v>
      </c>
      <c r="AC86" s="655">
        <f t="shared" si="36"/>
        <v>2272574.5350000001</v>
      </c>
      <c r="AD86" s="655">
        <f t="shared" si="37"/>
        <v>17619.246181000592</v>
      </c>
      <c r="AE86" s="655">
        <f t="shared" si="37"/>
        <v>20426.542377401045</v>
      </c>
      <c r="AF86" s="655">
        <f t="shared" si="37"/>
        <v>26386.517316982176</v>
      </c>
      <c r="AG86" s="655">
        <f t="shared" si="21"/>
        <v>44999.699565277529</v>
      </c>
      <c r="AR86" t="str">
        <f>VLOOKUP(E$6:E$287,'[7]Sales Report'!$B$7:$C$288,2,FALSE)</f>
        <v>SOLD</v>
      </c>
      <c r="AS86" s="355" t="s">
        <v>236</v>
      </c>
    </row>
    <row r="87" spans="1:45" ht="14.25" customHeight="1">
      <c r="A87" s="651">
        <v>7000</v>
      </c>
      <c r="B87" s="641" t="s">
        <v>952</v>
      </c>
      <c r="C87" s="391"/>
      <c r="D87" s="367"/>
      <c r="E87" s="367" t="s">
        <v>325</v>
      </c>
      <c r="F87" s="367" t="s">
        <v>894</v>
      </c>
      <c r="G87" s="354">
        <v>22</v>
      </c>
      <c r="H87" s="587">
        <v>2000000</v>
      </c>
      <c r="I87" s="600">
        <f t="shared" si="22"/>
        <v>154000</v>
      </c>
      <c r="J87" s="600">
        <f t="shared" si="23"/>
        <v>18480</v>
      </c>
      <c r="K87" s="604">
        <f t="shared" si="24"/>
        <v>63700</v>
      </c>
      <c r="L87" s="666">
        <f t="shared" si="25"/>
        <v>2236180</v>
      </c>
      <c r="M87" s="666"/>
      <c r="N87" s="683">
        <v>75000</v>
      </c>
      <c r="O87" s="688">
        <f t="shared" si="38"/>
        <v>68781</v>
      </c>
      <c r="P87" s="601">
        <f t="shared" si="26"/>
        <v>2379961</v>
      </c>
      <c r="Q87" s="669">
        <v>20000</v>
      </c>
      <c r="R87" s="669">
        <v>50000</v>
      </c>
      <c r="S87" s="600">
        <f t="shared" si="27"/>
        <v>178497.07499999998</v>
      </c>
      <c r="T87" s="600">
        <f t="shared" si="28"/>
        <v>59499.025000000001</v>
      </c>
      <c r="U87" s="600"/>
      <c r="V87" s="606">
        <f t="shared" si="29"/>
        <v>2617957.1</v>
      </c>
      <c r="W87" s="370">
        <f t="shared" si="30"/>
        <v>0.15</v>
      </c>
      <c r="X87" s="655">
        <f t="shared" si="31"/>
        <v>392693.565</v>
      </c>
      <c r="Y87" s="368">
        <f t="shared" si="32"/>
        <v>15000</v>
      </c>
      <c r="Z87" s="655">
        <f t="shared" si="33"/>
        <v>377693.565</v>
      </c>
      <c r="AA87" s="366">
        <f t="shared" si="34"/>
        <v>30</v>
      </c>
      <c r="AB87" s="655">
        <f t="shared" si="35"/>
        <v>12589.7855</v>
      </c>
      <c r="AC87" s="655">
        <f t="shared" si="36"/>
        <v>2225263.5350000001</v>
      </c>
      <c r="AD87" s="655">
        <f t="shared" si="37"/>
        <v>17252.444501569946</v>
      </c>
      <c r="AE87" s="655">
        <f t="shared" si="37"/>
        <v>20001.297734581345</v>
      </c>
      <c r="AF87" s="655">
        <f t="shared" si="37"/>
        <v>25837.196490950944</v>
      </c>
      <c r="AG87" s="655">
        <f t="shared" si="21"/>
        <v>44062.88506113505</v>
      </c>
      <c r="AR87" t="str">
        <f>VLOOKUP(E$6:E$287,'[7]Sales Report'!$B$7:$C$288,2,FALSE)</f>
        <v>SOLD</v>
      </c>
      <c r="AS87" s="355" t="s">
        <v>236</v>
      </c>
    </row>
    <row r="88" spans="1:45" ht="14.25" customHeight="1">
      <c r="A88" s="651">
        <v>7000</v>
      </c>
      <c r="B88" s="641" t="s">
        <v>952</v>
      </c>
      <c r="C88" s="391"/>
      <c r="D88" s="367"/>
      <c r="E88" s="367" t="s">
        <v>327</v>
      </c>
      <c r="F88" s="367" t="s">
        <v>894</v>
      </c>
      <c r="G88" s="354">
        <v>22</v>
      </c>
      <c r="H88" s="587">
        <v>2000000</v>
      </c>
      <c r="I88" s="600">
        <f t="shared" si="22"/>
        <v>154000</v>
      </c>
      <c r="J88" s="600">
        <f t="shared" si="23"/>
        <v>18480</v>
      </c>
      <c r="K88" s="604">
        <f t="shared" si="24"/>
        <v>63700</v>
      </c>
      <c r="L88" s="666">
        <f t="shared" si="25"/>
        <v>2236180</v>
      </c>
      <c r="M88" s="666"/>
      <c r="N88" s="683">
        <v>75000</v>
      </c>
      <c r="O88" s="688">
        <f t="shared" si="38"/>
        <v>68781</v>
      </c>
      <c r="P88" s="601">
        <f t="shared" si="26"/>
        <v>2379961</v>
      </c>
      <c r="Q88" s="669">
        <v>20000</v>
      </c>
      <c r="R88" s="669">
        <v>50000</v>
      </c>
      <c r="S88" s="600">
        <f t="shared" si="27"/>
        <v>178497.07499999998</v>
      </c>
      <c r="T88" s="600">
        <f t="shared" si="28"/>
        <v>59499.025000000001</v>
      </c>
      <c r="U88" s="600"/>
      <c r="V88" s="606">
        <f t="shared" si="29"/>
        <v>2617957.1</v>
      </c>
      <c r="W88" s="370">
        <f t="shared" si="30"/>
        <v>0.15</v>
      </c>
      <c r="X88" s="655">
        <f t="shared" si="31"/>
        <v>392693.565</v>
      </c>
      <c r="Y88" s="368">
        <f t="shared" si="32"/>
        <v>15000</v>
      </c>
      <c r="Z88" s="655">
        <f t="shared" si="33"/>
        <v>377693.565</v>
      </c>
      <c r="AA88" s="366">
        <f t="shared" si="34"/>
        <v>30</v>
      </c>
      <c r="AB88" s="655">
        <f t="shared" si="35"/>
        <v>12589.7855</v>
      </c>
      <c r="AC88" s="655">
        <f t="shared" si="36"/>
        <v>2225263.5350000001</v>
      </c>
      <c r="AD88" s="655">
        <f t="shared" si="37"/>
        <v>17252.444501569946</v>
      </c>
      <c r="AE88" s="655">
        <f t="shared" si="37"/>
        <v>20001.297734581345</v>
      </c>
      <c r="AF88" s="655">
        <f t="shared" si="37"/>
        <v>25837.196490950944</v>
      </c>
      <c r="AG88" s="655">
        <f t="shared" si="21"/>
        <v>44062.88506113505</v>
      </c>
      <c r="AR88" t="str">
        <f>VLOOKUP(E$6:E$287,'[7]Sales Report'!$B$7:$C$288,2,FALSE)</f>
        <v>SOLD</v>
      </c>
      <c r="AS88" s="355" t="s">
        <v>236</v>
      </c>
    </row>
    <row r="89" spans="1:45" ht="14.25" customHeight="1">
      <c r="A89" s="651">
        <v>7000</v>
      </c>
      <c r="B89" s="641" t="s">
        <v>952</v>
      </c>
      <c r="C89" s="391"/>
      <c r="D89" s="367"/>
      <c r="E89" s="367" t="s">
        <v>328</v>
      </c>
      <c r="F89" s="367" t="s">
        <v>894</v>
      </c>
      <c r="G89" s="354">
        <v>22</v>
      </c>
      <c r="H89" s="587">
        <v>2000000</v>
      </c>
      <c r="I89" s="600">
        <f t="shared" si="22"/>
        <v>154000</v>
      </c>
      <c r="J89" s="600">
        <f t="shared" si="23"/>
        <v>18480</v>
      </c>
      <c r="K89" s="604">
        <f t="shared" si="24"/>
        <v>63700</v>
      </c>
      <c r="L89" s="666">
        <f t="shared" si="25"/>
        <v>2236180</v>
      </c>
      <c r="M89" s="666"/>
      <c r="N89" s="683">
        <v>75000</v>
      </c>
      <c r="O89" s="688">
        <f t="shared" si="38"/>
        <v>68781</v>
      </c>
      <c r="P89" s="601">
        <f t="shared" si="26"/>
        <v>2379961</v>
      </c>
      <c r="Q89" s="669">
        <v>20000</v>
      </c>
      <c r="R89" s="669">
        <v>50000</v>
      </c>
      <c r="S89" s="600">
        <f t="shared" si="27"/>
        <v>178497.07499999998</v>
      </c>
      <c r="T89" s="600">
        <f t="shared" si="28"/>
        <v>59499.025000000001</v>
      </c>
      <c r="U89" s="600"/>
      <c r="V89" s="606">
        <f t="shared" si="29"/>
        <v>2617957.1</v>
      </c>
      <c r="W89" s="370">
        <f t="shared" si="30"/>
        <v>0.15</v>
      </c>
      <c r="X89" s="655">
        <f t="shared" si="31"/>
        <v>392693.565</v>
      </c>
      <c r="Y89" s="368">
        <f t="shared" si="32"/>
        <v>15000</v>
      </c>
      <c r="Z89" s="655">
        <f t="shared" si="33"/>
        <v>377693.565</v>
      </c>
      <c r="AA89" s="366">
        <f t="shared" si="34"/>
        <v>30</v>
      </c>
      <c r="AB89" s="655">
        <f t="shared" si="35"/>
        <v>12589.7855</v>
      </c>
      <c r="AC89" s="655">
        <f t="shared" si="36"/>
        <v>2225263.5350000001</v>
      </c>
      <c r="AD89" s="655">
        <f t="shared" si="37"/>
        <v>17252.444501569946</v>
      </c>
      <c r="AE89" s="655">
        <f t="shared" si="37"/>
        <v>20001.297734581345</v>
      </c>
      <c r="AF89" s="655">
        <f t="shared" si="37"/>
        <v>25837.196490950944</v>
      </c>
      <c r="AG89" s="655">
        <f t="shared" si="21"/>
        <v>44062.88506113505</v>
      </c>
      <c r="AR89" t="str">
        <f>VLOOKUP(E$6:E$287,'[7]Sales Report'!$B$7:$C$288,2,FALSE)</f>
        <v>SOLD</v>
      </c>
      <c r="AS89" s="355" t="s">
        <v>236</v>
      </c>
    </row>
    <row r="90" spans="1:45" ht="14.25" customHeight="1">
      <c r="A90" s="651">
        <v>7000</v>
      </c>
      <c r="B90" s="641" t="s">
        <v>952</v>
      </c>
      <c r="C90" s="391"/>
      <c r="D90" s="367"/>
      <c r="E90" s="367" t="s">
        <v>331</v>
      </c>
      <c r="F90" s="367" t="s">
        <v>894</v>
      </c>
      <c r="G90" s="354">
        <v>22</v>
      </c>
      <c r="H90" s="587">
        <v>2000000</v>
      </c>
      <c r="I90" s="600">
        <f t="shared" si="22"/>
        <v>154000</v>
      </c>
      <c r="J90" s="600">
        <f t="shared" si="23"/>
        <v>18480</v>
      </c>
      <c r="K90" s="604">
        <f t="shared" si="24"/>
        <v>63700</v>
      </c>
      <c r="L90" s="666">
        <f t="shared" si="25"/>
        <v>2236180</v>
      </c>
      <c r="M90" s="666"/>
      <c r="N90" s="683">
        <v>75000</v>
      </c>
      <c r="O90" s="688">
        <f t="shared" si="38"/>
        <v>68781</v>
      </c>
      <c r="P90" s="601">
        <f t="shared" si="26"/>
        <v>2379961</v>
      </c>
      <c r="Q90" s="669">
        <v>20000</v>
      </c>
      <c r="R90" s="669">
        <v>50000</v>
      </c>
      <c r="S90" s="600">
        <f t="shared" si="27"/>
        <v>178497.07499999998</v>
      </c>
      <c r="T90" s="600">
        <f t="shared" si="28"/>
        <v>59499.025000000001</v>
      </c>
      <c r="U90" s="600"/>
      <c r="V90" s="606">
        <f t="shared" si="29"/>
        <v>2617957.1</v>
      </c>
      <c r="W90" s="370">
        <f t="shared" si="30"/>
        <v>0.15</v>
      </c>
      <c r="X90" s="655">
        <f t="shared" si="31"/>
        <v>392693.565</v>
      </c>
      <c r="Y90" s="368">
        <f t="shared" si="32"/>
        <v>15000</v>
      </c>
      <c r="Z90" s="655">
        <f t="shared" si="33"/>
        <v>377693.565</v>
      </c>
      <c r="AA90" s="366">
        <f t="shared" si="34"/>
        <v>30</v>
      </c>
      <c r="AB90" s="655">
        <f t="shared" si="35"/>
        <v>12589.7855</v>
      </c>
      <c r="AC90" s="655">
        <f t="shared" si="36"/>
        <v>2225263.5350000001</v>
      </c>
      <c r="AD90" s="655">
        <f t="shared" si="37"/>
        <v>17252.444501569946</v>
      </c>
      <c r="AE90" s="655">
        <f t="shared" si="37"/>
        <v>20001.297734581345</v>
      </c>
      <c r="AF90" s="655">
        <f t="shared" si="37"/>
        <v>25837.196490950944</v>
      </c>
      <c r="AG90" s="655">
        <f t="shared" si="21"/>
        <v>44062.88506113505</v>
      </c>
      <c r="AR90" t="str">
        <f>VLOOKUP(E$6:E$287,'[7]Sales Report'!$B$7:$C$288,2,FALSE)</f>
        <v>SOLD</v>
      </c>
      <c r="AS90" s="355" t="s">
        <v>236</v>
      </c>
    </row>
    <row r="91" spans="1:45" ht="14.25" customHeight="1">
      <c r="A91" s="651">
        <v>7000</v>
      </c>
      <c r="B91" s="641" t="s">
        <v>952</v>
      </c>
      <c r="C91" s="391"/>
      <c r="D91" s="367"/>
      <c r="E91" s="367" t="s">
        <v>332</v>
      </c>
      <c r="F91" s="367" t="s">
        <v>894</v>
      </c>
      <c r="G91" s="354">
        <v>22</v>
      </c>
      <c r="H91" s="587">
        <v>2000000</v>
      </c>
      <c r="I91" s="600">
        <f t="shared" si="22"/>
        <v>154000</v>
      </c>
      <c r="J91" s="600">
        <f t="shared" si="23"/>
        <v>18480</v>
      </c>
      <c r="K91" s="604">
        <f t="shared" si="24"/>
        <v>63700</v>
      </c>
      <c r="L91" s="666">
        <f t="shared" si="25"/>
        <v>2236180</v>
      </c>
      <c r="M91" s="666"/>
      <c r="N91" s="683">
        <v>75000</v>
      </c>
      <c r="O91" s="688">
        <f t="shared" si="38"/>
        <v>68781</v>
      </c>
      <c r="P91" s="601">
        <f t="shared" si="26"/>
        <v>2379961</v>
      </c>
      <c r="Q91" s="669">
        <v>20000</v>
      </c>
      <c r="R91" s="669">
        <v>50000</v>
      </c>
      <c r="S91" s="600">
        <f t="shared" si="27"/>
        <v>178497.07499999998</v>
      </c>
      <c r="T91" s="600">
        <f t="shared" si="28"/>
        <v>59499.025000000001</v>
      </c>
      <c r="U91" s="600"/>
      <c r="V91" s="606">
        <f t="shared" si="29"/>
        <v>2617957.1</v>
      </c>
      <c r="W91" s="370">
        <f t="shared" si="30"/>
        <v>0.15</v>
      </c>
      <c r="X91" s="655">
        <f t="shared" si="31"/>
        <v>392693.565</v>
      </c>
      <c r="Y91" s="368">
        <f t="shared" si="32"/>
        <v>15000</v>
      </c>
      <c r="Z91" s="655">
        <f t="shared" si="33"/>
        <v>377693.565</v>
      </c>
      <c r="AA91" s="366">
        <f t="shared" si="34"/>
        <v>30</v>
      </c>
      <c r="AB91" s="655">
        <f t="shared" si="35"/>
        <v>12589.7855</v>
      </c>
      <c r="AC91" s="655">
        <f t="shared" si="36"/>
        <v>2225263.5350000001</v>
      </c>
      <c r="AD91" s="655">
        <f t="shared" si="37"/>
        <v>17252.444501569946</v>
      </c>
      <c r="AE91" s="655">
        <f t="shared" si="37"/>
        <v>20001.297734581345</v>
      </c>
      <c r="AF91" s="655">
        <f t="shared" si="37"/>
        <v>25837.196490950944</v>
      </c>
      <c r="AG91" s="655">
        <f t="shared" si="21"/>
        <v>44062.88506113505</v>
      </c>
      <c r="AR91" t="str">
        <f>VLOOKUP(E$6:E$287,'[7]Sales Report'!$B$7:$C$288,2,FALSE)</f>
        <v>SOLD</v>
      </c>
      <c r="AS91" s="355" t="s">
        <v>236</v>
      </c>
    </row>
    <row r="92" spans="1:45" ht="14.25" customHeight="1">
      <c r="A92" s="651">
        <v>7000</v>
      </c>
      <c r="B92" s="641" t="s">
        <v>952</v>
      </c>
      <c r="C92" s="391"/>
      <c r="D92" s="367"/>
      <c r="E92" s="367" t="s">
        <v>333</v>
      </c>
      <c r="F92" s="367" t="s">
        <v>894</v>
      </c>
      <c r="G92" s="354">
        <v>22</v>
      </c>
      <c r="H92" s="587">
        <v>2000000</v>
      </c>
      <c r="I92" s="600">
        <f t="shared" si="22"/>
        <v>154000</v>
      </c>
      <c r="J92" s="600">
        <f t="shared" si="23"/>
        <v>18480</v>
      </c>
      <c r="K92" s="604">
        <f t="shared" si="24"/>
        <v>63700</v>
      </c>
      <c r="L92" s="666">
        <f t="shared" si="25"/>
        <v>2236180</v>
      </c>
      <c r="M92" s="666"/>
      <c r="N92" s="683">
        <v>75000</v>
      </c>
      <c r="O92" s="688">
        <f t="shared" si="38"/>
        <v>68781</v>
      </c>
      <c r="P92" s="601">
        <f t="shared" si="26"/>
        <v>2379961</v>
      </c>
      <c r="Q92" s="669">
        <v>20000</v>
      </c>
      <c r="R92" s="669">
        <v>50000</v>
      </c>
      <c r="S92" s="600">
        <f t="shared" si="27"/>
        <v>178497.07499999998</v>
      </c>
      <c r="T92" s="600">
        <f t="shared" si="28"/>
        <v>59499.025000000001</v>
      </c>
      <c r="U92" s="600"/>
      <c r="V92" s="606">
        <f t="shared" si="29"/>
        <v>2617957.1</v>
      </c>
      <c r="W92" s="370">
        <f t="shared" si="30"/>
        <v>0.15</v>
      </c>
      <c r="X92" s="655">
        <f t="shared" si="31"/>
        <v>392693.565</v>
      </c>
      <c r="Y92" s="368">
        <f t="shared" si="32"/>
        <v>15000</v>
      </c>
      <c r="Z92" s="655">
        <f t="shared" si="33"/>
        <v>377693.565</v>
      </c>
      <c r="AA92" s="366">
        <f t="shared" si="34"/>
        <v>30</v>
      </c>
      <c r="AB92" s="655">
        <f t="shared" si="35"/>
        <v>12589.7855</v>
      </c>
      <c r="AC92" s="655">
        <f t="shared" si="36"/>
        <v>2225263.5350000001</v>
      </c>
      <c r="AD92" s="655">
        <f t="shared" si="37"/>
        <v>17252.444501569946</v>
      </c>
      <c r="AE92" s="655">
        <f t="shared" si="37"/>
        <v>20001.297734581345</v>
      </c>
      <c r="AF92" s="655">
        <f t="shared" si="37"/>
        <v>25837.196490950944</v>
      </c>
      <c r="AG92" s="655">
        <f t="shared" si="21"/>
        <v>44062.88506113505</v>
      </c>
      <c r="AR92" t="str">
        <f>VLOOKUP(E$6:E$287,'[7]Sales Report'!$B$7:$C$288,2,FALSE)</f>
        <v>SOLD</v>
      </c>
      <c r="AS92" s="355" t="s">
        <v>236</v>
      </c>
    </row>
    <row r="93" spans="1:45" ht="14.25" customHeight="1">
      <c r="A93" s="651">
        <v>11000</v>
      </c>
      <c r="B93" s="641" t="s">
        <v>953</v>
      </c>
      <c r="C93" s="391"/>
      <c r="D93" s="367"/>
      <c r="E93" s="367" t="s">
        <v>334</v>
      </c>
      <c r="F93" s="367" t="s">
        <v>894</v>
      </c>
      <c r="G93" s="354">
        <v>22</v>
      </c>
      <c r="H93" s="587">
        <v>2000000</v>
      </c>
      <c r="I93" s="600">
        <f t="shared" si="22"/>
        <v>242000</v>
      </c>
      <c r="J93" s="600">
        <f t="shared" si="23"/>
        <v>29040</v>
      </c>
      <c r="K93" s="604">
        <f t="shared" si="24"/>
        <v>63700</v>
      </c>
      <c r="L93" s="666">
        <f t="shared" si="25"/>
        <v>2334740</v>
      </c>
      <c r="M93" s="666"/>
      <c r="N93" s="683">
        <v>75000</v>
      </c>
      <c r="O93" s="688">
        <f t="shared" si="38"/>
        <v>71421</v>
      </c>
      <c r="P93" s="601">
        <f t="shared" si="26"/>
        <v>2481161</v>
      </c>
      <c r="Q93" s="669">
        <v>20000</v>
      </c>
      <c r="R93" s="669">
        <v>50000</v>
      </c>
      <c r="S93" s="600">
        <f t="shared" si="27"/>
        <v>186087.07499999998</v>
      </c>
      <c r="T93" s="600">
        <f t="shared" si="28"/>
        <v>62029.025000000001</v>
      </c>
      <c r="U93" s="600"/>
      <c r="V93" s="606">
        <f t="shared" si="29"/>
        <v>2729277.1</v>
      </c>
      <c r="W93" s="370">
        <f>W$297</f>
        <v>0.15</v>
      </c>
      <c r="X93" s="655">
        <f t="shared" si="31"/>
        <v>409391.565</v>
      </c>
      <c r="Y93" s="368">
        <f t="shared" si="32"/>
        <v>15000</v>
      </c>
      <c r="Z93" s="655">
        <f t="shared" si="33"/>
        <v>394391.565</v>
      </c>
      <c r="AA93" s="366">
        <f t="shared" si="34"/>
        <v>30</v>
      </c>
      <c r="AB93" s="655">
        <f t="shared" si="35"/>
        <v>13146.3855</v>
      </c>
      <c r="AC93" s="655">
        <f t="shared" si="36"/>
        <v>2319885.5350000001</v>
      </c>
      <c r="AD93" s="655">
        <f t="shared" si="37"/>
        <v>17986.047860431237</v>
      </c>
      <c r="AE93" s="655">
        <f t="shared" si="37"/>
        <v>20851.787020220745</v>
      </c>
      <c r="AF93" s="655">
        <f t="shared" si="37"/>
        <v>26935.838143013407</v>
      </c>
      <c r="AG93" s="655">
        <f t="shared" si="21"/>
        <v>45936.514069420002</v>
      </c>
      <c r="AR93" t="str">
        <f>VLOOKUP(E$6:E$287,'[7]Sales Report'!$B$7:$C$288,2,FALSE)</f>
        <v>SOLD</v>
      </c>
      <c r="AS93" s="355" t="s">
        <v>236</v>
      </c>
    </row>
    <row r="94" spans="1:45" ht="14.25" customHeight="1">
      <c r="A94" s="651">
        <v>11000</v>
      </c>
      <c r="B94" s="643" t="s">
        <v>953</v>
      </c>
      <c r="C94" s="391"/>
      <c r="D94" s="367"/>
      <c r="E94" s="367" t="s">
        <v>337</v>
      </c>
      <c r="F94" s="367" t="s">
        <v>894</v>
      </c>
      <c r="G94" s="354">
        <v>22</v>
      </c>
      <c r="H94" s="587">
        <v>2000000</v>
      </c>
      <c r="I94" s="600">
        <f t="shared" si="22"/>
        <v>242000</v>
      </c>
      <c r="J94" s="600">
        <f t="shared" si="23"/>
        <v>29040</v>
      </c>
      <c r="K94" s="604">
        <f t="shared" si="24"/>
        <v>63700</v>
      </c>
      <c r="L94" s="666">
        <f t="shared" si="25"/>
        <v>2334740</v>
      </c>
      <c r="M94" s="666"/>
      <c r="N94" s="683">
        <v>75000</v>
      </c>
      <c r="O94" s="688">
        <f t="shared" si="38"/>
        <v>71421</v>
      </c>
      <c r="P94" s="601">
        <f t="shared" si="26"/>
        <v>2481161</v>
      </c>
      <c r="Q94" s="669">
        <v>20000</v>
      </c>
      <c r="R94" s="669">
        <v>50000</v>
      </c>
      <c r="S94" s="600">
        <f t="shared" si="27"/>
        <v>186087.07499999998</v>
      </c>
      <c r="T94" s="600">
        <f t="shared" si="28"/>
        <v>62029.025000000001</v>
      </c>
      <c r="U94" s="600"/>
      <c r="V94" s="606">
        <f t="shared" si="29"/>
        <v>2729277.1</v>
      </c>
      <c r="W94" s="370">
        <f t="shared" ref="W94:W123" si="39">W$297</f>
        <v>0.15</v>
      </c>
      <c r="X94" s="655">
        <f t="shared" si="31"/>
        <v>409391.565</v>
      </c>
      <c r="Y94" s="368">
        <f t="shared" si="32"/>
        <v>15000</v>
      </c>
      <c r="Z94" s="655">
        <f t="shared" si="33"/>
        <v>394391.565</v>
      </c>
      <c r="AA94" s="366">
        <f t="shared" si="34"/>
        <v>30</v>
      </c>
      <c r="AB94" s="655">
        <f t="shared" si="35"/>
        <v>13146.3855</v>
      </c>
      <c r="AC94" s="655">
        <f t="shared" si="36"/>
        <v>2319885.5350000001</v>
      </c>
      <c r="AD94" s="655">
        <f t="shared" si="37"/>
        <v>17986.047860431237</v>
      </c>
      <c r="AE94" s="655">
        <f t="shared" si="37"/>
        <v>20851.787020220745</v>
      </c>
      <c r="AF94" s="655">
        <f t="shared" si="37"/>
        <v>26935.838143013407</v>
      </c>
      <c r="AG94" s="655">
        <f t="shared" si="21"/>
        <v>45936.514069420002</v>
      </c>
      <c r="AR94" t="str">
        <f>VLOOKUP(E$6:E$287,'[7]Sales Report'!$B$7:$C$288,2,FALSE)</f>
        <v>SOLD</v>
      </c>
      <c r="AS94" s="355" t="s">
        <v>236</v>
      </c>
    </row>
    <row r="95" spans="1:45" ht="14.25" customHeight="1">
      <c r="A95" s="651">
        <v>11000</v>
      </c>
      <c r="B95" s="641" t="s">
        <v>953</v>
      </c>
      <c r="C95" s="391"/>
      <c r="D95" s="367"/>
      <c r="E95" s="367" t="s">
        <v>339</v>
      </c>
      <c r="F95" s="367" t="s">
        <v>894</v>
      </c>
      <c r="G95" s="354">
        <v>22</v>
      </c>
      <c r="H95" s="587">
        <v>2000000</v>
      </c>
      <c r="I95" s="600">
        <f t="shared" si="22"/>
        <v>242000</v>
      </c>
      <c r="J95" s="600">
        <f t="shared" si="23"/>
        <v>29040</v>
      </c>
      <c r="K95" s="604">
        <f t="shared" si="24"/>
        <v>63700</v>
      </c>
      <c r="L95" s="666">
        <f t="shared" si="25"/>
        <v>2334740</v>
      </c>
      <c r="M95" s="666"/>
      <c r="N95" s="683">
        <v>75000</v>
      </c>
      <c r="O95" s="688">
        <f t="shared" si="38"/>
        <v>71421</v>
      </c>
      <c r="P95" s="601">
        <f>SUM(L95+N95+O95)</f>
        <v>2481161</v>
      </c>
      <c r="Q95" s="669">
        <v>20000</v>
      </c>
      <c r="R95" s="669">
        <v>50000</v>
      </c>
      <c r="S95" s="600">
        <f>+P95*$S$5</f>
        <v>186087.07499999998</v>
      </c>
      <c r="T95" s="600">
        <f>+P95*$T$5</f>
        <v>62029.025000000001</v>
      </c>
      <c r="U95" s="600"/>
      <c r="V95" s="606">
        <f t="shared" si="29"/>
        <v>2729277.1</v>
      </c>
      <c r="W95" s="370">
        <f t="shared" si="39"/>
        <v>0.15</v>
      </c>
      <c r="X95" s="655">
        <f t="shared" si="31"/>
        <v>409391.565</v>
      </c>
      <c r="Y95" s="368">
        <f t="shared" si="32"/>
        <v>15000</v>
      </c>
      <c r="Z95" s="655">
        <f t="shared" si="33"/>
        <v>394391.565</v>
      </c>
      <c r="AA95" s="366">
        <f t="shared" si="34"/>
        <v>30</v>
      </c>
      <c r="AB95" s="655">
        <f t="shared" si="35"/>
        <v>13146.3855</v>
      </c>
      <c r="AC95" s="655">
        <f t="shared" si="36"/>
        <v>2319885.5350000001</v>
      </c>
      <c r="AD95" s="655">
        <f t="shared" si="37"/>
        <v>17986.047860431237</v>
      </c>
      <c r="AE95" s="655">
        <f t="shared" si="37"/>
        <v>20851.787020220745</v>
      </c>
      <c r="AF95" s="655">
        <f t="shared" si="37"/>
        <v>26935.838143013407</v>
      </c>
      <c r="AG95" s="655">
        <f t="shared" si="21"/>
        <v>45936.514069420002</v>
      </c>
      <c r="AR95" t="str">
        <f>VLOOKUP(E$6:E$287,'[7]Sales Report'!$B$7:$C$288,2,FALSE)</f>
        <v>SOLD</v>
      </c>
      <c r="AS95" s="355" t="s">
        <v>236</v>
      </c>
    </row>
    <row r="96" spans="1:45" ht="14.25" customHeight="1">
      <c r="A96" s="651">
        <v>11000</v>
      </c>
      <c r="B96" s="642" t="s">
        <v>953</v>
      </c>
      <c r="C96" s="391"/>
      <c r="D96" s="367"/>
      <c r="E96" s="367" t="s">
        <v>341</v>
      </c>
      <c r="F96" s="367" t="s">
        <v>894</v>
      </c>
      <c r="G96" s="354">
        <v>22</v>
      </c>
      <c r="H96" s="587">
        <v>2000000</v>
      </c>
      <c r="I96" s="600">
        <f t="shared" si="22"/>
        <v>242000</v>
      </c>
      <c r="J96" s="600">
        <f t="shared" si="23"/>
        <v>29040</v>
      </c>
      <c r="K96" s="604">
        <f t="shared" si="24"/>
        <v>63700</v>
      </c>
      <c r="L96" s="666">
        <f t="shared" si="25"/>
        <v>2334740</v>
      </c>
      <c r="M96" s="666"/>
      <c r="N96" s="683">
        <v>75000</v>
      </c>
      <c r="O96" s="688">
        <f t="shared" si="38"/>
        <v>71421</v>
      </c>
      <c r="P96" s="601">
        <f t="shared" si="26"/>
        <v>2481161</v>
      </c>
      <c r="Q96" s="669">
        <v>20000</v>
      </c>
      <c r="R96" s="669">
        <v>50000</v>
      </c>
      <c r="S96" s="600">
        <f t="shared" si="27"/>
        <v>186087.07499999998</v>
      </c>
      <c r="T96" s="600">
        <f t="shared" si="28"/>
        <v>62029.025000000001</v>
      </c>
      <c r="U96" s="600"/>
      <c r="V96" s="606">
        <f t="shared" si="29"/>
        <v>2729277.1</v>
      </c>
      <c r="W96" s="370">
        <f t="shared" si="39"/>
        <v>0.15</v>
      </c>
      <c r="X96" s="655">
        <f t="shared" si="31"/>
        <v>409391.565</v>
      </c>
      <c r="Y96" s="368">
        <f t="shared" si="32"/>
        <v>15000</v>
      </c>
      <c r="Z96" s="655">
        <f t="shared" si="33"/>
        <v>394391.565</v>
      </c>
      <c r="AA96" s="366">
        <f t="shared" si="34"/>
        <v>30</v>
      </c>
      <c r="AB96" s="655">
        <f t="shared" si="35"/>
        <v>13146.3855</v>
      </c>
      <c r="AC96" s="655">
        <f t="shared" si="36"/>
        <v>2319885.5350000001</v>
      </c>
      <c r="AD96" s="655">
        <f t="shared" si="37"/>
        <v>17986.047860431237</v>
      </c>
      <c r="AE96" s="655">
        <f t="shared" si="37"/>
        <v>20851.787020220745</v>
      </c>
      <c r="AF96" s="655">
        <f t="shared" si="37"/>
        <v>26935.838143013407</v>
      </c>
      <c r="AG96" s="655">
        <f t="shared" si="21"/>
        <v>45936.514069420002</v>
      </c>
      <c r="AR96" t="str">
        <f>VLOOKUP(E$6:E$287,'[7]Sales Report'!$B$7:$C$288,2,FALSE)</f>
        <v>SOLD</v>
      </c>
      <c r="AS96" s="355" t="s">
        <v>236</v>
      </c>
    </row>
    <row r="97" spans="1:45" ht="14.25" customHeight="1">
      <c r="A97" s="651">
        <v>11000</v>
      </c>
      <c r="B97" s="641" t="s">
        <v>953</v>
      </c>
      <c r="C97" s="391"/>
      <c r="D97" s="367"/>
      <c r="E97" s="367" t="s">
        <v>344</v>
      </c>
      <c r="F97" s="367" t="s">
        <v>894</v>
      </c>
      <c r="G97" s="354">
        <v>22</v>
      </c>
      <c r="H97" s="587">
        <v>2000000</v>
      </c>
      <c r="I97" s="600">
        <f t="shared" si="22"/>
        <v>242000</v>
      </c>
      <c r="J97" s="600">
        <f t="shared" si="23"/>
        <v>29040</v>
      </c>
      <c r="K97" s="604">
        <f t="shared" si="24"/>
        <v>63700</v>
      </c>
      <c r="L97" s="666">
        <f t="shared" si="25"/>
        <v>2334740</v>
      </c>
      <c r="M97" s="666"/>
      <c r="N97" s="683">
        <v>75000</v>
      </c>
      <c r="O97" s="688">
        <f t="shared" si="38"/>
        <v>71421</v>
      </c>
      <c r="P97" s="601">
        <f t="shared" si="26"/>
        <v>2481161</v>
      </c>
      <c r="Q97" s="669">
        <v>20000</v>
      </c>
      <c r="R97" s="669">
        <v>50000</v>
      </c>
      <c r="S97" s="600">
        <f t="shared" si="27"/>
        <v>186087.07499999998</v>
      </c>
      <c r="T97" s="600">
        <f t="shared" si="28"/>
        <v>62029.025000000001</v>
      </c>
      <c r="U97" s="600"/>
      <c r="V97" s="606">
        <f t="shared" si="29"/>
        <v>2729277.1</v>
      </c>
      <c r="W97" s="370">
        <f t="shared" si="39"/>
        <v>0.15</v>
      </c>
      <c r="X97" s="655">
        <f t="shared" si="31"/>
        <v>409391.565</v>
      </c>
      <c r="Y97" s="368">
        <f t="shared" si="32"/>
        <v>15000</v>
      </c>
      <c r="Z97" s="655">
        <f t="shared" si="33"/>
        <v>394391.565</v>
      </c>
      <c r="AA97" s="366">
        <f t="shared" si="34"/>
        <v>30</v>
      </c>
      <c r="AB97" s="655">
        <f t="shared" si="35"/>
        <v>13146.3855</v>
      </c>
      <c r="AC97" s="655">
        <f t="shared" si="36"/>
        <v>2319885.5350000001</v>
      </c>
      <c r="AD97" s="655">
        <f t="shared" si="37"/>
        <v>17986.047860431237</v>
      </c>
      <c r="AE97" s="655">
        <f t="shared" si="37"/>
        <v>20851.787020220745</v>
      </c>
      <c r="AF97" s="655">
        <f t="shared" si="37"/>
        <v>26935.838143013407</v>
      </c>
      <c r="AG97" s="655">
        <f t="shared" si="21"/>
        <v>45936.514069420002</v>
      </c>
      <c r="AR97" t="str">
        <f>VLOOKUP(E$6:E$287,'[7]Sales Report'!$B$7:$C$288,2,FALSE)</f>
        <v>SOLD</v>
      </c>
      <c r="AS97" s="355" t="s">
        <v>236</v>
      </c>
    </row>
    <row r="98" spans="1:45" ht="14.25" customHeight="1">
      <c r="A98" s="651">
        <v>11000</v>
      </c>
      <c r="B98" s="641" t="s">
        <v>953</v>
      </c>
      <c r="C98" s="391"/>
      <c r="D98" s="367"/>
      <c r="E98" s="367" t="s">
        <v>346</v>
      </c>
      <c r="F98" s="367" t="s">
        <v>894</v>
      </c>
      <c r="G98" s="354">
        <v>22</v>
      </c>
      <c r="H98" s="587">
        <v>2000000</v>
      </c>
      <c r="I98" s="600">
        <f t="shared" si="22"/>
        <v>242000</v>
      </c>
      <c r="J98" s="600">
        <f t="shared" si="23"/>
        <v>29040</v>
      </c>
      <c r="K98" s="604">
        <f t="shared" si="24"/>
        <v>63700</v>
      </c>
      <c r="L98" s="666">
        <f t="shared" si="25"/>
        <v>2334740</v>
      </c>
      <c r="M98" s="666"/>
      <c r="N98" s="683">
        <v>75000</v>
      </c>
      <c r="O98" s="688">
        <f t="shared" si="38"/>
        <v>71421</v>
      </c>
      <c r="P98" s="601">
        <f t="shared" si="26"/>
        <v>2481161</v>
      </c>
      <c r="Q98" s="669">
        <v>20000</v>
      </c>
      <c r="R98" s="669">
        <v>50000</v>
      </c>
      <c r="S98" s="600">
        <f t="shared" si="27"/>
        <v>186087.07499999998</v>
      </c>
      <c r="T98" s="600">
        <f t="shared" si="28"/>
        <v>62029.025000000001</v>
      </c>
      <c r="U98" s="600"/>
      <c r="V98" s="606">
        <f t="shared" si="29"/>
        <v>2729277.1</v>
      </c>
      <c r="W98" s="370">
        <f t="shared" si="39"/>
        <v>0.15</v>
      </c>
      <c r="X98" s="655">
        <f t="shared" si="31"/>
        <v>409391.565</v>
      </c>
      <c r="Y98" s="368">
        <f t="shared" si="32"/>
        <v>15000</v>
      </c>
      <c r="Z98" s="655">
        <f t="shared" si="33"/>
        <v>394391.565</v>
      </c>
      <c r="AA98" s="366">
        <f t="shared" si="34"/>
        <v>30</v>
      </c>
      <c r="AB98" s="655">
        <f t="shared" si="35"/>
        <v>13146.3855</v>
      </c>
      <c r="AC98" s="655">
        <f t="shared" si="36"/>
        <v>2319885.5350000001</v>
      </c>
      <c r="AD98" s="655">
        <f t="shared" si="37"/>
        <v>17986.047860431237</v>
      </c>
      <c r="AE98" s="655">
        <f t="shared" si="37"/>
        <v>20851.787020220745</v>
      </c>
      <c r="AF98" s="655">
        <f t="shared" si="37"/>
        <v>26935.838143013407</v>
      </c>
      <c r="AG98" s="655">
        <f t="shared" si="21"/>
        <v>45936.514069420002</v>
      </c>
      <c r="AR98" t="str">
        <f>VLOOKUP(E$6:E$287,'[7]Sales Report'!$B$7:$C$288,2,FALSE)</f>
        <v>SOLD</v>
      </c>
      <c r="AS98" s="355" t="s">
        <v>236</v>
      </c>
    </row>
    <row r="99" spans="1:45" ht="14.25" customHeight="1">
      <c r="A99" s="651">
        <v>11000</v>
      </c>
      <c r="B99" s="641" t="s">
        <v>953</v>
      </c>
      <c r="C99" s="391"/>
      <c r="D99" s="367"/>
      <c r="E99" s="367" t="s">
        <v>348</v>
      </c>
      <c r="F99" s="367" t="s">
        <v>894</v>
      </c>
      <c r="G99" s="354">
        <v>22</v>
      </c>
      <c r="H99" s="587">
        <v>2000000</v>
      </c>
      <c r="I99" s="600">
        <f t="shared" si="22"/>
        <v>242000</v>
      </c>
      <c r="J99" s="600">
        <f t="shared" si="23"/>
        <v>29040</v>
      </c>
      <c r="K99" s="604">
        <f t="shared" si="24"/>
        <v>63700</v>
      </c>
      <c r="L99" s="666">
        <f t="shared" si="25"/>
        <v>2334740</v>
      </c>
      <c r="M99" s="666"/>
      <c r="N99" s="683">
        <v>75000</v>
      </c>
      <c r="O99" s="688">
        <f t="shared" si="38"/>
        <v>71421</v>
      </c>
      <c r="P99" s="601">
        <f t="shared" si="26"/>
        <v>2481161</v>
      </c>
      <c r="Q99" s="669">
        <v>20000</v>
      </c>
      <c r="R99" s="669">
        <v>50000</v>
      </c>
      <c r="S99" s="600">
        <f t="shared" si="27"/>
        <v>186087.07499999998</v>
      </c>
      <c r="T99" s="600">
        <f t="shared" si="28"/>
        <v>62029.025000000001</v>
      </c>
      <c r="U99" s="600"/>
      <c r="V99" s="606">
        <f t="shared" si="29"/>
        <v>2729277.1</v>
      </c>
      <c r="W99" s="370">
        <f t="shared" si="39"/>
        <v>0.15</v>
      </c>
      <c r="X99" s="655">
        <f t="shared" si="31"/>
        <v>409391.565</v>
      </c>
      <c r="Y99" s="368">
        <f t="shared" si="32"/>
        <v>15000</v>
      </c>
      <c r="Z99" s="655">
        <f t="shared" si="33"/>
        <v>394391.565</v>
      </c>
      <c r="AA99" s="366">
        <f t="shared" si="34"/>
        <v>30</v>
      </c>
      <c r="AB99" s="655">
        <f t="shared" si="35"/>
        <v>13146.3855</v>
      </c>
      <c r="AC99" s="655">
        <f t="shared" si="36"/>
        <v>2319885.5350000001</v>
      </c>
      <c r="AD99" s="655">
        <f t="shared" si="37"/>
        <v>17986.047860431237</v>
      </c>
      <c r="AE99" s="655">
        <f t="shared" si="37"/>
        <v>20851.787020220745</v>
      </c>
      <c r="AF99" s="655">
        <f t="shared" si="37"/>
        <v>26935.838143013407</v>
      </c>
      <c r="AG99" s="655">
        <f t="shared" si="21"/>
        <v>45936.514069420002</v>
      </c>
      <c r="AR99" t="str">
        <f>VLOOKUP(E$6:E$287,'[7]Sales Report'!$B$7:$C$288,2,FALSE)</f>
        <v>SOLD</v>
      </c>
      <c r="AS99" s="355" t="s">
        <v>236</v>
      </c>
    </row>
    <row r="100" spans="1:45" ht="14.25" customHeight="1">
      <c r="A100" s="651">
        <v>11000</v>
      </c>
      <c r="B100" s="641" t="s">
        <v>953</v>
      </c>
      <c r="C100" s="391"/>
      <c r="D100" s="367"/>
      <c r="E100" s="367" t="s">
        <v>350</v>
      </c>
      <c r="F100" s="367" t="s">
        <v>894</v>
      </c>
      <c r="G100" s="354">
        <v>22</v>
      </c>
      <c r="H100" s="587">
        <v>2000000</v>
      </c>
      <c r="I100" s="600">
        <f t="shared" si="22"/>
        <v>242000</v>
      </c>
      <c r="J100" s="600">
        <f t="shared" si="23"/>
        <v>29040</v>
      </c>
      <c r="K100" s="604">
        <f t="shared" si="24"/>
        <v>63700</v>
      </c>
      <c r="L100" s="666">
        <f t="shared" si="25"/>
        <v>2334740</v>
      </c>
      <c r="M100" s="666"/>
      <c r="N100" s="683">
        <v>75000</v>
      </c>
      <c r="O100" s="688">
        <f t="shared" si="38"/>
        <v>71421</v>
      </c>
      <c r="P100" s="601">
        <f t="shared" si="26"/>
        <v>2481161</v>
      </c>
      <c r="Q100" s="669">
        <v>20000</v>
      </c>
      <c r="R100" s="669">
        <v>50000</v>
      </c>
      <c r="S100" s="600">
        <f t="shared" si="27"/>
        <v>186087.07499999998</v>
      </c>
      <c r="T100" s="600">
        <f t="shared" si="28"/>
        <v>62029.025000000001</v>
      </c>
      <c r="U100" s="600"/>
      <c r="V100" s="606">
        <f t="shared" si="29"/>
        <v>2729277.1</v>
      </c>
      <c r="W100" s="370">
        <f t="shared" si="39"/>
        <v>0.15</v>
      </c>
      <c r="X100" s="655">
        <f t="shared" si="31"/>
        <v>409391.565</v>
      </c>
      <c r="Y100" s="368">
        <f t="shared" si="32"/>
        <v>15000</v>
      </c>
      <c r="Z100" s="655">
        <f t="shared" si="33"/>
        <v>394391.565</v>
      </c>
      <c r="AA100" s="366">
        <f t="shared" si="34"/>
        <v>30</v>
      </c>
      <c r="AB100" s="655">
        <f t="shared" si="35"/>
        <v>13146.3855</v>
      </c>
      <c r="AC100" s="655">
        <f t="shared" si="36"/>
        <v>2319885.5350000001</v>
      </c>
      <c r="AD100" s="655">
        <f t="shared" si="37"/>
        <v>17986.047860431237</v>
      </c>
      <c r="AE100" s="655">
        <f t="shared" si="37"/>
        <v>20851.787020220745</v>
      </c>
      <c r="AF100" s="655">
        <f t="shared" si="37"/>
        <v>26935.838143013407</v>
      </c>
      <c r="AG100" s="655">
        <f t="shared" si="21"/>
        <v>45936.514069420002</v>
      </c>
      <c r="AR100" t="str">
        <f>VLOOKUP(E$6:E$287,'[7]Sales Report'!$B$7:$C$288,2,FALSE)</f>
        <v>SOLD</v>
      </c>
      <c r="AS100" s="355" t="s">
        <v>236</v>
      </c>
    </row>
    <row r="101" spans="1:45" ht="14.25" customHeight="1">
      <c r="A101" s="651">
        <v>11000</v>
      </c>
      <c r="B101" s="641" t="s">
        <v>953</v>
      </c>
      <c r="C101" s="391"/>
      <c r="D101" s="367"/>
      <c r="E101" s="367" t="s">
        <v>352</v>
      </c>
      <c r="F101" s="367" t="s">
        <v>894</v>
      </c>
      <c r="G101" s="354">
        <v>22</v>
      </c>
      <c r="H101" s="587">
        <v>2000000</v>
      </c>
      <c r="I101" s="600">
        <f t="shared" si="22"/>
        <v>242000</v>
      </c>
      <c r="J101" s="600">
        <f t="shared" si="23"/>
        <v>29040</v>
      </c>
      <c r="K101" s="604">
        <f t="shared" si="24"/>
        <v>63700</v>
      </c>
      <c r="L101" s="666">
        <f t="shared" si="25"/>
        <v>2334740</v>
      </c>
      <c r="M101" s="666"/>
      <c r="N101" s="683">
        <v>75000</v>
      </c>
      <c r="O101" s="688">
        <f t="shared" si="38"/>
        <v>71421</v>
      </c>
      <c r="P101" s="601">
        <f t="shared" si="26"/>
        <v>2481161</v>
      </c>
      <c r="Q101" s="669">
        <v>20000</v>
      </c>
      <c r="R101" s="669">
        <v>50000</v>
      </c>
      <c r="S101" s="600">
        <f t="shared" si="27"/>
        <v>186087.07499999998</v>
      </c>
      <c r="T101" s="600">
        <f t="shared" si="28"/>
        <v>62029.025000000001</v>
      </c>
      <c r="U101" s="600"/>
      <c r="V101" s="606">
        <f t="shared" si="29"/>
        <v>2729277.1</v>
      </c>
      <c r="W101" s="370">
        <f t="shared" si="39"/>
        <v>0.15</v>
      </c>
      <c r="X101" s="655">
        <f t="shared" si="31"/>
        <v>409391.565</v>
      </c>
      <c r="Y101" s="368">
        <f t="shared" si="32"/>
        <v>15000</v>
      </c>
      <c r="Z101" s="655">
        <f t="shared" si="33"/>
        <v>394391.565</v>
      </c>
      <c r="AA101" s="366">
        <f t="shared" si="34"/>
        <v>30</v>
      </c>
      <c r="AB101" s="655">
        <f t="shared" si="35"/>
        <v>13146.3855</v>
      </c>
      <c r="AC101" s="655">
        <f t="shared" si="36"/>
        <v>2319885.5350000001</v>
      </c>
      <c r="AD101" s="655">
        <f t="shared" si="37"/>
        <v>17986.047860431237</v>
      </c>
      <c r="AE101" s="655">
        <f t="shared" si="37"/>
        <v>20851.787020220745</v>
      </c>
      <c r="AF101" s="655">
        <f t="shared" si="37"/>
        <v>26935.838143013407</v>
      </c>
      <c r="AG101" s="655">
        <f t="shared" si="21"/>
        <v>45936.514069420002</v>
      </c>
      <c r="AR101" t="str">
        <f>VLOOKUP(E$6:E$287,'[7]Sales Report'!$B$7:$C$288,2,FALSE)</f>
        <v>SOLD</v>
      </c>
      <c r="AS101" s="355" t="s">
        <v>236</v>
      </c>
    </row>
    <row r="102" spans="1:45" ht="14.25" customHeight="1">
      <c r="A102" s="651">
        <v>9000</v>
      </c>
      <c r="B102" s="641" t="s">
        <v>953</v>
      </c>
      <c r="C102" s="391"/>
      <c r="D102" s="367"/>
      <c r="E102" s="367" t="s">
        <v>354</v>
      </c>
      <c r="F102" s="367" t="s">
        <v>894</v>
      </c>
      <c r="G102" s="354">
        <v>22</v>
      </c>
      <c r="H102" s="587">
        <v>2000000</v>
      </c>
      <c r="I102" s="600">
        <f t="shared" si="22"/>
        <v>198000</v>
      </c>
      <c r="J102" s="600">
        <f t="shared" si="23"/>
        <v>23760</v>
      </c>
      <c r="K102" s="604">
        <f t="shared" si="24"/>
        <v>63700</v>
      </c>
      <c r="L102" s="666">
        <f t="shared" si="25"/>
        <v>2285460</v>
      </c>
      <c r="M102" s="666"/>
      <c r="N102" s="683">
        <v>75000</v>
      </c>
      <c r="O102" s="688">
        <f t="shared" si="38"/>
        <v>70101</v>
      </c>
      <c r="P102" s="601">
        <f t="shared" si="26"/>
        <v>2430561</v>
      </c>
      <c r="Q102" s="669">
        <v>20000</v>
      </c>
      <c r="R102" s="669">
        <v>50000</v>
      </c>
      <c r="S102" s="600">
        <f t="shared" si="27"/>
        <v>182292.07499999998</v>
      </c>
      <c r="T102" s="600">
        <f t="shared" si="28"/>
        <v>60764.025000000001</v>
      </c>
      <c r="U102" s="600"/>
      <c r="V102" s="606">
        <f t="shared" si="29"/>
        <v>2673617.1</v>
      </c>
      <c r="W102" s="370">
        <f t="shared" si="39"/>
        <v>0.15</v>
      </c>
      <c r="X102" s="655">
        <f t="shared" si="31"/>
        <v>401042.565</v>
      </c>
      <c r="Y102" s="368">
        <f t="shared" si="32"/>
        <v>15000</v>
      </c>
      <c r="Z102" s="655">
        <f t="shared" si="33"/>
        <v>386042.565</v>
      </c>
      <c r="AA102" s="366">
        <f t="shared" si="34"/>
        <v>30</v>
      </c>
      <c r="AB102" s="655">
        <f t="shared" si="35"/>
        <v>12868.085499999999</v>
      </c>
      <c r="AC102" s="655">
        <f t="shared" si="36"/>
        <v>2272574.5350000001</v>
      </c>
      <c r="AD102" s="655">
        <f t="shared" si="37"/>
        <v>17619.246181000592</v>
      </c>
      <c r="AE102" s="655">
        <f t="shared" si="37"/>
        <v>20426.542377401045</v>
      </c>
      <c r="AF102" s="655">
        <f t="shared" si="37"/>
        <v>26386.517316982176</v>
      </c>
      <c r="AG102" s="655">
        <f t="shared" si="21"/>
        <v>44999.699565277529</v>
      </c>
      <c r="AR102" t="s">
        <v>258</v>
      </c>
      <c r="AS102" s="355" t="s">
        <v>258</v>
      </c>
    </row>
    <row r="103" spans="1:45" ht="14.25" customHeight="1">
      <c r="A103" s="651">
        <v>9000</v>
      </c>
      <c r="B103" s="641" t="s">
        <v>953</v>
      </c>
      <c r="C103" s="391"/>
      <c r="D103" s="367"/>
      <c r="E103" s="367" t="s">
        <v>356</v>
      </c>
      <c r="F103" s="367" t="s">
        <v>894</v>
      </c>
      <c r="G103" s="354">
        <v>22</v>
      </c>
      <c r="H103" s="587">
        <v>2000000</v>
      </c>
      <c r="I103" s="600">
        <f t="shared" si="22"/>
        <v>198000</v>
      </c>
      <c r="J103" s="600">
        <f t="shared" si="23"/>
        <v>23760</v>
      </c>
      <c r="K103" s="604">
        <f t="shared" si="24"/>
        <v>63700</v>
      </c>
      <c r="L103" s="666">
        <f t="shared" si="25"/>
        <v>2285460</v>
      </c>
      <c r="M103" s="666"/>
      <c r="N103" s="683">
        <v>75000</v>
      </c>
      <c r="O103" s="688">
        <f t="shared" si="38"/>
        <v>70101</v>
      </c>
      <c r="P103" s="601">
        <f t="shared" si="26"/>
        <v>2430561</v>
      </c>
      <c r="Q103" s="669">
        <v>20000</v>
      </c>
      <c r="R103" s="669">
        <v>50000</v>
      </c>
      <c r="S103" s="600">
        <f t="shared" si="27"/>
        <v>182292.07499999998</v>
      </c>
      <c r="T103" s="600">
        <f t="shared" si="28"/>
        <v>60764.025000000001</v>
      </c>
      <c r="U103" s="600"/>
      <c r="V103" s="606">
        <f t="shared" si="29"/>
        <v>2673617.1</v>
      </c>
      <c r="W103" s="370">
        <f t="shared" si="39"/>
        <v>0.15</v>
      </c>
      <c r="X103" s="655">
        <f t="shared" si="31"/>
        <v>401042.565</v>
      </c>
      <c r="Y103" s="368">
        <f t="shared" si="32"/>
        <v>15000</v>
      </c>
      <c r="Z103" s="655">
        <f t="shared" si="33"/>
        <v>386042.565</v>
      </c>
      <c r="AA103" s="366">
        <f t="shared" si="34"/>
        <v>30</v>
      </c>
      <c r="AB103" s="655">
        <f t="shared" si="35"/>
        <v>12868.085499999999</v>
      </c>
      <c r="AC103" s="655">
        <f t="shared" si="36"/>
        <v>2272574.5350000001</v>
      </c>
      <c r="AD103" s="655">
        <f t="shared" si="37"/>
        <v>17619.246181000592</v>
      </c>
      <c r="AE103" s="655">
        <f t="shared" si="37"/>
        <v>20426.542377401045</v>
      </c>
      <c r="AF103" s="655">
        <f t="shared" si="37"/>
        <v>26386.517316982176</v>
      </c>
      <c r="AG103" s="655">
        <f t="shared" si="21"/>
        <v>44999.699565277529</v>
      </c>
      <c r="AR103" t="s">
        <v>258</v>
      </c>
      <c r="AS103" s="355" t="s">
        <v>258</v>
      </c>
    </row>
    <row r="104" spans="1:45" ht="14.25" customHeight="1">
      <c r="A104" s="651">
        <v>9000</v>
      </c>
      <c r="B104" s="641" t="s">
        <v>953</v>
      </c>
      <c r="C104" s="391"/>
      <c r="D104" s="367"/>
      <c r="E104" s="367" t="s">
        <v>357</v>
      </c>
      <c r="F104" s="367" t="s">
        <v>894</v>
      </c>
      <c r="G104" s="354">
        <v>22</v>
      </c>
      <c r="H104" s="587">
        <v>2000000</v>
      </c>
      <c r="I104" s="600">
        <f t="shared" si="22"/>
        <v>198000</v>
      </c>
      <c r="J104" s="600">
        <f t="shared" si="23"/>
        <v>23760</v>
      </c>
      <c r="K104" s="604">
        <f t="shared" si="24"/>
        <v>63700</v>
      </c>
      <c r="L104" s="666">
        <f t="shared" si="25"/>
        <v>2285460</v>
      </c>
      <c r="M104" s="666"/>
      <c r="N104" s="683">
        <v>75000</v>
      </c>
      <c r="O104" s="688">
        <f t="shared" si="38"/>
        <v>70101</v>
      </c>
      <c r="P104" s="601">
        <f t="shared" si="26"/>
        <v>2430561</v>
      </c>
      <c r="Q104" s="669">
        <v>20000</v>
      </c>
      <c r="R104" s="669">
        <v>50000</v>
      </c>
      <c r="S104" s="600">
        <f t="shared" si="27"/>
        <v>182292.07499999998</v>
      </c>
      <c r="T104" s="600">
        <f t="shared" si="28"/>
        <v>60764.025000000001</v>
      </c>
      <c r="U104" s="600"/>
      <c r="V104" s="606">
        <f t="shared" si="29"/>
        <v>2673617.1</v>
      </c>
      <c r="W104" s="370">
        <f t="shared" si="39"/>
        <v>0.15</v>
      </c>
      <c r="X104" s="655">
        <f t="shared" si="31"/>
        <v>401042.565</v>
      </c>
      <c r="Y104" s="368">
        <f t="shared" si="32"/>
        <v>15000</v>
      </c>
      <c r="Z104" s="655">
        <f t="shared" si="33"/>
        <v>386042.565</v>
      </c>
      <c r="AA104" s="366">
        <f t="shared" si="34"/>
        <v>30</v>
      </c>
      <c r="AB104" s="655">
        <f t="shared" si="35"/>
        <v>12868.085499999999</v>
      </c>
      <c r="AC104" s="655">
        <f t="shared" si="36"/>
        <v>2272574.5350000001</v>
      </c>
      <c r="AD104" s="655">
        <f t="shared" si="37"/>
        <v>17619.246181000592</v>
      </c>
      <c r="AE104" s="655">
        <f t="shared" si="37"/>
        <v>20426.542377401045</v>
      </c>
      <c r="AF104" s="655">
        <f t="shared" si="37"/>
        <v>26386.517316982176</v>
      </c>
      <c r="AG104" s="655">
        <f t="shared" si="21"/>
        <v>44999.699565277529</v>
      </c>
      <c r="AR104" t="s">
        <v>258</v>
      </c>
      <c r="AS104" s="355" t="s">
        <v>258</v>
      </c>
    </row>
    <row r="105" spans="1:45" ht="14.25" customHeight="1">
      <c r="A105" s="651">
        <v>9000</v>
      </c>
      <c r="B105" s="641" t="s">
        <v>953</v>
      </c>
      <c r="C105" s="391"/>
      <c r="D105" s="367"/>
      <c r="E105" s="367" t="s">
        <v>358</v>
      </c>
      <c r="F105" s="367" t="s">
        <v>894</v>
      </c>
      <c r="G105" s="354">
        <v>22</v>
      </c>
      <c r="H105" s="587">
        <v>2000000</v>
      </c>
      <c r="I105" s="600">
        <f t="shared" si="22"/>
        <v>198000</v>
      </c>
      <c r="J105" s="600">
        <f t="shared" si="23"/>
        <v>23760</v>
      </c>
      <c r="K105" s="604">
        <f t="shared" si="24"/>
        <v>63700</v>
      </c>
      <c r="L105" s="666">
        <f t="shared" si="25"/>
        <v>2285460</v>
      </c>
      <c r="M105" s="666"/>
      <c r="N105" s="683">
        <v>75000</v>
      </c>
      <c r="O105" s="688">
        <f t="shared" si="38"/>
        <v>70101</v>
      </c>
      <c r="P105" s="601">
        <f t="shared" si="26"/>
        <v>2430561</v>
      </c>
      <c r="Q105" s="669">
        <v>20000</v>
      </c>
      <c r="R105" s="669">
        <v>50000</v>
      </c>
      <c r="S105" s="600">
        <f t="shared" si="27"/>
        <v>182292.07499999998</v>
      </c>
      <c r="T105" s="600">
        <f t="shared" si="28"/>
        <v>60764.025000000001</v>
      </c>
      <c r="U105" s="600"/>
      <c r="V105" s="606">
        <f t="shared" si="29"/>
        <v>2673617.1</v>
      </c>
      <c r="W105" s="370">
        <f t="shared" si="39"/>
        <v>0.15</v>
      </c>
      <c r="X105" s="655">
        <f t="shared" si="31"/>
        <v>401042.565</v>
      </c>
      <c r="Y105" s="368">
        <f t="shared" si="32"/>
        <v>15000</v>
      </c>
      <c r="Z105" s="655">
        <f t="shared" si="33"/>
        <v>386042.565</v>
      </c>
      <c r="AA105" s="366">
        <f t="shared" si="34"/>
        <v>30</v>
      </c>
      <c r="AB105" s="655">
        <f t="shared" si="35"/>
        <v>12868.085499999999</v>
      </c>
      <c r="AC105" s="655">
        <f t="shared" si="36"/>
        <v>2272574.5350000001</v>
      </c>
      <c r="AD105" s="655">
        <f t="shared" si="37"/>
        <v>17619.246181000592</v>
      </c>
      <c r="AE105" s="655">
        <f t="shared" si="37"/>
        <v>20426.542377401045</v>
      </c>
      <c r="AF105" s="655">
        <f t="shared" si="37"/>
        <v>26386.517316982176</v>
      </c>
      <c r="AG105" s="655">
        <f t="shared" si="21"/>
        <v>44999.699565277529</v>
      </c>
      <c r="AR105" t="s">
        <v>258</v>
      </c>
      <c r="AS105" s="355" t="s">
        <v>258</v>
      </c>
    </row>
    <row r="106" spans="1:45" ht="14.25" customHeight="1">
      <c r="A106" s="651">
        <v>9000</v>
      </c>
      <c r="B106" s="641" t="s">
        <v>953</v>
      </c>
      <c r="C106" s="391"/>
      <c r="D106" s="367"/>
      <c r="E106" s="367" t="s">
        <v>359</v>
      </c>
      <c r="F106" s="367" t="s">
        <v>894</v>
      </c>
      <c r="G106" s="354">
        <v>22</v>
      </c>
      <c r="H106" s="587">
        <v>2000000</v>
      </c>
      <c r="I106" s="600">
        <f t="shared" si="22"/>
        <v>198000</v>
      </c>
      <c r="J106" s="600">
        <f t="shared" si="23"/>
        <v>23760</v>
      </c>
      <c r="K106" s="604">
        <f t="shared" si="24"/>
        <v>63700</v>
      </c>
      <c r="L106" s="666">
        <f t="shared" si="25"/>
        <v>2285460</v>
      </c>
      <c r="M106" s="666"/>
      <c r="N106" s="683">
        <v>75000</v>
      </c>
      <c r="O106" s="688">
        <f t="shared" si="38"/>
        <v>70101</v>
      </c>
      <c r="P106" s="601">
        <f t="shared" si="26"/>
        <v>2430561</v>
      </c>
      <c r="Q106" s="669">
        <v>20000</v>
      </c>
      <c r="R106" s="669">
        <v>50000</v>
      </c>
      <c r="S106" s="600">
        <f t="shared" si="27"/>
        <v>182292.07499999998</v>
      </c>
      <c r="T106" s="600">
        <f t="shared" si="28"/>
        <v>60764.025000000001</v>
      </c>
      <c r="U106" s="600"/>
      <c r="V106" s="606">
        <f t="shared" si="29"/>
        <v>2673617.1</v>
      </c>
      <c r="W106" s="370">
        <f t="shared" si="39"/>
        <v>0.15</v>
      </c>
      <c r="X106" s="655">
        <f t="shared" si="31"/>
        <v>401042.565</v>
      </c>
      <c r="Y106" s="368">
        <f t="shared" si="32"/>
        <v>15000</v>
      </c>
      <c r="Z106" s="655">
        <f t="shared" si="33"/>
        <v>386042.565</v>
      </c>
      <c r="AA106" s="366">
        <f t="shared" si="34"/>
        <v>30</v>
      </c>
      <c r="AB106" s="655">
        <f t="shared" si="35"/>
        <v>12868.085499999999</v>
      </c>
      <c r="AC106" s="655">
        <f t="shared" si="36"/>
        <v>2272574.5350000001</v>
      </c>
      <c r="AD106" s="655">
        <f t="shared" si="37"/>
        <v>17619.246181000592</v>
      </c>
      <c r="AE106" s="655">
        <f t="shared" si="37"/>
        <v>20426.542377401045</v>
      </c>
      <c r="AF106" s="655">
        <f t="shared" si="37"/>
        <v>26386.517316982176</v>
      </c>
      <c r="AG106" s="655">
        <f t="shared" si="21"/>
        <v>44999.699565277529</v>
      </c>
      <c r="AR106" t="s">
        <v>258</v>
      </c>
      <c r="AS106" s="355" t="s">
        <v>258</v>
      </c>
    </row>
    <row r="107" spans="1:45" ht="14.25" customHeight="1">
      <c r="A107" s="651">
        <v>9000</v>
      </c>
      <c r="B107" s="641" t="s">
        <v>953</v>
      </c>
      <c r="C107" s="391"/>
      <c r="D107" s="367"/>
      <c r="E107" s="367" t="s">
        <v>360</v>
      </c>
      <c r="F107" s="367" t="s">
        <v>894</v>
      </c>
      <c r="G107" s="354">
        <v>22</v>
      </c>
      <c r="H107" s="587">
        <v>2000000</v>
      </c>
      <c r="I107" s="600">
        <f t="shared" si="22"/>
        <v>198000</v>
      </c>
      <c r="J107" s="600">
        <f t="shared" si="23"/>
        <v>23760</v>
      </c>
      <c r="K107" s="604">
        <f t="shared" si="24"/>
        <v>63700</v>
      </c>
      <c r="L107" s="666">
        <f t="shared" si="25"/>
        <v>2285460</v>
      </c>
      <c r="M107" s="666"/>
      <c r="N107" s="683">
        <v>75000</v>
      </c>
      <c r="O107" s="688">
        <f t="shared" si="38"/>
        <v>70101</v>
      </c>
      <c r="P107" s="601">
        <f t="shared" si="26"/>
        <v>2430561</v>
      </c>
      <c r="Q107" s="669">
        <v>20000</v>
      </c>
      <c r="R107" s="669">
        <v>50000</v>
      </c>
      <c r="S107" s="600">
        <f t="shared" si="27"/>
        <v>182292.07499999998</v>
      </c>
      <c r="T107" s="600">
        <f t="shared" si="28"/>
        <v>60764.025000000001</v>
      </c>
      <c r="U107" s="600"/>
      <c r="V107" s="606">
        <f t="shared" si="29"/>
        <v>2673617.1</v>
      </c>
      <c r="W107" s="370">
        <f t="shared" si="39"/>
        <v>0.15</v>
      </c>
      <c r="X107" s="655">
        <f t="shared" si="31"/>
        <v>401042.565</v>
      </c>
      <c r="Y107" s="368">
        <f t="shared" si="32"/>
        <v>15000</v>
      </c>
      <c r="Z107" s="655">
        <f t="shared" si="33"/>
        <v>386042.565</v>
      </c>
      <c r="AA107" s="366">
        <f t="shared" si="34"/>
        <v>30</v>
      </c>
      <c r="AB107" s="655">
        <f t="shared" si="35"/>
        <v>12868.085499999999</v>
      </c>
      <c r="AC107" s="655">
        <f t="shared" si="36"/>
        <v>2272574.5350000001</v>
      </c>
      <c r="AD107" s="655">
        <f t="shared" si="37"/>
        <v>17619.246181000592</v>
      </c>
      <c r="AE107" s="655">
        <f t="shared" si="37"/>
        <v>20426.542377401045</v>
      </c>
      <c r="AF107" s="655">
        <f t="shared" si="37"/>
        <v>26386.517316982176</v>
      </c>
      <c r="AG107" s="655">
        <f t="shared" si="21"/>
        <v>44999.699565277529</v>
      </c>
      <c r="AR107" t="s">
        <v>258</v>
      </c>
      <c r="AS107" s="355" t="s">
        <v>258</v>
      </c>
    </row>
    <row r="108" spans="1:45" ht="14.25" customHeight="1">
      <c r="A108" s="651">
        <v>9000</v>
      </c>
      <c r="B108" s="641" t="s">
        <v>953</v>
      </c>
      <c r="C108" s="391"/>
      <c r="D108" s="367"/>
      <c r="E108" s="367" t="s">
        <v>361</v>
      </c>
      <c r="F108" s="367" t="s">
        <v>894</v>
      </c>
      <c r="G108" s="354">
        <v>22</v>
      </c>
      <c r="H108" s="587">
        <v>2000000</v>
      </c>
      <c r="I108" s="600">
        <f t="shared" si="22"/>
        <v>198000</v>
      </c>
      <c r="J108" s="600">
        <f t="shared" si="23"/>
        <v>23760</v>
      </c>
      <c r="K108" s="604">
        <f t="shared" si="24"/>
        <v>63700</v>
      </c>
      <c r="L108" s="666">
        <f t="shared" si="25"/>
        <v>2285460</v>
      </c>
      <c r="M108" s="666"/>
      <c r="N108" s="683">
        <v>75000</v>
      </c>
      <c r="O108" s="688">
        <f t="shared" si="38"/>
        <v>70101</v>
      </c>
      <c r="P108" s="601">
        <f t="shared" si="26"/>
        <v>2430561</v>
      </c>
      <c r="Q108" s="669">
        <v>20000</v>
      </c>
      <c r="R108" s="669">
        <v>50000</v>
      </c>
      <c r="S108" s="600">
        <f t="shared" si="27"/>
        <v>182292.07499999998</v>
      </c>
      <c r="T108" s="600">
        <f t="shared" si="28"/>
        <v>60764.025000000001</v>
      </c>
      <c r="U108" s="600"/>
      <c r="V108" s="606">
        <f t="shared" si="29"/>
        <v>2673617.1</v>
      </c>
      <c r="W108" s="370">
        <f t="shared" si="39"/>
        <v>0.15</v>
      </c>
      <c r="X108" s="655">
        <f t="shared" si="31"/>
        <v>401042.565</v>
      </c>
      <c r="Y108" s="368">
        <f t="shared" si="32"/>
        <v>15000</v>
      </c>
      <c r="Z108" s="655">
        <f t="shared" si="33"/>
        <v>386042.565</v>
      </c>
      <c r="AA108" s="366">
        <f t="shared" si="34"/>
        <v>30</v>
      </c>
      <c r="AB108" s="655">
        <f t="shared" si="35"/>
        <v>12868.085499999999</v>
      </c>
      <c r="AC108" s="655">
        <f t="shared" si="36"/>
        <v>2272574.5350000001</v>
      </c>
      <c r="AD108" s="655">
        <f t="shared" si="37"/>
        <v>17619.246181000592</v>
      </c>
      <c r="AE108" s="655">
        <f t="shared" si="37"/>
        <v>20426.542377401045</v>
      </c>
      <c r="AF108" s="655">
        <f t="shared" si="37"/>
        <v>26386.517316982176</v>
      </c>
      <c r="AG108" s="655">
        <f t="shared" si="21"/>
        <v>44999.699565277529</v>
      </c>
      <c r="AR108" t="str">
        <f>VLOOKUP(E$6:E$287,'[7]Sales Report'!$B$7:$C$288,2,FALSE)</f>
        <v>SOLD</v>
      </c>
      <c r="AS108" s="355" t="s">
        <v>236</v>
      </c>
    </row>
    <row r="109" spans="1:45" ht="14.25" customHeight="1">
      <c r="A109" s="651">
        <v>11000</v>
      </c>
      <c r="B109" s="641" t="s">
        <v>953</v>
      </c>
      <c r="C109" s="391"/>
      <c r="D109" s="367"/>
      <c r="E109" s="367" t="s">
        <v>363</v>
      </c>
      <c r="F109" s="367" t="s">
        <v>894</v>
      </c>
      <c r="G109" s="354">
        <v>22</v>
      </c>
      <c r="H109" s="587">
        <v>2000000</v>
      </c>
      <c r="I109" s="600">
        <f t="shared" si="22"/>
        <v>242000</v>
      </c>
      <c r="J109" s="600">
        <f t="shared" si="23"/>
        <v>29040</v>
      </c>
      <c r="K109" s="604">
        <f t="shared" si="24"/>
        <v>63700</v>
      </c>
      <c r="L109" s="666">
        <f t="shared" si="25"/>
        <v>2334740</v>
      </c>
      <c r="M109" s="666"/>
      <c r="N109" s="683">
        <v>75000</v>
      </c>
      <c r="O109" s="688">
        <f t="shared" si="38"/>
        <v>71421</v>
      </c>
      <c r="P109" s="601">
        <f t="shared" si="26"/>
        <v>2481161</v>
      </c>
      <c r="Q109" s="669">
        <v>20000</v>
      </c>
      <c r="R109" s="669">
        <v>50000</v>
      </c>
      <c r="S109" s="600">
        <f t="shared" si="27"/>
        <v>186087.07499999998</v>
      </c>
      <c r="T109" s="600">
        <f t="shared" si="28"/>
        <v>62029.025000000001</v>
      </c>
      <c r="U109" s="600"/>
      <c r="V109" s="606">
        <f t="shared" si="29"/>
        <v>2729277.1</v>
      </c>
      <c r="W109" s="370">
        <f t="shared" si="39"/>
        <v>0.15</v>
      </c>
      <c r="X109" s="655">
        <f t="shared" si="31"/>
        <v>409391.565</v>
      </c>
      <c r="Y109" s="368">
        <f t="shared" si="32"/>
        <v>15000</v>
      </c>
      <c r="Z109" s="655">
        <f t="shared" si="33"/>
        <v>394391.565</v>
      </c>
      <c r="AA109" s="366">
        <f t="shared" si="34"/>
        <v>30</v>
      </c>
      <c r="AB109" s="655">
        <f t="shared" si="35"/>
        <v>13146.3855</v>
      </c>
      <c r="AC109" s="655">
        <f t="shared" si="36"/>
        <v>2319885.5350000001</v>
      </c>
      <c r="AD109" s="655">
        <f t="shared" si="37"/>
        <v>17986.047860431237</v>
      </c>
      <c r="AE109" s="655">
        <f t="shared" si="37"/>
        <v>20851.787020220745</v>
      </c>
      <c r="AF109" s="655">
        <f t="shared" si="37"/>
        <v>26935.838143013407</v>
      </c>
      <c r="AG109" s="655">
        <f t="shared" si="21"/>
        <v>45936.514069420002</v>
      </c>
      <c r="AR109" t="str">
        <f>VLOOKUP(E$6:E$287,'[7]Sales Report'!$B$7:$C$288,2,FALSE)</f>
        <v>SOLD</v>
      </c>
      <c r="AS109" s="355" t="s">
        <v>236</v>
      </c>
    </row>
    <row r="110" spans="1:45" ht="14.25" customHeight="1">
      <c r="A110" s="651">
        <v>11000</v>
      </c>
      <c r="B110" s="641" t="s">
        <v>953</v>
      </c>
      <c r="C110" s="391"/>
      <c r="D110" s="367"/>
      <c r="E110" s="367" t="s">
        <v>365</v>
      </c>
      <c r="F110" s="367" t="s">
        <v>894</v>
      </c>
      <c r="G110" s="354">
        <v>22</v>
      </c>
      <c r="H110" s="587">
        <v>2000000</v>
      </c>
      <c r="I110" s="600">
        <f t="shared" si="22"/>
        <v>242000</v>
      </c>
      <c r="J110" s="600">
        <f t="shared" si="23"/>
        <v>29040</v>
      </c>
      <c r="K110" s="604">
        <f t="shared" si="24"/>
        <v>63700</v>
      </c>
      <c r="L110" s="666">
        <f t="shared" si="25"/>
        <v>2334740</v>
      </c>
      <c r="M110" s="666"/>
      <c r="N110" s="683">
        <v>75000</v>
      </c>
      <c r="O110" s="688">
        <f t="shared" si="38"/>
        <v>71421</v>
      </c>
      <c r="P110" s="601">
        <f t="shared" si="26"/>
        <v>2481161</v>
      </c>
      <c r="Q110" s="669">
        <v>20000</v>
      </c>
      <c r="R110" s="669">
        <v>50000</v>
      </c>
      <c r="S110" s="600">
        <f t="shared" si="27"/>
        <v>186087.07499999998</v>
      </c>
      <c r="T110" s="600">
        <f t="shared" si="28"/>
        <v>62029.025000000001</v>
      </c>
      <c r="U110" s="600"/>
      <c r="V110" s="606">
        <f t="shared" si="29"/>
        <v>2729277.1</v>
      </c>
      <c r="W110" s="370">
        <f t="shared" si="39"/>
        <v>0.15</v>
      </c>
      <c r="X110" s="655">
        <f t="shared" si="31"/>
        <v>409391.565</v>
      </c>
      <c r="Y110" s="368">
        <f t="shared" si="32"/>
        <v>15000</v>
      </c>
      <c r="Z110" s="655">
        <f t="shared" si="33"/>
        <v>394391.565</v>
      </c>
      <c r="AA110" s="366">
        <f t="shared" si="34"/>
        <v>30</v>
      </c>
      <c r="AB110" s="655">
        <f t="shared" si="35"/>
        <v>13146.3855</v>
      </c>
      <c r="AC110" s="655">
        <f t="shared" si="36"/>
        <v>2319885.5350000001</v>
      </c>
      <c r="AD110" s="655">
        <f t="shared" si="37"/>
        <v>17986.047860431237</v>
      </c>
      <c r="AE110" s="655">
        <f t="shared" si="37"/>
        <v>20851.787020220745</v>
      </c>
      <c r="AF110" s="655">
        <f t="shared" si="37"/>
        <v>26935.838143013407</v>
      </c>
      <c r="AG110" s="655">
        <f t="shared" si="21"/>
        <v>45936.514069420002</v>
      </c>
      <c r="AR110" t="str">
        <f>VLOOKUP(E$6:E$287,'[7]Sales Report'!$B$7:$C$288,2,FALSE)</f>
        <v>SOLD</v>
      </c>
      <c r="AS110" s="355" t="s">
        <v>236</v>
      </c>
    </row>
    <row r="111" spans="1:45" ht="14.25" customHeight="1">
      <c r="A111" s="651">
        <v>11000</v>
      </c>
      <c r="B111" s="641" t="s">
        <v>953</v>
      </c>
      <c r="C111" s="391"/>
      <c r="D111" s="367"/>
      <c r="E111" s="367" t="s">
        <v>367</v>
      </c>
      <c r="F111" s="367" t="s">
        <v>894</v>
      </c>
      <c r="G111" s="354">
        <v>22</v>
      </c>
      <c r="H111" s="587">
        <v>2000000</v>
      </c>
      <c r="I111" s="600">
        <f t="shared" si="22"/>
        <v>242000</v>
      </c>
      <c r="J111" s="600">
        <f t="shared" si="23"/>
        <v>29040</v>
      </c>
      <c r="K111" s="604">
        <f t="shared" si="24"/>
        <v>63700</v>
      </c>
      <c r="L111" s="666">
        <f t="shared" si="25"/>
        <v>2334740</v>
      </c>
      <c r="M111" s="666"/>
      <c r="N111" s="683">
        <v>75000</v>
      </c>
      <c r="O111" s="688">
        <f t="shared" si="38"/>
        <v>71421</v>
      </c>
      <c r="P111" s="601">
        <f t="shared" si="26"/>
        <v>2481161</v>
      </c>
      <c r="Q111" s="669">
        <v>20000</v>
      </c>
      <c r="R111" s="669">
        <v>50000</v>
      </c>
      <c r="S111" s="600">
        <f t="shared" si="27"/>
        <v>186087.07499999998</v>
      </c>
      <c r="T111" s="600">
        <f t="shared" si="28"/>
        <v>62029.025000000001</v>
      </c>
      <c r="U111" s="600"/>
      <c r="V111" s="606">
        <f t="shared" si="29"/>
        <v>2729277.1</v>
      </c>
      <c r="W111" s="370">
        <f t="shared" si="39"/>
        <v>0.15</v>
      </c>
      <c r="X111" s="655">
        <f t="shared" si="31"/>
        <v>409391.565</v>
      </c>
      <c r="Y111" s="368">
        <f t="shared" si="32"/>
        <v>15000</v>
      </c>
      <c r="Z111" s="655">
        <f t="shared" si="33"/>
        <v>394391.565</v>
      </c>
      <c r="AA111" s="366">
        <f t="shared" si="34"/>
        <v>30</v>
      </c>
      <c r="AB111" s="655">
        <f t="shared" si="35"/>
        <v>13146.3855</v>
      </c>
      <c r="AC111" s="655">
        <f t="shared" si="36"/>
        <v>2319885.5350000001</v>
      </c>
      <c r="AD111" s="655">
        <f t="shared" si="37"/>
        <v>17986.047860431237</v>
      </c>
      <c r="AE111" s="655">
        <f t="shared" si="37"/>
        <v>20851.787020220745</v>
      </c>
      <c r="AF111" s="655">
        <f t="shared" si="37"/>
        <v>26935.838143013407</v>
      </c>
      <c r="AG111" s="655">
        <f t="shared" si="21"/>
        <v>45936.514069420002</v>
      </c>
      <c r="AR111" t="str">
        <f>VLOOKUP(E$6:E$287,'[7]Sales Report'!$B$7:$C$288,2,FALSE)</f>
        <v>SOLD</v>
      </c>
      <c r="AS111" s="355" t="s">
        <v>236</v>
      </c>
    </row>
    <row r="112" spans="1:45" ht="14.25" customHeight="1">
      <c r="A112" s="651">
        <v>11000</v>
      </c>
      <c r="B112" s="643" t="s">
        <v>953</v>
      </c>
      <c r="C112" s="391"/>
      <c r="D112" s="367"/>
      <c r="E112" s="367" t="s">
        <v>369</v>
      </c>
      <c r="F112" s="367" t="s">
        <v>894</v>
      </c>
      <c r="G112" s="354">
        <v>22</v>
      </c>
      <c r="H112" s="587">
        <v>2000000</v>
      </c>
      <c r="I112" s="600">
        <f t="shared" si="22"/>
        <v>242000</v>
      </c>
      <c r="J112" s="600">
        <f t="shared" si="23"/>
        <v>29040</v>
      </c>
      <c r="K112" s="604">
        <f t="shared" si="24"/>
        <v>63700</v>
      </c>
      <c r="L112" s="666">
        <f t="shared" si="25"/>
        <v>2334740</v>
      </c>
      <c r="M112" s="666"/>
      <c r="N112" s="683">
        <v>75000</v>
      </c>
      <c r="O112" s="688">
        <f t="shared" si="38"/>
        <v>71421</v>
      </c>
      <c r="P112" s="601">
        <f t="shared" si="26"/>
        <v>2481161</v>
      </c>
      <c r="Q112" s="669">
        <v>20000</v>
      </c>
      <c r="R112" s="669">
        <v>50000</v>
      </c>
      <c r="S112" s="600">
        <f t="shared" si="27"/>
        <v>186087.07499999998</v>
      </c>
      <c r="T112" s="600">
        <f t="shared" si="28"/>
        <v>62029.025000000001</v>
      </c>
      <c r="U112" s="600"/>
      <c r="V112" s="606">
        <f t="shared" si="29"/>
        <v>2729277.1</v>
      </c>
      <c r="W112" s="370">
        <f t="shared" si="39"/>
        <v>0.15</v>
      </c>
      <c r="X112" s="655">
        <f t="shared" si="31"/>
        <v>409391.565</v>
      </c>
      <c r="Y112" s="368">
        <f t="shared" si="32"/>
        <v>15000</v>
      </c>
      <c r="Z112" s="655">
        <f t="shared" si="33"/>
        <v>394391.565</v>
      </c>
      <c r="AA112" s="366">
        <f t="shared" si="34"/>
        <v>30</v>
      </c>
      <c r="AB112" s="655">
        <f t="shared" si="35"/>
        <v>13146.3855</v>
      </c>
      <c r="AC112" s="655">
        <f t="shared" si="36"/>
        <v>2319885.5350000001</v>
      </c>
      <c r="AD112" s="655">
        <f t="shared" si="37"/>
        <v>17986.047860431237</v>
      </c>
      <c r="AE112" s="655">
        <f t="shared" si="37"/>
        <v>20851.787020220745</v>
      </c>
      <c r="AF112" s="655">
        <f t="shared" si="37"/>
        <v>26935.838143013407</v>
      </c>
      <c r="AG112" s="655">
        <f t="shared" si="21"/>
        <v>45936.514069420002</v>
      </c>
      <c r="AR112" t="str">
        <f>VLOOKUP(E$6:E$287,'[7]Sales Report'!$B$7:$C$288,2,FALSE)</f>
        <v>SOLD</v>
      </c>
      <c r="AS112" s="355" t="s">
        <v>236</v>
      </c>
    </row>
    <row r="113" spans="1:52" ht="14.25" customHeight="1">
      <c r="A113" s="651">
        <v>11000</v>
      </c>
      <c r="B113" s="641" t="s">
        <v>953</v>
      </c>
      <c r="C113" s="391"/>
      <c r="D113" s="367"/>
      <c r="E113" s="367" t="s">
        <v>371</v>
      </c>
      <c r="F113" s="367" t="s">
        <v>894</v>
      </c>
      <c r="G113" s="354">
        <v>22</v>
      </c>
      <c r="H113" s="587">
        <v>2000000</v>
      </c>
      <c r="I113" s="600">
        <f t="shared" si="22"/>
        <v>242000</v>
      </c>
      <c r="J113" s="600">
        <f t="shared" si="23"/>
        <v>29040</v>
      </c>
      <c r="K113" s="604">
        <f t="shared" si="24"/>
        <v>63700</v>
      </c>
      <c r="L113" s="666">
        <f t="shared" si="25"/>
        <v>2334740</v>
      </c>
      <c r="M113" s="666"/>
      <c r="N113" s="683">
        <v>75000</v>
      </c>
      <c r="O113" s="688">
        <f t="shared" si="38"/>
        <v>71421</v>
      </c>
      <c r="P113" s="601">
        <f t="shared" si="26"/>
        <v>2481161</v>
      </c>
      <c r="Q113" s="669">
        <v>20000</v>
      </c>
      <c r="R113" s="669">
        <v>50000</v>
      </c>
      <c r="S113" s="600">
        <f t="shared" si="27"/>
        <v>186087.07499999998</v>
      </c>
      <c r="T113" s="600">
        <f t="shared" si="28"/>
        <v>62029.025000000001</v>
      </c>
      <c r="U113" s="600"/>
      <c r="V113" s="606">
        <f t="shared" si="29"/>
        <v>2729277.1</v>
      </c>
      <c r="W113" s="370">
        <f t="shared" si="39"/>
        <v>0.15</v>
      </c>
      <c r="X113" s="655">
        <f t="shared" si="31"/>
        <v>409391.565</v>
      </c>
      <c r="Y113" s="368">
        <f t="shared" si="32"/>
        <v>15000</v>
      </c>
      <c r="Z113" s="655">
        <f t="shared" si="33"/>
        <v>394391.565</v>
      </c>
      <c r="AA113" s="366">
        <f t="shared" si="34"/>
        <v>30</v>
      </c>
      <c r="AB113" s="655">
        <f t="shared" si="35"/>
        <v>13146.3855</v>
      </c>
      <c r="AC113" s="655">
        <f t="shared" si="36"/>
        <v>2319885.5350000001</v>
      </c>
      <c r="AD113" s="655">
        <f t="shared" si="37"/>
        <v>17986.047860431237</v>
      </c>
      <c r="AE113" s="655">
        <f t="shared" si="37"/>
        <v>20851.787020220745</v>
      </c>
      <c r="AF113" s="655">
        <f t="shared" si="37"/>
        <v>26935.838143013407</v>
      </c>
      <c r="AG113" s="655">
        <f t="shared" si="21"/>
        <v>45936.514069420002</v>
      </c>
      <c r="AR113" t="str">
        <f>VLOOKUP(E$6:E$287,'[7]Sales Report'!$B$7:$C$288,2,FALSE)</f>
        <v>SOLD</v>
      </c>
      <c r="AS113" s="355" t="s">
        <v>236</v>
      </c>
    </row>
    <row r="114" spans="1:52" ht="14.25" customHeight="1">
      <c r="A114" s="651">
        <v>11000</v>
      </c>
      <c r="B114" s="641" t="s">
        <v>953</v>
      </c>
      <c r="C114" s="392"/>
      <c r="D114" s="418"/>
      <c r="E114" s="414" t="s">
        <v>373</v>
      </c>
      <c r="F114" s="367" t="s">
        <v>894</v>
      </c>
      <c r="G114" s="375">
        <v>22</v>
      </c>
      <c r="H114" s="587">
        <v>2000000</v>
      </c>
      <c r="I114" s="600">
        <f t="shared" si="22"/>
        <v>242000</v>
      </c>
      <c r="J114" s="600">
        <f t="shared" si="23"/>
        <v>29040</v>
      </c>
      <c r="K114" s="604">
        <f t="shared" si="24"/>
        <v>63700</v>
      </c>
      <c r="L114" s="666">
        <f t="shared" si="25"/>
        <v>2334740</v>
      </c>
      <c r="M114" s="666"/>
      <c r="N114" s="683">
        <v>75000</v>
      </c>
      <c r="O114" s="688">
        <f t="shared" si="38"/>
        <v>71421</v>
      </c>
      <c r="P114" s="601">
        <f t="shared" si="26"/>
        <v>2481161</v>
      </c>
      <c r="Q114" s="669">
        <v>20000</v>
      </c>
      <c r="R114" s="669">
        <v>50000</v>
      </c>
      <c r="S114" s="600">
        <f t="shared" si="27"/>
        <v>186087.07499999998</v>
      </c>
      <c r="T114" s="600">
        <f t="shared" si="28"/>
        <v>62029.025000000001</v>
      </c>
      <c r="U114" s="600"/>
      <c r="V114" s="606">
        <f t="shared" si="29"/>
        <v>2729277.1</v>
      </c>
      <c r="W114" s="370">
        <f t="shared" si="39"/>
        <v>0.15</v>
      </c>
      <c r="X114" s="655">
        <f t="shared" si="31"/>
        <v>409391.565</v>
      </c>
      <c r="Y114" s="368">
        <f t="shared" si="32"/>
        <v>15000</v>
      </c>
      <c r="Z114" s="655">
        <f t="shared" si="33"/>
        <v>394391.565</v>
      </c>
      <c r="AA114" s="366">
        <f t="shared" si="34"/>
        <v>30</v>
      </c>
      <c r="AB114" s="655">
        <f t="shared" si="35"/>
        <v>13146.3855</v>
      </c>
      <c r="AC114" s="655">
        <f t="shared" si="36"/>
        <v>2319885.5350000001</v>
      </c>
      <c r="AD114" s="655">
        <f t="shared" si="37"/>
        <v>17986.047860431237</v>
      </c>
      <c r="AE114" s="655">
        <f t="shared" si="37"/>
        <v>20851.787020220745</v>
      </c>
      <c r="AF114" s="655">
        <f t="shared" si="37"/>
        <v>26935.838143013407</v>
      </c>
      <c r="AG114" s="655">
        <f t="shared" si="21"/>
        <v>45936.514069420002</v>
      </c>
      <c r="AR114" t="str">
        <f>VLOOKUP(E$6:E$287,'[7]Sales Report'!$B$7:$C$288,2,FALSE)</f>
        <v>SOLD</v>
      </c>
      <c r="AS114" s="355" t="s">
        <v>236</v>
      </c>
    </row>
    <row r="115" spans="1:52" ht="14.25" customHeight="1">
      <c r="A115" s="651">
        <v>11000</v>
      </c>
      <c r="B115" s="638" t="s">
        <v>953</v>
      </c>
      <c r="C115" s="391"/>
      <c r="D115" s="387"/>
      <c r="E115" s="372" t="s">
        <v>375</v>
      </c>
      <c r="F115" s="367" t="s">
        <v>894</v>
      </c>
      <c r="G115" s="371">
        <v>22</v>
      </c>
      <c r="H115" s="587">
        <v>2000000</v>
      </c>
      <c r="I115" s="600">
        <f t="shared" si="22"/>
        <v>242000</v>
      </c>
      <c r="J115" s="600">
        <f t="shared" si="23"/>
        <v>29040</v>
      </c>
      <c r="K115" s="604">
        <f t="shared" si="24"/>
        <v>63700</v>
      </c>
      <c r="L115" s="666">
        <f t="shared" si="25"/>
        <v>2334740</v>
      </c>
      <c r="M115" s="666"/>
      <c r="N115" s="683">
        <v>75000</v>
      </c>
      <c r="O115" s="688">
        <f t="shared" si="38"/>
        <v>71421</v>
      </c>
      <c r="P115" s="601">
        <f t="shared" si="26"/>
        <v>2481161</v>
      </c>
      <c r="Q115" s="669">
        <v>20000</v>
      </c>
      <c r="R115" s="669">
        <v>50000</v>
      </c>
      <c r="S115" s="600">
        <f t="shared" si="27"/>
        <v>186087.07499999998</v>
      </c>
      <c r="T115" s="600">
        <f t="shared" si="28"/>
        <v>62029.025000000001</v>
      </c>
      <c r="U115" s="600"/>
      <c r="V115" s="606">
        <f t="shared" si="29"/>
        <v>2729277.1</v>
      </c>
      <c r="W115" s="370">
        <f t="shared" si="39"/>
        <v>0.15</v>
      </c>
      <c r="X115" s="655">
        <f t="shared" si="31"/>
        <v>409391.565</v>
      </c>
      <c r="Y115" s="368">
        <f t="shared" si="32"/>
        <v>15000</v>
      </c>
      <c r="Z115" s="655">
        <f t="shared" si="33"/>
        <v>394391.565</v>
      </c>
      <c r="AA115" s="366">
        <f t="shared" si="34"/>
        <v>30</v>
      </c>
      <c r="AB115" s="655">
        <f t="shared" si="35"/>
        <v>13146.3855</v>
      </c>
      <c r="AC115" s="655">
        <f t="shared" si="36"/>
        <v>2319885.5350000001</v>
      </c>
      <c r="AD115" s="655">
        <f t="shared" si="37"/>
        <v>17986.047860431237</v>
      </c>
      <c r="AE115" s="655">
        <f t="shared" si="37"/>
        <v>20851.787020220745</v>
      </c>
      <c r="AF115" s="655">
        <f t="shared" si="37"/>
        <v>26935.838143013407</v>
      </c>
      <c r="AG115" s="655">
        <f t="shared" si="21"/>
        <v>45936.514069420002</v>
      </c>
      <c r="AR115" t="str">
        <f>VLOOKUP(E$6:E$287,'[7]Sales Report'!$B$7:$C$288,2,FALSE)</f>
        <v>SOLD</v>
      </c>
      <c r="AS115" s="355" t="s">
        <v>236</v>
      </c>
    </row>
    <row r="116" spans="1:52" ht="14.25" customHeight="1">
      <c r="A116" s="651">
        <v>11000</v>
      </c>
      <c r="B116" s="639" t="s">
        <v>953</v>
      </c>
      <c r="C116" s="391"/>
      <c r="D116" s="386"/>
      <c r="E116" s="372" t="s">
        <v>377</v>
      </c>
      <c r="F116" s="367" t="s">
        <v>894</v>
      </c>
      <c r="G116" s="371">
        <v>22</v>
      </c>
      <c r="H116" s="587">
        <v>2000000</v>
      </c>
      <c r="I116" s="600">
        <f t="shared" si="22"/>
        <v>242000</v>
      </c>
      <c r="J116" s="600">
        <f t="shared" si="23"/>
        <v>29040</v>
      </c>
      <c r="K116" s="604">
        <f t="shared" si="24"/>
        <v>63700</v>
      </c>
      <c r="L116" s="666">
        <f t="shared" si="25"/>
        <v>2334740</v>
      </c>
      <c r="M116" s="666"/>
      <c r="N116" s="683">
        <v>75000</v>
      </c>
      <c r="O116" s="688">
        <f t="shared" si="38"/>
        <v>71421</v>
      </c>
      <c r="P116" s="601">
        <f t="shared" si="26"/>
        <v>2481161</v>
      </c>
      <c r="Q116" s="669">
        <v>20000</v>
      </c>
      <c r="R116" s="669">
        <v>50000</v>
      </c>
      <c r="S116" s="600">
        <f t="shared" si="27"/>
        <v>186087.07499999998</v>
      </c>
      <c r="T116" s="600">
        <f t="shared" si="28"/>
        <v>62029.025000000001</v>
      </c>
      <c r="U116" s="600"/>
      <c r="V116" s="606">
        <f t="shared" si="29"/>
        <v>2729277.1</v>
      </c>
      <c r="W116" s="370">
        <f t="shared" si="39"/>
        <v>0.15</v>
      </c>
      <c r="X116" s="655">
        <f t="shared" si="31"/>
        <v>409391.565</v>
      </c>
      <c r="Y116" s="368">
        <f t="shared" si="32"/>
        <v>15000</v>
      </c>
      <c r="Z116" s="655">
        <f t="shared" si="33"/>
        <v>394391.565</v>
      </c>
      <c r="AA116" s="366">
        <f t="shared" si="34"/>
        <v>30</v>
      </c>
      <c r="AB116" s="655">
        <f t="shared" si="35"/>
        <v>13146.3855</v>
      </c>
      <c r="AC116" s="655">
        <f t="shared" si="36"/>
        <v>2319885.5350000001</v>
      </c>
      <c r="AD116" s="655">
        <f t="shared" si="37"/>
        <v>17986.047860431237</v>
      </c>
      <c r="AE116" s="655">
        <f t="shared" si="37"/>
        <v>20851.787020220745</v>
      </c>
      <c r="AF116" s="655">
        <f t="shared" si="37"/>
        <v>26935.838143013407</v>
      </c>
      <c r="AG116" s="655">
        <f t="shared" si="21"/>
        <v>45936.514069420002</v>
      </c>
      <c r="AR116" t="str">
        <f>VLOOKUP(E$6:E$287,'[7]Sales Report'!$B$7:$C$288,2,FALSE)</f>
        <v>SOLD</v>
      </c>
      <c r="AS116" s="355" t="s">
        <v>236</v>
      </c>
    </row>
    <row r="117" spans="1:52" ht="14.25" customHeight="1">
      <c r="A117" s="651">
        <v>11000</v>
      </c>
      <c r="B117" s="639" t="s">
        <v>953</v>
      </c>
      <c r="C117" s="391"/>
      <c r="D117" s="386"/>
      <c r="E117" s="372" t="s">
        <v>379</v>
      </c>
      <c r="F117" s="367" t="s">
        <v>894</v>
      </c>
      <c r="G117" s="371">
        <v>22</v>
      </c>
      <c r="H117" s="587">
        <v>2000000</v>
      </c>
      <c r="I117" s="600">
        <f t="shared" si="22"/>
        <v>242000</v>
      </c>
      <c r="J117" s="600">
        <f t="shared" si="23"/>
        <v>29040</v>
      </c>
      <c r="K117" s="604">
        <f t="shared" si="24"/>
        <v>63700</v>
      </c>
      <c r="L117" s="666">
        <f t="shared" si="25"/>
        <v>2334740</v>
      </c>
      <c r="M117" s="666"/>
      <c r="N117" s="683">
        <v>75000</v>
      </c>
      <c r="O117" s="688">
        <f t="shared" si="38"/>
        <v>71421</v>
      </c>
      <c r="P117" s="601">
        <f t="shared" si="26"/>
        <v>2481161</v>
      </c>
      <c r="Q117" s="669">
        <v>20000</v>
      </c>
      <c r="R117" s="669">
        <v>50000</v>
      </c>
      <c r="S117" s="600">
        <f t="shared" si="27"/>
        <v>186087.07499999998</v>
      </c>
      <c r="T117" s="600">
        <f t="shared" si="28"/>
        <v>62029.025000000001</v>
      </c>
      <c r="U117" s="600"/>
      <c r="V117" s="606">
        <f t="shared" si="29"/>
        <v>2729277.1</v>
      </c>
      <c r="W117" s="370">
        <f t="shared" si="39"/>
        <v>0.15</v>
      </c>
      <c r="X117" s="655">
        <f t="shared" si="31"/>
        <v>409391.565</v>
      </c>
      <c r="Y117" s="368">
        <f t="shared" si="32"/>
        <v>15000</v>
      </c>
      <c r="Z117" s="655">
        <f t="shared" si="33"/>
        <v>394391.565</v>
      </c>
      <c r="AA117" s="366">
        <f t="shared" si="34"/>
        <v>30</v>
      </c>
      <c r="AB117" s="655">
        <f t="shared" si="35"/>
        <v>13146.3855</v>
      </c>
      <c r="AC117" s="655">
        <f t="shared" si="36"/>
        <v>2319885.5350000001</v>
      </c>
      <c r="AD117" s="655">
        <f t="shared" si="37"/>
        <v>17986.047860431237</v>
      </c>
      <c r="AE117" s="655">
        <f t="shared" si="37"/>
        <v>20851.787020220745</v>
      </c>
      <c r="AF117" s="655">
        <f t="shared" si="37"/>
        <v>26935.838143013407</v>
      </c>
      <c r="AG117" s="655">
        <f t="shared" si="21"/>
        <v>45936.514069420002</v>
      </c>
      <c r="AR117" t="str">
        <f>VLOOKUP(E$6:E$287,'[7]Sales Report'!$B$7:$C$288,2,FALSE)</f>
        <v>SOLD</v>
      </c>
      <c r="AS117" s="355" t="s">
        <v>236</v>
      </c>
    </row>
    <row r="118" spans="1:52" ht="14.25" customHeight="1">
      <c r="A118" s="651">
        <v>9000</v>
      </c>
      <c r="B118" s="639" t="s">
        <v>953</v>
      </c>
      <c r="C118" s="391"/>
      <c r="D118" s="386"/>
      <c r="E118" s="372" t="s">
        <v>381</v>
      </c>
      <c r="F118" s="367" t="s">
        <v>894</v>
      </c>
      <c r="G118" s="371">
        <v>22</v>
      </c>
      <c r="H118" s="587">
        <v>2000000</v>
      </c>
      <c r="I118" s="600">
        <f t="shared" si="22"/>
        <v>198000</v>
      </c>
      <c r="J118" s="600">
        <f t="shared" si="23"/>
        <v>23760</v>
      </c>
      <c r="K118" s="604">
        <f t="shared" si="24"/>
        <v>63700</v>
      </c>
      <c r="L118" s="666">
        <f t="shared" si="25"/>
        <v>2285460</v>
      </c>
      <c r="M118" s="666"/>
      <c r="N118" s="683">
        <v>75000</v>
      </c>
      <c r="O118" s="688">
        <f t="shared" si="38"/>
        <v>70101</v>
      </c>
      <c r="P118" s="601">
        <f t="shared" si="26"/>
        <v>2430561</v>
      </c>
      <c r="Q118" s="669">
        <v>20000</v>
      </c>
      <c r="R118" s="669">
        <v>50000</v>
      </c>
      <c r="S118" s="600">
        <f t="shared" si="27"/>
        <v>182292.07499999998</v>
      </c>
      <c r="T118" s="600">
        <f t="shared" si="28"/>
        <v>60764.025000000001</v>
      </c>
      <c r="U118" s="600"/>
      <c r="V118" s="606">
        <f t="shared" si="29"/>
        <v>2673617.1</v>
      </c>
      <c r="W118" s="370">
        <f t="shared" si="39"/>
        <v>0.15</v>
      </c>
      <c r="X118" s="655">
        <f t="shared" si="31"/>
        <v>401042.565</v>
      </c>
      <c r="Y118" s="368">
        <f t="shared" si="32"/>
        <v>15000</v>
      </c>
      <c r="Z118" s="655">
        <f t="shared" si="33"/>
        <v>386042.565</v>
      </c>
      <c r="AA118" s="366">
        <f t="shared" si="34"/>
        <v>30</v>
      </c>
      <c r="AB118" s="655">
        <f t="shared" si="35"/>
        <v>12868.085499999999</v>
      </c>
      <c r="AC118" s="655">
        <f t="shared" si="36"/>
        <v>2272574.5350000001</v>
      </c>
      <c r="AD118" s="655">
        <f t="shared" si="37"/>
        <v>17619.246181000592</v>
      </c>
      <c r="AE118" s="655">
        <f t="shared" si="37"/>
        <v>20426.542377401045</v>
      </c>
      <c r="AF118" s="655">
        <f t="shared" si="37"/>
        <v>26386.517316982176</v>
      </c>
      <c r="AG118" s="655">
        <f t="shared" si="21"/>
        <v>44999.699565277529</v>
      </c>
      <c r="AR118" t="str">
        <f>VLOOKUP(E$6:E$287,'[7]Sales Report'!$B$7:$C$288,2,FALSE)</f>
        <v>SOLD</v>
      </c>
      <c r="AS118" s="355" t="s">
        <v>236</v>
      </c>
    </row>
    <row r="119" spans="1:52" ht="14.25" customHeight="1">
      <c r="A119" s="651">
        <v>9000</v>
      </c>
      <c r="B119" s="639" t="s">
        <v>953</v>
      </c>
      <c r="C119" s="391"/>
      <c r="D119" s="386"/>
      <c r="E119" s="372" t="s">
        <v>383</v>
      </c>
      <c r="F119" s="367" t="s">
        <v>894</v>
      </c>
      <c r="G119" s="374">
        <v>22</v>
      </c>
      <c r="H119" s="587">
        <v>2000000</v>
      </c>
      <c r="I119" s="600">
        <f t="shared" si="22"/>
        <v>198000</v>
      </c>
      <c r="J119" s="600">
        <f t="shared" si="23"/>
        <v>23760</v>
      </c>
      <c r="K119" s="604">
        <f t="shared" si="24"/>
        <v>63700</v>
      </c>
      <c r="L119" s="666">
        <f t="shared" si="25"/>
        <v>2285460</v>
      </c>
      <c r="M119" s="666"/>
      <c r="N119" s="683">
        <v>75000</v>
      </c>
      <c r="O119" s="688">
        <f t="shared" si="38"/>
        <v>70101</v>
      </c>
      <c r="P119" s="601">
        <f t="shared" si="26"/>
        <v>2430561</v>
      </c>
      <c r="Q119" s="669">
        <v>20000</v>
      </c>
      <c r="R119" s="669">
        <v>50000</v>
      </c>
      <c r="S119" s="600">
        <f t="shared" si="27"/>
        <v>182292.07499999998</v>
      </c>
      <c r="T119" s="600">
        <f t="shared" si="28"/>
        <v>60764.025000000001</v>
      </c>
      <c r="U119" s="600"/>
      <c r="V119" s="606">
        <f t="shared" si="29"/>
        <v>2673617.1</v>
      </c>
      <c r="W119" s="370">
        <f t="shared" si="39"/>
        <v>0.15</v>
      </c>
      <c r="X119" s="655">
        <f t="shared" si="31"/>
        <v>401042.565</v>
      </c>
      <c r="Y119" s="368">
        <f t="shared" si="32"/>
        <v>15000</v>
      </c>
      <c r="Z119" s="655">
        <f t="shared" si="33"/>
        <v>386042.565</v>
      </c>
      <c r="AA119" s="366">
        <f t="shared" si="34"/>
        <v>30</v>
      </c>
      <c r="AB119" s="655">
        <f t="shared" si="35"/>
        <v>12868.085499999999</v>
      </c>
      <c r="AC119" s="655">
        <f t="shared" si="36"/>
        <v>2272574.5350000001</v>
      </c>
      <c r="AD119" s="655">
        <f t="shared" si="37"/>
        <v>17619.246181000592</v>
      </c>
      <c r="AE119" s="655">
        <f t="shared" si="37"/>
        <v>20426.542377401045</v>
      </c>
      <c r="AF119" s="655">
        <f t="shared" si="37"/>
        <v>26386.517316982176</v>
      </c>
      <c r="AG119" s="655">
        <f t="shared" si="21"/>
        <v>44999.699565277529</v>
      </c>
      <c r="AR119" t="str">
        <f>VLOOKUP(E$6:E$287,'[7]Sales Report'!$B$7:$C$288,2,FALSE)</f>
        <v>UNSOLD</v>
      </c>
      <c r="AS119" s="355" t="s">
        <v>258</v>
      </c>
    </row>
    <row r="120" spans="1:52" ht="14.25" customHeight="1">
      <c r="A120" s="651">
        <v>9000</v>
      </c>
      <c r="B120" s="639" t="s">
        <v>953</v>
      </c>
      <c r="C120" s="391"/>
      <c r="D120" s="386"/>
      <c r="E120" s="372" t="s">
        <v>385</v>
      </c>
      <c r="F120" s="367" t="s">
        <v>894</v>
      </c>
      <c r="G120" s="373">
        <v>22</v>
      </c>
      <c r="H120" s="587">
        <v>2000000</v>
      </c>
      <c r="I120" s="600">
        <f t="shared" si="22"/>
        <v>198000</v>
      </c>
      <c r="J120" s="600">
        <f t="shared" si="23"/>
        <v>23760</v>
      </c>
      <c r="K120" s="604">
        <f t="shared" si="24"/>
        <v>63700</v>
      </c>
      <c r="L120" s="666">
        <f t="shared" si="25"/>
        <v>2285460</v>
      </c>
      <c r="M120" s="666"/>
      <c r="N120" s="683">
        <v>75000</v>
      </c>
      <c r="O120" s="688">
        <f t="shared" si="38"/>
        <v>70101</v>
      </c>
      <c r="P120" s="601">
        <f t="shared" si="26"/>
        <v>2430561</v>
      </c>
      <c r="Q120" s="669">
        <v>20000</v>
      </c>
      <c r="R120" s="669">
        <v>50000</v>
      </c>
      <c r="S120" s="600">
        <f t="shared" si="27"/>
        <v>182292.07499999998</v>
      </c>
      <c r="T120" s="600">
        <f t="shared" si="28"/>
        <v>60764.025000000001</v>
      </c>
      <c r="U120" s="600"/>
      <c r="V120" s="606">
        <f t="shared" si="29"/>
        <v>2673617.1</v>
      </c>
      <c r="W120" s="370">
        <f t="shared" si="39"/>
        <v>0.15</v>
      </c>
      <c r="X120" s="655">
        <f t="shared" si="31"/>
        <v>401042.565</v>
      </c>
      <c r="Y120" s="368">
        <f t="shared" si="32"/>
        <v>15000</v>
      </c>
      <c r="Z120" s="655">
        <f t="shared" si="33"/>
        <v>386042.565</v>
      </c>
      <c r="AA120" s="366">
        <f t="shared" si="34"/>
        <v>30</v>
      </c>
      <c r="AB120" s="655">
        <f t="shared" si="35"/>
        <v>12868.085499999999</v>
      </c>
      <c r="AC120" s="655">
        <f t="shared" si="36"/>
        <v>2272574.5350000001</v>
      </c>
      <c r="AD120" s="655">
        <f t="shared" si="37"/>
        <v>17619.246181000592</v>
      </c>
      <c r="AE120" s="655">
        <f t="shared" si="37"/>
        <v>20426.542377401045</v>
      </c>
      <c r="AF120" s="655">
        <f t="shared" si="37"/>
        <v>26386.517316982176</v>
      </c>
      <c r="AG120" s="655">
        <f t="shared" si="21"/>
        <v>44999.699565277529</v>
      </c>
      <c r="AR120" t="str">
        <f>VLOOKUP(E$6:E$287,'[7]Sales Report'!$B$7:$C$288,2,FALSE)</f>
        <v>SOLD</v>
      </c>
      <c r="AS120" s="355" t="s">
        <v>236</v>
      </c>
    </row>
    <row r="121" spans="1:52" ht="14.25" customHeight="1">
      <c r="A121" s="651">
        <v>9000</v>
      </c>
      <c r="B121" s="639" t="s">
        <v>953</v>
      </c>
      <c r="C121" s="391"/>
      <c r="D121" s="386"/>
      <c r="E121" s="372" t="s">
        <v>387</v>
      </c>
      <c r="F121" s="367" t="s">
        <v>894</v>
      </c>
      <c r="G121" s="373">
        <v>22</v>
      </c>
      <c r="H121" s="587">
        <v>2000000</v>
      </c>
      <c r="I121" s="600">
        <f t="shared" si="22"/>
        <v>198000</v>
      </c>
      <c r="J121" s="600">
        <f t="shared" si="23"/>
        <v>23760</v>
      </c>
      <c r="K121" s="604">
        <f t="shared" si="24"/>
        <v>63700</v>
      </c>
      <c r="L121" s="666">
        <f t="shared" si="25"/>
        <v>2285460</v>
      </c>
      <c r="M121" s="666"/>
      <c r="N121" s="683">
        <v>75000</v>
      </c>
      <c r="O121" s="688">
        <f t="shared" si="38"/>
        <v>70101</v>
      </c>
      <c r="P121" s="601">
        <f t="shared" si="26"/>
        <v>2430561</v>
      </c>
      <c r="Q121" s="669">
        <v>20000</v>
      </c>
      <c r="R121" s="669">
        <v>50000</v>
      </c>
      <c r="S121" s="600">
        <f t="shared" si="27"/>
        <v>182292.07499999998</v>
      </c>
      <c r="T121" s="600">
        <f t="shared" si="28"/>
        <v>60764.025000000001</v>
      </c>
      <c r="U121" s="600"/>
      <c r="V121" s="606">
        <f t="shared" si="29"/>
        <v>2673617.1</v>
      </c>
      <c r="W121" s="370">
        <f t="shared" si="39"/>
        <v>0.15</v>
      </c>
      <c r="X121" s="655">
        <f t="shared" si="31"/>
        <v>401042.565</v>
      </c>
      <c r="Y121" s="368">
        <f t="shared" si="32"/>
        <v>15000</v>
      </c>
      <c r="Z121" s="655">
        <f t="shared" si="33"/>
        <v>386042.565</v>
      </c>
      <c r="AA121" s="366">
        <f t="shared" si="34"/>
        <v>30</v>
      </c>
      <c r="AB121" s="655">
        <f t="shared" si="35"/>
        <v>12868.085499999999</v>
      </c>
      <c r="AC121" s="655">
        <f t="shared" si="36"/>
        <v>2272574.5350000001</v>
      </c>
      <c r="AD121" s="655">
        <f t="shared" si="37"/>
        <v>17619.246181000592</v>
      </c>
      <c r="AE121" s="655">
        <f t="shared" si="37"/>
        <v>20426.542377401045</v>
      </c>
      <c r="AF121" s="655">
        <f t="shared" si="37"/>
        <v>26386.517316982176</v>
      </c>
      <c r="AG121" s="655">
        <f t="shared" si="21"/>
        <v>44999.699565277529</v>
      </c>
      <c r="AR121" t="str">
        <f>VLOOKUP(E$6:E$287,'[7]Sales Report'!$B$7:$C$288,2,FALSE)</f>
        <v>SOLD</v>
      </c>
      <c r="AS121" s="355" t="s">
        <v>236</v>
      </c>
    </row>
    <row r="122" spans="1:52" ht="14.25" customHeight="1">
      <c r="A122" s="651">
        <v>9000</v>
      </c>
      <c r="B122" s="639" t="s">
        <v>953</v>
      </c>
      <c r="C122" s="391"/>
      <c r="D122" s="386"/>
      <c r="E122" s="372" t="s">
        <v>389</v>
      </c>
      <c r="F122" s="367" t="s">
        <v>894</v>
      </c>
      <c r="G122" s="373">
        <v>22</v>
      </c>
      <c r="H122" s="587">
        <v>2000000</v>
      </c>
      <c r="I122" s="600">
        <f t="shared" si="22"/>
        <v>198000</v>
      </c>
      <c r="J122" s="600">
        <f t="shared" si="23"/>
        <v>23760</v>
      </c>
      <c r="K122" s="604">
        <f t="shared" si="24"/>
        <v>63700</v>
      </c>
      <c r="L122" s="666">
        <f t="shared" si="25"/>
        <v>2285460</v>
      </c>
      <c r="M122" s="666"/>
      <c r="N122" s="683">
        <v>75000</v>
      </c>
      <c r="O122" s="688">
        <f t="shared" si="38"/>
        <v>70101</v>
      </c>
      <c r="P122" s="601">
        <f t="shared" si="26"/>
        <v>2430561</v>
      </c>
      <c r="Q122" s="669">
        <v>20000</v>
      </c>
      <c r="R122" s="669">
        <v>50000</v>
      </c>
      <c r="S122" s="600">
        <f t="shared" si="27"/>
        <v>182292.07499999998</v>
      </c>
      <c r="T122" s="600">
        <f t="shared" si="28"/>
        <v>60764.025000000001</v>
      </c>
      <c r="U122" s="600"/>
      <c r="V122" s="606">
        <f t="shared" si="29"/>
        <v>2673617.1</v>
      </c>
      <c r="W122" s="370">
        <f t="shared" si="39"/>
        <v>0.15</v>
      </c>
      <c r="X122" s="655">
        <f t="shared" si="31"/>
        <v>401042.565</v>
      </c>
      <c r="Y122" s="368">
        <f t="shared" si="32"/>
        <v>15000</v>
      </c>
      <c r="Z122" s="655">
        <f t="shared" si="33"/>
        <v>386042.565</v>
      </c>
      <c r="AA122" s="366">
        <f t="shared" si="34"/>
        <v>30</v>
      </c>
      <c r="AB122" s="655">
        <f t="shared" si="35"/>
        <v>12868.085499999999</v>
      </c>
      <c r="AC122" s="655">
        <f t="shared" si="36"/>
        <v>2272574.5350000001</v>
      </c>
      <c r="AD122" s="655">
        <f t="shared" si="37"/>
        <v>17619.246181000592</v>
      </c>
      <c r="AE122" s="655">
        <f t="shared" si="37"/>
        <v>20426.542377401045</v>
      </c>
      <c r="AF122" s="655">
        <f t="shared" si="37"/>
        <v>26386.517316982176</v>
      </c>
      <c r="AG122" s="655">
        <f t="shared" si="21"/>
        <v>44999.699565277529</v>
      </c>
      <c r="AR122" t="str">
        <f>VLOOKUP(E$6:E$287,'[7]Sales Report'!$B$7:$C$288,2,FALSE)</f>
        <v>SOLD</v>
      </c>
      <c r="AS122" s="355" t="s">
        <v>236</v>
      </c>
    </row>
    <row r="123" spans="1:52" ht="14.25" customHeight="1">
      <c r="A123" s="651">
        <v>9000</v>
      </c>
      <c r="B123" s="639" t="s">
        <v>953</v>
      </c>
      <c r="C123" s="391"/>
      <c r="D123" s="386"/>
      <c r="E123" s="372" t="s">
        <v>391</v>
      </c>
      <c r="F123" s="367" t="s">
        <v>894</v>
      </c>
      <c r="G123" s="373">
        <v>22</v>
      </c>
      <c r="H123" s="587">
        <v>2000000</v>
      </c>
      <c r="I123" s="600">
        <f t="shared" si="22"/>
        <v>198000</v>
      </c>
      <c r="J123" s="600">
        <f t="shared" si="23"/>
        <v>23760</v>
      </c>
      <c r="K123" s="604">
        <f t="shared" si="24"/>
        <v>63700</v>
      </c>
      <c r="L123" s="666">
        <f t="shared" si="25"/>
        <v>2285460</v>
      </c>
      <c r="M123" s="666"/>
      <c r="N123" s="683">
        <v>75000</v>
      </c>
      <c r="O123" s="688">
        <f t="shared" si="38"/>
        <v>70101</v>
      </c>
      <c r="P123" s="601">
        <f t="shared" si="26"/>
        <v>2430561</v>
      </c>
      <c r="Q123" s="669">
        <v>20000</v>
      </c>
      <c r="R123" s="669">
        <v>50000</v>
      </c>
      <c r="S123" s="600">
        <f t="shared" si="27"/>
        <v>182292.07499999998</v>
      </c>
      <c r="T123" s="600">
        <f t="shared" si="28"/>
        <v>60764.025000000001</v>
      </c>
      <c r="U123" s="600"/>
      <c r="V123" s="606">
        <f t="shared" si="29"/>
        <v>2673617.1</v>
      </c>
      <c r="W123" s="370">
        <f t="shared" si="39"/>
        <v>0.15</v>
      </c>
      <c r="X123" s="655">
        <f t="shared" si="31"/>
        <v>401042.565</v>
      </c>
      <c r="Y123" s="368">
        <f t="shared" si="32"/>
        <v>15000</v>
      </c>
      <c r="Z123" s="655">
        <f t="shared" si="33"/>
        <v>386042.565</v>
      </c>
      <c r="AA123" s="366">
        <f t="shared" si="34"/>
        <v>30</v>
      </c>
      <c r="AB123" s="655">
        <f t="shared" si="35"/>
        <v>12868.085499999999</v>
      </c>
      <c r="AC123" s="655">
        <f t="shared" si="36"/>
        <v>2272574.5350000001</v>
      </c>
      <c r="AD123" s="655">
        <f t="shared" si="37"/>
        <v>17619.246181000592</v>
      </c>
      <c r="AE123" s="655">
        <f t="shared" si="37"/>
        <v>20426.542377401045</v>
      </c>
      <c r="AF123" s="655">
        <f t="shared" si="37"/>
        <v>26386.517316982176</v>
      </c>
      <c r="AG123" s="655">
        <f t="shared" si="21"/>
        <v>44999.699565277529</v>
      </c>
      <c r="AR123" t="s">
        <v>258</v>
      </c>
      <c r="AS123" s="355" t="s">
        <v>258</v>
      </c>
    </row>
    <row r="124" spans="1:52" s="615" customFormat="1" ht="14.25" customHeight="1">
      <c r="A124" s="652">
        <v>17000</v>
      </c>
      <c r="B124" s="644" t="s">
        <v>954</v>
      </c>
      <c r="C124" s="608"/>
      <c r="D124" s="609"/>
      <c r="E124" s="610" t="s">
        <v>955</v>
      </c>
      <c r="F124" s="611" t="s">
        <v>956</v>
      </c>
      <c r="G124" s="612">
        <v>44</v>
      </c>
      <c r="H124" s="613">
        <v>4748000</v>
      </c>
      <c r="I124" s="603"/>
      <c r="J124" s="603"/>
      <c r="K124" s="604">
        <f t="shared" si="24"/>
        <v>63700</v>
      </c>
      <c r="L124" s="666">
        <f>SUM(H124:K124)</f>
        <v>4811700</v>
      </c>
      <c r="M124" s="666">
        <f>H124*5%</f>
        <v>237400</v>
      </c>
      <c r="N124" s="683"/>
      <c r="O124" s="683"/>
      <c r="P124" s="693"/>
      <c r="Q124" s="694">
        <v>20000</v>
      </c>
      <c r="R124" s="694">
        <v>50000</v>
      </c>
      <c r="S124" s="603">
        <f>+P124*$S$5</f>
        <v>0</v>
      </c>
      <c r="T124" s="603">
        <f t="shared" si="28"/>
        <v>0</v>
      </c>
      <c r="U124" s="603">
        <f>+P124*0.12</f>
        <v>0</v>
      </c>
      <c r="V124" s="695">
        <f>P124+S124+T124+U124</f>
        <v>0</v>
      </c>
      <c r="W124" s="626">
        <f>W$296</f>
        <v>0.15</v>
      </c>
      <c r="X124" s="656">
        <f>+V124*W124</f>
        <v>0</v>
      </c>
      <c r="Y124" s="614">
        <f t="shared" si="32"/>
        <v>15000</v>
      </c>
      <c r="Z124" s="656">
        <f t="shared" si="33"/>
        <v>-15000</v>
      </c>
      <c r="AA124" s="620">
        <f t="shared" si="34"/>
        <v>30</v>
      </c>
      <c r="AB124" s="656">
        <f t="shared" si="35"/>
        <v>-500</v>
      </c>
      <c r="AC124" s="656">
        <f t="shared" si="36"/>
        <v>0</v>
      </c>
      <c r="AD124" s="656">
        <f t="shared" si="37"/>
        <v>0</v>
      </c>
      <c r="AE124" s="656">
        <f t="shared" si="37"/>
        <v>0</v>
      </c>
      <c r="AF124" s="656">
        <f t="shared" si="37"/>
        <v>0</v>
      </c>
      <c r="AG124" s="656">
        <f t="shared" si="21"/>
        <v>0</v>
      </c>
      <c r="AJ124"/>
      <c r="AK124"/>
      <c r="AL124"/>
      <c r="AM124"/>
      <c r="AN124"/>
      <c r="AO124"/>
      <c r="AQ124"/>
      <c r="AR124"/>
      <c r="AS124" s="616" t="s">
        <v>957</v>
      </c>
      <c r="AT124"/>
      <c r="AU124"/>
      <c r="AV124"/>
      <c r="AW124"/>
      <c r="AX124"/>
      <c r="AY124"/>
      <c r="AZ124"/>
    </row>
    <row r="125" spans="1:52" ht="14.25" customHeight="1">
      <c r="A125" s="651">
        <v>11000</v>
      </c>
      <c r="B125" s="640" t="s">
        <v>954</v>
      </c>
      <c r="C125" s="391"/>
      <c r="D125" s="386"/>
      <c r="E125" s="372" t="s">
        <v>397</v>
      </c>
      <c r="F125" s="367" t="s">
        <v>894</v>
      </c>
      <c r="G125" s="373">
        <v>22</v>
      </c>
      <c r="H125" s="587">
        <v>2000000</v>
      </c>
      <c r="I125" s="600">
        <f t="shared" si="22"/>
        <v>242000</v>
      </c>
      <c r="J125" s="600">
        <f t="shared" si="23"/>
        <v>29040</v>
      </c>
      <c r="K125" s="604">
        <f t="shared" si="24"/>
        <v>63700</v>
      </c>
      <c r="L125" s="666">
        <f t="shared" si="25"/>
        <v>2334740</v>
      </c>
      <c r="M125" s="666"/>
      <c r="N125" s="683">
        <v>75000</v>
      </c>
      <c r="O125" s="688">
        <f t="shared" ref="O125:O145" si="40">(H125+I125+K125+N125)*3%</f>
        <v>71421</v>
      </c>
      <c r="P125" s="601">
        <f t="shared" si="26"/>
        <v>2481161</v>
      </c>
      <c r="Q125" s="669">
        <v>20000</v>
      </c>
      <c r="R125" s="669">
        <v>50000</v>
      </c>
      <c r="S125" s="600">
        <f t="shared" si="27"/>
        <v>186087.07499999998</v>
      </c>
      <c r="T125" s="600">
        <f t="shared" si="28"/>
        <v>62029.025000000001</v>
      </c>
      <c r="U125" s="600"/>
      <c r="V125" s="606">
        <f t="shared" si="29"/>
        <v>2729277.1</v>
      </c>
      <c r="W125" s="370">
        <f t="shared" ref="W125:W145" si="41">W$297</f>
        <v>0.15</v>
      </c>
      <c r="X125" s="655">
        <f t="shared" si="31"/>
        <v>409391.565</v>
      </c>
      <c r="Y125" s="368">
        <f t="shared" si="32"/>
        <v>15000</v>
      </c>
      <c r="Z125" s="655">
        <f t="shared" si="33"/>
        <v>394391.565</v>
      </c>
      <c r="AA125" s="366">
        <f t="shared" si="34"/>
        <v>30</v>
      </c>
      <c r="AB125" s="655">
        <f t="shared" si="35"/>
        <v>13146.3855</v>
      </c>
      <c r="AC125" s="655">
        <f t="shared" si="36"/>
        <v>2319885.5350000001</v>
      </c>
      <c r="AD125" s="655">
        <f t="shared" si="37"/>
        <v>17986.047860431237</v>
      </c>
      <c r="AE125" s="655">
        <f t="shared" si="37"/>
        <v>20851.787020220745</v>
      </c>
      <c r="AF125" s="655">
        <f t="shared" si="37"/>
        <v>26935.838143013407</v>
      </c>
      <c r="AG125" s="655">
        <f t="shared" si="21"/>
        <v>45936.514069420002</v>
      </c>
      <c r="AR125" t="str">
        <f>VLOOKUP(E$6:E$287,'[7]Sales Report'!$B$7:$C$288,2,FALSE)</f>
        <v>SOLD</v>
      </c>
      <c r="AS125" s="355" t="s">
        <v>236</v>
      </c>
    </row>
    <row r="126" spans="1:52" ht="14.25" customHeight="1">
      <c r="A126" s="651">
        <v>11000</v>
      </c>
      <c r="B126" s="641" t="s">
        <v>954</v>
      </c>
      <c r="C126" s="391"/>
      <c r="D126" s="386"/>
      <c r="E126" s="372" t="s">
        <v>399</v>
      </c>
      <c r="F126" s="367" t="s">
        <v>894</v>
      </c>
      <c r="G126" s="373">
        <v>22</v>
      </c>
      <c r="H126" s="587">
        <v>2000000</v>
      </c>
      <c r="I126" s="600">
        <f t="shared" si="22"/>
        <v>242000</v>
      </c>
      <c r="J126" s="600">
        <f t="shared" si="23"/>
        <v>29040</v>
      </c>
      <c r="K126" s="604">
        <f t="shared" si="24"/>
        <v>63700</v>
      </c>
      <c r="L126" s="666">
        <f t="shared" si="25"/>
        <v>2334740</v>
      </c>
      <c r="M126" s="666"/>
      <c r="N126" s="683">
        <v>75000</v>
      </c>
      <c r="O126" s="688">
        <f t="shared" si="40"/>
        <v>71421</v>
      </c>
      <c r="P126" s="601">
        <f t="shared" si="26"/>
        <v>2481161</v>
      </c>
      <c r="Q126" s="669">
        <v>20000</v>
      </c>
      <c r="R126" s="669">
        <v>50000</v>
      </c>
      <c r="S126" s="600">
        <f t="shared" si="27"/>
        <v>186087.07499999998</v>
      </c>
      <c r="T126" s="600">
        <f t="shared" si="28"/>
        <v>62029.025000000001</v>
      </c>
      <c r="U126" s="600"/>
      <c r="V126" s="606">
        <f t="shared" si="29"/>
        <v>2729277.1</v>
      </c>
      <c r="W126" s="370">
        <f t="shared" si="41"/>
        <v>0.15</v>
      </c>
      <c r="X126" s="655">
        <f t="shared" si="31"/>
        <v>409391.565</v>
      </c>
      <c r="Y126" s="368">
        <f t="shared" si="32"/>
        <v>15000</v>
      </c>
      <c r="Z126" s="655">
        <f t="shared" si="33"/>
        <v>394391.565</v>
      </c>
      <c r="AA126" s="366">
        <f t="shared" si="34"/>
        <v>30</v>
      </c>
      <c r="AB126" s="655">
        <f t="shared" si="35"/>
        <v>13146.3855</v>
      </c>
      <c r="AC126" s="655">
        <f t="shared" si="36"/>
        <v>2319885.5350000001</v>
      </c>
      <c r="AD126" s="655">
        <f t="shared" si="37"/>
        <v>17986.047860431237</v>
      </c>
      <c r="AE126" s="655">
        <f t="shared" si="37"/>
        <v>20851.787020220745</v>
      </c>
      <c r="AF126" s="655">
        <f t="shared" si="37"/>
        <v>26935.838143013407</v>
      </c>
      <c r="AG126" s="655">
        <f t="shared" si="21"/>
        <v>45936.514069420002</v>
      </c>
      <c r="AR126" t="str">
        <f>VLOOKUP(E$6:E$287,'[7]Sales Report'!$B$7:$C$288,2,FALSE)</f>
        <v>SOLD</v>
      </c>
      <c r="AS126" s="355" t="s">
        <v>236</v>
      </c>
    </row>
    <row r="127" spans="1:52" ht="14.25" customHeight="1">
      <c r="A127" s="651">
        <v>11000</v>
      </c>
      <c r="B127" s="638" t="s">
        <v>954</v>
      </c>
      <c r="C127" s="391"/>
      <c r="D127" s="386"/>
      <c r="E127" s="372" t="s">
        <v>401</v>
      </c>
      <c r="F127" s="367" t="s">
        <v>894</v>
      </c>
      <c r="G127" s="373">
        <v>22</v>
      </c>
      <c r="H127" s="587">
        <v>2000000</v>
      </c>
      <c r="I127" s="600">
        <f t="shared" si="22"/>
        <v>242000</v>
      </c>
      <c r="J127" s="600">
        <f t="shared" si="23"/>
        <v>29040</v>
      </c>
      <c r="K127" s="604">
        <f t="shared" si="24"/>
        <v>63700</v>
      </c>
      <c r="L127" s="666">
        <f t="shared" si="25"/>
        <v>2334740</v>
      </c>
      <c r="M127" s="666"/>
      <c r="N127" s="683">
        <v>75000</v>
      </c>
      <c r="O127" s="688">
        <f t="shared" si="40"/>
        <v>71421</v>
      </c>
      <c r="P127" s="601">
        <f t="shared" si="26"/>
        <v>2481161</v>
      </c>
      <c r="Q127" s="669">
        <v>20000</v>
      </c>
      <c r="R127" s="669">
        <v>50000</v>
      </c>
      <c r="S127" s="600">
        <f t="shared" si="27"/>
        <v>186087.07499999998</v>
      </c>
      <c r="T127" s="600">
        <f t="shared" si="28"/>
        <v>62029.025000000001</v>
      </c>
      <c r="U127" s="600"/>
      <c r="V127" s="606">
        <f t="shared" si="29"/>
        <v>2729277.1</v>
      </c>
      <c r="W127" s="370">
        <f t="shared" si="41"/>
        <v>0.15</v>
      </c>
      <c r="X127" s="655">
        <f t="shared" si="31"/>
        <v>409391.565</v>
      </c>
      <c r="Y127" s="368">
        <f t="shared" si="32"/>
        <v>15000</v>
      </c>
      <c r="Z127" s="655">
        <f t="shared" si="33"/>
        <v>394391.565</v>
      </c>
      <c r="AA127" s="366">
        <f t="shared" si="34"/>
        <v>30</v>
      </c>
      <c r="AB127" s="655">
        <f t="shared" si="35"/>
        <v>13146.3855</v>
      </c>
      <c r="AC127" s="655">
        <f t="shared" si="36"/>
        <v>2319885.5350000001</v>
      </c>
      <c r="AD127" s="655">
        <f t="shared" si="37"/>
        <v>17986.047860431237</v>
      </c>
      <c r="AE127" s="655">
        <f t="shared" si="37"/>
        <v>20851.787020220745</v>
      </c>
      <c r="AF127" s="655">
        <f t="shared" si="37"/>
        <v>26935.838143013407</v>
      </c>
      <c r="AG127" s="655">
        <f t="shared" si="21"/>
        <v>45936.514069420002</v>
      </c>
      <c r="AR127" t="str">
        <f>VLOOKUP(E$6:E$287,'[7]Sales Report'!$B$7:$C$288,2,FALSE)</f>
        <v>SOLD</v>
      </c>
      <c r="AS127" s="355" t="s">
        <v>236</v>
      </c>
    </row>
    <row r="128" spans="1:52" ht="14.25" customHeight="1">
      <c r="A128" s="651">
        <v>11000</v>
      </c>
      <c r="B128" s="640" t="s">
        <v>954</v>
      </c>
      <c r="C128" s="391"/>
      <c r="D128" s="386"/>
      <c r="E128" s="372" t="s">
        <v>403</v>
      </c>
      <c r="F128" s="367" t="s">
        <v>894</v>
      </c>
      <c r="G128" s="373">
        <v>22</v>
      </c>
      <c r="H128" s="587">
        <v>2000000</v>
      </c>
      <c r="I128" s="600">
        <f t="shared" si="22"/>
        <v>242000</v>
      </c>
      <c r="J128" s="600">
        <f t="shared" si="23"/>
        <v>29040</v>
      </c>
      <c r="K128" s="604">
        <f t="shared" si="24"/>
        <v>63700</v>
      </c>
      <c r="L128" s="666">
        <f t="shared" si="25"/>
        <v>2334740</v>
      </c>
      <c r="M128" s="666"/>
      <c r="N128" s="683">
        <v>75000</v>
      </c>
      <c r="O128" s="688">
        <f t="shared" si="40"/>
        <v>71421</v>
      </c>
      <c r="P128" s="601">
        <f t="shared" si="26"/>
        <v>2481161</v>
      </c>
      <c r="Q128" s="669">
        <v>20000</v>
      </c>
      <c r="R128" s="669">
        <v>50000</v>
      </c>
      <c r="S128" s="600">
        <f t="shared" si="27"/>
        <v>186087.07499999998</v>
      </c>
      <c r="T128" s="600">
        <f t="shared" si="28"/>
        <v>62029.025000000001</v>
      </c>
      <c r="U128" s="600"/>
      <c r="V128" s="606">
        <f t="shared" si="29"/>
        <v>2729277.1</v>
      </c>
      <c r="W128" s="370">
        <f t="shared" si="41"/>
        <v>0.15</v>
      </c>
      <c r="X128" s="655">
        <f t="shared" si="31"/>
        <v>409391.565</v>
      </c>
      <c r="Y128" s="368">
        <f t="shared" si="32"/>
        <v>15000</v>
      </c>
      <c r="Z128" s="655">
        <f t="shared" si="33"/>
        <v>394391.565</v>
      </c>
      <c r="AA128" s="366">
        <f t="shared" si="34"/>
        <v>30</v>
      </c>
      <c r="AB128" s="655">
        <f t="shared" si="35"/>
        <v>13146.3855</v>
      </c>
      <c r="AC128" s="655">
        <f t="shared" si="36"/>
        <v>2319885.5350000001</v>
      </c>
      <c r="AD128" s="655">
        <f t="shared" si="37"/>
        <v>17986.047860431237</v>
      </c>
      <c r="AE128" s="655">
        <f t="shared" si="37"/>
        <v>20851.787020220745</v>
      </c>
      <c r="AF128" s="655">
        <f t="shared" si="37"/>
        <v>26935.838143013407</v>
      </c>
      <c r="AG128" s="655">
        <f t="shared" si="21"/>
        <v>45936.514069420002</v>
      </c>
      <c r="AR128" t="str">
        <f>VLOOKUP(E$6:E$287,'[7]Sales Report'!$B$7:$C$288,2,FALSE)</f>
        <v>SOLD</v>
      </c>
      <c r="AS128" s="355" t="s">
        <v>236</v>
      </c>
    </row>
    <row r="129" spans="1:45" ht="14.25" customHeight="1">
      <c r="A129" s="651">
        <v>11000</v>
      </c>
      <c r="B129" s="641" t="s">
        <v>954</v>
      </c>
      <c r="C129" s="391"/>
      <c r="D129" s="386"/>
      <c r="E129" s="372" t="s">
        <v>405</v>
      </c>
      <c r="F129" s="367" t="s">
        <v>894</v>
      </c>
      <c r="G129" s="373">
        <v>22</v>
      </c>
      <c r="H129" s="587">
        <v>2000000</v>
      </c>
      <c r="I129" s="600">
        <f t="shared" si="22"/>
        <v>242000</v>
      </c>
      <c r="J129" s="600">
        <f t="shared" si="23"/>
        <v>29040</v>
      </c>
      <c r="K129" s="604">
        <f t="shared" si="24"/>
        <v>63700</v>
      </c>
      <c r="L129" s="666">
        <f t="shared" si="25"/>
        <v>2334740</v>
      </c>
      <c r="M129" s="666"/>
      <c r="N129" s="683">
        <v>75000</v>
      </c>
      <c r="O129" s="688">
        <f t="shared" si="40"/>
        <v>71421</v>
      </c>
      <c r="P129" s="601">
        <f t="shared" si="26"/>
        <v>2481161</v>
      </c>
      <c r="Q129" s="669">
        <v>20000</v>
      </c>
      <c r="R129" s="669">
        <v>50000</v>
      </c>
      <c r="S129" s="600">
        <f t="shared" si="27"/>
        <v>186087.07499999998</v>
      </c>
      <c r="T129" s="600">
        <f t="shared" si="28"/>
        <v>62029.025000000001</v>
      </c>
      <c r="U129" s="600"/>
      <c r="V129" s="606">
        <f t="shared" si="29"/>
        <v>2729277.1</v>
      </c>
      <c r="W129" s="370">
        <f t="shared" si="41"/>
        <v>0.15</v>
      </c>
      <c r="X129" s="655">
        <f t="shared" si="31"/>
        <v>409391.565</v>
      </c>
      <c r="Y129" s="368">
        <f t="shared" si="32"/>
        <v>15000</v>
      </c>
      <c r="Z129" s="655">
        <f t="shared" si="33"/>
        <v>394391.565</v>
      </c>
      <c r="AA129" s="366">
        <f t="shared" si="34"/>
        <v>30</v>
      </c>
      <c r="AB129" s="655">
        <f t="shared" si="35"/>
        <v>13146.3855</v>
      </c>
      <c r="AC129" s="655">
        <f t="shared" si="36"/>
        <v>2319885.5350000001</v>
      </c>
      <c r="AD129" s="655">
        <f t="shared" si="37"/>
        <v>17986.047860431237</v>
      </c>
      <c r="AE129" s="655">
        <f t="shared" si="37"/>
        <v>20851.787020220745</v>
      </c>
      <c r="AF129" s="655">
        <f t="shared" si="37"/>
        <v>26935.838143013407</v>
      </c>
      <c r="AG129" s="655">
        <f t="shared" si="21"/>
        <v>45936.514069420002</v>
      </c>
      <c r="AR129" t="str">
        <f>VLOOKUP(E$6:E$287,'[7]Sales Report'!$B$7:$C$288,2,FALSE)</f>
        <v>SOLD</v>
      </c>
      <c r="AS129" s="355" t="s">
        <v>236</v>
      </c>
    </row>
    <row r="130" spans="1:45" ht="14.25" customHeight="1">
      <c r="A130" s="651">
        <v>11000</v>
      </c>
      <c r="B130" s="638" t="s">
        <v>954</v>
      </c>
      <c r="C130" s="391"/>
      <c r="D130" s="386"/>
      <c r="E130" s="372" t="s">
        <v>407</v>
      </c>
      <c r="F130" s="367" t="s">
        <v>894</v>
      </c>
      <c r="G130" s="373">
        <v>22</v>
      </c>
      <c r="H130" s="587">
        <v>2000000</v>
      </c>
      <c r="I130" s="600">
        <f t="shared" si="22"/>
        <v>242000</v>
      </c>
      <c r="J130" s="600">
        <f t="shared" si="23"/>
        <v>29040</v>
      </c>
      <c r="K130" s="604">
        <f t="shared" si="24"/>
        <v>63700</v>
      </c>
      <c r="L130" s="666">
        <f t="shared" si="25"/>
        <v>2334740</v>
      </c>
      <c r="M130" s="666"/>
      <c r="N130" s="683">
        <v>75000</v>
      </c>
      <c r="O130" s="688">
        <f t="shared" si="40"/>
        <v>71421</v>
      </c>
      <c r="P130" s="601">
        <f t="shared" si="26"/>
        <v>2481161</v>
      </c>
      <c r="Q130" s="669">
        <v>20000</v>
      </c>
      <c r="R130" s="669">
        <v>50000</v>
      </c>
      <c r="S130" s="600">
        <f t="shared" si="27"/>
        <v>186087.07499999998</v>
      </c>
      <c r="T130" s="600">
        <f t="shared" si="28"/>
        <v>62029.025000000001</v>
      </c>
      <c r="U130" s="600"/>
      <c r="V130" s="606">
        <f t="shared" si="29"/>
        <v>2729277.1</v>
      </c>
      <c r="W130" s="370">
        <f t="shared" si="41"/>
        <v>0.15</v>
      </c>
      <c r="X130" s="655">
        <f t="shared" si="31"/>
        <v>409391.565</v>
      </c>
      <c r="Y130" s="368">
        <f t="shared" si="32"/>
        <v>15000</v>
      </c>
      <c r="Z130" s="655">
        <f t="shared" si="33"/>
        <v>394391.565</v>
      </c>
      <c r="AA130" s="366">
        <f t="shared" si="34"/>
        <v>30</v>
      </c>
      <c r="AB130" s="655">
        <f t="shared" si="35"/>
        <v>13146.3855</v>
      </c>
      <c r="AC130" s="655">
        <f t="shared" si="36"/>
        <v>2319885.5350000001</v>
      </c>
      <c r="AD130" s="655">
        <f t="shared" si="37"/>
        <v>17986.047860431237</v>
      </c>
      <c r="AE130" s="655">
        <f t="shared" si="37"/>
        <v>20851.787020220745</v>
      </c>
      <c r="AF130" s="655">
        <f t="shared" si="37"/>
        <v>26935.838143013407</v>
      </c>
      <c r="AG130" s="655">
        <f t="shared" si="21"/>
        <v>45936.514069420002</v>
      </c>
      <c r="AR130" t="str">
        <f>VLOOKUP(E$6:E$287,'[7]Sales Report'!$B$7:$C$288,2,FALSE)</f>
        <v>SOLD</v>
      </c>
      <c r="AS130" s="355" t="s">
        <v>236</v>
      </c>
    </row>
    <row r="131" spans="1:45" ht="14.25" customHeight="1">
      <c r="A131" s="651">
        <v>11000</v>
      </c>
      <c r="B131" s="640" t="s">
        <v>954</v>
      </c>
      <c r="C131" s="416"/>
      <c r="D131" s="417"/>
      <c r="E131" s="377" t="s">
        <v>409</v>
      </c>
      <c r="F131" s="367" t="s">
        <v>894</v>
      </c>
      <c r="G131" s="378">
        <v>22</v>
      </c>
      <c r="H131" s="587">
        <v>2000000</v>
      </c>
      <c r="I131" s="600">
        <f t="shared" si="22"/>
        <v>242000</v>
      </c>
      <c r="J131" s="600">
        <f t="shared" si="23"/>
        <v>29040</v>
      </c>
      <c r="K131" s="604">
        <f t="shared" si="24"/>
        <v>63700</v>
      </c>
      <c r="L131" s="666">
        <f t="shared" si="25"/>
        <v>2334740</v>
      </c>
      <c r="M131" s="666"/>
      <c r="N131" s="683">
        <v>75000</v>
      </c>
      <c r="O131" s="688">
        <f t="shared" si="40"/>
        <v>71421</v>
      </c>
      <c r="P131" s="601">
        <f t="shared" si="26"/>
        <v>2481161</v>
      </c>
      <c r="Q131" s="669">
        <v>20000</v>
      </c>
      <c r="R131" s="669">
        <v>50000</v>
      </c>
      <c r="S131" s="600">
        <f t="shared" si="27"/>
        <v>186087.07499999998</v>
      </c>
      <c r="T131" s="600">
        <f t="shared" si="28"/>
        <v>62029.025000000001</v>
      </c>
      <c r="U131" s="600"/>
      <c r="V131" s="606">
        <f t="shared" si="29"/>
        <v>2729277.1</v>
      </c>
      <c r="W131" s="370">
        <f t="shared" si="41"/>
        <v>0.15</v>
      </c>
      <c r="X131" s="655">
        <f t="shared" si="31"/>
        <v>409391.565</v>
      </c>
      <c r="Y131" s="368">
        <f t="shared" si="32"/>
        <v>15000</v>
      </c>
      <c r="Z131" s="655">
        <f t="shared" si="33"/>
        <v>394391.565</v>
      </c>
      <c r="AA131" s="366">
        <f t="shared" si="34"/>
        <v>30</v>
      </c>
      <c r="AB131" s="655">
        <f t="shared" si="35"/>
        <v>13146.3855</v>
      </c>
      <c r="AC131" s="655">
        <f t="shared" si="36"/>
        <v>2319885.5350000001</v>
      </c>
      <c r="AD131" s="655">
        <f t="shared" si="37"/>
        <v>17986.047860431237</v>
      </c>
      <c r="AE131" s="655">
        <f t="shared" si="37"/>
        <v>20851.787020220745</v>
      </c>
      <c r="AF131" s="655">
        <f t="shared" si="37"/>
        <v>26935.838143013407</v>
      </c>
      <c r="AG131" s="655">
        <f t="shared" si="21"/>
        <v>45936.514069420002</v>
      </c>
      <c r="AR131" t="str">
        <f>VLOOKUP(E$6:E$287,'[7]Sales Report'!$B$7:$C$288,2,FALSE)</f>
        <v>SOLD</v>
      </c>
      <c r="AS131" s="355" t="s">
        <v>236</v>
      </c>
    </row>
    <row r="132" spans="1:45" ht="14.25" customHeight="1">
      <c r="A132" s="651">
        <v>9000</v>
      </c>
      <c r="B132" s="641" t="s">
        <v>954</v>
      </c>
      <c r="C132" s="391"/>
      <c r="D132" s="367"/>
      <c r="E132" s="367" t="s">
        <v>411</v>
      </c>
      <c r="F132" s="367" t="s">
        <v>894</v>
      </c>
      <c r="G132" s="354">
        <v>22</v>
      </c>
      <c r="H132" s="587">
        <v>2000000</v>
      </c>
      <c r="I132" s="600">
        <f t="shared" si="22"/>
        <v>198000</v>
      </c>
      <c r="J132" s="600">
        <f t="shared" si="23"/>
        <v>23760</v>
      </c>
      <c r="K132" s="604">
        <f t="shared" si="24"/>
        <v>63700</v>
      </c>
      <c r="L132" s="666">
        <f t="shared" si="25"/>
        <v>2285460</v>
      </c>
      <c r="M132" s="666"/>
      <c r="N132" s="683">
        <v>75000</v>
      </c>
      <c r="O132" s="688">
        <f t="shared" si="40"/>
        <v>70101</v>
      </c>
      <c r="P132" s="601">
        <f t="shared" si="26"/>
        <v>2430561</v>
      </c>
      <c r="Q132" s="669">
        <v>20000</v>
      </c>
      <c r="R132" s="669">
        <v>50000</v>
      </c>
      <c r="S132" s="600">
        <f t="shared" si="27"/>
        <v>182292.07499999998</v>
      </c>
      <c r="T132" s="600">
        <f t="shared" si="28"/>
        <v>60764.025000000001</v>
      </c>
      <c r="U132" s="600"/>
      <c r="V132" s="606">
        <f t="shared" si="29"/>
        <v>2673617.1</v>
      </c>
      <c r="W132" s="370">
        <f t="shared" si="41"/>
        <v>0.15</v>
      </c>
      <c r="X132" s="655">
        <f t="shared" si="31"/>
        <v>401042.565</v>
      </c>
      <c r="Y132" s="368">
        <f t="shared" si="32"/>
        <v>15000</v>
      </c>
      <c r="Z132" s="655">
        <f t="shared" si="33"/>
        <v>386042.565</v>
      </c>
      <c r="AA132" s="366">
        <f t="shared" si="34"/>
        <v>30</v>
      </c>
      <c r="AB132" s="655">
        <f t="shared" si="35"/>
        <v>12868.085499999999</v>
      </c>
      <c r="AC132" s="655">
        <f t="shared" si="36"/>
        <v>2272574.5350000001</v>
      </c>
      <c r="AD132" s="655">
        <f t="shared" si="37"/>
        <v>17619.246181000592</v>
      </c>
      <c r="AE132" s="655">
        <f t="shared" si="37"/>
        <v>20426.542377401045</v>
      </c>
      <c r="AF132" s="655">
        <f t="shared" si="37"/>
        <v>26386.517316982176</v>
      </c>
      <c r="AG132" s="655">
        <f t="shared" si="21"/>
        <v>44999.699565277529</v>
      </c>
      <c r="AR132" t="str">
        <f>VLOOKUP(E$6:E$287,'[7]Sales Report'!$B$7:$C$288,2,FALSE)</f>
        <v>SOLD</v>
      </c>
      <c r="AS132" s="355" t="s">
        <v>236</v>
      </c>
    </row>
    <row r="133" spans="1:45" ht="14.25" customHeight="1">
      <c r="A133" s="651">
        <v>9000</v>
      </c>
      <c r="B133" s="642" t="s">
        <v>954</v>
      </c>
      <c r="C133" s="391"/>
      <c r="D133" s="367"/>
      <c r="E133" s="367" t="s">
        <v>413</v>
      </c>
      <c r="F133" s="367" t="s">
        <v>894</v>
      </c>
      <c r="G133" s="354">
        <v>22</v>
      </c>
      <c r="H133" s="587">
        <v>2000000</v>
      </c>
      <c r="I133" s="600">
        <f t="shared" si="22"/>
        <v>198000</v>
      </c>
      <c r="J133" s="600">
        <f t="shared" si="23"/>
        <v>23760</v>
      </c>
      <c r="K133" s="604">
        <f t="shared" si="24"/>
        <v>63700</v>
      </c>
      <c r="L133" s="666">
        <f t="shared" si="25"/>
        <v>2285460</v>
      </c>
      <c r="M133" s="666"/>
      <c r="N133" s="683">
        <v>75000</v>
      </c>
      <c r="O133" s="688">
        <f t="shared" si="40"/>
        <v>70101</v>
      </c>
      <c r="P133" s="601">
        <f t="shared" si="26"/>
        <v>2430561</v>
      </c>
      <c r="Q133" s="669">
        <v>20000</v>
      </c>
      <c r="R133" s="669">
        <v>50000</v>
      </c>
      <c r="S133" s="600">
        <f t="shared" si="27"/>
        <v>182292.07499999998</v>
      </c>
      <c r="T133" s="600">
        <f t="shared" si="28"/>
        <v>60764.025000000001</v>
      </c>
      <c r="U133" s="600"/>
      <c r="V133" s="606">
        <f t="shared" si="29"/>
        <v>2673617.1</v>
      </c>
      <c r="W133" s="370">
        <f t="shared" si="41"/>
        <v>0.15</v>
      </c>
      <c r="X133" s="655">
        <f t="shared" si="31"/>
        <v>401042.565</v>
      </c>
      <c r="Y133" s="368">
        <f t="shared" si="32"/>
        <v>15000</v>
      </c>
      <c r="Z133" s="655">
        <f t="shared" si="33"/>
        <v>386042.565</v>
      </c>
      <c r="AA133" s="366">
        <f t="shared" si="34"/>
        <v>30</v>
      </c>
      <c r="AB133" s="655">
        <f t="shared" si="35"/>
        <v>12868.085499999999</v>
      </c>
      <c r="AC133" s="655">
        <f t="shared" si="36"/>
        <v>2272574.5350000001</v>
      </c>
      <c r="AD133" s="655">
        <f t="shared" si="37"/>
        <v>17619.246181000592</v>
      </c>
      <c r="AE133" s="655">
        <f t="shared" si="37"/>
        <v>20426.542377401045</v>
      </c>
      <c r="AF133" s="655">
        <f t="shared" si="37"/>
        <v>26386.517316982176</v>
      </c>
      <c r="AG133" s="655">
        <f t="shared" si="21"/>
        <v>44999.699565277529</v>
      </c>
      <c r="AR133" t="str">
        <f>VLOOKUP(E$6:E$287,'[7]Sales Report'!$B$7:$C$288,2,FALSE)</f>
        <v>SOLD</v>
      </c>
      <c r="AS133" s="355" t="s">
        <v>236</v>
      </c>
    </row>
    <row r="134" spans="1:45" ht="14.25" customHeight="1">
      <c r="A134" s="651">
        <v>9000</v>
      </c>
      <c r="B134" s="641" t="s">
        <v>954</v>
      </c>
      <c r="C134" s="391"/>
      <c r="D134" s="367"/>
      <c r="E134" s="367" t="s">
        <v>415</v>
      </c>
      <c r="F134" s="367" t="s">
        <v>894</v>
      </c>
      <c r="G134" s="354">
        <v>22</v>
      </c>
      <c r="H134" s="587">
        <v>2000000</v>
      </c>
      <c r="I134" s="600">
        <f t="shared" si="22"/>
        <v>198000</v>
      </c>
      <c r="J134" s="600">
        <f t="shared" si="23"/>
        <v>23760</v>
      </c>
      <c r="K134" s="604">
        <f t="shared" si="24"/>
        <v>63700</v>
      </c>
      <c r="L134" s="666">
        <f t="shared" si="25"/>
        <v>2285460</v>
      </c>
      <c r="M134" s="666"/>
      <c r="N134" s="683">
        <v>75000</v>
      </c>
      <c r="O134" s="688">
        <f t="shared" si="40"/>
        <v>70101</v>
      </c>
      <c r="P134" s="601">
        <f t="shared" si="26"/>
        <v>2430561</v>
      </c>
      <c r="Q134" s="669">
        <v>20000</v>
      </c>
      <c r="R134" s="669">
        <v>50000</v>
      </c>
      <c r="S134" s="600">
        <f t="shared" si="27"/>
        <v>182292.07499999998</v>
      </c>
      <c r="T134" s="600">
        <f t="shared" si="28"/>
        <v>60764.025000000001</v>
      </c>
      <c r="U134" s="600"/>
      <c r="V134" s="606">
        <f t="shared" si="29"/>
        <v>2673617.1</v>
      </c>
      <c r="W134" s="370">
        <f t="shared" si="41"/>
        <v>0.15</v>
      </c>
      <c r="X134" s="655">
        <f t="shared" si="31"/>
        <v>401042.565</v>
      </c>
      <c r="Y134" s="368">
        <f t="shared" si="32"/>
        <v>15000</v>
      </c>
      <c r="Z134" s="655">
        <f t="shared" si="33"/>
        <v>386042.565</v>
      </c>
      <c r="AA134" s="366">
        <f t="shared" si="34"/>
        <v>30</v>
      </c>
      <c r="AB134" s="655">
        <f t="shared" si="35"/>
        <v>12868.085499999999</v>
      </c>
      <c r="AC134" s="655">
        <f t="shared" si="36"/>
        <v>2272574.5350000001</v>
      </c>
      <c r="AD134" s="655">
        <f t="shared" si="37"/>
        <v>17619.246181000592</v>
      </c>
      <c r="AE134" s="655">
        <f t="shared" si="37"/>
        <v>20426.542377401045</v>
      </c>
      <c r="AF134" s="655">
        <f t="shared" si="37"/>
        <v>26386.517316982176</v>
      </c>
      <c r="AG134" s="655">
        <f t="shared" si="21"/>
        <v>44999.699565277529</v>
      </c>
      <c r="AR134" t="str">
        <f>VLOOKUP(E$6:E$287,'[7]Sales Report'!$B$7:$C$288,2,FALSE)</f>
        <v>SOLD</v>
      </c>
      <c r="AS134" s="355" t="s">
        <v>236</v>
      </c>
    </row>
    <row r="135" spans="1:45" ht="14.25" customHeight="1">
      <c r="A135" s="651">
        <v>9000</v>
      </c>
      <c r="B135" s="643" t="s">
        <v>954</v>
      </c>
      <c r="C135" s="391"/>
      <c r="D135" s="367"/>
      <c r="E135" s="367" t="s">
        <v>417</v>
      </c>
      <c r="F135" s="367" t="s">
        <v>894</v>
      </c>
      <c r="G135" s="354">
        <v>22</v>
      </c>
      <c r="H135" s="587">
        <v>2000000</v>
      </c>
      <c r="I135" s="600">
        <f t="shared" si="22"/>
        <v>198000</v>
      </c>
      <c r="J135" s="600">
        <f t="shared" si="23"/>
        <v>23760</v>
      </c>
      <c r="K135" s="604">
        <f t="shared" si="24"/>
        <v>63700</v>
      </c>
      <c r="L135" s="666">
        <f t="shared" si="25"/>
        <v>2285460</v>
      </c>
      <c r="M135" s="666"/>
      <c r="N135" s="683">
        <v>75000</v>
      </c>
      <c r="O135" s="688">
        <f t="shared" si="40"/>
        <v>70101</v>
      </c>
      <c r="P135" s="601">
        <f t="shared" si="26"/>
        <v>2430561</v>
      </c>
      <c r="Q135" s="669">
        <v>20000</v>
      </c>
      <c r="R135" s="669">
        <v>50000</v>
      </c>
      <c r="S135" s="600">
        <f t="shared" si="27"/>
        <v>182292.07499999998</v>
      </c>
      <c r="T135" s="600">
        <f t="shared" si="28"/>
        <v>60764.025000000001</v>
      </c>
      <c r="U135" s="600"/>
      <c r="V135" s="606">
        <f t="shared" si="29"/>
        <v>2673617.1</v>
      </c>
      <c r="W135" s="370">
        <f t="shared" si="41"/>
        <v>0.15</v>
      </c>
      <c r="X135" s="655">
        <f t="shared" si="31"/>
        <v>401042.565</v>
      </c>
      <c r="Y135" s="368">
        <f t="shared" si="32"/>
        <v>15000</v>
      </c>
      <c r="Z135" s="655">
        <f t="shared" si="33"/>
        <v>386042.565</v>
      </c>
      <c r="AA135" s="366">
        <f t="shared" si="34"/>
        <v>30</v>
      </c>
      <c r="AB135" s="655">
        <f t="shared" si="35"/>
        <v>12868.085499999999</v>
      </c>
      <c r="AC135" s="655">
        <f t="shared" si="36"/>
        <v>2272574.5350000001</v>
      </c>
      <c r="AD135" s="655">
        <f t="shared" si="37"/>
        <v>17619.246181000592</v>
      </c>
      <c r="AE135" s="655">
        <f t="shared" si="37"/>
        <v>20426.542377401045</v>
      </c>
      <c r="AF135" s="655">
        <f t="shared" si="37"/>
        <v>26386.517316982176</v>
      </c>
      <c r="AG135" s="655">
        <f t="shared" si="21"/>
        <v>44999.699565277529</v>
      </c>
      <c r="AR135" t="s">
        <v>258</v>
      </c>
      <c r="AS135" s="355" t="s">
        <v>258</v>
      </c>
    </row>
    <row r="136" spans="1:45" ht="14.25" customHeight="1">
      <c r="A136" s="651">
        <v>9000</v>
      </c>
      <c r="B136" s="641" t="s">
        <v>954</v>
      </c>
      <c r="C136" s="391"/>
      <c r="D136" s="367"/>
      <c r="E136" s="367" t="s">
        <v>419</v>
      </c>
      <c r="F136" s="367" t="s">
        <v>894</v>
      </c>
      <c r="G136" s="354">
        <v>22</v>
      </c>
      <c r="H136" s="587">
        <v>2000000</v>
      </c>
      <c r="I136" s="600">
        <f t="shared" si="22"/>
        <v>198000</v>
      </c>
      <c r="J136" s="600">
        <f t="shared" si="23"/>
        <v>23760</v>
      </c>
      <c r="K136" s="604">
        <f t="shared" si="24"/>
        <v>63700</v>
      </c>
      <c r="L136" s="666">
        <f t="shared" si="25"/>
        <v>2285460</v>
      </c>
      <c r="M136" s="666"/>
      <c r="N136" s="683">
        <v>75000</v>
      </c>
      <c r="O136" s="688">
        <f t="shared" si="40"/>
        <v>70101</v>
      </c>
      <c r="P136" s="601">
        <f t="shared" si="26"/>
        <v>2430561</v>
      </c>
      <c r="Q136" s="669">
        <v>20000</v>
      </c>
      <c r="R136" s="669">
        <v>50000</v>
      </c>
      <c r="S136" s="600">
        <f t="shared" si="27"/>
        <v>182292.07499999998</v>
      </c>
      <c r="T136" s="600">
        <f t="shared" si="28"/>
        <v>60764.025000000001</v>
      </c>
      <c r="U136" s="600"/>
      <c r="V136" s="606">
        <f t="shared" si="29"/>
        <v>2673617.1</v>
      </c>
      <c r="W136" s="370">
        <f t="shared" si="41"/>
        <v>0.15</v>
      </c>
      <c r="X136" s="655">
        <f t="shared" si="31"/>
        <v>401042.565</v>
      </c>
      <c r="Y136" s="368">
        <f t="shared" si="32"/>
        <v>15000</v>
      </c>
      <c r="Z136" s="655">
        <f t="shared" si="33"/>
        <v>386042.565</v>
      </c>
      <c r="AA136" s="366">
        <f t="shared" si="34"/>
        <v>30</v>
      </c>
      <c r="AB136" s="655">
        <f t="shared" si="35"/>
        <v>12868.085499999999</v>
      </c>
      <c r="AC136" s="655">
        <f t="shared" si="36"/>
        <v>2272574.5350000001</v>
      </c>
      <c r="AD136" s="655">
        <f t="shared" si="37"/>
        <v>17619.246181000592</v>
      </c>
      <c r="AE136" s="655">
        <f t="shared" si="37"/>
        <v>20426.542377401045</v>
      </c>
      <c r="AF136" s="655">
        <f t="shared" si="37"/>
        <v>26386.517316982176</v>
      </c>
      <c r="AG136" s="655">
        <f t="shared" si="21"/>
        <v>44999.699565277529</v>
      </c>
      <c r="AR136" t="s">
        <v>258</v>
      </c>
      <c r="AS136" s="355" t="s">
        <v>258</v>
      </c>
    </row>
    <row r="137" spans="1:45" ht="14.25" customHeight="1">
      <c r="A137" s="651">
        <v>9000</v>
      </c>
      <c r="B137" s="642" t="s">
        <v>954</v>
      </c>
      <c r="C137" s="391"/>
      <c r="D137" s="367"/>
      <c r="E137" s="367" t="s">
        <v>421</v>
      </c>
      <c r="F137" s="367" t="s">
        <v>894</v>
      </c>
      <c r="G137" s="354">
        <v>22</v>
      </c>
      <c r="H137" s="587">
        <v>2000000</v>
      </c>
      <c r="I137" s="600">
        <f t="shared" si="22"/>
        <v>198000</v>
      </c>
      <c r="J137" s="600">
        <f t="shared" si="23"/>
        <v>23760</v>
      </c>
      <c r="K137" s="604">
        <f t="shared" si="24"/>
        <v>63700</v>
      </c>
      <c r="L137" s="666">
        <f t="shared" si="25"/>
        <v>2285460</v>
      </c>
      <c r="M137" s="666"/>
      <c r="N137" s="683">
        <v>75000</v>
      </c>
      <c r="O137" s="688">
        <f t="shared" si="40"/>
        <v>70101</v>
      </c>
      <c r="P137" s="601">
        <f t="shared" si="26"/>
        <v>2430561</v>
      </c>
      <c r="Q137" s="669">
        <v>20000</v>
      </c>
      <c r="R137" s="669">
        <v>50000</v>
      </c>
      <c r="S137" s="600">
        <f t="shared" si="27"/>
        <v>182292.07499999998</v>
      </c>
      <c r="T137" s="600">
        <f t="shared" si="28"/>
        <v>60764.025000000001</v>
      </c>
      <c r="U137" s="600"/>
      <c r="V137" s="606">
        <f t="shared" si="29"/>
        <v>2673617.1</v>
      </c>
      <c r="W137" s="370">
        <f t="shared" si="41"/>
        <v>0.15</v>
      </c>
      <c r="X137" s="655">
        <f t="shared" si="31"/>
        <v>401042.565</v>
      </c>
      <c r="Y137" s="368">
        <f t="shared" si="32"/>
        <v>15000</v>
      </c>
      <c r="Z137" s="655">
        <f t="shared" si="33"/>
        <v>386042.565</v>
      </c>
      <c r="AA137" s="366">
        <f t="shared" si="34"/>
        <v>30</v>
      </c>
      <c r="AB137" s="655">
        <f t="shared" si="35"/>
        <v>12868.085499999999</v>
      </c>
      <c r="AC137" s="655">
        <f t="shared" si="36"/>
        <v>2272574.5350000001</v>
      </c>
      <c r="AD137" s="655">
        <f t="shared" si="37"/>
        <v>17619.246181000592</v>
      </c>
      <c r="AE137" s="655">
        <f t="shared" si="37"/>
        <v>20426.542377401045</v>
      </c>
      <c r="AF137" s="655">
        <f t="shared" si="37"/>
        <v>26386.517316982176</v>
      </c>
      <c r="AG137" s="655">
        <f t="shared" si="21"/>
        <v>44999.699565277529</v>
      </c>
      <c r="AR137" t="s">
        <v>258</v>
      </c>
      <c r="AS137" s="355" t="s">
        <v>258</v>
      </c>
    </row>
    <row r="138" spans="1:45" ht="14.25" customHeight="1">
      <c r="A138" s="651">
        <v>9000</v>
      </c>
      <c r="B138" s="641" t="s">
        <v>954</v>
      </c>
      <c r="C138" s="391"/>
      <c r="D138" s="367"/>
      <c r="E138" s="367" t="s">
        <v>423</v>
      </c>
      <c r="F138" s="367" t="s">
        <v>894</v>
      </c>
      <c r="G138" s="354">
        <v>22</v>
      </c>
      <c r="H138" s="587">
        <v>2000000</v>
      </c>
      <c r="I138" s="600">
        <f t="shared" si="22"/>
        <v>198000</v>
      </c>
      <c r="J138" s="600">
        <f t="shared" si="23"/>
        <v>23760</v>
      </c>
      <c r="K138" s="604">
        <f t="shared" si="24"/>
        <v>63700</v>
      </c>
      <c r="L138" s="666">
        <f t="shared" si="25"/>
        <v>2285460</v>
      </c>
      <c r="M138" s="666"/>
      <c r="N138" s="683">
        <v>75000</v>
      </c>
      <c r="O138" s="688">
        <f t="shared" si="40"/>
        <v>70101</v>
      </c>
      <c r="P138" s="601">
        <f t="shared" si="26"/>
        <v>2430561</v>
      </c>
      <c r="Q138" s="669">
        <v>20000</v>
      </c>
      <c r="R138" s="669">
        <v>50000</v>
      </c>
      <c r="S138" s="600">
        <f t="shared" si="27"/>
        <v>182292.07499999998</v>
      </c>
      <c r="T138" s="600">
        <f t="shared" si="28"/>
        <v>60764.025000000001</v>
      </c>
      <c r="U138" s="600"/>
      <c r="V138" s="606">
        <f t="shared" si="29"/>
        <v>2673617.1</v>
      </c>
      <c r="W138" s="370">
        <f t="shared" si="41"/>
        <v>0.15</v>
      </c>
      <c r="X138" s="655">
        <f t="shared" si="31"/>
        <v>401042.565</v>
      </c>
      <c r="Y138" s="368">
        <f t="shared" si="32"/>
        <v>15000</v>
      </c>
      <c r="Z138" s="655">
        <f t="shared" si="33"/>
        <v>386042.565</v>
      </c>
      <c r="AA138" s="366">
        <f t="shared" si="34"/>
        <v>30</v>
      </c>
      <c r="AB138" s="655">
        <f t="shared" si="35"/>
        <v>12868.085499999999</v>
      </c>
      <c r="AC138" s="655">
        <f t="shared" si="36"/>
        <v>2272574.5350000001</v>
      </c>
      <c r="AD138" s="655">
        <f t="shared" si="37"/>
        <v>17619.246181000592</v>
      </c>
      <c r="AE138" s="655">
        <f t="shared" si="37"/>
        <v>20426.542377401045</v>
      </c>
      <c r="AF138" s="655">
        <f t="shared" si="37"/>
        <v>26386.517316982176</v>
      </c>
      <c r="AG138" s="655">
        <f t="shared" si="37"/>
        <v>44999.699565277529</v>
      </c>
      <c r="AR138" t="str">
        <f>VLOOKUP(E$6:E$287,'[7]Sales Report'!$B$7:$C$288,2,FALSE)</f>
        <v>SOLD</v>
      </c>
      <c r="AS138" s="355" t="s">
        <v>236</v>
      </c>
    </row>
    <row r="139" spans="1:45" ht="14.25" customHeight="1">
      <c r="A139" s="651">
        <v>11000</v>
      </c>
      <c r="B139" s="641" t="s">
        <v>954</v>
      </c>
      <c r="C139" s="391"/>
      <c r="D139" s="367"/>
      <c r="E139" s="367" t="s">
        <v>425</v>
      </c>
      <c r="F139" s="367" t="s">
        <v>894</v>
      </c>
      <c r="G139" s="354">
        <v>22</v>
      </c>
      <c r="H139" s="587">
        <v>2000000</v>
      </c>
      <c r="I139" s="600">
        <f t="shared" ref="I139:I200" si="42">+G139*A139</f>
        <v>242000</v>
      </c>
      <c r="J139" s="600">
        <f t="shared" ref="J139:J200" si="43">+I139*0.12</f>
        <v>29040</v>
      </c>
      <c r="K139" s="604">
        <f t="shared" ref="K139:K202" si="44">+SUM(Q139:R139)*$K$5</f>
        <v>63700</v>
      </c>
      <c r="L139" s="666">
        <f t="shared" ref="L139:L202" si="45">SUM(H139:K139)</f>
        <v>2334740</v>
      </c>
      <c r="M139" s="666"/>
      <c r="N139" s="683">
        <v>75000</v>
      </c>
      <c r="O139" s="688">
        <f t="shared" si="40"/>
        <v>71421</v>
      </c>
      <c r="P139" s="601">
        <f t="shared" ref="P139:P145" si="46">SUM(L139+N139+O139)</f>
        <v>2481161</v>
      </c>
      <c r="Q139" s="669">
        <v>20000</v>
      </c>
      <c r="R139" s="669">
        <v>50000</v>
      </c>
      <c r="S139" s="600">
        <f t="shared" ref="S139:S145" si="47">+P139*$S$5</f>
        <v>186087.07499999998</v>
      </c>
      <c r="T139" s="600">
        <f t="shared" ref="T139:T146" si="48">+P139*$T$5</f>
        <v>62029.025000000001</v>
      </c>
      <c r="U139" s="600"/>
      <c r="V139" s="606">
        <f t="shared" ref="V139:V200" si="49">P139+S139+T139</f>
        <v>2729277.1</v>
      </c>
      <c r="W139" s="370">
        <f t="shared" si="41"/>
        <v>0.15</v>
      </c>
      <c r="X139" s="655">
        <f t="shared" ref="X139:X202" si="50">+V139*W139</f>
        <v>409391.565</v>
      </c>
      <c r="Y139" s="368">
        <f t="shared" ref="Y139:Y202" si="51">Y$5</f>
        <v>15000</v>
      </c>
      <c r="Z139" s="655">
        <f t="shared" ref="Z139:Z202" si="52">+X139-Y139</f>
        <v>394391.565</v>
      </c>
      <c r="AA139" s="366">
        <f t="shared" ref="AA139:AA202" si="53">AA$5</f>
        <v>30</v>
      </c>
      <c r="AB139" s="655">
        <f t="shared" ref="AB139:AB202" si="54">+Z139/AA139</f>
        <v>13146.3855</v>
      </c>
      <c r="AC139" s="655">
        <f t="shared" ref="AC139:AC202" si="55">+V139-X139</f>
        <v>2319885.5350000001</v>
      </c>
      <c r="AD139" s="655">
        <f t="shared" ref="AD139:AG170" si="56">+$AC139*AD$5</f>
        <v>17986.047860431237</v>
      </c>
      <c r="AE139" s="655">
        <f t="shared" si="56"/>
        <v>20851.787020220745</v>
      </c>
      <c r="AF139" s="655">
        <f t="shared" si="56"/>
        <v>26935.838143013407</v>
      </c>
      <c r="AG139" s="655">
        <f t="shared" si="56"/>
        <v>45936.514069420002</v>
      </c>
      <c r="AR139" t="str">
        <f>VLOOKUP(E$6:E$287,'[7]Sales Report'!$B$7:$C$288,2,FALSE)</f>
        <v>UNSOLD</v>
      </c>
      <c r="AS139" s="355" t="s">
        <v>258</v>
      </c>
    </row>
    <row r="140" spans="1:45" ht="14.25" customHeight="1">
      <c r="A140" s="651">
        <v>11000</v>
      </c>
      <c r="B140" s="641" t="s">
        <v>954</v>
      </c>
      <c r="C140" s="391"/>
      <c r="D140" s="367"/>
      <c r="E140" s="367" t="s">
        <v>427</v>
      </c>
      <c r="F140" s="367" t="s">
        <v>894</v>
      </c>
      <c r="G140" s="354">
        <v>22</v>
      </c>
      <c r="H140" s="587">
        <v>2000000</v>
      </c>
      <c r="I140" s="600">
        <f t="shared" si="42"/>
        <v>242000</v>
      </c>
      <c r="J140" s="600">
        <f t="shared" si="43"/>
        <v>29040</v>
      </c>
      <c r="K140" s="604">
        <f t="shared" si="44"/>
        <v>63700</v>
      </c>
      <c r="L140" s="666">
        <f t="shared" si="45"/>
        <v>2334740</v>
      </c>
      <c r="M140" s="666"/>
      <c r="N140" s="683">
        <v>75000</v>
      </c>
      <c r="O140" s="688">
        <f t="shared" si="40"/>
        <v>71421</v>
      </c>
      <c r="P140" s="601">
        <f t="shared" si="46"/>
        <v>2481161</v>
      </c>
      <c r="Q140" s="669">
        <v>20000</v>
      </c>
      <c r="R140" s="669">
        <v>50000</v>
      </c>
      <c r="S140" s="600">
        <f t="shared" si="47"/>
        <v>186087.07499999998</v>
      </c>
      <c r="T140" s="600">
        <f t="shared" si="48"/>
        <v>62029.025000000001</v>
      </c>
      <c r="U140" s="600"/>
      <c r="V140" s="606">
        <f t="shared" si="49"/>
        <v>2729277.1</v>
      </c>
      <c r="W140" s="370">
        <f t="shared" si="41"/>
        <v>0.15</v>
      </c>
      <c r="X140" s="655">
        <f t="shared" si="50"/>
        <v>409391.565</v>
      </c>
      <c r="Y140" s="368">
        <f t="shared" si="51"/>
        <v>15000</v>
      </c>
      <c r="Z140" s="655">
        <f t="shared" si="52"/>
        <v>394391.565</v>
      </c>
      <c r="AA140" s="366">
        <f t="shared" si="53"/>
        <v>30</v>
      </c>
      <c r="AB140" s="655">
        <f t="shared" si="54"/>
        <v>13146.3855</v>
      </c>
      <c r="AC140" s="655">
        <f t="shared" si="55"/>
        <v>2319885.5350000001</v>
      </c>
      <c r="AD140" s="655">
        <f t="shared" si="56"/>
        <v>17986.047860431237</v>
      </c>
      <c r="AE140" s="655">
        <f t="shared" si="56"/>
        <v>20851.787020220745</v>
      </c>
      <c r="AF140" s="655">
        <f t="shared" si="56"/>
        <v>26935.838143013407</v>
      </c>
      <c r="AG140" s="655">
        <f t="shared" si="56"/>
        <v>45936.514069420002</v>
      </c>
      <c r="AR140" t="str">
        <f>VLOOKUP(E$6:E$287,'[7]Sales Report'!$B$7:$C$288,2,FALSE)</f>
        <v>SOLD</v>
      </c>
      <c r="AS140" s="355" t="s">
        <v>236</v>
      </c>
    </row>
    <row r="141" spans="1:45" ht="14.25" customHeight="1">
      <c r="A141" s="651">
        <v>11000</v>
      </c>
      <c r="B141" s="641" t="s">
        <v>954</v>
      </c>
      <c r="C141" s="391"/>
      <c r="D141" s="367"/>
      <c r="E141" s="367" t="s">
        <v>429</v>
      </c>
      <c r="F141" s="367" t="s">
        <v>894</v>
      </c>
      <c r="G141" s="354">
        <v>22</v>
      </c>
      <c r="H141" s="587">
        <v>2000000</v>
      </c>
      <c r="I141" s="600">
        <f t="shared" si="42"/>
        <v>242000</v>
      </c>
      <c r="J141" s="600">
        <f t="shared" si="43"/>
        <v>29040</v>
      </c>
      <c r="K141" s="604">
        <f t="shared" si="44"/>
        <v>63700</v>
      </c>
      <c r="L141" s="666">
        <f t="shared" si="45"/>
        <v>2334740</v>
      </c>
      <c r="M141" s="666"/>
      <c r="N141" s="683">
        <v>75000</v>
      </c>
      <c r="O141" s="688">
        <f t="shared" si="40"/>
        <v>71421</v>
      </c>
      <c r="P141" s="601">
        <f t="shared" si="46"/>
        <v>2481161</v>
      </c>
      <c r="Q141" s="669">
        <v>20000</v>
      </c>
      <c r="R141" s="669">
        <v>50000</v>
      </c>
      <c r="S141" s="600">
        <f t="shared" si="47"/>
        <v>186087.07499999998</v>
      </c>
      <c r="T141" s="600">
        <f t="shared" si="48"/>
        <v>62029.025000000001</v>
      </c>
      <c r="U141" s="600"/>
      <c r="V141" s="606">
        <f t="shared" si="49"/>
        <v>2729277.1</v>
      </c>
      <c r="W141" s="370">
        <f t="shared" si="41"/>
        <v>0.15</v>
      </c>
      <c r="X141" s="655">
        <f t="shared" si="50"/>
        <v>409391.565</v>
      </c>
      <c r="Y141" s="368">
        <f t="shared" si="51"/>
        <v>15000</v>
      </c>
      <c r="Z141" s="655">
        <f t="shared" si="52"/>
        <v>394391.565</v>
      </c>
      <c r="AA141" s="366">
        <f t="shared" si="53"/>
        <v>30</v>
      </c>
      <c r="AB141" s="655">
        <f t="shared" si="54"/>
        <v>13146.3855</v>
      </c>
      <c r="AC141" s="655">
        <f t="shared" si="55"/>
        <v>2319885.5350000001</v>
      </c>
      <c r="AD141" s="655">
        <f t="shared" si="56"/>
        <v>17986.047860431237</v>
      </c>
      <c r="AE141" s="655">
        <f t="shared" si="56"/>
        <v>20851.787020220745</v>
      </c>
      <c r="AF141" s="655">
        <f t="shared" si="56"/>
        <v>26935.838143013407</v>
      </c>
      <c r="AG141" s="655">
        <f t="shared" si="56"/>
        <v>45936.514069420002</v>
      </c>
      <c r="AR141" t="str">
        <f>VLOOKUP(E$6:E$287,'[7]Sales Report'!$B$7:$C$288,2,FALSE)</f>
        <v>SOLD</v>
      </c>
      <c r="AS141" s="355" t="s">
        <v>236</v>
      </c>
    </row>
    <row r="142" spans="1:45" ht="14.25" customHeight="1">
      <c r="A142" s="651">
        <v>11000</v>
      </c>
      <c r="B142" s="641" t="s">
        <v>954</v>
      </c>
      <c r="C142" s="391"/>
      <c r="D142" s="367"/>
      <c r="E142" s="367" t="s">
        <v>431</v>
      </c>
      <c r="F142" s="367" t="s">
        <v>894</v>
      </c>
      <c r="G142" s="354">
        <v>22</v>
      </c>
      <c r="H142" s="587">
        <v>2000000</v>
      </c>
      <c r="I142" s="600">
        <f t="shared" si="42"/>
        <v>242000</v>
      </c>
      <c r="J142" s="600">
        <f t="shared" si="43"/>
        <v>29040</v>
      </c>
      <c r="K142" s="604">
        <f t="shared" si="44"/>
        <v>63700</v>
      </c>
      <c r="L142" s="666">
        <f t="shared" si="45"/>
        <v>2334740</v>
      </c>
      <c r="M142" s="666"/>
      <c r="N142" s="683">
        <v>75000</v>
      </c>
      <c r="O142" s="688">
        <f t="shared" si="40"/>
        <v>71421</v>
      </c>
      <c r="P142" s="601">
        <f t="shared" si="46"/>
        <v>2481161</v>
      </c>
      <c r="Q142" s="669">
        <v>20000</v>
      </c>
      <c r="R142" s="669">
        <v>50000</v>
      </c>
      <c r="S142" s="600">
        <f t="shared" si="47"/>
        <v>186087.07499999998</v>
      </c>
      <c r="T142" s="600">
        <f t="shared" si="48"/>
        <v>62029.025000000001</v>
      </c>
      <c r="U142" s="600"/>
      <c r="V142" s="606">
        <f t="shared" si="49"/>
        <v>2729277.1</v>
      </c>
      <c r="W142" s="370">
        <f t="shared" si="41"/>
        <v>0.15</v>
      </c>
      <c r="X142" s="655">
        <f t="shared" si="50"/>
        <v>409391.565</v>
      </c>
      <c r="Y142" s="368">
        <f t="shared" si="51"/>
        <v>15000</v>
      </c>
      <c r="Z142" s="655">
        <f t="shared" si="52"/>
        <v>394391.565</v>
      </c>
      <c r="AA142" s="366">
        <f t="shared" si="53"/>
        <v>30</v>
      </c>
      <c r="AB142" s="655">
        <f t="shared" si="54"/>
        <v>13146.3855</v>
      </c>
      <c r="AC142" s="655">
        <f t="shared" si="55"/>
        <v>2319885.5350000001</v>
      </c>
      <c r="AD142" s="655">
        <f t="shared" si="56"/>
        <v>17986.047860431237</v>
      </c>
      <c r="AE142" s="655">
        <f t="shared" si="56"/>
        <v>20851.787020220745</v>
      </c>
      <c r="AF142" s="655">
        <f t="shared" si="56"/>
        <v>26935.838143013407</v>
      </c>
      <c r="AG142" s="655">
        <f t="shared" si="56"/>
        <v>45936.514069420002</v>
      </c>
      <c r="AR142" t="str">
        <f>VLOOKUP(E$6:E$287,'[7]Sales Report'!$B$7:$C$288,2,FALSE)</f>
        <v>SOLD</v>
      </c>
      <c r="AS142" s="355" t="s">
        <v>236</v>
      </c>
    </row>
    <row r="143" spans="1:45" ht="14.25" customHeight="1">
      <c r="A143" s="651">
        <v>11000</v>
      </c>
      <c r="B143" s="641" t="s">
        <v>954</v>
      </c>
      <c r="C143" s="391"/>
      <c r="D143" s="367"/>
      <c r="E143" s="367" t="s">
        <v>433</v>
      </c>
      <c r="F143" s="367" t="s">
        <v>894</v>
      </c>
      <c r="G143" s="354">
        <v>22</v>
      </c>
      <c r="H143" s="587">
        <v>2000000</v>
      </c>
      <c r="I143" s="600">
        <f t="shared" si="42"/>
        <v>242000</v>
      </c>
      <c r="J143" s="600">
        <f t="shared" si="43"/>
        <v>29040</v>
      </c>
      <c r="K143" s="604">
        <f t="shared" si="44"/>
        <v>63700</v>
      </c>
      <c r="L143" s="666">
        <f t="shared" si="45"/>
        <v>2334740</v>
      </c>
      <c r="M143" s="666"/>
      <c r="N143" s="683">
        <v>75000</v>
      </c>
      <c r="O143" s="688">
        <f t="shared" si="40"/>
        <v>71421</v>
      </c>
      <c r="P143" s="601">
        <f t="shared" si="46"/>
        <v>2481161</v>
      </c>
      <c r="Q143" s="669">
        <v>20000</v>
      </c>
      <c r="R143" s="669">
        <v>50000</v>
      </c>
      <c r="S143" s="600">
        <f t="shared" si="47"/>
        <v>186087.07499999998</v>
      </c>
      <c r="T143" s="600">
        <f t="shared" si="48"/>
        <v>62029.025000000001</v>
      </c>
      <c r="U143" s="600"/>
      <c r="V143" s="606">
        <f t="shared" si="49"/>
        <v>2729277.1</v>
      </c>
      <c r="W143" s="370">
        <f t="shared" si="41"/>
        <v>0.15</v>
      </c>
      <c r="X143" s="655">
        <f t="shared" si="50"/>
        <v>409391.565</v>
      </c>
      <c r="Y143" s="368">
        <f t="shared" si="51"/>
        <v>15000</v>
      </c>
      <c r="Z143" s="655">
        <f t="shared" si="52"/>
        <v>394391.565</v>
      </c>
      <c r="AA143" s="366">
        <f t="shared" si="53"/>
        <v>30</v>
      </c>
      <c r="AB143" s="655">
        <f t="shared" si="54"/>
        <v>13146.3855</v>
      </c>
      <c r="AC143" s="655">
        <f t="shared" si="55"/>
        <v>2319885.5350000001</v>
      </c>
      <c r="AD143" s="655">
        <f t="shared" si="56"/>
        <v>17986.047860431237</v>
      </c>
      <c r="AE143" s="655">
        <f t="shared" si="56"/>
        <v>20851.787020220745</v>
      </c>
      <c r="AF143" s="655">
        <f t="shared" si="56"/>
        <v>26935.838143013407</v>
      </c>
      <c r="AG143" s="655">
        <f t="shared" si="56"/>
        <v>45936.514069420002</v>
      </c>
      <c r="AR143" t="str">
        <f>VLOOKUP(E$6:E$287,'[7]Sales Report'!$B$7:$C$288,2,FALSE)</f>
        <v>SOLD</v>
      </c>
      <c r="AS143" s="355" t="s">
        <v>236</v>
      </c>
    </row>
    <row r="144" spans="1:45" ht="14.25" customHeight="1">
      <c r="A144" s="651">
        <v>11000</v>
      </c>
      <c r="B144" s="641" t="s">
        <v>954</v>
      </c>
      <c r="C144" s="391"/>
      <c r="D144" s="367"/>
      <c r="E144" s="367" t="s">
        <v>435</v>
      </c>
      <c r="F144" s="367" t="s">
        <v>894</v>
      </c>
      <c r="G144" s="354">
        <v>22</v>
      </c>
      <c r="H144" s="587">
        <v>2000000</v>
      </c>
      <c r="I144" s="600">
        <f t="shared" si="42"/>
        <v>242000</v>
      </c>
      <c r="J144" s="600">
        <f t="shared" si="43"/>
        <v>29040</v>
      </c>
      <c r="K144" s="604">
        <f t="shared" si="44"/>
        <v>63700</v>
      </c>
      <c r="L144" s="666">
        <f t="shared" si="45"/>
        <v>2334740</v>
      </c>
      <c r="M144" s="666"/>
      <c r="N144" s="683">
        <v>75000</v>
      </c>
      <c r="O144" s="688">
        <f t="shared" si="40"/>
        <v>71421</v>
      </c>
      <c r="P144" s="601">
        <f t="shared" si="46"/>
        <v>2481161</v>
      </c>
      <c r="Q144" s="669">
        <v>20000</v>
      </c>
      <c r="R144" s="669">
        <v>50000</v>
      </c>
      <c r="S144" s="600">
        <f t="shared" si="47"/>
        <v>186087.07499999998</v>
      </c>
      <c r="T144" s="600">
        <f t="shared" si="48"/>
        <v>62029.025000000001</v>
      </c>
      <c r="U144" s="600"/>
      <c r="V144" s="606">
        <f t="shared" si="49"/>
        <v>2729277.1</v>
      </c>
      <c r="W144" s="370">
        <f t="shared" si="41"/>
        <v>0.15</v>
      </c>
      <c r="X144" s="655">
        <f t="shared" si="50"/>
        <v>409391.565</v>
      </c>
      <c r="Y144" s="368">
        <f t="shared" si="51"/>
        <v>15000</v>
      </c>
      <c r="Z144" s="655">
        <f t="shared" si="52"/>
        <v>394391.565</v>
      </c>
      <c r="AA144" s="366">
        <f t="shared" si="53"/>
        <v>30</v>
      </c>
      <c r="AB144" s="655">
        <f t="shared" si="54"/>
        <v>13146.3855</v>
      </c>
      <c r="AC144" s="655">
        <f t="shared" si="55"/>
        <v>2319885.5350000001</v>
      </c>
      <c r="AD144" s="655">
        <f t="shared" si="56"/>
        <v>17986.047860431237</v>
      </c>
      <c r="AE144" s="655">
        <f t="shared" si="56"/>
        <v>20851.787020220745</v>
      </c>
      <c r="AF144" s="655">
        <f t="shared" si="56"/>
        <v>26935.838143013407</v>
      </c>
      <c r="AG144" s="655">
        <f t="shared" si="56"/>
        <v>45936.514069420002</v>
      </c>
      <c r="AR144" t="str">
        <f>VLOOKUP(E$6:E$287,'[7]Sales Report'!$B$7:$C$288,2,FALSE)</f>
        <v>SOLD</v>
      </c>
      <c r="AS144" s="355" t="s">
        <v>236</v>
      </c>
    </row>
    <row r="145" spans="1:52" ht="14.25" customHeight="1">
      <c r="A145" s="651">
        <v>11000</v>
      </c>
      <c r="B145" s="641" t="s">
        <v>954</v>
      </c>
      <c r="C145" s="391"/>
      <c r="D145" s="367"/>
      <c r="E145" s="367" t="s">
        <v>437</v>
      </c>
      <c r="F145" s="367" t="s">
        <v>894</v>
      </c>
      <c r="G145" s="354">
        <v>22</v>
      </c>
      <c r="H145" s="587">
        <v>2000000</v>
      </c>
      <c r="I145" s="600">
        <f t="shared" si="42"/>
        <v>242000</v>
      </c>
      <c r="J145" s="600">
        <f t="shared" si="43"/>
        <v>29040</v>
      </c>
      <c r="K145" s="604">
        <f t="shared" si="44"/>
        <v>63700</v>
      </c>
      <c r="L145" s="666">
        <f t="shared" si="45"/>
        <v>2334740</v>
      </c>
      <c r="M145" s="666"/>
      <c r="N145" s="683">
        <v>75000</v>
      </c>
      <c r="O145" s="688">
        <f t="shared" si="40"/>
        <v>71421</v>
      </c>
      <c r="P145" s="601">
        <f t="shared" si="46"/>
        <v>2481161</v>
      </c>
      <c r="Q145" s="669">
        <v>20000</v>
      </c>
      <c r="R145" s="669">
        <v>50000</v>
      </c>
      <c r="S145" s="600">
        <f t="shared" si="47"/>
        <v>186087.07499999998</v>
      </c>
      <c r="T145" s="600">
        <f t="shared" si="48"/>
        <v>62029.025000000001</v>
      </c>
      <c r="U145" s="600"/>
      <c r="V145" s="606">
        <f t="shared" si="49"/>
        <v>2729277.1</v>
      </c>
      <c r="W145" s="370">
        <f t="shared" si="41"/>
        <v>0.15</v>
      </c>
      <c r="X145" s="655">
        <f t="shared" si="50"/>
        <v>409391.565</v>
      </c>
      <c r="Y145" s="368">
        <f t="shared" si="51"/>
        <v>15000</v>
      </c>
      <c r="Z145" s="655">
        <f t="shared" si="52"/>
        <v>394391.565</v>
      </c>
      <c r="AA145" s="366">
        <f t="shared" si="53"/>
        <v>30</v>
      </c>
      <c r="AB145" s="655">
        <f t="shared" si="54"/>
        <v>13146.3855</v>
      </c>
      <c r="AC145" s="655">
        <f t="shared" si="55"/>
        <v>2319885.5350000001</v>
      </c>
      <c r="AD145" s="655">
        <f t="shared" si="56"/>
        <v>17986.047860431237</v>
      </c>
      <c r="AE145" s="655">
        <f t="shared" si="56"/>
        <v>20851.787020220745</v>
      </c>
      <c r="AF145" s="655">
        <f t="shared" si="56"/>
        <v>26935.838143013407</v>
      </c>
      <c r="AG145" s="655">
        <f t="shared" si="56"/>
        <v>45936.514069420002</v>
      </c>
      <c r="AR145" t="str">
        <f>VLOOKUP(E$6:E$287,'[7]Sales Report'!$B$7:$C$288,2,FALSE)</f>
        <v>SOLD</v>
      </c>
      <c r="AS145" s="355" t="s">
        <v>236</v>
      </c>
    </row>
    <row r="146" spans="1:52" s="615" customFormat="1" ht="14.25" customHeight="1">
      <c r="A146" s="652">
        <v>17000</v>
      </c>
      <c r="B146" s="645" t="s">
        <v>954</v>
      </c>
      <c r="C146" s="608"/>
      <c r="D146" s="611"/>
      <c r="E146" s="611" t="s">
        <v>440</v>
      </c>
      <c r="F146" s="611" t="s">
        <v>956</v>
      </c>
      <c r="G146" s="617">
        <v>44</v>
      </c>
      <c r="H146" s="613">
        <v>4748000</v>
      </c>
      <c r="I146" s="603"/>
      <c r="J146" s="603"/>
      <c r="K146" s="604">
        <f t="shared" si="44"/>
        <v>63700</v>
      </c>
      <c r="L146" s="666">
        <f t="shared" si="45"/>
        <v>4811700</v>
      </c>
      <c r="M146" s="666">
        <f>H146*5%</f>
        <v>237400</v>
      </c>
      <c r="N146" s="683"/>
      <c r="O146" s="683"/>
      <c r="P146" s="693"/>
      <c r="Q146" s="694">
        <v>20000</v>
      </c>
      <c r="R146" s="694">
        <v>50000</v>
      </c>
      <c r="S146" s="603">
        <f>+P146*$S$5</f>
        <v>0</v>
      </c>
      <c r="T146" s="603">
        <f t="shared" si="48"/>
        <v>0</v>
      </c>
      <c r="U146" s="603">
        <f>+P146*0.12</f>
        <v>0</v>
      </c>
      <c r="V146" s="695">
        <f>P146+S146+T146+U146</f>
        <v>0</v>
      </c>
      <c r="W146" s="626">
        <f>W$296</f>
        <v>0.15</v>
      </c>
      <c r="X146" s="656">
        <f t="shared" si="50"/>
        <v>0</v>
      </c>
      <c r="Y146" s="614">
        <f t="shared" si="51"/>
        <v>15000</v>
      </c>
      <c r="Z146" s="656">
        <f t="shared" si="52"/>
        <v>-15000</v>
      </c>
      <c r="AA146" s="620">
        <f t="shared" si="53"/>
        <v>30</v>
      </c>
      <c r="AB146" s="656">
        <f t="shared" si="54"/>
        <v>-500</v>
      </c>
      <c r="AC146" s="656">
        <f t="shared" si="55"/>
        <v>0</v>
      </c>
      <c r="AD146" s="656">
        <f t="shared" si="56"/>
        <v>0</v>
      </c>
      <c r="AE146" s="656">
        <f t="shared" si="56"/>
        <v>0</v>
      </c>
      <c r="AF146" s="656">
        <f t="shared" si="56"/>
        <v>0</v>
      </c>
      <c r="AG146" s="656">
        <f t="shared" si="56"/>
        <v>0</v>
      </c>
      <c r="AQ146"/>
      <c r="AR146"/>
      <c r="AS146" s="616" t="s">
        <v>957</v>
      </c>
      <c r="AT146"/>
      <c r="AU146"/>
      <c r="AV146"/>
      <c r="AW146"/>
      <c r="AX146"/>
      <c r="AY146"/>
      <c r="AZ146"/>
    </row>
    <row r="147" spans="1:52" ht="14.25" customHeight="1">
      <c r="A147" s="651">
        <v>9000</v>
      </c>
      <c r="B147" s="641" t="s">
        <v>954</v>
      </c>
      <c r="C147" s="391"/>
      <c r="D147" s="367"/>
      <c r="E147" s="367" t="s">
        <v>444</v>
      </c>
      <c r="F147" s="367" t="s">
        <v>894</v>
      </c>
      <c r="G147" s="354">
        <v>22</v>
      </c>
      <c r="H147" s="587">
        <v>2000000</v>
      </c>
      <c r="I147" s="600">
        <f t="shared" si="42"/>
        <v>198000</v>
      </c>
      <c r="J147" s="600">
        <f t="shared" si="43"/>
        <v>23760</v>
      </c>
      <c r="K147" s="604">
        <f t="shared" si="44"/>
        <v>63700</v>
      </c>
      <c r="L147" s="666">
        <f t="shared" si="45"/>
        <v>2285460</v>
      </c>
      <c r="M147" s="666"/>
      <c r="N147" s="683">
        <v>75000</v>
      </c>
      <c r="O147" s="688">
        <f t="shared" ref="O147:O152" si="57">(H147+I147+K147+N147)*3%</f>
        <v>70101</v>
      </c>
      <c r="P147" s="601">
        <f t="shared" ref="P147:P152" si="58">SUM(L147+N147+O147)</f>
        <v>2430561</v>
      </c>
      <c r="Q147" s="669">
        <v>20000</v>
      </c>
      <c r="R147" s="669">
        <v>50000</v>
      </c>
      <c r="S147" s="600">
        <f t="shared" ref="S147:S202" si="59">+P147*$S$5</f>
        <v>182292.07499999998</v>
      </c>
      <c r="T147" s="600">
        <f t="shared" ref="T147:T202" si="60">+P147*$T$5</f>
        <v>60764.025000000001</v>
      </c>
      <c r="U147" s="600"/>
      <c r="V147" s="606">
        <f t="shared" si="49"/>
        <v>2673617.1</v>
      </c>
      <c r="W147" s="370">
        <f t="shared" ref="W147:W152" si="61">W$297</f>
        <v>0.15</v>
      </c>
      <c r="X147" s="655">
        <f t="shared" si="50"/>
        <v>401042.565</v>
      </c>
      <c r="Y147" s="368">
        <f t="shared" si="51"/>
        <v>15000</v>
      </c>
      <c r="Z147" s="655">
        <f t="shared" si="52"/>
        <v>386042.565</v>
      </c>
      <c r="AA147" s="366">
        <f t="shared" si="53"/>
        <v>30</v>
      </c>
      <c r="AB147" s="655">
        <f t="shared" si="54"/>
        <v>12868.085499999999</v>
      </c>
      <c r="AC147" s="655">
        <f t="shared" si="55"/>
        <v>2272574.5350000001</v>
      </c>
      <c r="AD147" s="655">
        <f t="shared" si="56"/>
        <v>17619.246181000592</v>
      </c>
      <c r="AE147" s="655">
        <f t="shared" si="56"/>
        <v>20426.542377401045</v>
      </c>
      <c r="AF147" s="655">
        <f t="shared" si="56"/>
        <v>26386.517316982176</v>
      </c>
      <c r="AG147" s="655">
        <f t="shared" si="56"/>
        <v>44999.699565277529</v>
      </c>
      <c r="AR147" t="str">
        <f>VLOOKUP(E$6:E$287,'[7]Sales Report'!$B$7:$C$288,2,FALSE)</f>
        <v>SOLD</v>
      </c>
      <c r="AS147" s="355" t="s">
        <v>236</v>
      </c>
    </row>
    <row r="148" spans="1:52" ht="14.25" customHeight="1">
      <c r="A148" s="651">
        <v>9000</v>
      </c>
      <c r="B148" s="643" t="s">
        <v>954</v>
      </c>
      <c r="C148" s="391"/>
      <c r="D148" s="367"/>
      <c r="E148" s="367" t="s">
        <v>446</v>
      </c>
      <c r="F148" s="367" t="s">
        <v>894</v>
      </c>
      <c r="G148" s="354">
        <v>22</v>
      </c>
      <c r="H148" s="587">
        <v>2000000</v>
      </c>
      <c r="I148" s="600">
        <f t="shared" si="42"/>
        <v>198000</v>
      </c>
      <c r="J148" s="600">
        <f t="shared" si="43"/>
        <v>23760</v>
      </c>
      <c r="K148" s="604">
        <f t="shared" si="44"/>
        <v>63700</v>
      </c>
      <c r="L148" s="666">
        <f t="shared" si="45"/>
        <v>2285460</v>
      </c>
      <c r="M148" s="666"/>
      <c r="N148" s="683">
        <v>75000</v>
      </c>
      <c r="O148" s="688">
        <f t="shared" si="57"/>
        <v>70101</v>
      </c>
      <c r="P148" s="601">
        <f t="shared" si="58"/>
        <v>2430561</v>
      </c>
      <c r="Q148" s="669">
        <v>20000</v>
      </c>
      <c r="R148" s="669">
        <v>50000</v>
      </c>
      <c r="S148" s="600">
        <f t="shared" si="59"/>
        <v>182292.07499999998</v>
      </c>
      <c r="T148" s="600">
        <f t="shared" si="60"/>
        <v>60764.025000000001</v>
      </c>
      <c r="U148" s="600"/>
      <c r="V148" s="606">
        <f t="shared" si="49"/>
        <v>2673617.1</v>
      </c>
      <c r="W148" s="370">
        <f t="shared" si="61"/>
        <v>0.15</v>
      </c>
      <c r="X148" s="655">
        <f t="shared" si="50"/>
        <v>401042.565</v>
      </c>
      <c r="Y148" s="368">
        <f t="shared" si="51"/>
        <v>15000</v>
      </c>
      <c r="Z148" s="655">
        <f t="shared" si="52"/>
        <v>386042.565</v>
      </c>
      <c r="AA148" s="366">
        <f t="shared" si="53"/>
        <v>30</v>
      </c>
      <c r="AB148" s="655">
        <f t="shared" si="54"/>
        <v>12868.085499999999</v>
      </c>
      <c r="AC148" s="655">
        <f t="shared" si="55"/>
        <v>2272574.5350000001</v>
      </c>
      <c r="AD148" s="655">
        <f t="shared" si="56"/>
        <v>17619.246181000592</v>
      </c>
      <c r="AE148" s="655">
        <f t="shared" si="56"/>
        <v>20426.542377401045</v>
      </c>
      <c r="AF148" s="655">
        <f t="shared" si="56"/>
        <v>26386.517316982176</v>
      </c>
      <c r="AG148" s="655">
        <f t="shared" si="56"/>
        <v>44999.699565277529</v>
      </c>
      <c r="AR148" t="str">
        <f>VLOOKUP(E$6:E$287,'[7]Sales Report'!$B$7:$C$288,2,FALSE)</f>
        <v>SOLD</v>
      </c>
      <c r="AS148" s="355" t="s">
        <v>236</v>
      </c>
    </row>
    <row r="149" spans="1:52" ht="14.25" customHeight="1">
      <c r="A149" s="651">
        <v>9000</v>
      </c>
      <c r="B149" s="641" t="s">
        <v>954</v>
      </c>
      <c r="C149" s="391"/>
      <c r="D149" s="367"/>
      <c r="E149" s="367" t="s">
        <v>448</v>
      </c>
      <c r="F149" s="367" t="s">
        <v>894</v>
      </c>
      <c r="G149" s="354">
        <v>22</v>
      </c>
      <c r="H149" s="587">
        <v>2000000</v>
      </c>
      <c r="I149" s="600">
        <f t="shared" si="42"/>
        <v>198000</v>
      </c>
      <c r="J149" s="600">
        <f t="shared" si="43"/>
        <v>23760</v>
      </c>
      <c r="K149" s="604">
        <f t="shared" si="44"/>
        <v>63700</v>
      </c>
      <c r="L149" s="666">
        <f t="shared" si="45"/>
        <v>2285460</v>
      </c>
      <c r="M149" s="666"/>
      <c r="N149" s="683">
        <v>75000</v>
      </c>
      <c r="O149" s="688">
        <f t="shared" si="57"/>
        <v>70101</v>
      </c>
      <c r="P149" s="601">
        <f t="shared" si="58"/>
        <v>2430561</v>
      </c>
      <c r="Q149" s="669">
        <v>20000</v>
      </c>
      <c r="R149" s="669">
        <v>50000</v>
      </c>
      <c r="S149" s="600">
        <f t="shared" si="59"/>
        <v>182292.07499999998</v>
      </c>
      <c r="T149" s="600">
        <f t="shared" si="60"/>
        <v>60764.025000000001</v>
      </c>
      <c r="U149" s="600"/>
      <c r="V149" s="606">
        <f t="shared" si="49"/>
        <v>2673617.1</v>
      </c>
      <c r="W149" s="370">
        <f t="shared" si="61"/>
        <v>0.15</v>
      </c>
      <c r="X149" s="655">
        <f t="shared" si="50"/>
        <v>401042.565</v>
      </c>
      <c r="Y149" s="368">
        <f t="shared" si="51"/>
        <v>15000</v>
      </c>
      <c r="Z149" s="655">
        <f t="shared" si="52"/>
        <v>386042.565</v>
      </c>
      <c r="AA149" s="366">
        <f t="shared" si="53"/>
        <v>30</v>
      </c>
      <c r="AB149" s="655">
        <f t="shared" si="54"/>
        <v>12868.085499999999</v>
      </c>
      <c r="AC149" s="655">
        <f t="shared" si="55"/>
        <v>2272574.5350000001</v>
      </c>
      <c r="AD149" s="655">
        <f t="shared" si="56"/>
        <v>17619.246181000592</v>
      </c>
      <c r="AE149" s="655">
        <f t="shared" si="56"/>
        <v>20426.542377401045</v>
      </c>
      <c r="AF149" s="655">
        <f t="shared" si="56"/>
        <v>26386.517316982176</v>
      </c>
      <c r="AG149" s="655">
        <f t="shared" si="56"/>
        <v>44999.699565277529</v>
      </c>
      <c r="AR149" t="s">
        <v>258</v>
      </c>
      <c r="AS149" s="355" t="s">
        <v>258</v>
      </c>
    </row>
    <row r="150" spans="1:52" ht="14.25" customHeight="1">
      <c r="A150" s="651">
        <v>9000</v>
      </c>
      <c r="B150" s="642" t="s">
        <v>954</v>
      </c>
      <c r="C150" s="391"/>
      <c r="D150" s="367"/>
      <c r="E150" s="367" t="s">
        <v>450</v>
      </c>
      <c r="F150" s="367" t="s">
        <v>894</v>
      </c>
      <c r="G150" s="354">
        <v>22</v>
      </c>
      <c r="H150" s="587">
        <v>2000000</v>
      </c>
      <c r="I150" s="600">
        <f t="shared" si="42"/>
        <v>198000</v>
      </c>
      <c r="J150" s="600">
        <f t="shared" si="43"/>
        <v>23760</v>
      </c>
      <c r="K150" s="604">
        <f t="shared" si="44"/>
        <v>63700</v>
      </c>
      <c r="L150" s="666">
        <f t="shared" si="45"/>
        <v>2285460</v>
      </c>
      <c r="M150" s="666"/>
      <c r="N150" s="683">
        <v>75000</v>
      </c>
      <c r="O150" s="688">
        <f t="shared" si="57"/>
        <v>70101</v>
      </c>
      <c r="P150" s="601">
        <f t="shared" si="58"/>
        <v>2430561</v>
      </c>
      <c r="Q150" s="669">
        <v>20000</v>
      </c>
      <c r="R150" s="669">
        <v>50000</v>
      </c>
      <c r="S150" s="600">
        <f t="shared" si="59"/>
        <v>182292.07499999998</v>
      </c>
      <c r="T150" s="600">
        <f t="shared" si="60"/>
        <v>60764.025000000001</v>
      </c>
      <c r="U150" s="600"/>
      <c r="V150" s="606">
        <f t="shared" si="49"/>
        <v>2673617.1</v>
      </c>
      <c r="W150" s="370">
        <f t="shared" si="61"/>
        <v>0.15</v>
      </c>
      <c r="X150" s="655">
        <f t="shared" si="50"/>
        <v>401042.565</v>
      </c>
      <c r="Y150" s="368">
        <f t="shared" si="51"/>
        <v>15000</v>
      </c>
      <c r="Z150" s="655">
        <f t="shared" si="52"/>
        <v>386042.565</v>
      </c>
      <c r="AA150" s="366">
        <f t="shared" si="53"/>
        <v>30</v>
      </c>
      <c r="AB150" s="655">
        <f t="shared" si="54"/>
        <v>12868.085499999999</v>
      </c>
      <c r="AC150" s="655">
        <f t="shared" si="55"/>
        <v>2272574.5350000001</v>
      </c>
      <c r="AD150" s="655">
        <f t="shared" si="56"/>
        <v>17619.246181000592</v>
      </c>
      <c r="AE150" s="655">
        <f t="shared" si="56"/>
        <v>20426.542377401045</v>
      </c>
      <c r="AF150" s="655">
        <f t="shared" si="56"/>
        <v>26386.517316982176</v>
      </c>
      <c r="AG150" s="655">
        <f t="shared" si="56"/>
        <v>44999.699565277529</v>
      </c>
      <c r="AR150" t="str">
        <f>VLOOKUP(E$6:E$287,'[7]Sales Report'!$B$7:$C$288,2,FALSE)</f>
        <v>SOLD</v>
      </c>
      <c r="AS150" s="355" t="s">
        <v>236</v>
      </c>
    </row>
    <row r="151" spans="1:52" ht="14.25" customHeight="1">
      <c r="A151" s="651">
        <v>9000</v>
      </c>
      <c r="B151" s="641" t="s">
        <v>954</v>
      </c>
      <c r="C151" s="391"/>
      <c r="D151" s="367"/>
      <c r="E151" s="367" t="s">
        <v>451</v>
      </c>
      <c r="F151" s="367" t="s">
        <v>894</v>
      </c>
      <c r="G151" s="354">
        <v>22</v>
      </c>
      <c r="H151" s="587">
        <v>2000000</v>
      </c>
      <c r="I151" s="600">
        <f t="shared" si="42"/>
        <v>198000</v>
      </c>
      <c r="J151" s="600">
        <f t="shared" si="43"/>
        <v>23760</v>
      </c>
      <c r="K151" s="604">
        <f t="shared" si="44"/>
        <v>63700</v>
      </c>
      <c r="L151" s="666">
        <f t="shared" si="45"/>
        <v>2285460</v>
      </c>
      <c r="M151" s="666"/>
      <c r="N151" s="683">
        <v>75000</v>
      </c>
      <c r="O151" s="688">
        <f t="shared" si="57"/>
        <v>70101</v>
      </c>
      <c r="P151" s="601">
        <f t="shared" si="58"/>
        <v>2430561</v>
      </c>
      <c r="Q151" s="669">
        <v>20000</v>
      </c>
      <c r="R151" s="669">
        <v>50000</v>
      </c>
      <c r="S151" s="600">
        <f t="shared" si="59"/>
        <v>182292.07499999998</v>
      </c>
      <c r="T151" s="600">
        <f t="shared" si="60"/>
        <v>60764.025000000001</v>
      </c>
      <c r="U151" s="600"/>
      <c r="V151" s="606">
        <f t="shared" si="49"/>
        <v>2673617.1</v>
      </c>
      <c r="W151" s="370">
        <f t="shared" si="61"/>
        <v>0.15</v>
      </c>
      <c r="X151" s="655">
        <f t="shared" si="50"/>
        <v>401042.565</v>
      </c>
      <c r="Y151" s="368">
        <f t="shared" si="51"/>
        <v>15000</v>
      </c>
      <c r="Z151" s="655">
        <f t="shared" si="52"/>
        <v>386042.565</v>
      </c>
      <c r="AA151" s="366">
        <f t="shared" si="53"/>
        <v>30</v>
      </c>
      <c r="AB151" s="655">
        <f t="shared" si="54"/>
        <v>12868.085499999999</v>
      </c>
      <c r="AC151" s="655">
        <f t="shared" si="55"/>
        <v>2272574.5350000001</v>
      </c>
      <c r="AD151" s="655">
        <f t="shared" si="56"/>
        <v>17619.246181000592</v>
      </c>
      <c r="AE151" s="655">
        <f t="shared" si="56"/>
        <v>20426.542377401045</v>
      </c>
      <c r="AF151" s="655">
        <f t="shared" si="56"/>
        <v>26386.517316982176</v>
      </c>
      <c r="AG151" s="655">
        <f t="shared" si="56"/>
        <v>44999.699565277529</v>
      </c>
      <c r="AR151" t="s">
        <v>258</v>
      </c>
      <c r="AS151" s="355" t="s">
        <v>258</v>
      </c>
    </row>
    <row r="152" spans="1:52" ht="14.25" customHeight="1">
      <c r="A152" s="651">
        <v>9000</v>
      </c>
      <c r="B152" s="641" t="s">
        <v>954</v>
      </c>
      <c r="C152" s="391"/>
      <c r="D152" s="367"/>
      <c r="E152" s="367" t="s">
        <v>453</v>
      </c>
      <c r="F152" s="367" t="s">
        <v>894</v>
      </c>
      <c r="G152" s="354">
        <v>22</v>
      </c>
      <c r="H152" s="587">
        <v>2000000</v>
      </c>
      <c r="I152" s="600">
        <f t="shared" si="42"/>
        <v>198000</v>
      </c>
      <c r="J152" s="600">
        <f t="shared" si="43"/>
        <v>23760</v>
      </c>
      <c r="K152" s="604">
        <f t="shared" si="44"/>
        <v>63700</v>
      </c>
      <c r="L152" s="666">
        <f t="shared" si="45"/>
        <v>2285460</v>
      </c>
      <c r="M152" s="666"/>
      <c r="N152" s="683">
        <v>75000</v>
      </c>
      <c r="O152" s="688">
        <f t="shared" si="57"/>
        <v>70101</v>
      </c>
      <c r="P152" s="601">
        <f t="shared" si="58"/>
        <v>2430561</v>
      </c>
      <c r="Q152" s="669">
        <v>20000</v>
      </c>
      <c r="R152" s="669">
        <v>50000</v>
      </c>
      <c r="S152" s="600">
        <f t="shared" si="59"/>
        <v>182292.07499999998</v>
      </c>
      <c r="T152" s="600">
        <f t="shared" si="60"/>
        <v>60764.025000000001</v>
      </c>
      <c r="U152" s="600"/>
      <c r="V152" s="606">
        <f t="shared" si="49"/>
        <v>2673617.1</v>
      </c>
      <c r="W152" s="370">
        <f t="shared" si="61"/>
        <v>0.15</v>
      </c>
      <c r="X152" s="655">
        <f t="shared" si="50"/>
        <v>401042.565</v>
      </c>
      <c r="Y152" s="368">
        <f t="shared" si="51"/>
        <v>15000</v>
      </c>
      <c r="Z152" s="655">
        <f t="shared" si="52"/>
        <v>386042.565</v>
      </c>
      <c r="AA152" s="366">
        <f t="shared" si="53"/>
        <v>30</v>
      </c>
      <c r="AB152" s="655">
        <f t="shared" si="54"/>
        <v>12868.085499999999</v>
      </c>
      <c r="AC152" s="655">
        <f t="shared" si="55"/>
        <v>2272574.5350000001</v>
      </c>
      <c r="AD152" s="655">
        <f t="shared" si="56"/>
        <v>17619.246181000592</v>
      </c>
      <c r="AE152" s="655">
        <f t="shared" si="56"/>
        <v>20426.542377401045</v>
      </c>
      <c r="AF152" s="655">
        <f t="shared" si="56"/>
        <v>26386.517316982176</v>
      </c>
      <c r="AG152" s="655">
        <f t="shared" si="56"/>
        <v>44999.699565277529</v>
      </c>
      <c r="AR152" t="s">
        <v>258</v>
      </c>
      <c r="AS152" s="355" t="s">
        <v>258</v>
      </c>
    </row>
    <row r="153" spans="1:52" s="615" customFormat="1" ht="14.25" customHeight="1">
      <c r="A153" s="652">
        <v>17000</v>
      </c>
      <c r="B153" s="645" t="s">
        <v>958</v>
      </c>
      <c r="C153" s="608"/>
      <c r="D153" s="611"/>
      <c r="E153" s="611" t="s">
        <v>959</v>
      </c>
      <c r="F153" s="611" t="s">
        <v>956</v>
      </c>
      <c r="G153" s="617">
        <v>44</v>
      </c>
      <c r="H153" s="613">
        <v>4748000</v>
      </c>
      <c r="I153" s="603"/>
      <c r="J153" s="603"/>
      <c r="K153" s="604">
        <f t="shared" si="44"/>
        <v>63700</v>
      </c>
      <c r="L153" s="666">
        <f t="shared" si="45"/>
        <v>4811700</v>
      </c>
      <c r="M153" s="666">
        <f>H153*5%</f>
        <v>237400</v>
      </c>
      <c r="N153" s="683"/>
      <c r="O153" s="683"/>
      <c r="P153" s="693"/>
      <c r="Q153" s="694">
        <v>20000</v>
      </c>
      <c r="R153" s="694">
        <v>50000</v>
      </c>
      <c r="S153" s="603">
        <f>+P153*$S$5</f>
        <v>0</v>
      </c>
      <c r="T153" s="603">
        <f t="shared" si="60"/>
        <v>0</v>
      </c>
      <c r="U153" s="603">
        <f>+P153*0.12</f>
        <v>0</v>
      </c>
      <c r="V153" s="695">
        <f>P153+S153+T153+U153</f>
        <v>0</v>
      </c>
      <c r="W153" s="626">
        <f>W$296</f>
        <v>0.15</v>
      </c>
      <c r="X153" s="656">
        <f t="shared" si="50"/>
        <v>0</v>
      </c>
      <c r="Y153" s="614">
        <f t="shared" si="51"/>
        <v>15000</v>
      </c>
      <c r="Z153" s="656">
        <f t="shared" si="52"/>
        <v>-15000</v>
      </c>
      <c r="AA153" s="620">
        <f t="shared" si="53"/>
        <v>30</v>
      </c>
      <c r="AB153" s="656">
        <f t="shared" si="54"/>
        <v>-500</v>
      </c>
      <c r="AC153" s="656">
        <f t="shared" si="55"/>
        <v>0</v>
      </c>
      <c r="AD153" s="656">
        <f t="shared" si="56"/>
        <v>0</v>
      </c>
      <c r="AE153" s="656">
        <f t="shared" si="56"/>
        <v>0</v>
      </c>
      <c r="AF153" s="656">
        <f t="shared" si="56"/>
        <v>0</v>
      </c>
      <c r="AG153" s="656">
        <f t="shared" si="56"/>
        <v>0</v>
      </c>
      <c r="AQ153"/>
      <c r="AR153"/>
      <c r="AS153" s="616" t="s">
        <v>957</v>
      </c>
      <c r="AT153"/>
      <c r="AU153"/>
      <c r="AV153"/>
      <c r="AW153"/>
      <c r="AX153"/>
      <c r="AY153"/>
      <c r="AZ153"/>
    </row>
    <row r="154" spans="1:52" ht="14.25" customHeight="1">
      <c r="A154" s="651">
        <v>13000</v>
      </c>
      <c r="B154" s="641" t="s">
        <v>958</v>
      </c>
      <c r="C154" s="391"/>
      <c r="D154" s="367"/>
      <c r="E154" s="367" t="s">
        <v>462</v>
      </c>
      <c r="F154" s="367" t="s">
        <v>894</v>
      </c>
      <c r="G154" s="354">
        <v>22</v>
      </c>
      <c r="H154" s="587">
        <v>2000000</v>
      </c>
      <c r="I154" s="600">
        <f t="shared" si="42"/>
        <v>286000</v>
      </c>
      <c r="J154" s="600">
        <f t="shared" si="43"/>
        <v>34320</v>
      </c>
      <c r="K154" s="604">
        <f t="shared" si="44"/>
        <v>63700</v>
      </c>
      <c r="L154" s="666">
        <f t="shared" si="45"/>
        <v>2384020</v>
      </c>
      <c r="M154" s="666"/>
      <c r="N154" s="683">
        <v>75000</v>
      </c>
      <c r="O154" s="688">
        <f t="shared" ref="O154:O165" si="62">(H154+I154+K154+N154)*3%</f>
        <v>72741</v>
      </c>
      <c r="P154" s="601">
        <f t="shared" ref="P154:P165" si="63">SUM(L154+N154+O154)</f>
        <v>2531761</v>
      </c>
      <c r="Q154" s="669">
        <v>20000</v>
      </c>
      <c r="R154" s="669">
        <v>50000</v>
      </c>
      <c r="S154" s="600">
        <f t="shared" ref="S154:S165" si="64">+P154*$S$5</f>
        <v>189882.07499999998</v>
      </c>
      <c r="T154" s="600">
        <f t="shared" si="60"/>
        <v>63294.025000000001</v>
      </c>
      <c r="U154" s="600"/>
      <c r="V154" s="606">
        <f t="shared" si="49"/>
        <v>2784937.1</v>
      </c>
      <c r="W154" s="370">
        <f t="shared" ref="W154:W165" si="65">W$297</f>
        <v>0.15</v>
      </c>
      <c r="X154" s="655">
        <f t="shared" si="50"/>
        <v>417740.565</v>
      </c>
      <c r="Y154" s="368">
        <f t="shared" si="51"/>
        <v>15000</v>
      </c>
      <c r="Z154" s="655">
        <f t="shared" si="52"/>
        <v>402740.565</v>
      </c>
      <c r="AA154" s="366">
        <f t="shared" si="53"/>
        <v>30</v>
      </c>
      <c r="AB154" s="655">
        <f t="shared" si="54"/>
        <v>13424.6855</v>
      </c>
      <c r="AC154" s="655">
        <f t="shared" si="55"/>
        <v>2367196.5350000001</v>
      </c>
      <c r="AD154" s="655">
        <f t="shared" si="56"/>
        <v>18352.849539861883</v>
      </c>
      <c r="AE154" s="655">
        <f t="shared" si="56"/>
        <v>21277.031663040445</v>
      </c>
      <c r="AF154" s="655">
        <f t="shared" si="56"/>
        <v>27485.158969044642</v>
      </c>
      <c r="AG154" s="655">
        <f t="shared" si="56"/>
        <v>46873.328573562481</v>
      </c>
      <c r="AR154" t="str">
        <f>VLOOKUP(E$6:E$287,'[7]Sales Report'!$B$7:$C$288,2,FALSE)</f>
        <v>SOLD</v>
      </c>
      <c r="AS154" s="355" t="s">
        <v>236</v>
      </c>
    </row>
    <row r="155" spans="1:52" ht="14.25" customHeight="1">
      <c r="A155" s="651">
        <v>13000</v>
      </c>
      <c r="B155" s="641" t="s">
        <v>958</v>
      </c>
      <c r="C155" s="391"/>
      <c r="D155" s="367"/>
      <c r="E155" s="367" t="s">
        <v>464</v>
      </c>
      <c r="F155" s="367" t="s">
        <v>894</v>
      </c>
      <c r="G155" s="354">
        <v>22</v>
      </c>
      <c r="H155" s="587">
        <v>2000000</v>
      </c>
      <c r="I155" s="600">
        <f t="shared" si="42"/>
        <v>286000</v>
      </c>
      <c r="J155" s="600">
        <f t="shared" si="43"/>
        <v>34320</v>
      </c>
      <c r="K155" s="604">
        <f t="shared" si="44"/>
        <v>63700</v>
      </c>
      <c r="L155" s="666">
        <f t="shared" si="45"/>
        <v>2384020</v>
      </c>
      <c r="M155" s="666"/>
      <c r="N155" s="683">
        <v>75000</v>
      </c>
      <c r="O155" s="688">
        <f t="shared" si="62"/>
        <v>72741</v>
      </c>
      <c r="P155" s="601">
        <f t="shared" si="63"/>
        <v>2531761</v>
      </c>
      <c r="Q155" s="669">
        <v>20000</v>
      </c>
      <c r="R155" s="669">
        <v>50000</v>
      </c>
      <c r="S155" s="600">
        <f t="shared" si="64"/>
        <v>189882.07499999998</v>
      </c>
      <c r="T155" s="600">
        <f t="shared" si="60"/>
        <v>63294.025000000001</v>
      </c>
      <c r="U155" s="600"/>
      <c r="V155" s="606">
        <f t="shared" si="49"/>
        <v>2784937.1</v>
      </c>
      <c r="W155" s="370">
        <f t="shared" si="65"/>
        <v>0.15</v>
      </c>
      <c r="X155" s="655">
        <f t="shared" si="50"/>
        <v>417740.565</v>
      </c>
      <c r="Y155" s="368">
        <f t="shared" si="51"/>
        <v>15000</v>
      </c>
      <c r="Z155" s="655">
        <f t="shared" si="52"/>
        <v>402740.565</v>
      </c>
      <c r="AA155" s="366">
        <f t="shared" si="53"/>
        <v>30</v>
      </c>
      <c r="AB155" s="655">
        <f t="shared" si="54"/>
        <v>13424.6855</v>
      </c>
      <c r="AC155" s="655">
        <f t="shared" si="55"/>
        <v>2367196.5350000001</v>
      </c>
      <c r="AD155" s="655">
        <f t="shared" si="56"/>
        <v>18352.849539861883</v>
      </c>
      <c r="AE155" s="655">
        <f t="shared" si="56"/>
        <v>21277.031663040445</v>
      </c>
      <c r="AF155" s="655">
        <f t="shared" si="56"/>
        <v>27485.158969044642</v>
      </c>
      <c r="AG155" s="655">
        <f t="shared" si="56"/>
        <v>46873.328573562481</v>
      </c>
      <c r="AR155" t="str">
        <f>VLOOKUP(E$6:E$287,'[7]Sales Report'!$B$7:$C$288,2,FALSE)</f>
        <v>SOLD</v>
      </c>
      <c r="AS155" s="679" t="s">
        <v>236</v>
      </c>
    </row>
    <row r="156" spans="1:52" ht="14.25" customHeight="1">
      <c r="A156" s="651">
        <v>13000</v>
      </c>
      <c r="B156" s="641" t="s">
        <v>958</v>
      </c>
      <c r="C156" s="391"/>
      <c r="D156" s="367"/>
      <c r="E156" s="367" t="s">
        <v>466</v>
      </c>
      <c r="F156" s="367" t="s">
        <v>894</v>
      </c>
      <c r="G156" s="354">
        <v>22</v>
      </c>
      <c r="H156" s="587">
        <v>2000000</v>
      </c>
      <c r="I156" s="600">
        <f t="shared" si="42"/>
        <v>286000</v>
      </c>
      <c r="J156" s="600">
        <f t="shared" si="43"/>
        <v>34320</v>
      </c>
      <c r="K156" s="604">
        <f t="shared" si="44"/>
        <v>63700</v>
      </c>
      <c r="L156" s="666">
        <f t="shared" si="45"/>
        <v>2384020</v>
      </c>
      <c r="M156" s="666"/>
      <c r="N156" s="683">
        <v>75000</v>
      </c>
      <c r="O156" s="688">
        <f t="shared" si="62"/>
        <v>72741</v>
      </c>
      <c r="P156" s="601">
        <f t="shared" si="63"/>
        <v>2531761</v>
      </c>
      <c r="Q156" s="669">
        <v>20000</v>
      </c>
      <c r="R156" s="669">
        <v>50000</v>
      </c>
      <c r="S156" s="600">
        <f t="shared" si="64"/>
        <v>189882.07499999998</v>
      </c>
      <c r="T156" s="600">
        <f t="shared" si="60"/>
        <v>63294.025000000001</v>
      </c>
      <c r="U156" s="600"/>
      <c r="V156" s="606">
        <f t="shared" si="49"/>
        <v>2784937.1</v>
      </c>
      <c r="W156" s="370">
        <f t="shared" si="65"/>
        <v>0.15</v>
      </c>
      <c r="X156" s="655">
        <f t="shared" si="50"/>
        <v>417740.565</v>
      </c>
      <c r="Y156" s="368">
        <f t="shared" si="51"/>
        <v>15000</v>
      </c>
      <c r="Z156" s="655">
        <f t="shared" si="52"/>
        <v>402740.565</v>
      </c>
      <c r="AA156" s="366">
        <f t="shared" si="53"/>
        <v>30</v>
      </c>
      <c r="AB156" s="655">
        <f t="shared" si="54"/>
        <v>13424.6855</v>
      </c>
      <c r="AC156" s="655">
        <f t="shared" si="55"/>
        <v>2367196.5350000001</v>
      </c>
      <c r="AD156" s="655">
        <f t="shared" si="56"/>
        <v>18352.849539861883</v>
      </c>
      <c r="AE156" s="655">
        <f t="shared" si="56"/>
        <v>21277.031663040445</v>
      </c>
      <c r="AF156" s="655">
        <f t="shared" si="56"/>
        <v>27485.158969044642</v>
      </c>
      <c r="AG156" s="655">
        <f t="shared" si="56"/>
        <v>46873.328573562481</v>
      </c>
      <c r="AR156" t="str">
        <f>VLOOKUP(E$6:E$287,'[7]Sales Report'!$B$7:$C$288,2,FALSE)</f>
        <v>SOLD</v>
      </c>
      <c r="AS156" s="355" t="s">
        <v>236</v>
      </c>
    </row>
    <row r="157" spans="1:52" ht="14.25" customHeight="1">
      <c r="A157" s="651">
        <v>13000</v>
      </c>
      <c r="B157" s="641" t="s">
        <v>958</v>
      </c>
      <c r="C157" s="391"/>
      <c r="D157" s="367"/>
      <c r="E157" s="367" t="s">
        <v>468</v>
      </c>
      <c r="F157" s="367" t="s">
        <v>894</v>
      </c>
      <c r="G157" s="354">
        <v>22</v>
      </c>
      <c r="H157" s="587">
        <v>2000000</v>
      </c>
      <c r="I157" s="600">
        <f t="shared" si="42"/>
        <v>286000</v>
      </c>
      <c r="J157" s="600">
        <f t="shared" si="43"/>
        <v>34320</v>
      </c>
      <c r="K157" s="604">
        <f t="shared" si="44"/>
        <v>63700</v>
      </c>
      <c r="L157" s="666">
        <f t="shared" si="45"/>
        <v>2384020</v>
      </c>
      <c r="M157" s="666"/>
      <c r="N157" s="683">
        <v>75000</v>
      </c>
      <c r="O157" s="688">
        <f t="shared" si="62"/>
        <v>72741</v>
      </c>
      <c r="P157" s="601">
        <f t="shared" si="63"/>
        <v>2531761</v>
      </c>
      <c r="Q157" s="669">
        <v>20000</v>
      </c>
      <c r="R157" s="669">
        <v>50000</v>
      </c>
      <c r="S157" s="600">
        <f t="shared" si="64"/>
        <v>189882.07499999998</v>
      </c>
      <c r="T157" s="600">
        <f t="shared" si="60"/>
        <v>63294.025000000001</v>
      </c>
      <c r="U157" s="600"/>
      <c r="V157" s="606">
        <f t="shared" si="49"/>
        <v>2784937.1</v>
      </c>
      <c r="W157" s="370">
        <f t="shared" si="65"/>
        <v>0.15</v>
      </c>
      <c r="X157" s="655">
        <f t="shared" si="50"/>
        <v>417740.565</v>
      </c>
      <c r="Y157" s="368">
        <f t="shared" si="51"/>
        <v>15000</v>
      </c>
      <c r="Z157" s="655">
        <f t="shared" si="52"/>
        <v>402740.565</v>
      </c>
      <c r="AA157" s="366">
        <f t="shared" si="53"/>
        <v>30</v>
      </c>
      <c r="AB157" s="655">
        <f t="shared" si="54"/>
        <v>13424.6855</v>
      </c>
      <c r="AC157" s="655">
        <f t="shared" si="55"/>
        <v>2367196.5350000001</v>
      </c>
      <c r="AD157" s="655">
        <f t="shared" si="56"/>
        <v>18352.849539861883</v>
      </c>
      <c r="AE157" s="655">
        <f t="shared" si="56"/>
        <v>21277.031663040445</v>
      </c>
      <c r="AF157" s="655">
        <f t="shared" si="56"/>
        <v>27485.158969044642</v>
      </c>
      <c r="AG157" s="655">
        <f t="shared" si="56"/>
        <v>46873.328573562481</v>
      </c>
      <c r="AR157" t="str">
        <f>VLOOKUP(E$6:E$287,'[7]Sales Report'!$B$7:$C$288,2,FALSE)</f>
        <v>SOLD</v>
      </c>
      <c r="AS157" s="355" t="s">
        <v>236</v>
      </c>
    </row>
    <row r="158" spans="1:52" ht="14.25" customHeight="1">
      <c r="A158" s="651">
        <v>13000</v>
      </c>
      <c r="B158" s="641" t="s">
        <v>958</v>
      </c>
      <c r="C158" s="391"/>
      <c r="D158" s="367"/>
      <c r="E158" s="367" t="s">
        <v>470</v>
      </c>
      <c r="F158" s="367" t="s">
        <v>894</v>
      </c>
      <c r="G158" s="354">
        <v>22</v>
      </c>
      <c r="H158" s="587">
        <v>2000000</v>
      </c>
      <c r="I158" s="600">
        <f t="shared" si="42"/>
        <v>286000</v>
      </c>
      <c r="J158" s="600">
        <f t="shared" si="43"/>
        <v>34320</v>
      </c>
      <c r="K158" s="604">
        <f t="shared" si="44"/>
        <v>63700</v>
      </c>
      <c r="L158" s="666">
        <f t="shared" si="45"/>
        <v>2384020</v>
      </c>
      <c r="M158" s="666"/>
      <c r="N158" s="683">
        <v>75000</v>
      </c>
      <c r="O158" s="688">
        <f t="shared" si="62"/>
        <v>72741</v>
      </c>
      <c r="P158" s="601">
        <f t="shared" si="63"/>
        <v>2531761</v>
      </c>
      <c r="Q158" s="669">
        <v>20000</v>
      </c>
      <c r="R158" s="669">
        <v>50000</v>
      </c>
      <c r="S158" s="600">
        <f t="shared" si="64"/>
        <v>189882.07499999998</v>
      </c>
      <c r="T158" s="600">
        <f t="shared" si="60"/>
        <v>63294.025000000001</v>
      </c>
      <c r="U158" s="600"/>
      <c r="V158" s="606">
        <f t="shared" si="49"/>
        <v>2784937.1</v>
      </c>
      <c r="W158" s="370">
        <f t="shared" si="65"/>
        <v>0.15</v>
      </c>
      <c r="X158" s="655">
        <f t="shared" si="50"/>
        <v>417740.565</v>
      </c>
      <c r="Y158" s="368">
        <f t="shared" si="51"/>
        <v>15000</v>
      </c>
      <c r="Z158" s="655">
        <f t="shared" si="52"/>
        <v>402740.565</v>
      </c>
      <c r="AA158" s="366">
        <f t="shared" si="53"/>
        <v>30</v>
      </c>
      <c r="AB158" s="655">
        <f t="shared" si="54"/>
        <v>13424.6855</v>
      </c>
      <c r="AC158" s="655">
        <f t="shared" si="55"/>
        <v>2367196.5350000001</v>
      </c>
      <c r="AD158" s="655">
        <f t="shared" si="56"/>
        <v>18352.849539861883</v>
      </c>
      <c r="AE158" s="655">
        <f t="shared" si="56"/>
        <v>21277.031663040445</v>
      </c>
      <c r="AF158" s="655">
        <f t="shared" si="56"/>
        <v>27485.158969044642</v>
      </c>
      <c r="AG158" s="655">
        <f t="shared" si="56"/>
        <v>46873.328573562481</v>
      </c>
      <c r="AR158" t="str">
        <f>VLOOKUP(E$6:E$287,'[7]Sales Report'!$B$7:$C$288,2,FALSE)</f>
        <v>SOLD</v>
      </c>
      <c r="AS158" s="355" t="s">
        <v>236</v>
      </c>
    </row>
    <row r="159" spans="1:52" ht="14.25" customHeight="1">
      <c r="A159" s="651">
        <v>13000</v>
      </c>
      <c r="B159" s="641" t="s">
        <v>958</v>
      </c>
      <c r="C159" s="391"/>
      <c r="D159" s="367"/>
      <c r="E159" s="367" t="s">
        <v>472</v>
      </c>
      <c r="F159" s="367" t="s">
        <v>894</v>
      </c>
      <c r="G159" s="354">
        <v>22</v>
      </c>
      <c r="H159" s="587">
        <v>2000000</v>
      </c>
      <c r="I159" s="600">
        <f t="shared" si="42"/>
        <v>286000</v>
      </c>
      <c r="J159" s="600">
        <f t="shared" si="43"/>
        <v>34320</v>
      </c>
      <c r="K159" s="604">
        <f t="shared" si="44"/>
        <v>63700</v>
      </c>
      <c r="L159" s="666">
        <f t="shared" si="45"/>
        <v>2384020</v>
      </c>
      <c r="M159" s="666"/>
      <c r="N159" s="683">
        <v>75000</v>
      </c>
      <c r="O159" s="688">
        <f t="shared" si="62"/>
        <v>72741</v>
      </c>
      <c r="P159" s="601">
        <f t="shared" si="63"/>
        <v>2531761</v>
      </c>
      <c r="Q159" s="669">
        <v>20000</v>
      </c>
      <c r="R159" s="669">
        <v>50000</v>
      </c>
      <c r="S159" s="600">
        <f t="shared" si="64"/>
        <v>189882.07499999998</v>
      </c>
      <c r="T159" s="600">
        <f t="shared" si="60"/>
        <v>63294.025000000001</v>
      </c>
      <c r="U159" s="600"/>
      <c r="V159" s="606">
        <f t="shared" si="49"/>
        <v>2784937.1</v>
      </c>
      <c r="W159" s="370">
        <f t="shared" si="65"/>
        <v>0.15</v>
      </c>
      <c r="X159" s="655">
        <f t="shared" si="50"/>
        <v>417740.565</v>
      </c>
      <c r="Y159" s="368">
        <f t="shared" si="51"/>
        <v>15000</v>
      </c>
      <c r="Z159" s="655">
        <f t="shared" si="52"/>
        <v>402740.565</v>
      </c>
      <c r="AA159" s="366">
        <f t="shared" si="53"/>
        <v>30</v>
      </c>
      <c r="AB159" s="655">
        <f t="shared" si="54"/>
        <v>13424.6855</v>
      </c>
      <c r="AC159" s="655">
        <f t="shared" si="55"/>
        <v>2367196.5350000001</v>
      </c>
      <c r="AD159" s="655">
        <f t="shared" si="56"/>
        <v>18352.849539861883</v>
      </c>
      <c r="AE159" s="655">
        <f t="shared" si="56"/>
        <v>21277.031663040445</v>
      </c>
      <c r="AF159" s="655">
        <f t="shared" si="56"/>
        <v>27485.158969044642</v>
      </c>
      <c r="AG159" s="655">
        <f t="shared" si="56"/>
        <v>46873.328573562481</v>
      </c>
      <c r="AR159" t="str">
        <f>VLOOKUP(E$6:E$287,'[7]Sales Report'!$B$7:$C$288,2,FALSE)</f>
        <v>SOLD</v>
      </c>
      <c r="AS159" s="355" t="s">
        <v>236</v>
      </c>
    </row>
    <row r="160" spans="1:52" ht="14.25" customHeight="1">
      <c r="A160" s="651">
        <v>13000</v>
      </c>
      <c r="B160" s="641" t="s">
        <v>958</v>
      </c>
      <c r="C160" s="391"/>
      <c r="D160" s="367"/>
      <c r="E160" s="367" t="s">
        <v>474</v>
      </c>
      <c r="F160" s="367" t="s">
        <v>894</v>
      </c>
      <c r="G160" s="354">
        <v>22</v>
      </c>
      <c r="H160" s="587">
        <v>2000000</v>
      </c>
      <c r="I160" s="600">
        <f t="shared" si="42"/>
        <v>286000</v>
      </c>
      <c r="J160" s="600">
        <f t="shared" si="43"/>
        <v>34320</v>
      </c>
      <c r="K160" s="604">
        <f t="shared" si="44"/>
        <v>63700</v>
      </c>
      <c r="L160" s="666">
        <f t="shared" si="45"/>
        <v>2384020</v>
      </c>
      <c r="M160" s="666"/>
      <c r="N160" s="683">
        <v>75000</v>
      </c>
      <c r="O160" s="688">
        <f t="shared" si="62"/>
        <v>72741</v>
      </c>
      <c r="P160" s="601">
        <f t="shared" si="63"/>
        <v>2531761</v>
      </c>
      <c r="Q160" s="669">
        <v>20000</v>
      </c>
      <c r="R160" s="669">
        <v>50000</v>
      </c>
      <c r="S160" s="600">
        <f t="shared" si="64"/>
        <v>189882.07499999998</v>
      </c>
      <c r="T160" s="600">
        <f t="shared" si="60"/>
        <v>63294.025000000001</v>
      </c>
      <c r="U160" s="600"/>
      <c r="V160" s="606">
        <f t="shared" si="49"/>
        <v>2784937.1</v>
      </c>
      <c r="W160" s="370">
        <f t="shared" si="65"/>
        <v>0.15</v>
      </c>
      <c r="X160" s="655">
        <f t="shared" si="50"/>
        <v>417740.565</v>
      </c>
      <c r="Y160" s="368">
        <f t="shared" si="51"/>
        <v>15000</v>
      </c>
      <c r="Z160" s="655">
        <f t="shared" si="52"/>
        <v>402740.565</v>
      </c>
      <c r="AA160" s="366">
        <f t="shared" si="53"/>
        <v>30</v>
      </c>
      <c r="AB160" s="655">
        <f t="shared" si="54"/>
        <v>13424.6855</v>
      </c>
      <c r="AC160" s="655">
        <f t="shared" si="55"/>
        <v>2367196.5350000001</v>
      </c>
      <c r="AD160" s="655">
        <f t="shared" si="56"/>
        <v>18352.849539861883</v>
      </c>
      <c r="AE160" s="655">
        <f t="shared" si="56"/>
        <v>21277.031663040445</v>
      </c>
      <c r="AF160" s="655">
        <f t="shared" si="56"/>
        <v>27485.158969044642</v>
      </c>
      <c r="AG160" s="655">
        <f t="shared" si="56"/>
        <v>46873.328573562481</v>
      </c>
      <c r="AR160" t="str">
        <f>VLOOKUP(E$6:E$287,'[7]Sales Report'!$B$7:$C$288,2,FALSE)</f>
        <v>SOLD</v>
      </c>
      <c r="AS160" s="355" t="s">
        <v>236</v>
      </c>
    </row>
    <row r="161" spans="1:52" ht="14.25" customHeight="1">
      <c r="A161" s="651">
        <v>11000</v>
      </c>
      <c r="B161" s="641" t="s">
        <v>958</v>
      </c>
      <c r="C161" s="391"/>
      <c r="D161" s="367"/>
      <c r="E161" s="367" t="s">
        <v>476</v>
      </c>
      <c r="F161" s="367" t="s">
        <v>894</v>
      </c>
      <c r="G161" s="354">
        <v>22</v>
      </c>
      <c r="H161" s="587">
        <v>2000000</v>
      </c>
      <c r="I161" s="600">
        <f t="shared" si="42"/>
        <v>242000</v>
      </c>
      <c r="J161" s="600">
        <f t="shared" si="43"/>
        <v>29040</v>
      </c>
      <c r="K161" s="604">
        <f t="shared" si="44"/>
        <v>63700</v>
      </c>
      <c r="L161" s="666">
        <f t="shared" si="45"/>
        <v>2334740</v>
      </c>
      <c r="M161" s="666"/>
      <c r="N161" s="683">
        <v>75000</v>
      </c>
      <c r="O161" s="688">
        <f t="shared" si="62"/>
        <v>71421</v>
      </c>
      <c r="P161" s="601">
        <f t="shared" si="63"/>
        <v>2481161</v>
      </c>
      <c r="Q161" s="669">
        <v>20000</v>
      </c>
      <c r="R161" s="669">
        <v>50000</v>
      </c>
      <c r="S161" s="600">
        <f t="shared" si="64"/>
        <v>186087.07499999998</v>
      </c>
      <c r="T161" s="600">
        <f t="shared" si="60"/>
        <v>62029.025000000001</v>
      </c>
      <c r="U161" s="600"/>
      <c r="V161" s="606">
        <f t="shared" si="49"/>
        <v>2729277.1</v>
      </c>
      <c r="W161" s="370">
        <f t="shared" si="65"/>
        <v>0.15</v>
      </c>
      <c r="X161" s="655">
        <f t="shared" si="50"/>
        <v>409391.565</v>
      </c>
      <c r="Y161" s="368">
        <f t="shared" si="51"/>
        <v>15000</v>
      </c>
      <c r="Z161" s="655">
        <f t="shared" si="52"/>
        <v>394391.565</v>
      </c>
      <c r="AA161" s="366">
        <f t="shared" si="53"/>
        <v>30</v>
      </c>
      <c r="AB161" s="655">
        <f t="shared" si="54"/>
        <v>13146.3855</v>
      </c>
      <c r="AC161" s="655">
        <f t="shared" si="55"/>
        <v>2319885.5350000001</v>
      </c>
      <c r="AD161" s="655">
        <f t="shared" si="56"/>
        <v>17986.047860431237</v>
      </c>
      <c r="AE161" s="655">
        <f t="shared" si="56"/>
        <v>20851.787020220745</v>
      </c>
      <c r="AF161" s="655">
        <f t="shared" si="56"/>
        <v>26935.838143013407</v>
      </c>
      <c r="AG161" s="655">
        <f t="shared" si="56"/>
        <v>45936.514069420002</v>
      </c>
      <c r="AR161" t="s">
        <v>258</v>
      </c>
      <c r="AS161" s="355" t="s">
        <v>258</v>
      </c>
    </row>
    <row r="162" spans="1:52" ht="14.25" customHeight="1">
      <c r="A162" s="651">
        <v>11000</v>
      </c>
      <c r="B162" s="641" t="s">
        <v>958</v>
      </c>
      <c r="C162" s="391"/>
      <c r="D162" s="367"/>
      <c r="E162" s="367" t="s">
        <v>478</v>
      </c>
      <c r="F162" s="367" t="s">
        <v>894</v>
      </c>
      <c r="G162" s="354">
        <v>22</v>
      </c>
      <c r="H162" s="587">
        <v>2000000</v>
      </c>
      <c r="I162" s="600">
        <f t="shared" si="42"/>
        <v>242000</v>
      </c>
      <c r="J162" s="600">
        <f t="shared" si="43"/>
        <v>29040</v>
      </c>
      <c r="K162" s="604">
        <f t="shared" si="44"/>
        <v>63700</v>
      </c>
      <c r="L162" s="666">
        <f t="shared" si="45"/>
        <v>2334740</v>
      </c>
      <c r="M162" s="666"/>
      <c r="N162" s="683">
        <v>75000</v>
      </c>
      <c r="O162" s="688">
        <f t="shared" si="62"/>
        <v>71421</v>
      </c>
      <c r="P162" s="601">
        <f t="shared" si="63"/>
        <v>2481161</v>
      </c>
      <c r="Q162" s="669">
        <v>20000</v>
      </c>
      <c r="R162" s="669">
        <v>50000</v>
      </c>
      <c r="S162" s="600">
        <f t="shared" si="64"/>
        <v>186087.07499999998</v>
      </c>
      <c r="T162" s="600">
        <f t="shared" si="60"/>
        <v>62029.025000000001</v>
      </c>
      <c r="U162" s="600"/>
      <c r="V162" s="606">
        <f t="shared" si="49"/>
        <v>2729277.1</v>
      </c>
      <c r="W162" s="370">
        <f t="shared" si="65"/>
        <v>0.15</v>
      </c>
      <c r="X162" s="655">
        <f t="shared" si="50"/>
        <v>409391.565</v>
      </c>
      <c r="Y162" s="368">
        <f t="shared" si="51"/>
        <v>15000</v>
      </c>
      <c r="Z162" s="655">
        <f t="shared" si="52"/>
        <v>394391.565</v>
      </c>
      <c r="AA162" s="366">
        <f t="shared" si="53"/>
        <v>30</v>
      </c>
      <c r="AB162" s="655">
        <f t="shared" si="54"/>
        <v>13146.3855</v>
      </c>
      <c r="AC162" s="655">
        <f t="shared" si="55"/>
        <v>2319885.5350000001</v>
      </c>
      <c r="AD162" s="655">
        <f t="shared" si="56"/>
        <v>17986.047860431237</v>
      </c>
      <c r="AE162" s="655">
        <f t="shared" si="56"/>
        <v>20851.787020220745</v>
      </c>
      <c r="AF162" s="655">
        <f t="shared" si="56"/>
        <v>26935.838143013407</v>
      </c>
      <c r="AG162" s="655">
        <f t="shared" si="56"/>
        <v>45936.514069420002</v>
      </c>
      <c r="AR162" t="s">
        <v>258</v>
      </c>
      <c r="AS162" s="355" t="s">
        <v>258</v>
      </c>
    </row>
    <row r="163" spans="1:52" ht="14.25" customHeight="1">
      <c r="A163" s="651">
        <v>11000</v>
      </c>
      <c r="B163" s="641" t="s">
        <v>958</v>
      </c>
      <c r="C163" s="391"/>
      <c r="D163" s="367"/>
      <c r="E163" s="367" t="s">
        <v>479</v>
      </c>
      <c r="F163" s="367" t="s">
        <v>894</v>
      </c>
      <c r="G163" s="354">
        <v>22</v>
      </c>
      <c r="H163" s="587">
        <v>2000000</v>
      </c>
      <c r="I163" s="600">
        <f t="shared" si="42"/>
        <v>242000</v>
      </c>
      <c r="J163" s="600">
        <f t="shared" si="43"/>
        <v>29040</v>
      </c>
      <c r="K163" s="604">
        <f t="shared" si="44"/>
        <v>63700</v>
      </c>
      <c r="L163" s="666">
        <f t="shared" si="45"/>
        <v>2334740</v>
      </c>
      <c r="M163" s="666"/>
      <c r="N163" s="683">
        <v>75000</v>
      </c>
      <c r="O163" s="688">
        <f t="shared" si="62"/>
        <v>71421</v>
      </c>
      <c r="P163" s="601">
        <f t="shared" si="63"/>
        <v>2481161</v>
      </c>
      <c r="Q163" s="669">
        <v>20000</v>
      </c>
      <c r="R163" s="669">
        <v>50000</v>
      </c>
      <c r="S163" s="600">
        <f t="shared" si="64"/>
        <v>186087.07499999998</v>
      </c>
      <c r="T163" s="600">
        <f t="shared" si="60"/>
        <v>62029.025000000001</v>
      </c>
      <c r="U163" s="600"/>
      <c r="V163" s="606">
        <f t="shared" si="49"/>
        <v>2729277.1</v>
      </c>
      <c r="W163" s="370">
        <f t="shared" si="65"/>
        <v>0.15</v>
      </c>
      <c r="X163" s="655">
        <f t="shared" si="50"/>
        <v>409391.565</v>
      </c>
      <c r="Y163" s="368">
        <f t="shared" si="51"/>
        <v>15000</v>
      </c>
      <c r="Z163" s="655">
        <f t="shared" si="52"/>
        <v>394391.565</v>
      </c>
      <c r="AA163" s="366">
        <f t="shared" si="53"/>
        <v>30</v>
      </c>
      <c r="AB163" s="655">
        <f t="shared" si="54"/>
        <v>13146.3855</v>
      </c>
      <c r="AC163" s="655">
        <f t="shared" si="55"/>
        <v>2319885.5350000001</v>
      </c>
      <c r="AD163" s="655">
        <f t="shared" si="56"/>
        <v>17986.047860431237</v>
      </c>
      <c r="AE163" s="655">
        <f t="shared" si="56"/>
        <v>20851.787020220745</v>
      </c>
      <c r="AF163" s="655">
        <f t="shared" si="56"/>
        <v>26935.838143013407</v>
      </c>
      <c r="AG163" s="655">
        <f t="shared" si="56"/>
        <v>45936.514069420002</v>
      </c>
      <c r="AR163" t="str">
        <f>VLOOKUP(E$6:E$287,'[7]Sales Report'!$B$7:$C$288,2,FALSE)</f>
        <v>SOLD</v>
      </c>
      <c r="AS163" s="355" t="s">
        <v>236</v>
      </c>
    </row>
    <row r="164" spans="1:52" ht="14.25" customHeight="1">
      <c r="A164" s="651">
        <v>11000</v>
      </c>
      <c r="B164" s="641" t="s">
        <v>958</v>
      </c>
      <c r="C164" s="391"/>
      <c r="D164" s="367"/>
      <c r="E164" s="367" t="s">
        <v>480</v>
      </c>
      <c r="F164" s="367" t="s">
        <v>894</v>
      </c>
      <c r="G164" s="354">
        <v>22</v>
      </c>
      <c r="H164" s="587">
        <v>2000000</v>
      </c>
      <c r="I164" s="600">
        <f t="shared" si="42"/>
        <v>242000</v>
      </c>
      <c r="J164" s="600">
        <f t="shared" si="43"/>
        <v>29040</v>
      </c>
      <c r="K164" s="604">
        <f t="shared" si="44"/>
        <v>63700</v>
      </c>
      <c r="L164" s="666">
        <f t="shared" si="45"/>
        <v>2334740</v>
      </c>
      <c r="M164" s="666"/>
      <c r="N164" s="683">
        <v>75000</v>
      </c>
      <c r="O164" s="688">
        <f t="shared" si="62"/>
        <v>71421</v>
      </c>
      <c r="P164" s="601">
        <f t="shared" si="63"/>
        <v>2481161</v>
      </c>
      <c r="Q164" s="669">
        <v>20000</v>
      </c>
      <c r="R164" s="669">
        <v>50000</v>
      </c>
      <c r="S164" s="600">
        <f t="shared" si="64"/>
        <v>186087.07499999998</v>
      </c>
      <c r="T164" s="600">
        <f t="shared" si="60"/>
        <v>62029.025000000001</v>
      </c>
      <c r="U164" s="600"/>
      <c r="V164" s="606">
        <f t="shared" si="49"/>
        <v>2729277.1</v>
      </c>
      <c r="W164" s="370">
        <f t="shared" si="65"/>
        <v>0.15</v>
      </c>
      <c r="X164" s="655">
        <f t="shared" si="50"/>
        <v>409391.565</v>
      </c>
      <c r="Y164" s="368">
        <f t="shared" si="51"/>
        <v>15000</v>
      </c>
      <c r="Z164" s="655">
        <f t="shared" si="52"/>
        <v>394391.565</v>
      </c>
      <c r="AA164" s="366">
        <f t="shared" si="53"/>
        <v>30</v>
      </c>
      <c r="AB164" s="655">
        <f t="shared" si="54"/>
        <v>13146.3855</v>
      </c>
      <c r="AC164" s="655">
        <f t="shared" si="55"/>
        <v>2319885.5350000001</v>
      </c>
      <c r="AD164" s="655">
        <f t="shared" si="56"/>
        <v>17986.047860431237</v>
      </c>
      <c r="AE164" s="655">
        <f t="shared" si="56"/>
        <v>20851.787020220745</v>
      </c>
      <c r="AF164" s="655">
        <f t="shared" si="56"/>
        <v>26935.838143013407</v>
      </c>
      <c r="AG164" s="655">
        <f t="shared" si="56"/>
        <v>45936.514069420002</v>
      </c>
      <c r="AR164" t="s">
        <v>258</v>
      </c>
      <c r="AS164" s="355" t="s">
        <v>258</v>
      </c>
    </row>
    <row r="165" spans="1:52" ht="14.25" customHeight="1">
      <c r="A165" s="651">
        <v>11000</v>
      </c>
      <c r="B165" s="641" t="s">
        <v>958</v>
      </c>
      <c r="C165" s="391"/>
      <c r="D165" s="367"/>
      <c r="E165" s="367" t="s">
        <v>481</v>
      </c>
      <c r="F165" s="367" t="s">
        <v>894</v>
      </c>
      <c r="G165" s="354">
        <v>22</v>
      </c>
      <c r="H165" s="587">
        <v>2000000</v>
      </c>
      <c r="I165" s="600">
        <f t="shared" si="42"/>
        <v>242000</v>
      </c>
      <c r="J165" s="600">
        <f t="shared" si="43"/>
        <v>29040</v>
      </c>
      <c r="K165" s="604">
        <f t="shared" si="44"/>
        <v>63700</v>
      </c>
      <c r="L165" s="666">
        <f t="shared" si="45"/>
        <v>2334740</v>
      </c>
      <c r="M165" s="666"/>
      <c r="N165" s="683">
        <v>75000</v>
      </c>
      <c r="O165" s="688">
        <f t="shared" si="62"/>
        <v>71421</v>
      </c>
      <c r="P165" s="601">
        <f t="shared" si="63"/>
        <v>2481161</v>
      </c>
      <c r="Q165" s="669">
        <v>20000</v>
      </c>
      <c r="R165" s="669">
        <v>50000</v>
      </c>
      <c r="S165" s="600">
        <f t="shared" si="64"/>
        <v>186087.07499999998</v>
      </c>
      <c r="T165" s="600">
        <f t="shared" si="60"/>
        <v>62029.025000000001</v>
      </c>
      <c r="U165" s="600"/>
      <c r="V165" s="606">
        <f t="shared" si="49"/>
        <v>2729277.1</v>
      </c>
      <c r="W165" s="370">
        <f t="shared" si="65"/>
        <v>0.15</v>
      </c>
      <c r="X165" s="655">
        <f t="shared" si="50"/>
        <v>409391.565</v>
      </c>
      <c r="Y165" s="368">
        <f t="shared" si="51"/>
        <v>15000</v>
      </c>
      <c r="Z165" s="655">
        <f t="shared" si="52"/>
        <v>394391.565</v>
      </c>
      <c r="AA165" s="366">
        <f t="shared" si="53"/>
        <v>30</v>
      </c>
      <c r="AB165" s="655">
        <f t="shared" si="54"/>
        <v>13146.3855</v>
      </c>
      <c r="AC165" s="655">
        <f t="shared" si="55"/>
        <v>2319885.5350000001</v>
      </c>
      <c r="AD165" s="655">
        <f t="shared" si="56"/>
        <v>17986.047860431237</v>
      </c>
      <c r="AE165" s="655">
        <f t="shared" si="56"/>
        <v>20851.787020220745</v>
      </c>
      <c r="AF165" s="655">
        <f t="shared" si="56"/>
        <v>26935.838143013407</v>
      </c>
      <c r="AG165" s="655">
        <f t="shared" si="56"/>
        <v>45936.514069420002</v>
      </c>
      <c r="AR165" t="s">
        <v>258</v>
      </c>
      <c r="AS165" s="355" t="s">
        <v>258</v>
      </c>
    </row>
    <row r="166" spans="1:52" s="615" customFormat="1" ht="14.25" customHeight="1">
      <c r="A166" s="652">
        <v>17000</v>
      </c>
      <c r="B166" s="646" t="s">
        <v>958</v>
      </c>
      <c r="C166" s="608"/>
      <c r="D166" s="611"/>
      <c r="E166" s="611" t="s">
        <v>960</v>
      </c>
      <c r="F166" s="611" t="s">
        <v>956</v>
      </c>
      <c r="G166" s="617">
        <v>44</v>
      </c>
      <c r="H166" s="613">
        <v>4748000</v>
      </c>
      <c r="I166" s="603"/>
      <c r="J166" s="603"/>
      <c r="K166" s="604">
        <f t="shared" si="44"/>
        <v>63700</v>
      </c>
      <c r="L166" s="666">
        <f t="shared" si="45"/>
        <v>4811700</v>
      </c>
      <c r="M166" s="666">
        <f>H166*5%</f>
        <v>237400</v>
      </c>
      <c r="N166" s="683"/>
      <c r="O166" s="683"/>
      <c r="P166" s="693"/>
      <c r="Q166" s="694">
        <v>20000</v>
      </c>
      <c r="R166" s="694">
        <v>50000</v>
      </c>
      <c r="S166" s="603">
        <f>+P166*$S$5</f>
        <v>0</v>
      </c>
      <c r="T166" s="603">
        <f t="shared" si="60"/>
        <v>0</v>
      </c>
      <c r="U166" s="603">
        <f>+P166*0.12</f>
        <v>0</v>
      </c>
      <c r="V166" s="695">
        <f>P166+S166+T166+U166</f>
        <v>0</v>
      </c>
      <c r="W166" s="626">
        <f>W$296</f>
        <v>0.15</v>
      </c>
      <c r="X166" s="656">
        <f t="shared" si="50"/>
        <v>0</v>
      </c>
      <c r="Y166" s="614">
        <f t="shared" si="51"/>
        <v>15000</v>
      </c>
      <c r="Z166" s="656">
        <f t="shared" si="52"/>
        <v>-15000</v>
      </c>
      <c r="AA166" s="620">
        <f t="shared" si="53"/>
        <v>30</v>
      </c>
      <c r="AB166" s="656">
        <f t="shared" si="54"/>
        <v>-500</v>
      </c>
      <c r="AC166" s="656">
        <f t="shared" si="55"/>
        <v>0</v>
      </c>
      <c r="AD166" s="656">
        <f t="shared" si="56"/>
        <v>0</v>
      </c>
      <c r="AE166" s="656">
        <f t="shared" si="56"/>
        <v>0</v>
      </c>
      <c r="AF166" s="656">
        <f t="shared" si="56"/>
        <v>0</v>
      </c>
      <c r="AG166" s="656">
        <f t="shared" si="56"/>
        <v>0</v>
      </c>
      <c r="AQ166"/>
      <c r="AR166"/>
      <c r="AS166" s="616" t="s">
        <v>957</v>
      </c>
      <c r="AT166"/>
      <c r="AU166"/>
      <c r="AV166"/>
      <c r="AW166"/>
      <c r="AX166"/>
      <c r="AY166"/>
      <c r="AZ166"/>
    </row>
    <row r="167" spans="1:52" ht="14.25" customHeight="1">
      <c r="A167" s="651">
        <v>13000</v>
      </c>
      <c r="B167" s="641" t="s">
        <v>958</v>
      </c>
      <c r="C167" s="391"/>
      <c r="D167" s="367"/>
      <c r="E167" s="367" t="s">
        <v>485</v>
      </c>
      <c r="F167" s="367" t="s">
        <v>894</v>
      </c>
      <c r="G167" s="354">
        <v>22</v>
      </c>
      <c r="H167" s="587">
        <v>2000000</v>
      </c>
      <c r="I167" s="600">
        <f t="shared" si="42"/>
        <v>286000</v>
      </c>
      <c r="J167" s="600">
        <f t="shared" si="43"/>
        <v>34320</v>
      </c>
      <c r="K167" s="604">
        <f t="shared" si="44"/>
        <v>63700</v>
      </c>
      <c r="L167" s="666">
        <f t="shared" si="45"/>
        <v>2384020</v>
      </c>
      <c r="M167" s="666"/>
      <c r="N167" s="683">
        <v>75000</v>
      </c>
      <c r="O167" s="688">
        <f t="shared" ref="O167:O173" si="66">(H167+I167+K167+N167)*3%</f>
        <v>72741</v>
      </c>
      <c r="P167" s="601">
        <f t="shared" ref="P167:P173" si="67">SUM(L167+N167+O167)</f>
        <v>2531761</v>
      </c>
      <c r="Q167" s="669">
        <v>20000</v>
      </c>
      <c r="R167" s="669">
        <v>50000</v>
      </c>
      <c r="S167" s="600">
        <f t="shared" ref="S167:S173" si="68">+P167*$S$5</f>
        <v>189882.07499999998</v>
      </c>
      <c r="T167" s="600">
        <f t="shared" ref="T167:T175" si="69">+P167*$T$5</f>
        <v>63294.025000000001</v>
      </c>
      <c r="U167" s="600"/>
      <c r="V167" s="606">
        <f t="shared" si="49"/>
        <v>2784937.1</v>
      </c>
      <c r="W167" s="370">
        <f t="shared" ref="W167:W173" si="70">W$297</f>
        <v>0.15</v>
      </c>
      <c r="X167" s="655">
        <f t="shared" si="50"/>
        <v>417740.565</v>
      </c>
      <c r="Y167" s="368">
        <f t="shared" si="51"/>
        <v>15000</v>
      </c>
      <c r="Z167" s="655">
        <f t="shared" si="52"/>
        <v>402740.565</v>
      </c>
      <c r="AA167" s="366">
        <f t="shared" si="53"/>
        <v>30</v>
      </c>
      <c r="AB167" s="655">
        <f t="shared" si="54"/>
        <v>13424.6855</v>
      </c>
      <c r="AC167" s="655">
        <f t="shared" si="55"/>
        <v>2367196.5350000001</v>
      </c>
      <c r="AD167" s="655">
        <f t="shared" si="56"/>
        <v>18352.849539861883</v>
      </c>
      <c r="AE167" s="655">
        <f t="shared" si="56"/>
        <v>21277.031663040445</v>
      </c>
      <c r="AF167" s="655">
        <f t="shared" si="56"/>
        <v>27485.158969044642</v>
      </c>
      <c r="AG167" s="655">
        <f t="shared" si="56"/>
        <v>46873.328573562481</v>
      </c>
      <c r="AR167" t="str">
        <f>VLOOKUP(E$6:E$287,'[7]Sales Report'!$B$7:$C$288,2,FALSE)</f>
        <v>SOLD</v>
      </c>
      <c r="AS167" s="355" t="s">
        <v>236</v>
      </c>
    </row>
    <row r="168" spans="1:52" ht="14.25" customHeight="1">
      <c r="A168" s="651">
        <v>13000</v>
      </c>
      <c r="B168" s="641" t="s">
        <v>958</v>
      </c>
      <c r="C168" s="392"/>
      <c r="D168" s="418"/>
      <c r="E168" s="414" t="s">
        <v>487</v>
      </c>
      <c r="F168" s="367" t="s">
        <v>894</v>
      </c>
      <c r="G168" s="375">
        <v>22</v>
      </c>
      <c r="H168" s="587">
        <v>2000000</v>
      </c>
      <c r="I168" s="600">
        <f t="shared" si="42"/>
        <v>286000</v>
      </c>
      <c r="J168" s="600">
        <f t="shared" si="43"/>
        <v>34320</v>
      </c>
      <c r="K168" s="604">
        <f t="shared" si="44"/>
        <v>63700</v>
      </c>
      <c r="L168" s="666">
        <f t="shared" si="45"/>
        <v>2384020</v>
      </c>
      <c r="M168" s="666"/>
      <c r="N168" s="683">
        <v>75000</v>
      </c>
      <c r="O168" s="688">
        <f t="shared" si="66"/>
        <v>72741</v>
      </c>
      <c r="P168" s="601">
        <f t="shared" si="67"/>
        <v>2531761</v>
      </c>
      <c r="Q168" s="669">
        <v>20000</v>
      </c>
      <c r="R168" s="669">
        <v>50000</v>
      </c>
      <c r="S168" s="600">
        <f t="shared" si="68"/>
        <v>189882.07499999998</v>
      </c>
      <c r="T168" s="600">
        <f t="shared" si="69"/>
        <v>63294.025000000001</v>
      </c>
      <c r="U168" s="600"/>
      <c r="V168" s="606">
        <f t="shared" si="49"/>
        <v>2784937.1</v>
      </c>
      <c r="W168" s="370">
        <f t="shared" si="70"/>
        <v>0.15</v>
      </c>
      <c r="X168" s="655">
        <f t="shared" si="50"/>
        <v>417740.565</v>
      </c>
      <c r="Y168" s="368">
        <f t="shared" si="51"/>
        <v>15000</v>
      </c>
      <c r="Z168" s="655">
        <f t="shared" si="52"/>
        <v>402740.565</v>
      </c>
      <c r="AA168" s="366">
        <f t="shared" si="53"/>
        <v>30</v>
      </c>
      <c r="AB168" s="655">
        <f t="shared" si="54"/>
        <v>13424.6855</v>
      </c>
      <c r="AC168" s="655">
        <f t="shared" si="55"/>
        <v>2367196.5350000001</v>
      </c>
      <c r="AD168" s="655">
        <f t="shared" si="56"/>
        <v>18352.849539861883</v>
      </c>
      <c r="AE168" s="655">
        <f t="shared" si="56"/>
        <v>21277.031663040445</v>
      </c>
      <c r="AF168" s="655">
        <f t="shared" si="56"/>
        <v>27485.158969044642</v>
      </c>
      <c r="AG168" s="655">
        <f t="shared" si="56"/>
        <v>46873.328573562481</v>
      </c>
      <c r="AR168" t="str">
        <f>VLOOKUP(E$6:E$287,'[7]Sales Report'!$B$7:$C$288,2,FALSE)</f>
        <v>SOLD</v>
      </c>
      <c r="AS168" s="355" t="s">
        <v>236</v>
      </c>
    </row>
    <row r="169" spans="1:52" ht="14.25" customHeight="1">
      <c r="A169" s="651">
        <v>13000</v>
      </c>
      <c r="B169" s="638" t="s">
        <v>958</v>
      </c>
      <c r="C169" s="391"/>
      <c r="D169" s="387"/>
      <c r="E169" s="372" t="s">
        <v>489</v>
      </c>
      <c r="F169" s="367" t="s">
        <v>894</v>
      </c>
      <c r="G169" s="371">
        <v>22</v>
      </c>
      <c r="H169" s="587">
        <v>2000000</v>
      </c>
      <c r="I169" s="600">
        <f t="shared" si="42"/>
        <v>286000</v>
      </c>
      <c r="J169" s="600">
        <f t="shared" si="43"/>
        <v>34320</v>
      </c>
      <c r="K169" s="604">
        <f t="shared" si="44"/>
        <v>63700</v>
      </c>
      <c r="L169" s="666">
        <f t="shared" si="45"/>
        <v>2384020</v>
      </c>
      <c r="M169" s="666"/>
      <c r="N169" s="683">
        <v>75000</v>
      </c>
      <c r="O169" s="688">
        <f t="shared" si="66"/>
        <v>72741</v>
      </c>
      <c r="P169" s="601">
        <f t="shared" si="67"/>
        <v>2531761</v>
      </c>
      <c r="Q169" s="669">
        <v>20000</v>
      </c>
      <c r="R169" s="669">
        <v>50000</v>
      </c>
      <c r="S169" s="600">
        <f t="shared" si="68"/>
        <v>189882.07499999998</v>
      </c>
      <c r="T169" s="600">
        <f t="shared" si="69"/>
        <v>63294.025000000001</v>
      </c>
      <c r="U169" s="600"/>
      <c r="V169" s="606">
        <f t="shared" si="49"/>
        <v>2784937.1</v>
      </c>
      <c r="W169" s="370">
        <f t="shared" si="70"/>
        <v>0.15</v>
      </c>
      <c r="X169" s="655">
        <f t="shared" si="50"/>
        <v>417740.565</v>
      </c>
      <c r="Y169" s="368">
        <f t="shared" si="51"/>
        <v>15000</v>
      </c>
      <c r="Z169" s="655">
        <f t="shared" si="52"/>
        <v>402740.565</v>
      </c>
      <c r="AA169" s="366">
        <f t="shared" si="53"/>
        <v>30</v>
      </c>
      <c r="AB169" s="655">
        <f t="shared" si="54"/>
        <v>13424.6855</v>
      </c>
      <c r="AC169" s="655">
        <f t="shared" si="55"/>
        <v>2367196.5350000001</v>
      </c>
      <c r="AD169" s="655">
        <f t="shared" si="56"/>
        <v>18352.849539861883</v>
      </c>
      <c r="AE169" s="655">
        <f t="shared" si="56"/>
        <v>21277.031663040445</v>
      </c>
      <c r="AF169" s="655">
        <f t="shared" si="56"/>
        <v>27485.158969044642</v>
      </c>
      <c r="AG169" s="655">
        <f t="shared" si="56"/>
        <v>46873.328573562481</v>
      </c>
      <c r="AR169" t="str">
        <f>VLOOKUP(E$6:E$287,'[7]Sales Report'!$B$7:$C$288,2,FALSE)</f>
        <v>SOLD</v>
      </c>
      <c r="AS169" s="355" t="s">
        <v>236</v>
      </c>
    </row>
    <row r="170" spans="1:52" ht="14.25" customHeight="1">
      <c r="A170" s="651">
        <v>13000</v>
      </c>
      <c r="B170" s="639" t="s">
        <v>958</v>
      </c>
      <c r="C170" s="391"/>
      <c r="D170" s="386"/>
      <c r="E170" s="372" t="s">
        <v>490</v>
      </c>
      <c r="F170" s="367" t="s">
        <v>894</v>
      </c>
      <c r="G170" s="371">
        <v>22</v>
      </c>
      <c r="H170" s="587">
        <v>2000000</v>
      </c>
      <c r="I170" s="600">
        <f t="shared" si="42"/>
        <v>286000</v>
      </c>
      <c r="J170" s="600">
        <f t="shared" si="43"/>
        <v>34320</v>
      </c>
      <c r="K170" s="604">
        <f t="shared" si="44"/>
        <v>63700</v>
      </c>
      <c r="L170" s="666">
        <f t="shared" si="45"/>
        <v>2384020</v>
      </c>
      <c r="M170" s="666"/>
      <c r="N170" s="683">
        <v>75000</v>
      </c>
      <c r="O170" s="688">
        <f t="shared" si="66"/>
        <v>72741</v>
      </c>
      <c r="P170" s="601">
        <f t="shared" si="67"/>
        <v>2531761</v>
      </c>
      <c r="Q170" s="669">
        <v>20000</v>
      </c>
      <c r="R170" s="669">
        <v>50000</v>
      </c>
      <c r="S170" s="600">
        <f t="shared" si="68"/>
        <v>189882.07499999998</v>
      </c>
      <c r="T170" s="600">
        <f t="shared" si="69"/>
        <v>63294.025000000001</v>
      </c>
      <c r="U170" s="600"/>
      <c r="V170" s="606">
        <f t="shared" si="49"/>
        <v>2784937.1</v>
      </c>
      <c r="W170" s="370">
        <f t="shared" si="70"/>
        <v>0.15</v>
      </c>
      <c r="X170" s="655">
        <f t="shared" si="50"/>
        <v>417740.565</v>
      </c>
      <c r="Y170" s="368">
        <f t="shared" si="51"/>
        <v>15000</v>
      </c>
      <c r="Z170" s="655">
        <f t="shared" si="52"/>
        <v>402740.565</v>
      </c>
      <c r="AA170" s="366">
        <f t="shared" si="53"/>
        <v>30</v>
      </c>
      <c r="AB170" s="655">
        <f t="shared" si="54"/>
        <v>13424.6855</v>
      </c>
      <c r="AC170" s="655">
        <f t="shared" si="55"/>
        <v>2367196.5350000001</v>
      </c>
      <c r="AD170" s="655">
        <f t="shared" si="56"/>
        <v>18352.849539861883</v>
      </c>
      <c r="AE170" s="655">
        <f t="shared" si="56"/>
        <v>21277.031663040445</v>
      </c>
      <c r="AF170" s="655">
        <f t="shared" si="56"/>
        <v>27485.158969044642</v>
      </c>
      <c r="AG170" s="655">
        <f t="shared" si="56"/>
        <v>46873.328573562481</v>
      </c>
      <c r="AR170" t="str">
        <f>VLOOKUP(E$6:E$287,'[7]Sales Report'!$B$7:$C$288,2,FALSE)</f>
        <v>SOLD</v>
      </c>
      <c r="AS170" s="355" t="s">
        <v>236</v>
      </c>
    </row>
    <row r="171" spans="1:52" ht="14.25" customHeight="1">
      <c r="A171" s="651">
        <v>13000</v>
      </c>
      <c r="B171" s="639" t="s">
        <v>958</v>
      </c>
      <c r="C171" s="391"/>
      <c r="D171" s="386"/>
      <c r="E171" s="372" t="s">
        <v>491</v>
      </c>
      <c r="F171" s="367" t="s">
        <v>894</v>
      </c>
      <c r="G171" s="371">
        <v>22</v>
      </c>
      <c r="H171" s="587">
        <v>2000000</v>
      </c>
      <c r="I171" s="600">
        <f t="shared" si="42"/>
        <v>286000</v>
      </c>
      <c r="J171" s="600">
        <f t="shared" si="43"/>
        <v>34320</v>
      </c>
      <c r="K171" s="604">
        <f t="shared" si="44"/>
        <v>63700</v>
      </c>
      <c r="L171" s="666">
        <f t="shared" si="45"/>
        <v>2384020</v>
      </c>
      <c r="M171" s="666"/>
      <c r="N171" s="683">
        <v>75000</v>
      </c>
      <c r="O171" s="688">
        <f t="shared" si="66"/>
        <v>72741</v>
      </c>
      <c r="P171" s="601">
        <f t="shared" si="67"/>
        <v>2531761</v>
      </c>
      <c r="Q171" s="669">
        <v>20000</v>
      </c>
      <c r="R171" s="669">
        <v>50000</v>
      </c>
      <c r="S171" s="600">
        <f t="shared" si="68"/>
        <v>189882.07499999998</v>
      </c>
      <c r="T171" s="600">
        <f t="shared" si="69"/>
        <v>63294.025000000001</v>
      </c>
      <c r="U171" s="600"/>
      <c r="V171" s="606">
        <f t="shared" si="49"/>
        <v>2784937.1</v>
      </c>
      <c r="W171" s="370">
        <f t="shared" si="70"/>
        <v>0.15</v>
      </c>
      <c r="X171" s="655">
        <f t="shared" si="50"/>
        <v>417740.565</v>
      </c>
      <c r="Y171" s="368">
        <f t="shared" si="51"/>
        <v>15000</v>
      </c>
      <c r="Z171" s="655">
        <f t="shared" si="52"/>
        <v>402740.565</v>
      </c>
      <c r="AA171" s="366">
        <f t="shared" si="53"/>
        <v>30</v>
      </c>
      <c r="AB171" s="655">
        <f t="shared" si="54"/>
        <v>13424.6855</v>
      </c>
      <c r="AC171" s="655">
        <f t="shared" si="55"/>
        <v>2367196.5350000001</v>
      </c>
      <c r="AD171" s="655">
        <f t="shared" ref="AD171:AG202" si="71">+$AC171*AD$5</f>
        <v>18352.849539861883</v>
      </c>
      <c r="AE171" s="655">
        <f t="shared" si="71"/>
        <v>21277.031663040445</v>
      </c>
      <c r="AF171" s="655">
        <f t="shared" si="71"/>
        <v>27485.158969044642</v>
      </c>
      <c r="AG171" s="655">
        <f t="shared" si="71"/>
        <v>46873.328573562481</v>
      </c>
      <c r="AR171" t="str">
        <f>VLOOKUP(E$6:E$287,'[7]Sales Report'!$B$7:$C$288,2,FALSE)</f>
        <v>SOLD</v>
      </c>
      <c r="AS171" s="355" t="s">
        <v>236</v>
      </c>
    </row>
    <row r="172" spans="1:52" ht="14.25" customHeight="1">
      <c r="A172" s="651">
        <v>13000</v>
      </c>
      <c r="B172" s="639" t="s">
        <v>958</v>
      </c>
      <c r="C172" s="391"/>
      <c r="D172" s="386"/>
      <c r="E172" s="372" t="s">
        <v>493</v>
      </c>
      <c r="F172" s="367" t="s">
        <v>894</v>
      </c>
      <c r="G172" s="371">
        <v>22</v>
      </c>
      <c r="H172" s="587">
        <v>2000000</v>
      </c>
      <c r="I172" s="600">
        <f t="shared" si="42"/>
        <v>286000</v>
      </c>
      <c r="J172" s="600">
        <f t="shared" si="43"/>
        <v>34320</v>
      </c>
      <c r="K172" s="604">
        <f t="shared" si="44"/>
        <v>63700</v>
      </c>
      <c r="L172" s="666">
        <f t="shared" si="45"/>
        <v>2384020</v>
      </c>
      <c r="M172" s="666"/>
      <c r="N172" s="683">
        <v>75000</v>
      </c>
      <c r="O172" s="688">
        <f t="shared" si="66"/>
        <v>72741</v>
      </c>
      <c r="P172" s="601">
        <f t="shared" si="67"/>
        <v>2531761</v>
      </c>
      <c r="Q172" s="669">
        <v>20000</v>
      </c>
      <c r="R172" s="669">
        <v>50000</v>
      </c>
      <c r="S172" s="600">
        <f t="shared" si="68"/>
        <v>189882.07499999998</v>
      </c>
      <c r="T172" s="600">
        <f t="shared" si="69"/>
        <v>63294.025000000001</v>
      </c>
      <c r="U172" s="600"/>
      <c r="V172" s="606">
        <f t="shared" si="49"/>
        <v>2784937.1</v>
      </c>
      <c r="W172" s="370">
        <f t="shared" si="70"/>
        <v>0.15</v>
      </c>
      <c r="X172" s="655">
        <f t="shared" si="50"/>
        <v>417740.565</v>
      </c>
      <c r="Y172" s="368">
        <f t="shared" si="51"/>
        <v>15000</v>
      </c>
      <c r="Z172" s="655">
        <f t="shared" si="52"/>
        <v>402740.565</v>
      </c>
      <c r="AA172" s="366">
        <f t="shared" si="53"/>
        <v>30</v>
      </c>
      <c r="AB172" s="655">
        <f t="shared" si="54"/>
        <v>13424.6855</v>
      </c>
      <c r="AC172" s="655">
        <f t="shared" si="55"/>
        <v>2367196.5350000001</v>
      </c>
      <c r="AD172" s="655">
        <f t="shared" si="71"/>
        <v>18352.849539861883</v>
      </c>
      <c r="AE172" s="655">
        <f t="shared" si="71"/>
        <v>21277.031663040445</v>
      </c>
      <c r="AF172" s="655">
        <f t="shared" si="71"/>
        <v>27485.158969044642</v>
      </c>
      <c r="AG172" s="655">
        <f t="shared" si="71"/>
        <v>46873.328573562481</v>
      </c>
      <c r="AR172" t="str">
        <f>VLOOKUP(E$6:E$287,'[7]Sales Report'!$B$7:$C$288,2,FALSE)</f>
        <v>SOLD</v>
      </c>
      <c r="AS172" s="355" t="s">
        <v>236</v>
      </c>
    </row>
    <row r="173" spans="1:52" ht="14.25" customHeight="1">
      <c r="A173" s="651">
        <v>13000</v>
      </c>
      <c r="B173" s="639" t="s">
        <v>958</v>
      </c>
      <c r="C173" s="391"/>
      <c r="D173" s="386"/>
      <c r="E173" s="372" t="s">
        <v>495</v>
      </c>
      <c r="F173" s="367" t="s">
        <v>894</v>
      </c>
      <c r="G173" s="374">
        <v>22</v>
      </c>
      <c r="H173" s="587">
        <v>2000000</v>
      </c>
      <c r="I173" s="600">
        <f t="shared" si="42"/>
        <v>286000</v>
      </c>
      <c r="J173" s="600">
        <f t="shared" si="43"/>
        <v>34320</v>
      </c>
      <c r="K173" s="604">
        <f t="shared" si="44"/>
        <v>63700</v>
      </c>
      <c r="L173" s="666">
        <f t="shared" si="45"/>
        <v>2384020</v>
      </c>
      <c r="M173" s="666"/>
      <c r="N173" s="683">
        <v>75000</v>
      </c>
      <c r="O173" s="688">
        <f t="shared" si="66"/>
        <v>72741</v>
      </c>
      <c r="P173" s="601">
        <f t="shared" si="67"/>
        <v>2531761</v>
      </c>
      <c r="Q173" s="669">
        <v>20000</v>
      </c>
      <c r="R173" s="669">
        <v>50000</v>
      </c>
      <c r="S173" s="600">
        <f t="shared" si="68"/>
        <v>189882.07499999998</v>
      </c>
      <c r="T173" s="600">
        <f t="shared" si="69"/>
        <v>63294.025000000001</v>
      </c>
      <c r="U173" s="600"/>
      <c r="V173" s="606">
        <f t="shared" si="49"/>
        <v>2784937.1</v>
      </c>
      <c r="W173" s="370">
        <f t="shared" si="70"/>
        <v>0.15</v>
      </c>
      <c r="X173" s="655">
        <f t="shared" si="50"/>
        <v>417740.565</v>
      </c>
      <c r="Y173" s="368">
        <f t="shared" si="51"/>
        <v>15000</v>
      </c>
      <c r="Z173" s="655">
        <f t="shared" si="52"/>
        <v>402740.565</v>
      </c>
      <c r="AA173" s="366">
        <f t="shared" si="53"/>
        <v>30</v>
      </c>
      <c r="AB173" s="655">
        <f t="shared" si="54"/>
        <v>13424.6855</v>
      </c>
      <c r="AC173" s="655">
        <f t="shared" si="55"/>
        <v>2367196.5350000001</v>
      </c>
      <c r="AD173" s="655">
        <f t="shared" si="71"/>
        <v>18352.849539861883</v>
      </c>
      <c r="AE173" s="655">
        <f t="shared" si="71"/>
        <v>21277.031663040445</v>
      </c>
      <c r="AF173" s="655">
        <f t="shared" si="71"/>
        <v>27485.158969044642</v>
      </c>
      <c r="AG173" s="655">
        <f t="shared" si="71"/>
        <v>46873.328573562481</v>
      </c>
      <c r="AR173" t="str">
        <f>VLOOKUP(E$6:E$287,'[7]Sales Report'!$B$7:$C$288,2,FALSE)</f>
        <v>SOLD</v>
      </c>
      <c r="AS173" s="355" t="s">
        <v>236</v>
      </c>
    </row>
    <row r="174" spans="1:52" s="615" customFormat="1" ht="14.25" customHeight="1">
      <c r="A174" s="652">
        <v>17000</v>
      </c>
      <c r="B174" s="644" t="s">
        <v>958</v>
      </c>
      <c r="C174" s="608"/>
      <c r="D174" s="609"/>
      <c r="E174" s="610" t="s">
        <v>961</v>
      </c>
      <c r="F174" s="611" t="s">
        <v>956</v>
      </c>
      <c r="G174" s="612">
        <v>44</v>
      </c>
      <c r="H174" s="613">
        <v>4748000</v>
      </c>
      <c r="I174" s="603"/>
      <c r="J174" s="603"/>
      <c r="K174" s="604">
        <f t="shared" si="44"/>
        <v>63700</v>
      </c>
      <c r="L174" s="666">
        <f t="shared" si="45"/>
        <v>4811700</v>
      </c>
      <c r="M174" s="666">
        <f t="shared" ref="M174:M175" si="72">H174*5%</f>
        <v>237400</v>
      </c>
      <c r="N174" s="683"/>
      <c r="O174" s="683"/>
      <c r="P174" s="693"/>
      <c r="Q174" s="694">
        <v>20000</v>
      </c>
      <c r="R174" s="694">
        <v>50000</v>
      </c>
      <c r="S174" s="603">
        <f>+P174*$S$5</f>
        <v>0</v>
      </c>
      <c r="T174" s="603">
        <f t="shared" si="69"/>
        <v>0</v>
      </c>
      <c r="U174" s="603">
        <f>+P174*0.12</f>
        <v>0</v>
      </c>
      <c r="V174" s="695">
        <f>P174+S174+T174+U174</f>
        <v>0</v>
      </c>
      <c r="W174" s="626">
        <f t="shared" ref="W174:W175" si="73">W$296</f>
        <v>0.15</v>
      </c>
      <c r="X174" s="656">
        <f t="shared" si="50"/>
        <v>0</v>
      </c>
      <c r="Y174" s="614">
        <f t="shared" si="51"/>
        <v>15000</v>
      </c>
      <c r="Z174" s="656">
        <f t="shared" si="52"/>
        <v>-15000</v>
      </c>
      <c r="AA174" s="620">
        <f t="shared" si="53"/>
        <v>30</v>
      </c>
      <c r="AB174" s="656">
        <f t="shared" si="54"/>
        <v>-500</v>
      </c>
      <c r="AC174" s="656">
        <f t="shared" si="55"/>
        <v>0</v>
      </c>
      <c r="AD174" s="656">
        <f t="shared" si="71"/>
        <v>0</v>
      </c>
      <c r="AE174" s="656">
        <f t="shared" si="71"/>
        <v>0</v>
      </c>
      <c r="AF174" s="656">
        <f t="shared" si="71"/>
        <v>0</v>
      </c>
      <c r="AG174" s="656">
        <f t="shared" si="71"/>
        <v>0</v>
      </c>
      <c r="AQ174"/>
      <c r="AR174"/>
      <c r="AS174" s="616" t="s">
        <v>957</v>
      </c>
      <c r="AT174"/>
      <c r="AU174"/>
      <c r="AV174"/>
      <c r="AW174"/>
      <c r="AX174"/>
      <c r="AY174"/>
      <c r="AZ174"/>
    </row>
    <row r="175" spans="1:52" s="615" customFormat="1" ht="14.25" customHeight="1">
      <c r="A175" s="652">
        <v>17000</v>
      </c>
      <c r="B175" s="644" t="s">
        <v>958</v>
      </c>
      <c r="C175" s="608"/>
      <c r="D175" s="609"/>
      <c r="E175" s="610" t="s">
        <v>962</v>
      </c>
      <c r="F175" s="611" t="s">
        <v>956</v>
      </c>
      <c r="G175" s="612">
        <v>44</v>
      </c>
      <c r="H175" s="613">
        <v>4748000</v>
      </c>
      <c r="I175" s="603"/>
      <c r="J175" s="603"/>
      <c r="K175" s="604">
        <f t="shared" si="44"/>
        <v>63700</v>
      </c>
      <c r="L175" s="666">
        <f t="shared" si="45"/>
        <v>4811700</v>
      </c>
      <c r="M175" s="666">
        <f t="shared" si="72"/>
        <v>237400</v>
      </c>
      <c r="N175" s="683"/>
      <c r="O175" s="683"/>
      <c r="P175" s="693"/>
      <c r="Q175" s="694">
        <v>20000</v>
      </c>
      <c r="R175" s="694">
        <v>50000</v>
      </c>
      <c r="S175" s="603">
        <f>+P175*$S$5</f>
        <v>0</v>
      </c>
      <c r="T175" s="603">
        <f t="shared" si="69"/>
        <v>0</v>
      </c>
      <c r="U175" s="603">
        <f>+P175*0.12</f>
        <v>0</v>
      </c>
      <c r="V175" s="695">
        <f>P175+S175+T175+U175</f>
        <v>0</v>
      </c>
      <c r="W175" s="626">
        <f t="shared" si="73"/>
        <v>0.15</v>
      </c>
      <c r="X175" s="656">
        <f t="shared" si="50"/>
        <v>0</v>
      </c>
      <c r="Y175" s="614">
        <f t="shared" si="51"/>
        <v>15000</v>
      </c>
      <c r="Z175" s="656">
        <f t="shared" si="52"/>
        <v>-15000</v>
      </c>
      <c r="AA175" s="620">
        <f t="shared" si="53"/>
        <v>30</v>
      </c>
      <c r="AB175" s="656">
        <f t="shared" si="54"/>
        <v>-500</v>
      </c>
      <c r="AC175" s="656">
        <f t="shared" si="55"/>
        <v>0</v>
      </c>
      <c r="AD175" s="656">
        <f t="shared" si="71"/>
        <v>0</v>
      </c>
      <c r="AE175" s="656">
        <f t="shared" si="71"/>
        <v>0</v>
      </c>
      <c r="AF175" s="656">
        <f t="shared" si="71"/>
        <v>0</v>
      </c>
      <c r="AG175" s="656">
        <f t="shared" si="71"/>
        <v>0</v>
      </c>
      <c r="AJ175"/>
      <c r="AK175"/>
      <c r="AL175"/>
      <c r="AM175"/>
      <c r="AN175"/>
      <c r="AO175"/>
      <c r="AQ175"/>
      <c r="AR175"/>
      <c r="AS175" s="616" t="s">
        <v>957</v>
      </c>
      <c r="AT175"/>
      <c r="AU175"/>
      <c r="AV175"/>
      <c r="AW175"/>
      <c r="AX175"/>
      <c r="AY175"/>
      <c r="AZ175"/>
    </row>
    <row r="176" spans="1:52" ht="14.25" customHeight="1">
      <c r="A176" s="651">
        <v>11000</v>
      </c>
      <c r="B176" s="639" t="s">
        <v>958</v>
      </c>
      <c r="C176" s="391"/>
      <c r="D176" s="386"/>
      <c r="E176" s="372" t="s">
        <v>504</v>
      </c>
      <c r="F176" s="367" t="s">
        <v>894</v>
      </c>
      <c r="G176" s="373">
        <v>22</v>
      </c>
      <c r="H176" s="587">
        <v>2000000</v>
      </c>
      <c r="I176" s="600">
        <f t="shared" si="42"/>
        <v>242000</v>
      </c>
      <c r="J176" s="600">
        <f t="shared" si="43"/>
        <v>29040</v>
      </c>
      <c r="K176" s="604">
        <f t="shared" si="44"/>
        <v>63700</v>
      </c>
      <c r="L176" s="666">
        <f t="shared" si="45"/>
        <v>2334740</v>
      </c>
      <c r="M176" s="666"/>
      <c r="N176" s="683">
        <v>75000</v>
      </c>
      <c r="O176" s="688">
        <f t="shared" ref="O176:O179" si="74">(H176+I176+K176+N176)*3%</f>
        <v>71421</v>
      </c>
      <c r="P176" s="601">
        <f t="shared" ref="P176:P179" si="75">SUM(L176+N176+O176)</f>
        <v>2481161</v>
      </c>
      <c r="Q176" s="669">
        <v>20000</v>
      </c>
      <c r="R176" s="669">
        <v>50000</v>
      </c>
      <c r="S176" s="600">
        <f t="shared" si="59"/>
        <v>186087.07499999998</v>
      </c>
      <c r="T176" s="600">
        <f t="shared" si="60"/>
        <v>62029.025000000001</v>
      </c>
      <c r="U176" s="600"/>
      <c r="V176" s="606">
        <f t="shared" si="49"/>
        <v>2729277.1</v>
      </c>
      <c r="W176" s="370">
        <f t="shared" ref="W176:W179" si="76">W$297</f>
        <v>0.15</v>
      </c>
      <c r="X176" s="655">
        <f t="shared" si="50"/>
        <v>409391.565</v>
      </c>
      <c r="Y176" s="368">
        <f t="shared" si="51"/>
        <v>15000</v>
      </c>
      <c r="Z176" s="655">
        <f t="shared" si="52"/>
        <v>394391.565</v>
      </c>
      <c r="AA176" s="366">
        <f t="shared" si="53"/>
        <v>30</v>
      </c>
      <c r="AB176" s="655">
        <f t="shared" si="54"/>
        <v>13146.3855</v>
      </c>
      <c r="AC176" s="655">
        <f t="shared" si="55"/>
        <v>2319885.5350000001</v>
      </c>
      <c r="AD176" s="655">
        <f t="shared" si="71"/>
        <v>17986.047860431237</v>
      </c>
      <c r="AE176" s="655">
        <f t="shared" si="71"/>
        <v>20851.787020220745</v>
      </c>
      <c r="AF176" s="655">
        <f t="shared" si="71"/>
        <v>26935.838143013407</v>
      </c>
      <c r="AG176" s="655">
        <f t="shared" si="71"/>
        <v>45936.514069420002</v>
      </c>
      <c r="AR176" t="s">
        <v>258</v>
      </c>
      <c r="AS176" s="355" t="s">
        <v>258</v>
      </c>
    </row>
    <row r="177" spans="1:52" ht="14.25" customHeight="1">
      <c r="A177" s="651">
        <v>11000</v>
      </c>
      <c r="B177" s="639" t="s">
        <v>958</v>
      </c>
      <c r="C177" s="391"/>
      <c r="D177" s="386"/>
      <c r="E177" s="372" t="s">
        <v>506</v>
      </c>
      <c r="F177" s="367" t="s">
        <v>894</v>
      </c>
      <c r="G177" s="373">
        <v>22</v>
      </c>
      <c r="H177" s="587">
        <v>2000000</v>
      </c>
      <c r="I177" s="600">
        <f t="shared" si="42"/>
        <v>242000</v>
      </c>
      <c r="J177" s="600">
        <f t="shared" si="43"/>
        <v>29040</v>
      </c>
      <c r="K177" s="604">
        <f t="shared" si="44"/>
        <v>63700</v>
      </c>
      <c r="L177" s="666">
        <f t="shared" si="45"/>
        <v>2334740</v>
      </c>
      <c r="M177" s="666"/>
      <c r="N177" s="683">
        <v>75000</v>
      </c>
      <c r="O177" s="688">
        <f t="shared" si="74"/>
        <v>71421</v>
      </c>
      <c r="P177" s="601">
        <f t="shared" si="75"/>
        <v>2481161</v>
      </c>
      <c r="Q177" s="669">
        <v>20000</v>
      </c>
      <c r="R177" s="669">
        <v>50000</v>
      </c>
      <c r="S177" s="600">
        <f t="shared" si="59"/>
        <v>186087.07499999998</v>
      </c>
      <c r="T177" s="600">
        <f t="shared" si="60"/>
        <v>62029.025000000001</v>
      </c>
      <c r="U177" s="600"/>
      <c r="V177" s="606">
        <f t="shared" si="49"/>
        <v>2729277.1</v>
      </c>
      <c r="W177" s="370">
        <f t="shared" si="76"/>
        <v>0.15</v>
      </c>
      <c r="X177" s="655">
        <f t="shared" si="50"/>
        <v>409391.565</v>
      </c>
      <c r="Y177" s="368">
        <f t="shared" si="51"/>
        <v>15000</v>
      </c>
      <c r="Z177" s="655">
        <f t="shared" si="52"/>
        <v>394391.565</v>
      </c>
      <c r="AA177" s="366">
        <f t="shared" si="53"/>
        <v>30</v>
      </c>
      <c r="AB177" s="655">
        <f t="shared" si="54"/>
        <v>13146.3855</v>
      </c>
      <c r="AC177" s="655">
        <f t="shared" si="55"/>
        <v>2319885.5350000001</v>
      </c>
      <c r="AD177" s="655">
        <f t="shared" si="71"/>
        <v>17986.047860431237</v>
      </c>
      <c r="AE177" s="655">
        <f t="shared" si="71"/>
        <v>20851.787020220745</v>
      </c>
      <c r="AF177" s="655">
        <f t="shared" si="71"/>
        <v>26935.838143013407</v>
      </c>
      <c r="AG177" s="655">
        <f t="shared" si="71"/>
        <v>45936.514069420002</v>
      </c>
      <c r="AR177" t="s">
        <v>258</v>
      </c>
      <c r="AS177" s="355" t="s">
        <v>258</v>
      </c>
    </row>
    <row r="178" spans="1:52" ht="14.25" customHeight="1">
      <c r="A178" s="651">
        <v>11000</v>
      </c>
      <c r="B178" s="639" t="s">
        <v>958</v>
      </c>
      <c r="C178" s="391"/>
      <c r="D178" s="386"/>
      <c r="E178" s="372" t="s">
        <v>508</v>
      </c>
      <c r="F178" s="367" t="s">
        <v>894</v>
      </c>
      <c r="G178" s="373">
        <v>22</v>
      </c>
      <c r="H178" s="587">
        <v>2000000</v>
      </c>
      <c r="I178" s="600">
        <f t="shared" si="42"/>
        <v>242000</v>
      </c>
      <c r="J178" s="600">
        <f t="shared" si="43"/>
        <v>29040</v>
      </c>
      <c r="K178" s="604">
        <f t="shared" si="44"/>
        <v>63700</v>
      </c>
      <c r="L178" s="666">
        <f t="shared" si="45"/>
        <v>2334740</v>
      </c>
      <c r="M178" s="666"/>
      <c r="N178" s="683">
        <v>75000</v>
      </c>
      <c r="O178" s="688">
        <f t="shared" si="74"/>
        <v>71421</v>
      </c>
      <c r="P178" s="601">
        <f t="shared" si="75"/>
        <v>2481161</v>
      </c>
      <c r="Q178" s="669">
        <v>20000</v>
      </c>
      <c r="R178" s="669">
        <v>50000</v>
      </c>
      <c r="S178" s="600">
        <f t="shared" si="59"/>
        <v>186087.07499999998</v>
      </c>
      <c r="T178" s="600">
        <f t="shared" si="60"/>
        <v>62029.025000000001</v>
      </c>
      <c r="U178" s="600"/>
      <c r="V178" s="606">
        <f t="shared" si="49"/>
        <v>2729277.1</v>
      </c>
      <c r="W178" s="370">
        <f t="shared" si="76"/>
        <v>0.15</v>
      </c>
      <c r="X178" s="655">
        <f t="shared" si="50"/>
        <v>409391.565</v>
      </c>
      <c r="Y178" s="368">
        <f t="shared" si="51"/>
        <v>15000</v>
      </c>
      <c r="Z178" s="655">
        <f t="shared" si="52"/>
        <v>394391.565</v>
      </c>
      <c r="AA178" s="366">
        <f t="shared" si="53"/>
        <v>30</v>
      </c>
      <c r="AB178" s="655">
        <f t="shared" si="54"/>
        <v>13146.3855</v>
      </c>
      <c r="AC178" s="655">
        <f t="shared" si="55"/>
        <v>2319885.5350000001</v>
      </c>
      <c r="AD178" s="655">
        <f t="shared" si="71"/>
        <v>17986.047860431237</v>
      </c>
      <c r="AE178" s="655">
        <f t="shared" si="71"/>
        <v>20851.787020220745</v>
      </c>
      <c r="AF178" s="655">
        <f t="shared" si="71"/>
        <v>26935.838143013407</v>
      </c>
      <c r="AG178" s="655">
        <f t="shared" si="71"/>
        <v>45936.514069420002</v>
      </c>
      <c r="AR178" t="s">
        <v>258</v>
      </c>
      <c r="AS178" s="355" t="s">
        <v>258</v>
      </c>
    </row>
    <row r="179" spans="1:52" ht="14.25" customHeight="1">
      <c r="A179" s="651">
        <v>11000</v>
      </c>
      <c r="B179" s="640" t="s">
        <v>958</v>
      </c>
      <c r="C179" s="391"/>
      <c r="D179" s="386"/>
      <c r="E179" s="372" t="s">
        <v>510</v>
      </c>
      <c r="F179" s="367" t="s">
        <v>894</v>
      </c>
      <c r="G179" s="373">
        <v>22</v>
      </c>
      <c r="H179" s="587">
        <v>2000000</v>
      </c>
      <c r="I179" s="600">
        <f t="shared" si="42"/>
        <v>242000</v>
      </c>
      <c r="J179" s="600">
        <f t="shared" si="43"/>
        <v>29040</v>
      </c>
      <c r="K179" s="604">
        <f t="shared" si="44"/>
        <v>63700</v>
      </c>
      <c r="L179" s="666">
        <f t="shared" si="45"/>
        <v>2334740</v>
      </c>
      <c r="M179" s="666"/>
      <c r="N179" s="683">
        <v>75000</v>
      </c>
      <c r="O179" s="688">
        <f t="shared" si="74"/>
        <v>71421</v>
      </c>
      <c r="P179" s="601">
        <f t="shared" si="75"/>
        <v>2481161</v>
      </c>
      <c r="Q179" s="669">
        <v>20000</v>
      </c>
      <c r="R179" s="669">
        <v>50000</v>
      </c>
      <c r="S179" s="600">
        <f t="shared" si="59"/>
        <v>186087.07499999998</v>
      </c>
      <c r="T179" s="600">
        <f t="shared" si="60"/>
        <v>62029.025000000001</v>
      </c>
      <c r="U179" s="600"/>
      <c r="V179" s="606">
        <f t="shared" si="49"/>
        <v>2729277.1</v>
      </c>
      <c r="W179" s="370">
        <f t="shared" si="76"/>
        <v>0.15</v>
      </c>
      <c r="X179" s="655">
        <f t="shared" si="50"/>
        <v>409391.565</v>
      </c>
      <c r="Y179" s="368">
        <f t="shared" si="51"/>
        <v>15000</v>
      </c>
      <c r="Z179" s="655">
        <f t="shared" si="52"/>
        <v>394391.565</v>
      </c>
      <c r="AA179" s="366">
        <f t="shared" si="53"/>
        <v>30</v>
      </c>
      <c r="AB179" s="655">
        <f t="shared" si="54"/>
        <v>13146.3855</v>
      </c>
      <c r="AC179" s="655">
        <f t="shared" si="55"/>
        <v>2319885.5350000001</v>
      </c>
      <c r="AD179" s="655">
        <f t="shared" si="71"/>
        <v>17986.047860431237</v>
      </c>
      <c r="AE179" s="655">
        <f t="shared" si="71"/>
        <v>20851.787020220745</v>
      </c>
      <c r="AF179" s="655">
        <f t="shared" si="71"/>
        <v>26935.838143013407</v>
      </c>
      <c r="AG179" s="655">
        <f t="shared" si="71"/>
        <v>45936.514069420002</v>
      </c>
      <c r="AR179" t="s">
        <v>258</v>
      </c>
      <c r="AS179" s="355" t="s">
        <v>258</v>
      </c>
    </row>
    <row r="180" spans="1:52" s="615" customFormat="1" ht="14.25" customHeight="1">
      <c r="A180" s="652">
        <v>17000</v>
      </c>
      <c r="B180" s="645" t="s">
        <v>963</v>
      </c>
      <c r="C180" s="608"/>
      <c r="D180" s="609"/>
      <c r="E180" s="610" t="s">
        <v>964</v>
      </c>
      <c r="F180" s="611" t="s">
        <v>956</v>
      </c>
      <c r="G180" s="612">
        <v>44</v>
      </c>
      <c r="H180" s="613">
        <v>4748000</v>
      </c>
      <c r="I180" s="603"/>
      <c r="J180" s="603"/>
      <c r="K180" s="604">
        <f t="shared" si="44"/>
        <v>63700</v>
      </c>
      <c r="L180" s="666">
        <f t="shared" si="45"/>
        <v>4811700</v>
      </c>
      <c r="M180" s="666">
        <f>H180*5%</f>
        <v>237400</v>
      </c>
      <c r="N180" s="683"/>
      <c r="O180" s="683"/>
      <c r="P180" s="693"/>
      <c r="Q180" s="694">
        <v>20000</v>
      </c>
      <c r="R180" s="694">
        <v>50000</v>
      </c>
      <c r="S180" s="603">
        <f>+P180*$S$5</f>
        <v>0</v>
      </c>
      <c r="T180" s="603">
        <f t="shared" si="60"/>
        <v>0</v>
      </c>
      <c r="U180" s="603">
        <f>+P180*0.12</f>
        <v>0</v>
      </c>
      <c r="V180" s="695">
        <f>P180+S180+T180+U180</f>
        <v>0</v>
      </c>
      <c r="W180" s="626">
        <f>W$296</f>
        <v>0.15</v>
      </c>
      <c r="X180" s="656">
        <f t="shared" si="50"/>
        <v>0</v>
      </c>
      <c r="Y180" s="614">
        <f t="shared" si="51"/>
        <v>15000</v>
      </c>
      <c r="Z180" s="656">
        <f t="shared" si="52"/>
        <v>-15000</v>
      </c>
      <c r="AA180" s="620">
        <f t="shared" si="53"/>
        <v>30</v>
      </c>
      <c r="AB180" s="656">
        <f t="shared" si="54"/>
        <v>-500</v>
      </c>
      <c r="AC180" s="656">
        <f t="shared" si="55"/>
        <v>0</v>
      </c>
      <c r="AD180" s="656">
        <f t="shared" si="71"/>
        <v>0</v>
      </c>
      <c r="AE180" s="656">
        <f t="shared" si="71"/>
        <v>0</v>
      </c>
      <c r="AF180" s="656">
        <f t="shared" si="71"/>
        <v>0</v>
      </c>
      <c r="AG180" s="656">
        <f t="shared" si="71"/>
        <v>0</v>
      </c>
      <c r="AJ180"/>
      <c r="AK180"/>
      <c r="AL180"/>
      <c r="AM180"/>
      <c r="AN180"/>
      <c r="AO180"/>
      <c r="AQ180"/>
      <c r="AR180"/>
      <c r="AS180" s="616" t="s">
        <v>957</v>
      </c>
      <c r="AT180"/>
      <c r="AU180"/>
      <c r="AV180"/>
      <c r="AW180"/>
      <c r="AX180"/>
      <c r="AY180"/>
      <c r="AZ180"/>
    </row>
    <row r="181" spans="1:52" ht="14.25" customHeight="1">
      <c r="A181" s="651">
        <v>15000</v>
      </c>
      <c r="B181" s="638" t="s">
        <v>963</v>
      </c>
      <c r="C181" s="391"/>
      <c r="D181" s="386"/>
      <c r="E181" s="372" t="s">
        <v>513</v>
      </c>
      <c r="F181" s="367" t="s">
        <v>894</v>
      </c>
      <c r="G181" s="373">
        <v>22</v>
      </c>
      <c r="H181" s="587">
        <v>2000000</v>
      </c>
      <c r="I181" s="600">
        <f t="shared" si="42"/>
        <v>330000</v>
      </c>
      <c r="J181" s="600">
        <f t="shared" si="43"/>
        <v>39600</v>
      </c>
      <c r="K181" s="604">
        <f t="shared" si="44"/>
        <v>63700</v>
      </c>
      <c r="L181" s="666">
        <f t="shared" si="45"/>
        <v>2433300</v>
      </c>
      <c r="M181" s="666"/>
      <c r="N181" s="683">
        <v>75000</v>
      </c>
      <c r="O181" s="688">
        <f t="shared" ref="O181:O192" si="77">(H181+I181+K181+N181)*3%</f>
        <v>74061</v>
      </c>
      <c r="P181" s="601">
        <f t="shared" ref="P181:P192" si="78">SUM(L181+N181+O181)</f>
        <v>2582361</v>
      </c>
      <c r="Q181" s="669">
        <v>20000</v>
      </c>
      <c r="R181" s="669">
        <v>50000</v>
      </c>
      <c r="S181" s="600">
        <f t="shared" si="59"/>
        <v>193677.07499999998</v>
      </c>
      <c r="T181" s="600">
        <f t="shared" si="60"/>
        <v>64559.025000000001</v>
      </c>
      <c r="U181" s="600"/>
      <c r="V181" s="606">
        <f t="shared" si="49"/>
        <v>2840597.1</v>
      </c>
      <c r="W181" s="370">
        <f t="shared" ref="W181:W192" si="79">W$297</f>
        <v>0.15</v>
      </c>
      <c r="X181" s="655">
        <f t="shared" si="50"/>
        <v>426089.565</v>
      </c>
      <c r="Y181" s="368">
        <f t="shared" si="51"/>
        <v>15000</v>
      </c>
      <c r="Z181" s="655">
        <f t="shared" si="52"/>
        <v>411089.565</v>
      </c>
      <c r="AA181" s="366">
        <f t="shared" si="53"/>
        <v>30</v>
      </c>
      <c r="AB181" s="655">
        <f t="shared" si="54"/>
        <v>13702.985500000001</v>
      </c>
      <c r="AC181" s="655">
        <f t="shared" si="55"/>
        <v>2414507.5350000001</v>
      </c>
      <c r="AD181" s="655">
        <f t="shared" si="71"/>
        <v>18719.651219292529</v>
      </c>
      <c r="AE181" s="655">
        <f t="shared" si="71"/>
        <v>21702.276305860145</v>
      </c>
      <c r="AF181" s="655">
        <f t="shared" si="71"/>
        <v>28034.479795075873</v>
      </c>
      <c r="AG181" s="655">
        <f t="shared" si="71"/>
        <v>47810.143077704954</v>
      </c>
      <c r="AR181" t="str">
        <f>VLOOKUP(E$6:E$287,'[7]Sales Report'!$B$7:$C$288,2,FALSE)</f>
        <v>SOLD</v>
      </c>
      <c r="AS181" s="355" t="s">
        <v>236</v>
      </c>
    </row>
    <row r="182" spans="1:52" ht="14.25" customHeight="1">
      <c r="A182" s="651">
        <v>15000</v>
      </c>
      <c r="B182" s="640" t="s">
        <v>963</v>
      </c>
      <c r="C182" s="391"/>
      <c r="D182" s="386"/>
      <c r="E182" s="372" t="s">
        <v>516</v>
      </c>
      <c r="F182" s="367" t="s">
        <v>894</v>
      </c>
      <c r="G182" s="373">
        <v>22</v>
      </c>
      <c r="H182" s="587">
        <v>2000000</v>
      </c>
      <c r="I182" s="600">
        <f t="shared" si="42"/>
        <v>330000</v>
      </c>
      <c r="J182" s="600">
        <f t="shared" si="43"/>
        <v>39600</v>
      </c>
      <c r="K182" s="604">
        <f t="shared" si="44"/>
        <v>63700</v>
      </c>
      <c r="L182" s="666">
        <f t="shared" si="45"/>
        <v>2433300</v>
      </c>
      <c r="M182" s="666"/>
      <c r="N182" s="683">
        <v>75000</v>
      </c>
      <c r="O182" s="688">
        <f t="shared" si="77"/>
        <v>74061</v>
      </c>
      <c r="P182" s="601">
        <f t="shared" si="78"/>
        <v>2582361</v>
      </c>
      <c r="Q182" s="669">
        <v>20000</v>
      </c>
      <c r="R182" s="669">
        <v>50000</v>
      </c>
      <c r="S182" s="600">
        <f t="shared" si="59"/>
        <v>193677.07499999998</v>
      </c>
      <c r="T182" s="600">
        <f t="shared" si="60"/>
        <v>64559.025000000001</v>
      </c>
      <c r="U182" s="600"/>
      <c r="V182" s="606">
        <f t="shared" si="49"/>
        <v>2840597.1</v>
      </c>
      <c r="W182" s="370">
        <f t="shared" si="79"/>
        <v>0.15</v>
      </c>
      <c r="X182" s="655">
        <f t="shared" si="50"/>
        <v>426089.565</v>
      </c>
      <c r="Y182" s="368">
        <f t="shared" si="51"/>
        <v>15000</v>
      </c>
      <c r="Z182" s="655">
        <f t="shared" si="52"/>
        <v>411089.565</v>
      </c>
      <c r="AA182" s="366">
        <f t="shared" si="53"/>
        <v>30</v>
      </c>
      <c r="AB182" s="655">
        <f t="shared" si="54"/>
        <v>13702.985500000001</v>
      </c>
      <c r="AC182" s="655">
        <f t="shared" si="55"/>
        <v>2414507.5350000001</v>
      </c>
      <c r="AD182" s="655">
        <f t="shared" si="71"/>
        <v>18719.651219292529</v>
      </c>
      <c r="AE182" s="655">
        <f t="shared" si="71"/>
        <v>21702.276305860145</v>
      </c>
      <c r="AF182" s="655">
        <f t="shared" si="71"/>
        <v>28034.479795075873</v>
      </c>
      <c r="AG182" s="655">
        <f t="shared" si="71"/>
        <v>47810.143077704954</v>
      </c>
      <c r="AR182" t="str">
        <f>VLOOKUP(E$6:E$287,'[7]Sales Report'!$B$7:$C$288,2,FALSE)</f>
        <v>SOLD</v>
      </c>
      <c r="AS182" s="355" t="s">
        <v>236</v>
      </c>
    </row>
    <row r="183" spans="1:52" ht="14.25" customHeight="1">
      <c r="A183" s="651">
        <v>15000</v>
      </c>
      <c r="B183" s="641" t="s">
        <v>963</v>
      </c>
      <c r="C183" s="391"/>
      <c r="D183" s="386"/>
      <c r="E183" s="372" t="s">
        <v>518</v>
      </c>
      <c r="F183" s="367" t="s">
        <v>894</v>
      </c>
      <c r="G183" s="373">
        <v>22</v>
      </c>
      <c r="H183" s="587">
        <v>2000000</v>
      </c>
      <c r="I183" s="600">
        <f t="shared" si="42"/>
        <v>330000</v>
      </c>
      <c r="J183" s="600">
        <f t="shared" si="43"/>
        <v>39600</v>
      </c>
      <c r="K183" s="604">
        <f t="shared" si="44"/>
        <v>63700</v>
      </c>
      <c r="L183" s="666">
        <f t="shared" si="45"/>
        <v>2433300</v>
      </c>
      <c r="M183" s="666"/>
      <c r="N183" s="683">
        <v>75000</v>
      </c>
      <c r="O183" s="688">
        <f t="shared" si="77"/>
        <v>74061</v>
      </c>
      <c r="P183" s="601">
        <f t="shared" si="78"/>
        <v>2582361</v>
      </c>
      <c r="Q183" s="669">
        <v>20000</v>
      </c>
      <c r="R183" s="669">
        <v>50000</v>
      </c>
      <c r="S183" s="600">
        <f t="shared" si="59"/>
        <v>193677.07499999998</v>
      </c>
      <c r="T183" s="600">
        <f t="shared" si="60"/>
        <v>64559.025000000001</v>
      </c>
      <c r="U183" s="600"/>
      <c r="V183" s="606">
        <f t="shared" si="49"/>
        <v>2840597.1</v>
      </c>
      <c r="W183" s="370">
        <f t="shared" si="79"/>
        <v>0.15</v>
      </c>
      <c r="X183" s="655">
        <f t="shared" si="50"/>
        <v>426089.565</v>
      </c>
      <c r="Y183" s="368">
        <f t="shared" si="51"/>
        <v>15000</v>
      </c>
      <c r="Z183" s="655">
        <f t="shared" si="52"/>
        <v>411089.565</v>
      </c>
      <c r="AA183" s="366">
        <f t="shared" si="53"/>
        <v>30</v>
      </c>
      <c r="AB183" s="655">
        <f t="shared" si="54"/>
        <v>13702.985500000001</v>
      </c>
      <c r="AC183" s="655">
        <f t="shared" si="55"/>
        <v>2414507.5350000001</v>
      </c>
      <c r="AD183" s="655">
        <f t="shared" si="71"/>
        <v>18719.651219292529</v>
      </c>
      <c r="AE183" s="655">
        <f t="shared" si="71"/>
        <v>21702.276305860145</v>
      </c>
      <c r="AF183" s="655">
        <f t="shared" si="71"/>
        <v>28034.479795075873</v>
      </c>
      <c r="AG183" s="655">
        <f t="shared" si="71"/>
        <v>47810.143077704954</v>
      </c>
      <c r="AR183" t="str">
        <f>VLOOKUP(E$6:E$287,'[7]Sales Report'!$B$7:$C$288,2,FALSE)</f>
        <v>SOLD</v>
      </c>
      <c r="AS183" s="355" t="s">
        <v>236</v>
      </c>
    </row>
    <row r="184" spans="1:52" ht="14.25" customHeight="1">
      <c r="A184" s="651">
        <v>15000</v>
      </c>
      <c r="B184" s="638" t="s">
        <v>963</v>
      </c>
      <c r="C184" s="391"/>
      <c r="D184" s="386"/>
      <c r="E184" s="372" t="s">
        <v>520</v>
      </c>
      <c r="F184" s="367" t="s">
        <v>894</v>
      </c>
      <c r="G184" s="373">
        <v>22</v>
      </c>
      <c r="H184" s="587">
        <v>2000000</v>
      </c>
      <c r="I184" s="600">
        <f t="shared" si="42"/>
        <v>330000</v>
      </c>
      <c r="J184" s="600">
        <f t="shared" si="43"/>
        <v>39600</v>
      </c>
      <c r="K184" s="604">
        <f t="shared" si="44"/>
        <v>63700</v>
      </c>
      <c r="L184" s="666">
        <f t="shared" si="45"/>
        <v>2433300</v>
      </c>
      <c r="M184" s="666"/>
      <c r="N184" s="683">
        <v>75000</v>
      </c>
      <c r="O184" s="688">
        <f t="shared" si="77"/>
        <v>74061</v>
      </c>
      <c r="P184" s="601">
        <f>SUM(L184+N184+O184)</f>
        <v>2582361</v>
      </c>
      <c r="Q184" s="669">
        <v>20000</v>
      </c>
      <c r="R184" s="669">
        <v>50000</v>
      </c>
      <c r="S184" s="600">
        <f>+P184*$S$5</f>
        <v>193677.07499999998</v>
      </c>
      <c r="T184" s="600">
        <f>+P184*$T$5</f>
        <v>64559.025000000001</v>
      </c>
      <c r="U184" s="600"/>
      <c r="V184" s="606">
        <f t="shared" si="49"/>
        <v>2840597.1</v>
      </c>
      <c r="W184" s="370">
        <f t="shared" si="79"/>
        <v>0.15</v>
      </c>
      <c r="X184" s="655">
        <f t="shared" si="50"/>
        <v>426089.565</v>
      </c>
      <c r="Y184" s="368">
        <f t="shared" si="51"/>
        <v>15000</v>
      </c>
      <c r="Z184" s="655">
        <f t="shared" si="52"/>
        <v>411089.565</v>
      </c>
      <c r="AA184" s="366">
        <f t="shared" si="53"/>
        <v>30</v>
      </c>
      <c r="AB184" s="655">
        <f t="shared" si="54"/>
        <v>13702.985500000001</v>
      </c>
      <c r="AC184" s="655">
        <f t="shared" si="55"/>
        <v>2414507.5350000001</v>
      </c>
      <c r="AD184" s="655">
        <f t="shared" si="71"/>
        <v>18719.651219292529</v>
      </c>
      <c r="AE184" s="655">
        <f t="shared" si="71"/>
        <v>21702.276305860145</v>
      </c>
      <c r="AF184" s="655">
        <f t="shared" si="71"/>
        <v>28034.479795075873</v>
      </c>
      <c r="AG184" s="655">
        <f t="shared" si="71"/>
        <v>47810.143077704954</v>
      </c>
      <c r="AR184" t="s">
        <v>258</v>
      </c>
      <c r="AS184" s="355" t="s">
        <v>258</v>
      </c>
    </row>
    <row r="185" spans="1:52" ht="14.25" customHeight="1">
      <c r="A185" s="651">
        <v>15000</v>
      </c>
      <c r="B185" s="640" t="s">
        <v>963</v>
      </c>
      <c r="C185" s="416"/>
      <c r="D185" s="417"/>
      <c r="E185" s="377" t="s">
        <v>521</v>
      </c>
      <c r="F185" s="367" t="s">
        <v>894</v>
      </c>
      <c r="G185" s="378">
        <v>22</v>
      </c>
      <c r="H185" s="587">
        <v>2000000</v>
      </c>
      <c r="I185" s="600">
        <f t="shared" si="42"/>
        <v>330000</v>
      </c>
      <c r="J185" s="600">
        <f t="shared" si="43"/>
        <v>39600</v>
      </c>
      <c r="K185" s="604">
        <f t="shared" si="44"/>
        <v>63700</v>
      </c>
      <c r="L185" s="666">
        <f t="shared" si="45"/>
        <v>2433300</v>
      </c>
      <c r="M185" s="666"/>
      <c r="N185" s="683">
        <v>75000</v>
      </c>
      <c r="O185" s="688">
        <f t="shared" si="77"/>
        <v>74061</v>
      </c>
      <c r="P185" s="601">
        <f t="shared" si="78"/>
        <v>2582361</v>
      </c>
      <c r="Q185" s="669">
        <v>20000</v>
      </c>
      <c r="R185" s="669">
        <v>50000</v>
      </c>
      <c r="S185" s="600">
        <f t="shared" si="59"/>
        <v>193677.07499999998</v>
      </c>
      <c r="T185" s="600">
        <f t="shared" si="60"/>
        <v>64559.025000000001</v>
      </c>
      <c r="U185" s="600"/>
      <c r="V185" s="606">
        <f t="shared" si="49"/>
        <v>2840597.1</v>
      </c>
      <c r="W185" s="370">
        <f t="shared" si="79"/>
        <v>0.15</v>
      </c>
      <c r="X185" s="655">
        <f t="shared" si="50"/>
        <v>426089.565</v>
      </c>
      <c r="Y185" s="368">
        <f t="shared" si="51"/>
        <v>15000</v>
      </c>
      <c r="Z185" s="655">
        <f t="shared" si="52"/>
        <v>411089.565</v>
      </c>
      <c r="AA185" s="366">
        <f t="shared" si="53"/>
        <v>30</v>
      </c>
      <c r="AB185" s="655">
        <f t="shared" si="54"/>
        <v>13702.985500000001</v>
      </c>
      <c r="AC185" s="655">
        <f t="shared" si="55"/>
        <v>2414507.5350000001</v>
      </c>
      <c r="AD185" s="655">
        <f t="shared" si="71"/>
        <v>18719.651219292529</v>
      </c>
      <c r="AE185" s="655">
        <f t="shared" si="71"/>
        <v>21702.276305860145</v>
      </c>
      <c r="AF185" s="655">
        <f t="shared" si="71"/>
        <v>28034.479795075873</v>
      </c>
      <c r="AG185" s="655">
        <f t="shared" si="71"/>
        <v>47810.143077704954</v>
      </c>
      <c r="AR185" t="s">
        <v>258</v>
      </c>
      <c r="AS185" s="355" t="s">
        <v>258</v>
      </c>
    </row>
    <row r="186" spans="1:52" ht="14.25" customHeight="1">
      <c r="A186" s="651">
        <v>15000</v>
      </c>
      <c r="B186" s="641" t="s">
        <v>963</v>
      </c>
      <c r="C186" s="391"/>
      <c r="D186" s="367"/>
      <c r="E186" s="367" t="s">
        <v>523</v>
      </c>
      <c r="F186" s="367" t="s">
        <v>894</v>
      </c>
      <c r="G186" s="354">
        <v>22</v>
      </c>
      <c r="H186" s="587">
        <v>2000000</v>
      </c>
      <c r="I186" s="600">
        <f t="shared" si="42"/>
        <v>330000</v>
      </c>
      <c r="J186" s="600">
        <f t="shared" si="43"/>
        <v>39600</v>
      </c>
      <c r="K186" s="604">
        <f t="shared" si="44"/>
        <v>63700</v>
      </c>
      <c r="L186" s="666">
        <f t="shared" si="45"/>
        <v>2433300</v>
      </c>
      <c r="M186" s="666"/>
      <c r="N186" s="683">
        <v>75000</v>
      </c>
      <c r="O186" s="688">
        <f t="shared" si="77"/>
        <v>74061</v>
      </c>
      <c r="P186" s="601">
        <f t="shared" si="78"/>
        <v>2582361</v>
      </c>
      <c r="Q186" s="669">
        <v>20000</v>
      </c>
      <c r="R186" s="669">
        <v>50000</v>
      </c>
      <c r="S186" s="600">
        <f t="shared" si="59"/>
        <v>193677.07499999998</v>
      </c>
      <c r="T186" s="600">
        <f t="shared" si="60"/>
        <v>64559.025000000001</v>
      </c>
      <c r="U186" s="600"/>
      <c r="V186" s="606">
        <f t="shared" si="49"/>
        <v>2840597.1</v>
      </c>
      <c r="W186" s="370">
        <f t="shared" si="79"/>
        <v>0.15</v>
      </c>
      <c r="X186" s="655">
        <f t="shared" si="50"/>
        <v>426089.565</v>
      </c>
      <c r="Y186" s="368">
        <f t="shared" si="51"/>
        <v>15000</v>
      </c>
      <c r="Z186" s="655">
        <f t="shared" si="52"/>
        <v>411089.565</v>
      </c>
      <c r="AA186" s="366">
        <f t="shared" si="53"/>
        <v>30</v>
      </c>
      <c r="AB186" s="655">
        <f t="shared" si="54"/>
        <v>13702.985500000001</v>
      </c>
      <c r="AC186" s="655">
        <f t="shared" si="55"/>
        <v>2414507.5350000001</v>
      </c>
      <c r="AD186" s="655">
        <f t="shared" si="71"/>
        <v>18719.651219292529</v>
      </c>
      <c r="AE186" s="655">
        <f t="shared" si="71"/>
        <v>21702.276305860145</v>
      </c>
      <c r="AF186" s="655">
        <f t="shared" si="71"/>
        <v>28034.479795075873</v>
      </c>
      <c r="AG186" s="655">
        <f t="shared" si="71"/>
        <v>47810.143077704954</v>
      </c>
      <c r="AR186" t="s">
        <v>258</v>
      </c>
      <c r="AS186" s="355" t="s">
        <v>258</v>
      </c>
    </row>
    <row r="187" spans="1:52" ht="14.25" customHeight="1">
      <c r="A187" s="651">
        <v>15000</v>
      </c>
      <c r="B187" s="642" t="s">
        <v>963</v>
      </c>
      <c r="C187" s="391"/>
      <c r="D187" s="367"/>
      <c r="E187" s="367" t="s">
        <v>525</v>
      </c>
      <c r="F187" s="367" t="s">
        <v>894</v>
      </c>
      <c r="G187" s="354">
        <v>22</v>
      </c>
      <c r="H187" s="587">
        <v>2000000</v>
      </c>
      <c r="I187" s="600">
        <f t="shared" si="42"/>
        <v>330000</v>
      </c>
      <c r="J187" s="600">
        <f t="shared" si="43"/>
        <v>39600</v>
      </c>
      <c r="K187" s="604">
        <f t="shared" si="44"/>
        <v>63700</v>
      </c>
      <c r="L187" s="666">
        <f t="shared" si="45"/>
        <v>2433300</v>
      </c>
      <c r="M187" s="666"/>
      <c r="N187" s="683">
        <v>75000</v>
      </c>
      <c r="O187" s="688">
        <f t="shared" si="77"/>
        <v>74061</v>
      </c>
      <c r="P187" s="601">
        <f t="shared" si="78"/>
        <v>2582361</v>
      </c>
      <c r="Q187" s="669">
        <v>20000</v>
      </c>
      <c r="R187" s="669">
        <v>50000</v>
      </c>
      <c r="S187" s="600">
        <f t="shared" si="59"/>
        <v>193677.07499999998</v>
      </c>
      <c r="T187" s="600">
        <f t="shared" si="60"/>
        <v>64559.025000000001</v>
      </c>
      <c r="U187" s="600"/>
      <c r="V187" s="606">
        <f t="shared" si="49"/>
        <v>2840597.1</v>
      </c>
      <c r="W187" s="370">
        <f t="shared" si="79"/>
        <v>0.15</v>
      </c>
      <c r="X187" s="655">
        <f t="shared" si="50"/>
        <v>426089.565</v>
      </c>
      <c r="Y187" s="368">
        <f t="shared" si="51"/>
        <v>15000</v>
      </c>
      <c r="Z187" s="655">
        <f t="shared" si="52"/>
        <v>411089.565</v>
      </c>
      <c r="AA187" s="366">
        <f t="shared" si="53"/>
        <v>30</v>
      </c>
      <c r="AB187" s="655">
        <f t="shared" si="54"/>
        <v>13702.985500000001</v>
      </c>
      <c r="AC187" s="655">
        <f t="shared" si="55"/>
        <v>2414507.5350000001</v>
      </c>
      <c r="AD187" s="655">
        <f t="shared" si="71"/>
        <v>18719.651219292529</v>
      </c>
      <c r="AE187" s="655">
        <f t="shared" si="71"/>
        <v>21702.276305860145</v>
      </c>
      <c r="AF187" s="655">
        <f t="shared" si="71"/>
        <v>28034.479795075873</v>
      </c>
      <c r="AG187" s="655">
        <f t="shared" si="71"/>
        <v>47810.143077704954</v>
      </c>
      <c r="AR187" t="s">
        <v>258</v>
      </c>
      <c r="AS187" s="355" t="s">
        <v>258</v>
      </c>
    </row>
    <row r="188" spans="1:52" ht="14.25" customHeight="1">
      <c r="A188" s="651">
        <v>13000</v>
      </c>
      <c r="B188" s="641" t="s">
        <v>963</v>
      </c>
      <c r="C188" s="391"/>
      <c r="D188" s="367"/>
      <c r="E188" s="367" t="s">
        <v>526</v>
      </c>
      <c r="F188" s="367" t="s">
        <v>894</v>
      </c>
      <c r="G188" s="354">
        <v>22</v>
      </c>
      <c r="H188" s="587">
        <v>2000000</v>
      </c>
      <c r="I188" s="600">
        <f t="shared" si="42"/>
        <v>286000</v>
      </c>
      <c r="J188" s="600">
        <f t="shared" si="43"/>
        <v>34320</v>
      </c>
      <c r="K188" s="604">
        <f t="shared" si="44"/>
        <v>63700</v>
      </c>
      <c r="L188" s="666">
        <f t="shared" si="45"/>
        <v>2384020</v>
      </c>
      <c r="M188" s="666"/>
      <c r="N188" s="683">
        <v>75000</v>
      </c>
      <c r="O188" s="688">
        <f t="shared" si="77"/>
        <v>72741</v>
      </c>
      <c r="P188" s="601">
        <f t="shared" si="78"/>
        <v>2531761</v>
      </c>
      <c r="Q188" s="669">
        <v>20000</v>
      </c>
      <c r="R188" s="669">
        <v>50000</v>
      </c>
      <c r="S188" s="600">
        <f t="shared" si="59"/>
        <v>189882.07499999998</v>
      </c>
      <c r="T188" s="600">
        <f t="shared" si="60"/>
        <v>63294.025000000001</v>
      </c>
      <c r="U188" s="600"/>
      <c r="V188" s="606">
        <f t="shared" si="49"/>
        <v>2784937.1</v>
      </c>
      <c r="W188" s="370">
        <f t="shared" si="79"/>
        <v>0.15</v>
      </c>
      <c r="X188" s="655">
        <f t="shared" si="50"/>
        <v>417740.565</v>
      </c>
      <c r="Y188" s="368">
        <f t="shared" si="51"/>
        <v>15000</v>
      </c>
      <c r="Z188" s="655">
        <f t="shared" si="52"/>
        <v>402740.565</v>
      </c>
      <c r="AA188" s="366">
        <f t="shared" si="53"/>
        <v>30</v>
      </c>
      <c r="AB188" s="655">
        <f t="shared" si="54"/>
        <v>13424.6855</v>
      </c>
      <c r="AC188" s="655">
        <f t="shared" si="55"/>
        <v>2367196.5350000001</v>
      </c>
      <c r="AD188" s="655">
        <f t="shared" si="71"/>
        <v>18352.849539861883</v>
      </c>
      <c r="AE188" s="655">
        <f t="shared" si="71"/>
        <v>21277.031663040445</v>
      </c>
      <c r="AF188" s="655">
        <f t="shared" si="71"/>
        <v>27485.158969044642</v>
      </c>
      <c r="AG188" s="655">
        <f t="shared" si="71"/>
        <v>46873.328573562481</v>
      </c>
      <c r="AR188" t="str">
        <f>VLOOKUP(E$6:E$287,'[7]Sales Report'!$B$7:$C$288,2,FALSE)</f>
        <v>SOLD</v>
      </c>
      <c r="AS188" s="355" t="s">
        <v>236</v>
      </c>
    </row>
    <row r="189" spans="1:52" ht="14.25" customHeight="1">
      <c r="A189" s="651">
        <v>13000</v>
      </c>
      <c r="B189" s="643" t="s">
        <v>963</v>
      </c>
      <c r="C189" s="391"/>
      <c r="D189" s="367"/>
      <c r="E189" s="367" t="s">
        <v>528</v>
      </c>
      <c r="F189" s="367" t="s">
        <v>894</v>
      </c>
      <c r="G189" s="354">
        <v>22</v>
      </c>
      <c r="H189" s="587">
        <v>2000000</v>
      </c>
      <c r="I189" s="600">
        <f t="shared" si="42"/>
        <v>286000</v>
      </c>
      <c r="J189" s="600">
        <f t="shared" si="43"/>
        <v>34320</v>
      </c>
      <c r="K189" s="604">
        <f t="shared" si="44"/>
        <v>63700</v>
      </c>
      <c r="L189" s="666">
        <f t="shared" si="45"/>
        <v>2384020</v>
      </c>
      <c r="M189" s="666"/>
      <c r="N189" s="683">
        <v>75000</v>
      </c>
      <c r="O189" s="688">
        <f t="shared" si="77"/>
        <v>72741</v>
      </c>
      <c r="P189" s="601">
        <f>SUM(L189+N189+O189)</f>
        <v>2531761</v>
      </c>
      <c r="Q189" s="669">
        <v>20000</v>
      </c>
      <c r="R189" s="669">
        <v>50000</v>
      </c>
      <c r="S189" s="600">
        <f>+P189*$S$5</f>
        <v>189882.07499999998</v>
      </c>
      <c r="T189" s="600">
        <f>+P189*$T$5</f>
        <v>63294.025000000001</v>
      </c>
      <c r="U189" s="600"/>
      <c r="V189" s="606">
        <f t="shared" si="49"/>
        <v>2784937.1</v>
      </c>
      <c r="W189" s="370">
        <f t="shared" si="79"/>
        <v>0.15</v>
      </c>
      <c r="X189" s="655">
        <f t="shared" si="50"/>
        <v>417740.565</v>
      </c>
      <c r="Y189" s="368">
        <f t="shared" si="51"/>
        <v>15000</v>
      </c>
      <c r="Z189" s="655">
        <f t="shared" si="52"/>
        <v>402740.565</v>
      </c>
      <c r="AA189" s="366">
        <f t="shared" si="53"/>
        <v>30</v>
      </c>
      <c r="AB189" s="655">
        <f t="shared" si="54"/>
        <v>13424.6855</v>
      </c>
      <c r="AC189" s="655">
        <f t="shared" si="55"/>
        <v>2367196.5350000001</v>
      </c>
      <c r="AD189" s="655">
        <f t="shared" si="71"/>
        <v>18352.849539861883</v>
      </c>
      <c r="AE189" s="655">
        <f t="shared" si="71"/>
        <v>21277.031663040445</v>
      </c>
      <c r="AF189" s="655">
        <f t="shared" si="71"/>
        <v>27485.158969044642</v>
      </c>
      <c r="AG189" s="655">
        <f t="shared" si="71"/>
        <v>46873.328573562481</v>
      </c>
      <c r="AR189" t="s">
        <v>258</v>
      </c>
      <c r="AS189" s="355" t="s">
        <v>258</v>
      </c>
    </row>
    <row r="190" spans="1:52" ht="14.25" customHeight="1">
      <c r="A190" s="651">
        <v>13000</v>
      </c>
      <c r="B190" s="641" t="s">
        <v>963</v>
      </c>
      <c r="C190" s="391"/>
      <c r="D190" s="367"/>
      <c r="E190" s="367" t="s">
        <v>530</v>
      </c>
      <c r="F190" s="367" t="s">
        <v>894</v>
      </c>
      <c r="G190" s="354">
        <v>22</v>
      </c>
      <c r="H190" s="587">
        <v>2000000</v>
      </c>
      <c r="I190" s="600">
        <f t="shared" si="42"/>
        <v>286000</v>
      </c>
      <c r="J190" s="600">
        <f t="shared" si="43"/>
        <v>34320</v>
      </c>
      <c r="K190" s="604">
        <f t="shared" si="44"/>
        <v>63700</v>
      </c>
      <c r="L190" s="666">
        <f t="shared" si="45"/>
        <v>2384020</v>
      </c>
      <c r="M190" s="666"/>
      <c r="N190" s="683">
        <v>75000</v>
      </c>
      <c r="O190" s="688">
        <f t="shared" si="77"/>
        <v>72741</v>
      </c>
      <c r="P190" s="601">
        <f t="shared" si="78"/>
        <v>2531761</v>
      </c>
      <c r="Q190" s="669">
        <v>20000</v>
      </c>
      <c r="R190" s="669">
        <v>50000</v>
      </c>
      <c r="S190" s="600">
        <f t="shared" si="59"/>
        <v>189882.07499999998</v>
      </c>
      <c r="T190" s="600">
        <f t="shared" si="60"/>
        <v>63294.025000000001</v>
      </c>
      <c r="U190" s="600"/>
      <c r="V190" s="606">
        <f t="shared" si="49"/>
        <v>2784937.1</v>
      </c>
      <c r="W190" s="370">
        <f t="shared" si="79"/>
        <v>0.15</v>
      </c>
      <c r="X190" s="655">
        <f t="shared" si="50"/>
        <v>417740.565</v>
      </c>
      <c r="Y190" s="368">
        <f t="shared" si="51"/>
        <v>15000</v>
      </c>
      <c r="Z190" s="655">
        <f t="shared" si="52"/>
        <v>402740.565</v>
      </c>
      <c r="AA190" s="366">
        <f t="shared" si="53"/>
        <v>30</v>
      </c>
      <c r="AB190" s="655">
        <f t="shared" si="54"/>
        <v>13424.6855</v>
      </c>
      <c r="AC190" s="655">
        <f t="shared" si="55"/>
        <v>2367196.5350000001</v>
      </c>
      <c r="AD190" s="655">
        <f t="shared" si="71"/>
        <v>18352.849539861883</v>
      </c>
      <c r="AE190" s="655">
        <f t="shared" si="71"/>
        <v>21277.031663040445</v>
      </c>
      <c r="AF190" s="655">
        <f t="shared" si="71"/>
        <v>27485.158969044642</v>
      </c>
      <c r="AG190" s="655">
        <f t="shared" si="71"/>
        <v>46873.328573562481</v>
      </c>
      <c r="AR190" t="s">
        <v>258</v>
      </c>
      <c r="AS190" s="355" t="s">
        <v>258</v>
      </c>
    </row>
    <row r="191" spans="1:52" ht="14.25" customHeight="1">
      <c r="A191" s="651">
        <v>13000</v>
      </c>
      <c r="B191" s="642" t="s">
        <v>963</v>
      </c>
      <c r="C191" s="391"/>
      <c r="D191" s="367"/>
      <c r="E191" s="367" t="s">
        <v>532</v>
      </c>
      <c r="F191" s="367" t="s">
        <v>894</v>
      </c>
      <c r="G191" s="354">
        <v>22</v>
      </c>
      <c r="H191" s="587">
        <v>2000000</v>
      </c>
      <c r="I191" s="600">
        <f t="shared" si="42"/>
        <v>286000</v>
      </c>
      <c r="J191" s="600">
        <f t="shared" si="43"/>
        <v>34320</v>
      </c>
      <c r="K191" s="604">
        <f t="shared" si="44"/>
        <v>63700</v>
      </c>
      <c r="L191" s="666">
        <f t="shared" si="45"/>
        <v>2384020</v>
      </c>
      <c r="M191" s="666"/>
      <c r="N191" s="683">
        <v>75000</v>
      </c>
      <c r="O191" s="688">
        <f t="shared" si="77"/>
        <v>72741</v>
      </c>
      <c r="P191" s="601">
        <f t="shared" si="78"/>
        <v>2531761</v>
      </c>
      <c r="Q191" s="669">
        <v>20000</v>
      </c>
      <c r="R191" s="669">
        <v>50000</v>
      </c>
      <c r="S191" s="600">
        <f t="shared" si="59"/>
        <v>189882.07499999998</v>
      </c>
      <c r="T191" s="600">
        <f t="shared" si="60"/>
        <v>63294.025000000001</v>
      </c>
      <c r="U191" s="600"/>
      <c r="V191" s="606">
        <f t="shared" si="49"/>
        <v>2784937.1</v>
      </c>
      <c r="W191" s="370">
        <f t="shared" si="79"/>
        <v>0.15</v>
      </c>
      <c r="X191" s="655">
        <f t="shared" si="50"/>
        <v>417740.565</v>
      </c>
      <c r="Y191" s="368">
        <f t="shared" si="51"/>
        <v>15000</v>
      </c>
      <c r="Z191" s="655">
        <f t="shared" si="52"/>
        <v>402740.565</v>
      </c>
      <c r="AA191" s="366">
        <f t="shared" si="53"/>
        <v>30</v>
      </c>
      <c r="AB191" s="655">
        <f t="shared" si="54"/>
        <v>13424.6855</v>
      </c>
      <c r="AC191" s="655">
        <f t="shared" si="55"/>
        <v>2367196.5350000001</v>
      </c>
      <c r="AD191" s="655">
        <f t="shared" si="71"/>
        <v>18352.849539861883</v>
      </c>
      <c r="AE191" s="655">
        <f t="shared" si="71"/>
        <v>21277.031663040445</v>
      </c>
      <c r="AF191" s="655">
        <f t="shared" si="71"/>
        <v>27485.158969044642</v>
      </c>
      <c r="AG191" s="655">
        <f t="shared" si="71"/>
        <v>46873.328573562481</v>
      </c>
      <c r="AR191" t="s">
        <v>258</v>
      </c>
      <c r="AS191" s="355" t="s">
        <v>258</v>
      </c>
    </row>
    <row r="192" spans="1:52" ht="14.25" customHeight="1">
      <c r="A192" s="651">
        <v>13000</v>
      </c>
      <c r="B192" s="641" t="s">
        <v>963</v>
      </c>
      <c r="C192" s="391"/>
      <c r="D192" s="367"/>
      <c r="E192" s="367" t="s">
        <v>534</v>
      </c>
      <c r="F192" s="367" t="s">
        <v>894</v>
      </c>
      <c r="G192" s="354">
        <v>22</v>
      </c>
      <c r="H192" s="587">
        <v>2000000</v>
      </c>
      <c r="I192" s="600">
        <f t="shared" si="42"/>
        <v>286000</v>
      </c>
      <c r="J192" s="600">
        <f t="shared" si="43"/>
        <v>34320</v>
      </c>
      <c r="K192" s="604">
        <f t="shared" si="44"/>
        <v>63700</v>
      </c>
      <c r="L192" s="666">
        <f t="shared" si="45"/>
        <v>2384020</v>
      </c>
      <c r="M192" s="666"/>
      <c r="N192" s="683">
        <v>75000</v>
      </c>
      <c r="O192" s="688">
        <f t="shared" si="77"/>
        <v>72741</v>
      </c>
      <c r="P192" s="601">
        <f t="shared" si="78"/>
        <v>2531761</v>
      </c>
      <c r="Q192" s="669">
        <v>20000</v>
      </c>
      <c r="R192" s="669">
        <v>50000</v>
      </c>
      <c r="S192" s="600">
        <f t="shared" si="59"/>
        <v>189882.07499999998</v>
      </c>
      <c r="T192" s="600">
        <f t="shared" si="60"/>
        <v>63294.025000000001</v>
      </c>
      <c r="U192" s="600"/>
      <c r="V192" s="606">
        <f t="shared" si="49"/>
        <v>2784937.1</v>
      </c>
      <c r="W192" s="370">
        <f t="shared" si="79"/>
        <v>0.15</v>
      </c>
      <c r="X192" s="655">
        <f t="shared" si="50"/>
        <v>417740.565</v>
      </c>
      <c r="Y192" s="368">
        <f t="shared" si="51"/>
        <v>15000</v>
      </c>
      <c r="Z192" s="655">
        <f t="shared" si="52"/>
        <v>402740.565</v>
      </c>
      <c r="AA192" s="366">
        <f t="shared" si="53"/>
        <v>30</v>
      </c>
      <c r="AB192" s="655">
        <f t="shared" si="54"/>
        <v>13424.6855</v>
      </c>
      <c r="AC192" s="655">
        <f t="shared" si="55"/>
        <v>2367196.5350000001</v>
      </c>
      <c r="AD192" s="655">
        <f t="shared" si="71"/>
        <v>18352.849539861883</v>
      </c>
      <c r="AE192" s="655">
        <f t="shared" si="71"/>
        <v>21277.031663040445</v>
      </c>
      <c r="AF192" s="655">
        <f t="shared" si="71"/>
        <v>27485.158969044642</v>
      </c>
      <c r="AG192" s="655">
        <f t="shared" si="71"/>
        <v>46873.328573562481</v>
      </c>
      <c r="AR192" t="s">
        <v>258</v>
      </c>
      <c r="AS192" s="355" t="s">
        <v>258</v>
      </c>
    </row>
    <row r="193" spans="1:52" s="615" customFormat="1" ht="14.25" customHeight="1">
      <c r="A193" s="652">
        <v>17000</v>
      </c>
      <c r="B193" s="645" t="s">
        <v>963</v>
      </c>
      <c r="C193" s="608"/>
      <c r="D193" s="611"/>
      <c r="E193" s="611" t="s">
        <v>965</v>
      </c>
      <c r="F193" s="611" t="s">
        <v>956</v>
      </c>
      <c r="G193" s="617">
        <v>44</v>
      </c>
      <c r="H193" s="613">
        <v>4748000</v>
      </c>
      <c r="I193" s="603"/>
      <c r="J193" s="603"/>
      <c r="K193" s="604">
        <f t="shared" si="44"/>
        <v>63700</v>
      </c>
      <c r="L193" s="666">
        <f t="shared" si="45"/>
        <v>4811700</v>
      </c>
      <c r="M193" s="666">
        <f>H193*5%</f>
        <v>237400</v>
      </c>
      <c r="N193" s="683"/>
      <c r="O193" s="683"/>
      <c r="P193" s="693"/>
      <c r="Q193" s="694">
        <v>20000</v>
      </c>
      <c r="R193" s="694">
        <v>50000</v>
      </c>
      <c r="S193" s="603">
        <f>+P193*$S$5</f>
        <v>0</v>
      </c>
      <c r="T193" s="603">
        <f t="shared" si="60"/>
        <v>0</v>
      </c>
      <c r="U193" s="603">
        <f>+P193*0.12</f>
        <v>0</v>
      </c>
      <c r="V193" s="695">
        <f>P193+S193+T193+U193</f>
        <v>0</v>
      </c>
      <c r="W193" s="626">
        <f>W$296</f>
        <v>0.15</v>
      </c>
      <c r="X193" s="656">
        <f t="shared" si="50"/>
        <v>0</v>
      </c>
      <c r="Y193" s="614">
        <f t="shared" si="51"/>
        <v>15000</v>
      </c>
      <c r="Z193" s="656">
        <f t="shared" si="52"/>
        <v>-15000</v>
      </c>
      <c r="AA193" s="620">
        <f t="shared" si="53"/>
        <v>30</v>
      </c>
      <c r="AB193" s="656">
        <f t="shared" si="54"/>
        <v>-500</v>
      </c>
      <c r="AC193" s="656">
        <f t="shared" si="55"/>
        <v>0</v>
      </c>
      <c r="AD193" s="656">
        <f t="shared" si="71"/>
        <v>0</v>
      </c>
      <c r="AE193" s="656">
        <f t="shared" si="71"/>
        <v>0</v>
      </c>
      <c r="AF193" s="656">
        <f t="shared" si="71"/>
        <v>0</v>
      </c>
      <c r="AG193" s="656">
        <f t="shared" si="71"/>
        <v>0</v>
      </c>
      <c r="AQ193"/>
      <c r="AR193"/>
      <c r="AS193" s="616" t="s">
        <v>957</v>
      </c>
      <c r="AT193"/>
      <c r="AU193"/>
      <c r="AV193"/>
      <c r="AW193"/>
      <c r="AX193"/>
      <c r="AY193"/>
      <c r="AZ193"/>
    </row>
    <row r="194" spans="1:52" ht="14.25" customHeight="1">
      <c r="A194" s="651">
        <v>15000</v>
      </c>
      <c r="B194" s="641" t="s">
        <v>963</v>
      </c>
      <c r="C194" s="391"/>
      <c r="D194" s="367"/>
      <c r="E194" s="367" t="s">
        <v>539</v>
      </c>
      <c r="F194" s="367" t="s">
        <v>894</v>
      </c>
      <c r="G194" s="354">
        <v>22</v>
      </c>
      <c r="H194" s="587">
        <v>2000000</v>
      </c>
      <c r="I194" s="600">
        <f t="shared" si="42"/>
        <v>330000</v>
      </c>
      <c r="J194" s="600">
        <f t="shared" si="43"/>
        <v>39600</v>
      </c>
      <c r="K194" s="604">
        <f t="shared" si="44"/>
        <v>63700</v>
      </c>
      <c r="L194" s="666">
        <f t="shared" si="45"/>
        <v>2433300</v>
      </c>
      <c r="M194" s="666"/>
      <c r="N194" s="683">
        <v>75000</v>
      </c>
      <c r="O194" s="688">
        <f t="shared" ref="O194:O200" si="80">(H194+I194+K194+N194)*3%</f>
        <v>74061</v>
      </c>
      <c r="P194" s="601">
        <f t="shared" ref="P194:P200" si="81">SUM(L194+N194+O194)</f>
        <v>2582361</v>
      </c>
      <c r="Q194" s="669">
        <v>20000</v>
      </c>
      <c r="R194" s="669">
        <v>50000</v>
      </c>
      <c r="S194" s="600">
        <f t="shared" si="59"/>
        <v>193677.07499999998</v>
      </c>
      <c r="T194" s="600">
        <f t="shared" si="60"/>
        <v>64559.025000000001</v>
      </c>
      <c r="U194" s="600"/>
      <c r="V194" s="606">
        <f t="shared" si="49"/>
        <v>2840597.1</v>
      </c>
      <c r="W194" s="370">
        <f t="shared" ref="W194:W200" si="82">W$297</f>
        <v>0.15</v>
      </c>
      <c r="X194" s="655">
        <f t="shared" si="50"/>
        <v>426089.565</v>
      </c>
      <c r="Y194" s="368">
        <f t="shared" si="51"/>
        <v>15000</v>
      </c>
      <c r="Z194" s="655">
        <f t="shared" si="52"/>
        <v>411089.565</v>
      </c>
      <c r="AA194" s="366">
        <f t="shared" si="53"/>
        <v>30</v>
      </c>
      <c r="AB194" s="655">
        <f t="shared" si="54"/>
        <v>13702.985500000001</v>
      </c>
      <c r="AC194" s="655">
        <f t="shared" si="55"/>
        <v>2414507.5350000001</v>
      </c>
      <c r="AD194" s="655">
        <f t="shared" si="71"/>
        <v>18719.651219292529</v>
      </c>
      <c r="AE194" s="655">
        <f t="shared" si="71"/>
        <v>21702.276305860145</v>
      </c>
      <c r="AF194" s="655">
        <f t="shared" si="71"/>
        <v>28034.479795075873</v>
      </c>
      <c r="AG194" s="655">
        <f t="shared" si="71"/>
        <v>47810.143077704954</v>
      </c>
      <c r="AR194" t="s">
        <v>258</v>
      </c>
      <c r="AS194" s="355" t="s">
        <v>258</v>
      </c>
    </row>
    <row r="195" spans="1:52" ht="14.25" customHeight="1">
      <c r="A195" s="651">
        <v>15000</v>
      </c>
      <c r="B195" s="641" t="s">
        <v>963</v>
      </c>
      <c r="C195" s="391"/>
      <c r="D195" s="367"/>
      <c r="E195" s="367" t="s">
        <v>540</v>
      </c>
      <c r="F195" s="367" t="s">
        <v>894</v>
      </c>
      <c r="G195" s="354">
        <v>22</v>
      </c>
      <c r="H195" s="587">
        <v>2000000</v>
      </c>
      <c r="I195" s="600">
        <f t="shared" si="42"/>
        <v>330000</v>
      </c>
      <c r="J195" s="600">
        <f t="shared" si="43"/>
        <v>39600</v>
      </c>
      <c r="K195" s="604">
        <f t="shared" si="44"/>
        <v>63700</v>
      </c>
      <c r="L195" s="666">
        <f t="shared" si="45"/>
        <v>2433300</v>
      </c>
      <c r="M195" s="666"/>
      <c r="N195" s="683">
        <v>75000</v>
      </c>
      <c r="O195" s="688">
        <f t="shared" si="80"/>
        <v>74061</v>
      </c>
      <c r="P195" s="601">
        <f t="shared" si="81"/>
        <v>2582361</v>
      </c>
      <c r="Q195" s="669">
        <v>20000</v>
      </c>
      <c r="R195" s="669">
        <v>50000</v>
      </c>
      <c r="S195" s="600">
        <f t="shared" si="59"/>
        <v>193677.07499999998</v>
      </c>
      <c r="T195" s="600">
        <f t="shared" si="60"/>
        <v>64559.025000000001</v>
      </c>
      <c r="U195" s="600"/>
      <c r="V195" s="606">
        <f t="shared" si="49"/>
        <v>2840597.1</v>
      </c>
      <c r="W195" s="370">
        <f t="shared" si="82"/>
        <v>0.15</v>
      </c>
      <c r="X195" s="655">
        <f t="shared" si="50"/>
        <v>426089.565</v>
      </c>
      <c r="Y195" s="368">
        <f t="shared" si="51"/>
        <v>15000</v>
      </c>
      <c r="Z195" s="655">
        <f t="shared" si="52"/>
        <v>411089.565</v>
      </c>
      <c r="AA195" s="366">
        <f t="shared" si="53"/>
        <v>30</v>
      </c>
      <c r="AB195" s="655">
        <f t="shared" si="54"/>
        <v>13702.985500000001</v>
      </c>
      <c r="AC195" s="655">
        <f t="shared" si="55"/>
        <v>2414507.5350000001</v>
      </c>
      <c r="AD195" s="655">
        <f t="shared" si="71"/>
        <v>18719.651219292529</v>
      </c>
      <c r="AE195" s="655">
        <f t="shared" si="71"/>
        <v>21702.276305860145</v>
      </c>
      <c r="AF195" s="655">
        <f t="shared" si="71"/>
        <v>28034.479795075873</v>
      </c>
      <c r="AG195" s="655">
        <f t="shared" si="71"/>
        <v>47810.143077704954</v>
      </c>
      <c r="AR195" t="s">
        <v>258</v>
      </c>
      <c r="AS195" s="355" t="s">
        <v>258</v>
      </c>
    </row>
    <row r="196" spans="1:52" ht="14.25" customHeight="1">
      <c r="A196" s="651">
        <v>15000</v>
      </c>
      <c r="B196" s="641" t="s">
        <v>963</v>
      </c>
      <c r="C196" s="391"/>
      <c r="D196" s="367"/>
      <c r="E196" s="367" t="s">
        <v>542</v>
      </c>
      <c r="F196" s="367" t="s">
        <v>894</v>
      </c>
      <c r="G196" s="354">
        <v>22</v>
      </c>
      <c r="H196" s="587">
        <v>2000000</v>
      </c>
      <c r="I196" s="600">
        <f t="shared" si="42"/>
        <v>330000</v>
      </c>
      <c r="J196" s="600">
        <f t="shared" si="43"/>
        <v>39600</v>
      </c>
      <c r="K196" s="604">
        <f t="shared" si="44"/>
        <v>63700</v>
      </c>
      <c r="L196" s="666">
        <f t="shared" si="45"/>
        <v>2433300</v>
      </c>
      <c r="M196" s="666"/>
      <c r="N196" s="683">
        <v>75000</v>
      </c>
      <c r="O196" s="688">
        <f t="shared" si="80"/>
        <v>74061</v>
      </c>
      <c r="P196" s="601">
        <f t="shared" si="81"/>
        <v>2582361</v>
      </c>
      <c r="Q196" s="669">
        <v>20000</v>
      </c>
      <c r="R196" s="669">
        <v>50000</v>
      </c>
      <c r="S196" s="600">
        <f t="shared" si="59"/>
        <v>193677.07499999998</v>
      </c>
      <c r="T196" s="600">
        <f t="shared" si="60"/>
        <v>64559.025000000001</v>
      </c>
      <c r="U196" s="600"/>
      <c r="V196" s="606">
        <f t="shared" si="49"/>
        <v>2840597.1</v>
      </c>
      <c r="W196" s="370">
        <f t="shared" si="82"/>
        <v>0.15</v>
      </c>
      <c r="X196" s="655">
        <f t="shared" si="50"/>
        <v>426089.565</v>
      </c>
      <c r="Y196" s="368">
        <f t="shared" si="51"/>
        <v>15000</v>
      </c>
      <c r="Z196" s="655">
        <f t="shared" si="52"/>
        <v>411089.565</v>
      </c>
      <c r="AA196" s="366">
        <f t="shared" si="53"/>
        <v>30</v>
      </c>
      <c r="AB196" s="655">
        <f t="shared" si="54"/>
        <v>13702.985500000001</v>
      </c>
      <c r="AC196" s="655">
        <f t="shared" si="55"/>
        <v>2414507.5350000001</v>
      </c>
      <c r="AD196" s="655">
        <f t="shared" si="71"/>
        <v>18719.651219292529</v>
      </c>
      <c r="AE196" s="655">
        <f t="shared" si="71"/>
        <v>21702.276305860145</v>
      </c>
      <c r="AF196" s="655">
        <f t="shared" si="71"/>
        <v>28034.479795075873</v>
      </c>
      <c r="AG196" s="655">
        <f t="shared" si="71"/>
        <v>47810.143077704954</v>
      </c>
      <c r="AR196" t="str">
        <f>VLOOKUP(E$6:E$287,'[7]Sales Report'!$B$7:$C$288,2,FALSE)</f>
        <v>SOLD</v>
      </c>
      <c r="AS196" s="355" t="s">
        <v>236</v>
      </c>
    </row>
    <row r="197" spans="1:52" ht="14.25" customHeight="1">
      <c r="A197" s="651">
        <v>15000</v>
      </c>
      <c r="B197" s="641" t="s">
        <v>963</v>
      </c>
      <c r="C197" s="391"/>
      <c r="D197" s="367"/>
      <c r="E197" s="367" t="s">
        <v>544</v>
      </c>
      <c r="F197" s="367" t="s">
        <v>894</v>
      </c>
      <c r="G197" s="354">
        <v>22</v>
      </c>
      <c r="H197" s="587">
        <v>2000000</v>
      </c>
      <c r="I197" s="600">
        <f t="shared" si="42"/>
        <v>330000</v>
      </c>
      <c r="J197" s="600">
        <f t="shared" si="43"/>
        <v>39600</v>
      </c>
      <c r="K197" s="604">
        <f t="shared" si="44"/>
        <v>63700</v>
      </c>
      <c r="L197" s="666">
        <f t="shared" si="45"/>
        <v>2433300</v>
      </c>
      <c r="M197" s="666"/>
      <c r="N197" s="683">
        <v>75000</v>
      </c>
      <c r="O197" s="688">
        <f t="shared" si="80"/>
        <v>74061</v>
      </c>
      <c r="P197" s="601">
        <f t="shared" si="81"/>
        <v>2582361</v>
      </c>
      <c r="Q197" s="669">
        <v>20000</v>
      </c>
      <c r="R197" s="669">
        <v>50000</v>
      </c>
      <c r="S197" s="600">
        <f t="shared" si="59"/>
        <v>193677.07499999998</v>
      </c>
      <c r="T197" s="600">
        <f t="shared" si="60"/>
        <v>64559.025000000001</v>
      </c>
      <c r="U197" s="600"/>
      <c r="V197" s="606">
        <f t="shared" si="49"/>
        <v>2840597.1</v>
      </c>
      <c r="W197" s="370">
        <f t="shared" si="82"/>
        <v>0.15</v>
      </c>
      <c r="X197" s="655">
        <f t="shared" si="50"/>
        <v>426089.565</v>
      </c>
      <c r="Y197" s="368">
        <f t="shared" si="51"/>
        <v>15000</v>
      </c>
      <c r="Z197" s="655">
        <f t="shared" si="52"/>
        <v>411089.565</v>
      </c>
      <c r="AA197" s="366">
        <f t="shared" si="53"/>
        <v>30</v>
      </c>
      <c r="AB197" s="655">
        <f t="shared" si="54"/>
        <v>13702.985500000001</v>
      </c>
      <c r="AC197" s="655">
        <f t="shared" si="55"/>
        <v>2414507.5350000001</v>
      </c>
      <c r="AD197" s="655">
        <f t="shared" si="71"/>
        <v>18719.651219292529</v>
      </c>
      <c r="AE197" s="655">
        <f t="shared" si="71"/>
        <v>21702.276305860145</v>
      </c>
      <c r="AF197" s="655">
        <f t="shared" si="71"/>
        <v>28034.479795075873</v>
      </c>
      <c r="AG197" s="655">
        <f t="shared" si="71"/>
        <v>47810.143077704954</v>
      </c>
      <c r="AR197" t="str">
        <f>VLOOKUP(E$6:E$287,'[7]Sales Report'!$B$7:$C$288,2,FALSE)</f>
        <v>UNSOLD</v>
      </c>
      <c r="AS197" s="355" t="s">
        <v>258</v>
      </c>
    </row>
    <row r="198" spans="1:52" ht="14.25" customHeight="1">
      <c r="A198" s="651">
        <v>15000</v>
      </c>
      <c r="B198" s="641" t="s">
        <v>963</v>
      </c>
      <c r="C198" s="391"/>
      <c r="D198" s="367"/>
      <c r="E198" s="367" t="s">
        <v>546</v>
      </c>
      <c r="F198" s="367" t="s">
        <v>894</v>
      </c>
      <c r="G198" s="354">
        <v>22</v>
      </c>
      <c r="H198" s="587">
        <v>2000000</v>
      </c>
      <c r="I198" s="600">
        <f t="shared" si="42"/>
        <v>330000</v>
      </c>
      <c r="J198" s="600">
        <f t="shared" si="43"/>
        <v>39600</v>
      </c>
      <c r="K198" s="604">
        <f t="shared" si="44"/>
        <v>63700</v>
      </c>
      <c r="L198" s="666">
        <f t="shared" si="45"/>
        <v>2433300</v>
      </c>
      <c r="M198" s="666"/>
      <c r="N198" s="683">
        <v>75000</v>
      </c>
      <c r="O198" s="688">
        <f t="shared" si="80"/>
        <v>74061</v>
      </c>
      <c r="P198" s="601">
        <f t="shared" si="81"/>
        <v>2582361</v>
      </c>
      <c r="Q198" s="669">
        <v>20000</v>
      </c>
      <c r="R198" s="669">
        <v>50000</v>
      </c>
      <c r="S198" s="600">
        <f t="shared" si="59"/>
        <v>193677.07499999998</v>
      </c>
      <c r="T198" s="600">
        <f t="shared" si="60"/>
        <v>64559.025000000001</v>
      </c>
      <c r="U198" s="600"/>
      <c r="V198" s="606">
        <f t="shared" si="49"/>
        <v>2840597.1</v>
      </c>
      <c r="W198" s="370">
        <f t="shared" si="82"/>
        <v>0.15</v>
      </c>
      <c r="X198" s="655">
        <f t="shared" si="50"/>
        <v>426089.565</v>
      </c>
      <c r="Y198" s="368">
        <f t="shared" si="51"/>
        <v>15000</v>
      </c>
      <c r="Z198" s="655">
        <f t="shared" si="52"/>
        <v>411089.565</v>
      </c>
      <c r="AA198" s="366">
        <f t="shared" si="53"/>
        <v>30</v>
      </c>
      <c r="AB198" s="655">
        <f t="shared" si="54"/>
        <v>13702.985500000001</v>
      </c>
      <c r="AC198" s="655">
        <f t="shared" si="55"/>
        <v>2414507.5350000001</v>
      </c>
      <c r="AD198" s="655">
        <f t="shared" si="71"/>
        <v>18719.651219292529</v>
      </c>
      <c r="AE198" s="655">
        <f t="shared" si="71"/>
        <v>21702.276305860145</v>
      </c>
      <c r="AF198" s="655">
        <f t="shared" si="71"/>
        <v>28034.479795075873</v>
      </c>
      <c r="AG198" s="655">
        <f t="shared" si="71"/>
        <v>47810.143077704954</v>
      </c>
      <c r="AR198" t="str">
        <f>VLOOKUP(E$6:E$287,'[7]Sales Report'!$B$7:$C$288,2,FALSE)</f>
        <v>SOLD</v>
      </c>
      <c r="AS198" s="355" t="s">
        <v>236</v>
      </c>
    </row>
    <row r="199" spans="1:52" ht="14.25" customHeight="1">
      <c r="A199" s="651">
        <v>15000</v>
      </c>
      <c r="B199" s="641" t="s">
        <v>963</v>
      </c>
      <c r="C199" s="391"/>
      <c r="D199" s="367"/>
      <c r="E199" s="367" t="s">
        <v>548</v>
      </c>
      <c r="F199" s="367" t="s">
        <v>894</v>
      </c>
      <c r="G199" s="354">
        <v>22</v>
      </c>
      <c r="H199" s="587">
        <v>2000000</v>
      </c>
      <c r="I199" s="600">
        <f t="shared" si="42"/>
        <v>330000</v>
      </c>
      <c r="J199" s="600">
        <f t="shared" si="43"/>
        <v>39600</v>
      </c>
      <c r="K199" s="604">
        <f t="shared" si="44"/>
        <v>63700</v>
      </c>
      <c r="L199" s="666">
        <f t="shared" si="45"/>
        <v>2433300</v>
      </c>
      <c r="M199" s="666"/>
      <c r="N199" s="683">
        <v>75000</v>
      </c>
      <c r="O199" s="688">
        <f t="shared" si="80"/>
        <v>74061</v>
      </c>
      <c r="P199" s="601">
        <f t="shared" si="81"/>
        <v>2582361</v>
      </c>
      <c r="Q199" s="669">
        <v>20000</v>
      </c>
      <c r="R199" s="669">
        <v>50000</v>
      </c>
      <c r="S199" s="600">
        <f t="shared" si="59"/>
        <v>193677.07499999998</v>
      </c>
      <c r="T199" s="600">
        <f t="shared" si="60"/>
        <v>64559.025000000001</v>
      </c>
      <c r="U199" s="600"/>
      <c r="V199" s="606">
        <f t="shared" si="49"/>
        <v>2840597.1</v>
      </c>
      <c r="W199" s="370">
        <f t="shared" si="82"/>
        <v>0.15</v>
      </c>
      <c r="X199" s="655">
        <f t="shared" si="50"/>
        <v>426089.565</v>
      </c>
      <c r="Y199" s="368">
        <f t="shared" si="51"/>
        <v>15000</v>
      </c>
      <c r="Z199" s="655">
        <f t="shared" si="52"/>
        <v>411089.565</v>
      </c>
      <c r="AA199" s="366">
        <f t="shared" si="53"/>
        <v>30</v>
      </c>
      <c r="AB199" s="655">
        <f t="shared" si="54"/>
        <v>13702.985500000001</v>
      </c>
      <c r="AC199" s="655">
        <f t="shared" si="55"/>
        <v>2414507.5350000001</v>
      </c>
      <c r="AD199" s="655">
        <f t="shared" si="71"/>
        <v>18719.651219292529</v>
      </c>
      <c r="AE199" s="655">
        <f t="shared" si="71"/>
        <v>21702.276305860145</v>
      </c>
      <c r="AF199" s="655">
        <f t="shared" si="71"/>
        <v>28034.479795075873</v>
      </c>
      <c r="AG199" s="655">
        <f t="shared" si="71"/>
        <v>47810.143077704954</v>
      </c>
      <c r="AR199" t="str">
        <f>VLOOKUP(E$6:E$287,'[7]Sales Report'!$B$7:$C$288,2,FALSE)</f>
        <v>SOLD</v>
      </c>
      <c r="AS199" s="355" t="s">
        <v>236</v>
      </c>
    </row>
    <row r="200" spans="1:52" ht="14.25" customHeight="1">
      <c r="A200" s="651">
        <v>15000</v>
      </c>
      <c r="B200" s="641" t="s">
        <v>963</v>
      </c>
      <c r="C200" s="391"/>
      <c r="D200" s="367"/>
      <c r="E200" s="367" t="s">
        <v>550</v>
      </c>
      <c r="F200" s="367" t="s">
        <v>894</v>
      </c>
      <c r="G200" s="354">
        <v>22</v>
      </c>
      <c r="H200" s="587">
        <v>2000000</v>
      </c>
      <c r="I200" s="600">
        <f t="shared" si="42"/>
        <v>330000</v>
      </c>
      <c r="J200" s="600">
        <f t="shared" si="43"/>
        <v>39600</v>
      </c>
      <c r="K200" s="604">
        <f t="shared" si="44"/>
        <v>63700</v>
      </c>
      <c r="L200" s="666">
        <f t="shared" si="45"/>
        <v>2433300</v>
      </c>
      <c r="M200" s="666"/>
      <c r="N200" s="683">
        <v>75000</v>
      </c>
      <c r="O200" s="688">
        <f t="shared" si="80"/>
        <v>74061</v>
      </c>
      <c r="P200" s="601">
        <f t="shared" si="81"/>
        <v>2582361</v>
      </c>
      <c r="Q200" s="669">
        <v>20000</v>
      </c>
      <c r="R200" s="669">
        <v>50000</v>
      </c>
      <c r="S200" s="600">
        <f t="shared" si="59"/>
        <v>193677.07499999998</v>
      </c>
      <c r="T200" s="600">
        <f t="shared" si="60"/>
        <v>64559.025000000001</v>
      </c>
      <c r="U200" s="600"/>
      <c r="V200" s="606">
        <f t="shared" si="49"/>
        <v>2840597.1</v>
      </c>
      <c r="W200" s="370">
        <f t="shared" si="82"/>
        <v>0.15</v>
      </c>
      <c r="X200" s="655">
        <f t="shared" si="50"/>
        <v>426089.565</v>
      </c>
      <c r="Y200" s="368">
        <f t="shared" si="51"/>
        <v>15000</v>
      </c>
      <c r="Z200" s="655">
        <f t="shared" si="52"/>
        <v>411089.565</v>
      </c>
      <c r="AA200" s="366">
        <f t="shared" si="53"/>
        <v>30</v>
      </c>
      <c r="AB200" s="655">
        <f t="shared" si="54"/>
        <v>13702.985500000001</v>
      </c>
      <c r="AC200" s="655">
        <f t="shared" si="55"/>
        <v>2414507.5350000001</v>
      </c>
      <c r="AD200" s="655">
        <f t="shared" si="71"/>
        <v>18719.651219292529</v>
      </c>
      <c r="AE200" s="655">
        <f t="shared" si="71"/>
        <v>21702.276305860145</v>
      </c>
      <c r="AF200" s="655">
        <f t="shared" si="71"/>
        <v>28034.479795075873</v>
      </c>
      <c r="AG200" s="655">
        <f t="shared" si="71"/>
        <v>47810.143077704954</v>
      </c>
      <c r="AR200" t="str">
        <f>VLOOKUP(E$6:E$287,'[7]Sales Report'!$B$7:$C$288,2,FALSE)</f>
        <v>SOLD</v>
      </c>
      <c r="AS200" s="355" t="s">
        <v>236</v>
      </c>
    </row>
    <row r="201" spans="1:52" s="615" customFormat="1" ht="14.25" customHeight="1">
      <c r="A201" s="652">
        <v>17000</v>
      </c>
      <c r="B201" s="645" t="s">
        <v>963</v>
      </c>
      <c r="C201" s="608"/>
      <c r="D201" s="611"/>
      <c r="E201" s="611" t="s">
        <v>966</v>
      </c>
      <c r="F201" s="611" t="s">
        <v>956</v>
      </c>
      <c r="G201" s="617">
        <v>44</v>
      </c>
      <c r="H201" s="613">
        <v>4748000</v>
      </c>
      <c r="I201" s="603"/>
      <c r="J201" s="603"/>
      <c r="K201" s="604">
        <f t="shared" si="44"/>
        <v>63700</v>
      </c>
      <c r="L201" s="666">
        <f t="shared" si="45"/>
        <v>4811700</v>
      </c>
      <c r="M201" s="666">
        <f t="shared" ref="M201:M202" si="83">H201*5%</f>
        <v>237400</v>
      </c>
      <c r="N201" s="683"/>
      <c r="O201" s="683"/>
      <c r="P201" s="693"/>
      <c r="Q201" s="694">
        <v>20000</v>
      </c>
      <c r="R201" s="694">
        <v>50000</v>
      </c>
      <c r="S201" s="603">
        <f t="shared" si="59"/>
        <v>0</v>
      </c>
      <c r="T201" s="603">
        <f t="shared" si="60"/>
        <v>0</v>
      </c>
      <c r="U201" s="603">
        <f t="shared" ref="U201:U202" si="84">+P201*0.12</f>
        <v>0</v>
      </c>
      <c r="V201" s="695">
        <f t="shared" ref="V201:V202" si="85">P201+S201+T201+U201</f>
        <v>0</v>
      </c>
      <c r="W201" s="626">
        <f t="shared" ref="W201:W202" si="86">W$296</f>
        <v>0.15</v>
      </c>
      <c r="X201" s="656">
        <f t="shared" si="50"/>
        <v>0</v>
      </c>
      <c r="Y201" s="614">
        <f t="shared" si="51"/>
        <v>15000</v>
      </c>
      <c r="Z201" s="656">
        <f t="shared" si="52"/>
        <v>-15000</v>
      </c>
      <c r="AA201" s="620">
        <f t="shared" si="53"/>
        <v>30</v>
      </c>
      <c r="AB201" s="656">
        <f t="shared" si="54"/>
        <v>-500</v>
      </c>
      <c r="AC201" s="656">
        <f t="shared" si="55"/>
        <v>0</v>
      </c>
      <c r="AD201" s="656">
        <f t="shared" si="71"/>
        <v>0</v>
      </c>
      <c r="AE201" s="656">
        <f t="shared" si="71"/>
        <v>0</v>
      </c>
      <c r="AF201" s="656">
        <f t="shared" si="71"/>
        <v>0</v>
      </c>
      <c r="AG201" s="656">
        <f t="shared" si="71"/>
        <v>0</v>
      </c>
      <c r="AQ201"/>
      <c r="AR201"/>
      <c r="AS201" s="616" t="s">
        <v>957</v>
      </c>
      <c r="AT201"/>
      <c r="AU201"/>
      <c r="AV201"/>
      <c r="AW201"/>
      <c r="AX201"/>
      <c r="AY201"/>
      <c r="AZ201"/>
    </row>
    <row r="202" spans="1:52" s="615" customFormat="1" ht="14.25" customHeight="1">
      <c r="A202" s="652">
        <v>17000</v>
      </c>
      <c r="B202" s="646" t="s">
        <v>963</v>
      </c>
      <c r="C202" s="608"/>
      <c r="D202" s="611"/>
      <c r="E202" s="611" t="s">
        <v>967</v>
      </c>
      <c r="F202" s="611" t="s">
        <v>956</v>
      </c>
      <c r="G202" s="617">
        <v>44</v>
      </c>
      <c r="H202" s="613">
        <v>4748000</v>
      </c>
      <c r="I202" s="603"/>
      <c r="J202" s="603"/>
      <c r="K202" s="604">
        <f t="shared" si="44"/>
        <v>63700</v>
      </c>
      <c r="L202" s="666">
        <f t="shared" si="45"/>
        <v>4811700</v>
      </c>
      <c r="M202" s="666">
        <f t="shared" si="83"/>
        <v>237400</v>
      </c>
      <c r="N202" s="683"/>
      <c r="O202" s="683"/>
      <c r="P202" s="693"/>
      <c r="Q202" s="694">
        <v>20000</v>
      </c>
      <c r="R202" s="694">
        <v>50000</v>
      </c>
      <c r="S202" s="603">
        <f t="shared" si="59"/>
        <v>0</v>
      </c>
      <c r="T202" s="603">
        <f t="shared" si="60"/>
        <v>0</v>
      </c>
      <c r="U202" s="603">
        <f t="shared" si="84"/>
        <v>0</v>
      </c>
      <c r="V202" s="695">
        <f t="shared" si="85"/>
        <v>0</v>
      </c>
      <c r="W202" s="626">
        <f t="shared" si="86"/>
        <v>0.15</v>
      </c>
      <c r="X202" s="656">
        <f t="shared" si="50"/>
        <v>0</v>
      </c>
      <c r="Y202" s="614">
        <f t="shared" si="51"/>
        <v>15000</v>
      </c>
      <c r="Z202" s="656">
        <f t="shared" si="52"/>
        <v>-15000</v>
      </c>
      <c r="AA202" s="620">
        <f t="shared" si="53"/>
        <v>30</v>
      </c>
      <c r="AB202" s="656">
        <f t="shared" si="54"/>
        <v>-500</v>
      </c>
      <c r="AC202" s="656">
        <f t="shared" si="55"/>
        <v>0</v>
      </c>
      <c r="AD202" s="656">
        <f t="shared" si="71"/>
        <v>0</v>
      </c>
      <c r="AE202" s="656">
        <f t="shared" si="71"/>
        <v>0</v>
      </c>
      <c r="AF202" s="656">
        <f t="shared" si="71"/>
        <v>0</v>
      </c>
      <c r="AG202" s="656">
        <f t="shared" si="71"/>
        <v>0</v>
      </c>
      <c r="AQ202"/>
      <c r="AR202"/>
      <c r="AS202" s="616" t="s">
        <v>957</v>
      </c>
      <c r="AT202"/>
      <c r="AU202"/>
      <c r="AV202"/>
      <c r="AW202"/>
      <c r="AX202"/>
      <c r="AY202"/>
      <c r="AZ202"/>
    </row>
    <row r="203" spans="1:52" ht="14.25" customHeight="1">
      <c r="A203" s="651">
        <v>13000</v>
      </c>
      <c r="B203" s="641" t="s">
        <v>963</v>
      </c>
      <c r="C203" s="391"/>
      <c r="D203" s="367"/>
      <c r="E203" s="367" t="s">
        <v>558</v>
      </c>
      <c r="F203" s="367" t="s">
        <v>894</v>
      </c>
      <c r="G203" s="354">
        <v>22</v>
      </c>
      <c r="H203" s="587">
        <v>2000000</v>
      </c>
      <c r="I203" s="600">
        <f t="shared" ref="I203:I266" si="87">+G203*A203</f>
        <v>286000</v>
      </c>
      <c r="J203" s="600">
        <f t="shared" ref="J203:J266" si="88">+I203*0.12</f>
        <v>34320</v>
      </c>
      <c r="K203" s="604">
        <f t="shared" ref="K203:K266" si="89">+SUM(Q203:R203)*$K$5</f>
        <v>63700</v>
      </c>
      <c r="L203" s="666">
        <f t="shared" ref="L203:L266" si="90">SUM(H203:K203)</f>
        <v>2384020</v>
      </c>
      <c r="M203" s="666"/>
      <c r="N203" s="683">
        <v>75000</v>
      </c>
      <c r="O203" s="688">
        <f t="shared" ref="O203:O206" si="91">(H203+I203+K203+N203)*3%</f>
        <v>72741</v>
      </c>
      <c r="P203" s="601">
        <f t="shared" ref="P203:P205" si="92">SUM(L203+N203+O203)</f>
        <v>2531761</v>
      </c>
      <c r="Q203" s="669">
        <v>20000</v>
      </c>
      <c r="R203" s="669">
        <v>50000</v>
      </c>
      <c r="S203" s="600">
        <f t="shared" ref="S203:S205" si="93">+P203*$S$5</f>
        <v>189882.07499999998</v>
      </c>
      <c r="T203" s="600">
        <f t="shared" ref="T203:T207" si="94">+P203*$T$5</f>
        <v>63294.025000000001</v>
      </c>
      <c r="U203" s="600"/>
      <c r="V203" s="606">
        <f t="shared" ref="V203:V266" si="95">P203+S203+T203</f>
        <v>2784937.1</v>
      </c>
      <c r="W203" s="370">
        <f t="shared" ref="W203:W206" si="96">W$297</f>
        <v>0.15</v>
      </c>
      <c r="X203" s="655">
        <f t="shared" ref="X203:X266" si="97">+V203*W203</f>
        <v>417740.565</v>
      </c>
      <c r="Y203" s="368">
        <f t="shared" ref="Y203:Y266" si="98">Y$5</f>
        <v>15000</v>
      </c>
      <c r="Z203" s="655">
        <f t="shared" ref="Z203:Z266" si="99">+X203-Y203</f>
        <v>402740.565</v>
      </c>
      <c r="AA203" s="366">
        <f t="shared" ref="AA203:AA266" si="100">AA$5</f>
        <v>30</v>
      </c>
      <c r="AB203" s="655">
        <f t="shared" ref="AB203:AB266" si="101">+Z203/AA203</f>
        <v>13424.6855</v>
      </c>
      <c r="AC203" s="655">
        <f t="shared" ref="AC203:AC266" si="102">+V203-X203</f>
        <v>2367196.5350000001</v>
      </c>
      <c r="AD203" s="655">
        <f t="shared" ref="AD203:AG234" si="103">+$AC203*AD$5</f>
        <v>18352.849539861883</v>
      </c>
      <c r="AE203" s="655">
        <f t="shared" si="103"/>
        <v>21277.031663040445</v>
      </c>
      <c r="AF203" s="655">
        <f t="shared" si="103"/>
        <v>27485.158969044642</v>
      </c>
      <c r="AG203" s="655">
        <f t="shared" si="103"/>
        <v>46873.328573562481</v>
      </c>
      <c r="AR203" t="s">
        <v>258</v>
      </c>
      <c r="AS203" s="355" t="s">
        <v>258</v>
      </c>
    </row>
    <row r="204" spans="1:52" ht="14.25" customHeight="1">
      <c r="A204" s="651">
        <v>13000</v>
      </c>
      <c r="B204" s="642" t="s">
        <v>963</v>
      </c>
      <c r="C204" s="391"/>
      <c r="D204" s="367"/>
      <c r="E204" s="367" t="s">
        <v>559</v>
      </c>
      <c r="F204" s="367" t="s">
        <v>894</v>
      </c>
      <c r="G204" s="354">
        <v>22</v>
      </c>
      <c r="H204" s="587">
        <v>2000000</v>
      </c>
      <c r="I204" s="600">
        <f t="shared" si="87"/>
        <v>286000</v>
      </c>
      <c r="J204" s="600">
        <f t="shared" si="88"/>
        <v>34320</v>
      </c>
      <c r="K204" s="604">
        <f t="shared" si="89"/>
        <v>63700</v>
      </c>
      <c r="L204" s="666">
        <f t="shared" si="90"/>
        <v>2384020</v>
      </c>
      <c r="M204" s="666"/>
      <c r="N204" s="683">
        <v>75000</v>
      </c>
      <c r="O204" s="688">
        <f t="shared" si="91"/>
        <v>72741</v>
      </c>
      <c r="P204" s="601">
        <f t="shared" si="92"/>
        <v>2531761</v>
      </c>
      <c r="Q204" s="669">
        <v>20000</v>
      </c>
      <c r="R204" s="669">
        <v>50000</v>
      </c>
      <c r="S204" s="600">
        <f t="shared" si="93"/>
        <v>189882.07499999998</v>
      </c>
      <c r="T204" s="600">
        <f t="shared" si="94"/>
        <v>63294.025000000001</v>
      </c>
      <c r="U204" s="600"/>
      <c r="V204" s="606">
        <f t="shared" si="95"/>
        <v>2784937.1</v>
      </c>
      <c r="W204" s="370">
        <f t="shared" si="96"/>
        <v>0.15</v>
      </c>
      <c r="X204" s="655">
        <f t="shared" si="97"/>
        <v>417740.565</v>
      </c>
      <c r="Y204" s="368">
        <f t="shared" si="98"/>
        <v>15000</v>
      </c>
      <c r="Z204" s="655">
        <f t="shared" si="99"/>
        <v>402740.565</v>
      </c>
      <c r="AA204" s="366">
        <f t="shared" si="100"/>
        <v>30</v>
      </c>
      <c r="AB204" s="655">
        <f t="shared" si="101"/>
        <v>13424.6855</v>
      </c>
      <c r="AC204" s="655">
        <f t="shared" si="102"/>
        <v>2367196.5350000001</v>
      </c>
      <c r="AD204" s="655">
        <f t="shared" si="103"/>
        <v>18352.849539861883</v>
      </c>
      <c r="AE204" s="655">
        <f t="shared" si="103"/>
        <v>21277.031663040445</v>
      </c>
      <c r="AF204" s="655">
        <f t="shared" si="103"/>
        <v>27485.158969044642</v>
      </c>
      <c r="AG204" s="655">
        <f t="shared" si="103"/>
        <v>46873.328573562481</v>
      </c>
      <c r="AR204" t="s">
        <v>258</v>
      </c>
      <c r="AS204" s="355" t="s">
        <v>258</v>
      </c>
    </row>
    <row r="205" spans="1:52" ht="14.25" customHeight="1">
      <c r="A205" s="651">
        <v>13000</v>
      </c>
      <c r="B205" s="641" t="s">
        <v>963</v>
      </c>
      <c r="C205" s="391"/>
      <c r="D205" s="367"/>
      <c r="E205" s="367" t="s">
        <v>561</v>
      </c>
      <c r="F205" s="367" t="s">
        <v>894</v>
      </c>
      <c r="G205" s="354">
        <v>22</v>
      </c>
      <c r="H205" s="587">
        <v>2000000</v>
      </c>
      <c r="I205" s="600">
        <f t="shared" si="87"/>
        <v>286000</v>
      </c>
      <c r="J205" s="600">
        <f t="shared" si="88"/>
        <v>34320</v>
      </c>
      <c r="K205" s="604">
        <f t="shared" si="89"/>
        <v>63700</v>
      </c>
      <c r="L205" s="666">
        <f t="shared" si="90"/>
        <v>2384020</v>
      </c>
      <c r="M205" s="666"/>
      <c r="N205" s="683">
        <v>75000</v>
      </c>
      <c r="O205" s="688">
        <f t="shared" si="91"/>
        <v>72741</v>
      </c>
      <c r="P205" s="601">
        <f t="shared" si="92"/>
        <v>2531761</v>
      </c>
      <c r="Q205" s="669">
        <v>20000</v>
      </c>
      <c r="R205" s="669">
        <v>50000</v>
      </c>
      <c r="S205" s="600">
        <f t="shared" si="93"/>
        <v>189882.07499999998</v>
      </c>
      <c r="T205" s="600">
        <f t="shared" si="94"/>
        <v>63294.025000000001</v>
      </c>
      <c r="U205" s="600"/>
      <c r="V205" s="606">
        <f t="shared" si="95"/>
        <v>2784937.1</v>
      </c>
      <c r="W205" s="370">
        <f t="shared" si="96"/>
        <v>0.15</v>
      </c>
      <c r="X205" s="655">
        <f t="shared" si="97"/>
        <v>417740.565</v>
      </c>
      <c r="Y205" s="368">
        <f t="shared" si="98"/>
        <v>15000</v>
      </c>
      <c r="Z205" s="655">
        <f t="shared" si="99"/>
        <v>402740.565</v>
      </c>
      <c r="AA205" s="366">
        <f t="shared" si="100"/>
        <v>30</v>
      </c>
      <c r="AB205" s="655">
        <f t="shared" si="101"/>
        <v>13424.6855</v>
      </c>
      <c r="AC205" s="655">
        <f t="shared" si="102"/>
        <v>2367196.5350000001</v>
      </c>
      <c r="AD205" s="655">
        <f t="shared" si="103"/>
        <v>18352.849539861883</v>
      </c>
      <c r="AE205" s="655">
        <f t="shared" si="103"/>
        <v>21277.031663040445</v>
      </c>
      <c r="AF205" s="655">
        <f t="shared" si="103"/>
        <v>27485.158969044642</v>
      </c>
      <c r="AG205" s="655">
        <f t="shared" si="103"/>
        <v>46873.328573562481</v>
      </c>
      <c r="AR205" t="s">
        <v>258</v>
      </c>
      <c r="AS205" s="355" t="s">
        <v>258</v>
      </c>
    </row>
    <row r="206" spans="1:52" ht="14.25" customHeight="1">
      <c r="A206" s="651">
        <v>13000</v>
      </c>
      <c r="B206" s="641" t="s">
        <v>963</v>
      </c>
      <c r="C206" s="391"/>
      <c r="D206" s="367"/>
      <c r="E206" s="367" t="s">
        <v>562</v>
      </c>
      <c r="F206" s="367" t="s">
        <v>894</v>
      </c>
      <c r="G206" s="354">
        <v>22</v>
      </c>
      <c r="H206" s="587">
        <v>2000000</v>
      </c>
      <c r="I206" s="600">
        <f t="shared" si="87"/>
        <v>286000</v>
      </c>
      <c r="J206" s="600">
        <f t="shared" si="88"/>
        <v>34320</v>
      </c>
      <c r="K206" s="604">
        <f t="shared" si="89"/>
        <v>63700</v>
      </c>
      <c r="L206" s="666">
        <f t="shared" si="90"/>
        <v>2384020</v>
      </c>
      <c r="M206" s="666"/>
      <c r="N206" s="683">
        <v>75000</v>
      </c>
      <c r="O206" s="688">
        <f t="shared" si="91"/>
        <v>72741</v>
      </c>
      <c r="P206" s="601">
        <f>SUM(L206+N206+O206)</f>
        <v>2531761</v>
      </c>
      <c r="Q206" s="669">
        <v>20000</v>
      </c>
      <c r="R206" s="669">
        <v>50000</v>
      </c>
      <c r="S206" s="600">
        <f>+P206*$S$5</f>
        <v>189882.07499999998</v>
      </c>
      <c r="T206" s="600">
        <f t="shared" si="94"/>
        <v>63294.025000000001</v>
      </c>
      <c r="U206" s="600"/>
      <c r="V206" s="606">
        <f t="shared" si="95"/>
        <v>2784937.1</v>
      </c>
      <c r="W206" s="370">
        <f t="shared" si="96"/>
        <v>0.15</v>
      </c>
      <c r="X206" s="655">
        <f t="shared" si="97"/>
        <v>417740.565</v>
      </c>
      <c r="Y206" s="368">
        <f t="shared" si="98"/>
        <v>15000</v>
      </c>
      <c r="Z206" s="655">
        <f t="shared" si="99"/>
        <v>402740.565</v>
      </c>
      <c r="AA206" s="366">
        <f t="shared" si="100"/>
        <v>30</v>
      </c>
      <c r="AB206" s="655">
        <f t="shared" si="101"/>
        <v>13424.6855</v>
      </c>
      <c r="AC206" s="655">
        <f t="shared" si="102"/>
        <v>2367196.5350000001</v>
      </c>
      <c r="AD206" s="655">
        <f t="shared" si="103"/>
        <v>18352.849539861883</v>
      </c>
      <c r="AE206" s="655">
        <f t="shared" si="103"/>
        <v>21277.031663040445</v>
      </c>
      <c r="AF206" s="655">
        <f t="shared" si="103"/>
        <v>27485.158969044642</v>
      </c>
      <c r="AG206" s="655">
        <f t="shared" si="103"/>
        <v>46873.328573562481</v>
      </c>
      <c r="AR206" t="s">
        <v>258</v>
      </c>
      <c r="AS206" s="355" t="s">
        <v>258</v>
      </c>
    </row>
    <row r="207" spans="1:52" s="615" customFormat="1" ht="14.25" customHeight="1">
      <c r="A207" s="652">
        <v>17000</v>
      </c>
      <c r="B207" s="645" t="s">
        <v>968</v>
      </c>
      <c r="C207" s="608"/>
      <c r="D207" s="611"/>
      <c r="E207" s="611" t="s">
        <v>969</v>
      </c>
      <c r="F207" s="611" t="s">
        <v>956</v>
      </c>
      <c r="G207" s="617">
        <v>44</v>
      </c>
      <c r="H207" s="613">
        <v>4748000</v>
      </c>
      <c r="I207" s="603"/>
      <c r="J207" s="603"/>
      <c r="K207" s="604">
        <f t="shared" si="89"/>
        <v>63700</v>
      </c>
      <c r="L207" s="666">
        <f t="shared" si="90"/>
        <v>4811700</v>
      </c>
      <c r="M207" s="666">
        <f>H207*5%</f>
        <v>237400</v>
      </c>
      <c r="N207" s="683"/>
      <c r="O207" s="683"/>
      <c r="P207" s="693"/>
      <c r="Q207" s="694">
        <v>20000</v>
      </c>
      <c r="R207" s="694">
        <v>50000</v>
      </c>
      <c r="S207" s="603">
        <f>+P207*$S$5</f>
        <v>0</v>
      </c>
      <c r="T207" s="603">
        <f t="shared" si="94"/>
        <v>0</v>
      </c>
      <c r="U207" s="603">
        <f>+P207*0.12</f>
        <v>0</v>
      </c>
      <c r="V207" s="695">
        <f>P207+S207+T207+U207</f>
        <v>0</v>
      </c>
      <c r="W207" s="626">
        <f>W$296</f>
        <v>0.15</v>
      </c>
      <c r="X207" s="656">
        <f t="shared" si="97"/>
        <v>0</v>
      </c>
      <c r="Y207" s="614">
        <f t="shared" si="98"/>
        <v>15000</v>
      </c>
      <c r="Z207" s="656">
        <f t="shared" si="99"/>
        <v>-15000</v>
      </c>
      <c r="AA207" s="620">
        <f t="shared" si="100"/>
        <v>30</v>
      </c>
      <c r="AB207" s="656">
        <f t="shared" si="101"/>
        <v>-500</v>
      </c>
      <c r="AC207" s="656">
        <f t="shared" si="102"/>
        <v>0</v>
      </c>
      <c r="AD207" s="656">
        <f t="shared" si="103"/>
        <v>0</v>
      </c>
      <c r="AE207" s="656">
        <f t="shared" si="103"/>
        <v>0</v>
      </c>
      <c r="AF207" s="656">
        <f t="shared" si="103"/>
        <v>0</v>
      </c>
      <c r="AG207" s="656">
        <f t="shared" si="103"/>
        <v>0</v>
      </c>
      <c r="AQ207"/>
      <c r="AR207"/>
      <c r="AS207" s="616" t="s">
        <v>957</v>
      </c>
      <c r="AT207"/>
      <c r="AU207"/>
      <c r="AV207"/>
      <c r="AW207"/>
      <c r="AX207"/>
      <c r="AY207"/>
      <c r="AZ207"/>
    </row>
    <row r="208" spans="1:52" ht="14.25" customHeight="1">
      <c r="A208" s="651">
        <v>15000</v>
      </c>
      <c r="B208" s="641" t="s">
        <v>968</v>
      </c>
      <c r="C208" s="391"/>
      <c r="D208" s="367"/>
      <c r="E208" s="367" t="s">
        <v>565</v>
      </c>
      <c r="F208" s="367" t="s">
        <v>894</v>
      </c>
      <c r="G208" s="354">
        <v>22</v>
      </c>
      <c r="H208" s="587">
        <v>2000000</v>
      </c>
      <c r="I208" s="600">
        <f t="shared" si="87"/>
        <v>330000</v>
      </c>
      <c r="J208" s="600">
        <f t="shared" si="88"/>
        <v>39600</v>
      </c>
      <c r="K208" s="604">
        <f t="shared" si="89"/>
        <v>63700</v>
      </c>
      <c r="L208" s="666">
        <f t="shared" si="90"/>
        <v>2433300</v>
      </c>
      <c r="M208" s="666"/>
      <c r="N208" s="683">
        <v>75000</v>
      </c>
      <c r="O208" s="688">
        <f t="shared" ref="O208:O219" si="104">(H208+I208+K208+N208)*3%</f>
        <v>74061</v>
      </c>
      <c r="P208" s="601">
        <f t="shared" ref="P208:P219" si="105">SUM(L208+N208+O208)</f>
        <v>2582361</v>
      </c>
      <c r="Q208" s="669">
        <v>20000</v>
      </c>
      <c r="R208" s="669">
        <v>50000</v>
      </c>
      <c r="S208" s="600">
        <f t="shared" ref="S208:S266" si="106">+P208*$S$5</f>
        <v>193677.07499999998</v>
      </c>
      <c r="T208" s="600">
        <f t="shared" ref="T208:T266" si="107">+P208*$T$5</f>
        <v>64559.025000000001</v>
      </c>
      <c r="U208" s="600"/>
      <c r="V208" s="606">
        <f t="shared" si="95"/>
        <v>2840597.1</v>
      </c>
      <c r="W208" s="370">
        <f t="shared" ref="W208:W219" si="108">W$297</f>
        <v>0.15</v>
      </c>
      <c r="X208" s="655">
        <f t="shared" si="97"/>
        <v>426089.565</v>
      </c>
      <c r="Y208" s="368">
        <f t="shared" si="98"/>
        <v>15000</v>
      </c>
      <c r="Z208" s="655">
        <f t="shared" si="99"/>
        <v>411089.565</v>
      </c>
      <c r="AA208" s="366">
        <f t="shared" si="100"/>
        <v>30</v>
      </c>
      <c r="AB208" s="655">
        <f t="shared" si="101"/>
        <v>13702.985500000001</v>
      </c>
      <c r="AC208" s="655">
        <f t="shared" si="102"/>
        <v>2414507.5350000001</v>
      </c>
      <c r="AD208" s="655">
        <f t="shared" si="103"/>
        <v>18719.651219292529</v>
      </c>
      <c r="AE208" s="655">
        <f t="shared" si="103"/>
        <v>21702.276305860145</v>
      </c>
      <c r="AF208" s="655">
        <f t="shared" si="103"/>
        <v>28034.479795075873</v>
      </c>
      <c r="AG208" s="655">
        <f t="shared" si="103"/>
        <v>47810.143077704954</v>
      </c>
      <c r="AR208" t="str">
        <f>VLOOKUP(E$6:E$287,'[7]Sales Report'!$B$7:$C$288,2,FALSE)</f>
        <v>UNSOLD</v>
      </c>
      <c r="AS208" s="355" t="s">
        <v>258</v>
      </c>
    </row>
    <row r="209" spans="1:52" ht="14.25" customHeight="1">
      <c r="A209" s="651">
        <v>15000</v>
      </c>
      <c r="B209" s="641" t="s">
        <v>968</v>
      </c>
      <c r="C209" s="391"/>
      <c r="D209" s="367"/>
      <c r="E209" s="367" t="s">
        <v>568</v>
      </c>
      <c r="F209" s="367" t="s">
        <v>894</v>
      </c>
      <c r="G209" s="354">
        <v>22</v>
      </c>
      <c r="H209" s="587">
        <v>2000000</v>
      </c>
      <c r="I209" s="600">
        <f t="shared" si="87"/>
        <v>330000</v>
      </c>
      <c r="J209" s="600">
        <f t="shared" si="88"/>
        <v>39600</v>
      </c>
      <c r="K209" s="604">
        <f t="shared" si="89"/>
        <v>63700</v>
      </c>
      <c r="L209" s="666">
        <f t="shared" si="90"/>
        <v>2433300</v>
      </c>
      <c r="M209" s="666"/>
      <c r="N209" s="683">
        <v>75000</v>
      </c>
      <c r="O209" s="688">
        <f t="shared" si="104"/>
        <v>74061</v>
      </c>
      <c r="P209" s="601">
        <f t="shared" si="105"/>
        <v>2582361</v>
      </c>
      <c r="Q209" s="669">
        <v>20000</v>
      </c>
      <c r="R209" s="669">
        <v>50000</v>
      </c>
      <c r="S209" s="600">
        <f t="shared" si="106"/>
        <v>193677.07499999998</v>
      </c>
      <c r="T209" s="600">
        <f t="shared" si="107"/>
        <v>64559.025000000001</v>
      </c>
      <c r="U209" s="600"/>
      <c r="V209" s="606">
        <f t="shared" si="95"/>
        <v>2840597.1</v>
      </c>
      <c r="W209" s="370">
        <f t="shared" si="108"/>
        <v>0.15</v>
      </c>
      <c r="X209" s="655">
        <f t="shared" si="97"/>
        <v>426089.565</v>
      </c>
      <c r="Y209" s="368">
        <f t="shared" si="98"/>
        <v>15000</v>
      </c>
      <c r="Z209" s="655">
        <f t="shared" si="99"/>
        <v>411089.565</v>
      </c>
      <c r="AA209" s="366">
        <f t="shared" si="100"/>
        <v>30</v>
      </c>
      <c r="AB209" s="655">
        <f t="shared" si="101"/>
        <v>13702.985500000001</v>
      </c>
      <c r="AC209" s="655">
        <f t="shared" si="102"/>
        <v>2414507.5350000001</v>
      </c>
      <c r="AD209" s="655">
        <f t="shared" si="103"/>
        <v>18719.651219292529</v>
      </c>
      <c r="AE209" s="655">
        <f t="shared" si="103"/>
        <v>21702.276305860145</v>
      </c>
      <c r="AF209" s="655">
        <f t="shared" si="103"/>
        <v>28034.479795075873</v>
      </c>
      <c r="AG209" s="655">
        <f t="shared" si="103"/>
        <v>47810.143077704954</v>
      </c>
      <c r="AR209" t="str">
        <f>VLOOKUP(E$6:E$287,'[7]Sales Report'!$B$7:$C$288,2,FALSE)</f>
        <v>SOLD</v>
      </c>
      <c r="AS209" s="355" t="s">
        <v>236</v>
      </c>
    </row>
    <row r="210" spans="1:52" ht="14.25" customHeight="1">
      <c r="A210" s="651">
        <v>15000</v>
      </c>
      <c r="B210" s="641" t="s">
        <v>968</v>
      </c>
      <c r="C210" s="391"/>
      <c r="D210" s="367"/>
      <c r="E210" s="367" t="s">
        <v>570</v>
      </c>
      <c r="F210" s="367" t="s">
        <v>894</v>
      </c>
      <c r="G210" s="354">
        <v>22</v>
      </c>
      <c r="H210" s="587">
        <v>2000000</v>
      </c>
      <c r="I210" s="600">
        <f t="shared" si="87"/>
        <v>330000</v>
      </c>
      <c r="J210" s="600">
        <f t="shared" si="88"/>
        <v>39600</v>
      </c>
      <c r="K210" s="604">
        <f t="shared" si="89"/>
        <v>63700</v>
      </c>
      <c r="L210" s="666">
        <f t="shared" si="90"/>
        <v>2433300</v>
      </c>
      <c r="M210" s="666"/>
      <c r="N210" s="683">
        <v>75000</v>
      </c>
      <c r="O210" s="688">
        <f t="shared" si="104"/>
        <v>74061</v>
      </c>
      <c r="P210" s="601">
        <f t="shared" si="105"/>
        <v>2582361</v>
      </c>
      <c r="Q210" s="669">
        <v>20000</v>
      </c>
      <c r="R210" s="669">
        <v>50000</v>
      </c>
      <c r="S210" s="600">
        <f t="shared" si="106"/>
        <v>193677.07499999998</v>
      </c>
      <c r="T210" s="600">
        <f t="shared" si="107"/>
        <v>64559.025000000001</v>
      </c>
      <c r="U210" s="600"/>
      <c r="V210" s="606">
        <f t="shared" si="95"/>
        <v>2840597.1</v>
      </c>
      <c r="W210" s="370">
        <f t="shared" si="108"/>
        <v>0.15</v>
      </c>
      <c r="X210" s="655">
        <f t="shared" si="97"/>
        <v>426089.565</v>
      </c>
      <c r="Y210" s="368">
        <f t="shared" si="98"/>
        <v>15000</v>
      </c>
      <c r="Z210" s="655">
        <f t="shared" si="99"/>
        <v>411089.565</v>
      </c>
      <c r="AA210" s="366">
        <f t="shared" si="100"/>
        <v>30</v>
      </c>
      <c r="AB210" s="655">
        <f t="shared" si="101"/>
        <v>13702.985500000001</v>
      </c>
      <c r="AC210" s="655">
        <f t="shared" si="102"/>
        <v>2414507.5350000001</v>
      </c>
      <c r="AD210" s="655">
        <f t="shared" si="103"/>
        <v>18719.651219292529</v>
      </c>
      <c r="AE210" s="655">
        <f t="shared" si="103"/>
        <v>21702.276305860145</v>
      </c>
      <c r="AF210" s="655">
        <f t="shared" si="103"/>
        <v>28034.479795075873</v>
      </c>
      <c r="AG210" s="655">
        <f t="shared" si="103"/>
        <v>47810.143077704954</v>
      </c>
      <c r="AR210" t="str">
        <f>VLOOKUP(E$6:E$287,'[7]Sales Report'!$B$7:$C$288,2,FALSE)</f>
        <v>SOLD</v>
      </c>
      <c r="AS210" s="355" t="s">
        <v>236</v>
      </c>
    </row>
    <row r="211" spans="1:52" ht="14.25" customHeight="1">
      <c r="A211" s="651">
        <v>15000</v>
      </c>
      <c r="B211" s="641" t="s">
        <v>968</v>
      </c>
      <c r="C211" s="391"/>
      <c r="D211" s="367"/>
      <c r="E211" s="367" t="s">
        <v>572</v>
      </c>
      <c r="F211" s="367" t="s">
        <v>894</v>
      </c>
      <c r="G211" s="354">
        <v>22</v>
      </c>
      <c r="H211" s="587">
        <v>2000000</v>
      </c>
      <c r="I211" s="600">
        <f t="shared" si="87"/>
        <v>330000</v>
      </c>
      <c r="J211" s="600">
        <f t="shared" si="88"/>
        <v>39600</v>
      </c>
      <c r="K211" s="604">
        <f t="shared" si="89"/>
        <v>63700</v>
      </c>
      <c r="L211" s="666">
        <f t="shared" si="90"/>
        <v>2433300</v>
      </c>
      <c r="M211" s="666"/>
      <c r="N211" s="683">
        <v>75000</v>
      </c>
      <c r="O211" s="688">
        <f t="shared" si="104"/>
        <v>74061</v>
      </c>
      <c r="P211" s="601">
        <f t="shared" si="105"/>
        <v>2582361</v>
      </c>
      <c r="Q211" s="669">
        <v>20000</v>
      </c>
      <c r="R211" s="669">
        <v>50000</v>
      </c>
      <c r="S211" s="600">
        <f t="shared" si="106"/>
        <v>193677.07499999998</v>
      </c>
      <c r="T211" s="600">
        <f t="shared" si="107"/>
        <v>64559.025000000001</v>
      </c>
      <c r="U211" s="600"/>
      <c r="V211" s="606">
        <f t="shared" si="95"/>
        <v>2840597.1</v>
      </c>
      <c r="W211" s="370">
        <f t="shared" si="108"/>
        <v>0.15</v>
      </c>
      <c r="X211" s="655">
        <f t="shared" si="97"/>
        <v>426089.565</v>
      </c>
      <c r="Y211" s="368">
        <f t="shared" si="98"/>
        <v>15000</v>
      </c>
      <c r="Z211" s="655">
        <f t="shared" si="99"/>
        <v>411089.565</v>
      </c>
      <c r="AA211" s="366">
        <f t="shared" si="100"/>
        <v>30</v>
      </c>
      <c r="AB211" s="655">
        <f t="shared" si="101"/>
        <v>13702.985500000001</v>
      </c>
      <c r="AC211" s="655">
        <f t="shared" si="102"/>
        <v>2414507.5350000001</v>
      </c>
      <c r="AD211" s="655">
        <f t="shared" si="103"/>
        <v>18719.651219292529</v>
      </c>
      <c r="AE211" s="655">
        <f t="shared" si="103"/>
        <v>21702.276305860145</v>
      </c>
      <c r="AF211" s="655">
        <f t="shared" si="103"/>
        <v>28034.479795075873</v>
      </c>
      <c r="AG211" s="655">
        <f t="shared" si="103"/>
        <v>47810.143077704954</v>
      </c>
      <c r="AR211" t="str">
        <f>VLOOKUP(E$6:E$287,'[7]Sales Report'!$B$7:$C$288,2,FALSE)</f>
        <v>SOLD</v>
      </c>
      <c r="AS211" s="355" t="s">
        <v>236</v>
      </c>
    </row>
    <row r="212" spans="1:52" ht="14.25" customHeight="1">
      <c r="A212" s="651">
        <v>15000</v>
      </c>
      <c r="B212" s="641" t="s">
        <v>968</v>
      </c>
      <c r="C212" s="391"/>
      <c r="D212" s="367"/>
      <c r="E212" s="367" t="s">
        <v>573</v>
      </c>
      <c r="F212" s="367" t="s">
        <v>894</v>
      </c>
      <c r="G212" s="354">
        <v>22</v>
      </c>
      <c r="H212" s="587">
        <v>2000000</v>
      </c>
      <c r="I212" s="600">
        <f t="shared" si="87"/>
        <v>330000</v>
      </c>
      <c r="J212" s="600">
        <f t="shared" si="88"/>
        <v>39600</v>
      </c>
      <c r="K212" s="604">
        <f t="shared" si="89"/>
        <v>63700</v>
      </c>
      <c r="L212" s="666">
        <f t="shared" si="90"/>
        <v>2433300</v>
      </c>
      <c r="M212" s="666"/>
      <c r="N212" s="683">
        <v>75000</v>
      </c>
      <c r="O212" s="688">
        <f t="shared" si="104"/>
        <v>74061</v>
      </c>
      <c r="P212" s="601">
        <f t="shared" si="105"/>
        <v>2582361</v>
      </c>
      <c r="Q212" s="669">
        <v>20000</v>
      </c>
      <c r="R212" s="669">
        <v>50000</v>
      </c>
      <c r="S212" s="600">
        <f t="shared" si="106"/>
        <v>193677.07499999998</v>
      </c>
      <c r="T212" s="600">
        <f t="shared" si="107"/>
        <v>64559.025000000001</v>
      </c>
      <c r="U212" s="600"/>
      <c r="V212" s="606">
        <f t="shared" si="95"/>
        <v>2840597.1</v>
      </c>
      <c r="W212" s="370">
        <f t="shared" si="108"/>
        <v>0.15</v>
      </c>
      <c r="X212" s="655">
        <f t="shared" si="97"/>
        <v>426089.565</v>
      </c>
      <c r="Y212" s="368">
        <f t="shared" si="98"/>
        <v>15000</v>
      </c>
      <c r="Z212" s="655">
        <f t="shared" si="99"/>
        <v>411089.565</v>
      </c>
      <c r="AA212" s="366">
        <f t="shared" si="100"/>
        <v>30</v>
      </c>
      <c r="AB212" s="655">
        <f t="shared" si="101"/>
        <v>13702.985500000001</v>
      </c>
      <c r="AC212" s="655">
        <f t="shared" si="102"/>
        <v>2414507.5350000001</v>
      </c>
      <c r="AD212" s="655">
        <f t="shared" si="103"/>
        <v>18719.651219292529</v>
      </c>
      <c r="AE212" s="655">
        <f t="shared" si="103"/>
        <v>21702.276305860145</v>
      </c>
      <c r="AF212" s="655">
        <f t="shared" si="103"/>
        <v>28034.479795075873</v>
      </c>
      <c r="AG212" s="655">
        <f t="shared" si="103"/>
        <v>47810.143077704954</v>
      </c>
      <c r="AR212" t="str">
        <f>VLOOKUP(E$6:E$287,'[7]Sales Report'!$B$7:$C$288,2,FALSE)</f>
        <v>SOLD</v>
      </c>
      <c r="AS212" s="355" t="s">
        <v>236</v>
      </c>
    </row>
    <row r="213" spans="1:52" ht="14.25" customHeight="1">
      <c r="A213" s="651">
        <v>15000</v>
      </c>
      <c r="B213" s="641" t="s">
        <v>968</v>
      </c>
      <c r="C213" s="391"/>
      <c r="D213" s="367"/>
      <c r="E213" s="367" t="s">
        <v>575</v>
      </c>
      <c r="F213" s="367" t="s">
        <v>894</v>
      </c>
      <c r="G213" s="354">
        <v>22</v>
      </c>
      <c r="H213" s="587">
        <v>2000000</v>
      </c>
      <c r="I213" s="600">
        <f t="shared" si="87"/>
        <v>330000</v>
      </c>
      <c r="J213" s="600">
        <f t="shared" si="88"/>
        <v>39600</v>
      </c>
      <c r="K213" s="604">
        <f t="shared" si="89"/>
        <v>63700</v>
      </c>
      <c r="L213" s="666">
        <f t="shared" si="90"/>
        <v>2433300</v>
      </c>
      <c r="M213" s="666"/>
      <c r="N213" s="683">
        <v>75000</v>
      </c>
      <c r="O213" s="688">
        <f t="shared" si="104"/>
        <v>74061</v>
      </c>
      <c r="P213" s="601">
        <f t="shared" si="105"/>
        <v>2582361</v>
      </c>
      <c r="Q213" s="669">
        <v>20000</v>
      </c>
      <c r="R213" s="669">
        <v>50000</v>
      </c>
      <c r="S213" s="600">
        <f t="shared" si="106"/>
        <v>193677.07499999998</v>
      </c>
      <c r="T213" s="600">
        <f t="shared" si="107"/>
        <v>64559.025000000001</v>
      </c>
      <c r="U213" s="600"/>
      <c r="V213" s="606">
        <f t="shared" si="95"/>
        <v>2840597.1</v>
      </c>
      <c r="W213" s="370">
        <f t="shared" si="108"/>
        <v>0.15</v>
      </c>
      <c r="X213" s="655">
        <f t="shared" si="97"/>
        <v>426089.565</v>
      </c>
      <c r="Y213" s="368">
        <f t="shared" si="98"/>
        <v>15000</v>
      </c>
      <c r="Z213" s="655">
        <f t="shared" si="99"/>
        <v>411089.565</v>
      </c>
      <c r="AA213" s="366">
        <f t="shared" si="100"/>
        <v>30</v>
      </c>
      <c r="AB213" s="655">
        <f t="shared" si="101"/>
        <v>13702.985500000001</v>
      </c>
      <c r="AC213" s="655">
        <f t="shared" si="102"/>
        <v>2414507.5350000001</v>
      </c>
      <c r="AD213" s="655">
        <f t="shared" si="103"/>
        <v>18719.651219292529</v>
      </c>
      <c r="AE213" s="655">
        <f t="shared" si="103"/>
        <v>21702.276305860145</v>
      </c>
      <c r="AF213" s="655">
        <f t="shared" si="103"/>
        <v>28034.479795075873</v>
      </c>
      <c r="AG213" s="655">
        <f t="shared" si="103"/>
        <v>47810.143077704954</v>
      </c>
      <c r="AR213" t="str">
        <f>VLOOKUP(E$6:E$287,'[7]Sales Report'!$B$7:$C$288,2,FALSE)</f>
        <v>SOLD</v>
      </c>
      <c r="AS213" s="355" t="s">
        <v>236</v>
      </c>
    </row>
    <row r="214" spans="1:52" ht="14.25" customHeight="1">
      <c r="A214" s="651">
        <v>15000</v>
      </c>
      <c r="B214" s="641" t="s">
        <v>968</v>
      </c>
      <c r="C214" s="391"/>
      <c r="D214" s="367"/>
      <c r="E214" s="367" t="s">
        <v>577</v>
      </c>
      <c r="F214" s="367" t="s">
        <v>894</v>
      </c>
      <c r="G214" s="354">
        <v>22</v>
      </c>
      <c r="H214" s="587">
        <v>2000000</v>
      </c>
      <c r="I214" s="600">
        <f t="shared" si="87"/>
        <v>330000</v>
      </c>
      <c r="J214" s="600">
        <f t="shared" si="88"/>
        <v>39600</v>
      </c>
      <c r="K214" s="604">
        <f t="shared" si="89"/>
        <v>63700</v>
      </c>
      <c r="L214" s="666">
        <f t="shared" si="90"/>
        <v>2433300</v>
      </c>
      <c r="M214" s="666"/>
      <c r="N214" s="683">
        <v>75000</v>
      </c>
      <c r="O214" s="688">
        <f t="shared" si="104"/>
        <v>74061</v>
      </c>
      <c r="P214" s="601">
        <f t="shared" si="105"/>
        <v>2582361</v>
      </c>
      <c r="Q214" s="669">
        <v>20000</v>
      </c>
      <c r="R214" s="669">
        <v>50000</v>
      </c>
      <c r="S214" s="600">
        <f t="shared" si="106"/>
        <v>193677.07499999998</v>
      </c>
      <c r="T214" s="600">
        <f t="shared" si="107"/>
        <v>64559.025000000001</v>
      </c>
      <c r="U214" s="600"/>
      <c r="V214" s="606">
        <f t="shared" si="95"/>
        <v>2840597.1</v>
      </c>
      <c r="W214" s="370">
        <f t="shared" si="108"/>
        <v>0.15</v>
      </c>
      <c r="X214" s="655">
        <f t="shared" si="97"/>
        <v>426089.565</v>
      </c>
      <c r="Y214" s="368">
        <f t="shared" si="98"/>
        <v>15000</v>
      </c>
      <c r="Z214" s="655">
        <f t="shared" si="99"/>
        <v>411089.565</v>
      </c>
      <c r="AA214" s="366">
        <f t="shared" si="100"/>
        <v>30</v>
      </c>
      <c r="AB214" s="655">
        <f t="shared" si="101"/>
        <v>13702.985500000001</v>
      </c>
      <c r="AC214" s="655">
        <f t="shared" si="102"/>
        <v>2414507.5350000001</v>
      </c>
      <c r="AD214" s="655">
        <f t="shared" si="103"/>
        <v>18719.651219292529</v>
      </c>
      <c r="AE214" s="655">
        <f t="shared" si="103"/>
        <v>21702.276305860145</v>
      </c>
      <c r="AF214" s="655">
        <f t="shared" si="103"/>
        <v>28034.479795075873</v>
      </c>
      <c r="AG214" s="655">
        <f t="shared" si="103"/>
        <v>47810.143077704954</v>
      </c>
      <c r="AR214" t="str">
        <f>VLOOKUP(E$6:E$287,'[7]Sales Report'!$B$7:$C$288,2,FALSE)</f>
        <v>SOLD</v>
      </c>
      <c r="AS214" s="355" t="s">
        <v>236</v>
      </c>
    </row>
    <row r="215" spans="1:52" ht="14.25" customHeight="1">
      <c r="A215" s="651">
        <v>13000</v>
      </c>
      <c r="B215" s="641" t="s">
        <v>968</v>
      </c>
      <c r="C215" s="391"/>
      <c r="D215" s="367"/>
      <c r="E215" s="367" t="s">
        <v>578</v>
      </c>
      <c r="F215" s="367" t="s">
        <v>894</v>
      </c>
      <c r="G215" s="354">
        <v>22</v>
      </c>
      <c r="H215" s="587">
        <v>2000000</v>
      </c>
      <c r="I215" s="600">
        <f t="shared" si="87"/>
        <v>286000</v>
      </c>
      <c r="J215" s="600">
        <f t="shared" si="88"/>
        <v>34320</v>
      </c>
      <c r="K215" s="604">
        <f t="shared" si="89"/>
        <v>63700</v>
      </c>
      <c r="L215" s="666">
        <f t="shared" si="90"/>
        <v>2384020</v>
      </c>
      <c r="M215" s="666"/>
      <c r="N215" s="683">
        <v>75000</v>
      </c>
      <c r="O215" s="688">
        <f t="shared" si="104"/>
        <v>72741</v>
      </c>
      <c r="P215" s="601">
        <f t="shared" si="105"/>
        <v>2531761</v>
      </c>
      <c r="Q215" s="669">
        <v>20000</v>
      </c>
      <c r="R215" s="669">
        <v>50000</v>
      </c>
      <c r="S215" s="600">
        <f t="shared" si="106"/>
        <v>189882.07499999998</v>
      </c>
      <c r="T215" s="600">
        <f t="shared" si="107"/>
        <v>63294.025000000001</v>
      </c>
      <c r="U215" s="600"/>
      <c r="V215" s="606">
        <f t="shared" si="95"/>
        <v>2784937.1</v>
      </c>
      <c r="W215" s="370">
        <f t="shared" si="108"/>
        <v>0.15</v>
      </c>
      <c r="X215" s="655">
        <f t="shared" si="97"/>
        <v>417740.565</v>
      </c>
      <c r="Y215" s="368">
        <f t="shared" si="98"/>
        <v>15000</v>
      </c>
      <c r="Z215" s="655">
        <f t="shared" si="99"/>
        <v>402740.565</v>
      </c>
      <c r="AA215" s="366">
        <f t="shared" si="100"/>
        <v>30</v>
      </c>
      <c r="AB215" s="655">
        <f t="shared" si="101"/>
        <v>13424.6855</v>
      </c>
      <c r="AC215" s="655">
        <f t="shared" si="102"/>
        <v>2367196.5350000001</v>
      </c>
      <c r="AD215" s="655">
        <f t="shared" si="103"/>
        <v>18352.849539861883</v>
      </c>
      <c r="AE215" s="655">
        <f t="shared" si="103"/>
        <v>21277.031663040445</v>
      </c>
      <c r="AF215" s="655">
        <f t="shared" si="103"/>
        <v>27485.158969044642</v>
      </c>
      <c r="AG215" s="655">
        <f t="shared" si="103"/>
        <v>46873.328573562481</v>
      </c>
      <c r="AR215" t="s">
        <v>258</v>
      </c>
      <c r="AS215" s="355" t="s">
        <v>258</v>
      </c>
    </row>
    <row r="216" spans="1:52" ht="14.25" customHeight="1">
      <c r="A216" s="651">
        <v>13000</v>
      </c>
      <c r="B216" s="641" t="s">
        <v>968</v>
      </c>
      <c r="C216" s="391"/>
      <c r="D216" s="367"/>
      <c r="E216" s="367" t="s">
        <v>579</v>
      </c>
      <c r="F216" s="367" t="s">
        <v>894</v>
      </c>
      <c r="G216" s="354">
        <v>22</v>
      </c>
      <c r="H216" s="587">
        <v>2000000</v>
      </c>
      <c r="I216" s="600">
        <f t="shared" si="87"/>
        <v>286000</v>
      </c>
      <c r="J216" s="600">
        <f t="shared" si="88"/>
        <v>34320</v>
      </c>
      <c r="K216" s="604">
        <f t="shared" si="89"/>
        <v>63700</v>
      </c>
      <c r="L216" s="666">
        <f t="shared" si="90"/>
        <v>2384020</v>
      </c>
      <c r="M216" s="666"/>
      <c r="N216" s="683">
        <v>75000</v>
      </c>
      <c r="O216" s="688">
        <f t="shared" si="104"/>
        <v>72741</v>
      </c>
      <c r="P216" s="601">
        <f t="shared" si="105"/>
        <v>2531761</v>
      </c>
      <c r="Q216" s="669">
        <v>20000</v>
      </c>
      <c r="R216" s="669">
        <v>50000</v>
      </c>
      <c r="S216" s="600">
        <f t="shared" si="106"/>
        <v>189882.07499999998</v>
      </c>
      <c r="T216" s="600">
        <f t="shared" si="107"/>
        <v>63294.025000000001</v>
      </c>
      <c r="U216" s="600"/>
      <c r="V216" s="606">
        <f t="shared" si="95"/>
        <v>2784937.1</v>
      </c>
      <c r="W216" s="370">
        <f t="shared" si="108"/>
        <v>0.15</v>
      </c>
      <c r="X216" s="655">
        <f t="shared" si="97"/>
        <v>417740.565</v>
      </c>
      <c r="Y216" s="368">
        <f t="shared" si="98"/>
        <v>15000</v>
      </c>
      <c r="Z216" s="655">
        <f t="shared" si="99"/>
        <v>402740.565</v>
      </c>
      <c r="AA216" s="366">
        <f t="shared" si="100"/>
        <v>30</v>
      </c>
      <c r="AB216" s="655">
        <f t="shared" si="101"/>
        <v>13424.6855</v>
      </c>
      <c r="AC216" s="655">
        <f t="shared" si="102"/>
        <v>2367196.5350000001</v>
      </c>
      <c r="AD216" s="655">
        <f t="shared" si="103"/>
        <v>18352.849539861883</v>
      </c>
      <c r="AE216" s="655">
        <f t="shared" si="103"/>
        <v>21277.031663040445</v>
      </c>
      <c r="AF216" s="655">
        <f t="shared" si="103"/>
        <v>27485.158969044642</v>
      </c>
      <c r="AG216" s="655">
        <f t="shared" si="103"/>
        <v>46873.328573562481</v>
      </c>
      <c r="AR216" t="s">
        <v>258</v>
      </c>
      <c r="AS216" s="355" t="s">
        <v>258</v>
      </c>
    </row>
    <row r="217" spans="1:52" ht="14.25" customHeight="1">
      <c r="A217" s="651">
        <v>13000</v>
      </c>
      <c r="B217" s="641" t="s">
        <v>968</v>
      </c>
      <c r="C217" s="391"/>
      <c r="D217" s="367"/>
      <c r="E217" s="367" t="s">
        <v>580</v>
      </c>
      <c r="F217" s="367" t="s">
        <v>894</v>
      </c>
      <c r="G217" s="354">
        <v>22</v>
      </c>
      <c r="H217" s="587">
        <v>2000000</v>
      </c>
      <c r="I217" s="600">
        <f t="shared" si="87"/>
        <v>286000</v>
      </c>
      <c r="J217" s="600">
        <f t="shared" si="88"/>
        <v>34320</v>
      </c>
      <c r="K217" s="604">
        <f t="shared" si="89"/>
        <v>63700</v>
      </c>
      <c r="L217" s="666">
        <f t="shared" si="90"/>
        <v>2384020</v>
      </c>
      <c r="M217" s="666"/>
      <c r="N217" s="683">
        <v>75000</v>
      </c>
      <c r="O217" s="688">
        <f t="shared" si="104"/>
        <v>72741</v>
      </c>
      <c r="P217" s="601">
        <f t="shared" si="105"/>
        <v>2531761</v>
      </c>
      <c r="Q217" s="669">
        <v>20000</v>
      </c>
      <c r="R217" s="669">
        <v>50000</v>
      </c>
      <c r="S217" s="600">
        <f t="shared" si="106"/>
        <v>189882.07499999998</v>
      </c>
      <c r="T217" s="600">
        <f t="shared" si="107"/>
        <v>63294.025000000001</v>
      </c>
      <c r="U217" s="600"/>
      <c r="V217" s="606">
        <f t="shared" si="95"/>
        <v>2784937.1</v>
      </c>
      <c r="W217" s="370">
        <f t="shared" si="108"/>
        <v>0.15</v>
      </c>
      <c r="X217" s="655">
        <f t="shared" si="97"/>
        <v>417740.565</v>
      </c>
      <c r="Y217" s="368">
        <f t="shared" si="98"/>
        <v>15000</v>
      </c>
      <c r="Z217" s="655">
        <f t="shared" si="99"/>
        <v>402740.565</v>
      </c>
      <c r="AA217" s="366">
        <f t="shared" si="100"/>
        <v>30</v>
      </c>
      <c r="AB217" s="655">
        <f t="shared" si="101"/>
        <v>13424.6855</v>
      </c>
      <c r="AC217" s="655">
        <f t="shared" si="102"/>
        <v>2367196.5350000001</v>
      </c>
      <c r="AD217" s="655">
        <f t="shared" si="103"/>
        <v>18352.849539861883</v>
      </c>
      <c r="AE217" s="655">
        <f t="shared" si="103"/>
        <v>21277.031663040445</v>
      </c>
      <c r="AF217" s="655">
        <f t="shared" si="103"/>
        <v>27485.158969044642</v>
      </c>
      <c r="AG217" s="655">
        <f t="shared" si="103"/>
        <v>46873.328573562481</v>
      </c>
      <c r="AR217" t="s">
        <v>258</v>
      </c>
      <c r="AS217" s="355" t="s">
        <v>258</v>
      </c>
    </row>
    <row r="218" spans="1:52" ht="14.25" customHeight="1">
      <c r="A218" s="651">
        <v>13000</v>
      </c>
      <c r="B218" s="641" t="s">
        <v>968</v>
      </c>
      <c r="C218" s="391"/>
      <c r="D218" s="367"/>
      <c r="E218" s="367" t="s">
        <v>582</v>
      </c>
      <c r="F218" s="367" t="s">
        <v>894</v>
      </c>
      <c r="G218" s="354">
        <v>22</v>
      </c>
      <c r="H218" s="587">
        <v>2000000</v>
      </c>
      <c r="I218" s="600">
        <f t="shared" si="87"/>
        <v>286000</v>
      </c>
      <c r="J218" s="600">
        <f t="shared" si="88"/>
        <v>34320</v>
      </c>
      <c r="K218" s="604">
        <f t="shared" si="89"/>
        <v>63700</v>
      </c>
      <c r="L218" s="666">
        <f t="shared" si="90"/>
        <v>2384020</v>
      </c>
      <c r="M218" s="666"/>
      <c r="N218" s="683">
        <v>75000</v>
      </c>
      <c r="O218" s="688">
        <f t="shared" si="104"/>
        <v>72741</v>
      </c>
      <c r="P218" s="601">
        <f t="shared" si="105"/>
        <v>2531761</v>
      </c>
      <c r="Q218" s="669">
        <v>20000</v>
      </c>
      <c r="R218" s="669">
        <v>50000</v>
      </c>
      <c r="S218" s="600">
        <f t="shared" si="106"/>
        <v>189882.07499999998</v>
      </c>
      <c r="T218" s="600">
        <f t="shared" si="107"/>
        <v>63294.025000000001</v>
      </c>
      <c r="U218" s="600"/>
      <c r="V218" s="606">
        <f t="shared" si="95"/>
        <v>2784937.1</v>
      </c>
      <c r="W218" s="370">
        <f t="shared" si="108"/>
        <v>0.15</v>
      </c>
      <c r="X218" s="655">
        <f t="shared" si="97"/>
        <v>417740.565</v>
      </c>
      <c r="Y218" s="368">
        <f t="shared" si="98"/>
        <v>15000</v>
      </c>
      <c r="Z218" s="655">
        <f t="shared" si="99"/>
        <v>402740.565</v>
      </c>
      <c r="AA218" s="366">
        <f t="shared" si="100"/>
        <v>30</v>
      </c>
      <c r="AB218" s="655">
        <f t="shared" si="101"/>
        <v>13424.6855</v>
      </c>
      <c r="AC218" s="655">
        <f t="shared" si="102"/>
        <v>2367196.5350000001</v>
      </c>
      <c r="AD218" s="655">
        <f t="shared" si="103"/>
        <v>18352.849539861883</v>
      </c>
      <c r="AE218" s="655">
        <f t="shared" si="103"/>
        <v>21277.031663040445</v>
      </c>
      <c r="AF218" s="655">
        <f t="shared" si="103"/>
        <v>27485.158969044642</v>
      </c>
      <c r="AG218" s="655">
        <f t="shared" si="103"/>
        <v>46873.328573562481</v>
      </c>
      <c r="AR218" t="s">
        <v>258</v>
      </c>
      <c r="AS218" s="355" t="s">
        <v>258</v>
      </c>
    </row>
    <row r="219" spans="1:52" ht="14.25" customHeight="1">
      <c r="A219" s="651">
        <v>13000</v>
      </c>
      <c r="B219" s="641" t="s">
        <v>968</v>
      </c>
      <c r="C219" s="391"/>
      <c r="D219" s="367"/>
      <c r="E219" s="367" t="s">
        <v>583</v>
      </c>
      <c r="F219" s="367" t="s">
        <v>894</v>
      </c>
      <c r="G219" s="354">
        <v>22</v>
      </c>
      <c r="H219" s="587">
        <v>2000000</v>
      </c>
      <c r="I219" s="600">
        <f t="shared" si="87"/>
        <v>286000</v>
      </c>
      <c r="J219" s="600">
        <f t="shared" si="88"/>
        <v>34320</v>
      </c>
      <c r="K219" s="604">
        <f t="shared" si="89"/>
        <v>63700</v>
      </c>
      <c r="L219" s="666">
        <f t="shared" si="90"/>
        <v>2384020</v>
      </c>
      <c r="M219" s="666"/>
      <c r="N219" s="683">
        <v>75000</v>
      </c>
      <c r="O219" s="688">
        <f t="shared" si="104"/>
        <v>72741</v>
      </c>
      <c r="P219" s="601">
        <f t="shared" si="105"/>
        <v>2531761</v>
      </c>
      <c r="Q219" s="669">
        <v>20000</v>
      </c>
      <c r="R219" s="669">
        <v>50000</v>
      </c>
      <c r="S219" s="600">
        <f t="shared" si="106"/>
        <v>189882.07499999998</v>
      </c>
      <c r="T219" s="600">
        <f t="shared" si="107"/>
        <v>63294.025000000001</v>
      </c>
      <c r="U219" s="600"/>
      <c r="V219" s="606">
        <f t="shared" si="95"/>
        <v>2784937.1</v>
      </c>
      <c r="W219" s="370">
        <f t="shared" si="108"/>
        <v>0.15</v>
      </c>
      <c r="X219" s="655">
        <f t="shared" si="97"/>
        <v>417740.565</v>
      </c>
      <c r="Y219" s="368">
        <f t="shared" si="98"/>
        <v>15000</v>
      </c>
      <c r="Z219" s="655">
        <f t="shared" si="99"/>
        <v>402740.565</v>
      </c>
      <c r="AA219" s="366">
        <f t="shared" si="100"/>
        <v>30</v>
      </c>
      <c r="AB219" s="655">
        <f t="shared" si="101"/>
        <v>13424.6855</v>
      </c>
      <c r="AC219" s="655">
        <f t="shared" si="102"/>
        <v>2367196.5350000001</v>
      </c>
      <c r="AD219" s="655">
        <f t="shared" si="103"/>
        <v>18352.849539861883</v>
      </c>
      <c r="AE219" s="655">
        <f t="shared" si="103"/>
        <v>21277.031663040445</v>
      </c>
      <c r="AF219" s="655">
        <f t="shared" si="103"/>
        <v>27485.158969044642</v>
      </c>
      <c r="AG219" s="655">
        <f t="shared" si="103"/>
        <v>46873.328573562481</v>
      </c>
      <c r="AR219" t="s">
        <v>258</v>
      </c>
      <c r="AS219" s="355" t="s">
        <v>258</v>
      </c>
    </row>
    <row r="220" spans="1:52" s="615" customFormat="1" ht="14.25" customHeight="1">
      <c r="A220" s="652">
        <v>17000</v>
      </c>
      <c r="B220" s="646" t="s">
        <v>968</v>
      </c>
      <c r="C220" s="608"/>
      <c r="D220" s="611"/>
      <c r="E220" s="611" t="s">
        <v>970</v>
      </c>
      <c r="F220" s="611" t="s">
        <v>956</v>
      </c>
      <c r="G220" s="617">
        <v>44</v>
      </c>
      <c r="H220" s="613">
        <v>4748000</v>
      </c>
      <c r="I220" s="603"/>
      <c r="J220" s="603"/>
      <c r="K220" s="604">
        <f t="shared" si="89"/>
        <v>63700</v>
      </c>
      <c r="L220" s="666">
        <f t="shared" si="90"/>
        <v>4811700</v>
      </c>
      <c r="M220" s="666">
        <f>H220*5%</f>
        <v>237400</v>
      </c>
      <c r="N220" s="683"/>
      <c r="O220" s="683"/>
      <c r="P220" s="693"/>
      <c r="Q220" s="694">
        <v>20000</v>
      </c>
      <c r="R220" s="694">
        <v>50000</v>
      </c>
      <c r="S220" s="603">
        <f>+P220*$S$5</f>
        <v>0</v>
      </c>
      <c r="T220" s="603">
        <f t="shared" ref="T220" si="109">+P220*$T$5</f>
        <v>0</v>
      </c>
      <c r="U220" s="603">
        <f>+P220*0.12</f>
        <v>0</v>
      </c>
      <c r="V220" s="695">
        <f>P220+S220+T220+U220</f>
        <v>0</v>
      </c>
      <c r="W220" s="626">
        <f>W$296</f>
        <v>0.15</v>
      </c>
      <c r="X220" s="656">
        <f t="shared" si="97"/>
        <v>0</v>
      </c>
      <c r="Y220" s="614">
        <f t="shared" si="98"/>
        <v>15000</v>
      </c>
      <c r="Z220" s="656">
        <f t="shared" si="99"/>
        <v>-15000</v>
      </c>
      <c r="AA220" s="620">
        <f t="shared" si="100"/>
        <v>30</v>
      </c>
      <c r="AB220" s="656">
        <f t="shared" si="101"/>
        <v>-500</v>
      </c>
      <c r="AC220" s="656">
        <f t="shared" si="102"/>
        <v>0</v>
      </c>
      <c r="AD220" s="656">
        <f t="shared" si="103"/>
        <v>0</v>
      </c>
      <c r="AE220" s="656">
        <f t="shared" si="103"/>
        <v>0</v>
      </c>
      <c r="AF220" s="656">
        <f t="shared" si="103"/>
        <v>0</v>
      </c>
      <c r="AG220" s="656">
        <f t="shared" si="103"/>
        <v>0</v>
      </c>
      <c r="AQ220"/>
      <c r="AR220"/>
      <c r="AS220" s="616" t="s">
        <v>957</v>
      </c>
      <c r="AT220"/>
      <c r="AU220"/>
      <c r="AV220"/>
      <c r="AW220"/>
      <c r="AX220"/>
      <c r="AY220"/>
      <c r="AZ220"/>
    </row>
    <row r="221" spans="1:52" ht="14.25" customHeight="1">
      <c r="A221" s="651">
        <v>15000</v>
      </c>
      <c r="B221" s="641" t="s">
        <v>968</v>
      </c>
      <c r="C221" s="391"/>
      <c r="D221" s="367"/>
      <c r="E221" s="367" t="s">
        <v>586</v>
      </c>
      <c r="F221" s="367" t="s">
        <v>894</v>
      </c>
      <c r="G221" s="354">
        <v>22</v>
      </c>
      <c r="H221" s="587">
        <v>2000000</v>
      </c>
      <c r="I221" s="600">
        <f t="shared" si="87"/>
        <v>330000</v>
      </c>
      <c r="J221" s="600">
        <f t="shared" si="88"/>
        <v>39600</v>
      </c>
      <c r="K221" s="604">
        <f t="shared" si="89"/>
        <v>63700</v>
      </c>
      <c r="L221" s="666">
        <f t="shared" si="90"/>
        <v>2433300</v>
      </c>
      <c r="M221" s="666"/>
      <c r="N221" s="683">
        <v>75000</v>
      </c>
      <c r="O221" s="688">
        <f t="shared" ref="O221:O227" si="110">(H221+I221+K221+N221)*3%</f>
        <v>74061</v>
      </c>
      <c r="P221" s="601">
        <f t="shared" ref="P221:P227" si="111">SUM(L221+N221+O221)</f>
        <v>2582361</v>
      </c>
      <c r="Q221" s="669">
        <v>20000</v>
      </c>
      <c r="R221" s="669">
        <v>50000</v>
      </c>
      <c r="S221" s="600">
        <f t="shared" si="106"/>
        <v>193677.07499999998</v>
      </c>
      <c r="T221" s="600">
        <f t="shared" si="107"/>
        <v>64559.025000000001</v>
      </c>
      <c r="U221" s="600"/>
      <c r="V221" s="606">
        <f t="shared" si="95"/>
        <v>2840597.1</v>
      </c>
      <c r="W221" s="370">
        <f t="shared" ref="W221:W227" si="112">W$297</f>
        <v>0.15</v>
      </c>
      <c r="X221" s="655">
        <f t="shared" si="97"/>
        <v>426089.565</v>
      </c>
      <c r="Y221" s="368">
        <f t="shared" si="98"/>
        <v>15000</v>
      </c>
      <c r="Z221" s="655">
        <f t="shared" si="99"/>
        <v>411089.565</v>
      </c>
      <c r="AA221" s="366">
        <f t="shared" si="100"/>
        <v>30</v>
      </c>
      <c r="AB221" s="655">
        <f t="shared" si="101"/>
        <v>13702.985500000001</v>
      </c>
      <c r="AC221" s="655">
        <f t="shared" si="102"/>
        <v>2414507.5350000001</v>
      </c>
      <c r="AD221" s="655">
        <f t="shared" si="103"/>
        <v>18719.651219292529</v>
      </c>
      <c r="AE221" s="655">
        <f t="shared" si="103"/>
        <v>21702.276305860145</v>
      </c>
      <c r="AF221" s="655">
        <f t="shared" si="103"/>
        <v>28034.479795075873</v>
      </c>
      <c r="AG221" s="655">
        <f t="shared" si="103"/>
        <v>47810.143077704954</v>
      </c>
      <c r="AR221" t="s">
        <v>258</v>
      </c>
      <c r="AS221" s="355" t="s">
        <v>258</v>
      </c>
    </row>
    <row r="222" spans="1:52" ht="14.25" customHeight="1">
      <c r="A222" s="651">
        <v>15000</v>
      </c>
      <c r="B222" s="641" t="s">
        <v>968</v>
      </c>
      <c r="C222" s="392"/>
      <c r="D222" s="418"/>
      <c r="E222" s="414" t="s">
        <v>588</v>
      </c>
      <c r="F222" s="367" t="s">
        <v>894</v>
      </c>
      <c r="G222" s="375">
        <v>22</v>
      </c>
      <c r="H222" s="587">
        <v>2000000</v>
      </c>
      <c r="I222" s="600">
        <f t="shared" si="87"/>
        <v>330000</v>
      </c>
      <c r="J222" s="600">
        <f t="shared" si="88"/>
        <v>39600</v>
      </c>
      <c r="K222" s="604">
        <f t="shared" si="89"/>
        <v>63700</v>
      </c>
      <c r="L222" s="666">
        <f t="shared" si="90"/>
        <v>2433300</v>
      </c>
      <c r="M222" s="666"/>
      <c r="N222" s="683">
        <v>75000</v>
      </c>
      <c r="O222" s="688">
        <f t="shared" si="110"/>
        <v>74061</v>
      </c>
      <c r="P222" s="601">
        <f t="shared" si="111"/>
        <v>2582361</v>
      </c>
      <c r="Q222" s="669">
        <v>20000</v>
      </c>
      <c r="R222" s="669">
        <v>50000</v>
      </c>
      <c r="S222" s="600">
        <f t="shared" si="106"/>
        <v>193677.07499999998</v>
      </c>
      <c r="T222" s="600">
        <f t="shared" si="107"/>
        <v>64559.025000000001</v>
      </c>
      <c r="U222" s="600"/>
      <c r="V222" s="606">
        <f t="shared" si="95"/>
        <v>2840597.1</v>
      </c>
      <c r="W222" s="370">
        <f t="shared" si="112"/>
        <v>0.15</v>
      </c>
      <c r="X222" s="655">
        <f t="shared" si="97"/>
        <v>426089.565</v>
      </c>
      <c r="Y222" s="368">
        <f t="shared" si="98"/>
        <v>15000</v>
      </c>
      <c r="Z222" s="655">
        <f t="shared" si="99"/>
        <v>411089.565</v>
      </c>
      <c r="AA222" s="366">
        <f t="shared" si="100"/>
        <v>30</v>
      </c>
      <c r="AB222" s="655">
        <f t="shared" si="101"/>
        <v>13702.985500000001</v>
      </c>
      <c r="AC222" s="655">
        <f t="shared" si="102"/>
        <v>2414507.5350000001</v>
      </c>
      <c r="AD222" s="655">
        <f t="shared" si="103"/>
        <v>18719.651219292529</v>
      </c>
      <c r="AE222" s="655">
        <f t="shared" si="103"/>
        <v>21702.276305860145</v>
      </c>
      <c r="AF222" s="655">
        <f t="shared" si="103"/>
        <v>28034.479795075873</v>
      </c>
      <c r="AG222" s="655">
        <f t="shared" si="103"/>
        <v>47810.143077704954</v>
      </c>
      <c r="AR222" t="s">
        <v>258</v>
      </c>
      <c r="AS222" s="355" t="s">
        <v>258</v>
      </c>
    </row>
    <row r="223" spans="1:52" ht="14.25" customHeight="1">
      <c r="A223" s="651">
        <v>15000</v>
      </c>
      <c r="B223" s="638" t="s">
        <v>968</v>
      </c>
      <c r="C223" s="391"/>
      <c r="D223" s="387"/>
      <c r="E223" s="372" t="s">
        <v>590</v>
      </c>
      <c r="F223" s="367" t="s">
        <v>894</v>
      </c>
      <c r="G223" s="371">
        <v>22</v>
      </c>
      <c r="H223" s="587">
        <v>2000000</v>
      </c>
      <c r="I223" s="600">
        <f t="shared" si="87"/>
        <v>330000</v>
      </c>
      <c r="J223" s="600">
        <f t="shared" si="88"/>
        <v>39600</v>
      </c>
      <c r="K223" s="604">
        <f t="shared" si="89"/>
        <v>63700</v>
      </c>
      <c r="L223" s="666">
        <f t="shared" si="90"/>
        <v>2433300</v>
      </c>
      <c r="M223" s="666"/>
      <c r="N223" s="683">
        <v>75000</v>
      </c>
      <c r="O223" s="688">
        <f t="shared" si="110"/>
        <v>74061</v>
      </c>
      <c r="P223" s="601">
        <f t="shared" si="111"/>
        <v>2582361</v>
      </c>
      <c r="Q223" s="669">
        <v>20000</v>
      </c>
      <c r="R223" s="669">
        <v>50000</v>
      </c>
      <c r="S223" s="600">
        <f t="shared" si="106"/>
        <v>193677.07499999998</v>
      </c>
      <c r="T223" s="600">
        <f t="shared" si="107"/>
        <v>64559.025000000001</v>
      </c>
      <c r="U223" s="600"/>
      <c r="V223" s="606">
        <f t="shared" si="95"/>
        <v>2840597.1</v>
      </c>
      <c r="W223" s="370">
        <f t="shared" si="112"/>
        <v>0.15</v>
      </c>
      <c r="X223" s="655">
        <f t="shared" si="97"/>
        <v>426089.565</v>
      </c>
      <c r="Y223" s="368">
        <f t="shared" si="98"/>
        <v>15000</v>
      </c>
      <c r="Z223" s="655">
        <f t="shared" si="99"/>
        <v>411089.565</v>
      </c>
      <c r="AA223" s="366">
        <f t="shared" si="100"/>
        <v>30</v>
      </c>
      <c r="AB223" s="655">
        <f t="shared" si="101"/>
        <v>13702.985500000001</v>
      </c>
      <c r="AC223" s="655">
        <f t="shared" si="102"/>
        <v>2414507.5350000001</v>
      </c>
      <c r="AD223" s="655">
        <f t="shared" si="103"/>
        <v>18719.651219292529</v>
      </c>
      <c r="AE223" s="655">
        <f t="shared" si="103"/>
        <v>21702.276305860145</v>
      </c>
      <c r="AF223" s="655">
        <f t="shared" si="103"/>
        <v>28034.479795075873</v>
      </c>
      <c r="AG223" s="655">
        <f t="shared" si="103"/>
        <v>47810.143077704954</v>
      </c>
      <c r="AR223" t="str">
        <f>VLOOKUP(E$6:E$287,'[7]Sales Report'!$B$7:$C$288,2,FALSE)</f>
        <v>SOLD</v>
      </c>
      <c r="AS223" s="355" t="s">
        <v>236</v>
      </c>
    </row>
    <row r="224" spans="1:52" ht="14.25" customHeight="1">
      <c r="A224" s="651">
        <v>15000</v>
      </c>
      <c r="B224" s="639" t="s">
        <v>968</v>
      </c>
      <c r="C224" s="391"/>
      <c r="D224" s="387"/>
      <c r="E224" s="372" t="s">
        <v>592</v>
      </c>
      <c r="F224" s="367" t="s">
        <v>894</v>
      </c>
      <c r="G224" s="371">
        <v>22</v>
      </c>
      <c r="H224" s="587">
        <v>2000000</v>
      </c>
      <c r="I224" s="600">
        <f t="shared" si="87"/>
        <v>330000</v>
      </c>
      <c r="J224" s="600">
        <f t="shared" si="88"/>
        <v>39600</v>
      </c>
      <c r="K224" s="604">
        <f t="shared" si="89"/>
        <v>63700</v>
      </c>
      <c r="L224" s="666">
        <f t="shared" si="90"/>
        <v>2433300</v>
      </c>
      <c r="M224" s="666"/>
      <c r="N224" s="683">
        <v>75000</v>
      </c>
      <c r="O224" s="688">
        <f t="shared" si="110"/>
        <v>74061</v>
      </c>
      <c r="P224" s="601">
        <f t="shared" si="111"/>
        <v>2582361</v>
      </c>
      <c r="Q224" s="669">
        <v>20000</v>
      </c>
      <c r="R224" s="669">
        <v>50000</v>
      </c>
      <c r="S224" s="600">
        <f t="shared" si="106"/>
        <v>193677.07499999998</v>
      </c>
      <c r="T224" s="600">
        <f t="shared" si="107"/>
        <v>64559.025000000001</v>
      </c>
      <c r="U224" s="600"/>
      <c r="V224" s="606">
        <f t="shared" si="95"/>
        <v>2840597.1</v>
      </c>
      <c r="W224" s="370">
        <f t="shared" si="112"/>
        <v>0.15</v>
      </c>
      <c r="X224" s="655">
        <f t="shared" si="97"/>
        <v>426089.565</v>
      </c>
      <c r="Y224" s="368">
        <f t="shared" si="98"/>
        <v>15000</v>
      </c>
      <c r="Z224" s="655">
        <f t="shared" si="99"/>
        <v>411089.565</v>
      </c>
      <c r="AA224" s="366">
        <f t="shared" si="100"/>
        <v>30</v>
      </c>
      <c r="AB224" s="655">
        <f t="shared" si="101"/>
        <v>13702.985500000001</v>
      </c>
      <c r="AC224" s="655">
        <f t="shared" si="102"/>
        <v>2414507.5350000001</v>
      </c>
      <c r="AD224" s="655">
        <f t="shared" si="103"/>
        <v>18719.651219292529</v>
      </c>
      <c r="AE224" s="655">
        <f t="shared" si="103"/>
        <v>21702.276305860145</v>
      </c>
      <c r="AF224" s="655">
        <f t="shared" si="103"/>
        <v>28034.479795075873</v>
      </c>
      <c r="AG224" s="655">
        <f t="shared" si="103"/>
        <v>47810.143077704954</v>
      </c>
      <c r="AR224" t="str">
        <f>VLOOKUP(E$6:E$287,'[7]Sales Report'!$B$7:$C$288,2,FALSE)</f>
        <v>SOLD</v>
      </c>
      <c r="AS224" s="355" t="s">
        <v>236</v>
      </c>
    </row>
    <row r="225" spans="1:52" ht="14.25" customHeight="1">
      <c r="A225" s="651">
        <v>15000</v>
      </c>
      <c r="B225" s="639" t="s">
        <v>968</v>
      </c>
      <c r="C225" s="391"/>
      <c r="D225" s="387"/>
      <c r="E225" s="372" t="s">
        <v>594</v>
      </c>
      <c r="F225" s="367" t="s">
        <v>894</v>
      </c>
      <c r="G225" s="371">
        <v>22</v>
      </c>
      <c r="H225" s="587">
        <v>2000000</v>
      </c>
      <c r="I225" s="600">
        <f t="shared" si="87"/>
        <v>330000</v>
      </c>
      <c r="J225" s="600">
        <f t="shared" si="88"/>
        <v>39600</v>
      </c>
      <c r="K225" s="604">
        <f t="shared" si="89"/>
        <v>63700</v>
      </c>
      <c r="L225" s="666">
        <f t="shared" si="90"/>
        <v>2433300</v>
      </c>
      <c r="M225" s="666"/>
      <c r="N225" s="683">
        <v>75000</v>
      </c>
      <c r="O225" s="688">
        <f t="shared" si="110"/>
        <v>74061</v>
      </c>
      <c r="P225" s="601">
        <f t="shared" si="111"/>
        <v>2582361</v>
      </c>
      <c r="Q225" s="669">
        <v>20000</v>
      </c>
      <c r="R225" s="669">
        <v>50000</v>
      </c>
      <c r="S225" s="600">
        <f t="shared" si="106"/>
        <v>193677.07499999998</v>
      </c>
      <c r="T225" s="600">
        <f t="shared" si="107"/>
        <v>64559.025000000001</v>
      </c>
      <c r="U225" s="600"/>
      <c r="V225" s="606">
        <f t="shared" si="95"/>
        <v>2840597.1</v>
      </c>
      <c r="W225" s="370">
        <f t="shared" si="112"/>
        <v>0.15</v>
      </c>
      <c r="X225" s="655">
        <f t="shared" si="97"/>
        <v>426089.565</v>
      </c>
      <c r="Y225" s="368">
        <f t="shared" si="98"/>
        <v>15000</v>
      </c>
      <c r="Z225" s="655">
        <f t="shared" si="99"/>
        <v>411089.565</v>
      </c>
      <c r="AA225" s="366">
        <f t="shared" si="100"/>
        <v>30</v>
      </c>
      <c r="AB225" s="655">
        <f t="shared" si="101"/>
        <v>13702.985500000001</v>
      </c>
      <c r="AC225" s="655">
        <f t="shared" si="102"/>
        <v>2414507.5350000001</v>
      </c>
      <c r="AD225" s="655">
        <f t="shared" si="103"/>
        <v>18719.651219292529</v>
      </c>
      <c r="AE225" s="655">
        <f t="shared" si="103"/>
        <v>21702.276305860145</v>
      </c>
      <c r="AF225" s="655">
        <f t="shared" si="103"/>
        <v>28034.479795075873</v>
      </c>
      <c r="AG225" s="655">
        <f t="shared" si="103"/>
        <v>47810.143077704954</v>
      </c>
      <c r="AR225" t="str">
        <f>VLOOKUP(E$6:E$287,'[7]Sales Report'!$B$7:$C$288,2,FALSE)</f>
        <v>SOLD</v>
      </c>
      <c r="AS225" s="355" t="s">
        <v>236</v>
      </c>
    </row>
    <row r="226" spans="1:52" ht="14.25" customHeight="1">
      <c r="A226" s="651">
        <v>15000</v>
      </c>
      <c r="B226" s="639" t="s">
        <v>968</v>
      </c>
      <c r="C226" s="391"/>
      <c r="D226" s="387"/>
      <c r="E226" s="372" t="s">
        <v>596</v>
      </c>
      <c r="F226" s="367" t="s">
        <v>894</v>
      </c>
      <c r="G226" s="374">
        <v>22</v>
      </c>
      <c r="H226" s="587">
        <v>2000000</v>
      </c>
      <c r="I226" s="600">
        <f t="shared" si="87"/>
        <v>330000</v>
      </c>
      <c r="J226" s="600">
        <f t="shared" si="88"/>
        <v>39600</v>
      </c>
      <c r="K226" s="604">
        <f t="shared" si="89"/>
        <v>63700</v>
      </c>
      <c r="L226" s="666">
        <f t="shared" si="90"/>
        <v>2433300</v>
      </c>
      <c r="M226" s="666"/>
      <c r="N226" s="683">
        <v>75000</v>
      </c>
      <c r="O226" s="688">
        <f t="shared" si="110"/>
        <v>74061</v>
      </c>
      <c r="P226" s="601">
        <f t="shared" si="111"/>
        <v>2582361</v>
      </c>
      <c r="Q226" s="669">
        <v>20000</v>
      </c>
      <c r="R226" s="669">
        <v>50000</v>
      </c>
      <c r="S226" s="600">
        <f t="shared" si="106"/>
        <v>193677.07499999998</v>
      </c>
      <c r="T226" s="600">
        <f t="shared" si="107"/>
        <v>64559.025000000001</v>
      </c>
      <c r="U226" s="600"/>
      <c r="V226" s="606">
        <f t="shared" si="95"/>
        <v>2840597.1</v>
      </c>
      <c r="W226" s="370">
        <f t="shared" si="112"/>
        <v>0.15</v>
      </c>
      <c r="X226" s="655">
        <f t="shared" si="97"/>
        <v>426089.565</v>
      </c>
      <c r="Y226" s="368">
        <f t="shared" si="98"/>
        <v>15000</v>
      </c>
      <c r="Z226" s="655">
        <f t="shared" si="99"/>
        <v>411089.565</v>
      </c>
      <c r="AA226" s="366">
        <f t="shared" si="100"/>
        <v>30</v>
      </c>
      <c r="AB226" s="655">
        <f t="shared" si="101"/>
        <v>13702.985500000001</v>
      </c>
      <c r="AC226" s="655">
        <f t="shared" si="102"/>
        <v>2414507.5350000001</v>
      </c>
      <c r="AD226" s="655">
        <f t="shared" si="103"/>
        <v>18719.651219292529</v>
      </c>
      <c r="AE226" s="655">
        <f t="shared" si="103"/>
        <v>21702.276305860145</v>
      </c>
      <c r="AF226" s="655">
        <f t="shared" si="103"/>
        <v>28034.479795075873</v>
      </c>
      <c r="AG226" s="655">
        <f t="shared" si="103"/>
        <v>47810.143077704954</v>
      </c>
      <c r="AR226" t="str">
        <f>VLOOKUP(E$6:E$287,'[7]Sales Report'!$B$7:$C$288,2,FALSE)</f>
        <v>SOLD</v>
      </c>
      <c r="AS226" s="355" t="s">
        <v>236</v>
      </c>
    </row>
    <row r="227" spans="1:52" ht="14.25" customHeight="1">
      <c r="A227" s="651">
        <v>15000</v>
      </c>
      <c r="B227" s="639" t="s">
        <v>968</v>
      </c>
      <c r="C227" s="391"/>
      <c r="D227" s="387"/>
      <c r="E227" s="372" t="s">
        <v>598</v>
      </c>
      <c r="F227" s="367" t="s">
        <v>894</v>
      </c>
      <c r="G227" s="373">
        <v>22</v>
      </c>
      <c r="H227" s="587">
        <v>2000000</v>
      </c>
      <c r="I227" s="600">
        <f t="shared" si="87"/>
        <v>330000</v>
      </c>
      <c r="J227" s="600">
        <f t="shared" si="88"/>
        <v>39600</v>
      </c>
      <c r="K227" s="604">
        <f t="shared" si="89"/>
        <v>63700</v>
      </c>
      <c r="L227" s="666">
        <f t="shared" si="90"/>
        <v>2433300</v>
      </c>
      <c r="M227" s="666"/>
      <c r="N227" s="683">
        <v>75000</v>
      </c>
      <c r="O227" s="688">
        <f t="shared" si="110"/>
        <v>74061</v>
      </c>
      <c r="P227" s="601">
        <f t="shared" si="111"/>
        <v>2582361</v>
      </c>
      <c r="Q227" s="669">
        <v>20000</v>
      </c>
      <c r="R227" s="669">
        <v>50000</v>
      </c>
      <c r="S227" s="600">
        <f t="shared" si="106"/>
        <v>193677.07499999998</v>
      </c>
      <c r="T227" s="600">
        <f t="shared" si="107"/>
        <v>64559.025000000001</v>
      </c>
      <c r="U227" s="600"/>
      <c r="V227" s="606">
        <f t="shared" si="95"/>
        <v>2840597.1</v>
      </c>
      <c r="W227" s="370">
        <f t="shared" si="112"/>
        <v>0.15</v>
      </c>
      <c r="X227" s="655">
        <f t="shared" si="97"/>
        <v>426089.565</v>
      </c>
      <c r="Y227" s="368">
        <f t="shared" si="98"/>
        <v>15000</v>
      </c>
      <c r="Z227" s="655">
        <f t="shared" si="99"/>
        <v>411089.565</v>
      </c>
      <c r="AA227" s="366">
        <f t="shared" si="100"/>
        <v>30</v>
      </c>
      <c r="AB227" s="655">
        <f t="shared" si="101"/>
        <v>13702.985500000001</v>
      </c>
      <c r="AC227" s="655">
        <f t="shared" si="102"/>
        <v>2414507.5350000001</v>
      </c>
      <c r="AD227" s="655">
        <f t="shared" si="103"/>
        <v>18719.651219292529</v>
      </c>
      <c r="AE227" s="655">
        <f t="shared" si="103"/>
        <v>21702.276305860145</v>
      </c>
      <c r="AF227" s="655">
        <f t="shared" si="103"/>
        <v>28034.479795075873</v>
      </c>
      <c r="AG227" s="655">
        <f t="shared" si="103"/>
        <v>47810.143077704954</v>
      </c>
      <c r="AR227" t="str">
        <f>VLOOKUP(E$6:E$287,'[7]Sales Report'!$B$7:$C$288,2,FALSE)</f>
        <v>SOLD</v>
      </c>
      <c r="AS227" s="355" t="s">
        <v>236</v>
      </c>
    </row>
    <row r="228" spans="1:52" s="615" customFormat="1" ht="14.25" customHeight="1">
      <c r="A228" s="652">
        <v>17000</v>
      </c>
      <c r="B228" s="647" t="s">
        <v>968</v>
      </c>
      <c r="C228" s="608"/>
      <c r="D228" s="619"/>
      <c r="E228" s="610" t="s">
        <v>971</v>
      </c>
      <c r="F228" s="611" t="s">
        <v>956</v>
      </c>
      <c r="G228" s="612">
        <v>44</v>
      </c>
      <c r="H228" s="613">
        <v>4748000</v>
      </c>
      <c r="I228" s="603"/>
      <c r="J228" s="603"/>
      <c r="K228" s="604">
        <f t="shared" si="89"/>
        <v>63700</v>
      </c>
      <c r="L228" s="666">
        <f t="shared" si="90"/>
        <v>4811700</v>
      </c>
      <c r="M228" s="666">
        <f t="shared" ref="M228:M229" si="113">H228*5%</f>
        <v>237400</v>
      </c>
      <c r="N228" s="683"/>
      <c r="O228" s="683"/>
      <c r="P228" s="693"/>
      <c r="Q228" s="694">
        <v>20000</v>
      </c>
      <c r="R228" s="694">
        <v>50000</v>
      </c>
      <c r="S228" s="603">
        <f t="shared" si="106"/>
        <v>0</v>
      </c>
      <c r="T228" s="603">
        <f t="shared" ref="T228:T229" si="114">+P228*$T$5</f>
        <v>0</v>
      </c>
      <c r="U228" s="603">
        <f t="shared" ref="U228:U229" si="115">+P228*0.12</f>
        <v>0</v>
      </c>
      <c r="V228" s="695">
        <f t="shared" ref="V228:V229" si="116">P228+S228+T228+U228</f>
        <v>0</v>
      </c>
      <c r="W228" s="626">
        <f t="shared" ref="W228:W229" si="117">W$296</f>
        <v>0.15</v>
      </c>
      <c r="X228" s="656">
        <f t="shared" si="97"/>
        <v>0</v>
      </c>
      <c r="Y228" s="614">
        <f t="shared" si="98"/>
        <v>15000</v>
      </c>
      <c r="Z228" s="656">
        <f t="shared" si="99"/>
        <v>-15000</v>
      </c>
      <c r="AA228" s="620">
        <f t="shared" si="100"/>
        <v>30</v>
      </c>
      <c r="AB228" s="656">
        <f t="shared" si="101"/>
        <v>-500</v>
      </c>
      <c r="AC228" s="656">
        <f t="shared" si="102"/>
        <v>0</v>
      </c>
      <c r="AD228" s="656">
        <f t="shared" si="103"/>
        <v>0</v>
      </c>
      <c r="AE228" s="656">
        <f t="shared" si="103"/>
        <v>0</v>
      </c>
      <c r="AF228" s="656">
        <f t="shared" si="103"/>
        <v>0</v>
      </c>
      <c r="AG228" s="656">
        <f t="shared" si="103"/>
        <v>0</v>
      </c>
      <c r="AQ228"/>
      <c r="AR228"/>
      <c r="AS228" s="616" t="s">
        <v>957</v>
      </c>
      <c r="AT228"/>
      <c r="AU228"/>
      <c r="AV228"/>
      <c r="AW228"/>
      <c r="AX228"/>
      <c r="AY228"/>
      <c r="AZ228"/>
    </row>
    <row r="229" spans="1:52" s="615" customFormat="1" ht="14.25" customHeight="1">
      <c r="A229" s="652">
        <v>17000</v>
      </c>
      <c r="B229" s="645" t="s">
        <v>968</v>
      </c>
      <c r="C229" s="608"/>
      <c r="D229" s="619"/>
      <c r="E229" s="610" t="s">
        <v>972</v>
      </c>
      <c r="F229" s="611" t="s">
        <v>956</v>
      </c>
      <c r="G229" s="612">
        <v>44</v>
      </c>
      <c r="H229" s="613">
        <v>4748000</v>
      </c>
      <c r="I229" s="603"/>
      <c r="J229" s="603"/>
      <c r="K229" s="604">
        <f t="shared" si="89"/>
        <v>63700</v>
      </c>
      <c r="L229" s="666">
        <f t="shared" si="90"/>
        <v>4811700</v>
      </c>
      <c r="M229" s="666">
        <f t="shared" si="113"/>
        <v>237400</v>
      </c>
      <c r="N229" s="683"/>
      <c r="O229" s="683"/>
      <c r="P229" s="693"/>
      <c r="Q229" s="694">
        <v>20000</v>
      </c>
      <c r="R229" s="694">
        <v>50000</v>
      </c>
      <c r="S229" s="603">
        <f t="shared" si="106"/>
        <v>0</v>
      </c>
      <c r="T229" s="603">
        <f t="shared" si="114"/>
        <v>0</v>
      </c>
      <c r="U229" s="603">
        <f t="shared" si="115"/>
        <v>0</v>
      </c>
      <c r="V229" s="695">
        <f t="shared" si="116"/>
        <v>0</v>
      </c>
      <c r="W229" s="626">
        <f t="shared" si="117"/>
        <v>0.15</v>
      </c>
      <c r="X229" s="656">
        <f t="shared" si="97"/>
        <v>0</v>
      </c>
      <c r="Y229" s="614">
        <f t="shared" si="98"/>
        <v>15000</v>
      </c>
      <c r="Z229" s="656">
        <f t="shared" si="99"/>
        <v>-15000</v>
      </c>
      <c r="AA229" s="620">
        <f t="shared" si="100"/>
        <v>30</v>
      </c>
      <c r="AB229" s="656">
        <f t="shared" si="101"/>
        <v>-500</v>
      </c>
      <c r="AC229" s="656">
        <f t="shared" si="102"/>
        <v>0</v>
      </c>
      <c r="AD229" s="656">
        <f t="shared" si="103"/>
        <v>0</v>
      </c>
      <c r="AE229" s="656">
        <f t="shared" si="103"/>
        <v>0</v>
      </c>
      <c r="AF229" s="656">
        <f t="shared" si="103"/>
        <v>0</v>
      </c>
      <c r="AG229" s="656">
        <f t="shared" si="103"/>
        <v>0</v>
      </c>
      <c r="AQ229"/>
      <c r="AR229"/>
      <c r="AS229" s="616" t="s">
        <v>957</v>
      </c>
      <c r="AT229"/>
      <c r="AU229"/>
      <c r="AV229"/>
      <c r="AW229"/>
      <c r="AX229"/>
      <c r="AY229"/>
      <c r="AZ229"/>
    </row>
    <row r="230" spans="1:52" ht="14.25" customHeight="1">
      <c r="A230" s="651">
        <v>13000</v>
      </c>
      <c r="B230" s="638" t="s">
        <v>968</v>
      </c>
      <c r="C230" s="391"/>
      <c r="D230" s="387"/>
      <c r="E230" s="372" t="s">
        <v>604</v>
      </c>
      <c r="F230" s="367" t="s">
        <v>894</v>
      </c>
      <c r="G230" s="373">
        <v>22</v>
      </c>
      <c r="H230" s="587">
        <v>2000000</v>
      </c>
      <c r="I230" s="600">
        <f t="shared" si="87"/>
        <v>286000</v>
      </c>
      <c r="J230" s="600">
        <f t="shared" si="88"/>
        <v>34320</v>
      </c>
      <c r="K230" s="604">
        <f t="shared" si="89"/>
        <v>63700</v>
      </c>
      <c r="L230" s="666">
        <f t="shared" si="90"/>
        <v>2384020</v>
      </c>
      <c r="M230" s="666"/>
      <c r="N230" s="683">
        <v>75000</v>
      </c>
      <c r="O230" s="688">
        <f t="shared" ref="O230:O233" si="118">(H230+I230+K230+N230)*3%</f>
        <v>72741</v>
      </c>
      <c r="P230" s="601">
        <f t="shared" ref="P230:P233" si="119">SUM(L230+N230+O230)</f>
        <v>2531761</v>
      </c>
      <c r="Q230" s="669">
        <v>20000</v>
      </c>
      <c r="R230" s="669">
        <v>50000</v>
      </c>
      <c r="S230" s="600">
        <f t="shared" si="106"/>
        <v>189882.07499999998</v>
      </c>
      <c r="T230" s="600">
        <f t="shared" si="107"/>
        <v>63294.025000000001</v>
      </c>
      <c r="U230" s="600"/>
      <c r="V230" s="606">
        <f t="shared" si="95"/>
        <v>2784937.1</v>
      </c>
      <c r="W230" s="370">
        <f t="shared" ref="W230:W233" si="120">W$297</f>
        <v>0.15</v>
      </c>
      <c r="X230" s="655">
        <f t="shared" si="97"/>
        <v>417740.565</v>
      </c>
      <c r="Y230" s="368">
        <f t="shared" si="98"/>
        <v>15000</v>
      </c>
      <c r="Z230" s="655">
        <f t="shared" si="99"/>
        <v>402740.565</v>
      </c>
      <c r="AA230" s="366">
        <f t="shared" si="100"/>
        <v>30</v>
      </c>
      <c r="AB230" s="655">
        <f t="shared" si="101"/>
        <v>13424.6855</v>
      </c>
      <c r="AC230" s="655">
        <f t="shared" si="102"/>
        <v>2367196.5350000001</v>
      </c>
      <c r="AD230" s="655">
        <f t="shared" si="103"/>
        <v>18352.849539861883</v>
      </c>
      <c r="AE230" s="655">
        <f t="shared" si="103"/>
        <v>21277.031663040445</v>
      </c>
      <c r="AF230" s="655">
        <f t="shared" si="103"/>
        <v>27485.158969044642</v>
      </c>
      <c r="AG230" s="655">
        <f t="shared" si="103"/>
        <v>46873.328573562481</v>
      </c>
      <c r="AR230" t="str">
        <f>VLOOKUP(E$6:E$287,'[7]Sales Report'!$B$7:$C$288,2,FALSE)</f>
        <v>SOLD</v>
      </c>
      <c r="AS230" s="355" t="s">
        <v>236</v>
      </c>
    </row>
    <row r="231" spans="1:52" ht="14.25" customHeight="1">
      <c r="A231" s="651">
        <v>13000</v>
      </c>
      <c r="B231" s="639" t="s">
        <v>968</v>
      </c>
      <c r="C231" s="391"/>
      <c r="D231" s="387"/>
      <c r="E231" s="372" t="s">
        <v>605</v>
      </c>
      <c r="F231" s="367" t="s">
        <v>894</v>
      </c>
      <c r="G231" s="373">
        <v>22</v>
      </c>
      <c r="H231" s="587">
        <v>2000000</v>
      </c>
      <c r="I231" s="600">
        <f t="shared" si="87"/>
        <v>286000</v>
      </c>
      <c r="J231" s="600">
        <f t="shared" si="88"/>
        <v>34320</v>
      </c>
      <c r="K231" s="604">
        <f t="shared" si="89"/>
        <v>63700</v>
      </c>
      <c r="L231" s="666">
        <f t="shared" si="90"/>
        <v>2384020</v>
      </c>
      <c r="M231" s="666"/>
      <c r="N231" s="683">
        <v>75000</v>
      </c>
      <c r="O231" s="688">
        <f t="shared" si="118"/>
        <v>72741</v>
      </c>
      <c r="P231" s="601">
        <f>SUM(L231+N231+O231)</f>
        <v>2531761</v>
      </c>
      <c r="Q231" s="669">
        <v>20000</v>
      </c>
      <c r="R231" s="669">
        <v>50000</v>
      </c>
      <c r="S231" s="600">
        <f t="shared" si="106"/>
        <v>189882.07499999998</v>
      </c>
      <c r="T231" s="600">
        <f t="shared" si="107"/>
        <v>63294.025000000001</v>
      </c>
      <c r="U231" s="600"/>
      <c r="V231" s="606">
        <f t="shared" si="95"/>
        <v>2784937.1</v>
      </c>
      <c r="W231" s="370">
        <f t="shared" si="120"/>
        <v>0.15</v>
      </c>
      <c r="X231" s="655">
        <f t="shared" si="97"/>
        <v>417740.565</v>
      </c>
      <c r="Y231" s="368">
        <f t="shared" si="98"/>
        <v>15000</v>
      </c>
      <c r="Z231" s="655">
        <f t="shared" si="99"/>
        <v>402740.565</v>
      </c>
      <c r="AA231" s="366">
        <f t="shared" si="100"/>
        <v>30</v>
      </c>
      <c r="AB231" s="655">
        <f t="shared" si="101"/>
        <v>13424.6855</v>
      </c>
      <c r="AC231" s="655">
        <f t="shared" si="102"/>
        <v>2367196.5350000001</v>
      </c>
      <c r="AD231" s="655">
        <f t="shared" si="103"/>
        <v>18352.849539861883</v>
      </c>
      <c r="AE231" s="655">
        <f t="shared" si="103"/>
        <v>21277.031663040445</v>
      </c>
      <c r="AF231" s="655">
        <f t="shared" si="103"/>
        <v>27485.158969044642</v>
      </c>
      <c r="AG231" s="655">
        <f t="shared" si="103"/>
        <v>46873.328573562481</v>
      </c>
      <c r="AR231" t="s">
        <v>258</v>
      </c>
      <c r="AS231" s="355" t="s">
        <v>258</v>
      </c>
    </row>
    <row r="232" spans="1:52" ht="14.25" customHeight="1">
      <c r="A232" s="651">
        <v>13000</v>
      </c>
      <c r="B232" s="639" t="s">
        <v>968</v>
      </c>
      <c r="C232" s="391"/>
      <c r="D232" s="387"/>
      <c r="E232" s="372" t="s">
        <v>606</v>
      </c>
      <c r="F232" s="367" t="s">
        <v>894</v>
      </c>
      <c r="G232" s="373">
        <v>22</v>
      </c>
      <c r="H232" s="587">
        <v>2000000</v>
      </c>
      <c r="I232" s="600">
        <f t="shared" si="87"/>
        <v>286000</v>
      </c>
      <c r="J232" s="600">
        <f t="shared" si="88"/>
        <v>34320</v>
      </c>
      <c r="K232" s="604">
        <f t="shared" si="89"/>
        <v>63700</v>
      </c>
      <c r="L232" s="666">
        <f t="shared" si="90"/>
        <v>2384020</v>
      </c>
      <c r="M232" s="666"/>
      <c r="N232" s="683">
        <v>75000</v>
      </c>
      <c r="O232" s="688">
        <f t="shared" si="118"/>
        <v>72741</v>
      </c>
      <c r="P232" s="601">
        <f t="shared" si="119"/>
        <v>2531761</v>
      </c>
      <c r="Q232" s="669">
        <v>20000</v>
      </c>
      <c r="R232" s="669">
        <v>50000</v>
      </c>
      <c r="S232" s="600">
        <f t="shared" si="106"/>
        <v>189882.07499999998</v>
      </c>
      <c r="T232" s="600">
        <f t="shared" si="107"/>
        <v>63294.025000000001</v>
      </c>
      <c r="U232" s="600"/>
      <c r="V232" s="606">
        <f t="shared" si="95"/>
        <v>2784937.1</v>
      </c>
      <c r="W232" s="370">
        <f t="shared" si="120"/>
        <v>0.15</v>
      </c>
      <c r="X232" s="655">
        <f t="shared" si="97"/>
        <v>417740.565</v>
      </c>
      <c r="Y232" s="368">
        <f t="shared" si="98"/>
        <v>15000</v>
      </c>
      <c r="Z232" s="655">
        <f t="shared" si="99"/>
        <v>402740.565</v>
      </c>
      <c r="AA232" s="366">
        <f t="shared" si="100"/>
        <v>30</v>
      </c>
      <c r="AB232" s="655">
        <f t="shared" si="101"/>
        <v>13424.6855</v>
      </c>
      <c r="AC232" s="655">
        <f t="shared" si="102"/>
        <v>2367196.5350000001</v>
      </c>
      <c r="AD232" s="655">
        <f t="shared" si="103"/>
        <v>18352.849539861883</v>
      </c>
      <c r="AE232" s="655">
        <f t="shared" si="103"/>
        <v>21277.031663040445</v>
      </c>
      <c r="AF232" s="655">
        <f t="shared" si="103"/>
        <v>27485.158969044642</v>
      </c>
      <c r="AG232" s="655">
        <f t="shared" si="103"/>
        <v>46873.328573562481</v>
      </c>
      <c r="AR232" t="s">
        <v>258</v>
      </c>
      <c r="AS232" s="355" t="s">
        <v>258</v>
      </c>
    </row>
    <row r="233" spans="1:52" ht="14.25" customHeight="1">
      <c r="A233" s="651">
        <v>13000</v>
      </c>
      <c r="B233" s="639" t="s">
        <v>968</v>
      </c>
      <c r="C233" s="391"/>
      <c r="D233" s="387"/>
      <c r="E233" s="372" t="s">
        <v>607</v>
      </c>
      <c r="F233" s="367" t="s">
        <v>894</v>
      </c>
      <c r="G233" s="373">
        <v>22</v>
      </c>
      <c r="H233" s="587">
        <v>2000000</v>
      </c>
      <c r="I233" s="600">
        <f t="shared" si="87"/>
        <v>286000</v>
      </c>
      <c r="J233" s="600">
        <f t="shared" si="88"/>
        <v>34320</v>
      </c>
      <c r="K233" s="604">
        <f t="shared" si="89"/>
        <v>63700</v>
      </c>
      <c r="L233" s="666">
        <f t="shared" si="90"/>
        <v>2384020</v>
      </c>
      <c r="M233" s="666"/>
      <c r="N233" s="683">
        <v>75000</v>
      </c>
      <c r="O233" s="688">
        <f t="shared" si="118"/>
        <v>72741</v>
      </c>
      <c r="P233" s="601">
        <f t="shared" si="119"/>
        <v>2531761</v>
      </c>
      <c r="Q233" s="669">
        <v>20000</v>
      </c>
      <c r="R233" s="669">
        <v>50000</v>
      </c>
      <c r="S233" s="600">
        <f t="shared" si="106"/>
        <v>189882.07499999998</v>
      </c>
      <c r="T233" s="600">
        <f t="shared" si="107"/>
        <v>63294.025000000001</v>
      </c>
      <c r="U233" s="600"/>
      <c r="V233" s="606">
        <f t="shared" si="95"/>
        <v>2784937.1</v>
      </c>
      <c r="W233" s="370">
        <f t="shared" si="120"/>
        <v>0.15</v>
      </c>
      <c r="X233" s="655">
        <f t="shared" si="97"/>
        <v>417740.565</v>
      </c>
      <c r="Y233" s="368">
        <f t="shared" si="98"/>
        <v>15000</v>
      </c>
      <c r="Z233" s="655">
        <f t="shared" si="99"/>
        <v>402740.565</v>
      </c>
      <c r="AA233" s="366">
        <f t="shared" si="100"/>
        <v>30</v>
      </c>
      <c r="AB233" s="655">
        <f t="shared" si="101"/>
        <v>13424.6855</v>
      </c>
      <c r="AC233" s="655">
        <f t="shared" si="102"/>
        <v>2367196.5350000001</v>
      </c>
      <c r="AD233" s="655">
        <f t="shared" si="103"/>
        <v>18352.849539861883</v>
      </c>
      <c r="AE233" s="655">
        <f t="shared" si="103"/>
        <v>21277.031663040445</v>
      </c>
      <c r="AF233" s="655">
        <f t="shared" si="103"/>
        <v>27485.158969044642</v>
      </c>
      <c r="AG233" s="655">
        <f t="shared" si="103"/>
        <v>46873.328573562481</v>
      </c>
      <c r="AR233" t="str">
        <f>VLOOKUP(E$6:E$287,'[7]Sales Report'!$B$7:$C$288,2,FALSE)</f>
        <v>SOLD</v>
      </c>
      <c r="AS233" s="355" t="s">
        <v>236</v>
      </c>
    </row>
    <row r="234" spans="1:52" s="615" customFormat="1" ht="14.25" customHeight="1">
      <c r="A234" s="652">
        <v>17000</v>
      </c>
      <c r="B234" s="644" t="s">
        <v>973</v>
      </c>
      <c r="C234" s="608"/>
      <c r="D234" s="619"/>
      <c r="E234" s="610" t="s">
        <v>974</v>
      </c>
      <c r="F234" s="611" t="s">
        <v>956</v>
      </c>
      <c r="G234" s="612">
        <v>44</v>
      </c>
      <c r="H234" s="613">
        <v>4748000</v>
      </c>
      <c r="I234" s="603"/>
      <c r="J234" s="603"/>
      <c r="K234" s="604">
        <f t="shared" si="89"/>
        <v>63700</v>
      </c>
      <c r="L234" s="666">
        <f t="shared" si="90"/>
        <v>4811700</v>
      </c>
      <c r="M234" s="666">
        <f>H234*5%</f>
        <v>237400</v>
      </c>
      <c r="N234" s="683"/>
      <c r="O234" s="683"/>
      <c r="P234" s="693"/>
      <c r="Q234" s="694">
        <v>20000</v>
      </c>
      <c r="R234" s="694">
        <v>50000</v>
      </c>
      <c r="S234" s="603">
        <f>+P234*$S$5</f>
        <v>0</v>
      </c>
      <c r="T234" s="603">
        <f t="shared" ref="T234" si="121">+P234*$T$5</f>
        <v>0</v>
      </c>
      <c r="U234" s="603">
        <f>+P234*0.12</f>
        <v>0</v>
      </c>
      <c r="V234" s="695">
        <f>P234+S234+T234+U234</f>
        <v>0</v>
      </c>
      <c r="W234" s="626">
        <f>W$296</f>
        <v>0.15</v>
      </c>
      <c r="X234" s="656">
        <f t="shared" si="97"/>
        <v>0</v>
      </c>
      <c r="Y234" s="614">
        <f t="shared" si="98"/>
        <v>15000</v>
      </c>
      <c r="Z234" s="656">
        <f t="shared" si="99"/>
        <v>-15000</v>
      </c>
      <c r="AA234" s="620">
        <f t="shared" si="100"/>
        <v>30</v>
      </c>
      <c r="AB234" s="656">
        <f t="shared" si="101"/>
        <v>-500</v>
      </c>
      <c r="AC234" s="656">
        <f t="shared" si="102"/>
        <v>0</v>
      </c>
      <c r="AD234" s="656">
        <f t="shared" si="103"/>
        <v>0</v>
      </c>
      <c r="AE234" s="656">
        <f t="shared" si="103"/>
        <v>0</v>
      </c>
      <c r="AF234" s="656">
        <f t="shared" si="103"/>
        <v>0</v>
      </c>
      <c r="AG234" s="656">
        <f t="shared" si="103"/>
        <v>0</v>
      </c>
      <c r="AQ234"/>
      <c r="AR234"/>
      <c r="AS234" s="616" t="s">
        <v>957</v>
      </c>
      <c r="AT234"/>
      <c r="AU234"/>
      <c r="AV234"/>
      <c r="AW234"/>
      <c r="AX234"/>
      <c r="AY234"/>
      <c r="AZ234"/>
    </row>
    <row r="235" spans="1:52" ht="14.25" customHeight="1">
      <c r="A235" s="651">
        <v>19000</v>
      </c>
      <c r="B235" s="639" t="s">
        <v>973</v>
      </c>
      <c r="C235" s="391"/>
      <c r="D235" s="387"/>
      <c r="E235" s="372" t="s">
        <v>610</v>
      </c>
      <c r="F235" s="367" t="s">
        <v>894</v>
      </c>
      <c r="G235" s="373">
        <v>22</v>
      </c>
      <c r="H235" s="587">
        <v>2000000</v>
      </c>
      <c r="I235" s="600">
        <f t="shared" si="87"/>
        <v>418000</v>
      </c>
      <c r="J235" s="600">
        <f t="shared" si="88"/>
        <v>50160</v>
      </c>
      <c r="K235" s="604">
        <f t="shared" si="89"/>
        <v>63700</v>
      </c>
      <c r="L235" s="666">
        <f t="shared" si="90"/>
        <v>2531860</v>
      </c>
      <c r="M235" s="666"/>
      <c r="N235" s="683">
        <v>75000</v>
      </c>
      <c r="O235" s="688">
        <f t="shared" ref="O235:O246" si="122">(H235+I235+K235+N235)*3%</f>
        <v>76701</v>
      </c>
      <c r="P235" s="601">
        <f t="shared" ref="P235:P246" si="123">SUM(L235+N235+O235)</f>
        <v>2683561</v>
      </c>
      <c r="Q235" s="669">
        <v>20000</v>
      </c>
      <c r="R235" s="669">
        <v>50000</v>
      </c>
      <c r="S235" s="600">
        <f t="shared" si="106"/>
        <v>201267.07499999998</v>
      </c>
      <c r="T235" s="600">
        <f t="shared" si="107"/>
        <v>67089.025000000009</v>
      </c>
      <c r="U235" s="600"/>
      <c r="V235" s="606">
        <f t="shared" si="95"/>
        <v>2951917.1</v>
      </c>
      <c r="W235" s="370">
        <f t="shared" ref="W235:W246" si="124">W$297</f>
        <v>0.15</v>
      </c>
      <c r="X235" s="655">
        <f t="shared" si="97"/>
        <v>442787.565</v>
      </c>
      <c r="Y235" s="368">
        <f t="shared" si="98"/>
        <v>15000</v>
      </c>
      <c r="Z235" s="655">
        <f t="shared" si="99"/>
        <v>427787.565</v>
      </c>
      <c r="AA235" s="366">
        <f t="shared" si="100"/>
        <v>30</v>
      </c>
      <c r="AB235" s="655">
        <f t="shared" si="101"/>
        <v>14259.585499999999</v>
      </c>
      <c r="AC235" s="655">
        <f t="shared" si="102"/>
        <v>2509129.5350000001</v>
      </c>
      <c r="AD235" s="655">
        <f t="shared" ref="AD235:AG266" si="125">+$AC235*AD$5</f>
        <v>19453.254578153817</v>
      </c>
      <c r="AE235" s="655">
        <f t="shared" si="125"/>
        <v>22552.765591499545</v>
      </c>
      <c r="AF235" s="655">
        <f t="shared" si="125"/>
        <v>29133.121447138339</v>
      </c>
      <c r="AG235" s="655">
        <f t="shared" si="125"/>
        <v>49683.772085989913</v>
      </c>
      <c r="AR235" t="str">
        <f>VLOOKUP(E$6:E$287,'[7]Sales Report'!$B$7:$C$288,2,FALSE)</f>
        <v>SOLD</v>
      </c>
      <c r="AS235" s="355" t="s">
        <v>236</v>
      </c>
    </row>
    <row r="236" spans="1:52" ht="14.25" customHeight="1">
      <c r="A236" s="651">
        <v>19000</v>
      </c>
      <c r="B236" s="639" t="s">
        <v>973</v>
      </c>
      <c r="C236" s="391"/>
      <c r="D236" s="387"/>
      <c r="E236" s="372" t="s">
        <v>613</v>
      </c>
      <c r="F236" s="367" t="s">
        <v>894</v>
      </c>
      <c r="G236" s="373">
        <v>22</v>
      </c>
      <c r="H236" s="587">
        <v>2000000</v>
      </c>
      <c r="I236" s="600">
        <f t="shared" si="87"/>
        <v>418000</v>
      </c>
      <c r="J236" s="600">
        <f t="shared" si="88"/>
        <v>50160</v>
      </c>
      <c r="K236" s="604">
        <f t="shared" si="89"/>
        <v>63700</v>
      </c>
      <c r="L236" s="666">
        <f t="shared" si="90"/>
        <v>2531860</v>
      </c>
      <c r="M236" s="666"/>
      <c r="N236" s="683">
        <v>75000</v>
      </c>
      <c r="O236" s="688">
        <f t="shared" si="122"/>
        <v>76701</v>
      </c>
      <c r="P236" s="601">
        <f t="shared" si="123"/>
        <v>2683561</v>
      </c>
      <c r="Q236" s="669">
        <v>20000</v>
      </c>
      <c r="R236" s="669">
        <v>50000</v>
      </c>
      <c r="S236" s="600">
        <f t="shared" si="106"/>
        <v>201267.07499999998</v>
      </c>
      <c r="T236" s="600">
        <f t="shared" si="107"/>
        <v>67089.025000000009</v>
      </c>
      <c r="U236" s="600"/>
      <c r="V236" s="606">
        <f t="shared" si="95"/>
        <v>2951917.1</v>
      </c>
      <c r="W236" s="370">
        <f t="shared" si="124"/>
        <v>0.15</v>
      </c>
      <c r="X236" s="655">
        <f t="shared" si="97"/>
        <v>442787.565</v>
      </c>
      <c r="Y236" s="368">
        <f t="shared" si="98"/>
        <v>15000</v>
      </c>
      <c r="Z236" s="655">
        <f t="shared" si="99"/>
        <v>427787.565</v>
      </c>
      <c r="AA236" s="366">
        <f t="shared" si="100"/>
        <v>30</v>
      </c>
      <c r="AB236" s="655">
        <f t="shared" si="101"/>
        <v>14259.585499999999</v>
      </c>
      <c r="AC236" s="655">
        <f t="shared" si="102"/>
        <v>2509129.5350000001</v>
      </c>
      <c r="AD236" s="655">
        <f t="shared" si="125"/>
        <v>19453.254578153817</v>
      </c>
      <c r="AE236" s="655">
        <f t="shared" si="125"/>
        <v>22552.765591499545</v>
      </c>
      <c r="AF236" s="655">
        <f t="shared" si="125"/>
        <v>29133.121447138339</v>
      </c>
      <c r="AG236" s="655">
        <f t="shared" si="125"/>
        <v>49683.772085989913</v>
      </c>
      <c r="AR236" t="str">
        <f>VLOOKUP(E$6:E$287,'[7]Sales Report'!$B$7:$C$288,2,FALSE)</f>
        <v>SOLD</v>
      </c>
      <c r="AS236" s="355" t="s">
        <v>236</v>
      </c>
    </row>
    <row r="237" spans="1:52" ht="14.25" customHeight="1">
      <c r="A237" s="651">
        <v>19000</v>
      </c>
      <c r="B237" s="639" t="s">
        <v>973</v>
      </c>
      <c r="C237" s="391"/>
      <c r="D237" s="387"/>
      <c r="E237" s="372" t="s">
        <v>615</v>
      </c>
      <c r="F237" s="367" t="s">
        <v>894</v>
      </c>
      <c r="G237" s="373">
        <v>22</v>
      </c>
      <c r="H237" s="587">
        <v>2000000</v>
      </c>
      <c r="I237" s="600">
        <f t="shared" si="87"/>
        <v>418000</v>
      </c>
      <c r="J237" s="600">
        <f t="shared" si="88"/>
        <v>50160</v>
      </c>
      <c r="K237" s="604">
        <f t="shared" si="89"/>
        <v>63700</v>
      </c>
      <c r="L237" s="666">
        <f t="shared" si="90"/>
        <v>2531860</v>
      </c>
      <c r="M237" s="666"/>
      <c r="N237" s="683">
        <v>75000</v>
      </c>
      <c r="O237" s="688">
        <f t="shared" si="122"/>
        <v>76701</v>
      </c>
      <c r="P237" s="601">
        <f t="shared" si="123"/>
        <v>2683561</v>
      </c>
      <c r="Q237" s="669">
        <v>20000</v>
      </c>
      <c r="R237" s="669">
        <v>50000</v>
      </c>
      <c r="S237" s="600">
        <f t="shared" si="106"/>
        <v>201267.07499999998</v>
      </c>
      <c r="T237" s="600">
        <f t="shared" si="107"/>
        <v>67089.025000000009</v>
      </c>
      <c r="U237" s="600"/>
      <c r="V237" s="606">
        <f t="shared" si="95"/>
        <v>2951917.1</v>
      </c>
      <c r="W237" s="370">
        <f t="shared" si="124"/>
        <v>0.15</v>
      </c>
      <c r="X237" s="655">
        <f t="shared" si="97"/>
        <v>442787.565</v>
      </c>
      <c r="Y237" s="368">
        <f t="shared" si="98"/>
        <v>15000</v>
      </c>
      <c r="Z237" s="655">
        <f t="shared" si="99"/>
        <v>427787.565</v>
      </c>
      <c r="AA237" s="366">
        <f t="shared" si="100"/>
        <v>30</v>
      </c>
      <c r="AB237" s="655">
        <f t="shared" si="101"/>
        <v>14259.585499999999</v>
      </c>
      <c r="AC237" s="655">
        <f t="shared" si="102"/>
        <v>2509129.5350000001</v>
      </c>
      <c r="AD237" s="655">
        <f t="shared" si="125"/>
        <v>19453.254578153817</v>
      </c>
      <c r="AE237" s="655">
        <f t="shared" si="125"/>
        <v>22552.765591499545</v>
      </c>
      <c r="AF237" s="655">
        <f t="shared" si="125"/>
        <v>29133.121447138339</v>
      </c>
      <c r="AG237" s="655">
        <f t="shared" si="125"/>
        <v>49683.772085989913</v>
      </c>
      <c r="AR237" t="str">
        <f>VLOOKUP(E$6:E$287,'[7]Sales Report'!$B$7:$C$288,2,FALSE)</f>
        <v>SOLD</v>
      </c>
      <c r="AS237" s="355" t="s">
        <v>236</v>
      </c>
    </row>
    <row r="238" spans="1:52" ht="14.25" customHeight="1">
      <c r="A238" s="651">
        <v>19000</v>
      </c>
      <c r="B238" s="640" t="s">
        <v>973</v>
      </c>
      <c r="C238" s="391"/>
      <c r="D238" s="387"/>
      <c r="E238" s="372" t="s">
        <v>617</v>
      </c>
      <c r="F238" s="367" t="s">
        <v>894</v>
      </c>
      <c r="G238" s="373">
        <v>22</v>
      </c>
      <c r="H238" s="587">
        <v>2000000</v>
      </c>
      <c r="I238" s="600">
        <f t="shared" si="87"/>
        <v>418000</v>
      </c>
      <c r="J238" s="600">
        <f t="shared" si="88"/>
        <v>50160</v>
      </c>
      <c r="K238" s="604">
        <f t="shared" si="89"/>
        <v>63700</v>
      </c>
      <c r="L238" s="666">
        <f t="shared" si="90"/>
        <v>2531860</v>
      </c>
      <c r="M238" s="666"/>
      <c r="N238" s="683">
        <v>75000</v>
      </c>
      <c r="O238" s="688">
        <f t="shared" si="122"/>
        <v>76701</v>
      </c>
      <c r="P238" s="601">
        <f>SUM(L238+N238+O238)</f>
        <v>2683561</v>
      </c>
      <c r="Q238" s="669">
        <v>20000</v>
      </c>
      <c r="R238" s="669">
        <v>50000</v>
      </c>
      <c r="S238" s="600">
        <f>+P238*$S$5</f>
        <v>201267.07499999998</v>
      </c>
      <c r="T238" s="600">
        <f>+P238*$T$5</f>
        <v>67089.025000000009</v>
      </c>
      <c r="U238" s="600"/>
      <c r="V238" s="606">
        <f t="shared" si="95"/>
        <v>2951917.1</v>
      </c>
      <c r="W238" s="370">
        <f t="shared" si="124"/>
        <v>0.15</v>
      </c>
      <c r="X238" s="655">
        <f t="shared" si="97"/>
        <v>442787.565</v>
      </c>
      <c r="Y238" s="368">
        <f t="shared" si="98"/>
        <v>15000</v>
      </c>
      <c r="Z238" s="655">
        <f t="shared" si="99"/>
        <v>427787.565</v>
      </c>
      <c r="AA238" s="366">
        <f t="shared" si="100"/>
        <v>30</v>
      </c>
      <c r="AB238" s="655">
        <f t="shared" si="101"/>
        <v>14259.585499999999</v>
      </c>
      <c r="AC238" s="655">
        <f t="shared" si="102"/>
        <v>2509129.5350000001</v>
      </c>
      <c r="AD238" s="655">
        <f t="shared" si="125"/>
        <v>19453.254578153817</v>
      </c>
      <c r="AE238" s="655">
        <f t="shared" si="125"/>
        <v>22552.765591499545</v>
      </c>
      <c r="AF238" s="655">
        <f t="shared" si="125"/>
        <v>29133.121447138339</v>
      </c>
      <c r="AG238" s="655">
        <f t="shared" si="125"/>
        <v>49683.772085989913</v>
      </c>
      <c r="AR238" t="s">
        <v>258</v>
      </c>
      <c r="AS238" s="355" t="s">
        <v>258</v>
      </c>
    </row>
    <row r="239" spans="1:52" ht="14.25" customHeight="1" thickBot="1">
      <c r="A239" s="651">
        <v>19000</v>
      </c>
      <c r="B239" s="641" t="s">
        <v>973</v>
      </c>
      <c r="C239" s="416"/>
      <c r="D239" s="388"/>
      <c r="E239" s="377" t="s">
        <v>619</v>
      </c>
      <c r="F239" s="367" t="s">
        <v>894</v>
      </c>
      <c r="G239" s="378">
        <v>22</v>
      </c>
      <c r="H239" s="587">
        <v>2000000</v>
      </c>
      <c r="I239" s="600">
        <f t="shared" si="87"/>
        <v>418000</v>
      </c>
      <c r="J239" s="600">
        <f t="shared" si="88"/>
        <v>50160</v>
      </c>
      <c r="K239" s="604">
        <f t="shared" si="89"/>
        <v>63700</v>
      </c>
      <c r="L239" s="666">
        <f t="shared" si="90"/>
        <v>2531860</v>
      </c>
      <c r="M239" s="666"/>
      <c r="N239" s="683">
        <v>75000</v>
      </c>
      <c r="O239" s="688">
        <f t="shared" si="122"/>
        <v>76701</v>
      </c>
      <c r="P239" s="601">
        <f>SUM(L239+N239+O239)</f>
        <v>2683561</v>
      </c>
      <c r="Q239" s="669">
        <v>20000</v>
      </c>
      <c r="R239" s="669">
        <v>50000</v>
      </c>
      <c r="S239" s="600">
        <f t="shared" si="106"/>
        <v>201267.07499999998</v>
      </c>
      <c r="T239" s="600">
        <f t="shared" si="107"/>
        <v>67089.025000000009</v>
      </c>
      <c r="U239" s="600"/>
      <c r="V239" s="606">
        <f t="shared" si="95"/>
        <v>2951917.1</v>
      </c>
      <c r="W239" s="370">
        <f t="shared" si="124"/>
        <v>0.15</v>
      </c>
      <c r="X239" s="655">
        <f t="shared" si="97"/>
        <v>442787.565</v>
      </c>
      <c r="Y239" s="368">
        <f t="shared" si="98"/>
        <v>15000</v>
      </c>
      <c r="Z239" s="655">
        <f t="shared" si="99"/>
        <v>427787.565</v>
      </c>
      <c r="AA239" s="366">
        <f t="shared" si="100"/>
        <v>30</v>
      </c>
      <c r="AB239" s="655">
        <f t="shared" si="101"/>
        <v>14259.585499999999</v>
      </c>
      <c r="AC239" s="655">
        <f t="shared" si="102"/>
        <v>2509129.5350000001</v>
      </c>
      <c r="AD239" s="655">
        <f t="shared" si="125"/>
        <v>19453.254578153817</v>
      </c>
      <c r="AE239" s="655">
        <f t="shared" si="125"/>
        <v>22552.765591499545</v>
      </c>
      <c r="AF239" s="655">
        <f t="shared" si="125"/>
        <v>29133.121447138339</v>
      </c>
      <c r="AG239" s="655">
        <f t="shared" si="125"/>
        <v>49683.772085989913</v>
      </c>
      <c r="AR239" t="s">
        <v>258</v>
      </c>
      <c r="AS239" s="355" t="s">
        <v>258</v>
      </c>
    </row>
    <row r="240" spans="1:52" ht="14.25" customHeight="1">
      <c r="A240" s="651">
        <v>19000</v>
      </c>
      <c r="B240" s="638" t="s">
        <v>973</v>
      </c>
      <c r="C240" s="415"/>
      <c r="D240" s="389"/>
      <c r="E240" s="379" t="s">
        <v>620</v>
      </c>
      <c r="F240" s="367" t="s">
        <v>894</v>
      </c>
      <c r="G240" s="380">
        <v>22</v>
      </c>
      <c r="H240" s="587">
        <v>2000000</v>
      </c>
      <c r="I240" s="600">
        <f t="shared" si="87"/>
        <v>418000</v>
      </c>
      <c r="J240" s="600">
        <f t="shared" si="88"/>
        <v>50160</v>
      </c>
      <c r="K240" s="604">
        <f t="shared" si="89"/>
        <v>63700</v>
      </c>
      <c r="L240" s="666">
        <f t="shared" si="90"/>
        <v>2531860</v>
      </c>
      <c r="M240" s="666"/>
      <c r="N240" s="683">
        <v>75000</v>
      </c>
      <c r="O240" s="688">
        <f t="shared" si="122"/>
        <v>76701</v>
      </c>
      <c r="P240" s="601">
        <f t="shared" si="123"/>
        <v>2683561</v>
      </c>
      <c r="Q240" s="669">
        <v>20000</v>
      </c>
      <c r="R240" s="669">
        <v>50000</v>
      </c>
      <c r="S240" s="600">
        <f t="shared" si="106"/>
        <v>201267.07499999998</v>
      </c>
      <c r="T240" s="600">
        <f t="shared" si="107"/>
        <v>67089.025000000009</v>
      </c>
      <c r="U240" s="600"/>
      <c r="V240" s="606">
        <f t="shared" si="95"/>
        <v>2951917.1</v>
      </c>
      <c r="W240" s="370">
        <f t="shared" si="124"/>
        <v>0.15</v>
      </c>
      <c r="X240" s="655">
        <f t="shared" si="97"/>
        <v>442787.565</v>
      </c>
      <c r="Y240" s="368">
        <f t="shared" si="98"/>
        <v>15000</v>
      </c>
      <c r="Z240" s="655">
        <f t="shared" si="99"/>
        <v>427787.565</v>
      </c>
      <c r="AA240" s="366">
        <f t="shared" si="100"/>
        <v>30</v>
      </c>
      <c r="AB240" s="655">
        <f t="shared" si="101"/>
        <v>14259.585499999999</v>
      </c>
      <c r="AC240" s="655">
        <f t="shared" si="102"/>
        <v>2509129.5350000001</v>
      </c>
      <c r="AD240" s="655">
        <f t="shared" si="125"/>
        <v>19453.254578153817</v>
      </c>
      <c r="AE240" s="655">
        <f t="shared" si="125"/>
        <v>22552.765591499545</v>
      </c>
      <c r="AF240" s="655">
        <f t="shared" si="125"/>
        <v>29133.121447138339</v>
      </c>
      <c r="AG240" s="655">
        <f t="shared" si="125"/>
        <v>49683.772085989913</v>
      </c>
      <c r="AR240" t="s">
        <v>258</v>
      </c>
      <c r="AS240" s="355" t="s">
        <v>258</v>
      </c>
    </row>
    <row r="241" spans="1:52" ht="14.25" customHeight="1">
      <c r="A241" s="651">
        <v>19000</v>
      </c>
      <c r="B241" s="639" t="s">
        <v>973</v>
      </c>
      <c r="C241" s="391"/>
      <c r="D241" s="387"/>
      <c r="E241" s="372" t="s">
        <v>621</v>
      </c>
      <c r="F241" s="367" t="s">
        <v>894</v>
      </c>
      <c r="G241" s="371">
        <v>22</v>
      </c>
      <c r="H241" s="587">
        <v>2000000</v>
      </c>
      <c r="I241" s="600">
        <f t="shared" si="87"/>
        <v>418000</v>
      </c>
      <c r="J241" s="600">
        <f t="shared" si="88"/>
        <v>50160</v>
      </c>
      <c r="K241" s="604">
        <f t="shared" si="89"/>
        <v>63700</v>
      </c>
      <c r="L241" s="666">
        <f t="shared" si="90"/>
        <v>2531860</v>
      </c>
      <c r="M241" s="666"/>
      <c r="N241" s="683">
        <v>75000</v>
      </c>
      <c r="O241" s="688">
        <f t="shared" si="122"/>
        <v>76701</v>
      </c>
      <c r="P241" s="601">
        <f t="shared" si="123"/>
        <v>2683561</v>
      </c>
      <c r="Q241" s="669">
        <v>20000</v>
      </c>
      <c r="R241" s="669">
        <v>50000</v>
      </c>
      <c r="S241" s="600">
        <f t="shared" si="106"/>
        <v>201267.07499999998</v>
      </c>
      <c r="T241" s="600">
        <f t="shared" si="107"/>
        <v>67089.025000000009</v>
      </c>
      <c r="U241" s="600"/>
      <c r="V241" s="606">
        <f t="shared" si="95"/>
        <v>2951917.1</v>
      </c>
      <c r="W241" s="370">
        <f t="shared" si="124"/>
        <v>0.15</v>
      </c>
      <c r="X241" s="655">
        <f t="shared" si="97"/>
        <v>442787.565</v>
      </c>
      <c r="Y241" s="368">
        <f t="shared" si="98"/>
        <v>15000</v>
      </c>
      <c r="Z241" s="655">
        <f t="shared" si="99"/>
        <v>427787.565</v>
      </c>
      <c r="AA241" s="366">
        <f t="shared" si="100"/>
        <v>30</v>
      </c>
      <c r="AB241" s="655">
        <f t="shared" si="101"/>
        <v>14259.585499999999</v>
      </c>
      <c r="AC241" s="655">
        <f t="shared" si="102"/>
        <v>2509129.5350000001</v>
      </c>
      <c r="AD241" s="655">
        <f t="shared" si="125"/>
        <v>19453.254578153817</v>
      </c>
      <c r="AE241" s="655">
        <f t="shared" si="125"/>
        <v>22552.765591499545</v>
      </c>
      <c r="AF241" s="655">
        <f t="shared" si="125"/>
        <v>29133.121447138339</v>
      </c>
      <c r="AG241" s="655">
        <f t="shared" si="125"/>
        <v>49683.772085989913</v>
      </c>
      <c r="AR241" t="str">
        <f>VLOOKUP(E$6:E$287,'[7]Sales Report'!$B$7:$C$288,2,FALSE)</f>
        <v>SOLD</v>
      </c>
      <c r="AS241" s="355" t="s">
        <v>236</v>
      </c>
    </row>
    <row r="242" spans="1:52" ht="14.25" customHeight="1">
      <c r="A242" s="651">
        <v>19000</v>
      </c>
      <c r="B242" s="639" t="s">
        <v>973</v>
      </c>
      <c r="C242" s="391"/>
      <c r="D242" s="387"/>
      <c r="E242" s="372" t="s">
        <v>622</v>
      </c>
      <c r="F242" s="367" t="s">
        <v>894</v>
      </c>
      <c r="G242" s="371">
        <v>22</v>
      </c>
      <c r="H242" s="587">
        <v>2000000</v>
      </c>
      <c r="I242" s="600">
        <f t="shared" si="87"/>
        <v>418000</v>
      </c>
      <c r="J242" s="600">
        <f t="shared" si="88"/>
        <v>50160</v>
      </c>
      <c r="K242" s="604">
        <f t="shared" si="89"/>
        <v>63700</v>
      </c>
      <c r="L242" s="666">
        <f t="shared" si="90"/>
        <v>2531860</v>
      </c>
      <c r="M242" s="666"/>
      <c r="N242" s="683">
        <v>75000</v>
      </c>
      <c r="O242" s="688">
        <f t="shared" si="122"/>
        <v>76701</v>
      </c>
      <c r="P242" s="601">
        <f t="shared" si="123"/>
        <v>2683561</v>
      </c>
      <c r="Q242" s="669">
        <v>20000</v>
      </c>
      <c r="R242" s="669">
        <v>50000</v>
      </c>
      <c r="S242" s="600">
        <f t="shared" si="106"/>
        <v>201267.07499999998</v>
      </c>
      <c r="T242" s="600">
        <f t="shared" si="107"/>
        <v>67089.025000000009</v>
      </c>
      <c r="U242" s="600"/>
      <c r="V242" s="606">
        <f t="shared" si="95"/>
        <v>2951917.1</v>
      </c>
      <c r="W242" s="370">
        <f t="shared" si="124"/>
        <v>0.15</v>
      </c>
      <c r="X242" s="655">
        <f t="shared" si="97"/>
        <v>442787.565</v>
      </c>
      <c r="Y242" s="368">
        <f t="shared" si="98"/>
        <v>15000</v>
      </c>
      <c r="Z242" s="655">
        <f t="shared" si="99"/>
        <v>427787.565</v>
      </c>
      <c r="AA242" s="366">
        <f t="shared" si="100"/>
        <v>30</v>
      </c>
      <c r="AB242" s="655">
        <f t="shared" si="101"/>
        <v>14259.585499999999</v>
      </c>
      <c r="AC242" s="655">
        <f t="shared" si="102"/>
        <v>2509129.5350000001</v>
      </c>
      <c r="AD242" s="655">
        <f t="shared" si="125"/>
        <v>19453.254578153817</v>
      </c>
      <c r="AE242" s="655">
        <f t="shared" si="125"/>
        <v>22552.765591499545</v>
      </c>
      <c r="AF242" s="655">
        <f t="shared" si="125"/>
        <v>29133.121447138339</v>
      </c>
      <c r="AG242" s="655">
        <f t="shared" si="125"/>
        <v>49683.772085989913</v>
      </c>
      <c r="AR242" t="s">
        <v>258</v>
      </c>
      <c r="AS242" s="355" t="s">
        <v>258</v>
      </c>
    </row>
    <row r="243" spans="1:52" ht="14.25" customHeight="1">
      <c r="A243" s="651">
        <v>19000</v>
      </c>
      <c r="B243" s="639" t="s">
        <v>973</v>
      </c>
      <c r="C243" s="391"/>
      <c r="D243" s="387"/>
      <c r="E243" s="372" t="s">
        <v>624</v>
      </c>
      <c r="F243" s="367" t="s">
        <v>894</v>
      </c>
      <c r="G243" s="374">
        <v>22</v>
      </c>
      <c r="H243" s="587">
        <v>2000000</v>
      </c>
      <c r="I243" s="600">
        <f t="shared" si="87"/>
        <v>418000</v>
      </c>
      <c r="J243" s="600">
        <f t="shared" si="88"/>
        <v>50160</v>
      </c>
      <c r="K243" s="604">
        <f t="shared" si="89"/>
        <v>63700</v>
      </c>
      <c r="L243" s="666">
        <f t="shared" si="90"/>
        <v>2531860</v>
      </c>
      <c r="M243" s="666"/>
      <c r="N243" s="683">
        <v>75000</v>
      </c>
      <c r="O243" s="688">
        <f t="shared" si="122"/>
        <v>76701</v>
      </c>
      <c r="P243" s="601">
        <f t="shared" si="123"/>
        <v>2683561</v>
      </c>
      <c r="Q243" s="669">
        <v>20000</v>
      </c>
      <c r="R243" s="669">
        <v>50000</v>
      </c>
      <c r="S243" s="600">
        <f t="shared" si="106"/>
        <v>201267.07499999998</v>
      </c>
      <c r="T243" s="600">
        <f t="shared" si="107"/>
        <v>67089.025000000009</v>
      </c>
      <c r="U243" s="600"/>
      <c r="V243" s="606">
        <f t="shared" si="95"/>
        <v>2951917.1</v>
      </c>
      <c r="W243" s="370">
        <f t="shared" si="124"/>
        <v>0.15</v>
      </c>
      <c r="X243" s="655">
        <f t="shared" si="97"/>
        <v>442787.565</v>
      </c>
      <c r="Y243" s="368">
        <f t="shared" si="98"/>
        <v>15000</v>
      </c>
      <c r="Z243" s="655">
        <f t="shared" si="99"/>
        <v>427787.565</v>
      </c>
      <c r="AA243" s="366">
        <f t="shared" si="100"/>
        <v>30</v>
      </c>
      <c r="AB243" s="655">
        <f t="shared" si="101"/>
        <v>14259.585499999999</v>
      </c>
      <c r="AC243" s="655">
        <f t="shared" si="102"/>
        <v>2509129.5350000001</v>
      </c>
      <c r="AD243" s="655">
        <f t="shared" si="125"/>
        <v>19453.254578153817</v>
      </c>
      <c r="AE243" s="655">
        <f t="shared" si="125"/>
        <v>22552.765591499545</v>
      </c>
      <c r="AF243" s="655">
        <f t="shared" si="125"/>
        <v>29133.121447138339</v>
      </c>
      <c r="AG243" s="655">
        <f t="shared" si="125"/>
        <v>49683.772085989913</v>
      </c>
      <c r="AR243" t="s">
        <v>258</v>
      </c>
      <c r="AS243" s="355" t="s">
        <v>258</v>
      </c>
    </row>
    <row r="244" spans="1:52" ht="14.25" customHeight="1">
      <c r="A244" s="651">
        <v>19000</v>
      </c>
      <c r="B244" s="639" t="s">
        <v>973</v>
      </c>
      <c r="C244" s="391"/>
      <c r="D244" s="387"/>
      <c r="E244" s="372" t="s">
        <v>625</v>
      </c>
      <c r="F244" s="367" t="s">
        <v>894</v>
      </c>
      <c r="G244" s="373">
        <v>22</v>
      </c>
      <c r="H244" s="587">
        <v>2000000</v>
      </c>
      <c r="I244" s="600">
        <f t="shared" si="87"/>
        <v>418000</v>
      </c>
      <c r="J244" s="600">
        <f t="shared" si="88"/>
        <v>50160</v>
      </c>
      <c r="K244" s="604">
        <f t="shared" si="89"/>
        <v>63700</v>
      </c>
      <c r="L244" s="666">
        <f t="shared" si="90"/>
        <v>2531860</v>
      </c>
      <c r="M244" s="666"/>
      <c r="N244" s="683">
        <v>75000</v>
      </c>
      <c r="O244" s="688">
        <f t="shared" si="122"/>
        <v>76701</v>
      </c>
      <c r="P244" s="601">
        <f t="shared" si="123"/>
        <v>2683561</v>
      </c>
      <c r="Q244" s="669">
        <v>20000</v>
      </c>
      <c r="R244" s="669">
        <v>50000</v>
      </c>
      <c r="S244" s="600">
        <f t="shared" si="106"/>
        <v>201267.07499999998</v>
      </c>
      <c r="T244" s="600">
        <f t="shared" si="107"/>
        <v>67089.025000000009</v>
      </c>
      <c r="U244" s="600"/>
      <c r="V244" s="606">
        <f t="shared" si="95"/>
        <v>2951917.1</v>
      </c>
      <c r="W244" s="370">
        <f t="shared" si="124"/>
        <v>0.15</v>
      </c>
      <c r="X244" s="655">
        <f t="shared" si="97"/>
        <v>442787.565</v>
      </c>
      <c r="Y244" s="368">
        <f t="shared" si="98"/>
        <v>15000</v>
      </c>
      <c r="Z244" s="655">
        <f t="shared" si="99"/>
        <v>427787.565</v>
      </c>
      <c r="AA244" s="366">
        <f t="shared" si="100"/>
        <v>30</v>
      </c>
      <c r="AB244" s="655">
        <f t="shared" si="101"/>
        <v>14259.585499999999</v>
      </c>
      <c r="AC244" s="655">
        <f t="shared" si="102"/>
        <v>2509129.5350000001</v>
      </c>
      <c r="AD244" s="655">
        <f t="shared" si="125"/>
        <v>19453.254578153817</v>
      </c>
      <c r="AE244" s="655">
        <f t="shared" si="125"/>
        <v>22552.765591499545</v>
      </c>
      <c r="AF244" s="655">
        <f t="shared" si="125"/>
        <v>29133.121447138339</v>
      </c>
      <c r="AG244" s="655">
        <f t="shared" si="125"/>
        <v>49683.772085989913</v>
      </c>
      <c r="AR244" t="s">
        <v>258</v>
      </c>
      <c r="AS244" s="355" t="s">
        <v>258</v>
      </c>
    </row>
    <row r="245" spans="1:52" ht="14.25" customHeight="1">
      <c r="A245" s="651">
        <v>19000</v>
      </c>
      <c r="B245" s="639" t="s">
        <v>973</v>
      </c>
      <c r="C245" s="391"/>
      <c r="D245" s="387"/>
      <c r="E245" s="372" t="s">
        <v>626</v>
      </c>
      <c r="F245" s="367" t="s">
        <v>894</v>
      </c>
      <c r="G245" s="373">
        <v>22</v>
      </c>
      <c r="H245" s="587">
        <v>2000000</v>
      </c>
      <c r="I245" s="600">
        <f t="shared" si="87"/>
        <v>418000</v>
      </c>
      <c r="J245" s="600">
        <f t="shared" si="88"/>
        <v>50160</v>
      </c>
      <c r="K245" s="604">
        <f t="shared" si="89"/>
        <v>63700</v>
      </c>
      <c r="L245" s="666">
        <f t="shared" si="90"/>
        <v>2531860</v>
      </c>
      <c r="M245" s="666"/>
      <c r="N245" s="683">
        <v>75000</v>
      </c>
      <c r="O245" s="688">
        <f t="shared" si="122"/>
        <v>76701</v>
      </c>
      <c r="P245" s="601">
        <f t="shared" si="123"/>
        <v>2683561</v>
      </c>
      <c r="Q245" s="669">
        <v>20000</v>
      </c>
      <c r="R245" s="669">
        <v>50000</v>
      </c>
      <c r="S245" s="600">
        <f t="shared" si="106"/>
        <v>201267.07499999998</v>
      </c>
      <c r="T245" s="600">
        <f t="shared" si="107"/>
        <v>67089.025000000009</v>
      </c>
      <c r="U245" s="600"/>
      <c r="V245" s="606">
        <f t="shared" si="95"/>
        <v>2951917.1</v>
      </c>
      <c r="W245" s="370">
        <f t="shared" si="124"/>
        <v>0.15</v>
      </c>
      <c r="X245" s="655">
        <f t="shared" si="97"/>
        <v>442787.565</v>
      </c>
      <c r="Y245" s="368">
        <f t="shared" si="98"/>
        <v>15000</v>
      </c>
      <c r="Z245" s="655">
        <f t="shared" si="99"/>
        <v>427787.565</v>
      </c>
      <c r="AA245" s="366">
        <f t="shared" si="100"/>
        <v>30</v>
      </c>
      <c r="AB245" s="655">
        <f t="shared" si="101"/>
        <v>14259.585499999999</v>
      </c>
      <c r="AC245" s="655">
        <f t="shared" si="102"/>
        <v>2509129.5350000001</v>
      </c>
      <c r="AD245" s="655">
        <f t="shared" si="125"/>
        <v>19453.254578153817</v>
      </c>
      <c r="AE245" s="655">
        <f t="shared" si="125"/>
        <v>22552.765591499545</v>
      </c>
      <c r="AF245" s="655">
        <f t="shared" si="125"/>
        <v>29133.121447138339</v>
      </c>
      <c r="AG245" s="655">
        <f t="shared" si="125"/>
        <v>49683.772085989913</v>
      </c>
      <c r="AR245" t="s">
        <v>258</v>
      </c>
      <c r="AS245" s="355" t="s">
        <v>258</v>
      </c>
    </row>
    <row r="246" spans="1:52" ht="14.25" customHeight="1">
      <c r="A246" s="651">
        <v>19000</v>
      </c>
      <c r="B246" s="639" t="s">
        <v>973</v>
      </c>
      <c r="C246" s="391"/>
      <c r="D246" s="387"/>
      <c r="E246" s="372" t="s">
        <v>627</v>
      </c>
      <c r="F246" s="367" t="s">
        <v>894</v>
      </c>
      <c r="G246" s="373">
        <v>22</v>
      </c>
      <c r="H246" s="587">
        <v>2000000</v>
      </c>
      <c r="I246" s="600">
        <f t="shared" si="87"/>
        <v>418000</v>
      </c>
      <c r="J246" s="600">
        <f t="shared" si="88"/>
        <v>50160</v>
      </c>
      <c r="K246" s="604">
        <f t="shared" si="89"/>
        <v>63700</v>
      </c>
      <c r="L246" s="666">
        <f t="shared" si="90"/>
        <v>2531860</v>
      </c>
      <c r="M246" s="666"/>
      <c r="N246" s="683">
        <v>75000</v>
      </c>
      <c r="O246" s="688">
        <f t="shared" si="122"/>
        <v>76701</v>
      </c>
      <c r="P246" s="601">
        <f t="shared" si="123"/>
        <v>2683561</v>
      </c>
      <c r="Q246" s="669">
        <v>20000</v>
      </c>
      <c r="R246" s="669">
        <v>50000</v>
      </c>
      <c r="S246" s="600">
        <f t="shared" si="106"/>
        <v>201267.07499999998</v>
      </c>
      <c r="T246" s="600">
        <f t="shared" si="107"/>
        <v>67089.025000000009</v>
      </c>
      <c r="U246" s="600"/>
      <c r="V246" s="606">
        <f t="shared" si="95"/>
        <v>2951917.1</v>
      </c>
      <c r="W246" s="370">
        <f t="shared" si="124"/>
        <v>0.15</v>
      </c>
      <c r="X246" s="655">
        <f t="shared" si="97"/>
        <v>442787.565</v>
      </c>
      <c r="Y246" s="368">
        <f t="shared" si="98"/>
        <v>15000</v>
      </c>
      <c r="Z246" s="655">
        <f t="shared" si="99"/>
        <v>427787.565</v>
      </c>
      <c r="AA246" s="366">
        <f t="shared" si="100"/>
        <v>30</v>
      </c>
      <c r="AB246" s="655">
        <f t="shared" si="101"/>
        <v>14259.585499999999</v>
      </c>
      <c r="AC246" s="655">
        <f t="shared" si="102"/>
        <v>2509129.5350000001</v>
      </c>
      <c r="AD246" s="655">
        <f t="shared" si="125"/>
        <v>19453.254578153817</v>
      </c>
      <c r="AE246" s="655">
        <f t="shared" si="125"/>
        <v>22552.765591499545</v>
      </c>
      <c r="AF246" s="655">
        <f t="shared" si="125"/>
        <v>29133.121447138339</v>
      </c>
      <c r="AG246" s="655">
        <f t="shared" si="125"/>
        <v>49683.772085989913</v>
      </c>
      <c r="AR246" t="str">
        <f>VLOOKUP(E$6:E$287,'[7]Sales Report'!$B$7:$C$288,2,FALSE)</f>
        <v>SOLD</v>
      </c>
      <c r="AS246" s="355" t="s">
        <v>236</v>
      </c>
    </row>
    <row r="247" spans="1:52" s="615" customFormat="1" ht="14.25" customHeight="1">
      <c r="A247" s="652">
        <v>17000</v>
      </c>
      <c r="B247" s="644" t="s">
        <v>973</v>
      </c>
      <c r="C247" s="608"/>
      <c r="D247" s="619"/>
      <c r="E247" s="610" t="s">
        <v>975</v>
      </c>
      <c r="F247" s="611" t="s">
        <v>956</v>
      </c>
      <c r="G247" s="612">
        <v>44</v>
      </c>
      <c r="H247" s="613">
        <v>4748000</v>
      </c>
      <c r="I247" s="603"/>
      <c r="J247" s="603"/>
      <c r="K247" s="604">
        <f t="shared" si="89"/>
        <v>63700</v>
      </c>
      <c r="L247" s="666">
        <f t="shared" si="90"/>
        <v>4811700</v>
      </c>
      <c r="M247" s="666">
        <f>H247*5%</f>
        <v>237400</v>
      </c>
      <c r="N247" s="683"/>
      <c r="O247" s="683"/>
      <c r="P247" s="693"/>
      <c r="Q247" s="694">
        <v>20000</v>
      </c>
      <c r="R247" s="694">
        <v>50000</v>
      </c>
      <c r="S247" s="603">
        <f>+P247*$S$5</f>
        <v>0</v>
      </c>
      <c r="T247" s="603">
        <f t="shared" ref="T247" si="126">+P247*$T$5</f>
        <v>0</v>
      </c>
      <c r="U247" s="603">
        <f>+P247*0.12</f>
        <v>0</v>
      </c>
      <c r="V247" s="695">
        <f>P247+S247+T247+U247</f>
        <v>0</v>
      </c>
      <c r="W247" s="626">
        <f>W$296</f>
        <v>0.15</v>
      </c>
      <c r="X247" s="656">
        <f t="shared" si="97"/>
        <v>0</v>
      </c>
      <c r="Y247" s="614">
        <f t="shared" si="98"/>
        <v>15000</v>
      </c>
      <c r="Z247" s="656">
        <f t="shared" si="99"/>
        <v>-15000</v>
      </c>
      <c r="AA247" s="620">
        <f t="shared" si="100"/>
        <v>30</v>
      </c>
      <c r="AB247" s="656">
        <f t="shared" si="101"/>
        <v>-500</v>
      </c>
      <c r="AC247" s="656">
        <f t="shared" si="102"/>
        <v>0</v>
      </c>
      <c r="AD247" s="656">
        <f t="shared" si="125"/>
        <v>0</v>
      </c>
      <c r="AE247" s="656">
        <f t="shared" si="125"/>
        <v>0</v>
      </c>
      <c r="AF247" s="656">
        <f t="shared" si="125"/>
        <v>0</v>
      </c>
      <c r="AG247" s="656">
        <f t="shared" si="125"/>
        <v>0</v>
      </c>
      <c r="AQ247"/>
      <c r="AR247"/>
      <c r="AS247" s="616" t="s">
        <v>957</v>
      </c>
      <c r="AT247"/>
      <c r="AU247"/>
      <c r="AV247"/>
      <c r="AW247"/>
      <c r="AX247"/>
      <c r="AY247"/>
      <c r="AZ247"/>
    </row>
    <row r="248" spans="1:52" ht="14.25" customHeight="1">
      <c r="A248" s="651">
        <v>19000</v>
      </c>
      <c r="B248" s="639" t="s">
        <v>973</v>
      </c>
      <c r="C248" s="391"/>
      <c r="D248" s="387"/>
      <c r="E248" s="372" t="s">
        <v>630</v>
      </c>
      <c r="F248" s="367" t="s">
        <v>894</v>
      </c>
      <c r="G248" s="373">
        <v>22</v>
      </c>
      <c r="H248" s="587">
        <v>2000000</v>
      </c>
      <c r="I248" s="600">
        <f t="shared" si="87"/>
        <v>418000</v>
      </c>
      <c r="J248" s="600">
        <f t="shared" si="88"/>
        <v>50160</v>
      </c>
      <c r="K248" s="604">
        <f t="shared" si="89"/>
        <v>63700</v>
      </c>
      <c r="L248" s="666">
        <f t="shared" si="90"/>
        <v>2531860</v>
      </c>
      <c r="M248" s="666"/>
      <c r="N248" s="683">
        <v>75000</v>
      </c>
      <c r="O248" s="688">
        <f t="shared" ref="O248:O254" si="127">(H248+I248+K248+N248)*3%</f>
        <v>76701</v>
      </c>
      <c r="P248" s="601">
        <f t="shared" ref="P248:P254" si="128">SUM(L248+N248+O248)</f>
        <v>2683561</v>
      </c>
      <c r="Q248" s="669">
        <v>20000</v>
      </c>
      <c r="R248" s="669">
        <v>50000</v>
      </c>
      <c r="S248" s="600">
        <f t="shared" ref="S248:S254" si="129">+P248*$S$5</f>
        <v>201267.07499999998</v>
      </c>
      <c r="T248" s="600">
        <f t="shared" si="107"/>
        <v>67089.025000000009</v>
      </c>
      <c r="U248" s="600"/>
      <c r="V248" s="606">
        <f t="shared" si="95"/>
        <v>2951917.1</v>
      </c>
      <c r="W248" s="370">
        <f t="shared" ref="W248:W254" si="130">W$297</f>
        <v>0.15</v>
      </c>
      <c r="X248" s="655">
        <f t="shared" si="97"/>
        <v>442787.565</v>
      </c>
      <c r="Y248" s="368">
        <f t="shared" si="98"/>
        <v>15000</v>
      </c>
      <c r="Z248" s="655">
        <f t="shared" si="99"/>
        <v>427787.565</v>
      </c>
      <c r="AA248" s="366">
        <f t="shared" si="100"/>
        <v>30</v>
      </c>
      <c r="AB248" s="655">
        <f t="shared" si="101"/>
        <v>14259.585499999999</v>
      </c>
      <c r="AC248" s="655">
        <f t="shared" si="102"/>
        <v>2509129.5350000001</v>
      </c>
      <c r="AD248" s="655">
        <f t="shared" si="125"/>
        <v>19453.254578153817</v>
      </c>
      <c r="AE248" s="655">
        <f t="shared" si="125"/>
        <v>22552.765591499545</v>
      </c>
      <c r="AF248" s="655">
        <f t="shared" si="125"/>
        <v>29133.121447138339</v>
      </c>
      <c r="AG248" s="655">
        <f t="shared" si="125"/>
        <v>49683.772085989913</v>
      </c>
      <c r="AR248" t="str">
        <f>VLOOKUP(E$6:E$287,'[7]Sales Report'!$B$7:$C$288,2,FALSE)</f>
        <v>SOLD</v>
      </c>
      <c r="AS248" s="355" t="s">
        <v>236</v>
      </c>
    </row>
    <row r="249" spans="1:52" ht="14.25" customHeight="1">
      <c r="A249" s="651">
        <v>19000</v>
      </c>
      <c r="B249" s="639" t="s">
        <v>973</v>
      </c>
      <c r="C249" s="391"/>
      <c r="D249" s="387"/>
      <c r="E249" s="372" t="s">
        <v>631</v>
      </c>
      <c r="F249" s="367" t="s">
        <v>894</v>
      </c>
      <c r="G249" s="373">
        <v>22</v>
      </c>
      <c r="H249" s="587">
        <v>2000000</v>
      </c>
      <c r="I249" s="600">
        <f t="shared" si="87"/>
        <v>418000</v>
      </c>
      <c r="J249" s="600">
        <f t="shared" si="88"/>
        <v>50160</v>
      </c>
      <c r="K249" s="604">
        <f t="shared" si="89"/>
        <v>63700</v>
      </c>
      <c r="L249" s="666">
        <f t="shared" si="90"/>
        <v>2531860</v>
      </c>
      <c r="M249" s="666"/>
      <c r="N249" s="683">
        <v>75000</v>
      </c>
      <c r="O249" s="688">
        <f t="shared" si="127"/>
        <v>76701</v>
      </c>
      <c r="P249" s="601">
        <f t="shared" si="128"/>
        <v>2683561</v>
      </c>
      <c r="Q249" s="669">
        <v>20000</v>
      </c>
      <c r="R249" s="669">
        <v>50000</v>
      </c>
      <c r="S249" s="600">
        <f t="shared" si="129"/>
        <v>201267.07499999998</v>
      </c>
      <c r="T249" s="600">
        <f t="shared" si="107"/>
        <v>67089.025000000009</v>
      </c>
      <c r="U249" s="600"/>
      <c r="V249" s="606">
        <f t="shared" si="95"/>
        <v>2951917.1</v>
      </c>
      <c r="W249" s="370">
        <f t="shared" si="130"/>
        <v>0.15</v>
      </c>
      <c r="X249" s="655">
        <f t="shared" si="97"/>
        <v>442787.565</v>
      </c>
      <c r="Y249" s="368">
        <f t="shared" si="98"/>
        <v>15000</v>
      </c>
      <c r="Z249" s="655">
        <f t="shared" si="99"/>
        <v>427787.565</v>
      </c>
      <c r="AA249" s="366">
        <f t="shared" si="100"/>
        <v>30</v>
      </c>
      <c r="AB249" s="655">
        <f t="shared" si="101"/>
        <v>14259.585499999999</v>
      </c>
      <c r="AC249" s="655">
        <f t="shared" si="102"/>
        <v>2509129.5350000001</v>
      </c>
      <c r="AD249" s="655">
        <f t="shared" si="125"/>
        <v>19453.254578153817</v>
      </c>
      <c r="AE249" s="655">
        <f t="shared" si="125"/>
        <v>22552.765591499545</v>
      </c>
      <c r="AF249" s="655">
        <f t="shared" si="125"/>
        <v>29133.121447138339</v>
      </c>
      <c r="AG249" s="655">
        <f t="shared" si="125"/>
        <v>49683.772085989913</v>
      </c>
      <c r="AR249" t="str">
        <f>VLOOKUP(E$6:E$287,'[7]Sales Report'!$B$7:$C$288,2,FALSE)</f>
        <v>SOLD</v>
      </c>
      <c r="AS249" s="355" t="s">
        <v>236</v>
      </c>
    </row>
    <row r="250" spans="1:52" ht="14.25" customHeight="1">
      <c r="A250" s="651">
        <v>19000</v>
      </c>
      <c r="B250" s="639" t="s">
        <v>973</v>
      </c>
      <c r="C250" s="391"/>
      <c r="D250" s="387"/>
      <c r="E250" s="372" t="s">
        <v>632</v>
      </c>
      <c r="F250" s="367" t="s">
        <v>894</v>
      </c>
      <c r="G250" s="373">
        <v>22</v>
      </c>
      <c r="H250" s="587">
        <v>2000000</v>
      </c>
      <c r="I250" s="600">
        <f t="shared" si="87"/>
        <v>418000</v>
      </c>
      <c r="J250" s="600">
        <f t="shared" si="88"/>
        <v>50160</v>
      </c>
      <c r="K250" s="604">
        <f t="shared" si="89"/>
        <v>63700</v>
      </c>
      <c r="L250" s="666">
        <f t="shared" si="90"/>
        <v>2531860</v>
      </c>
      <c r="M250" s="666"/>
      <c r="N250" s="683">
        <v>75000</v>
      </c>
      <c r="O250" s="688">
        <f t="shared" si="127"/>
        <v>76701</v>
      </c>
      <c r="P250" s="601">
        <f t="shared" si="128"/>
        <v>2683561</v>
      </c>
      <c r="Q250" s="669">
        <v>20000</v>
      </c>
      <c r="R250" s="669">
        <v>50000</v>
      </c>
      <c r="S250" s="600">
        <f t="shared" si="129"/>
        <v>201267.07499999998</v>
      </c>
      <c r="T250" s="600">
        <f t="shared" si="107"/>
        <v>67089.025000000009</v>
      </c>
      <c r="U250" s="600"/>
      <c r="V250" s="606">
        <f t="shared" si="95"/>
        <v>2951917.1</v>
      </c>
      <c r="W250" s="370">
        <f t="shared" si="130"/>
        <v>0.15</v>
      </c>
      <c r="X250" s="655">
        <f t="shared" si="97"/>
        <v>442787.565</v>
      </c>
      <c r="Y250" s="368">
        <f t="shared" si="98"/>
        <v>15000</v>
      </c>
      <c r="Z250" s="655">
        <f t="shared" si="99"/>
        <v>427787.565</v>
      </c>
      <c r="AA250" s="366">
        <f t="shared" si="100"/>
        <v>30</v>
      </c>
      <c r="AB250" s="655">
        <f t="shared" si="101"/>
        <v>14259.585499999999</v>
      </c>
      <c r="AC250" s="655">
        <f t="shared" si="102"/>
        <v>2509129.5350000001</v>
      </c>
      <c r="AD250" s="655">
        <f t="shared" si="125"/>
        <v>19453.254578153817</v>
      </c>
      <c r="AE250" s="655">
        <f t="shared" si="125"/>
        <v>22552.765591499545</v>
      </c>
      <c r="AF250" s="655">
        <f t="shared" si="125"/>
        <v>29133.121447138339</v>
      </c>
      <c r="AG250" s="655">
        <f t="shared" si="125"/>
        <v>49683.772085989913</v>
      </c>
      <c r="AR250" t="str">
        <f>VLOOKUP(E$6:E$287,'[7]Sales Report'!$B$7:$C$288,2,FALSE)</f>
        <v>SOLD</v>
      </c>
      <c r="AS250" s="355" t="s">
        <v>236</v>
      </c>
    </row>
    <row r="251" spans="1:52" ht="14.25" customHeight="1">
      <c r="A251" s="651">
        <v>19000</v>
      </c>
      <c r="B251" s="639" t="s">
        <v>973</v>
      </c>
      <c r="C251" s="391"/>
      <c r="D251" s="387"/>
      <c r="E251" s="372" t="s">
        <v>634</v>
      </c>
      <c r="F251" s="367" t="s">
        <v>894</v>
      </c>
      <c r="G251" s="373">
        <v>22</v>
      </c>
      <c r="H251" s="587">
        <v>2000000</v>
      </c>
      <c r="I251" s="600">
        <f t="shared" si="87"/>
        <v>418000</v>
      </c>
      <c r="J251" s="600">
        <f t="shared" si="88"/>
        <v>50160</v>
      </c>
      <c r="K251" s="604">
        <f t="shared" si="89"/>
        <v>63700</v>
      </c>
      <c r="L251" s="666">
        <f t="shared" si="90"/>
        <v>2531860</v>
      </c>
      <c r="M251" s="666"/>
      <c r="N251" s="683">
        <v>75000</v>
      </c>
      <c r="O251" s="688">
        <f t="shared" si="127"/>
        <v>76701</v>
      </c>
      <c r="P251" s="601">
        <f t="shared" si="128"/>
        <v>2683561</v>
      </c>
      <c r="Q251" s="669">
        <v>20000</v>
      </c>
      <c r="R251" s="669">
        <v>50000</v>
      </c>
      <c r="S251" s="600">
        <f t="shared" si="129"/>
        <v>201267.07499999998</v>
      </c>
      <c r="T251" s="600">
        <f t="shared" si="107"/>
        <v>67089.025000000009</v>
      </c>
      <c r="U251" s="600"/>
      <c r="V251" s="606">
        <f t="shared" si="95"/>
        <v>2951917.1</v>
      </c>
      <c r="W251" s="370">
        <f t="shared" si="130"/>
        <v>0.15</v>
      </c>
      <c r="X251" s="655">
        <f t="shared" si="97"/>
        <v>442787.565</v>
      </c>
      <c r="Y251" s="368">
        <f t="shared" si="98"/>
        <v>15000</v>
      </c>
      <c r="Z251" s="655">
        <f t="shared" si="99"/>
        <v>427787.565</v>
      </c>
      <c r="AA251" s="366">
        <f t="shared" si="100"/>
        <v>30</v>
      </c>
      <c r="AB251" s="655">
        <f t="shared" si="101"/>
        <v>14259.585499999999</v>
      </c>
      <c r="AC251" s="655">
        <f t="shared" si="102"/>
        <v>2509129.5350000001</v>
      </c>
      <c r="AD251" s="655">
        <f t="shared" si="125"/>
        <v>19453.254578153817</v>
      </c>
      <c r="AE251" s="655">
        <f t="shared" si="125"/>
        <v>22552.765591499545</v>
      </c>
      <c r="AF251" s="655">
        <f t="shared" si="125"/>
        <v>29133.121447138339</v>
      </c>
      <c r="AG251" s="655">
        <f t="shared" si="125"/>
        <v>49683.772085989913</v>
      </c>
      <c r="AR251" t="str">
        <f>VLOOKUP(E$6:E$287,'[7]Sales Report'!$B$7:$C$288,2,FALSE)</f>
        <v>SOLD</v>
      </c>
      <c r="AS251" s="355" t="s">
        <v>236</v>
      </c>
    </row>
    <row r="252" spans="1:52" ht="14.25" customHeight="1">
      <c r="A252" s="651">
        <v>19000</v>
      </c>
      <c r="B252" s="639" t="s">
        <v>973</v>
      </c>
      <c r="C252" s="391"/>
      <c r="D252" s="387"/>
      <c r="E252" s="372" t="s">
        <v>635</v>
      </c>
      <c r="F252" s="367" t="s">
        <v>894</v>
      </c>
      <c r="G252" s="373">
        <v>22</v>
      </c>
      <c r="H252" s="587">
        <v>2000000</v>
      </c>
      <c r="I252" s="600">
        <f t="shared" si="87"/>
        <v>418000</v>
      </c>
      <c r="J252" s="600">
        <f t="shared" si="88"/>
        <v>50160</v>
      </c>
      <c r="K252" s="604">
        <f t="shared" si="89"/>
        <v>63700</v>
      </c>
      <c r="L252" s="666">
        <f t="shared" si="90"/>
        <v>2531860</v>
      </c>
      <c r="M252" s="666"/>
      <c r="N252" s="683">
        <v>75000</v>
      </c>
      <c r="O252" s="688">
        <f t="shared" si="127"/>
        <v>76701</v>
      </c>
      <c r="P252" s="601">
        <f t="shared" si="128"/>
        <v>2683561</v>
      </c>
      <c r="Q252" s="669">
        <v>20000</v>
      </c>
      <c r="R252" s="669">
        <v>50000</v>
      </c>
      <c r="S252" s="600">
        <f t="shared" si="129"/>
        <v>201267.07499999998</v>
      </c>
      <c r="T252" s="600">
        <f t="shared" si="107"/>
        <v>67089.025000000009</v>
      </c>
      <c r="U252" s="600"/>
      <c r="V252" s="606">
        <f t="shared" si="95"/>
        <v>2951917.1</v>
      </c>
      <c r="W252" s="370">
        <f t="shared" si="130"/>
        <v>0.15</v>
      </c>
      <c r="X252" s="655">
        <f t="shared" si="97"/>
        <v>442787.565</v>
      </c>
      <c r="Y252" s="368">
        <f t="shared" si="98"/>
        <v>15000</v>
      </c>
      <c r="Z252" s="655">
        <f t="shared" si="99"/>
        <v>427787.565</v>
      </c>
      <c r="AA252" s="366">
        <f t="shared" si="100"/>
        <v>30</v>
      </c>
      <c r="AB252" s="655">
        <f t="shared" si="101"/>
        <v>14259.585499999999</v>
      </c>
      <c r="AC252" s="655">
        <f t="shared" si="102"/>
        <v>2509129.5350000001</v>
      </c>
      <c r="AD252" s="655">
        <f t="shared" si="125"/>
        <v>19453.254578153817</v>
      </c>
      <c r="AE252" s="655">
        <f t="shared" si="125"/>
        <v>22552.765591499545</v>
      </c>
      <c r="AF252" s="655">
        <f t="shared" si="125"/>
        <v>29133.121447138339</v>
      </c>
      <c r="AG252" s="655">
        <f t="shared" si="125"/>
        <v>49683.772085989913</v>
      </c>
      <c r="AR252" t="str">
        <f>VLOOKUP(E$6:E$287,'[7]Sales Report'!$B$7:$C$288,2,FALSE)</f>
        <v>SOLD</v>
      </c>
      <c r="AS252" s="355" t="s">
        <v>236</v>
      </c>
    </row>
    <row r="253" spans="1:52" ht="14.25" customHeight="1">
      <c r="A253" s="651">
        <v>19000</v>
      </c>
      <c r="B253" s="639" t="s">
        <v>973</v>
      </c>
      <c r="C253" s="391"/>
      <c r="D253" s="387"/>
      <c r="E253" s="372" t="s">
        <v>637</v>
      </c>
      <c r="F253" s="367" t="s">
        <v>894</v>
      </c>
      <c r="G253" s="373">
        <v>22</v>
      </c>
      <c r="H253" s="587">
        <v>2000000</v>
      </c>
      <c r="I253" s="600">
        <f t="shared" si="87"/>
        <v>418000</v>
      </c>
      <c r="J253" s="600">
        <f t="shared" si="88"/>
        <v>50160</v>
      </c>
      <c r="K253" s="604">
        <f t="shared" si="89"/>
        <v>63700</v>
      </c>
      <c r="L253" s="666">
        <f t="shared" si="90"/>
        <v>2531860</v>
      </c>
      <c r="M253" s="666"/>
      <c r="N253" s="683">
        <v>75000</v>
      </c>
      <c r="O253" s="688">
        <f t="shared" si="127"/>
        <v>76701</v>
      </c>
      <c r="P253" s="601">
        <f t="shared" si="128"/>
        <v>2683561</v>
      </c>
      <c r="Q253" s="669">
        <v>20000</v>
      </c>
      <c r="R253" s="669">
        <v>50000</v>
      </c>
      <c r="S253" s="600">
        <f t="shared" si="129"/>
        <v>201267.07499999998</v>
      </c>
      <c r="T253" s="600">
        <f t="shared" si="107"/>
        <v>67089.025000000009</v>
      </c>
      <c r="U253" s="600"/>
      <c r="V253" s="606">
        <f t="shared" si="95"/>
        <v>2951917.1</v>
      </c>
      <c r="W253" s="370">
        <f t="shared" si="130"/>
        <v>0.15</v>
      </c>
      <c r="X253" s="655">
        <f t="shared" si="97"/>
        <v>442787.565</v>
      </c>
      <c r="Y253" s="368">
        <f t="shared" si="98"/>
        <v>15000</v>
      </c>
      <c r="Z253" s="655">
        <f t="shared" si="99"/>
        <v>427787.565</v>
      </c>
      <c r="AA253" s="366">
        <f t="shared" si="100"/>
        <v>30</v>
      </c>
      <c r="AB253" s="655">
        <f t="shared" si="101"/>
        <v>14259.585499999999</v>
      </c>
      <c r="AC253" s="655">
        <f t="shared" si="102"/>
        <v>2509129.5350000001</v>
      </c>
      <c r="AD253" s="655">
        <f t="shared" si="125"/>
        <v>19453.254578153817</v>
      </c>
      <c r="AE253" s="655">
        <f t="shared" si="125"/>
        <v>22552.765591499545</v>
      </c>
      <c r="AF253" s="655">
        <f t="shared" si="125"/>
        <v>29133.121447138339</v>
      </c>
      <c r="AG253" s="655">
        <f t="shared" si="125"/>
        <v>49683.772085989913</v>
      </c>
      <c r="AR253" t="s">
        <v>258</v>
      </c>
      <c r="AS253" s="355" t="s">
        <v>258</v>
      </c>
    </row>
    <row r="254" spans="1:52" ht="14.25" customHeight="1">
      <c r="A254" s="651">
        <v>19000</v>
      </c>
      <c r="B254" s="639" t="s">
        <v>973</v>
      </c>
      <c r="C254" s="391"/>
      <c r="D254" s="387"/>
      <c r="E254" s="372" t="s">
        <v>639</v>
      </c>
      <c r="F254" s="367" t="s">
        <v>894</v>
      </c>
      <c r="G254" s="373">
        <v>22</v>
      </c>
      <c r="H254" s="587">
        <v>2000000</v>
      </c>
      <c r="I254" s="600">
        <f t="shared" si="87"/>
        <v>418000</v>
      </c>
      <c r="J254" s="600">
        <f t="shared" si="88"/>
        <v>50160</v>
      </c>
      <c r="K254" s="604">
        <f t="shared" si="89"/>
        <v>63700</v>
      </c>
      <c r="L254" s="666">
        <f t="shared" si="90"/>
        <v>2531860</v>
      </c>
      <c r="M254" s="666"/>
      <c r="N254" s="683">
        <v>75000</v>
      </c>
      <c r="O254" s="688">
        <f t="shared" si="127"/>
        <v>76701</v>
      </c>
      <c r="P254" s="601">
        <f t="shared" si="128"/>
        <v>2683561</v>
      </c>
      <c r="Q254" s="669">
        <v>20000</v>
      </c>
      <c r="R254" s="669">
        <v>50000</v>
      </c>
      <c r="S254" s="600">
        <f t="shared" si="129"/>
        <v>201267.07499999998</v>
      </c>
      <c r="T254" s="600">
        <f t="shared" si="107"/>
        <v>67089.025000000009</v>
      </c>
      <c r="U254" s="600"/>
      <c r="V254" s="606">
        <f t="shared" si="95"/>
        <v>2951917.1</v>
      </c>
      <c r="W254" s="370">
        <f t="shared" si="130"/>
        <v>0.15</v>
      </c>
      <c r="X254" s="655">
        <f t="shared" si="97"/>
        <v>442787.565</v>
      </c>
      <c r="Y254" s="368">
        <f t="shared" si="98"/>
        <v>15000</v>
      </c>
      <c r="Z254" s="655">
        <f t="shared" si="99"/>
        <v>427787.565</v>
      </c>
      <c r="AA254" s="366">
        <f t="shared" si="100"/>
        <v>30</v>
      </c>
      <c r="AB254" s="655">
        <f t="shared" si="101"/>
        <v>14259.585499999999</v>
      </c>
      <c r="AC254" s="655">
        <f t="shared" si="102"/>
        <v>2509129.5350000001</v>
      </c>
      <c r="AD254" s="655">
        <f t="shared" si="125"/>
        <v>19453.254578153817</v>
      </c>
      <c r="AE254" s="655">
        <f t="shared" si="125"/>
        <v>22552.765591499545</v>
      </c>
      <c r="AF254" s="655">
        <f t="shared" si="125"/>
        <v>29133.121447138339</v>
      </c>
      <c r="AG254" s="655">
        <f t="shared" si="125"/>
        <v>49683.772085989913</v>
      </c>
      <c r="AR254" t="str">
        <f>VLOOKUP(E$6:E$287,'[7]Sales Report'!$B$7:$C$288,2,FALSE)</f>
        <v>SOLD</v>
      </c>
      <c r="AS254" s="355" t="s">
        <v>236</v>
      </c>
    </row>
    <row r="255" spans="1:52" s="615" customFormat="1" ht="14.25" customHeight="1">
      <c r="A255" s="652">
        <v>17000</v>
      </c>
      <c r="B255" s="644" t="s">
        <v>973</v>
      </c>
      <c r="C255" s="608"/>
      <c r="D255" s="619"/>
      <c r="E255" s="610" t="s">
        <v>976</v>
      </c>
      <c r="F255" s="611" t="s">
        <v>956</v>
      </c>
      <c r="G255" s="612">
        <v>44</v>
      </c>
      <c r="H255" s="613">
        <v>4748000</v>
      </c>
      <c r="I255" s="603"/>
      <c r="J255" s="603"/>
      <c r="K255" s="604">
        <f t="shared" si="89"/>
        <v>63700</v>
      </c>
      <c r="L255" s="666">
        <f t="shared" si="90"/>
        <v>4811700</v>
      </c>
      <c r="M255" s="666">
        <f t="shared" ref="M255:M256" si="131">H255*5%</f>
        <v>237400</v>
      </c>
      <c r="N255" s="683"/>
      <c r="O255" s="683"/>
      <c r="P255" s="693"/>
      <c r="Q255" s="694">
        <v>20000</v>
      </c>
      <c r="R255" s="694">
        <v>50000</v>
      </c>
      <c r="S255" s="603">
        <f>+P255*$S$5</f>
        <v>0</v>
      </c>
      <c r="T255" s="603">
        <f t="shared" si="107"/>
        <v>0</v>
      </c>
      <c r="U255" s="603">
        <f>+P255*0.12</f>
        <v>0</v>
      </c>
      <c r="V255" s="695">
        <f>P255+S255+T255+U255</f>
        <v>0</v>
      </c>
      <c r="W255" s="626">
        <f t="shared" ref="W255:W256" si="132">W$296</f>
        <v>0.15</v>
      </c>
      <c r="X255" s="656">
        <f t="shared" si="97"/>
        <v>0</v>
      </c>
      <c r="Y255" s="614">
        <f t="shared" si="98"/>
        <v>15000</v>
      </c>
      <c r="Z255" s="656">
        <f t="shared" si="99"/>
        <v>-15000</v>
      </c>
      <c r="AA255" s="620">
        <f t="shared" si="100"/>
        <v>30</v>
      </c>
      <c r="AB255" s="656">
        <f t="shared" si="101"/>
        <v>-500</v>
      </c>
      <c r="AC255" s="656">
        <f t="shared" si="102"/>
        <v>0</v>
      </c>
      <c r="AD255" s="656">
        <f t="shared" si="125"/>
        <v>0</v>
      </c>
      <c r="AE255" s="656">
        <f t="shared" si="125"/>
        <v>0</v>
      </c>
      <c r="AF255" s="656">
        <f t="shared" si="125"/>
        <v>0</v>
      </c>
      <c r="AG255" s="656">
        <f t="shared" si="125"/>
        <v>0</v>
      </c>
      <c r="AQ255"/>
      <c r="AR255"/>
      <c r="AS255" s="616" t="s">
        <v>957</v>
      </c>
      <c r="AT255"/>
      <c r="AU255"/>
      <c r="AV255"/>
      <c r="AW255"/>
      <c r="AX255"/>
      <c r="AY255"/>
      <c r="AZ255"/>
    </row>
    <row r="256" spans="1:52" s="615" customFormat="1" ht="14.25" customHeight="1">
      <c r="A256" s="652">
        <v>17000</v>
      </c>
      <c r="B256" s="644" t="s">
        <v>973</v>
      </c>
      <c r="C256" s="608"/>
      <c r="D256" s="619"/>
      <c r="E256" s="610" t="s">
        <v>977</v>
      </c>
      <c r="F256" s="611" t="s">
        <v>956</v>
      </c>
      <c r="G256" s="612">
        <v>44</v>
      </c>
      <c r="H256" s="613">
        <v>4748000</v>
      </c>
      <c r="I256" s="603"/>
      <c r="J256" s="603"/>
      <c r="K256" s="604">
        <f t="shared" si="89"/>
        <v>63700</v>
      </c>
      <c r="L256" s="666">
        <f t="shared" si="90"/>
        <v>4811700</v>
      </c>
      <c r="M256" s="666">
        <f t="shared" si="131"/>
        <v>237400</v>
      </c>
      <c r="N256" s="683"/>
      <c r="O256" s="683"/>
      <c r="P256" s="693"/>
      <c r="Q256" s="694">
        <v>20000</v>
      </c>
      <c r="R256" s="694">
        <v>50000</v>
      </c>
      <c r="S256" s="603">
        <f>+P256*$S$5</f>
        <v>0</v>
      </c>
      <c r="T256" s="603">
        <f t="shared" si="107"/>
        <v>0</v>
      </c>
      <c r="U256" s="603">
        <f>+P256*0.12</f>
        <v>0</v>
      </c>
      <c r="V256" s="695">
        <f>P256+S256+T256+U256</f>
        <v>0</v>
      </c>
      <c r="W256" s="626">
        <f t="shared" si="132"/>
        <v>0.15</v>
      </c>
      <c r="X256" s="656">
        <f t="shared" si="97"/>
        <v>0</v>
      </c>
      <c r="Y256" s="614">
        <f t="shared" si="98"/>
        <v>15000</v>
      </c>
      <c r="Z256" s="656">
        <f t="shared" si="99"/>
        <v>-15000</v>
      </c>
      <c r="AA256" s="620">
        <f t="shared" si="100"/>
        <v>30</v>
      </c>
      <c r="AB256" s="656">
        <f t="shared" si="101"/>
        <v>-500</v>
      </c>
      <c r="AC256" s="656">
        <f t="shared" si="102"/>
        <v>0</v>
      </c>
      <c r="AD256" s="656">
        <f t="shared" si="125"/>
        <v>0</v>
      </c>
      <c r="AE256" s="656">
        <f t="shared" si="125"/>
        <v>0</v>
      </c>
      <c r="AF256" s="656">
        <f t="shared" si="125"/>
        <v>0</v>
      </c>
      <c r="AG256" s="656">
        <f t="shared" si="125"/>
        <v>0</v>
      </c>
      <c r="AQ256"/>
      <c r="AR256"/>
      <c r="AS256" s="616" t="s">
        <v>957</v>
      </c>
      <c r="AT256"/>
      <c r="AU256"/>
      <c r="AV256"/>
      <c r="AW256"/>
      <c r="AX256"/>
      <c r="AY256"/>
      <c r="AZ256"/>
    </row>
    <row r="257" spans="1:52" ht="14.25" customHeight="1" thickBot="1">
      <c r="A257" s="651">
        <v>15000</v>
      </c>
      <c r="B257" s="648" t="s">
        <v>973</v>
      </c>
      <c r="C257" s="400"/>
      <c r="D257" s="390"/>
      <c r="E257" s="381" t="s">
        <v>645</v>
      </c>
      <c r="F257" s="367" t="s">
        <v>894</v>
      </c>
      <c r="G257" s="419">
        <v>22</v>
      </c>
      <c r="H257" s="587">
        <v>2000000</v>
      </c>
      <c r="I257" s="600">
        <f t="shared" si="87"/>
        <v>330000</v>
      </c>
      <c r="J257" s="600">
        <f t="shared" si="88"/>
        <v>39600</v>
      </c>
      <c r="K257" s="604">
        <f t="shared" si="89"/>
        <v>63700</v>
      </c>
      <c r="L257" s="666">
        <f t="shared" si="90"/>
        <v>2433300</v>
      </c>
      <c r="M257" s="666"/>
      <c r="N257" s="683">
        <v>75000</v>
      </c>
      <c r="O257" s="688">
        <f t="shared" ref="O257:O260" si="133">(H257+I257+K257+N257)*3%</f>
        <v>74061</v>
      </c>
      <c r="P257" s="601">
        <f t="shared" ref="P257:P260" si="134">SUM(L257+N257+O257)</f>
        <v>2582361</v>
      </c>
      <c r="Q257" s="669">
        <v>20000</v>
      </c>
      <c r="R257" s="669">
        <v>50000</v>
      </c>
      <c r="S257" s="600">
        <f t="shared" si="106"/>
        <v>193677.07499999998</v>
      </c>
      <c r="T257" s="600">
        <f t="shared" si="107"/>
        <v>64559.025000000001</v>
      </c>
      <c r="U257" s="600"/>
      <c r="V257" s="606">
        <f t="shared" si="95"/>
        <v>2840597.1</v>
      </c>
      <c r="W257" s="370">
        <f t="shared" ref="W257:W260" si="135">W$297</f>
        <v>0.15</v>
      </c>
      <c r="X257" s="655">
        <f t="shared" si="97"/>
        <v>426089.565</v>
      </c>
      <c r="Y257" s="368">
        <f t="shared" si="98"/>
        <v>15000</v>
      </c>
      <c r="Z257" s="655">
        <f t="shared" si="99"/>
        <v>411089.565</v>
      </c>
      <c r="AA257" s="366">
        <f t="shared" si="100"/>
        <v>30</v>
      </c>
      <c r="AB257" s="655">
        <f t="shared" si="101"/>
        <v>13702.985500000001</v>
      </c>
      <c r="AC257" s="655">
        <f t="shared" si="102"/>
        <v>2414507.5350000001</v>
      </c>
      <c r="AD257" s="655">
        <f t="shared" si="125"/>
        <v>18719.651219292529</v>
      </c>
      <c r="AE257" s="655">
        <f t="shared" si="125"/>
        <v>21702.276305860145</v>
      </c>
      <c r="AF257" s="655">
        <f t="shared" si="125"/>
        <v>28034.479795075873</v>
      </c>
      <c r="AG257" s="655">
        <f t="shared" si="125"/>
        <v>47810.143077704954</v>
      </c>
      <c r="AR257" t="s">
        <v>258</v>
      </c>
      <c r="AS257" s="355" t="s">
        <v>258</v>
      </c>
    </row>
    <row r="258" spans="1:52" ht="14.25" customHeight="1">
      <c r="A258" s="651">
        <v>15000</v>
      </c>
      <c r="B258" s="638" t="s">
        <v>973</v>
      </c>
      <c r="C258" s="392"/>
      <c r="D258" s="418"/>
      <c r="E258" s="414" t="s">
        <v>646</v>
      </c>
      <c r="F258" s="367" t="s">
        <v>894</v>
      </c>
      <c r="G258" s="375">
        <v>22</v>
      </c>
      <c r="H258" s="587">
        <v>2000000</v>
      </c>
      <c r="I258" s="600">
        <f t="shared" si="87"/>
        <v>330000</v>
      </c>
      <c r="J258" s="600">
        <f t="shared" si="88"/>
        <v>39600</v>
      </c>
      <c r="K258" s="604">
        <f t="shared" si="89"/>
        <v>63700</v>
      </c>
      <c r="L258" s="666">
        <f t="shared" si="90"/>
        <v>2433300</v>
      </c>
      <c r="M258" s="666"/>
      <c r="N258" s="683">
        <v>75000</v>
      </c>
      <c r="O258" s="688">
        <f t="shared" si="133"/>
        <v>74061</v>
      </c>
      <c r="P258" s="601">
        <f t="shared" si="134"/>
        <v>2582361</v>
      </c>
      <c r="Q258" s="669">
        <v>20000</v>
      </c>
      <c r="R258" s="669">
        <v>50000</v>
      </c>
      <c r="S258" s="600">
        <f t="shared" si="106"/>
        <v>193677.07499999998</v>
      </c>
      <c r="T258" s="600">
        <f t="shared" si="107"/>
        <v>64559.025000000001</v>
      </c>
      <c r="U258" s="600"/>
      <c r="V258" s="606">
        <f t="shared" si="95"/>
        <v>2840597.1</v>
      </c>
      <c r="W258" s="370">
        <f t="shared" si="135"/>
        <v>0.15</v>
      </c>
      <c r="X258" s="655">
        <f t="shared" si="97"/>
        <v>426089.565</v>
      </c>
      <c r="Y258" s="368">
        <f t="shared" si="98"/>
        <v>15000</v>
      </c>
      <c r="Z258" s="655">
        <f t="shared" si="99"/>
        <v>411089.565</v>
      </c>
      <c r="AA258" s="366">
        <f t="shared" si="100"/>
        <v>30</v>
      </c>
      <c r="AB258" s="655">
        <f t="shared" si="101"/>
        <v>13702.985500000001</v>
      </c>
      <c r="AC258" s="655">
        <f t="shared" si="102"/>
        <v>2414507.5350000001</v>
      </c>
      <c r="AD258" s="655">
        <f t="shared" si="125"/>
        <v>18719.651219292529</v>
      </c>
      <c r="AE258" s="655">
        <f t="shared" si="125"/>
        <v>21702.276305860145</v>
      </c>
      <c r="AF258" s="655">
        <f t="shared" si="125"/>
        <v>28034.479795075873</v>
      </c>
      <c r="AG258" s="655">
        <f t="shared" si="125"/>
        <v>47810.143077704954</v>
      </c>
      <c r="AR258" t="s">
        <v>258</v>
      </c>
      <c r="AS258" s="355" t="s">
        <v>258</v>
      </c>
    </row>
    <row r="259" spans="1:52" ht="14.25" customHeight="1">
      <c r="A259" s="651">
        <v>15000</v>
      </c>
      <c r="B259" s="639" t="s">
        <v>973</v>
      </c>
      <c r="C259" s="391"/>
      <c r="D259" s="387"/>
      <c r="E259" s="372" t="s">
        <v>647</v>
      </c>
      <c r="F259" s="367" t="s">
        <v>894</v>
      </c>
      <c r="G259" s="371">
        <v>22</v>
      </c>
      <c r="H259" s="587">
        <v>2000000</v>
      </c>
      <c r="I259" s="600">
        <f t="shared" si="87"/>
        <v>330000</v>
      </c>
      <c r="J259" s="600">
        <f t="shared" si="88"/>
        <v>39600</v>
      </c>
      <c r="K259" s="604">
        <f t="shared" si="89"/>
        <v>63700</v>
      </c>
      <c r="L259" s="666">
        <f t="shared" si="90"/>
        <v>2433300</v>
      </c>
      <c r="M259" s="666"/>
      <c r="N259" s="683">
        <v>75000</v>
      </c>
      <c r="O259" s="688">
        <f t="shared" si="133"/>
        <v>74061</v>
      </c>
      <c r="P259" s="601">
        <f t="shared" si="134"/>
        <v>2582361</v>
      </c>
      <c r="Q259" s="669">
        <v>20000</v>
      </c>
      <c r="R259" s="669">
        <v>50000</v>
      </c>
      <c r="S259" s="600">
        <f t="shared" si="106"/>
        <v>193677.07499999998</v>
      </c>
      <c r="T259" s="600">
        <f t="shared" si="107"/>
        <v>64559.025000000001</v>
      </c>
      <c r="U259" s="600"/>
      <c r="V259" s="606">
        <f t="shared" si="95"/>
        <v>2840597.1</v>
      </c>
      <c r="W259" s="370">
        <f t="shared" si="135"/>
        <v>0.15</v>
      </c>
      <c r="X259" s="655">
        <f t="shared" si="97"/>
        <v>426089.565</v>
      </c>
      <c r="Y259" s="368">
        <f t="shared" si="98"/>
        <v>15000</v>
      </c>
      <c r="Z259" s="655">
        <f t="shared" si="99"/>
        <v>411089.565</v>
      </c>
      <c r="AA259" s="366">
        <f t="shared" si="100"/>
        <v>30</v>
      </c>
      <c r="AB259" s="655">
        <f t="shared" si="101"/>
        <v>13702.985500000001</v>
      </c>
      <c r="AC259" s="655">
        <f t="shared" si="102"/>
        <v>2414507.5350000001</v>
      </c>
      <c r="AD259" s="655">
        <f t="shared" si="125"/>
        <v>18719.651219292529</v>
      </c>
      <c r="AE259" s="655">
        <f t="shared" si="125"/>
        <v>21702.276305860145</v>
      </c>
      <c r="AF259" s="655">
        <f t="shared" si="125"/>
        <v>28034.479795075873</v>
      </c>
      <c r="AG259" s="655">
        <f t="shared" si="125"/>
        <v>47810.143077704954</v>
      </c>
      <c r="AR259" t="s">
        <v>258</v>
      </c>
      <c r="AS259" s="355" t="s">
        <v>258</v>
      </c>
    </row>
    <row r="260" spans="1:52" ht="14.25" customHeight="1">
      <c r="A260" s="651">
        <v>15000</v>
      </c>
      <c r="B260" s="639" t="s">
        <v>973</v>
      </c>
      <c r="C260" s="391"/>
      <c r="D260" s="387"/>
      <c r="E260" s="372" t="s">
        <v>648</v>
      </c>
      <c r="F260" s="367" t="s">
        <v>894</v>
      </c>
      <c r="G260" s="371">
        <v>22</v>
      </c>
      <c r="H260" s="587">
        <v>2000000</v>
      </c>
      <c r="I260" s="600">
        <f t="shared" si="87"/>
        <v>330000</v>
      </c>
      <c r="J260" s="600">
        <f t="shared" si="88"/>
        <v>39600</v>
      </c>
      <c r="K260" s="604">
        <f t="shared" si="89"/>
        <v>63700</v>
      </c>
      <c r="L260" s="666">
        <f t="shared" si="90"/>
        <v>2433300</v>
      </c>
      <c r="M260" s="666"/>
      <c r="N260" s="683">
        <v>75000</v>
      </c>
      <c r="O260" s="688">
        <f t="shared" si="133"/>
        <v>74061</v>
      </c>
      <c r="P260" s="601">
        <f t="shared" si="134"/>
        <v>2582361</v>
      </c>
      <c r="Q260" s="669">
        <v>20000</v>
      </c>
      <c r="R260" s="669">
        <v>50000</v>
      </c>
      <c r="S260" s="600">
        <f t="shared" si="106"/>
        <v>193677.07499999998</v>
      </c>
      <c r="T260" s="600">
        <f t="shared" si="107"/>
        <v>64559.025000000001</v>
      </c>
      <c r="U260" s="600"/>
      <c r="V260" s="606">
        <f t="shared" si="95"/>
        <v>2840597.1</v>
      </c>
      <c r="W260" s="370">
        <f t="shared" si="135"/>
        <v>0.15</v>
      </c>
      <c r="X260" s="655">
        <f t="shared" si="97"/>
        <v>426089.565</v>
      </c>
      <c r="Y260" s="368">
        <f t="shared" si="98"/>
        <v>15000</v>
      </c>
      <c r="Z260" s="655">
        <f t="shared" si="99"/>
        <v>411089.565</v>
      </c>
      <c r="AA260" s="366">
        <f t="shared" si="100"/>
        <v>30</v>
      </c>
      <c r="AB260" s="655">
        <f t="shared" si="101"/>
        <v>13702.985500000001</v>
      </c>
      <c r="AC260" s="655">
        <f t="shared" si="102"/>
        <v>2414507.5350000001</v>
      </c>
      <c r="AD260" s="655">
        <f t="shared" si="125"/>
        <v>18719.651219292529</v>
      </c>
      <c r="AE260" s="655">
        <f t="shared" si="125"/>
        <v>21702.276305860145</v>
      </c>
      <c r="AF260" s="655">
        <f t="shared" si="125"/>
        <v>28034.479795075873</v>
      </c>
      <c r="AG260" s="655">
        <f t="shared" si="125"/>
        <v>47810.143077704954</v>
      </c>
      <c r="AR260" t="s">
        <v>258</v>
      </c>
      <c r="AS260" s="355" t="s">
        <v>258</v>
      </c>
    </row>
    <row r="261" spans="1:52" s="615" customFormat="1" ht="14.25" customHeight="1">
      <c r="A261" s="652">
        <v>17000</v>
      </c>
      <c r="B261" s="644" t="s">
        <v>978</v>
      </c>
      <c r="C261" s="608"/>
      <c r="D261" s="619"/>
      <c r="E261" s="610" t="s">
        <v>979</v>
      </c>
      <c r="F261" s="611" t="s">
        <v>956</v>
      </c>
      <c r="G261" s="618">
        <v>44</v>
      </c>
      <c r="H261" s="613">
        <v>4748000</v>
      </c>
      <c r="I261" s="603"/>
      <c r="J261" s="603"/>
      <c r="K261" s="604">
        <f t="shared" si="89"/>
        <v>63700</v>
      </c>
      <c r="L261" s="666">
        <f t="shared" si="90"/>
        <v>4811700</v>
      </c>
      <c r="M261" s="666">
        <f>H261*5%</f>
        <v>237400</v>
      </c>
      <c r="N261" s="683"/>
      <c r="O261" s="683"/>
      <c r="P261" s="693"/>
      <c r="Q261" s="694">
        <v>20000</v>
      </c>
      <c r="R261" s="694">
        <v>50000</v>
      </c>
      <c r="S261" s="603">
        <f>+P261*$S$5</f>
        <v>0</v>
      </c>
      <c r="T261" s="603">
        <f t="shared" si="107"/>
        <v>0</v>
      </c>
      <c r="U261" s="603">
        <f>+P261*0.12</f>
        <v>0</v>
      </c>
      <c r="V261" s="695">
        <f>P261+S261+T261+U261</f>
        <v>0</v>
      </c>
      <c r="W261" s="626">
        <f>W$296</f>
        <v>0.15</v>
      </c>
      <c r="X261" s="656">
        <f t="shared" si="97"/>
        <v>0</v>
      </c>
      <c r="Y261" s="614">
        <f t="shared" si="98"/>
        <v>15000</v>
      </c>
      <c r="Z261" s="656">
        <f t="shared" si="99"/>
        <v>-15000</v>
      </c>
      <c r="AA261" s="620">
        <f t="shared" si="100"/>
        <v>30</v>
      </c>
      <c r="AB261" s="656">
        <f t="shared" si="101"/>
        <v>-500</v>
      </c>
      <c r="AC261" s="656">
        <f t="shared" si="102"/>
        <v>0</v>
      </c>
      <c r="AD261" s="656">
        <f t="shared" si="125"/>
        <v>0</v>
      </c>
      <c r="AE261" s="656">
        <f t="shared" si="125"/>
        <v>0</v>
      </c>
      <c r="AF261" s="656">
        <f t="shared" si="125"/>
        <v>0</v>
      </c>
      <c r="AG261" s="656">
        <f t="shared" si="125"/>
        <v>0</v>
      </c>
      <c r="AQ261"/>
      <c r="AR261"/>
      <c r="AS261" s="616" t="s">
        <v>957</v>
      </c>
      <c r="AT261"/>
      <c r="AU261"/>
      <c r="AV261"/>
      <c r="AW261"/>
      <c r="AX261"/>
      <c r="AY261"/>
      <c r="AZ261"/>
    </row>
    <row r="262" spans="1:52" ht="14.25" customHeight="1">
      <c r="A262" s="651">
        <v>19000</v>
      </c>
      <c r="B262" s="639" t="s">
        <v>978</v>
      </c>
      <c r="C262" s="391"/>
      <c r="D262" s="387"/>
      <c r="E262" s="372" t="s">
        <v>651</v>
      </c>
      <c r="F262" s="367" t="s">
        <v>894</v>
      </c>
      <c r="G262" s="374">
        <v>22</v>
      </c>
      <c r="H262" s="587">
        <v>2000000</v>
      </c>
      <c r="I262" s="600">
        <f t="shared" si="87"/>
        <v>418000</v>
      </c>
      <c r="J262" s="600">
        <f t="shared" si="88"/>
        <v>50160</v>
      </c>
      <c r="K262" s="604">
        <f t="shared" si="89"/>
        <v>63700</v>
      </c>
      <c r="L262" s="666">
        <f t="shared" si="90"/>
        <v>2531860</v>
      </c>
      <c r="M262" s="666"/>
      <c r="N262" s="683">
        <v>75000</v>
      </c>
      <c r="O262" s="688">
        <f t="shared" ref="O262:O273" si="136">(H262+I262+K262+N262)*3%</f>
        <v>76701</v>
      </c>
      <c r="P262" s="601">
        <f t="shared" ref="P262:P273" si="137">SUM(L262+N262+O262)</f>
        <v>2683561</v>
      </c>
      <c r="Q262" s="669">
        <v>20000</v>
      </c>
      <c r="R262" s="669">
        <v>50000</v>
      </c>
      <c r="S262" s="600">
        <f t="shared" si="106"/>
        <v>201267.07499999998</v>
      </c>
      <c r="T262" s="600">
        <f t="shared" si="107"/>
        <v>67089.025000000009</v>
      </c>
      <c r="U262" s="600"/>
      <c r="V262" s="606">
        <f t="shared" si="95"/>
        <v>2951917.1</v>
      </c>
      <c r="W262" s="370">
        <f t="shared" ref="W262:W273" si="138">W$297</f>
        <v>0.15</v>
      </c>
      <c r="X262" s="655">
        <f t="shared" si="97"/>
        <v>442787.565</v>
      </c>
      <c r="Y262" s="368">
        <f t="shared" si="98"/>
        <v>15000</v>
      </c>
      <c r="Z262" s="655">
        <f t="shared" si="99"/>
        <v>427787.565</v>
      </c>
      <c r="AA262" s="366">
        <f t="shared" si="100"/>
        <v>30</v>
      </c>
      <c r="AB262" s="655">
        <f t="shared" si="101"/>
        <v>14259.585499999999</v>
      </c>
      <c r="AC262" s="655">
        <f t="shared" si="102"/>
        <v>2509129.5350000001</v>
      </c>
      <c r="AD262" s="655">
        <f t="shared" si="125"/>
        <v>19453.254578153817</v>
      </c>
      <c r="AE262" s="655">
        <f t="shared" si="125"/>
        <v>22552.765591499545</v>
      </c>
      <c r="AF262" s="655">
        <f t="shared" si="125"/>
        <v>29133.121447138339</v>
      </c>
      <c r="AG262" s="655">
        <f t="shared" si="125"/>
        <v>49683.772085989913</v>
      </c>
      <c r="AR262" t="str">
        <f>VLOOKUP(E$6:E$287,'[7]Sales Report'!$B$7:$C$288,2,FALSE)</f>
        <v>SOLD</v>
      </c>
      <c r="AS262" s="355" t="s">
        <v>236</v>
      </c>
    </row>
    <row r="263" spans="1:52" ht="14.25" customHeight="1">
      <c r="A263" s="651">
        <v>19000</v>
      </c>
      <c r="B263" s="639" t="s">
        <v>978</v>
      </c>
      <c r="C263" s="391"/>
      <c r="D263" s="387"/>
      <c r="E263" s="372" t="s">
        <v>652</v>
      </c>
      <c r="F263" s="367" t="s">
        <v>894</v>
      </c>
      <c r="G263" s="373">
        <v>22</v>
      </c>
      <c r="H263" s="587">
        <v>2000000</v>
      </c>
      <c r="I263" s="600">
        <f t="shared" si="87"/>
        <v>418000</v>
      </c>
      <c r="J263" s="600">
        <f t="shared" si="88"/>
        <v>50160</v>
      </c>
      <c r="K263" s="604">
        <f t="shared" si="89"/>
        <v>63700</v>
      </c>
      <c r="L263" s="666">
        <f t="shared" si="90"/>
        <v>2531860</v>
      </c>
      <c r="M263" s="666"/>
      <c r="N263" s="683">
        <v>75000</v>
      </c>
      <c r="O263" s="688">
        <f t="shared" si="136"/>
        <v>76701</v>
      </c>
      <c r="P263" s="601">
        <f t="shared" si="137"/>
        <v>2683561</v>
      </c>
      <c r="Q263" s="669">
        <v>20000</v>
      </c>
      <c r="R263" s="669">
        <v>50000</v>
      </c>
      <c r="S263" s="600">
        <f t="shared" si="106"/>
        <v>201267.07499999998</v>
      </c>
      <c r="T263" s="600">
        <f t="shared" si="107"/>
        <v>67089.025000000009</v>
      </c>
      <c r="U263" s="600"/>
      <c r="V263" s="606">
        <f t="shared" si="95"/>
        <v>2951917.1</v>
      </c>
      <c r="W263" s="370">
        <f t="shared" si="138"/>
        <v>0.15</v>
      </c>
      <c r="X263" s="655">
        <f t="shared" si="97"/>
        <v>442787.565</v>
      </c>
      <c r="Y263" s="368">
        <f t="shared" si="98"/>
        <v>15000</v>
      </c>
      <c r="Z263" s="655">
        <f t="shared" si="99"/>
        <v>427787.565</v>
      </c>
      <c r="AA263" s="366">
        <f t="shared" si="100"/>
        <v>30</v>
      </c>
      <c r="AB263" s="655">
        <f t="shared" si="101"/>
        <v>14259.585499999999</v>
      </c>
      <c r="AC263" s="655">
        <f t="shared" si="102"/>
        <v>2509129.5350000001</v>
      </c>
      <c r="AD263" s="655">
        <f t="shared" si="125"/>
        <v>19453.254578153817</v>
      </c>
      <c r="AE263" s="655">
        <f t="shared" si="125"/>
        <v>22552.765591499545</v>
      </c>
      <c r="AF263" s="655">
        <f t="shared" si="125"/>
        <v>29133.121447138339</v>
      </c>
      <c r="AG263" s="655">
        <f t="shared" si="125"/>
        <v>49683.772085989913</v>
      </c>
      <c r="AR263" t="str">
        <f>VLOOKUP(E$6:E$287,'[7]Sales Report'!$B$7:$C$288,2,FALSE)</f>
        <v>SOLD</v>
      </c>
      <c r="AS263" s="355" t="s">
        <v>236</v>
      </c>
    </row>
    <row r="264" spans="1:52" ht="14.25" customHeight="1">
      <c r="A264" s="651">
        <v>19000</v>
      </c>
      <c r="B264" s="639" t="s">
        <v>978</v>
      </c>
      <c r="C264" s="391"/>
      <c r="D264" s="387"/>
      <c r="E264" s="372" t="s">
        <v>655</v>
      </c>
      <c r="F264" s="367" t="s">
        <v>894</v>
      </c>
      <c r="G264" s="373">
        <v>22</v>
      </c>
      <c r="H264" s="587">
        <v>2000000</v>
      </c>
      <c r="I264" s="600">
        <f t="shared" si="87"/>
        <v>418000</v>
      </c>
      <c r="J264" s="600">
        <f t="shared" si="88"/>
        <v>50160</v>
      </c>
      <c r="K264" s="604">
        <f t="shared" si="89"/>
        <v>63700</v>
      </c>
      <c r="L264" s="666">
        <f>SUM(H264:K264)</f>
        <v>2531860</v>
      </c>
      <c r="M264" s="666"/>
      <c r="N264" s="683">
        <v>75000</v>
      </c>
      <c r="O264" s="688">
        <f t="shared" si="136"/>
        <v>76701</v>
      </c>
      <c r="P264" s="601">
        <f t="shared" si="137"/>
        <v>2683561</v>
      </c>
      <c r="Q264" s="669">
        <v>20000</v>
      </c>
      <c r="R264" s="669">
        <v>50000</v>
      </c>
      <c r="S264" s="600">
        <f t="shared" si="106"/>
        <v>201267.07499999998</v>
      </c>
      <c r="T264" s="600">
        <f t="shared" si="107"/>
        <v>67089.025000000009</v>
      </c>
      <c r="U264" s="600"/>
      <c r="V264" s="606">
        <f t="shared" si="95"/>
        <v>2951917.1</v>
      </c>
      <c r="W264" s="370">
        <f t="shared" si="138"/>
        <v>0.15</v>
      </c>
      <c r="X264" s="655">
        <f t="shared" si="97"/>
        <v>442787.565</v>
      </c>
      <c r="Y264" s="368">
        <f t="shared" si="98"/>
        <v>15000</v>
      </c>
      <c r="Z264" s="655">
        <f t="shared" si="99"/>
        <v>427787.565</v>
      </c>
      <c r="AA264" s="366">
        <f t="shared" si="100"/>
        <v>30</v>
      </c>
      <c r="AB264" s="655">
        <f t="shared" si="101"/>
        <v>14259.585499999999</v>
      </c>
      <c r="AC264" s="655">
        <f t="shared" si="102"/>
        <v>2509129.5350000001</v>
      </c>
      <c r="AD264" s="655">
        <f t="shared" si="125"/>
        <v>19453.254578153817</v>
      </c>
      <c r="AE264" s="655">
        <f t="shared" si="125"/>
        <v>22552.765591499545</v>
      </c>
      <c r="AF264" s="655">
        <f t="shared" si="125"/>
        <v>29133.121447138339</v>
      </c>
      <c r="AG264" s="655">
        <f t="shared" si="125"/>
        <v>49683.772085989913</v>
      </c>
      <c r="AR264" t="str">
        <f>VLOOKUP(E$6:E$287,'[7]Sales Report'!$B$7:$C$288,2,FALSE)</f>
        <v>SOLD</v>
      </c>
      <c r="AS264" s="355" t="s">
        <v>236</v>
      </c>
    </row>
    <row r="265" spans="1:52" ht="14.25" customHeight="1">
      <c r="A265" s="651">
        <v>19000</v>
      </c>
      <c r="B265" s="639" t="s">
        <v>978</v>
      </c>
      <c r="C265" s="391"/>
      <c r="D265" s="387"/>
      <c r="E265" s="372" t="s">
        <v>657</v>
      </c>
      <c r="F265" s="367" t="s">
        <v>894</v>
      </c>
      <c r="G265" s="373">
        <v>22</v>
      </c>
      <c r="H265" s="587">
        <v>2000000</v>
      </c>
      <c r="I265" s="600">
        <f t="shared" si="87"/>
        <v>418000</v>
      </c>
      <c r="J265" s="600">
        <f t="shared" si="88"/>
        <v>50160</v>
      </c>
      <c r="K265" s="604">
        <f t="shared" si="89"/>
        <v>63700</v>
      </c>
      <c r="L265" s="666">
        <f t="shared" si="90"/>
        <v>2531860</v>
      </c>
      <c r="M265" s="666"/>
      <c r="N265" s="683">
        <v>75000</v>
      </c>
      <c r="O265" s="688">
        <f t="shared" si="136"/>
        <v>76701</v>
      </c>
      <c r="P265" s="601">
        <f t="shared" si="137"/>
        <v>2683561</v>
      </c>
      <c r="Q265" s="669">
        <v>20000</v>
      </c>
      <c r="R265" s="669">
        <v>50000</v>
      </c>
      <c r="S265" s="600">
        <f t="shared" si="106"/>
        <v>201267.07499999998</v>
      </c>
      <c r="T265" s="600">
        <f t="shared" si="107"/>
        <v>67089.025000000009</v>
      </c>
      <c r="U265" s="600"/>
      <c r="V265" s="606">
        <f t="shared" si="95"/>
        <v>2951917.1</v>
      </c>
      <c r="W265" s="370">
        <f t="shared" si="138"/>
        <v>0.15</v>
      </c>
      <c r="X265" s="655">
        <f t="shared" si="97"/>
        <v>442787.565</v>
      </c>
      <c r="Y265" s="368">
        <f t="shared" si="98"/>
        <v>15000</v>
      </c>
      <c r="Z265" s="655">
        <f t="shared" si="99"/>
        <v>427787.565</v>
      </c>
      <c r="AA265" s="366">
        <f t="shared" si="100"/>
        <v>30</v>
      </c>
      <c r="AB265" s="655">
        <f t="shared" si="101"/>
        <v>14259.585499999999</v>
      </c>
      <c r="AC265" s="655">
        <f t="shared" si="102"/>
        <v>2509129.5350000001</v>
      </c>
      <c r="AD265" s="655">
        <f t="shared" si="125"/>
        <v>19453.254578153817</v>
      </c>
      <c r="AE265" s="655">
        <f t="shared" si="125"/>
        <v>22552.765591499545</v>
      </c>
      <c r="AF265" s="655">
        <f t="shared" si="125"/>
        <v>29133.121447138339</v>
      </c>
      <c r="AG265" s="655">
        <f t="shared" si="125"/>
        <v>49683.772085989913</v>
      </c>
      <c r="AR265" t="str">
        <f>VLOOKUP(E$6:E$287,'[7]Sales Report'!$B$7:$C$288,2,FALSE)</f>
        <v>SOLD</v>
      </c>
      <c r="AS265" s="355" t="s">
        <v>236</v>
      </c>
    </row>
    <row r="266" spans="1:52" ht="14.25" customHeight="1">
      <c r="A266" s="651">
        <v>19000</v>
      </c>
      <c r="B266" s="639" t="s">
        <v>978</v>
      </c>
      <c r="C266" s="391"/>
      <c r="D266" s="387"/>
      <c r="E266" s="372" t="s">
        <v>659</v>
      </c>
      <c r="F266" s="367" t="s">
        <v>894</v>
      </c>
      <c r="G266" s="373">
        <v>22</v>
      </c>
      <c r="H266" s="587">
        <v>2000000</v>
      </c>
      <c r="I266" s="600">
        <f t="shared" si="87"/>
        <v>418000</v>
      </c>
      <c r="J266" s="600">
        <f t="shared" si="88"/>
        <v>50160</v>
      </c>
      <c r="K266" s="604">
        <f t="shared" si="89"/>
        <v>63700</v>
      </c>
      <c r="L266" s="666">
        <f t="shared" si="90"/>
        <v>2531860</v>
      </c>
      <c r="M266" s="666"/>
      <c r="N266" s="683">
        <v>75000</v>
      </c>
      <c r="O266" s="688">
        <f t="shared" si="136"/>
        <v>76701</v>
      </c>
      <c r="P266" s="601">
        <f t="shared" si="137"/>
        <v>2683561</v>
      </c>
      <c r="Q266" s="669">
        <v>20000</v>
      </c>
      <c r="R266" s="669">
        <v>50000</v>
      </c>
      <c r="S266" s="600">
        <f t="shared" si="106"/>
        <v>201267.07499999998</v>
      </c>
      <c r="T266" s="600">
        <f t="shared" si="107"/>
        <v>67089.025000000009</v>
      </c>
      <c r="U266" s="600"/>
      <c r="V266" s="606">
        <f t="shared" si="95"/>
        <v>2951917.1</v>
      </c>
      <c r="W266" s="370">
        <f t="shared" si="138"/>
        <v>0.15</v>
      </c>
      <c r="X266" s="655">
        <f t="shared" si="97"/>
        <v>442787.565</v>
      </c>
      <c r="Y266" s="368">
        <f t="shared" si="98"/>
        <v>15000</v>
      </c>
      <c r="Z266" s="655">
        <f t="shared" si="99"/>
        <v>427787.565</v>
      </c>
      <c r="AA266" s="366">
        <f t="shared" si="100"/>
        <v>30</v>
      </c>
      <c r="AB266" s="655">
        <f t="shared" si="101"/>
        <v>14259.585499999999</v>
      </c>
      <c r="AC266" s="655">
        <f t="shared" si="102"/>
        <v>2509129.5350000001</v>
      </c>
      <c r="AD266" s="655">
        <f t="shared" si="125"/>
        <v>19453.254578153817</v>
      </c>
      <c r="AE266" s="655">
        <f t="shared" si="125"/>
        <v>22552.765591499545</v>
      </c>
      <c r="AF266" s="655">
        <f t="shared" si="125"/>
        <v>29133.121447138339</v>
      </c>
      <c r="AG266" s="655">
        <f t="shared" si="125"/>
        <v>49683.772085989913</v>
      </c>
      <c r="AR266" t="str">
        <f>VLOOKUP(E$6:E$287,'[7]Sales Report'!$B$7:$C$288,2,FALSE)</f>
        <v>SOLD</v>
      </c>
      <c r="AS266" s="355" t="s">
        <v>236</v>
      </c>
    </row>
    <row r="267" spans="1:52" ht="14.25" customHeight="1">
      <c r="A267" s="651">
        <v>19000</v>
      </c>
      <c r="B267" s="640" t="s">
        <v>978</v>
      </c>
      <c r="C267" s="391"/>
      <c r="D267" s="387"/>
      <c r="E267" s="372" t="s">
        <v>661</v>
      </c>
      <c r="F267" s="367" t="s">
        <v>894</v>
      </c>
      <c r="G267" s="373">
        <v>22</v>
      </c>
      <c r="H267" s="587">
        <v>2000000</v>
      </c>
      <c r="I267" s="600">
        <f t="shared" ref="I267:I287" si="139">+G267*A267</f>
        <v>418000</v>
      </c>
      <c r="J267" s="600">
        <f t="shared" ref="J267:J287" si="140">+I267*0.12</f>
        <v>50160</v>
      </c>
      <c r="K267" s="604">
        <f t="shared" ref="K267:K287" si="141">+SUM(Q267:R267)*$K$5</f>
        <v>63700</v>
      </c>
      <c r="L267" s="666">
        <f t="shared" ref="L267:L287" si="142">SUM(H267:K267)</f>
        <v>2531860</v>
      </c>
      <c r="M267" s="666"/>
      <c r="N267" s="683">
        <v>75000</v>
      </c>
      <c r="O267" s="688">
        <f t="shared" si="136"/>
        <v>76701</v>
      </c>
      <c r="P267" s="601">
        <f t="shared" si="137"/>
        <v>2683561</v>
      </c>
      <c r="Q267" s="669">
        <v>20000</v>
      </c>
      <c r="R267" s="669">
        <v>50000</v>
      </c>
      <c r="S267" s="600">
        <f t="shared" ref="S267:S273" si="143">+P267*$S$5</f>
        <v>201267.07499999998</v>
      </c>
      <c r="T267" s="600">
        <f t="shared" ref="T267:T274" si="144">+P267*$T$5</f>
        <v>67089.025000000009</v>
      </c>
      <c r="U267" s="600"/>
      <c r="V267" s="606">
        <f t="shared" ref="V267:V287" si="145">P267+S267+T267</f>
        <v>2951917.1</v>
      </c>
      <c r="W267" s="370">
        <f t="shared" si="138"/>
        <v>0.15</v>
      </c>
      <c r="X267" s="655">
        <f t="shared" ref="X267:X287" si="146">+V267*W267</f>
        <v>442787.565</v>
      </c>
      <c r="Y267" s="368">
        <f t="shared" ref="Y267:Y287" si="147">Y$5</f>
        <v>15000</v>
      </c>
      <c r="Z267" s="655">
        <f t="shared" ref="Z267:Z287" si="148">+X267-Y267</f>
        <v>427787.565</v>
      </c>
      <c r="AA267" s="366">
        <f t="shared" ref="AA267:AA287" si="149">AA$5</f>
        <v>30</v>
      </c>
      <c r="AB267" s="655">
        <f t="shared" ref="AB267:AB287" si="150">+Z267/AA267</f>
        <v>14259.585499999999</v>
      </c>
      <c r="AC267" s="655">
        <f t="shared" ref="AC267:AC287" si="151">+V267-X267</f>
        <v>2509129.5350000001</v>
      </c>
      <c r="AD267" s="655">
        <f t="shared" ref="AD267:AG287" si="152">+$AC267*AD$5</f>
        <v>19453.254578153817</v>
      </c>
      <c r="AE267" s="655">
        <f t="shared" si="152"/>
        <v>22552.765591499545</v>
      </c>
      <c r="AF267" s="655">
        <f t="shared" si="152"/>
        <v>29133.121447138339</v>
      </c>
      <c r="AG267" s="655">
        <f t="shared" si="152"/>
        <v>49683.772085989913</v>
      </c>
      <c r="AR267" t="str">
        <f>VLOOKUP(E$6:E$287,'[7]Sales Report'!$B$7:$C$288,2,FALSE)</f>
        <v>SOLD</v>
      </c>
      <c r="AS267" s="355" t="s">
        <v>236</v>
      </c>
    </row>
    <row r="268" spans="1:52" ht="14.25" customHeight="1">
      <c r="A268" s="651">
        <v>19000</v>
      </c>
      <c r="B268" s="641" t="s">
        <v>978</v>
      </c>
      <c r="C268" s="391"/>
      <c r="D268" s="387"/>
      <c r="E268" s="372" t="s">
        <v>663</v>
      </c>
      <c r="F268" s="367" t="s">
        <v>894</v>
      </c>
      <c r="G268" s="373">
        <v>22</v>
      </c>
      <c r="H268" s="587">
        <v>2000000</v>
      </c>
      <c r="I268" s="600">
        <f t="shared" si="139"/>
        <v>418000</v>
      </c>
      <c r="J268" s="600">
        <f t="shared" si="140"/>
        <v>50160</v>
      </c>
      <c r="K268" s="604">
        <f t="shared" si="141"/>
        <v>63700</v>
      </c>
      <c r="L268" s="666">
        <f t="shared" si="142"/>
        <v>2531860</v>
      </c>
      <c r="M268" s="666"/>
      <c r="N268" s="683">
        <v>75000</v>
      </c>
      <c r="O268" s="688">
        <f t="shared" si="136"/>
        <v>76701</v>
      </c>
      <c r="P268" s="601">
        <f t="shared" si="137"/>
        <v>2683561</v>
      </c>
      <c r="Q268" s="669">
        <v>20000</v>
      </c>
      <c r="R268" s="669">
        <v>50000</v>
      </c>
      <c r="S268" s="600">
        <f t="shared" si="143"/>
        <v>201267.07499999998</v>
      </c>
      <c r="T268" s="600">
        <f t="shared" si="144"/>
        <v>67089.025000000009</v>
      </c>
      <c r="U268" s="600"/>
      <c r="V268" s="606">
        <f t="shared" si="145"/>
        <v>2951917.1</v>
      </c>
      <c r="W268" s="370">
        <f t="shared" si="138"/>
        <v>0.15</v>
      </c>
      <c r="X268" s="655">
        <f t="shared" si="146"/>
        <v>442787.565</v>
      </c>
      <c r="Y268" s="368">
        <f t="shared" si="147"/>
        <v>15000</v>
      </c>
      <c r="Z268" s="655">
        <f t="shared" si="148"/>
        <v>427787.565</v>
      </c>
      <c r="AA268" s="366">
        <f t="shared" si="149"/>
        <v>30</v>
      </c>
      <c r="AB268" s="655">
        <f t="shared" si="150"/>
        <v>14259.585499999999</v>
      </c>
      <c r="AC268" s="655">
        <f t="shared" si="151"/>
        <v>2509129.5350000001</v>
      </c>
      <c r="AD268" s="655">
        <f t="shared" si="152"/>
        <v>19453.254578153817</v>
      </c>
      <c r="AE268" s="655">
        <f t="shared" si="152"/>
        <v>22552.765591499545</v>
      </c>
      <c r="AF268" s="655">
        <f t="shared" si="152"/>
        <v>29133.121447138339</v>
      </c>
      <c r="AG268" s="655">
        <f t="shared" si="152"/>
        <v>49683.772085989913</v>
      </c>
      <c r="AR268" t="str">
        <f>VLOOKUP(E$6:E$287,'[7]Sales Report'!$B$7:$C$288,2,FALSE)</f>
        <v>SOLD</v>
      </c>
      <c r="AS268" s="355" t="s">
        <v>236</v>
      </c>
    </row>
    <row r="269" spans="1:52" ht="14.25" customHeight="1">
      <c r="A269" s="651">
        <v>19000</v>
      </c>
      <c r="B269" s="638" t="s">
        <v>978</v>
      </c>
      <c r="C269" s="391"/>
      <c r="D269" s="387"/>
      <c r="E269" s="372" t="s">
        <v>665</v>
      </c>
      <c r="F269" s="367" t="s">
        <v>894</v>
      </c>
      <c r="G269" s="373">
        <v>22</v>
      </c>
      <c r="H269" s="587">
        <v>2000000</v>
      </c>
      <c r="I269" s="600">
        <f t="shared" si="139"/>
        <v>418000</v>
      </c>
      <c r="J269" s="600">
        <f t="shared" si="140"/>
        <v>50160</v>
      </c>
      <c r="K269" s="604">
        <f t="shared" si="141"/>
        <v>63700</v>
      </c>
      <c r="L269" s="666">
        <f t="shared" si="142"/>
        <v>2531860</v>
      </c>
      <c r="M269" s="666"/>
      <c r="N269" s="683">
        <v>75000</v>
      </c>
      <c r="O269" s="688">
        <f t="shared" si="136"/>
        <v>76701</v>
      </c>
      <c r="P269" s="601">
        <f t="shared" si="137"/>
        <v>2683561</v>
      </c>
      <c r="Q269" s="669">
        <v>20000</v>
      </c>
      <c r="R269" s="669">
        <v>50000</v>
      </c>
      <c r="S269" s="600">
        <f t="shared" si="143"/>
        <v>201267.07499999998</v>
      </c>
      <c r="T269" s="600">
        <f t="shared" si="144"/>
        <v>67089.025000000009</v>
      </c>
      <c r="U269" s="600"/>
      <c r="V269" s="606">
        <f t="shared" si="145"/>
        <v>2951917.1</v>
      </c>
      <c r="W269" s="370">
        <f t="shared" si="138"/>
        <v>0.15</v>
      </c>
      <c r="X269" s="655">
        <f t="shared" si="146"/>
        <v>442787.565</v>
      </c>
      <c r="Y269" s="368">
        <f t="shared" si="147"/>
        <v>15000</v>
      </c>
      <c r="Z269" s="655">
        <f t="shared" si="148"/>
        <v>427787.565</v>
      </c>
      <c r="AA269" s="366">
        <f t="shared" si="149"/>
        <v>30</v>
      </c>
      <c r="AB269" s="655">
        <f t="shared" si="150"/>
        <v>14259.585499999999</v>
      </c>
      <c r="AC269" s="655">
        <f t="shared" si="151"/>
        <v>2509129.5350000001</v>
      </c>
      <c r="AD269" s="655">
        <f t="shared" si="152"/>
        <v>19453.254578153817</v>
      </c>
      <c r="AE269" s="655">
        <f t="shared" si="152"/>
        <v>22552.765591499545</v>
      </c>
      <c r="AF269" s="655">
        <f t="shared" si="152"/>
        <v>29133.121447138339</v>
      </c>
      <c r="AG269" s="655">
        <f t="shared" si="152"/>
        <v>49683.772085989913</v>
      </c>
      <c r="AR269" t="s">
        <v>258</v>
      </c>
      <c r="AS269" s="355" t="s">
        <v>258</v>
      </c>
    </row>
    <row r="270" spans="1:52" ht="14.25" customHeight="1">
      <c r="A270" s="651">
        <v>19000</v>
      </c>
      <c r="B270" s="639" t="s">
        <v>978</v>
      </c>
      <c r="C270" s="391"/>
      <c r="D270" s="387"/>
      <c r="E270" s="372" t="s">
        <v>666</v>
      </c>
      <c r="F270" s="367" t="s">
        <v>894</v>
      </c>
      <c r="G270" s="373">
        <v>22</v>
      </c>
      <c r="H270" s="587">
        <v>2000000</v>
      </c>
      <c r="I270" s="600">
        <f t="shared" si="139"/>
        <v>418000</v>
      </c>
      <c r="J270" s="600">
        <f t="shared" si="140"/>
        <v>50160</v>
      </c>
      <c r="K270" s="604">
        <f t="shared" si="141"/>
        <v>63700</v>
      </c>
      <c r="L270" s="666">
        <f t="shared" si="142"/>
        <v>2531860</v>
      </c>
      <c r="M270" s="666"/>
      <c r="N270" s="683">
        <v>75000</v>
      </c>
      <c r="O270" s="688">
        <f t="shared" si="136"/>
        <v>76701</v>
      </c>
      <c r="P270" s="601">
        <f t="shared" si="137"/>
        <v>2683561</v>
      </c>
      <c r="Q270" s="669">
        <v>20000</v>
      </c>
      <c r="R270" s="669">
        <v>50000</v>
      </c>
      <c r="S270" s="600">
        <f t="shared" si="143"/>
        <v>201267.07499999998</v>
      </c>
      <c r="T270" s="600">
        <f t="shared" si="144"/>
        <v>67089.025000000009</v>
      </c>
      <c r="U270" s="600"/>
      <c r="V270" s="606">
        <f t="shared" si="145"/>
        <v>2951917.1</v>
      </c>
      <c r="W270" s="370">
        <f t="shared" si="138"/>
        <v>0.15</v>
      </c>
      <c r="X270" s="655">
        <f t="shared" si="146"/>
        <v>442787.565</v>
      </c>
      <c r="Y270" s="368">
        <f t="shared" si="147"/>
        <v>15000</v>
      </c>
      <c r="Z270" s="655">
        <f t="shared" si="148"/>
        <v>427787.565</v>
      </c>
      <c r="AA270" s="366">
        <f t="shared" si="149"/>
        <v>30</v>
      </c>
      <c r="AB270" s="655">
        <f t="shared" si="150"/>
        <v>14259.585499999999</v>
      </c>
      <c r="AC270" s="655">
        <f t="shared" si="151"/>
        <v>2509129.5350000001</v>
      </c>
      <c r="AD270" s="655">
        <f t="shared" si="152"/>
        <v>19453.254578153817</v>
      </c>
      <c r="AE270" s="655">
        <f t="shared" si="152"/>
        <v>22552.765591499545</v>
      </c>
      <c r="AF270" s="655">
        <f t="shared" si="152"/>
        <v>29133.121447138339</v>
      </c>
      <c r="AG270" s="655">
        <f t="shared" si="152"/>
        <v>49683.772085989913</v>
      </c>
      <c r="AR270" t="s">
        <v>258</v>
      </c>
      <c r="AS270" s="355" t="s">
        <v>258</v>
      </c>
    </row>
    <row r="271" spans="1:52" ht="14.25" customHeight="1">
      <c r="A271" s="651">
        <v>19000</v>
      </c>
      <c r="B271" s="640" t="s">
        <v>978</v>
      </c>
      <c r="C271" s="391"/>
      <c r="D271" s="387"/>
      <c r="E271" s="372" t="s">
        <v>667</v>
      </c>
      <c r="F271" s="367" t="s">
        <v>894</v>
      </c>
      <c r="G271" s="373">
        <v>22</v>
      </c>
      <c r="H271" s="587">
        <v>2000000</v>
      </c>
      <c r="I271" s="600">
        <f t="shared" si="139"/>
        <v>418000</v>
      </c>
      <c r="J271" s="600">
        <f t="shared" si="140"/>
        <v>50160</v>
      </c>
      <c r="K271" s="604">
        <f t="shared" si="141"/>
        <v>63700</v>
      </c>
      <c r="L271" s="666">
        <f t="shared" si="142"/>
        <v>2531860</v>
      </c>
      <c r="M271" s="666"/>
      <c r="N271" s="683">
        <v>75000</v>
      </c>
      <c r="O271" s="688">
        <f t="shared" si="136"/>
        <v>76701</v>
      </c>
      <c r="P271" s="601">
        <f t="shared" si="137"/>
        <v>2683561</v>
      </c>
      <c r="Q271" s="669">
        <v>20000</v>
      </c>
      <c r="R271" s="669">
        <v>50000</v>
      </c>
      <c r="S271" s="600">
        <f t="shared" si="143"/>
        <v>201267.07499999998</v>
      </c>
      <c r="T271" s="600">
        <f t="shared" si="144"/>
        <v>67089.025000000009</v>
      </c>
      <c r="U271" s="600"/>
      <c r="V271" s="606">
        <f t="shared" si="145"/>
        <v>2951917.1</v>
      </c>
      <c r="W271" s="370">
        <f t="shared" si="138"/>
        <v>0.15</v>
      </c>
      <c r="X271" s="655">
        <f t="shared" si="146"/>
        <v>442787.565</v>
      </c>
      <c r="Y271" s="368">
        <f t="shared" si="147"/>
        <v>15000</v>
      </c>
      <c r="Z271" s="655">
        <f t="shared" si="148"/>
        <v>427787.565</v>
      </c>
      <c r="AA271" s="366">
        <f t="shared" si="149"/>
        <v>30</v>
      </c>
      <c r="AB271" s="655">
        <f t="shared" si="150"/>
        <v>14259.585499999999</v>
      </c>
      <c r="AC271" s="655">
        <f t="shared" si="151"/>
        <v>2509129.5350000001</v>
      </c>
      <c r="AD271" s="655">
        <f t="shared" si="152"/>
        <v>19453.254578153817</v>
      </c>
      <c r="AE271" s="655">
        <f t="shared" si="152"/>
        <v>22552.765591499545</v>
      </c>
      <c r="AF271" s="655">
        <f t="shared" si="152"/>
        <v>29133.121447138339</v>
      </c>
      <c r="AG271" s="655">
        <f t="shared" si="152"/>
        <v>49683.772085989913</v>
      </c>
      <c r="AR271" t="s">
        <v>258</v>
      </c>
      <c r="AS271" s="355" t="s">
        <v>258</v>
      </c>
    </row>
    <row r="272" spans="1:52" ht="14.25" customHeight="1">
      <c r="A272" s="651">
        <v>19000</v>
      </c>
      <c r="B272" s="641" t="s">
        <v>978</v>
      </c>
      <c r="C272" s="391"/>
      <c r="D272" s="387"/>
      <c r="E272" s="372" t="s">
        <v>668</v>
      </c>
      <c r="F272" s="367" t="s">
        <v>894</v>
      </c>
      <c r="G272" s="373">
        <v>22</v>
      </c>
      <c r="H272" s="587">
        <v>2000000</v>
      </c>
      <c r="I272" s="600">
        <f t="shared" si="139"/>
        <v>418000</v>
      </c>
      <c r="J272" s="600">
        <f t="shared" si="140"/>
        <v>50160</v>
      </c>
      <c r="K272" s="604">
        <f t="shared" si="141"/>
        <v>63700</v>
      </c>
      <c r="L272" s="666">
        <f t="shared" si="142"/>
        <v>2531860</v>
      </c>
      <c r="M272" s="666"/>
      <c r="N272" s="683">
        <v>75000</v>
      </c>
      <c r="O272" s="688">
        <f t="shared" si="136"/>
        <v>76701</v>
      </c>
      <c r="P272" s="601">
        <f t="shared" si="137"/>
        <v>2683561</v>
      </c>
      <c r="Q272" s="669">
        <v>20000</v>
      </c>
      <c r="R272" s="669">
        <v>50000</v>
      </c>
      <c r="S272" s="600">
        <f t="shared" si="143"/>
        <v>201267.07499999998</v>
      </c>
      <c r="T272" s="600">
        <f t="shared" si="144"/>
        <v>67089.025000000009</v>
      </c>
      <c r="U272" s="600"/>
      <c r="V272" s="606">
        <f t="shared" si="145"/>
        <v>2951917.1</v>
      </c>
      <c r="W272" s="370">
        <f t="shared" si="138"/>
        <v>0.15</v>
      </c>
      <c r="X272" s="655">
        <f t="shared" si="146"/>
        <v>442787.565</v>
      </c>
      <c r="Y272" s="368">
        <f t="shared" si="147"/>
        <v>15000</v>
      </c>
      <c r="Z272" s="655">
        <f t="shared" si="148"/>
        <v>427787.565</v>
      </c>
      <c r="AA272" s="366">
        <f t="shared" si="149"/>
        <v>30</v>
      </c>
      <c r="AB272" s="655">
        <f t="shared" si="150"/>
        <v>14259.585499999999</v>
      </c>
      <c r="AC272" s="655">
        <f t="shared" si="151"/>
        <v>2509129.5350000001</v>
      </c>
      <c r="AD272" s="655">
        <f t="shared" si="152"/>
        <v>19453.254578153817</v>
      </c>
      <c r="AE272" s="655">
        <f t="shared" si="152"/>
        <v>22552.765591499545</v>
      </c>
      <c r="AF272" s="655">
        <f t="shared" si="152"/>
        <v>29133.121447138339</v>
      </c>
      <c r="AG272" s="655">
        <f t="shared" si="152"/>
        <v>49683.772085989913</v>
      </c>
      <c r="AR272" t="s">
        <v>258</v>
      </c>
      <c r="AS272" s="355" t="s">
        <v>258</v>
      </c>
    </row>
    <row r="273" spans="1:52" ht="14.25" customHeight="1">
      <c r="A273" s="651">
        <v>19000</v>
      </c>
      <c r="B273" s="638" t="s">
        <v>978</v>
      </c>
      <c r="C273" s="391"/>
      <c r="D273" s="387"/>
      <c r="E273" s="372" t="s">
        <v>669</v>
      </c>
      <c r="F273" s="367" t="s">
        <v>894</v>
      </c>
      <c r="G273" s="373">
        <v>22</v>
      </c>
      <c r="H273" s="587">
        <v>2000000</v>
      </c>
      <c r="I273" s="600">
        <f t="shared" si="139"/>
        <v>418000</v>
      </c>
      <c r="J273" s="600">
        <f t="shared" si="140"/>
        <v>50160</v>
      </c>
      <c r="K273" s="604">
        <f t="shared" si="141"/>
        <v>63700</v>
      </c>
      <c r="L273" s="666">
        <f t="shared" si="142"/>
        <v>2531860</v>
      </c>
      <c r="M273" s="666"/>
      <c r="N273" s="683">
        <v>75000</v>
      </c>
      <c r="O273" s="688">
        <f t="shared" si="136"/>
        <v>76701</v>
      </c>
      <c r="P273" s="601">
        <f t="shared" si="137"/>
        <v>2683561</v>
      </c>
      <c r="Q273" s="669">
        <v>20000</v>
      </c>
      <c r="R273" s="669">
        <v>50000</v>
      </c>
      <c r="S273" s="600">
        <f t="shared" si="143"/>
        <v>201267.07499999998</v>
      </c>
      <c r="T273" s="600">
        <f t="shared" si="144"/>
        <v>67089.025000000009</v>
      </c>
      <c r="U273" s="600"/>
      <c r="V273" s="606">
        <f t="shared" si="145"/>
        <v>2951917.1</v>
      </c>
      <c r="W273" s="370">
        <f t="shared" si="138"/>
        <v>0.15</v>
      </c>
      <c r="X273" s="655">
        <f t="shared" si="146"/>
        <v>442787.565</v>
      </c>
      <c r="Y273" s="368">
        <f t="shared" si="147"/>
        <v>15000</v>
      </c>
      <c r="Z273" s="655">
        <f t="shared" si="148"/>
        <v>427787.565</v>
      </c>
      <c r="AA273" s="366">
        <f t="shared" si="149"/>
        <v>30</v>
      </c>
      <c r="AB273" s="655">
        <f t="shared" si="150"/>
        <v>14259.585499999999</v>
      </c>
      <c r="AC273" s="655">
        <f t="shared" si="151"/>
        <v>2509129.5350000001</v>
      </c>
      <c r="AD273" s="655">
        <f t="shared" si="152"/>
        <v>19453.254578153817</v>
      </c>
      <c r="AE273" s="655">
        <f t="shared" si="152"/>
        <v>22552.765591499545</v>
      </c>
      <c r="AF273" s="655">
        <f t="shared" si="152"/>
        <v>29133.121447138339</v>
      </c>
      <c r="AG273" s="655">
        <f t="shared" si="152"/>
        <v>49683.772085989913</v>
      </c>
      <c r="AR273" t="str">
        <f>VLOOKUP(E$6:E$287,'[7]Sales Report'!$B$7:$C$288,2,FALSE)</f>
        <v>SOLD</v>
      </c>
      <c r="AS273" s="355" t="s">
        <v>236</v>
      </c>
    </row>
    <row r="274" spans="1:52" s="615" customFormat="1" ht="14.25" customHeight="1">
      <c r="A274" s="652">
        <v>17000</v>
      </c>
      <c r="B274" s="644" t="s">
        <v>978</v>
      </c>
      <c r="C274" s="608"/>
      <c r="D274" s="619"/>
      <c r="E274" s="610" t="s">
        <v>980</v>
      </c>
      <c r="F274" s="611" t="s">
        <v>956</v>
      </c>
      <c r="G274" s="612">
        <v>44</v>
      </c>
      <c r="H274" s="613">
        <v>4748000</v>
      </c>
      <c r="I274" s="603"/>
      <c r="J274" s="603"/>
      <c r="K274" s="604">
        <f t="shared" si="141"/>
        <v>63700</v>
      </c>
      <c r="L274" s="666">
        <f t="shared" si="142"/>
        <v>4811700</v>
      </c>
      <c r="M274" s="666">
        <f>H274*5%</f>
        <v>237400</v>
      </c>
      <c r="N274" s="683"/>
      <c r="O274" s="683"/>
      <c r="P274" s="693"/>
      <c r="Q274" s="694">
        <v>20000</v>
      </c>
      <c r="R274" s="694">
        <v>50000</v>
      </c>
      <c r="S274" s="603">
        <f>+P274*$S$5</f>
        <v>0</v>
      </c>
      <c r="T274" s="603">
        <f t="shared" si="144"/>
        <v>0</v>
      </c>
      <c r="U274" s="603">
        <f>+P274*0.12</f>
        <v>0</v>
      </c>
      <c r="V274" s="695">
        <f>P274+S274+T274+U274</f>
        <v>0</v>
      </c>
      <c r="W274" s="626">
        <f>W$296</f>
        <v>0.15</v>
      </c>
      <c r="X274" s="656">
        <f t="shared" si="146"/>
        <v>0</v>
      </c>
      <c r="Y274" s="614">
        <f t="shared" si="147"/>
        <v>15000</v>
      </c>
      <c r="Z274" s="656">
        <f t="shared" si="148"/>
        <v>-15000</v>
      </c>
      <c r="AA274" s="620">
        <f t="shared" si="149"/>
        <v>30</v>
      </c>
      <c r="AB274" s="656">
        <f t="shared" si="150"/>
        <v>-500</v>
      </c>
      <c r="AC274" s="656">
        <f t="shared" si="151"/>
        <v>0</v>
      </c>
      <c r="AD274" s="656">
        <f t="shared" si="152"/>
        <v>0</v>
      </c>
      <c r="AE274" s="656">
        <f t="shared" si="152"/>
        <v>0</v>
      </c>
      <c r="AF274" s="656">
        <f t="shared" si="152"/>
        <v>0</v>
      </c>
      <c r="AG274" s="656">
        <f t="shared" si="152"/>
        <v>0</v>
      </c>
      <c r="AQ274"/>
      <c r="AR274"/>
      <c r="AS274" s="616" t="s">
        <v>957</v>
      </c>
      <c r="AT274"/>
      <c r="AU274"/>
      <c r="AV274"/>
      <c r="AW274"/>
      <c r="AX274"/>
      <c r="AY274"/>
      <c r="AZ274"/>
    </row>
    <row r="275" spans="1:52" ht="14.25" customHeight="1" thickBot="1">
      <c r="A275" s="651">
        <v>19000</v>
      </c>
      <c r="B275" s="640" t="s">
        <v>978</v>
      </c>
      <c r="C275" s="416"/>
      <c r="D275" s="388"/>
      <c r="E275" s="377" t="s">
        <v>672</v>
      </c>
      <c r="F275" s="367" t="s">
        <v>894</v>
      </c>
      <c r="G275" s="378">
        <v>22</v>
      </c>
      <c r="H275" s="587">
        <v>2000000</v>
      </c>
      <c r="I275" s="600">
        <f t="shared" si="139"/>
        <v>418000</v>
      </c>
      <c r="J275" s="600">
        <f t="shared" si="140"/>
        <v>50160</v>
      </c>
      <c r="K275" s="604">
        <f t="shared" si="141"/>
        <v>63700</v>
      </c>
      <c r="L275" s="666">
        <f t="shared" si="142"/>
        <v>2531860</v>
      </c>
      <c r="M275" s="666"/>
      <c r="N275" s="683">
        <v>75000</v>
      </c>
      <c r="O275" s="688">
        <f t="shared" ref="O275:O281" si="153">(H275+I275+K275+N275)*3%</f>
        <v>76701</v>
      </c>
      <c r="P275" s="601">
        <f t="shared" ref="P275:P281" si="154">SUM(L275+N275+O275)</f>
        <v>2683561</v>
      </c>
      <c r="Q275" s="669">
        <v>20000</v>
      </c>
      <c r="R275" s="669">
        <v>50000</v>
      </c>
      <c r="S275" s="600">
        <f t="shared" ref="S275:S287" si="155">+P275*$S$5</f>
        <v>201267.07499999998</v>
      </c>
      <c r="T275" s="600">
        <f t="shared" ref="T275:T287" si="156">+P275*$T$5</f>
        <v>67089.025000000009</v>
      </c>
      <c r="U275" s="600"/>
      <c r="V275" s="606">
        <f t="shared" si="145"/>
        <v>2951917.1</v>
      </c>
      <c r="W275" s="370">
        <f t="shared" ref="W275:W281" si="157">W$297</f>
        <v>0.15</v>
      </c>
      <c r="X275" s="655">
        <f t="shared" si="146"/>
        <v>442787.565</v>
      </c>
      <c r="Y275" s="368">
        <f t="shared" si="147"/>
        <v>15000</v>
      </c>
      <c r="Z275" s="655">
        <f t="shared" si="148"/>
        <v>427787.565</v>
      </c>
      <c r="AA275" s="366">
        <f t="shared" si="149"/>
        <v>30</v>
      </c>
      <c r="AB275" s="655">
        <f t="shared" si="150"/>
        <v>14259.585499999999</v>
      </c>
      <c r="AC275" s="655">
        <f t="shared" si="151"/>
        <v>2509129.5350000001</v>
      </c>
      <c r="AD275" s="655">
        <f t="shared" si="152"/>
        <v>19453.254578153817</v>
      </c>
      <c r="AE275" s="655">
        <f t="shared" si="152"/>
        <v>22552.765591499545</v>
      </c>
      <c r="AF275" s="655">
        <f t="shared" si="152"/>
        <v>29133.121447138339</v>
      </c>
      <c r="AG275" s="655">
        <f t="shared" si="152"/>
        <v>49683.772085989913</v>
      </c>
      <c r="AR275" t="str">
        <f>VLOOKUP(E$6:E$287,'[7]Sales Report'!$B$7:$C$288,2,FALSE)</f>
        <v>SOLD</v>
      </c>
      <c r="AS275" s="355" t="s">
        <v>236</v>
      </c>
    </row>
    <row r="276" spans="1:52" ht="14.25" customHeight="1">
      <c r="A276" s="651">
        <v>19000</v>
      </c>
      <c r="B276" s="649" t="s">
        <v>978</v>
      </c>
      <c r="C276" s="415"/>
      <c r="D276" s="389"/>
      <c r="E276" s="379" t="s">
        <v>673</v>
      </c>
      <c r="F276" s="367" t="s">
        <v>894</v>
      </c>
      <c r="G276" s="380">
        <v>22</v>
      </c>
      <c r="H276" s="587">
        <v>2000000</v>
      </c>
      <c r="I276" s="600">
        <f t="shared" si="139"/>
        <v>418000</v>
      </c>
      <c r="J276" s="600">
        <f t="shared" si="140"/>
        <v>50160</v>
      </c>
      <c r="K276" s="604">
        <f t="shared" si="141"/>
        <v>63700</v>
      </c>
      <c r="L276" s="666">
        <f t="shared" si="142"/>
        <v>2531860</v>
      </c>
      <c r="M276" s="666"/>
      <c r="N276" s="683">
        <v>75000</v>
      </c>
      <c r="O276" s="688">
        <f t="shared" si="153"/>
        <v>76701</v>
      </c>
      <c r="P276" s="601">
        <f t="shared" si="154"/>
        <v>2683561</v>
      </c>
      <c r="Q276" s="669">
        <v>20000</v>
      </c>
      <c r="R276" s="669">
        <v>50000</v>
      </c>
      <c r="S276" s="600">
        <f t="shared" si="155"/>
        <v>201267.07499999998</v>
      </c>
      <c r="T276" s="600">
        <f t="shared" si="156"/>
        <v>67089.025000000009</v>
      </c>
      <c r="U276" s="600"/>
      <c r="V276" s="606">
        <f t="shared" si="145"/>
        <v>2951917.1</v>
      </c>
      <c r="W276" s="370">
        <f t="shared" si="157"/>
        <v>0.15</v>
      </c>
      <c r="X276" s="655">
        <f t="shared" si="146"/>
        <v>442787.565</v>
      </c>
      <c r="Y276" s="368">
        <f t="shared" si="147"/>
        <v>15000</v>
      </c>
      <c r="Z276" s="655">
        <f t="shared" si="148"/>
        <v>427787.565</v>
      </c>
      <c r="AA276" s="366">
        <f t="shared" si="149"/>
        <v>30</v>
      </c>
      <c r="AB276" s="655">
        <f t="shared" si="150"/>
        <v>14259.585499999999</v>
      </c>
      <c r="AC276" s="655">
        <f t="shared" si="151"/>
        <v>2509129.5350000001</v>
      </c>
      <c r="AD276" s="655">
        <f t="shared" si="152"/>
        <v>19453.254578153817</v>
      </c>
      <c r="AE276" s="655">
        <f t="shared" si="152"/>
        <v>22552.765591499545</v>
      </c>
      <c r="AF276" s="655">
        <f t="shared" si="152"/>
        <v>29133.121447138339</v>
      </c>
      <c r="AG276" s="655">
        <f t="shared" si="152"/>
        <v>49683.772085989913</v>
      </c>
      <c r="AR276" t="str">
        <f>VLOOKUP(E$6:E$287,'[7]Sales Report'!$B$7:$C$288,2,FALSE)</f>
        <v>SOLD</v>
      </c>
      <c r="AS276" s="355" t="s">
        <v>236</v>
      </c>
    </row>
    <row r="277" spans="1:52" ht="14.25" customHeight="1">
      <c r="A277" s="651">
        <v>19000</v>
      </c>
      <c r="B277" s="639" t="s">
        <v>978</v>
      </c>
      <c r="C277" s="391"/>
      <c r="D277" s="387"/>
      <c r="E277" s="372" t="s">
        <v>674</v>
      </c>
      <c r="F277" s="367" t="s">
        <v>894</v>
      </c>
      <c r="G277" s="371">
        <v>22</v>
      </c>
      <c r="H277" s="587">
        <v>2000000</v>
      </c>
      <c r="I277" s="600">
        <f t="shared" si="139"/>
        <v>418000</v>
      </c>
      <c r="J277" s="600">
        <f t="shared" si="140"/>
        <v>50160</v>
      </c>
      <c r="K277" s="604">
        <f t="shared" si="141"/>
        <v>63700</v>
      </c>
      <c r="L277" s="666">
        <f t="shared" si="142"/>
        <v>2531860</v>
      </c>
      <c r="M277" s="666"/>
      <c r="N277" s="683">
        <v>75000</v>
      </c>
      <c r="O277" s="688">
        <f t="shared" si="153"/>
        <v>76701</v>
      </c>
      <c r="P277" s="601">
        <f t="shared" si="154"/>
        <v>2683561</v>
      </c>
      <c r="Q277" s="669">
        <v>20000</v>
      </c>
      <c r="R277" s="669">
        <v>50000</v>
      </c>
      <c r="S277" s="600">
        <f t="shared" si="155"/>
        <v>201267.07499999998</v>
      </c>
      <c r="T277" s="600">
        <f t="shared" si="156"/>
        <v>67089.025000000009</v>
      </c>
      <c r="U277" s="600"/>
      <c r="V277" s="606">
        <f t="shared" si="145"/>
        <v>2951917.1</v>
      </c>
      <c r="W277" s="370">
        <f t="shared" si="157"/>
        <v>0.15</v>
      </c>
      <c r="X277" s="655">
        <f t="shared" si="146"/>
        <v>442787.565</v>
      </c>
      <c r="Y277" s="368">
        <f t="shared" si="147"/>
        <v>15000</v>
      </c>
      <c r="Z277" s="655">
        <f t="shared" si="148"/>
        <v>427787.565</v>
      </c>
      <c r="AA277" s="366">
        <f t="shared" si="149"/>
        <v>30</v>
      </c>
      <c r="AB277" s="655">
        <f t="shared" si="150"/>
        <v>14259.585499999999</v>
      </c>
      <c r="AC277" s="655">
        <f t="shared" si="151"/>
        <v>2509129.5350000001</v>
      </c>
      <c r="AD277" s="655">
        <f t="shared" si="152"/>
        <v>19453.254578153817</v>
      </c>
      <c r="AE277" s="655">
        <f t="shared" si="152"/>
        <v>22552.765591499545</v>
      </c>
      <c r="AF277" s="655">
        <f t="shared" si="152"/>
        <v>29133.121447138339</v>
      </c>
      <c r="AG277" s="655">
        <f t="shared" si="152"/>
        <v>49683.772085989913</v>
      </c>
      <c r="AR277" t="str">
        <f>VLOOKUP(E$6:E$287,'[7]Sales Report'!$B$7:$C$288,2,FALSE)</f>
        <v>SOLD</v>
      </c>
      <c r="AS277" s="355" t="s">
        <v>236</v>
      </c>
    </row>
    <row r="278" spans="1:52" ht="14.25" customHeight="1">
      <c r="A278" s="651">
        <v>19000</v>
      </c>
      <c r="B278" s="639" t="s">
        <v>978</v>
      </c>
      <c r="C278" s="391"/>
      <c r="D278" s="387"/>
      <c r="E278" s="372" t="s">
        <v>676</v>
      </c>
      <c r="F278" s="367" t="s">
        <v>894</v>
      </c>
      <c r="G278" s="371">
        <v>22</v>
      </c>
      <c r="H278" s="587">
        <v>2000000</v>
      </c>
      <c r="I278" s="600">
        <f t="shared" si="139"/>
        <v>418000</v>
      </c>
      <c r="J278" s="600">
        <f t="shared" si="140"/>
        <v>50160</v>
      </c>
      <c r="K278" s="604">
        <f t="shared" si="141"/>
        <v>63700</v>
      </c>
      <c r="L278" s="666">
        <f t="shared" si="142"/>
        <v>2531860</v>
      </c>
      <c r="M278" s="666"/>
      <c r="N278" s="683">
        <v>75000</v>
      </c>
      <c r="O278" s="688">
        <f t="shared" si="153"/>
        <v>76701</v>
      </c>
      <c r="P278" s="601">
        <f t="shared" si="154"/>
        <v>2683561</v>
      </c>
      <c r="Q278" s="669">
        <v>20000</v>
      </c>
      <c r="R278" s="669">
        <v>50000</v>
      </c>
      <c r="S278" s="600">
        <f t="shared" si="155"/>
        <v>201267.07499999998</v>
      </c>
      <c r="T278" s="600">
        <f t="shared" si="156"/>
        <v>67089.025000000009</v>
      </c>
      <c r="U278" s="600"/>
      <c r="V278" s="606">
        <f t="shared" si="145"/>
        <v>2951917.1</v>
      </c>
      <c r="W278" s="370">
        <f t="shared" si="157"/>
        <v>0.15</v>
      </c>
      <c r="X278" s="655">
        <f t="shared" si="146"/>
        <v>442787.565</v>
      </c>
      <c r="Y278" s="368">
        <f t="shared" si="147"/>
        <v>15000</v>
      </c>
      <c r="Z278" s="655">
        <f t="shared" si="148"/>
        <v>427787.565</v>
      </c>
      <c r="AA278" s="366">
        <f t="shared" si="149"/>
        <v>30</v>
      </c>
      <c r="AB278" s="655">
        <f t="shared" si="150"/>
        <v>14259.585499999999</v>
      </c>
      <c r="AC278" s="655">
        <f t="shared" si="151"/>
        <v>2509129.5350000001</v>
      </c>
      <c r="AD278" s="655">
        <f t="shared" si="152"/>
        <v>19453.254578153817</v>
      </c>
      <c r="AE278" s="655">
        <f t="shared" si="152"/>
        <v>22552.765591499545</v>
      </c>
      <c r="AF278" s="655">
        <f t="shared" si="152"/>
        <v>29133.121447138339</v>
      </c>
      <c r="AG278" s="655">
        <f t="shared" si="152"/>
        <v>49683.772085989913</v>
      </c>
      <c r="AR278" t="str">
        <f>VLOOKUP(E$6:E$287,'[7]Sales Report'!$B$7:$C$288,2,FALSE)</f>
        <v>SOLD</v>
      </c>
      <c r="AS278" s="355" t="s">
        <v>236</v>
      </c>
    </row>
    <row r="279" spans="1:52" ht="14.25" customHeight="1">
      <c r="A279" s="651">
        <v>19000</v>
      </c>
      <c r="B279" s="639" t="s">
        <v>978</v>
      </c>
      <c r="C279" s="391"/>
      <c r="D279" s="387"/>
      <c r="E279" s="372" t="s">
        <v>678</v>
      </c>
      <c r="F279" s="367" t="s">
        <v>894</v>
      </c>
      <c r="G279" s="374">
        <v>22</v>
      </c>
      <c r="H279" s="587">
        <v>2000000</v>
      </c>
      <c r="I279" s="600">
        <f t="shared" si="139"/>
        <v>418000</v>
      </c>
      <c r="J279" s="600">
        <f t="shared" si="140"/>
        <v>50160</v>
      </c>
      <c r="K279" s="604">
        <f t="shared" si="141"/>
        <v>63700</v>
      </c>
      <c r="L279" s="666">
        <f t="shared" si="142"/>
        <v>2531860</v>
      </c>
      <c r="M279" s="666"/>
      <c r="N279" s="683">
        <v>75000</v>
      </c>
      <c r="O279" s="688">
        <f t="shared" si="153"/>
        <v>76701</v>
      </c>
      <c r="P279" s="601">
        <f t="shared" si="154"/>
        <v>2683561</v>
      </c>
      <c r="Q279" s="669">
        <v>20000</v>
      </c>
      <c r="R279" s="669">
        <v>50000</v>
      </c>
      <c r="S279" s="600">
        <f t="shared" si="155"/>
        <v>201267.07499999998</v>
      </c>
      <c r="T279" s="600">
        <f t="shared" si="156"/>
        <v>67089.025000000009</v>
      </c>
      <c r="U279" s="600"/>
      <c r="V279" s="606">
        <f t="shared" si="145"/>
        <v>2951917.1</v>
      </c>
      <c r="W279" s="370">
        <f t="shared" si="157"/>
        <v>0.15</v>
      </c>
      <c r="X279" s="655">
        <f t="shared" si="146"/>
        <v>442787.565</v>
      </c>
      <c r="Y279" s="368">
        <f t="shared" si="147"/>
        <v>15000</v>
      </c>
      <c r="Z279" s="655">
        <f t="shared" si="148"/>
        <v>427787.565</v>
      </c>
      <c r="AA279" s="366">
        <f t="shared" si="149"/>
        <v>30</v>
      </c>
      <c r="AB279" s="655">
        <f t="shared" si="150"/>
        <v>14259.585499999999</v>
      </c>
      <c r="AC279" s="655">
        <f t="shared" si="151"/>
        <v>2509129.5350000001</v>
      </c>
      <c r="AD279" s="655">
        <f t="shared" si="152"/>
        <v>19453.254578153817</v>
      </c>
      <c r="AE279" s="655">
        <f t="shared" si="152"/>
        <v>22552.765591499545</v>
      </c>
      <c r="AF279" s="655">
        <f t="shared" si="152"/>
        <v>29133.121447138339</v>
      </c>
      <c r="AG279" s="655">
        <f t="shared" si="152"/>
        <v>49683.772085989913</v>
      </c>
      <c r="AR279" t="str">
        <f>VLOOKUP(E$6:E$287,'[7]Sales Report'!$B$7:$C$288,2,FALSE)</f>
        <v>SOLD</v>
      </c>
      <c r="AS279" s="355" t="s">
        <v>236</v>
      </c>
    </row>
    <row r="280" spans="1:52" ht="14.25" customHeight="1">
      <c r="A280" s="651">
        <v>19000</v>
      </c>
      <c r="B280" s="639" t="s">
        <v>978</v>
      </c>
      <c r="C280" s="391"/>
      <c r="D280" s="387"/>
      <c r="E280" s="372" t="s">
        <v>680</v>
      </c>
      <c r="F280" s="367" t="s">
        <v>894</v>
      </c>
      <c r="G280" s="373">
        <v>22</v>
      </c>
      <c r="H280" s="587">
        <v>2000000</v>
      </c>
      <c r="I280" s="600">
        <f t="shared" si="139"/>
        <v>418000</v>
      </c>
      <c r="J280" s="600">
        <f t="shared" si="140"/>
        <v>50160</v>
      </c>
      <c r="K280" s="604">
        <f t="shared" si="141"/>
        <v>63700</v>
      </c>
      <c r="L280" s="666">
        <f t="shared" si="142"/>
        <v>2531860</v>
      </c>
      <c r="M280" s="666"/>
      <c r="N280" s="683">
        <v>75000</v>
      </c>
      <c r="O280" s="688">
        <f t="shared" si="153"/>
        <v>76701</v>
      </c>
      <c r="P280" s="601">
        <f t="shared" si="154"/>
        <v>2683561</v>
      </c>
      <c r="Q280" s="669">
        <v>20000</v>
      </c>
      <c r="R280" s="669">
        <v>50000</v>
      </c>
      <c r="S280" s="600">
        <f t="shared" si="155"/>
        <v>201267.07499999998</v>
      </c>
      <c r="T280" s="600">
        <f t="shared" si="156"/>
        <v>67089.025000000009</v>
      </c>
      <c r="U280" s="600"/>
      <c r="V280" s="606">
        <f t="shared" si="145"/>
        <v>2951917.1</v>
      </c>
      <c r="W280" s="370">
        <f t="shared" si="157"/>
        <v>0.15</v>
      </c>
      <c r="X280" s="655">
        <f t="shared" si="146"/>
        <v>442787.565</v>
      </c>
      <c r="Y280" s="368">
        <f t="shared" si="147"/>
        <v>15000</v>
      </c>
      <c r="Z280" s="655">
        <f t="shared" si="148"/>
        <v>427787.565</v>
      </c>
      <c r="AA280" s="366">
        <f t="shared" si="149"/>
        <v>30</v>
      </c>
      <c r="AB280" s="655">
        <f t="shared" si="150"/>
        <v>14259.585499999999</v>
      </c>
      <c r="AC280" s="655">
        <f t="shared" si="151"/>
        <v>2509129.5350000001</v>
      </c>
      <c r="AD280" s="655">
        <f t="shared" si="152"/>
        <v>19453.254578153817</v>
      </c>
      <c r="AE280" s="655">
        <f t="shared" si="152"/>
        <v>22552.765591499545</v>
      </c>
      <c r="AF280" s="655">
        <f t="shared" si="152"/>
        <v>29133.121447138339</v>
      </c>
      <c r="AG280" s="655">
        <f t="shared" si="152"/>
        <v>49683.772085989913</v>
      </c>
      <c r="AR280" t="str">
        <f>VLOOKUP(E$6:E$287,'[7]Sales Report'!$B$7:$C$288,2,FALSE)</f>
        <v>SOLD</v>
      </c>
      <c r="AS280" s="355" t="s">
        <v>236</v>
      </c>
    </row>
    <row r="281" spans="1:52" ht="14.25" customHeight="1">
      <c r="A281" s="651">
        <v>19000</v>
      </c>
      <c r="B281" s="639" t="s">
        <v>978</v>
      </c>
      <c r="C281" s="391"/>
      <c r="D281" s="387"/>
      <c r="E281" s="372" t="s">
        <v>682</v>
      </c>
      <c r="F281" s="367" t="s">
        <v>894</v>
      </c>
      <c r="G281" s="373">
        <v>22</v>
      </c>
      <c r="H281" s="587">
        <v>2000000</v>
      </c>
      <c r="I281" s="600">
        <f t="shared" si="139"/>
        <v>418000</v>
      </c>
      <c r="J281" s="600">
        <f t="shared" si="140"/>
        <v>50160</v>
      </c>
      <c r="K281" s="604">
        <f t="shared" si="141"/>
        <v>63700</v>
      </c>
      <c r="L281" s="666">
        <f t="shared" si="142"/>
        <v>2531860</v>
      </c>
      <c r="M281" s="666"/>
      <c r="N281" s="683">
        <v>75000</v>
      </c>
      <c r="O281" s="688">
        <f t="shared" si="153"/>
        <v>76701</v>
      </c>
      <c r="P281" s="601">
        <f t="shared" si="154"/>
        <v>2683561</v>
      </c>
      <c r="Q281" s="669">
        <v>20000</v>
      </c>
      <c r="R281" s="669">
        <v>50000</v>
      </c>
      <c r="S281" s="600">
        <f t="shared" si="155"/>
        <v>201267.07499999998</v>
      </c>
      <c r="T281" s="600">
        <f t="shared" si="156"/>
        <v>67089.025000000009</v>
      </c>
      <c r="U281" s="600"/>
      <c r="V281" s="606">
        <f t="shared" si="145"/>
        <v>2951917.1</v>
      </c>
      <c r="W281" s="370">
        <f t="shared" si="157"/>
        <v>0.15</v>
      </c>
      <c r="X281" s="655">
        <f t="shared" si="146"/>
        <v>442787.565</v>
      </c>
      <c r="Y281" s="368">
        <f t="shared" si="147"/>
        <v>15000</v>
      </c>
      <c r="Z281" s="655">
        <f t="shared" si="148"/>
        <v>427787.565</v>
      </c>
      <c r="AA281" s="366">
        <f t="shared" si="149"/>
        <v>30</v>
      </c>
      <c r="AB281" s="655">
        <f t="shared" si="150"/>
        <v>14259.585499999999</v>
      </c>
      <c r="AC281" s="655">
        <f t="shared" si="151"/>
        <v>2509129.5350000001</v>
      </c>
      <c r="AD281" s="655">
        <f t="shared" si="152"/>
        <v>19453.254578153817</v>
      </c>
      <c r="AE281" s="655">
        <f t="shared" si="152"/>
        <v>22552.765591499545</v>
      </c>
      <c r="AF281" s="655">
        <f t="shared" si="152"/>
        <v>29133.121447138339</v>
      </c>
      <c r="AG281" s="655">
        <f t="shared" si="152"/>
        <v>49683.772085989913</v>
      </c>
      <c r="AR281" t="str">
        <f>VLOOKUP(E$6:E$287,'[7]Sales Report'!$B$7:$C$288,2,FALSE)</f>
        <v>SOLD</v>
      </c>
      <c r="AS281" s="355" t="s">
        <v>236</v>
      </c>
    </row>
    <row r="282" spans="1:52" s="615" customFormat="1" ht="14.25" customHeight="1">
      <c r="A282" s="652">
        <v>17000</v>
      </c>
      <c r="B282" s="644" t="s">
        <v>978</v>
      </c>
      <c r="C282" s="608"/>
      <c r="D282" s="619"/>
      <c r="E282" s="610" t="s">
        <v>981</v>
      </c>
      <c r="F282" s="611" t="s">
        <v>956</v>
      </c>
      <c r="G282" s="612">
        <v>44</v>
      </c>
      <c r="H282" s="613">
        <v>4748000</v>
      </c>
      <c r="I282" s="603"/>
      <c r="J282" s="603"/>
      <c r="K282" s="604">
        <f t="shared" si="141"/>
        <v>63700</v>
      </c>
      <c r="L282" s="666">
        <f t="shared" si="142"/>
        <v>4811700</v>
      </c>
      <c r="M282" s="666">
        <f t="shared" ref="M282" si="158">H282*5%</f>
        <v>237400</v>
      </c>
      <c r="N282" s="683"/>
      <c r="O282" s="683"/>
      <c r="P282" s="693"/>
      <c r="Q282" s="694">
        <v>20000</v>
      </c>
      <c r="R282" s="694">
        <v>50000</v>
      </c>
      <c r="S282" s="603">
        <f t="shared" si="155"/>
        <v>0</v>
      </c>
      <c r="T282" s="603">
        <f t="shared" si="156"/>
        <v>0</v>
      </c>
      <c r="U282" s="603">
        <f t="shared" ref="U282:U283" si="159">+P282*0.12</f>
        <v>0</v>
      </c>
      <c r="V282" s="695">
        <f t="shared" ref="V282:V283" si="160">P282+S282+T282+U282</f>
        <v>0</v>
      </c>
      <c r="W282" s="626">
        <f t="shared" ref="W282:W283" si="161">W$296</f>
        <v>0.15</v>
      </c>
      <c r="X282" s="656">
        <f t="shared" si="146"/>
        <v>0</v>
      </c>
      <c r="Y282" s="614">
        <f t="shared" si="147"/>
        <v>15000</v>
      </c>
      <c r="Z282" s="656">
        <f t="shared" si="148"/>
        <v>-15000</v>
      </c>
      <c r="AA282" s="620">
        <f t="shared" si="149"/>
        <v>30</v>
      </c>
      <c r="AB282" s="656">
        <f t="shared" si="150"/>
        <v>-500</v>
      </c>
      <c r="AC282" s="656">
        <f t="shared" si="151"/>
        <v>0</v>
      </c>
      <c r="AD282" s="656">
        <f t="shared" si="152"/>
        <v>0</v>
      </c>
      <c r="AE282" s="656">
        <f t="shared" si="152"/>
        <v>0</v>
      </c>
      <c r="AF282" s="656">
        <f t="shared" si="152"/>
        <v>0</v>
      </c>
      <c r="AG282" s="656">
        <f t="shared" si="152"/>
        <v>0</v>
      </c>
      <c r="AQ282"/>
      <c r="AR282"/>
      <c r="AS282" s="616" t="s">
        <v>957</v>
      </c>
      <c r="AT282"/>
      <c r="AU282"/>
      <c r="AV282"/>
      <c r="AW282"/>
      <c r="AX282"/>
      <c r="AY282"/>
      <c r="AZ282"/>
    </row>
    <row r="283" spans="1:52" s="615" customFormat="1" ht="14.25" customHeight="1">
      <c r="A283" s="652">
        <v>17000</v>
      </c>
      <c r="B283" s="644" t="s">
        <v>978</v>
      </c>
      <c r="C283" s="608"/>
      <c r="D283" s="619"/>
      <c r="E283" s="610" t="s">
        <v>982</v>
      </c>
      <c r="F283" s="611" t="s">
        <v>956</v>
      </c>
      <c r="G283" s="612">
        <v>44</v>
      </c>
      <c r="H283" s="613">
        <v>4748000</v>
      </c>
      <c r="I283" s="603"/>
      <c r="J283" s="603"/>
      <c r="K283" s="604">
        <f>+SUM(Q283:R283)*$K$5</f>
        <v>63700</v>
      </c>
      <c r="L283" s="666">
        <f t="shared" si="142"/>
        <v>4811700</v>
      </c>
      <c r="M283" s="666">
        <f>H283*5%</f>
        <v>237400</v>
      </c>
      <c r="N283" s="683"/>
      <c r="O283" s="683"/>
      <c r="P283" s="693"/>
      <c r="Q283" s="694">
        <v>20000</v>
      </c>
      <c r="R283" s="694">
        <v>50000</v>
      </c>
      <c r="S283" s="603">
        <f t="shared" si="155"/>
        <v>0</v>
      </c>
      <c r="T283" s="603">
        <f t="shared" si="156"/>
        <v>0</v>
      </c>
      <c r="U283" s="603">
        <f t="shared" si="159"/>
        <v>0</v>
      </c>
      <c r="V283" s="695">
        <f t="shared" si="160"/>
        <v>0</v>
      </c>
      <c r="W283" s="626">
        <f t="shared" si="161"/>
        <v>0.15</v>
      </c>
      <c r="X283" s="656">
        <f t="shared" si="146"/>
        <v>0</v>
      </c>
      <c r="Y283" s="614">
        <f t="shared" si="147"/>
        <v>15000</v>
      </c>
      <c r="Z283" s="656">
        <f t="shared" si="148"/>
        <v>-15000</v>
      </c>
      <c r="AA283" s="620">
        <f t="shared" si="149"/>
        <v>30</v>
      </c>
      <c r="AB283" s="656">
        <f t="shared" si="150"/>
        <v>-500</v>
      </c>
      <c r="AC283" s="656">
        <f t="shared" si="151"/>
        <v>0</v>
      </c>
      <c r="AD283" s="656">
        <f t="shared" si="152"/>
        <v>0</v>
      </c>
      <c r="AE283" s="656">
        <f t="shared" si="152"/>
        <v>0</v>
      </c>
      <c r="AF283" s="656">
        <f t="shared" si="152"/>
        <v>0</v>
      </c>
      <c r="AG283" s="656">
        <f t="shared" si="152"/>
        <v>0</v>
      </c>
      <c r="AQ283"/>
      <c r="AR283"/>
      <c r="AS283" s="616" t="s">
        <v>957</v>
      </c>
      <c r="AT283"/>
      <c r="AU283"/>
      <c r="AV283"/>
      <c r="AW283"/>
      <c r="AX283"/>
      <c r="AY283"/>
      <c r="AZ283"/>
    </row>
    <row r="284" spans="1:52" ht="14.25" customHeight="1">
      <c r="A284" s="651">
        <v>15000</v>
      </c>
      <c r="B284" s="639" t="s">
        <v>978</v>
      </c>
      <c r="C284" s="391"/>
      <c r="D284" s="387"/>
      <c r="E284" s="372" t="s">
        <v>688</v>
      </c>
      <c r="F284" s="367" t="s">
        <v>894</v>
      </c>
      <c r="G284" s="373">
        <v>22</v>
      </c>
      <c r="H284" s="587">
        <v>2000000</v>
      </c>
      <c r="I284" s="600">
        <f t="shared" si="139"/>
        <v>330000</v>
      </c>
      <c r="J284" s="600">
        <f t="shared" si="140"/>
        <v>39600</v>
      </c>
      <c r="K284" s="604">
        <f t="shared" si="141"/>
        <v>63700</v>
      </c>
      <c r="L284" s="666">
        <f t="shared" si="142"/>
        <v>2433300</v>
      </c>
      <c r="M284" s="666"/>
      <c r="N284" s="683">
        <v>75000</v>
      </c>
      <c r="O284" s="688">
        <f t="shared" ref="O284:O287" si="162">(H284+I284+K284+N284)*3%</f>
        <v>74061</v>
      </c>
      <c r="P284" s="601">
        <f>SUM(L284+N284+O284)</f>
        <v>2582361</v>
      </c>
      <c r="Q284" s="669">
        <v>20000</v>
      </c>
      <c r="R284" s="669">
        <v>50000</v>
      </c>
      <c r="S284" s="600">
        <f t="shared" si="155"/>
        <v>193677.07499999998</v>
      </c>
      <c r="T284" s="600">
        <f t="shared" si="156"/>
        <v>64559.025000000001</v>
      </c>
      <c r="U284" s="600"/>
      <c r="V284" s="606">
        <f t="shared" si="145"/>
        <v>2840597.1</v>
      </c>
      <c r="W284" s="370">
        <f t="shared" ref="W284:W287" si="163">W$297</f>
        <v>0.15</v>
      </c>
      <c r="X284" s="655">
        <f t="shared" si="146"/>
        <v>426089.565</v>
      </c>
      <c r="Y284" s="368">
        <f t="shared" si="147"/>
        <v>15000</v>
      </c>
      <c r="Z284" s="655">
        <f t="shared" si="148"/>
        <v>411089.565</v>
      </c>
      <c r="AA284" s="366">
        <f t="shared" si="149"/>
        <v>30</v>
      </c>
      <c r="AB284" s="655">
        <f t="shared" si="150"/>
        <v>13702.985500000001</v>
      </c>
      <c r="AC284" s="655">
        <f t="shared" si="151"/>
        <v>2414507.5350000001</v>
      </c>
      <c r="AD284" s="655">
        <f t="shared" si="152"/>
        <v>18719.651219292529</v>
      </c>
      <c r="AE284" s="655">
        <f t="shared" si="152"/>
        <v>21702.276305860145</v>
      </c>
      <c r="AF284" s="655">
        <f t="shared" si="152"/>
        <v>28034.479795075873</v>
      </c>
      <c r="AG284" s="655">
        <f t="shared" si="152"/>
        <v>47810.143077704954</v>
      </c>
      <c r="AR284" t="str">
        <f>VLOOKUP(E$6:E$287,'[7]Sales Report'!$B$7:$C$288,2,FALSE)</f>
        <v>SOLD</v>
      </c>
      <c r="AS284" s="355" t="s">
        <v>236</v>
      </c>
    </row>
    <row r="285" spans="1:52" ht="14.25" customHeight="1">
      <c r="A285" s="651">
        <v>15000</v>
      </c>
      <c r="B285" s="639" t="s">
        <v>978</v>
      </c>
      <c r="C285" s="391"/>
      <c r="D285" s="387"/>
      <c r="E285" s="372" t="s">
        <v>690</v>
      </c>
      <c r="F285" s="367" t="s">
        <v>894</v>
      </c>
      <c r="G285" s="373">
        <v>22</v>
      </c>
      <c r="H285" s="587">
        <v>2000000</v>
      </c>
      <c r="I285" s="600">
        <f t="shared" si="139"/>
        <v>330000</v>
      </c>
      <c r="J285" s="600">
        <f t="shared" si="140"/>
        <v>39600</v>
      </c>
      <c r="K285" s="604">
        <f t="shared" si="141"/>
        <v>63700</v>
      </c>
      <c r="L285" s="666">
        <f t="shared" si="142"/>
        <v>2433300</v>
      </c>
      <c r="M285" s="666"/>
      <c r="N285" s="683">
        <v>75000</v>
      </c>
      <c r="O285" s="688">
        <f t="shared" si="162"/>
        <v>74061</v>
      </c>
      <c r="P285" s="601">
        <f t="shared" ref="P285:P287" si="164">SUM(L285+N285+O285)</f>
        <v>2582361</v>
      </c>
      <c r="Q285" s="669">
        <v>20000</v>
      </c>
      <c r="R285" s="669">
        <v>50000</v>
      </c>
      <c r="S285" s="600">
        <f t="shared" si="155"/>
        <v>193677.07499999998</v>
      </c>
      <c r="T285" s="600">
        <f t="shared" si="156"/>
        <v>64559.025000000001</v>
      </c>
      <c r="U285" s="600"/>
      <c r="V285" s="606">
        <f t="shared" si="145"/>
        <v>2840597.1</v>
      </c>
      <c r="W285" s="370">
        <f t="shared" si="163"/>
        <v>0.15</v>
      </c>
      <c r="X285" s="655">
        <f t="shared" si="146"/>
        <v>426089.565</v>
      </c>
      <c r="Y285" s="368">
        <f t="shared" si="147"/>
        <v>15000</v>
      </c>
      <c r="Z285" s="655">
        <f t="shared" si="148"/>
        <v>411089.565</v>
      </c>
      <c r="AA285" s="366">
        <f t="shared" si="149"/>
        <v>30</v>
      </c>
      <c r="AB285" s="655">
        <f t="shared" si="150"/>
        <v>13702.985500000001</v>
      </c>
      <c r="AC285" s="655">
        <f t="shared" si="151"/>
        <v>2414507.5350000001</v>
      </c>
      <c r="AD285" s="655">
        <f t="shared" si="152"/>
        <v>18719.651219292529</v>
      </c>
      <c r="AE285" s="655">
        <f t="shared" si="152"/>
        <v>21702.276305860145</v>
      </c>
      <c r="AF285" s="655">
        <f t="shared" si="152"/>
        <v>28034.479795075873</v>
      </c>
      <c r="AG285" s="655">
        <f t="shared" si="152"/>
        <v>47810.143077704954</v>
      </c>
      <c r="AR285" t="str">
        <f>VLOOKUP(E$6:E$287,'[7]Sales Report'!$B$7:$C$288,2,FALSE)</f>
        <v>UNSOLD</v>
      </c>
      <c r="AS285" s="355" t="s">
        <v>258</v>
      </c>
    </row>
    <row r="286" spans="1:52" ht="14.25" customHeight="1">
      <c r="A286" s="651">
        <v>15000</v>
      </c>
      <c r="B286" s="639" t="s">
        <v>978</v>
      </c>
      <c r="C286" s="391"/>
      <c r="D286" s="387"/>
      <c r="E286" s="372" t="s">
        <v>691</v>
      </c>
      <c r="F286" s="367" t="s">
        <v>894</v>
      </c>
      <c r="G286" s="373">
        <v>22</v>
      </c>
      <c r="H286" s="587">
        <v>2000000</v>
      </c>
      <c r="I286" s="600">
        <f t="shared" si="139"/>
        <v>330000</v>
      </c>
      <c r="J286" s="600">
        <f t="shared" si="140"/>
        <v>39600</v>
      </c>
      <c r="K286" s="604">
        <f t="shared" si="141"/>
        <v>63700</v>
      </c>
      <c r="L286" s="666">
        <f t="shared" si="142"/>
        <v>2433300</v>
      </c>
      <c r="M286" s="666"/>
      <c r="N286" s="683">
        <v>75000</v>
      </c>
      <c r="O286" s="688">
        <f t="shared" si="162"/>
        <v>74061</v>
      </c>
      <c r="P286" s="601">
        <f t="shared" si="164"/>
        <v>2582361</v>
      </c>
      <c r="Q286" s="669">
        <v>20000</v>
      </c>
      <c r="R286" s="669">
        <v>50000</v>
      </c>
      <c r="S286" s="600">
        <f t="shared" si="155"/>
        <v>193677.07499999998</v>
      </c>
      <c r="T286" s="600">
        <f t="shared" si="156"/>
        <v>64559.025000000001</v>
      </c>
      <c r="U286" s="600"/>
      <c r="V286" s="606">
        <f t="shared" si="145"/>
        <v>2840597.1</v>
      </c>
      <c r="W286" s="370">
        <f t="shared" si="163"/>
        <v>0.15</v>
      </c>
      <c r="X286" s="655">
        <f t="shared" si="146"/>
        <v>426089.565</v>
      </c>
      <c r="Y286" s="368">
        <f t="shared" si="147"/>
        <v>15000</v>
      </c>
      <c r="Z286" s="655">
        <f t="shared" si="148"/>
        <v>411089.565</v>
      </c>
      <c r="AA286" s="366">
        <f t="shared" si="149"/>
        <v>30</v>
      </c>
      <c r="AB286" s="655">
        <f t="shared" si="150"/>
        <v>13702.985500000001</v>
      </c>
      <c r="AC286" s="655">
        <f t="shared" si="151"/>
        <v>2414507.5350000001</v>
      </c>
      <c r="AD286" s="655">
        <f t="shared" si="152"/>
        <v>18719.651219292529</v>
      </c>
      <c r="AE286" s="655">
        <f t="shared" si="152"/>
        <v>21702.276305860145</v>
      </c>
      <c r="AF286" s="655">
        <f t="shared" si="152"/>
        <v>28034.479795075873</v>
      </c>
      <c r="AG286" s="655">
        <f t="shared" si="152"/>
        <v>47810.143077704954</v>
      </c>
      <c r="AR286" t="s">
        <v>258</v>
      </c>
      <c r="AS286" s="355" t="s">
        <v>258</v>
      </c>
    </row>
    <row r="287" spans="1:52" ht="14.25" customHeight="1">
      <c r="A287" s="651">
        <v>15000</v>
      </c>
      <c r="B287" s="639" t="s">
        <v>978</v>
      </c>
      <c r="C287" s="391"/>
      <c r="D287" s="387"/>
      <c r="E287" s="372" t="s">
        <v>692</v>
      </c>
      <c r="F287" s="367" t="s">
        <v>894</v>
      </c>
      <c r="G287" s="373">
        <v>22</v>
      </c>
      <c r="H287" s="587">
        <v>2000000</v>
      </c>
      <c r="I287" s="600">
        <f t="shared" si="139"/>
        <v>330000</v>
      </c>
      <c r="J287" s="600">
        <f t="shared" si="140"/>
        <v>39600</v>
      </c>
      <c r="K287" s="604">
        <f t="shared" si="141"/>
        <v>63700</v>
      </c>
      <c r="L287" s="666">
        <f t="shared" si="142"/>
        <v>2433300</v>
      </c>
      <c r="M287" s="666"/>
      <c r="N287" s="683">
        <v>75000</v>
      </c>
      <c r="O287" s="688">
        <f t="shared" si="162"/>
        <v>74061</v>
      </c>
      <c r="P287" s="601">
        <f t="shared" si="164"/>
        <v>2582361</v>
      </c>
      <c r="Q287" s="669">
        <v>20000</v>
      </c>
      <c r="R287" s="669">
        <v>50000</v>
      </c>
      <c r="S287" s="600">
        <f t="shared" si="155"/>
        <v>193677.07499999998</v>
      </c>
      <c r="T287" s="600">
        <f t="shared" si="156"/>
        <v>64559.025000000001</v>
      </c>
      <c r="U287" s="600"/>
      <c r="V287" s="606">
        <f t="shared" si="145"/>
        <v>2840597.1</v>
      </c>
      <c r="W287" s="370">
        <f t="shared" si="163"/>
        <v>0.15</v>
      </c>
      <c r="X287" s="655">
        <f t="shared" si="146"/>
        <v>426089.565</v>
      </c>
      <c r="Y287" s="368">
        <f t="shared" si="147"/>
        <v>15000</v>
      </c>
      <c r="Z287" s="655">
        <f t="shared" si="148"/>
        <v>411089.565</v>
      </c>
      <c r="AA287" s="366">
        <f t="shared" si="149"/>
        <v>30</v>
      </c>
      <c r="AB287" s="655">
        <f t="shared" si="150"/>
        <v>13702.985500000001</v>
      </c>
      <c r="AC287" s="655">
        <f t="shared" si="151"/>
        <v>2414507.5350000001</v>
      </c>
      <c r="AD287" s="655">
        <f t="shared" si="152"/>
        <v>18719.651219292529</v>
      </c>
      <c r="AE287" s="655">
        <f t="shared" si="152"/>
        <v>21702.276305860145</v>
      </c>
      <c r="AF287" s="655">
        <f t="shared" si="152"/>
        <v>28034.479795075873</v>
      </c>
      <c r="AG287" s="655">
        <f t="shared" si="152"/>
        <v>47810.143077704954</v>
      </c>
      <c r="AR287" t="s">
        <v>258</v>
      </c>
      <c r="AS287" s="355" t="s">
        <v>258</v>
      </c>
    </row>
    <row r="288" spans="1:52" ht="14.25" customHeight="1">
      <c r="B288" s="346">
        <f>COUNTA(B7:B287)</f>
        <v>281</v>
      </c>
      <c r="C288" s="346"/>
      <c r="D288" s="346"/>
      <c r="E288" s="319"/>
      <c r="F288" s="319"/>
      <c r="J288" s="624"/>
      <c r="K288" s="624"/>
      <c r="L288" s="624"/>
      <c r="M288" s="624"/>
      <c r="N288" s="684"/>
      <c r="O288" s="684"/>
      <c r="P288" s="624">
        <f>+SUM(P7:P287)</f>
        <v>645106016</v>
      </c>
      <c r="W288" s="348"/>
      <c r="AA288" s="319"/>
      <c r="AE288" s="347"/>
      <c r="AF288" s="347"/>
      <c r="AG288" s="347"/>
      <c r="AH288" s="347"/>
    </row>
    <row r="289" spans="5:46" ht="14.25" customHeight="1">
      <c r="E289" s="319"/>
      <c r="F289" s="319"/>
      <c r="J289" s="624" t="s">
        <v>983</v>
      </c>
      <c r="K289" s="624"/>
      <c r="L289" s="624"/>
      <c r="M289" s="624"/>
      <c r="N289" s="684"/>
      <c r="O289" s="684"/>
      <c r="P289" s="624">
        <v>7500000</v>
      </c>
      <c r="W289" s="348"/>
      <c r="AA289" s="319"/>
      <c r="AR289" s="425" t="s">
        <v>957</v>
      </c>
      <c r="AS289" s="425">
        <f>COUNTIF(AS6:AS286,"N/A")</f>
        <v>22</v>
      </c>
      <c r="AT289" t="s">
        <v>984</v>
      </c>
    </row>
    <row r="290" spans="5:46" ht="14.25" customHeight="1">
      <c r="E290" s="319"/>
      <c r="F290" s="319"/>
      <c r="J290" s="624"/>
      <c r="K290" s="624"/>
      <c r="L290" s="624"/>
      <c r="M290" s="624"/>
      <c r="N290" s="684"/>
      <c r="O290" s="684"/>
      <c r="P290" s="624">
        <f>+P288-P289</f>
        <v>637606016</v>
      </c>
      <c r="W290" s="348"/>
      <c r="AA290" s="319"/>
      <c r="AR290" s="425" t="s">
        <v>236</v>
      </c>
      <c r="AS290" s="425">
        <f>COUNTIF(AS7:AS287,"SOLD")</f>
        <v>183</v>
      </c>
    </row>
    <row r="291" spans="5:46" ht="14.25" customHeight="1">
      <c r="E291" s="319"/>
      <c r="F291" s="319"/>
      <c r="W291" s="348"/>
      <c r="AA291" s="319"/>
      <c r="AR291" s="425" t="s">
        <v>258</v>
      </c>
      <c r="AS291" s="425">
        <f>COUNTIF(AS7:AS287,"UNSOLD")</f>
        <v>73</v>
      </c>
    </row>
    <row r="292" spans="5:46" ht="14.25" customHeight="1">
      <c r="E292" s="319"/>
      <c r="F292" s="319"/>
      <c r="W292" s="348"/>
      <c r="AA292" s="319"/>
      <c r="AR292" s="425" t="s">
        <v>889</v>
      </c>
      <c r="AS292" s="425">
        <f>COUNTIF(AS7:AS287,"CLOSED")</f>
        <v>3</v>
      </c>
    </row>
    <row r="293" spans="5:46" ht="14.25" customHeight="1">
      <c r="E293" s="319"/>
      <c r="F293" s="319"/>
      <c r="W293" s="348"/>
      <c r="AA293" s="319"/>
      <c r="AR293" s="425" t="s">
        <v>48</v>
      </c>
      <c r="AS293" s="425">
        <f>AS290+AS291+AS292+AS289</f>
        <v>281</v>
      </c>
    </row>
    <row r="294" spans="5:46" ht="14.25" customHeight="1">
      <c r="E294" s="319"/>
      <c r="F294" s="319"/>
      <c r="W294" s="348" t="s">
        <v>985</v>
      </c>
      <c r="AA294" s="319"/>
    </row>
    <row r="295" spans="5:46" ht="14.25" customHeight="1">
      <c r="E295" s="319"/>
      <c r="F295" s="319"/>
      <c r="W295" s="668">
        <v>0.15</v>
      </c>
      <c r="X295" s="121" t="s">
        <v>986</v>
      </c>
      <c r="AA295" s="319"/>
    </row>
    <row r="296" spans="5:46" ht="14.25" customHeight="1">
      <c r="E296" s="319"/>
      <c r="F296" s="319"/>
      <c r="W296" s="668">
        <v>0.15</v>
      </c>
      <c r="X296" s="121" t="s">
        <v>984</v>
      </c>
      <c r="AA296" s="319"/>
    </row>
    <row r="297" spans="5:46" ht="14.25" customHeight="1">
      <c r="E297" s="319"/>
      <c r="F297" s="319"/>
      <c r="W297" s="668">
        <v>0.15</v>
      </c>
      <c r="X297" s="121" t="s">
        <v>987</v>
      </c>
      <c r="AA297" s="319"/>
    </row>
    <row r="298" spans="5:46" ht="14.25" customHeight="1">
      <c r="E298" s="319"/>
      <c r="F298" s="319"/>
      <c r="W298" s="348"/>
      <c r="AA298" s="319"/>
    </row>
    <row r="299" spans="5:46" ht="14.25" customHeight="1">
      <c r="E299" s="319"/>
      <c r="F299" s="319"/>
      <c r="W299" s="348"/>
      <c r="AA299" s="319"/>
    </row>
    <row r="300" spans="5:46" ht="14.25" customHeight="1">
      <c r="E300" s="319"/>
      <c r="F300" s="319"/>
      <c r="W300" s="348"/>
      <c r="AA300" s="319"/>
    </row>
    <row r="301" spans="5:46" ht="14.25" customHeight="1">
      <c r="E301" s="319"/>
      <c r="F301" s="319"/>
      <c r="W301" s="348"/>
      <c r="AA301" s="319"/>
    </row>
    <row r="302" spans="5:46" ht="14.25" customHeight="1">
      <c r="E302" s="319"/>
      <c r="F302" s="319"/>
      <c r="W302" s="348"/>
      <c r="AA302" s="319"/>
    </row>
    <row r="303" spans="5:46" ht="14.25" customHeight="1">
      <c r="E303" s="319"/>
      <c r="F303" s="319"/>
      <c r="W303" s="348"/>
      <c r="AA303" s="319"/>
    </row>
    <row r="304" spans="5:46" ht="14.25" customHeight="1">
      <c r="E304" s="319"/>
      <c r="F304" s="319"/>
      <c r="W304" s="348"/>
      <c r="AA304" s="319"/>
    </row>
    <row r="305" spans="5:27" ht="14.25" customHeight="1">
      <c r="E305" s="319"/>
      <c r="F305" s="319"/>
      <c r="W305" s="348"/>
      <c r="AA305" s="319"/>
    </row>
    <row r="306" spans="5:27" ht="14.25" customHeight="1">
      <c r="E306" s="319"/>
      <c r="F306" s="319"/>
      <c r="W306" s="348"/>
      <c r="AA306" s="319"/>
    </row>
    <row r="307" spans="5:27" ht="14.25" customHeight="1">
      <c r="E307" s="319"/>
      <c r="F307" s="319"/>
      <c r="W307" s="348"/>
      <c r="AA307" s="319"/>
    </row>
    <row r="308" spans="5:27" ht="14.25" customHeight="1">
      <c r="E308" s="319"/>
      <c r="F308" s="319"/>
      <c r="W308" s="348"/>
      <c r="AA308" s="319"/>
    </row>
    <row r="309" spans="5:27" ht="14.25" customHeight="1">
      <c r="E309" s="319"/>
      <c r="F309" s="319"/>
      <c r="W309" s="348"/>
      <c r="AA309" s="319"/>
    </row>
    <row r="310" spans="5:27" ht="14.25" customHeight="1">
      <c r="E310" s="319"/>
      <c r="F310" s="319"/>
      <c r="W310" s="348"/>
      <c r="AA310" s="319"/>
    </row>
    <row r="311" spans="5:27" ht="14.25" customHeight="1">
      <c r="E311" s="319"/>
      <c r="F311" s="319"/>
      <c r="W311" s="348"/>
      <c r="AA311" s="319"/>
    </row>
    <row r="312" spans="5:27" ht="14.25" customHeight="1">
      <c r="E312" s="319"/>
      <c r="F312" s="319"/>
      <c r="W312" s="348"/>
      <c r="AA312" s="319"/>
    </row>
    <row r="313" spans="5:27" ht="14.25" customHeight="1">
      <c r="E313" s="319"/>
      <c r="F313" s="319"/>
      <c r="W313" s="348"/>
      <c r="AA313" s="319"/>
    </row>
    <row r="314" spans="5:27" ht="14.25" customHeight="1">
      <c r="E314" s="319"/>
      <c r="F314" s="319"/>
      <c r="W314" s="348"/>
      <c r="AA314" s="319"/>
    </row>
    <row r="315" spans="5:27" ht="14.25" customHeight="1">
      <c r="E315" s="319"/>
      <c r="F315" s="319"/>
      <c r="W315" s="348"/>
      <c r="AA315" s="319"/>
    </row>
    <row r="316" spans="5:27" ht="14.25" customHeight="1">
      <c r="E316" s="319"/>
      <c r="F316" s="319"/>
      <c r="W316" s="348"/>
      <c r="AA316" s="319"/>
    </row>
    <row r="317" spans="5:27" ht="14.25" customHeight="1">
      <c r="E317" s="319"/>
      <c r="F317" s="319"/>
      <c r="W317" s="348"/>
      <c r="AA317" s="319"/>
    </row>
    <row r="318" spans="5:27" ht="14.25" customHeight="1">
      <c r="E318" s="319"/>
      <c r="F318" s="319"/>
      <c r="W318" s="348"/>
      <c r="AA318" s="319"/>
    </row>
    <row r="319" spans="5:27" ht="14.25" customHeight="1">
      <c r="E319" s="319"/>
      <c r="F319" s="319"/>
      <c r="W319" s="348"/>
      <c r="AA319" s="319"/>
    </row>
    <row r="320" spans="5:27" ht="14.25" customHeight="1">
      <c r="E320" s="319"/>
      <c r="F320" s="319"/>
      <c r="W320" s="348"/>
      <c r="AA320" s="319"/>
    </row>
    <row r="321" spans="5:27" ht="14.25" customHeight="1">
      <c r="E321" s="319"/>
      <c r="F321" s="319"/>
      <c r="W321" s="348"/>
      <c r="AA321" s="319"/>
    </row>
    <row r="322" spans="5:27" ht="14.25" customHeight="1">
      <c r="E322" s="319"/>
      <c r="F322" s="319"/>
      <c r="W322" s="348"/>
      <c r="AA322" s="319"/>
    </row>
    <row r="323" spans="5:27" ht="14.25" customHeight="1">
      <c r="E323" s="319"/>
      <c r="F323" s="319"/>
      <c r="W323" s="348"/>
      <c r="AA323" s="319"/>
    </row>
    <row r="324" spans="5:27" ht="14.25" customHeight="1">
      <c r="E324" s="319"/>
      <c r="F324" s="319"/>
      <c r="W324" s="348"/>
      <c r="AA324" s="319"/>
    </row>
    <row r="325" spans="5:27" ht="14.25" customHeight="1">
      <c r="E325" s="319"/>
      <c r="F325" s="319"/>
      <c r="W325" s="348"/>
      <c r="AA325" s="319"/>
    </row>
    <row r="326" spans="5:27" ht="14.25" customHeight="1">
      <c r="E326" s="319"/>
      <c r="F326" s="319"/>
      <c r="W326" s="348"/>
      <c r="AA326" s="319"/>
    </row>
    <row r="327" spans="5:27" ht="14.25" customHeight="1">
      <c r="E327" s="319"/>
      <c r="F327" s="319"/>
      <c r="W327" s="348"/>
      <c r="AA327" s="319"/>
    </row>
    <row r="328" spans="5:27" ht="14.25" customHeight="1">
      <c r="E328" s="319"/>
      <c r="F328" s="319"/>
      <c r="W328" s="348"/>
      <c r="AA328" s="319"/>
    </row>
    <row r="329" spans="5:27" ht="14.25" customHeight="1">
      <c r="E329" s="319"/>
      <c r="F329" s="319"/>
      <c r="W329" s="348"/>
      <c r="AA329" s="319"/>
    </row>
    <row r="330" spans="5:27" ht="14.25" customHeight="1">
      <c r="E330" s="319"/>
      <c r="F330" s="319"/>
      <c r="W330" s="348"/>
      <c r="AA330" s="319"/>
    </row>
    <row r="331" spans="5:27" ht="14.25" customHeight="1">
      <c r="E331" s="319"/>
      <c r="F331" s="319"/>
      <c r="W331" s="348"/>
      <c r="AA331" s="319"/>
    </row>
    <row r="332" spans="5:27" ht="14.25" customHeight="1">
      <c r="E332" s="319"/>
      <c r="F332" s="319"/>
      <c r="W332" s="348"/>
      <c r="AA332" s="319"/>
    </row>
    <row r="333" spans="5:27" ht="14.25" customHeight="1">
      <c r="E333" s="319"/>
      <c r="F333" s="319"/>
      <c r="W333" s="348"/>
      <c r="AA333" s="319"/>
    </row>
    <row r="334" spans="5:27" ht="14.25" customHeight="1">
      <c r="E334" s="319"/>
      <c r="F334" s="319"/>
      <c r="W334" s="348"/>
      <c r="AA334" s="319"/>
    </row>
    <row r="335" spans="5:27" ht="14.25" customHeight="1">
      <c r="E335" s="319"/>
      <c r="F335" s="319"/>
      <c r="W335" s="348"/>
      <c r="AA335" s="319"/>
    </row>
    <row r="336" spans="5:27" ht="14.25" customHeight="1">
      <c r="E336" s="319"/>
      <c r="F336" s="319"/>
      <c r="W336" s="348"/>
      <c r="AA336" s="319"/>
    </row>
    <row r="337" spans="5:27" ht="14.25" customHeight="1">
      <c r="E337" s="319"/>
      <c r="F337" s="319"/>
      <c r="W337" s="348"/>
      <c r="AA337" s="319"/>
    </row>
    <row r="338" spans="5:27" ht="14.25" customHeight="1">
      <c r="E338" s="319"/>
      <c r="F338" s="319"/>
      <c r="W338" s="348"/>
      <c r="AA338" s="319"/>
    </row>
    <row r="339" spans="5:27" ht="14.25" customHeight="1">
      <c r="E339" s="319"/>
      <c r="F339" s="319"/>
      <c r="W339" s="348"/>
      <c r="AA339" s="319"/>
    </row>
    <row r="340" spans="5:27" ht="14.25" customHeight="1">
      <c r="E340" s="319"/>
      <c r="F340" s="319"/>
      <c r="W340" s="348"/>
      <c r="AA340" s="319"/>
    </row>
    <row r="341" spans="5:27" ht="14.25" customHeight="1">
      <c r="E341" s="319"/>
      <c r="F341" s="319"/>
      <c r="W341" s="348"/>
      <c r="AA341" s="319"/>
    </row>
    <row r="342" spans="5:27" ht="14.25" customHeight="1">
      <c r="E342" s="319"/>
      <c r="F342" s="319"/>
      <c r="W342" s="348"/>
      <c r="AA342" s="319"/>
    </row>
    <row r="343" spans="5:27" ht="14.25" customHeight="1">
      <c r="E343" s="319"/>
      <c r="F343" s="319"/>
      <c r="W343" s="348"/>
      <c r="AA343" s="319"/>
    </row>
    <row r="344" spans="5:27" ht="14.25" customHeight="1">
      <c r="E344" s="319"/>
      <c r="F344" s="319"/>
      <c r="W344" s="348"/>
      <c r="AA344" s="319"/>
    </row>
    <row r="345" spans="5:27" ht="14.25" customHeight="1">
      <c r="E345" s="319"/>
      <c r="F345" s="319"/>
      <c r="W345" s="348"/>
      <c r="AA345" s="319"/>
    </row>
    <row r="346" spans="5:27" ht="14.25" customHeight="1">
      <c r="E346" s="319"/>
      <c r="F346" s="319"/>
      <c r="W346" s="348"/>
      <c r="AA346" s="319"/>
    </row>
    <row r="347" spans="5:27" ht="14.25" customHeight="1">
      <c r="E347" s="319"/>
      <c r="F347" s="319"/>
      <c r="W347" s="348"/>
      <c r="AA347" s="319"/>
    </row>
    <row r="348" spans="5:27" ht="14.25" customHeight="1">
      <c r="E348" s="319"/>
      <c r="F348" s="319"/>
      <c r="W348" s="348"/>
      <c r="AA348" s="319"/>
    </row>
    <row r="349" spans="5:27" ht="14.25" customHeight="1">
      <c r="E349" s="319"/>
      <c r="F349" s="319"/>
      <c r="W349" s="348"/>
      <c r="AA349" s="319"/>
    </row>
    <row r="350" spans="5:27" ht="14.25" customHeight="1">
      <c r="E350" s="319"/>
      <c r="F350" s="319"/>
      <c r="W350" s="348"/>
      <c r="AA350" s="319"/>
    </row>
    <row r="351" spans="5:27" ht="14.25" customHeight="1">
      <c r="E351" s="319"/>
      <c r="F351" s="319"/>
      <c r="W351" s="348"/>
      <c r="AA351" s="319"/>
    </row>
    <row r="352" spans="5:27" ht="14.25" customHeight="1">
      <c r="E352" s="319"/>
      <c r="F352" s="319"/>
      <c r="W352" s="348"/>
      <c r="AA352" s="319"/>
    </row>
    <row r="353" spans="5:27" ht="14.25" customHeight="1">
      <c r="E353" s="319"/>
      <c r="F353" s="319"/>
      <c r="W353" s="348"/>
      <c r="AA353" s="319"/>
    </row>
    <row r="354" spans="5:27" ht="14.25" customHeight="1">
      <c r="E354" s="319"/>
      <c r="F354" s="319"/>
      <c r="W354" s="348"/>
      <c r="AA354" s="319"/>
    </row>
    <row r="355" spans="5:27" ht="14.25" customHeight="1">
      <c r="E355" s="319"/>
      <c r="F355" s="319"/>
      <c r="W355" s="348"/>
      <c r="AA355" s="319"/>
    </row>
    <row r="356" spans="5:27" ht="14.25" customHeight="1">
      <c r="E356" s="319"/>
      <c r="F356" s="319"/>
      <c r="W356" s="348"/>
      <c r="AA356" s="319"/>
    </row>
    <row r="357" spans="5:27" ht="14.25" customHeight="1">
      <c r="E357" s="319"/>
      <c r="F357" s="319"/>
      <c r="W357" s="348"/>
      <c r="AA357" s="319"/>
    </row>
    <row r="358" spans="5:27" ht="14.25" customHeight="1">
      <c r="E358" s="319"/>
      <c r="F358" s="319"/>
      <c r="W358" s="348"/>
      <c r="AA358" s="319"/>
    </row>
    <row r="359" spans="5:27" ht="14.25" customHeight="1">
      <c r="E359" s="319"/>
      <c r="F359" s="319"/>
      <c r="W359" s="348"/>
      <c r="AA359" s="319"/>
    </row>
    <row r="360" spans="5:27" ht="14.25" customHeight="1">
      <c r="E360" s="319"/>
      <c r="F360" s="319"/>
      <c r="W360" s="348"/>
      <c r="AA360" s="319"/>
    </row>
    <row r="361" spans="5:27" ht="14.25" customHeight="1">
      <c r="E361" s="319"/>
      <c r="F361" s="319"/>
      <c r="W361" s="348"/>
      <c r="AA361" s="319"/>
    </row>
    <row r="362" spans="5:27" ht="14.25" customHeight="1">
      <c r="E362" s="319"/>
      <c r="F362" s="319"/>
      <c r="W362" s="348"/>
      <c r="AA362" s="319"/>
    </row>
    <row r="363" spans="5:27" ht="14.25" customHeight="1">
      <c r="E363" s="319"/>
      <c r="F363" s="319"/>
      <c r="W363" s="348"/>
      <c r="AA363" s="319"/>
    </row>
    <row r="364" spans="5:27" ht="14.25" customHeight="1">
      <c r="E364" s="319"/>
      <c r="F364" s="319"/>
      <c r="W364" s="348"/>
      <c r="AA364" s="319"/>
    </row>
    <row r="365" spans="5:27" ht="14.25" customHeight="1">
      <c r="E365" s="319"/>
      <c r="F365" s="319"/>
      <c r="W365" s="348"/>
      <c r="AA365" s="319"/>
    </row>
    <row r="366" spans="5:27" ht="14.25" customHeight="1">
      <c r="E366" s="319"/>
      <c r="F366" s="319"/>
      <c r="W366" s="348"/>
      <c r="AA366" s="319"/>
    </row>
    <row r="367" spans="5:27" ht="14.25" customHeight="1">
      <c r="E367" s="319"/>
      <c r="F367" s="319"/>
      <c r="W367" s="348"/>
      <c r="AA367" s="319"/>
    </row>
    <row r="368" spans="5:27" ht="14.25" customHeight="1">
      <c r="E368" s="319"/>
      <c r="F368" s="319"/>
      <c r="W368" s="348"/>
      <c r="AA368" s="319"/>
    </row>
    <row r="369" spans="5:27" ht="14.25" customHeight="1">
      <c r="E369" s="319"/>
      <c r="F369" s="319"/>
      <c r="W369" s="348"/>
      <c r="AA369" s="319"/>
    </row>
    <row r="370" spans="5:27" ht="14.25" customHeight="1">
      <c r="E370" s="319"/>
      <c r="F370" s="319"/>
      <c r="W370" s="348"/>
      <c r="AA370" s="319"/>
    </row>
    <row r="371" spans="5:27" ht="14.25" customHeight="1">
      <c r="E371" s="319"/>
      <c r="F371" s="319"/>
      <c r="W371" s="348"/>
      <c r="AA371" s="319"/>
    </row>
    <row r="372" spans="5:27" ht="14.25" customHeight="1">
      <c r="E372" s="319"/>
      <c r="F372" s="319"/>
      <c r="W372" s="348"/>
      <c r="AA372" s="319"/>
    </row>
    <row r="373" spans="5:27" ht="14.25" customHeight="1">
      <c r="E373" s="319"/>
      <c r="F373" s="319"/>
      <c r="W373" s="348"/>
      <c r="AA373" s="319"/>
    </row>
    <row r="374" spans="5:27" ht="14.25" customHeight="1">
      <c r="E374" s="319"/>
      <c r="F374" s="319"/>
      <c r="W374" s="348"/>
      <c r="AA374" s="319"/>
    </row>
    <row r="375" spans="5:27" ht="14.25" customHeight="1">
      <c r="E375" s="319"/>
      <c r="F375" s="319"/>
      <c r="W375" s="348"/>
      <c r="AA375" s="319"/>
    </row>
    <row r="376" spans="5:27" ht="14.25" customHeight="1">
      <c r="E376" s="319"/>
      <c r="F376" s="319"/>
      <c r="W376" s="348"/>
      <c r="AA376" s="319"/>
    </row>
    <row r="377" spans="5:27" ht="14.25" customHeight="1">
      <c r="E377" s="319"/>
      <c r="F377" s="319"/>
      <c r="W377" s="348"/>
      <c r="AA377" s="319"/>
    </row>
    <row r="378" spans="5:27" ht="14.25" customHeight="1">
      <c r="E378" s="319"/>
      <c r="F378" s="319"/>
      <c r="W378" s="348"/>
      <c r="AA378" s="319"/>
    </row>
    <row r="379" spans="5:27" ht="14.25" customHeight="1">
      <c r="E379" s="319"/>
      <c r="F379" s="319"/>
      <c r="W379" s="348"/>
      <c r="AA379" s="319"/>
    </row>
    <row r="380" spans="5:27" ht="14.25" customHeight="1">
      <c r="E380" s="319"/>
      <c r="F380" s="319"/>
      <c r="W380" s="348"/>
      <c r="AA380" s="319"/>
    </row>
    <row r="381" spans="5:27" ht="14.25" customHeight="1">
      <c r="E381" s="319"/>
      <c r="F381" s="319"/>
      <c r="W381" s="348"/>
      <c r="AA381" s="319"/>
    </row>
    <row r="382" spans="5:27" ht="14.25" customHeight="1">
      <c r="E382" s="319"/>
      <c r="F382" s="319"/>
      <c r="W382" s="348"/>
      <c r="AA382" s="319"/>
    </row>
    <row r="383" spans="5:27" ht="14.25" customHeight="1">
      <c r="E383" s="319"/>
      <c r="F383" s="319"/>
      <c r="W383" s="348"/>
      <c r="AA383" s="319"/>
    </row>
    <row r="384" spans="5:27" ht="14.25" customHeight="1">
      <c r="E384" s="319"/>
      <c r="F384" s="319"/>
      <c r="W384" s="348"/>
      <c r="AA384" s="319"/>
    </row>
    <row r="385" spans="5:27" ht="14.25" customHeight="1">
      <c r="E385" s="319"/>
      <c r="F385" s="319"/>
      <c r="W385" s="348"/>
      <c r="AA385" s="319"/>
    </row>
    <row r="386" spans="5:27" ht="14.25" customHeight="1">
      <c r="E386" s="319"/>
      <c r="F386" s="319"/>
      <c r="W386" s="348"/>
      <c r="AA386" s="319"/>
    </row>
    <row r="387" spans="5:27" ht="14.25" customHeight="1">
      <c r="E387" s="319"/>
      <c r="F387" s="319"/>
      <c r="W387" s="348"/>
      <c r="AA387" s="319"/>
    </row>
    <row r="388" spans="5:27" ht="14.25" customHeight="1">
      <c r="E388" s="319"/>
      <c r="F388" s="319"/>
      <c r="W388" s="348"/>
      <c r="AA388" s="319"/>
    </row>
    <row r="389" spans="5:27" ht="14.25" customHeight="1">
      <c r="E389" s="319"/>
      <c r="F389" s="319"/>
      <c r="W389" s="348"/>
      <c r="AA389" s="319"/>
    </row>
    <row r="390" spans="5:27" ht="14.25" customHeight="1">
      <c r="E390" s="319"/>
      <c r="F390" s="319"/>
      <c r="W390" s="348"/>
      <c r="AA390" s="319"/>
    </row>
    <row r="391" spans="5:27" ht="14.25" customHeight="1">
      <c r="E391" s="319"/>
      <c r="F391" s="319"/>
      <c r="W391" s="348"/>
      <c r="AA391" s="319"/>
    </row>
    <row r="392" spans="5:27" ht="14.25" customHeight="1">
      <c r="E392" s="319"/>
      <c r="F392" s="319"/>
      <c r="W392" s="348"/>
      <c r="AA392" s="319"/>
    </row>
    <row r="393" spans="5:27" ht="14.25" customHeight="1">
      <c r="E393" s="319"/>
      <c r="F393" s="319"/>
      <c r="W393" s="348"/>
      <c r="AA393" s="319"/>
    </row>
    <row r="394" spans="5:27" ht="14.25" customHeight="1">
      <c r="E394" s="319"/>
      <c r="F394" s="319"/>
      <c r="W394" s="348"/>
      <c r="AA394" s="319"/>
    </row>
    <row r="395" spans="5:27" ht="14.25" customHeight="1">
      <c r="E395" s="319"/>
      <c r="F395" s="319"/>
      <c r="W395" s="348"/>
      <c r="AA395" s="319"/>
    </row>
    <row r="396" spans="5:27" ht="14.25" customHeight="1">
      <c r="E396" s="319"/>
      <c r="F396" s="319"/>
      <c r="W396" s="348"/>
      <c r="AA396" s="319"/>
    </row>
    <row r="397" spans="5:27" ht="14.25" customHeight="1">
      <c r="E397" s="319"/>
      <c r="F397" s="319"/>
      <c r="W397" s="348"/>
      <c r="AA397" s="319"/>
    </row>
    <row r="398" spans="5:27" ht="14.25" customHeight="1">
      <c r="E398" s="319"/>
      <c r="F398" s="319"/>
      <c r="W398" s="348"/>
      <c r="AA398" s="319"/>
    </row>
    <row r="399" spans="5:27" ht="14.25" customHeight="1">
      <c r="E399" s="319"/>
      <c r="F399" s="319"/>
      <c r="W399" s="348"/>
      <c r="AA399" s="319"/>
    </row>
    <row r="400" spans="5:27" ht="14.25" customHeight="1">
      <c r="E400" s="319"/>
      <c r="F400" s="319"/>
      <c r="W400" s="348"/>
      <c r="AA400" s="319"/>
    </row>
    <row r="401" spans="5:27" ht="14.25" customHeight="1">
      <c r="E401" s="319"/>
      <c r="F401" s="319"/>
      <c r="W401" s="348"/>
      <c r="AA401" s="319"/>
    </row>
    <row r="402" spans="5:27" ht="14.25" customHeight="1">
      <c r="E402" s="319"/>
      <c r="F402" s="319"/>
      <c r="W402" s="348"/>
      <c r="AA402" s="319"/>
    </row>
    <row r="403" spans="5:27" ht="14.25" customHeight="1">
      <c r="E403" s="319"/>
      <c r="F403" s="319"/>
      <c r="W403" s="348"/>
      <c r="AA403" s="319"/>
    </row>
    <row r="404" spans="5:27" ht="14.25" customHeight="1">
      <c r="E404" s="319"/>
      <c r="F404" s="319"/>
      <c r="W404" s="348"/>
      <c r="AA404" s="319"/>
    </row>
    <row r="405" spans="5:27" ht="14.25" customHeight="1">
      <c r="E405" s="319"/>
      <c r="F405" s="319"/>
      <c r="W405" s="348"/>
      <c r="AA405" s="319"/>
    </row>
    <row r="406" spans="5:27" ht="14.25" customHeight="1">
      <c r="E406" s="319"/>
      <c r="F406" s="319"/>
      <c r="W406" s="348"/>
      <c r="AA406" s="319"/>
    </row>
    <row r="407" spans="5:27" ht="14.25" customHeight="1">
      <c r="E407" s="319"/>
      <c r="F407" s="319"/>
      <c r="W407" s="348"/>
      <c r="AA407" s="319"/>
    </row>
    <row r="408" spans="5:27" ht="14.25" customHeight="1">
      <c r="E408" s="319"/>
      <c r="F408" s="319"/>
      <c r="W408" s="348"/>
      <c r="AA408" s="319"/>
    </row>
    <row r="409" spans="5:27" ht="14.25" customHeight="1">
      <c r="E409" s="319"/>
      <c r="F409" s="319"/>
      <c r="W409" s="348"/>
      <c r="AA409" s="319"/>
    </row>
    <row r="410" spans="5:27" ht="14.25" customHeight="1">
      <c r="E410" s="319"/>
      <c r="F410" s="319"/>
      <c r="W410" s="348"/>
      <c r="AA410" s="319"/>
    </row>
    <row r="411" spans="5:27" ht="14.25" customHeight="1">
      <c r="E411" s="319"/>
      <c r="F411" s="319"/>
      <c r="W411" s="348"/>
      <c r="AA411" s="319"/>
    </row>
    <row r="412" spans="5:27" ht="14.25" customHeight="1">
      <c r="E412" s="319"/>
      <c r="F412" s="319"/>
      <c r="W412" s="348"/>
      <c r="AA412" s="319"/>
    </row>
    <row r="413" spans="5:27" ht="14.25" customHeight="1">
      <c r="E413" s="319"/>
      <c r="F413" s="319"/>
      <c r="W413" s="348"/>
      <c r="AA413" s="319"/>
    </row>
    <row r="414" spans="5:27" ht="14.25" customHeight="1">
      <c r="E414" s="319"/>
      <c r="F414" s="319"/>
      <c r="W414" s="348"/>
      <c r="AA414" s="319"/>
    </row>
    <row r="415" spans="5:27" ht="14.25" customHeight="1">
      <c r="E415" s="319"/>
      <c r="F415" s="319"/>
      <c r="W415" s="348"/>
      <c r="AA415" s="319"/>
    </row>
    <row r="416" spans="5:27" ht="14.25" customHeight="1">
      <c r="E416" s="319"/>
      <c r="F416" s="319"/>
      <c r="W416" s="348"/>
      <c r="AA416" s="319"/>
    </row>
    <row r="417" spans="5:27" ht="14.25" customHeight="1">
      <c r="E417" s="319"/>
      <c r="F417" s="319"/>
      <c r="W417" s="348"/>
      <c r="AA417" s="319"/>
    </row>
    <row r="418" spans="5:27" ht="14.25" customHeight="1">
      <c r="E418" s="319"/>
      <c r="F418" s="319"/>
      <c r="W418" s="348"/>
      <c r="AA418" s="319"/>
    </row>
    <row r="419" spans="5:27" ht="14.25" customHeight="1">
      <c r="E419" s="319"/>
      <c r="F419" s="319"/>
      <c r="W419" s="348"/>
      <c r="AA419" s="319"/>
    </row>
    <row r="420" spans="5:27" ht="14.25" customHeight="1">
      <c r="E420" s="319"/>
      <c r="F420" s="319"/>
      <c r="W420" s="348"/>
      <c r="AA420" s="319"/>
    </row>
    <row r="421" spans="5:27" ht="14.25" customHeight="1">
      <c r="E421" s="319"/>
      <c r="F421" s="319"/>
      <c r="W421" s="348"/>
      <c r="AA421" s="319"/>
    </row>
    <row r="422" spans="5:27" ht="14.25" customHeight="1">
      <c r="E422" s="319"/>
      <c r="F422" s="319"/>
      <c r="W422" s="348"/>
      <c r="AA422" s="319"/>
    </row>
    <row r="423" spans="5:27" ht="14.25" customHeight="1">
      <c r="E423" s="319"/>
      <c r="F423" s="319"/>
      <c r="W423" s="348"/>
      <c r="AA423" s="319"/>
    </row>
    <row r="424" spans="5:27" ht="14.25" customHeight="1">
      <c r="E424" s="319"/>
      <c r="F424" s="319"/>
      <c r="W424" s="348"/>
      <c r="AA424" s="319"/>
    </row>
    <row r="425" spans="5:27" ht="14.25" customHeight="1">
      <c r="E425" s="319"/>
      <c r="F425" s="319"/>
      <c r="W425" s="348"/>
      <c r="AA425" s="319"/>
    </row>
    <row r="426" spans="5:27" ht="14.25" customHeight="1">
      <c r="E426" s="319"/>
      <c r="F426" s="319"/>
      <c r="W426" s="348"/>
      <c r="AA426" s="319"/>
    </row>
    <row r="427" spans="5:27" ht="14.25" customHeight="1">
      <c r="E427" s="319"/>
      <c r="F427" s="319"/>
      <c r="W427" s="348"/>
      <c r="AA427" s="319"/>
    </row>
    <row r="428" spans="5:27" ht="14.25" customHeight="1">
      <c r="E428" s="319"/>
      <c r="F428" s="319"/>
      <c r="W428" s="348"/>
      <c r="AA428" s="319"/>
    </row>
    <row r="429" spans="5:27" ht="14.25" customHeight="1">
      <c r="E429" s="319"/>
      <c r="F429" s="319"/>
      <c r="W429" s="348"/>
      <c r="AA429" s="319"/>
    </row>
    <row r="430" spans="5:27" ht="14.25" customHeight="1">
      <c r="E430" s="319"/>
      <c r="F430" s="319"/>
      <c r="W430" s="348"/>
      <c r="AA430" s="319"/>
    </row>
    <row r="431" spans="5:27" ht="14.25" customHeight="1">
      <c r="E431" s="319"/>
      <c r="F431" s="319"/>
      <c r="W431" s="348"/>
      <c r="AA431" s="319"/>
    </row>
    <row r="432" spans="5:27" ht="14.25" customHeight="1">
      <c r="E432" s="319"/>
      <c r="F432" s="319"/>
      <c r="W432" s="348"/>
      <c r="AA432" s="319"/>
    </row>
    <row r="433" spans="5:27" ht="14.25" customHeight="1">
      <c r="E433" s="319"/>
      <c r="F433" s="319"/>
      <c r="W433" s="348"/>
      <c r="AA433" s="319"/>
    </row>
    <row r="434" spans="5:27" ht="14.25" customHeight="1">
      <c r="E434" s="319"/>
      <c r="F434" s="319"/>
      <c r="W434" s="348"/>
      <c r="AA434" s="319"/>
    </row>
    <row r="435" spans="5:27" ht="14.25" customHeight="1">
      <c r="E435" s="319"/>
      <c r="F435" s="319"/>
      <c r="W435" s="348"/>
      <c r="AA435" s="319"/>
    </row>
    <row r="436" spans="5:27" ht="14.25" customHeight="1">
      <c r="E436" s="319"/>
      <c r="F436" s="319"/>
      <c r="W436" s="348"/>
      <c r="AA436" s="319"/>
    </row>
    <row r="437" spans="5:27" ht="14.25" customHeight="1">
      <c r="E437" s="319"/>
      <c r="F437" s="319"/>
      <c r="W437" s="348"/>
      <c r="AA437" s="319"/>
    </row>
    <row r="438" spans="5:27" ht="14.25" customHeight="1">
      <c r="E438" s="319"/>
      <c r="F438" s="319"/>
      <c r="W438" s="348"/>
      <c r="AA438" s="319"/>
    </row>
    <row r="439" spans="5:27" ht="14.25" customHeight="1">
      <c r="E439" s="319"/>
      <c r="F439" s="319"/>
      <c r="W439" s="348"/>
      <c r="AA439" s="319"/>
    </row>
    <row r="440" spans="5:27" ht="14.25" customHeight="1">
      <c r="E440" s="319"/>
      <c r="F440" s="319"/>
      <c r="W440" s="348"/>
      <c r="AA440" s="319"/>
    </row>
    <row r="441" spans="5:27" ht="14.25" customHeight="1">
      <c r="E441" s="319"/>
      <c r="F441" s="319"/>
      <c r="W441" s="348"/>
      <c r="AA441" s="319"/>
    </row>
    <row r="442" spans="5:27" ht="14.25" customHeight="1">
      <c r="E442" s="319"/>
      <c r="F442" s="319"/>
      <c r="W442" s="348"/>
      <c r="AA442" s="319"/>
    </row>
    <row r="443" spans="5:27" ht="14.25" customHeight="1">
      <c r="E443" s="319"/>
      <c r="F443" s="319"/>
      <c r="W443" s="348"/>
      <c r="AA443" s="319"/>
    </row>
    <row r="444" spans="5:27" ht="14.25" customHeight="1">
      <c r="E444" s="319"/>
      <c r="F444" s="319"/>
      <c r="W444" s="348"/>
      <c r="AA444" s="319"/>
    </row>
    <row r="445" spans="5:27" ht="14.25" customHeight="1">
      <c r="E445" s="319"/>
      <c r="F445" s="319"/>
      <c r="W445" s="348"/>
      <c r="AA445" s="319"/>
    </row>
    <row r="446" spans="5:27" ht="14.25" customHeight="1">
      <c r="E446" s="319"/>
      <c r="F446" s="319"/>
      <c r="W446" s="348"/>
      <c r="AA446" s="319"/>
    </row>
    <row r="447" spans="5:27" ht="14.25" customHeight="1">
      <c r="E447" s="319"/>
      <c r="F447" s="319"/>
      <c r="W447" s="348"/>
      <c r="AA447" s="319"/>
    </row>
    <row r="448" spans="5:27" ht="14.25" customHeight="1">
      <c r="E448" s="319"/>
      <c r="F448" s="319"/>
      <c r="W448" s="348"/>
      <c r="AA448" s="319"/>
    </row>
    <row r="449" spans="5:27" ht="14.25" customHeight="1">
      <c r="E449" s="319"/>
      <c r="F449" s="319"/>
      <c r="W449" s="348"/>
      <c r="AA449" s="319"/>
    </row>
    <row r="450" spans="5:27" ht="14.25" customHeight="1">
      <c r="E450" s="319"/>
      <c r="F450" s="319"/>
      <c r="W450" s="348"/>
      <c r="AA450" s="319"/>
    </row>
    <row r="451" spans="5:27" ht="14.25" customHeight="1">
      <c r="E451" s="319"/>
      <c r="F451" s="319"/>
      <c r="W451" s="348"/>
      <c r="AA451" s="319"/>
    </row>
    <row r="452" spans="5:27" ht="14.25" customHeight="1">
      <c r="E452" s="319"/>
      <c r="F452" s="319"/>
      <c r="W452" s="348"/>
      <c r="AA452" s="319"/>
    </row>
    <row r="453" spans="5:27" ht="14.25" customHeight="1">
      <c r="E453" s="319"/>
      <c r="F453" s="319"/>
      <c r="W453" s="348"/>
      <c r="AA453" s="319"/>
    </row>
    <row r="454" spans="5:27" ht="14.25" customHeight="1">
      <c r="E454" s="319"/>
      <c r="F454" s="319"/>
      <c r="W454" s="348"/>
      <c r="AA454" s="319"/>
    </row>
    <row r="455" spans="5:27" ht="14.25" customHeight="1">
      <c r="E455" s="319"/>
      <c r="F455" s="319"/>
      <c r="W455" s="348"/>
      <c r="AA455" s="319"/>
    </row>
    <row r="456" spans="5:27" ht="14.25" customHeight="1">
      <c r="E456" s="319"/>
      <c r="F456" s="319"/>
      <c r="W456" s="348"/>
      <c r="AA456" s="319"/>
    </row>
    <row r="457" spans="5:27" ht="14.25" customHeight="1">
      <c r="E457" s="319"/>
      <c r="F457" s="319"/>
      <c r="W457" s="348"/>
      <c r="AA457" s="319"/>
    </row>
    <row r="458" spans="5:27" ht="14.25" customHeight="1">
      <c r="E458" s="319"/>
      <c r="F458" s="319"/>
      <c r="W458" s="348"/>
      <c r="AA458" s="319"/>
    </row>
    <row r="459" spans="5:27" ht="14.25" customHeight="1">
      <c r="E459" s="319"/>
      <c r="F459" s="319"/>
      <c r="W459" s="348"/>
      <c r="AA459" s="319"/>
    </row>
    <row r="460" spans="5:27" ht="14.25" customHeight="1">
      <c r="E460" s="319"/>
      <c r="F460" s="319"/>
      <c r="W460" s="348"/>
      <c r="AA460" s="319"/>
    </row>
    <row r="461" spans="5:27" ht="14.25" customHeight="1">
      <c r="E461" s="319"/>
      <c r="F461" s="319"/>
      <c r="W461" s="348"/>
      <c r="AA461" s="319"/>
    </row>
    <row r="462" spans="5:27" ht="14.25" customHeight="1">
      <c r="E462" s="319"/>
      <c r="F462" s="319"/>
      <c r="W462" s="348"/>
      <c r="AA462" s="319"/>
    </row>
    <row r="463" spans="5:27" ht="14.25" customHeight="1">
      <c r="E463" s="319"/>
      <c r="F463" s="319"/>
      <c r="W463" s="348"/>
      <c r="AA463" s="319"/>
    </row>
    <row r="464" spans="5:27" ht="14.25" customHeight="1">
      <c r="E464" s="319"/>
      <c r="F464" s="319"/>
      <c r="W464" s="348"/>
      <c r="AA464" s="319"/>
    </row>
    <row r="465" spans="5:27" ht="14.25" customHeight="1">
      <c r="E465" s="319"/>
      <c r="F465" s="319"/>
      <c r="W465" s="348"/>
      <c r="AA465" s="319"/>
    </row>
    <row r="466" spans="5:27" ht="14.25" customHeight="1">
      <c r="E466" s="319"/>
      <c r="F466" s="319"/>
      <c r="W466" s="348"/>
      <c r="AA466" s="319"/>
    </row>
    <row r="467" spans="5:27" ht="14.25" customHeight="1">
      <c r="E467" s="319"/>
      <c r="F467" s="319"/>
      <c r="W467" s="348"/>
      <c r="AA467" s="319"/>
    </row>
    <row r="468" spans="5:27" ht="14.25" customHeight="1">
      <c r="E468" s="319"/>
      <c r="F468" s="319"/>
      <c r="W468" s="348"/>
      <c r="AA468" s="319"/>
    </row>
    <row r="469" spans="5:27" ht="14.25" customHeight="1">
      <c r="E469" s="319"/>
      <c r="F469" s="319"/>
      <c r="W469" s="348"/>
      <c r="AA469" s="319"/>
    </row>
    <row r="470" spans="5:27" ht="14.25" customHeight="1">
      <c r="E470" s="319"/>
      <c r="F470" s="319"/>
      <c r="W470" s="348"/>
      <c r="AA470" s="319"/>
    </row>
    <row r="471" spans="5:27" ht="14.25" customHeight="1">
      <c r="E471" s="319"/>
      <c r="F471" s="319"/>
      <c r="W471" s="348"/>
      <c r="AA471" s="319"/>
    </row>
    <row r="472" spans="5:27" ht="14.25" customHeight="1">
      <c r="E472" s="319"/>
      <c r="F472" s="319"/>
      <c r="W472" s="348"/>
      <c r="AA472" s="319"/>
    </row>
    <row r="473" spans="5:27" ht="14.25" customHeight="1">
      <c r="E473" s="319"/>
      <c r="F473" s="319"/>
      <c r="W473" s="348"/>
      <c r="AA473" s="319"/>
    </row>
    <row r="474" spans="5:27" ht="14.25" customHeight="1">
      <c r="E474" s="319"/>
      <c r="F474" s="319"/>
      <c r="W474" s="348"/>
      <c r="AA474" s="319"/>
    </row>
    <row r="475" spans="5:27" ht="14.25" customHeight="1">
      <c r="E475" s="319"/>
      <c r="F475" s="319"/>
      <c r="W475" s="348"/>
      <c r="AA475" s="319"/>
    </row>
    <row r="476" spans="5:27" ht="14.25" customHeight="1">
      <c r="E476" s="319"/>
      <c r="F476" s="319"/>
      <c r="W476" s="348"/>
      <c r="AA476" s="319"/>
    </row>
    <row r="477" spans="5:27" ht="14.25" customHeight="1">
      <c r="E477" s="319"/>
      <c r="F477" s="319"/>
      <c r="W477" s="348"/>
      <c r="AA477" s="319"/>
    </row>
    <row r="478" spans="5:27" ht="14.25" customHeight="1">
      <c r="E478" s="319"/>
      <c r="F478" s="319"/>
      <c r="W478" s="348"/>
      <c r="AA478" s="319"/>
    </row>
    <row r="479" spans="5:27" ht="14.25" customHeight="1">
      <c r="E479" s="319"/>
      <c r="F479" s="319"/>
      <c r="W479" s="348"/>
      <c r="AA479" s="319"/>
    </row>
    <row r="480" spans="5:27" ht="14.25" customHeight="1">
      <c r="E480" s="319"/>
      <c r="F480" s="319"/>
      <c r="W480" s="348"/>
      <c r="AA480" s="319"/>
    </row>
    <row r="481" spans="5:27" ht="14.25" customHeight="1">
      <c r="E481" s="319"/>
      <c r="F481" s="319"/>
      <c r="W481" s="348"/>
      <c r="AA481" s="319"/>
    </row>
    <row r="482" spans="5:27" ht="14.25" customHeight="1">
      <c r="E482" s="319"/>
      <c r="F482" s="319"/>
      <c r="W482" s="348"/>
      <c r="AA482" s="319"/>
    </row>
    <row r="483" spans="5:27" ht="14.25" customHeight="1">
      <c r="E483" s="319"/>
      <c r="F483" s="319"/>
      <c r="W483" s="348"/>
      <c r="AA483" s="319"/>
    </row>
    <row r="484" spans="5:27" ht="14.25" customHeight="1">
      <c r="E484" s="319"/>
      <c r="F484" s="319"/>
      <c r="W484" s="348"/>
      <c r="AA484" s="319"/>
    </row>
    <row r="485" spans="5:27" ht="14.25" customHeight="1">
      <c r="E485" s="319"/>
      <c r="F485" s="319"/>
      <c r="W485" s="348"/>
      <c r="AA485" s="319"/>
    </row>
    <row r="486" spans="5:27" ht="14.25" customHeight="1">
      <c r="E486" s="319"/>
      <c r="F486" s="319"/>
      <c r="W486" s="348"/>
      <c r="AA486" s="319"/>
    </row>
    <row r="487" spans="5:27" ht="14.25" customHeight="1">
      <c r="E487" s="319"/>
      <c r="F487" s="319"/>
      <c r="W487" s="348"/>
      <c r="AA487" s="319"/>
    </row>
    <row r="488" spans="5:27" ht="14.25" customHeight="1">
      <c r="E488" s="319"/>
      <c r="F488" s="319"/>
      <c r="W488" s="348"/>
      <c r="AA488" s="319"/>
    </row>
    <row r="489" spans="5:27" ht="14.25" customHeight="1">
      <c r="E489" s="319"/>
      <c r="F489" s="319"/>
      <c r="W489" s="348"/>
      <c r="AA489" s="319"/>
    </row>
    <row r="490" spans="5:27" ht="14.25" customHeight="1">
      <c r="E490" s="319"/>
      <c r="F490" s="319"/>
      <c r="W490" s="348"/>
      <c r="AA490" s="319"/>
    </row>
    <row r="491" spans="5:27" ht="14.25" customHeight="1">
      <c r="E491" s="319"/>
      <c r="F491" s="319"/>
      <c r="W491" s="348"/>
      <c r="AA491" s="319"/>
    </row>
    <row r="492" spans="5:27" ht="14.25" customHeight="1">
      <c r="E492" s="319"/>
      <c r="F492" s="319"/>
      <c r="W492" s="348"/>
      <c r="AA492" s="319"/>
    </row>
    <row r="493" spans="5:27" ht="14.25" customHeight="1">
      <c r="E493" s="319"/>
      <c r="F493" s="319"/>
      <c r="W493" s="348"/>
      <c r="AA493" s="319"/>
    </row>
    <row r="494" spans="5:27" ht="14.25" customHeight="1">
      <c r="E494" s="319"/>
      <c r="F494" s="319"/>
      <c r="W494" s="348"/>
      <c r="AA494" s="319"/>
    </row>
    <row r="495" spans="5:27" ht="14.25" customHeight="1">
      <c r="E495" s="319"/>
      <c r="F495" s="319"/>
      <c r="W495" s="348"/>
      <c r="AA495" s="319"/>
    </row>
    <row r="496" spans="5:27" ht="14.25" customHeight="1">
      <c r="E496" s="319"/>
      <c r="F496" s="319"/>
      <c r="W496" s="348"/>
      <c r="AA496" s="319"/>
    </row>
    <row r="497" spans="5:27" ht="14.25" customHeight="1">
      <c r="E497" s="319"/>
      <c r="F497" s="319"/>
      <c r="W497" s="348"/>
      <c r="AA497" s="319"/>
    </row>
    <row r="498" spans="5:27" ht="14.25" customHeight="1">
      <c r="E498" s="319"/>
      <c r="F498" s="319"/>
      <c r="W498" s="348"/>
      <c r="AA498" s="319"/>
    </row>
    <row r="499" spans="5:27" ht="14.25" customHeight="1">
      <c r="E499" s="319"/>
      <c r="F499" s="319"/>
      <c r="W499" s="348"/>
      <c r="AA499" s="319"/>
    </row>
    <row r="500" spans="5:27" ht="14.25" customHeight="1">
      <c r="E500" s="319"/>
      <c r="F500" s="319"/>
      <c r="W500" s="348"/>
      <c r="AA500" s="319"/>
    </row>
    <row r="501" spans="5:27" ht="14.25" customHeight="1">
      <c r="E501" s="319"/>
      <c r="F501" s="319"/>
      <c r="W501" s="348"/>
      <c r="AA501" s="319"/>
    </row>
    <row r="502" spans="5:27" ht="14.25" customHeight="1">
      <c r="E502" s="319"/>
      <c r="F502" s="319"/>
      <c r="W502" s="348"/>
      <c r="AA502" s="319"/>
    </row>
    <row r="503" spans="5:27" ht="14.25" customHeight="1">
      <c r="E503" s="319"/>
      <c r="F503" s="319"/>
      <c r="W503" s="348"/>
      <c r="AA503" s="319"/>
    </row>
    <row r="504" spans="5:27" ht="14.25" customHeight="1">
      <c r="E504" s="319"/>
      <c r="F504" s="319"/>
      <c r="W504" s="348"/>
      <c r="AA504" s="319"/>
    </row>
    <row r="505" spans="5:27" ht="14.25" customHeight="1">
      <c r="E505" s="319"/>
      <c r="F505" s="319"/>
      <c r="W505" s="348"/>
      <c r="AA505" s="319"/>
    </row>
    <row r="506" spans="5:27" ht="14.25" customHeight="1">
      <c r="E506" s="319"/>
      <c r="F506" s="319"/>
      <c r="W506" s="348"/>
      <c r="AA506" s="319"/>
    </row>
    <row r="507" spans="5:27" ht="14.25" customHeight="1">
      <c r="E507" s="319"/>
      <c r="F507" s="319"/>
      <c r="W507" s="348"/>
      <c r="AA507" s="319"/>
    </row>
    <row r="508" spans="5:27" ht="14.25" customHeight="1">
      <c r="E508" s="319"/>
      <c r="F508" s="319"/>
      <c r="W508" s="348"/>
      <c r="AA508" s="319"/>
    </row>
    <row r="509" spans="5:27" ht="14.25" customHeight="1">
      <c r="E509" s="319"/>
      <c r="F509" s="319"/>
      <c r="W509" s="348"/>
      <c r="AA509" s="319"/>
    </row>
    <row r="510" spans="5:27" ht="14.25" customHeight="1">
      <c r="E510" s="319"/>
      <c r="F510" s="319"/>
      <c r="W510" s="348"/>
      <c r="AA510" s="319"/>
    </row>
    <row r="511" spans="5:27" ht="14.25" customHeight="1">
      <c r="E511" s="319"/>
      <c r="F511" s="319"/>
      <c r="W511" s="348"/>
      <c r="AA511" s="319"/>
    </row>
    <row r="512" spans="5:27" ht="14.25" customHeight="1">
      <c r="E512" s="319"/>
      <c r="F512" s="319"/>
      <c r="W512" s="348"/>
      <c r="AA512" s="319"/>
    </row>
    <row r="513" spans="5:27" ht="14.25" customHeight="1">
      <c r="E513" s="319"/>
      <c r="F513" s="319"/>
      <c r="W513" s="348"/>
      <c r="AA513" s="319"/>
    </row>
    <row r="514" spans="5:27" ht="14.25" customHeight="1">
      <c r="E514" s="319"/>
      <c r="F514" s="319"/>
      <c r="W514" s="348"/>
      <c r="AA514" s="319"/>
    </row>
    <row r="515" spans="5:27" ht="14.25" customHeight="1">
      <c r="E515" s="319"/>
      <c r="F515" s="319"/>
      <c r="W515" s="348"/>
      <c r="AA515" s="319"/>
    </row>
    <row r="516" spans="5:27" ht="14.25" customHeight="1">
      <c r="E516" s="319"/>
      <c r="F516" s="319"/>
      <c r="W516" s="348"/>
      <c r="AA516" s="319"/>
    </row>
    <row r="517" spans="5:27" ht="14.25" customHeight="1">
      <c r="E517" s="319"/>
      <c r="F517" s="319"/>
      <c r="W517" s="348"/>
      <c r="AA517" s="319"/>
    </row>
    <row r="518" spans="5:27" ht="14.25" customHeight="1">
      <c r="E518" s="319"/>
      <c r="F518" s="319"/>
      <c r="W518" s="348"/>
      <c r="AA518" s="319"/>
    </row>
    <row r="519" spans="5:27" ht="14.25" customHeight="1">
      <c r="E519" s="319"/>
      <c r="F519" s="319"/>
      <c r="W519" s="348"/>
      <c r="AA519" s="319"/>
    </row>
    <row r="520" spans="5:27" ht="14.25" customHeight="1">
      <c r="E520" s="319"/>
      <c r="F520" s="319"/>
      <c r="W520" s="348"/>
      <c r="AA520" s="319"/>
    </row>
    <row r="521" spans="5:27" ht="14.25" customHeight="1">
      <c r="E521" s="319"/>
      <c r="F521" s="319"/>
      <c r="W521" s="348"/>
      <c r="AA521" s="319"/>
    </row>
    <row r="522" spans="5:27" ht="14.25" customHeight="1">
      <c r="E522" s="319"/>
      <c r="F522" s="319"/>
      <c r="W522" s="348"/>
      <c r="AA522" s="319"/>
    </row>
    <row r="523" spans="5:27" ht="14.25" customHeight="1">
      <c r="E523" s="319"/>
      <c r="F523" s="319"/>
      <c r="W523" s="348"/>
      <c r="AA523" s="319"/>
    </row>
    <row r="524" spans="5:27" ht="14.25" customHeight="1">
      <c r="E524" s="319"/>
      <c r="F524" s="319"/>
      <c r="W524" s="348"/>
      <c r="AA524" s="319"/>
    </row>
    <row r="525" spans="5:27" ht="14.25" customHeight="1">
      <c r="E525" s="319"/>
      <c r="F525" s="319"/>
      <c r="W525" s="348"/>
      <c r="AA525" s="319"/>
    </row>
    <row r="526" spans="5:27" ht="14.25" customHeight="1">
      <c r="E526" s="319"/>
      <c r="F526" s="319"/>
      <c r="W526" s="348"/>
      <c r="AA526" s="319"/>
    </row>
    <row r="527" spans="5:27" ht="14.25" customHeight="1">
      <c r="E527" s="319"/>
      <c r="F527" s="319"/>
      <c r="W527" s="348"/>
      <c r="AA527" s="319"/>
    </row>
    <row r="528" spans="5:27" ht="14.25" customHeight="1">
      <c r="E528" s="319"/>
      <c r="F528" s="319"/>
      <c r="W528" s="348"/>
      <c r="AA528" s="319"/>
    </row>
    <row r="529" spans="5:27" ht="14.25" customHeight="1">
      <c r="E529" s="319"/>
      <c r="F529" s="319"/>
      <c r="W529" s="348"/>
      <c r="AA529" s="319"/>
    </row>
    <row r="530" spans="5:27" ht="14.25" customHeight="1">
      <c r="E530" s="319"/>
      <c r="F530" s="319"/>
      <c r="W530" s="348"/>
      <c r="AA530" s="319"/>
    </row>
    <row r="531" spans="5:27" ht="14.25" customHeight="1">
      <c r="E531" s="319"/>
      <c r="F531" s="319"/>
      <c r="W531" s="348"/>
      <c r="AA531" s="319"/>
    </row>
    <row r="532" spans="5:27" ht="14.25" customHeight="1">
      <c r="E532" s="319"/>
      <c r="F532" s="319"/>
      <c r="W532" s="348"/>
      <c r="AA532" s="319"/>
    </row>
    <row r="533" spans="5:27" ht="14.25" customHeight="1">
      <c r="E533" s="319"/>
      <c r="F533" s="319"/>
      <c r="W533" s="348"/>
      <c r="AA533" s="319"/>
    </row>
    <row r="534" spans="5:27" ht="14.25" customHeight="1">
      <c r="E534" s="319"/>
      <c r="F534" s="319"/>
      <c r="W534" s="348"/>
      <c r="AA534" s="319"/>
    </row>
    <row r="535" spans="5:27" ht="14.25" customHeight="1">
      <c r="E535" s="319"/>
      <c r="F535" s="319"/>
      <c r="W535" s="348"/>
      <c r="AA535" s="319"/>
    </row>
    <row r="536" spans="5:27" ht="14.25" customHeight="1">
      <c r="E536" s="319"/>
      <c r="F536" s="319"/>
      <c r="W536" s="348"/>
      <c r="AA536" s="319"/>
    </row>
    <row r="537" spans="5:27" ht="14.25" customHeight="1">
      <c r="E537" s="319"/>
      <c r="F537" s="319"/>
      <c r="W537" s="348"/>
      <c r="AA537" s="319"/>
    </row>
    <row r="538" spans="5:27" ht="14.25" customHeight="1">
      <c r="E538" s="319"/>
      <c r="F538" s="319"/>
      <c r="W538" s="348"/>
      <c r="AA538" s="319"/>
    </row>
    <row r="539" spans="5:27" ht="14.25" customHeight="1">
      <c r="E539" s="319"/>
      <c r="F539" s="319"/>
      <c r="W539" s="348"/>
      <c r="AA539" s="319"/>
    </row>
    <row r="540" spans="5:27" ht="14.25" customHeight="1">
      <c r="E540" s="319"/>
      <c r="F540" s="319"/>
      <c r="W540" s="348"/>
      <c r="AA540" s="319"/>
    </row>
    <row r="541" spans="5:27" ht="14.25" customHeight="1">
      <c r="E541" s="319"/>
      <c r="F541" s="319"/>
      <c r="W541" s="348"/>
      <c r="AA541" s="319"/>
    </row>
    <row r="542" spans="5:27" ht="14.25" customHeight="1">
      <c r="E542" s="319"/>
      <c r="F542" s="319"/>
      <c r="W542" s="348"/>
      <c r="AA542" s="319"/>
    </row>
    <row r="543" spans="5:27" ht="14.25" customHeight="1">
      <c r="E543" s="319"/>
      <c r="F543" s="319"/>
      <c r="W543" s="348"/>
      <c r="AA543" s="319"/>
    </row>
    <row r="544" spans="5:27" ht="14.25" customHeight="1">
      <c r="E544" s="319"/>
      <c r="F544" s="319"/>
      <c r="W544" s="348"/>
      <c r="AA544" s="319"/>
    </row>
    <row r="545" spans="5:27" ht="14.25" customHeight="1">
      <c r="E545" s="319"/>
      <c r="F545" s="319"/>
      <c r="W545" s="348"/>
      <c r="AA545" s="319"/>
    </row>
    <row r="546" spans="5:27" ht="14.25" customHeight="1">
      <c r="E546" s="319"/>
      <c r="F546" s="319"/>
      <c r="W546" s="348"/>
      <c r="AA546" s="319"/>
    </row>
    <row r="547" spans="5:27" ht="14.25" customHeight="1">
      <c r="E547" s="319"/>
      <c r="F547" s="319"/>
      <c r="W547" s="348"/>
      <c r="AA547" s="319"/>
    </row>
    <row r="548" spans="5:27" ht="14.25" customHeight="1">
      <c r="E548" s="319"/>
      <c r="F548" s="319"/>
      <c r="W548" s="348"/>
      <c r="AA548" s="319"/>
    </row>
    <row r="549" spans="5:27" ht="14.25" customHeight="1">
      <c r="E549" s="319"/>
      <c r="F549" s="319"/>
      <c r="W549" s="348"/>
      <c r="AA549" s="319"/>
    </row>
    <row r="550" spans="5:27" ht="14.25" customHeight="1">
      <c r="E550" s="319"/>
      <c r="F550" s="319"/>
      <c r="W550" s="348"/>
      <c r="AA550" s="319"/>
    </row>
    <row r="551" spans="5:27" ht="14.25" customHeight="1">
      <c r="E551" s="319"/>
      <c r="F551" s="319"/>
      <c r="W551" s="348"/>
      <c r="AA551" s="319"/>
    </row>
    <row r="552" spans="5:27" ht="14.25" customHeight="1">
      <c r="E552" s="319"/>
      <c r="F552" s="319"/>
      <c r="W552" s="348"/>
      <c r="AA552" s="319"/>
    </row>
    <row r="553" spans="5:27" ht="14.25" customHeight="1">
      <c r="E553" s="319"/>
      <c r="F553" s="319"/>
      <c r="W553" s="348"/>
      <c r="AA553" s="319"/>
    </row>
    <row r="554" spans="5:27" ht="14.25" customHeight="1">
      <c r="E554" s="319"/>
      <c r="F554" s="319"/>
      <c r="W554" s="348"/>
      <c r="AA554" s="319"/>
    </row>
    <row r="555" spans="5:27" ht="14.25" customHeight="1">
      <c r="E555" s="319"/>
      <c r="F555" s="319"/>
      <c r="W555" s="348"/>
      <c r="AA555" s="319"/>
    </row>
    <row r="556" spans="5:27" ht="14.25" customHeight="1">
      <c r="E556" s="319"/>
      <c r="F556" s="319"/>
      <c r="W556" s="348"/>
      <c r="AA556" s="319"/>
    </row>
    <row r="557" spans="5:27" ht="14.25" customHeight="1">
      <c r="E557" s="319"/>
      <c r="F557" s="319"/>
      <c r="W557" s="348"/>
      <c r="AA557" s="319"/>
    </row>
    <row r="558" spans="5:27" ht="14.25" customHeight="1">
      <c r="E558" s="319"/>
      <c r="F558" s="319"/>
      <c r="W558" s="348"/>
      <c r="AA558" s="319"/>
    </row>
    <row r="559" spans="5:27" ht="14.25" customHeight="1">
      <c r="E559" s="319"/>
      <c r="F559" s="319"/>
      <c r="W559" s="348"/>
      <c r="AA559" s="319"/>
    </row>
    <row r="560" spans="5:27" ht="14.25" customHeight="1">
      <c r="E560" s="319"/>
      <c r="F560" s="319"/>
      <c r="W560" s="348"/>
      <c r="AA560" s="319"/>
    </row>
    <row r="561" spans="5:27" ht="14.25" customHeight="1">
      <c r="E561" s="319"/>
      <c r="F561" s="319"/>
      <c r="W561" s="348"/>
      <c r="AA561" s="319"/>
    </row>
    <row r="562" spans="5:27" ht="14.25" customHeight="1">
      <c r="E562" s="319"/>
      <c r="F562" s="319"/>
      <c r="W562" s="348"/>
      <c r="AA562" s="319"/>
    </row>
    <row r="563" spans="5:27" ht="14.25" customHeight="1">
      <c r="E563" s="319"/>
      <c r="F563" s="319"/>
      <c r="W563" s="348"/>
      <c r="AA563" s="319"/>
    </row>
    <row r="564" spans="5:27" ht="14.25" customHeight="1">
      <c r="E564" s="319"/>
      <c r="F564" s="319"/>
      <c r="W564" s="348"/>
      <c r="AA564" s="319"/>
    </row>
    <row r="565" spans="5:27" ht="14.25" customHeight="1">
      <c r="E565" s="319"/>
      <c r="F565" s="319"/>
      <c r="W565" s="348"/>
      <c r="AA565" s="319"/>
    </row>
    <row r="566" spans="5:27" ht="14.25" customHeight="1">
      <c r="E566" s="319"/>
      <c r="F566" s="319"/>
      <c r="W566" s="348"/>
      <c r="AA566" s="319"/>
    </row>
    <row r="567" spans="5:27" ht="14.25" customHeight="1">
      <c r="E567" s="319"/>
      <c r="F567" s="319"/>
      <c r="W567" s="348"/>
      <c r="AA567" s="319"/>
    </row>
    <row r="568" spans="5:27" ht="14.25" customHeight="1">
      <c r="E568" s="319"/>
      <c r="F568" s="319"/>
      <c r="W568" s="348"/>
      <c r="AA568" s="319"/>
    </row>
    <row r="569" spans="5:27" ht="14.25" customHeight="1">
      <c r="E569" s="319"/>
      <c r="F569" s="319"/>
      <c r="W569" s="348"/>
      <c r="AA569" s="319"/>
    </row>
    <row r="570" spans="5:27" ht="14.25" customHeight="1">
      <c r="E570" s="319"/>
      <c r="F570" s="319"/>
      <c r="W570" s="348"/>
      <c r="AA570" s="319"/>
    </row>
    <row r="571" spans="5:27" ht="14.25" customHeight="1">
      <c r="E571" s="319"/>
      <c r="F571" s="319"/>
      <c r="W571" s="348"/>
      <c r="AA571" s="319"/>
    </row>
    <row r="572" spans="5:27" ht="14.25" customHeight="1">
      <c r="E572" s="319"/>
      <c r="F572" s="319"/>
      <c r="W572" s="348"/>
      <c r="AA572" s="319"/>
    </row>
    <row r="573" spans="5:27" ht="14.25" customHeight="1">
      <c r="E573" s="319"/>
      <c r="F573" s="319"/>
      <c r="W573" s="348"/>
      <c r="AA573" s="319"/>
    </row>
    <row r="574" spans="5:27" ht="14.25" customHeight="1">
      <c r="E574" s="319"/>
      <c r="F574" s="319"/>
      <c r="W574" s="348"/>
      <c r="AA574" s="319"/>
    </row>
    <row r="575" spans="5:27" ht="14.25" customHeight="1">
      <c r="E575" s="319"/>
      <c r="F575" s="319"/>
      <c r="W575" s="348"/>
      <c r="AA575" s="319"/>
    </row>
    <row r="576" spans="5:27" ht="14.25" customHeight="1">
      <c r="E576" s="319"/>
      <c r="F576" s="319"/>
      <c r="W576" s="348"/>
      <c r="AA576" s="319"/>
    </row>
    <row r="577" spans="5:27" ht="14.25" customHeight="1">
      <c r="E577" s="319"/>
      <c r="F577" s="319"/>
      <c r="W577" s="348"/>
      <c r="AA577" s="319"/>
    </row>
    <row r="578" spans="5:27" ht="14.25" customHeight="1">
      <c r="E578" s="319"/>
      <c r="F578" s="319"/>
      <c r="W578" s="348"/>
      <c r="AA578" s="319"/>
    </row>
    <row r="579" spans="5:27" ht="14.25" customHeight="1">
      <c r="E579" s="319"/>
      <c r="F579" s="319"/>
      <c r="W579" s="348"/>
      <c r="AA579" s="319"/>
    </row>
    <row r="580" spans="5:27" ht="14.25" customHeight="1">
      <c r="E580" s="319"/>
      <c r="F580" s="319"/>
      <c r="W580" s="348"/>
      <c r="AA580" s="319"/>
    </row>
    <row r="581" spans="5:27" ht="14.25" customHeight="1">
      <c r="E581" s="319"/>
      <c r="F581" s="319"/>
      <c r="W581" s="348"/>
      <c r="AA581" s="319"/>
    </row>
    <row r="582" spans="5:27" ht="14.25" customHeight="1">
      <c r="E582" s="319"/>
      <c r="F582" s="319"/>
      <c r="W582" s="348"/>
      <c r="AA582" s="319"/>
    </row>
    <row r="583" spans="5:27" ht="14.25" customHeight="1">
      <c r="E583" s="319"/>
      <c r="F583" s="319"/>
      <c r="W583" s="348"/>
      <c r="AA583" s="319"/>
    </row>
    <row r="584" spans="5:27" ht="14.25" customHeight="1">
      <c r="E584" s="319"/>
      <c r="F584" s="319"/>
      <c r="W584" s="348"/>
      <c r="AA584" s="319"/>
    </row>
    <row r="585" spans="5:27" ht="14.25" customHeight="1">
      <c r="E585" s="319"/>
      <c r="F585" s="319"/>
      <c r="W585" s="348"/>
      <c r="AA585" s="319"/>
    </row>
    <row r="586" spans="5:27" ht="14.25" customHeight="1">
      <c r="E586" s="319"/>
      <c r="F586" s="319"/>
      <c r="W586" s="348"/>
      <c r="AA586" s="319"/>
    </row>
    <row r="587" spans="5:27" ht="14.25" customHeight="1">
      <c r="E587" s="319"/>
      <c r="F587" s="319"/>
      <c r="W587" s="348"/>
      <c r="AA587" s="319"/>
    </row>
    <row r="588" spans="5:27" ht="14.25" customHeight="1">
      <c r="E588" s="319"/>
      <c r="F588" s="319"/>
      <c r="W588" s="348"/>
      <c r="AA588" s="319"/>
    </row>
    <row r="589" spans="5:27" ht="14.25" customHeight="1">
      <c r="E589" s="319"/>
      <c r="F589" s="319"/>
      <c r="W589" s="348"/>
      <c r="AA589" s="319"/>
    </row>
    <row r="590" spans="5:27" ht="14.25" customHeight="1">
      <c r="E590" s="319"/>
      <c r="F590" s="319"/>
      <c r="W590" s="348"/>
      <c r="AA590" s="319"/>
    </row>
    <row r="591" spans="5:27" ht="14.25" customHeight="1">
      <c r="E591" s="319"/>
      <c r="F591" s="319"/>
      <c r="W591" s="348"/>
      <c r="AA591" s="319"/>
    </row>
    <row r="592" spans="5:27" ht="14.25" customHeight="1">
      <c r="E592" s="319"/>
      <c r="F592" s="319"/>
      <c r="W592" s="348"/>
      <c r="AA592" s="319"/>
    </row>
    <row r="593" spans="5:27" ht="14.25" customHeight="1">
      <c r="E593" s="319"/>
      <c r="F593" s="319"/>
      <c r="W593" s="348"/>
      <c r="AA593" s="319"/>
    </row>
    <row r="594" spans="5:27" ht="14.25" customHeight="1">
      <c r="E594" s="319"/>
      <c r="F594" s="319"/>
      <c r="W594" s="348"/>
      <c r="AA594" s="319"/>
    </row>
    <row r="595" spans="5:27" ht="14.25" customHeight="1">
      <c r="E595" s="319"/>
      <c r="F595" s="319"/>
      <c r="W595" s="348"/>
      <c r="AA595" s="319"/>
    </row>
    <row r="596" spans="5:27" ht="14.25" customHeight="1">
      <c r="E596" s="319"/>
      <c r="F596" s="319"/>
      <c r="W596" s="348"/>
      <c r="AA596" s="319"/>
    </row>
    <row r="597" spans="5:27" ht="14.25" customHeight="1">
      <c r="E597" s="319"/>
      <c r="F597" s="319"/>
      <c r="W597" s="348"/>
      <c r="AA597" s="319"/>
    </row>
    <row r="598" spans="5:27" ht="14.25" customHeight="1">
      <c r="E598" s="319"/>
      <c r="F598" s="319"/>
      <c r="W598" s="348"/>
      <c r="AA598" s="319"/>
    </row>
    <row r="599" spans="5:27" ht="14.25" customHeight="1">
      <c r="E599" s="319"/>
      <c r="F599" s="319"/>
      <c r="W599" s="348"/>
      <c r="AA599" s="319"/>
    </row>
    <row r="600" spans="5:27" ht="14.25" customHeight="1">
      <c r="E600" s="319"/>
      <c r="F600" s="319"/>
      <c r="W600" s="348"/>
      <c r="AA600" s="319"/>
    </row>
    <row r="601" spans="5:27" ht="14.25" customHeight="1">
      <c r="E601" s="319"/>
      <c r="F601" s="319"/>
      <c r="W601" s="348"/>
      <c r="AA601" s="319"/>
    </row>
    <row r="602" spans="5:27" ht="14.25" customHeight="1">
      <c r="E602" s="319"/>
      <c r="F602" s="319"/>
      <c r="W602" s="348"/>
      <c r="AA602" s="319"/>
    </row>
    <row r="603" spans="5:27" ht="14.25" customHeight="1">
      <c r="E603" s="319"/>
      <c r="F603" s="319"/>
      <c r="W603" s="348"/>
      <c r="AA603" s="319"/>
    </row>
    <row r="604" spans="5:27" ht="14.25" customHeight="1">
      <c r="E604" s="319"/>
      <c r="F604" s="319"/>
      <c r="W604" s="348"/>
      <c r="AA604" s="319"/>
    </row>
    <row r="605" spans="5:27" ht="14.25" customHeight="1">
      <c r="E605" s="319"/>
      <c r="F605" s="319"/>
      <c r="W605" s="348"/>
      <c r="AA605" s="319"/>
    </row>
    <row r="606" spans="5:27" ht="14.25" customHeight="1">
      <c r="E606" s="319"/>
      <c r="F606" s="319"/>
      <c r="W606" s="348"/>
      <c r="AA606" s="319"/>
    </row>
    <row r="607" spans="5:27" ht="14.25" customHeight="1">
      <c r="E607" s="319"/>
      <c r="F607" s="319"/>
      <c r="W607" s="348"/>
      <c r="AA607" s="319"/>
    </row>
    <row r="608" spans="5:27" ht="14.25" customHeight="1">
      <c r="E608" s="319"/>
      <c r="F608" s="319"/>
      <c r="W608" s="348"/>
      <c r="AA608" s="319"/>
    </row>
    <row r="609" spans="5:27" ht="14.25" customHeight="1">
      <c r="E609" s="319"/>
      <c r="F609" s="319"/>
      <c r="W609" s="348"/>
      <c r="AA609" s="319"/>
    </row>
    <row r="610" spans="5:27" ht="14.25" customHeight="1">
      <c r="E610" s="319"/>
      <c r="F610" s="319"/>
      <c r="W610" s="348"/>
      <c r="AA610" s="319"/>
    </row>
    <row r="611" spans="5:27" ht="14.25" customHeight="1">
      <c r="E611" s="319"/>
      <c r="F611" s="319"/>
      <c r="W611" s="348"/>
      <c r="AA611" s="319"/>
    </row>
    <row r="612" spans="5:27" ht="14.25" customHeight="1">
      <c r="E612" s="319"/>
      <c r="F612" s="319"/>
      <c r="W612" s="348"/>
      <c r="AA612" s="319"/>
    </row>
    <row r="613" spans="5:27" ht="14.25" customHeight="1">
      <c r="E613" s="319"/>
      <c r="F613" s="319"/>
      <c r="W613" s="348"/>
      <c r="AA613" s="319"/>
    </row>
    <row r="614" spans="5:27" ht="14.25" customHeight="1">
      <c r="E614" s="319"/>
      <c r="F614" s="319"/>
      <c r="W614" s="348"/>
      <c r="AA614" s="319"/>
    </row>
    <row r="615" spans="5:27" ht="14.25" customHeight="1">
      <c r="E615" s="319"/>
      <c r="F615" s="319"/>
      <c r="W615" s="348"/>
      <c r="AA615" s="319"/>
    </row>
    <row r="616" spans="5:27" ht="14.25" customHeight="1">
      <c r="E616" s="319"/>
      <c r="F616" s="319"/>
      <c r="W616" s="348"/>
      <c r="AA616" s="319"/>
    </row>
    <row r="617" spans="5:27" ht="14.25" customHeight="1">
      <c r="E617" s="319"/>
      <c r="F617" s="319"/>
      <c r="W617" s="348"/>
      <c r="AA617" s="319"/>
    </row>
    <row r="618" spans="5:27" ht="14.25" customHeight="1">
      <c r="E618" s="319"/>
      <c r="F618" s="319"/>
      <c r="W618" s="348"/>
      <c r="AA618" s="319"/>
    </row>
    <row r="619" spans="5:27" ht="14.25" customHeight="1">
      <c r="E619" s="319"/>
      <c r="F619" s="319"/>
      <c r="W619" s="348"/>
      <c r="AA619" s="319"/>
    </row>
    <row r="620" spans="5:27" ht="14.25" customHeight="1">
      <c r="E620" s="319"/>
      <c r="F620" s="319"/>
      <c r="W620" s="348"/>
      <c r="AA620" s="319"/>
    </row>
    <row r="621" spans="5:27" ht="14.25" customHeight="1">
      <c r="E621" s="319"/>
      <c r="F621" s="319"/>
      <c r="W621" s="348"/>
      <c r="AA621" s="319"/>
    </row>
    <row r="622" spans="5:27" ht="14.25" customHeight="1">
      <c r="E622" s="319"/>
      <c r="F622" s="319"/>
      <c r="W622" s="348"/>
      <c r="AA622" s="319"/>
    </row>
    <row r="623" spans="5:27" ht="14.25" customHeight="1">
      <c r="E623" s="319"/>
      <c r="F623" s="319"/>
      <c r="W623" s="348"/>
      <c r="AA623" s="319"/>
    </row>
    <row r="624" spans="5:27" ht="14.25" customHeight="1">
      <c r="E624" s="319"/>
      <c r="F624" s="319"/>
      <c r="W624" s="348"/>
      <c r="AA624" s="319"/>
    </row>
    <row r="625" spans="5:27" ht="14.25" customHeight="1">
      <c r="E625" s="319"/>
      <c r="F625" s="319"/>
      <c r="W625" s="348"/>
      <c r="AA625" s="319"/>
    </row>
    <row r="626" spans="5:27" ht="14.25" customHeight="1">
      <c r="E626" s="319"/>
      <c r="F626" s="319"/>
      <c r="W626" s="348"/>
      <c r="AA626" s="319"/>
    </row>
    <row r="627" spans="5:27" ht="14.25" customHeight="1">
      <c r="E627" s="319"/>
      <c r="F627" s="319"/>
      <c r="W627" s="348"/>
      <c r="AA627" s="319"/>
    </row>
    <row r="628" spans="5:27" ht="14.25" customHeight="1">
      <c r="E628" s="319"/>
      <c r="F628" s="319"/>
      <c r="W628" s="348"/>
      <c r="AA628" s="319"/>
    </row>
    <row r="629" spans="5:27" ht="14.25" customHeight="1">
      <c r="E629" s="319"/>
      <c r="F629" s="319"/>
      <c r="W629" s="348"/>
      <c r="AA629" s="319"/>
    </row>
    <row r="630" spans="5:27" ht="14.25" customHeight="1">
      <c r="E630" s="319"/>
      <c r="F630" s="319"/>
      <c r="W630" s="348"/>
      <c r="AA630" s="319"/>
    </row>
    <row r="631" spans="5:27" ht="14.25" customHeight="1">
      <c r="E631" s="319"/>
      <c r="F631" s="319"/>
      <c r="W631" s="348"/>
      <c r="AA631" s="319"/>
    </row>
    <row r="632" spans="5:27" ht="14.25" customHeight="1">
      <c r="E632" s="319"/>
      <c r="F632" s="319"/>
      <c r="W632" s="348"/>
      <c r="AA632" s="319"/>
    </row>
    <row r="633" spans="5:27" ht="14.25" customHeight="1">
      <c r="E633" s="319"/>
      <c r="F633" s="319"/>
      <c r="W633" s="348"/>
      <c r="AA633" s="319"/>
    </row>
    <row r="634" spans="5:27" ht="14.25" customHeight="1">
      <c r="E634" s="319"/>
      <c r="F634" s="319"/>
      <c r="W634" s="348"/>
      <c r="AA634" s="319"/>
    </row>
    <row r="635" spans="5:27" ht="14.25" customHeight="1">
      <c r="E635" s="319"/>
      <c r="F635" s="319"/>
      <c r="W635" s="348"/>
      <c r="AA635" s="319"/>
    </row>
    <row r="636" spans="5:27" ht="14.25" customHeight="1">
      <c r="E636" s="319"/>
      <c r="F636" s="319"/>
      <c r="W636" s="348"/>
      <c r="AA636" s="319"/>
    </row>
    <row r="637" spans="5:27" ht="14.25" customHeight="1">
      <c r="E637" s="319"/>
      <c r="F637" s="319"/>
      <c r="W637" s="348"/>
      <c r="AA637" s="319"/>
    </row>
    <row r="638" spans="5:27" ht="14.25" customHeight="1">
      <c r="E638" s="319"/>
      <c r="F638" s="319"/>
      <c r="W638" s="348"/>
      <c r="AA638" s="319"/>
    </row>
    <row r="639" spans="5:27" ht="14.25" customHeight="1">
      <c r="E639" s="319"/>
      <c r="F639" s="319"/>
      <c r="W639" s="348"/>
      <c r="AA639" s="319"/>
    </row>
    <row r="640" spans="5:27" ht="14.25" customHeight="1">
      <c r="E640" s="319"/>
      <c r="F640" s="319"/>
      <c r="W640" s="348"/>
      <c r="AA640" s="319"/>
    </row>
    <row r="641" spans="5:27" ht="14.25" customHeight="1">
      <c r="E641" s="319"/>
      <c r="F641" s="319"/>
      <c r="W641" s="348"/>
      <c r="AA641" s="319"/>
    </row>
    <row r="642" spans="5:27" ht="14.25" customHeight="1">
      <c r="E642" s="319"/>
      <c r="F642" s="319"/>
      <c r="W642" s="348"/>
      <c r="AA642" s="319"/>
    </row>
    <row r="643" spans="5:27" ht="14.25" customHeight="1">
      <c r="E643" s="319"/>
      <c r="F643" s="319"/>
      <c r="W643" s="348"/>
      <c r="AA643" s="319"/>
    </row>
    <row r="644" spans="5:27" ht="14.25" customHeight="1">
      <c r="E644" s="319"/>
      <c r="F644" s="319"/>
      <c r="W644" s="348"/>
      <c r="AA644" s="319"/>
    </row>
    <row r="645" spans="5:27" ht="14.25" customHeight="1">
      <c r="E645" s="319"/>
      <c r="F645" s="319"/>
      <c r="W645" s="348"/>
      <c r="AA645" s="319"/>
    </row>
    <row r="646" spans="5:27" ht="14.25" customHeight="1">
      <c r="E646" s="319"/>
      <c r="F646" s="319"/>
      <c r="W646" s="348"/>
      <c r="AA646" s="319"/>
    </row>
    <row r="647" spans="5:27" ht="14.25" customHeight="1">
      <c r="E647" s="319"/>
      <c r="F647" s="319"/>
      <c r="W647" s="348"/>
      <c r="AA647" s="319"/>
    </row>
    <row r="648" spans="5:27" ht="14.25" customHeight="1">
      <c r="E648" s="319"/>
      <c r="F648" s="319"/>
      <c r="W648" s="348"/>
      <c r="AA648" s="319"/>
    </row>
    <row r="649" spans="5:27" ht="14.25" customHeight="1">
      <c r="E649" s="319"/>
      <c r="F649" s="319"/>
      <c r="W649" s="348"/>
      <c r="AA649" s="319"/>
    </row>
    <row r="650" spans="5:27" ht="14.25" customHeight="1">
      <c r="E650" s="319"/>
      <c r="F650" s="319"/>
      <c r="W650" s="348"/>
      <c r="AA650" s="319"/>
    </row>
    <row r="651" spans="5:27" ht="14.25" customHeight="1">
      <c r="E651" s="319"/>
      <c r="F651" s="319"/>
      <c r="W651" s="348"/>
      <c r="AA651" s="319"/>
    </row>
    <row r="652" spans="5:27" ht="14.25" customHeight="1">
      <c r="E652" s="319"/>
      <c r="F652" s="319"/>
      <c r="W652" s="348"/>
      <c r="AA652" s="319"/>
    </row>
    <row r="653" spans="5:27" ht="14.25" customHeight="1">
      <c r="E653" s="319"/>
      <c r="F653" s="319"/>
      <c r="W653" s="348"/>
      <c r="AA653" s="319"/>
    </row>
    <row r="654" spans="5:27" ht="14.25" customHeight="1">
      <c r="E654" s="319"/>
      <c r="F654" s="319"/>
      <c r="W654" s="348"/>
      <c r="AA654" s="319"/>
    </row>
    <row r="655" spans="5:27" ht="14.25" customHeight="1">
      <c r="E655" s="319"/>
      <c r="F655" s="319"/>
      <c r="W655" s="348"/>
      <c r="AA655" s="319"/>
    </row>
    <row r="656" spans="5:27" ht="14.25" customHeight="1">
      <c r="E656" s="319"/>
      <c r="F656" s="319"/>
      <c r="W656" s="348"/>
      <c r="AA656" s="319"/>
    </row>
    <row r="657" spans="5:27" ht="14.25" customHeight="1">
      <c r="E657" s="319"/>
      <c r="F657" s="319"/>
      <c r="W657" s="348"/>
      <c r="AA657" s="319"/>
    </row>
    <row r="658" spans="5:27" ht="14.25" customHeight="1">
      <c r="E658" s="319"/>
      <c r="F658" s="319"/>
      <c r="W658" s="348"/>
      <c r="AA658" s="319"/>
    </row>
    <row r="659" spans="5:27" ht="14.25" customHeight="1">
      <c r="E659" s="319"/>
      <c r="F659" s="319"/>
      <c r="W659" s="348"/>
      <c r="AA659" s="319"/>
    </row>
    <row r="660" spans="5:27" ht="14.25" customHeight="1">
      <c r="E660" s="319"/>
      <c r="F660" s="319"/>
      <c r="W660" s="348"/>
      <c r="AA660" s="319"/>
    </row>
    <row r="661" spans="5:27" ht="14.25" customHeight="1">
      <c r="E661" s="319"/>
      <c r="F661" s="319"/>
      <c r="W661" s="348"/>
      <c r="AA661" s="319"/>
    </row>
    <row r="662" spans="5:27" ht="14.25" customHeight="1">
      <c r="E662" s="319"/>
      <c r="F662" s="319"/>
      <c r="W662" s="348"/>
      <c r="AA662" s="319"/>
    </row>
    <row r="663" spans="5:27" ht="14.25" customHeight="1">
      <c r="E663" s="319"/>
      <c r="F663" s="319"/>
      <c r="W663" s="348"/>
      <c r="AA663" s="319"/>
    </row>
    <row r="664" spans="5:27" ht="14.25" customHeight="1">
      <c r="E664" s="319"/>
      <c r="F664" s="319"/>
      <c r="W664" s="348"/>
      <c r="AA664" s="319"/>
    </row>
    <row r="665" spans="5:27" ht="14.25" customHeight="1">
      <c r="E665" s="319"/>
      <c r="F665" s="319"/>
      <c r="W665" s="348"/>
      <c r="AA665" s="319"/>
    </row>
    <row r="666" spans="5:27" ht="14.25" customHeight="1">
      <c r="E666" s="319"/>
      <c r="F666" s="319"/>
      <c r="W666" s="348"/>
      <c r="AA666" s="319"/>
    </row>
    <row r="667" spans="5:27" ht="14.25" customHeight="1">
      <c r="E667" s="319"/>
      <c r="F667" s="319"/>
      <c r="W667" s="348"/>
      <c r="AA667" s="319"/>
    </row>
    <row r="668" spans="5:27" ht="14.25" customHeight="1">
      <c r="E668" s="319"/>
      <c r="F668" s="319"/>
      <c r="W668" s="348"/>
      <c r="AA668" s="319"/>
    </row>
    <row r="669" spans="5:27" ht="14.25" customHeight="1">
      <c r="E669" s="319"/>
      <c r="F669" s="319"/>
      <c r="W669" s="348"/>
      <c r="AA669" s="319"/>
    </row>
    <row r="670" spans="5:27" ht="14.25" customHeight="1">
      <c r="E670" s="319"/>
      <c r="F670" s="319"/>
      <c r="W670" s="348"/>
      <c r="AA670" s="319"/>
    </row>
    <row r="671" spans="5:27" ht="14.25" customHeight="1">
      <c r="E671" s="319"/>
      <c r="F671" s="319"/>
      <c r="W671" s="348"/>
      <c r="AA671" s="319"/>
    </row>
    <row r="672" spans="5:27" ht="14.25" customHeight="1">
      <c r="E672" s="319"/>
      <c r="F672" s="319"/>
      <c r="W672" s="348"/>
      <c r="AA672" s="319"/>
    </row>
    <row r="673" spans="5:27" ht="14.25" customHeight="1">
      <c r="E673" s="319"/>
      <c r="F673" s="319"/>
      <c r="W673" s="348"/>
      <c r="AA673" s="319"/>
    </row>
    <row r="674" spans="5:27" ht="14.25" customHeight="1">
      <c r="E674" s="319"/>
      <c r="F674" s="319"/>
      <c r="W674" s="348"/>
      <c r="AA674" s="319"/>
    </row>
    <row r="675" spans="5:27" ht="14.25" customHeight="1">
      <c r="E675" s="319"/>
      <c r="F675" s="319"/>
      <c r="W675" s="348"/>
      <c r="AA675" s="319"/>
    </row>
    <row r="676" spans="5:27" ht="14.25" customHeight="1">
      <c r="E676" s="319"/>
      <c r="F676" s="319"/>
      <c r="W676" s="348"/>
      <c r="AA676" s="319"/>
    </row>
    <row r="677" spans="5:27" ht="14.25" customHeight="1">
      <c r="E677" s="319"/>
      <c r="F677" s="319"/>
      <c r="W677" s="348"/>
      <c r="AA677" s="319"/>
    </row>
    <row r="678" spans="5:27" ht="14.25" customHeight="1">
      <c r="E678" s="319"/>
      <c r="F678" s="319"/>
      <c r="W678" s="348"/>
      <c r="AA678" s="319"/>
    </row>
    <row r="679" spans="5:27" ht="14.25" customHeight="1">
      <c r="E679" s="319"/>
      <c r="F679" s="319"/>
      <c r="W679" s="348"/>
      <c r="AA679" s="319"/>
    </row>
    <row r="680" spans="5:27" ht="14.25" customHeight="1">
      <c r="E680" s="319"/>
      <c r="F680" s="319"/>
      <c r="W680" s="348"/>
      <c r="AA680" s="319"/>
    </row>
    <row r="681" spans="5:27" ht="14.25" customHeight="1">
      <c r="E681" s="319"/>
      <c r="F681" s="319"/>
      <c r="W681" s="348"/>
      <c r="AA681" s="319"/>
    </row>
    <row r="682" spans="5:27" ht="14.25" customHeight="1">
      <c r="E682" s="319"/>
      <c r="F682" s="319"/>
      <c r="W682" s="348"/>
      <c r="AA682" s="319"/>
    </row>
    <row r="683" spans="5:27" ht="14.25" customHeight="1">
      <c r="E683" s="319"/>
      <c r="F683" s="319"/>
      <c r="W683" s="348"/>
      <c r="AA683" s="319"/>
    </row>
    <row r="684" spans="5:27" ht="14.25" customHeight="1">
      <c r="E684" s="319"/>
      <c r="F684" s="319"/>
      <c r="W684" s="348"/>
      <c r="AA684" s="319"/>
    </row>
    <row r="685" spans="5:27" ht="14.25" customHeight="1">
      <c r="E685" s="319"/>
      <c r="F685" s="319"/>
      <c r="W685" s="348"/>
      <c r="AA685" s="319"/>
    </row>
    <row r="686" spans="5:27" ht="14.25" customHeight="1">
      <c r="E686" s="319"/>
      <c r="F686" s="319"/>
      <c r="W686" s="348"/>
      <c r="AA686" s="319"/>
    </row>
    <row r="687" spans="5:27" ht="14.25" customHeight="1">
      <c r="E687" s="319"/>
      <c r="F687" s="319"/>
      <c r="W687" s="348"/>
      <c r="AA687" s="319"/>
    </row>
    <row r="688" spans="5:27" ht="14.25" customHeight="1">
      <c r="E688" s="319"/>
      <c r="F688" s="319"/>
      <c r="W688" s="348"/>
      <c r="AA688" s="319"/>
    </row>
    <row r="689" spans="5:27" ht="14.25" customHeight="1">
      <c r="E689" s="319"/>
      <c r="F689" s="319"/>
      <c r="W689" s="348"/>
      <c r="AA689" s="319"/>
    </row>
    <row r="690" spans="5:27" ht="14.25" customHeight="1">
      <c r="E690" s="319"/>
      <c r="F690" s="319"/>
      <c r="W690" s="348"/>
      <c r="AA690" s="319"/>
    </row>
    <row r="691" spans="5:27" ht="14.25" customHeight="1">
      <c r="E691" s="319"/>
      <c r="F691" s="319"/>
      <c r="W691" s="348"/>
      <c r="AA691" s="319"/>
    </row>
    <row r="692" spans="5:27" ht="14.25" customHeight="1">
      <c r="E692" s="319"/>
      <c r="F692" s="319"/>
      <c r="W692" s="348"/>
      <c r="AA692" s="319"/>
    </row>
    <row r="693" spans="5:27" ht="14.25" customHeight="1">
      <c r="E693" s="319"/>
      <c r="F693" s="319"/>
      <c r="W693" s="348"/>
      <c r="AA693" s="319"/>
    </row>
    <row r="694" spans="5:27" ht="14.25" customHeight="1">
      <c r="E694" s="319"/>
      <c r="F694" s="319"/>
      <c r="W694" s="348"/>
      <c r="AA694" s="319"/>
    </row>
    <row r="695" spans="5:27" ht="14.25" customHeight="1">
      <c r="E695" s="319"/>
      <c r="F695" s="319"/>
      <c r="W695" s="348"/>
      <c r="AA695" s="319"/>
    </row>
    <row r="696" spans="5:27" ht="14.25" customHeight="1">
      <c r="E696" s="319"/>
      <c r="F696" s="319"/>
      <c r="W696" s="348"/>
      <c r="AA696" s="319"/>
    </row>
    <row r="697" spans="5:27" ht="14.25" customHeight="1">
      <c r="E697" s="319"/>
      <c r="F697" s="319"/>
      <c r="W697" s="348"/>
      <c r="AA697" s="319"/>
    </row>
    <row r="698" spans="5:27" ht="14.25" customHeight="1">
      <c r="E698" s="319"/>
      <c r="F698" s="319"/>
      <c r="W698" s="348"/>
      <c r="AA698" s="319"/>
    </row>
    <row r="699" spans="5:27" ht="14.25" customHeight="1">
      <c r="E699" s="319"/>
      <c r="F699" s="319"/>
      <c r="W699" s="348"/>
      <c r="AA699" s="319"/>
    </row>
    <row r="700" spans="5:27" ht="14.25" customHeight="1">
      <c r="E700" s="319"/>
      <c r="F700" s="319"/>
      <c r="W700" s="348"/>
      <c r="AA700" s="319"/>
    </row>
    <row r="701" spans="5:27" ht="14.25" customHeight="1">
      <c r="E701" s="319"/>
      <c r="F701" s="319"/>
      <c r="W701" s="348"/>
      <c r="AA701" s="319"/>
    </row>
    <row r="702" spans="5:27" ht="14.25" customHeight="1">
      <c r="E702" s="319"/>
      <c r="F702" s="319"/>
      <c r="W702" s="348"/>
      <c r="AA702" s="319"/>
    </row>
    <row r="703" spans="5:27" ht="14.25" customHeight="1">
      <c r="E703" s="319"/>
      <c r="F703" s="319"/>
      <c r="W703" s="348"/>
      <c r="AA703" s="319"/>
    </row>
    <row r="704" spans="5:27" ht="14.25" customHeight="1">
      <c r="E704" s="319"/>
      <c r="F704" s="319"/>
      <c r="W704" s="348"/>
      <c r="AA704" s="319"/>
    </row>
    <row r="705" spans="5:27" ht="14.25" customHeight="1">
      <c r="E705" s="319"/>
      <c r="F705" s="319"/>
      <c r="W705" s="348"/>
      <c r="AA705" s="319"/>
    </row>
    <row r="706" spans="5:27" ht="14.25" customHeight="1">
      <c r="E706" s="319"/>
      <c r="F706" s="319"/>
      <c r="W706" s="348"/>
      <c r="AA706" s="319"/>
    </row>
    <row r="707" spans="5:27" ht="14.25" customHeight="1">
      <c r="E707" s="319"/>
      <c r="F707" s="319"/>
      <c r="W707" s="348"/>
      <c r="AA707" s="319"/>
    </row>
    <row r="708" spans="5:27" ht="14.25" customHeight="1">
      <c r="E708" s="319"/>
      <c r="F708" s="319"/>
      <c r="W708" s="348"/>
      <c r="AA708" s="319"/>
    </row>
    <row r="709" spans="5:27" ht="14.25" customHeight="1">
      <c r="E709" s="319"/>
      <c r="F709" s="319"/>
      <c r="W709" s="348"/>
      <c r="AA709" s="319"/>
    </row>
    <row r="710" spans="5:27" ht="14.25" customHeight="1">
      <c r="E710" s="319"/>
      <c r="F710" s="319"/>
      <c r="W710" s="348"/>
      <c r="AA710" s="319"/>
    </row>
    <row r="711" spans="5:27" ht="14.25" customHeight="1">
      <c r="E711" s="319"/>
      <c r="F711" s="319"/>
      <c r="W711" s="348"/>
      <c r="AA711" s="319"/>
    </row>
    <row r="712" spans="5:27" ht="14.25" customHeight="1">
      <c r="E712" s="319"/>
      <c r="F712" s="319"/>
      <c r="W712" s="348"/>
      <c r="AA712" s="319"/>
    </row>
    <row r="713" spans="5:27" ht="14.25" customHeight="1">
      <c r="E713" s="319"/>
      <c r="F713" s="319"/>
      <c r="W713" s="348"/>
      <c r="AA713" s="319"/>
    </row>
    <row r="714" spans="5:27" ht="14.25" customHeight="1">
      <c r="E714" s="319"/>
      <c r="F714" s="319"/>
      <c r="W714" s="348"/>
      <c r="AA714" s="319"/>
    </row>
    <row r="715" spans="5:27" ht="14.25" customHeight="1">
      <c r="E715" s="319"/>
      <c r="F715" s="319"/>
      <c r="W715" s="348"/>
      <c r="AA715" s="319"/>
    </row>
    <row r="716" spans="5:27" ht="14.25" customHeight="1">
      <c r="E716" s="319"/>
      <c r="F716" s="319"/>
      <c r="W716" s="348"/>
      <c r="AA716" s="319"/>
    </row>
    <row r="717" spans="5:27" ht="14.25" customHeight="1">
      <c r="E717" s="319"/>
      <c r="F717" s="319"/>
      <c r="W717" s="348"/>
      <c r="AA717" s="319"/>
    </row>
    <row r="718" spans="5:27" ht="14.25" customHeight="1">
      <c r="E718" s="319"/>
      <c r="F718" s="319"/>
      <c r="W718" s="348"/>
      <c r="AA718" s="319"/>
    </row>
    <row r="719" spans="5:27" ht="14.25" customHeight="1">
      <c r="E719" s="319"/>
      <c r="F719" s="319"/>
      <c r="W719" s="348"/>
      <c r="AA719" s="319"/>
    </row>
    <row r="720" spans="5:27" ht="14.25" customHeight="1">
      <c r="E720" s="319"/>
      <c r="F720" s="319"/>
      <c r="W720" s="348"/>
      <c r="AA720" s="319"/>
    </row>
    <row r="721" spans="5:27" ht="14.25" customHeight="1">
      <c r="E721" s="319"/>
      <c r="F721" s="319"/>
      <c r="W721" s="348"/>
      <c r="AA721" s="319"/>
    </row>
    <row r="722" spans="5:27" ht="14.25" customHeight="1">
      <c r="E722" s="319"/>
      <c r="F722" s="319"/>
      <c r="W722" s="348"/>
      <c r="AA722" s="319"/>
    </row>
    <row r="723" spans="5:27" ht="14.25" customHeight="1">
      <c r="E723" s="319"/>
      <c r="F723" s="319"/>
      <c r="W723" s="348"/>
      <c r="AA723" s="319"/>
    </row>
    <row r="724" spans="5:27" ht="14.25" customHeight="1">
      <c r="E724" s="319"/>
      <c r="F724" s="319"/>
      <c r="W724" s="348"/>
      <c r="AA724" s="319"/>
    </row>
    <row r="725" spans="5:27" ht="14.25" customHeight="1">
      <c r="E725" s="319"/>
      <c r="F725" s="319"/>
      <c r="W725" s="348"/>
      <c r="AA725" s="319"/>
    </row>
    <row r="726" spans="5:27" ht="14.25" customHeight="1">
      <c r="E726" s="319"/>
      <c r="F726" s="319"/>
      <c r="W726" s="348"/>
      <c r="AA726" s="319"/>
    </row>
    <row r="727" spans="5:27" ht="14.25" customHeight="1">
      <c r="E727" s="319"/>
      <c r="F727" s="319"/>
      <c r="W727" s="348"/>
      <c r="AA727" s="319"/>
    </row>
    <row r="728" spans="5:27" ht="14.25" customHeight="1">
      <c r="E728" s="319"/>
      <c r="F728" s="319"/>
      <c r="W728" s="348"/>
      <c r="AA728" s="319"/>
    </row>
    <row r="729" spans="5:27" ht="14.25" customHeight="1">
      <c r="E729" s="319"/>
      <c r="F729" s="319"/>
      <c r="W729" s="348"/>
      <c r="AA729" s="319"/>
    </row>
    <row r="730" spans="5:27" ht="14.25" customHeight="1">
      <c r="E730" s="319"/>
      <c r="F730" s="319"/>
      <c r="W730" s="348"/>
      <c r="AA730" s="319"/>
    </row>
    <row r="731" spans="5:27" ht="14.25" customHeight="1">
      <c r="E731" s="319"/>
      <c r="F731" s="319"/>
      <c r="W731" s="348"/>
      <c r="AA731" s="319"/>
    </row>
    <row r="732" spans="5:27" ht="14.25" customHeight="1">
      <c r="E732" s="319"/>
      <c r="F732" s="319"/>
      <c r="W732" s="348"/>
      <c r="AA732" s="319"/>
    </row>
    <row r="733" spans="5:27" ht="14.25" customHeight="1">
      <c r="E733" s="319"/>
      <c r="F733" s="319"/>
      <c r="W733" s="348"/>
      <c r="AA733" s="319"/>
    </row>
    <row r="734" spans="5:27" ht="14.25" customHeight="1">
      <c r="E734" s="319"/>
      <c r="F734" s="319"/>
      <c r="W734" s="348"/>
      <c r="AA734" s="319"/>
    </row>
    <row r="735" spans="5:27" ht="14.25" customHeight="1">
      <c r="E735" s="319"/>
      <c r="F735" s="319"/>
      <c r="W735" s="348"/>
      <c r="AA735" s="319"/>
    </row>
    <row r="736" spans="5:27" ht="14.25" customHeight="1">
      <c r="E736" s="319"/>
      <c r="F736" s="319"/>
      <c r="W736" s="348"/>
      <c r="AA736" s="319"/>
    </row>
    <row r="737" spans="5:27" ht="14.25" customHeight="1">
      <c r="E737" s="319"/>
      <c r="F737" s="319"/>
      <c r="W737" s="348"/>
      <c r="AA737" s="319"/>
    </row>
    <row r="738" spans="5:27" ht="14.25" customHeight="1">
      <c r="E738" s="319"/>
      <c r="F738" s="319"/>
      <c r="W738" s="348"/>
      <c r="AA738" s="319"/>
    </row>
    <row r="739" spans="5:27" ht="14.25" customHeight="1">
      <c r="E739" s="319"/>
      <c r="F739" s="319"/>
      <c r="W739" s="348"/>
      <c r="AA739" s="319"/>
    </row>
    <row r="740" spans="5:27" ht="14.25" customHeight="1">
      <c r="E740" s="319"/>
      <c r="F740" s="319"/>
      <c r="W740" s="348"/>
      <c r="AA740" s="319"/>
    </row>
    <row r="741" spans="5:27" ht="14.25" customHeight="1">
      <c r="E741" s="319"/>
      <c r="F741" s="319"/>
      <c r="W741" s="348"/>
      <c r="AA741" s="319"/>
    </row>
    <row r="742" spans="5:27" ht="14.25" customHeight="1">
      <c r="E742" s="319"/>
      <c r="F742" s="319"/>
      <c r="W742" s="348"/>
      <c r="AA742" s="319"/>
    </row>
    <row r="743" spans="5:27" ht="14.25" customHeight="1">
      <c r="E743" s="319"/>
      <c r="F743" s="319"/>
      <c r="W743" s="348"/>
      <c r="AA743" s="319"/>
    </row>
    <row r="744" spans="5:27" ht="14.25" customHeight="1">
      <c r="E744" s="319"/>
      <c r="F744" s="319"/>
      <c r="W744" s="348"/>
      <c r="AA744" s="319"/>
    </row>
    <row r="745" spans="5:27" ht="14.25" customHeight="1">
      <c r="E745" s="319"/>
      <c r="F745" s="319"/>
      <c r="W745" s="348"/>
      <c r="AA745" s="319"/>
    </row>
    <row r="746" spans="5:27" ht="14.25" customHeight="1">
      <c r="E746" s="319"/>
      <c r="F746" s="319"/>
      <c r="W746" s="348"/>
      <c r="AA746" s="319"/>
    </row>
    <row r="747" spans="5:27" ht="14.25" customHeight="1">
      <c r="E747" s="319"/>
      <c r="F747" s="319"/>
      <c r="W747" s="348"/>
      <c r="AA747" s="319"/>
    </row>
    <row r="748" spans="5:27" ht="14.25" customHeight="1">
      <c r="E748" s="319"/>
      <c r="F748" s="319"/>
      <c r="W748" s="348"/>
      <c r="AA748" s="319"/>
    </row>
    <row r="749" spans="5:27" ht="14.25" customHeight="1">
      <c r="E749" s="319"/>
      <c r="F749" s="319"/>
      <c r="W749" s="348"/>
      <c r="AA749" s="319"/>
    </row>
    <row r="750" spans="5:27" ht="14.25" customHeight="1">
      <c r="E750" s="319"/>
      <c r="F750" s="319"/>
      <c r="W750" s="348"/>
      <c r="AA750" s="319"/>
    </row>
    <row r="751" spans="5:27" ht="14.25" customHeight="1">
      <c r="E751" s="319"/>
      <c r="F751" s="319"/>
      <c r="W751" s="348"/>
      <c r="AA751" s="319"/>
    </row>
    <row r="752" spans="5:27" ht="14.25" customHeight="1">
      <c r="E752" s="319"/>
      <c r="F752" s="319"/>
      <c r="W752" s="348"/>
      <c r="AA752" s="319"/>
    </row>
    <row r="753" spans="5:27" ht="14.25" customHeight="1">
      <c r="E753" s="319"/>
      <c r="F753" s="319"/>
      <c r="W753" s="348"/>
      <c r="AA753" s="319"/>
    </row>
    <row r="754" spans="5:27" ht="14.25" customHeight="1">
      <c r="E754" s="319"/>
      <c r="F754" s="319"/>
      <c r="W754" s="348"/>
      <c r="AA754" s="319"/>
    </row>
    <row r="755" spans="5:27" ht="14.25" customHeight="1">
      <c r="E755" s="319"/>
      <c r="F755" s="319"/>
      <c r="W755" s="348"/>
      <c r="AA755" s="319"/>
    </row>
    <row r="756" spans="5:27" ht="14.25" customHeight="1">
      <c r="E756" s="319"/>
      <c r="F756" s="319"/>
      <c r="W756" s="348"/>
      <c r="AA756" s="319"/>
    </row>
    <row r="757" spans="5:27" ht="14.25" customHeight="1">
      <c r="E757" s="319"/>
      <c r="F757" s="319"/>
      <c r="W757" s="348"/>
      <c r="AA757" s="319"/>
    </row>
    <row r="758" spans="5:27" ht="14.25" customHeight="1">
      <c r="E758" s="319"/>
      <c r="F758" s="319"/>
      <c r="W758" s="348"/>
      <c r="AA758" s="319"/>
    </row>
    <row r="759" spans="5:27" ht="14.25" customHeight="1">
      <c r="E759" s="319"/>
      <c r="F759" s="319"/>
      <c r="W759" s="348"/>
      <c r="AA759" s="319"/>
    </row>
    <row r="760" spans="5:27" ht="14.25" customHeight="1">
      <c r="E760" s="319"/>
      <c r="F760" s="319"/>
      <c r="W760" s="348"/>
      <c r="AA760" s="319"/>
    </row>
    <row r="761" spans="5:27" ht="14.25" customHeight="1">
      <c r="E761" s="319"/>
      <c r="F761" s="319"/>
      <c r="W761" s="348"/>
      <c r="AA761" s="319"/>
    </row>
    <row r="762" spans="5:27" ht="14.25" customHeight="1">
      <c r="E762" s="319"/>
      <c r="F762" s="319"/>
      <c r="W762" s="348"/>
      <c r="AA762" s="319"/>
    </row>
    <row r="763" spans="5:27" ht="14.25" customHeight="1">
      <c r="E763" s="319"/>
      <c r="F763" s="319"/>
      <c r="W763" s="348"/>
      <c r="AA763" s="319"/>
    </row>
    <row r="764" spans="5:27" ht="14.25" customHeight="1">
      <c r="E764" s="319"/>
      <c r="F764" s="319"/>
      <c r="W764" s="348"/>
      <c r="AA764" s="319"/>
    </row>
    <row r="765" spans="5:27" ht="14.25" customHeight="1">
      <c r="E765" s="319"/>
      <c r="F765" s="319"/>
      <c r="W765" s="348"/>
      <c r="AA765" s="319"/>
    </row>
    <row r="766" spans="5:27" ht="14.25" customHeight="1">
      <c r="E766" s="319"/>
      <c r="F766" s="319"/>
      <c r="W766" s="348"/>
      <c r="AA766" s="319"/>
    </row>
    <row r="767" spans="5:27" ht="14.25" customHeight="1">
      <c r="E767" s="319"/>
      <c r="F767" s="319"/>
      <c r="W767" s="348"/>
      <c r="AA767" s="319"/>
    </row>
    <row r="768" spans="5:27" ht="14.25" customHeight="1">
      <c r="E768" s="319"/>
      <c r="F768" s="319"/>
      <c r="W768" s="348"/>
      <c r="AA768" s="319"/>
    </row>
    <row r="769" spans="5:27" ht="14.25" customHeight="1">
      <c r="E769" s="319"/>
      <c r="F769" s="319"/>
      <c r="W769" s="348"/>
      <c r="AA769" s="319"/>
    </row>
    <row r="770" spans="5:27" ht="14.25" customHeight="1">
      <c r="E770" s="319"/>
      <c r="F770" s="319"/>
      <c r="W770" s="348"/>
      <c r="AA770" s="319"/>
    </row>
    <row r="771" spans="5:27" ht="14.25" customHeight="1">
      <c r="E771" s="319"/>
      <c r="F771" s="319"/>
      <c r="W771" s="348"/>
      <c r="AA771" s="319"/>
    </row>
    <row r="772" spans="5:27" ht="14.25" customHeight="1">
      <c r="E772" s="319"/>
      <c r="F772" s="319"/>
      <c r="W772" s="348"/>
      <c r="AA772" s="319"/>
    </row>
    <row r="773" spans="5:27" ht="14.25" customHeight="1">
      <c r="E773" s="319"/>
      <c r="F773" s="319"/>
      <c r="W773" s="348"/>
      <c r="AA773" s="319"/>
    </row>
    <row r="774" spans="5:27" ht="14.25" customHeight="1">
      <c r="E774" s="319"/>
      <c r="F774" s="319"/>
      <c r="W774" s="348"/>
      <c r="AA774" s="319"/>
    </row>
    <row r="775" spans="5:27" ht="14.25" customHeight="1">
      <c r="E775" s="319"/>
      <c r="F775" s="319"/>
      <c r="W775" s="348"/>
      <c r="AA775" s="319"/>
    </row>
    <row r="776" spans="5:27" ht="14.25" customHeight="1">
      <c r="E776" s="319"/>
      <c r="F776" s="319"/>
      <c r="W776" s="348"/>
      <c r="AA776" s="319"/>
    </row>
    <row r="777" spans="5:27" ht="14.25" customHeight="1">
      <c r="E777" s="319"/>
      <c r="F777" s="319"/>
      <c r="W777" s="348"/>
      <c r="AA777" s="319"/>
    </row>
    <row r="778" spans="5:27" ht="14.25" customHeight="1">
      <c r="E778" s="319"/>
      <c r="F778" s="319"/>
      <c r="W778" s="348"/>
      <c r="AA778" s="319"/>
    </row>
    <row r="779" spans="5:27" ht="14.25" customHeight="1">
      <c r="E779" s="319"/>
      <c r="F779" s="319"/>
      <c r="W779" s="348"/>
      <c r="AA779" s="319"/>
    </row>
    <row r="780" spans="5:27" ht="14.25" customHeight="1">
      <c r="E780" s="319"/>
      <c r="F780" s="319"/>
      <c r="W780" s="348"/>
      <c r="AA780" s="319"/>
    </row>
    <row r="781" spans="5:27" ht="14.25" customHeight="1">
      <c r="E781" s="319"/>
      <c r="F781" s="319"/>
      <c r="W781" s="348"/>
      <c r="AA781" s="319"/>
    </row>
    <row r="782" spans="5:27" ht="14.25" customHeight="1">
      <c r="E782" s="319"/>
      <c r="F782" s="319"/>
      <c r="W782" s="348"/>
      <c r="AA782" s="319"/>
    </row>
    <row r="783" spans="5:27" ht="14.25" customHeight="1">
      <c r="E783" s="319"/>
      <c r="F783" s="319"/>
      <c r="W783" s="348"/>
      <c r="AA783" s="319"/>
    </row>
    <row r="784" spans="5:27" ht="14.25" customHeight="1">
      <c r="E784" s="319"/>
      <c r="F784" s="319"/>
      <c r="W784" s="348"/>
      <c r="AA784" s="319"/>
    </row>
    <row r="785" spans="5:27" ht="14.25" customHeight="1">
      <c r="E785" s="319"/>
      <c r="F785" s="319"/>
      <c r="W785" s="348"/>
      <c r="AA785" s="319"/>
    </row>
    <row r="786" spans="5:27" ht="14.25" customHeight="1">
      <c r="E786" s="319"/>
      <c r="F786" s="319"/>
      <c r="W786" s="348"/>
      <c r="AA786" s="319"/>
    </row>
    <row r="787" spans="5:27" ht="14.25" customHeight="1">
      <c r="E787" s="319"/>
      <c r="F787" s="319"/>
      <c r="W787" s="348"/>
      <c r="AA787" s="319"/>
    </row>
    <row r="788" spans="5:27" ht="14.25" customHeight="1">
      <c r="E788" s="319"/>
      <c r="F788" s="319"/>
      <c r="W788" s="348"/>
      <c r="AA788" s="319"/>
    </row>
    <row r="789" spans="5:27" ht="14.25" customHeight="1">
      <c r="E789" s="319"/>
      <c r="F789" s="319"/>
      <c r="W789" s="348"/>
      <c r="AA789" s="319"/>
    </row>
    <row r="790" spans="5:27" ht="14.25" customHeight="1">
      <c r="E790" s="319"/>
      <c r="F790" s="319"/>
      <c r="W790" s="348"/>
      <c r="AA790" s="319"/>
    </row>
    <row r="791" spans="5:27" ht="14.25" customHeight="1">
      <c r="E791" s="319"/>
      <c r="F791" s="319"/>
      <c r="W791" s="348"/>
      <c r="AA791" s="319"/>
    </row>
    <row r="792" spans="5:27" ht="14.25" customHeight="1">
      <c r="E792" s="319"/>
      <c r="F792" s="319"/>
      <c r="W792" s="348"/>
      <c r="AA792" s="319"/>
    </row>
    <row r="793" spans="5:27" ht="14.25" customHeight="1">
      <c r="E793" s="319"/>
      <c r="F793" s="319"/>
      <c r="W793" s="348"/>
      <c r="AA793" s="319"/>
    </row>
    <row r="794" spans="5:27" ht="14.25" customHeight="1">
      <c r="E794" s="319"/>
      <c r="F794" s="319"/>
      <c r="W794" s="348"/>
      <c r="AA794" s="319"/>
    </row>
    <row r="795" spans="5:27" ht="14.25" customHeight="1">
      <c r="E795" s="319"/>
      <c r="F795" s="319"/>
      <c r="W795" s="348"/>
      <c r="AA795" s="319"/>
    </row>
    <row r="796" spans="5:27" ht="14.25" customHeight="1">
      <c r="E796" s="319"/>
      <c r="F796" s="319"/>
      <c r="W796" s="348"/>
      <c r="AA796" s="319"/>
    </row>
    <row r="797" spans="5:27" ht="14.25" customHeight="1">
      <c r="E797" s="319"/>
      <c r="F797" s="319"/>
      <c r="W797" s="348"/>
      <c r="AA797" s="319"/>
    </row>
    <row r="798" spans="5:27" ht="14.25" customHeight="1">
      <c r="E798" s="319"/>
      <c r="F798" s="319"/>
      <c r="W798" s="348"/>
      <c r="AA798" s="319"/>
    </row>
    <row r="799" spans="5:27" ht="14.25" customHeight="1">
      <c r="E799" s="319"/>
      <c r="F799" s="319"/>
      <c r="W799" s="348"/>
      <c r="AA799" s="319"/>
    </row>
    <row r="800" spans="5:27" ht="14.25" customHeight="1">
      <c r="E800" s="319"/>
      <c r="F800" s="319"/>
      <c r="W800" s="348"/>
      <c r="AA800" s="319"/>
    </row>
    <row r="801" spans="5:27" ht="14.25" customHeight="1">
      <c r="E801" s="319"/>
      <c r="F801" s="319"/>
      <c r="W801" s="348"/>
      <c r="AA801" s="319"/>
    </row>
    <row r="802" spans="5:27" ht="14.25" customHeight="1">
      <c r="E802" s="319"/>
      <c r="F802" s="319"/>
      <c r="W802" s="348"/>
      <c r="AA802" s="319"/>
    </row>
    <row r="803" spans="5:27" ht="14.25" customHeight="1">
      <c r="E803" s="319"/>
      <c r="F803" s="319"/>
      <c r="W803" s="348"/>
      <c r="AA803" s="319"/>
    </row>
    <row r="804" spans="5:27" ht="14.25" customHeight="1">
      <c r="E804" s="319"/>
      <c r="F804" s="319"/>
      <c r="W804" s="348"/>
      <c r="AA804" s="319"/>
    </row>
    <row r="805" spans="5:27" ht="14.25" customHeight="1">
      <c r="E805" s="319"/>
      <c r="F805" s="319"/>
      <c r="W805" s="348"/>
      <c r="AA805" s="319"/>
    </row>
    <row r="806" spans="5:27" ht="14.25" customHeight="1">
      <c r="E806" s="319"/>
      <c r="F806" s="319"/>
      <c r="W806" s="348"/>
      <c r="AA806" s="319"/>
    </row>
    <row r="807" spans="5:27" ht="14.25" customHeight="1">
      <c r="E807" s="319"/>
      <c r="F807" s="319"/>
      <c r="W807" s="348"/>
      <c r="AA807" s="319"/>
    </row>
    <row r="808" spans="5:27" ht="14.25" customHeight="1">
      <c r="E808" s="319"/>
      <c r="F808" s="319"/>
      <c r="W808" s="348"/>
      <c r="AA808" s="319"/>
    </row>
    <row r="809" spans="5:27" ht="14.25" customHeight="1">
      <c r="E809" s="319"/>
      <c r="F809" s="319"/>
      <c r="W809" s="348"/>
      <c r="AA809" s="319"/>
    </row>
    <row r="810" spans="5:27" ht="14.25" customHeight="1">
      <c r="E810" s="319"/>
      <c r="F810" s="319"/>
      <c r="W810" s="348"/>
      <c r="AA810" s="319"/>
    </row>
    <row r="811" spans="5:27" ht="14.25" customHeight="1">
      <c r="E811" s="319"/>
      <c r="F811" s="319"/>
      <c r="W811" s="348"/>
      <c r="AA811" s="319"/>
    </row>
    <row r="812" spans="5:27" ht="14.25" customHeight="1">
      <c r="E812" s="319"/>
      <c r="F812" s="319"/>
      <c r="W812" s="348"/>
      <c r="AA812" s="319"/>
    </row>
    <row r="813" spans="5:27" ht="14.25" customHeight="1">
      <c r="E813" s="319"/>
      <c r="F813" s="319"/>
      <c r="W813" s="348"/>
      <c r="AA813" s="319"/>
    </row>
    <row r="814" spans="5:27" ht="14.25" customHeight="1">
      <c r="E814" s="319"/>
      <c r="F814" s="319"/>
      <c r="W814" s="348"/>
      <c r="AA814" s="319"/>
    </row>
    <row r="815" spans="5:27" ht="14.25" customHeight="1">
      <c r="E815" s="319"/>
      <c r="F815" s="319"/>
      <c r="W815" s="348"/>
      <c r="AA815" s="319"/>
    </row>
    <row r="816" spans="5:27" ht="14.25" customHeight="1">
      <c r="E816" s="319"/>
      <c r="F816" s="319"/>
      <c r="W816" s="348"/>
      <c r="AA816" s="319"/>
    </row>
    <row r="817" spans="5:27" ht="14.25" customHeight="1">
      <c r="E817" s="319"/>
      <c r="F817" s="319"/>
      <c r="W817" s="348"/>
      <c r="AA817" s="319"/>
    </row>
    <row r="818" spans="5:27" ht="14.25" customHeight="1">
      <c r="E818" s="319"/>
      <c r="F818" s="319"/>
      <c r="W818" s="348"/>
      <c r="AA818" s="319"/>
    </row>
    <row r="819" spans="5:27" ht="14.25" customHeight="1">
      <c r="E819" s="319"/>
      <c r="F819" s="319"/>
      <c r="W819" s="348"/>
      <c r="AA819" s="319"/>
    </row>
    <row r="820" spans="5:27" ht="14.25" customHeight="1">
      <c r="E820" s="319"/>
      <c r="F820" s="319"/>
      <c r="W820" s="348"/>
      <c r="AA820" s="319"/>
    </row>
    <row r="821" spans="5:27" ht="14.25" customHeight="1">
      <c r="E821" s="319"/>
      <c r="F821" s="319"/>
      <c r="W821" s="348"/>
      <c r="AA821" s="319"/>
    </row>
    <row r="822" spans="5:27" ht="14.25" customHeight="1">
      <c r="E822" s="319"/>
      <c r="F822" s="319"/>
      <c r="W822" s="348"/>
      <c r="AA822" s="319"/>
    </row>
    <row r="823" spans="5:27" ht="14.25" customHeight="1">
      <c r="E823" s="319"/>
      <c r="F823" s="319"/>
      <c r="W823" s="348"/>
      <c r="AA823" s="319"/>
    </row>
    <row r="824" spans="5:27" ht="14.25" customHeight="1">
      <c r="E824" s="319"/>
      <c r="F824" s="319"/>
      <c r="W824" s="348"/>
      <c r="AA824" s="319"/>
    </row>
    <row r="825" spans="5:27" ht="14.25" customHeight="1">
      <c r="E825" s="319"/>
      <c r="F825" s="319"/>
      <c r="W825" s="348"/>
      <c r="AA825" s="319"/>
    </row>
    <row r="826" spans="5:27" ht="14.25" customHeight="1">
      <c r="E826" s="319"/>
      <c r="F826" s="319"/>
      <c r="W826" s="348"/>
      <c r="AA826" s="319"/>
    </row>
    <row r="827" spans="5:27" ht="14.25" customHeight="1">
      <c r="E827" s="319"/>
      <c r="F827" s="319"/>
      <c r="W827" s="348"/>
      <c r="AA827" s="319"/>
    </row>
    <row r="828" spans="5:27" ht="14.25" customHeight="1">
      <c r="E828" s="319"/>
      <c r="F828" s="319"/>
      <c r="W828" s="348"/>
      <c r="AA828" s="319"/>
    </row>
    <row r="829" spans="5:27" ht="14.25" customHeight="1">
      <c r="E829" s="319"/>
      <c r="F829" s="319"/>
      <c r="W829" s="348"/>
      <c r="AA829" s="319"/>
    </row>
    <row r="830" spans="5:27" ht="14.25" customHeight="1">
      <c r="E830" s="319"/>
      <c r="F830" s="319"/>
      <c r="W830" s="348"/>
      <c r="AA830" s="319"/>
    </row>
    <row r="831" spans="5:27" ht="14.25" customHeight="1">
      <c r="E831" s="319"/>
      <c r="F831" s="319"/>
      <c r="W831" s="348"/>
      <c r="AA831" s="319"/>
    </row>
    <row r="832" spans="5:27" ht="14.25" customHeight="1">
      <c r="E832" s="319"/>
      <c r="F832" s="319"/>
      <c r="W832" s="348"/>
      <c r="AA832" s="319"/>
    </row>
    <row r="833" spans="5:27" ht="14.25" customHeight="1">
      <c r="E833" s="319"/>
      <c r="F833" s="319"/>
      <c r="W833" s="348"/>
      <c r="AA833" s="319"/>
    </row>
    <row r="834" spans="5:27" ht="14.25" customHeight="1">
      <c r="E834" s="319"/>
      <c r="F834" s="319"/>
      <c r="W834" s="348"/>
      <c r="AA834" s="319"/>
    </row>
    <row r="835" spans="5:27" ht="14.25" customHeight="1">
      <c r="E835" s="319"/>
      <c r="F835" s="319"/>
      <c r="W835" s="348"/>
      <c r="AA835" s="319"/>
    </row>
    <row r="836" spans="5:27" ht="14.25" customHeight="1">
      <c r="E836" s="319"/>
      <c r="F836" s="319"/>
      <c r="W836" s="348"/>
      <c r="AA836" s="319"/>
    </row>
    <row r="837" spans="5:27" ht="14.25" customHeight="1">
      <c r="E837" s="319"/>
      <c r="F837" s="319"/>
      <c r="W837" s="348"/>
      <c r="AA837" s="319"/>
    </row>
    <row r="838" spans="5:27" ht="14.25" customHeight="1">
      <c r="E838" s="319"/>
      <c r="F838" s="319"/>
      <c r="W838" s="348"/>
      <c r="AA838" s="319"/>
    </row>
    <row r="839" spans="5:27" ht="14.25" customHeight="1">
      <c r="E839" s="319"/>
      <c r="F839" s="319"/>
      <c r="W839" s="348"/>
      <c r="AA839" s="319"/>
    </row>
    <row r="840" spans="5:27" ht="14.25" customHeight="1">
      <c r="E840" s="319"/>
      <c r="F840" s="319"/>
      <c r="W840" s="348"/>
      <c r="AA840" s="319"/>
    </row>
    <row r="841" spans="5:27" ht="14.25" customHeight="1">
      <c r="E841" s="319"/>
      <c r="F841" s="319"/>
      <c r="W841" s="348"/>
      <c r="AA841" s="319"/>
    </row>
    <row r="842" spans="5:27" ht="14.25" customHeight="1">
      <c r="E842" s="319"/>
      <c r="F842" s="319"/>
      <c r="W842" s="348"/>
      <c r="AA842" s="319"/>
    </row>
    <row r="843" spans="5:27" ht="14.25" customHeight="1">
      <c r="E843" s="319"/>
      <c r="F843" s="319"/>
      <c r="W843" s="348"/>
      <c r="AA843" s="319"/>
    </row>
    <row r="844" spans="5:27" ht="14.25" customHeight="1">
      <c r="E844" s="319"/>
      <c r="F844" s="319"/>
      <c r="W844" s="348"/>
      <c r="AA844" s="319"/>
    </row>
    <row r="845" spans="5:27" ht="14.25" customHeight="1">
      <c r="E845" s="319"/>
      <c r="F845" s="319"/>
      <c r="W845" s="348"/>
      <c r="AA845" s="319"/>
    </row>
    <row r="846" spans="5:27" ht="14.25" customHeight="1">
      <c r="E846" s="319"/>
      <c r="F846" s="319"/>
      <c r="W846" s="348"/>
      <c r="AA846" s="319"/>
    </row>
    <row r="847" spans="5:27" ht="14.25" customHeight="1">
      <c r="E847" s="319"/>
      <c r="F847" s="319"/>
      <c r="W847" s="348"/>
      <c r="AA847" s="319"/>
    </row>
    <row r="848" spans="5:27" ht="14.25" customHeight="1">
      <c r="E848" s="319"/>
      <c r="F848" s="319"/>
      <c r="W848" s="348"/>
      <c r="AA848" s="319"/>
    </row>
    <row r="849" spans="5:27" ht="14.25" customHeight="1">
      <c r="E849" s="319"/>
      <c r="F849" s="319"/>
      <c r="W849" s="348"/>
      <c r="AA849" s="319"/>
    </row>
    <row r="850" spans="5:27" ht="14.25" customHeight="1">
      <c r="E850" s="319"/>
      <c r="F850" s="319"/>
      <c r="W850" s="348"/>
      <c r="AA850" s="319"/>
    </row>
    <row r="851" spans="5:27" ht="14.25" customHeight="1">
      <c r="E851" s="319"/>
      <c r="F851" s="319"/>
      <c r="W851" s="348"/>
      <c r="AA851" s="319"/>
    </row>
    <row r="852" spans="5:27" ht="14.25" customHeight="1">
      <c r="E852" s="319"/>
      <c r="F852" s="319"/>
      <c r="W852" s="348"/>
      <c r="AA852" s="319"/>
    </row>
    <row r="853" spans="5:27" ht="14.25" customHeight="1">
      <c r="E853" s="319"/>
      <c r="F853" s="319"/>
      <c r="W853" s="348"/>
      <c r="AA853" s="319"/>
    </row>
    <row r="854" spans="5:27" ht="14.25" customHeight="1">
      <c r="E854" s="319"/>
      <c r="F854" s="319"/>
      <c r="W854" s="348"/>
      <c r="AA854" s="319"/>
    </row>
    <row r="855" spans="5:27" ht="14.25" customHeight="1">
      <c r="E855" s="319"/>
      <c r="F855" s="319"/>
      <c r="W855" s="348"/>
      <c r="AA855" s="319"/>
    </row>
    <row r="856" spans="5:27" ht="14.25" customHeight="1">
      <c r="E856" s="319"/>
      <c r="F856" s="319"/>
      <c r="W856" s="348"/>
      <c r="AA856" s="319"/>
    </row>
    <row r="857" spans="5:27" ht="14.25" customHeight="1">
      <c r="E857" s="319"/>
      <c r="F857" s="319"/>
      <c r="W857" s="348"/>
      <c r="AA857" s="319"/>
    </row>
    <row r="858" spans="5:27" ht="14.25" customHeight="1">
      <c r="E858" s="319"/>
      <c r="F858" s="319"/>
      <c r="W858" s="348"/>
      <c r="AA858" s="319"/>
    </row>
    <row r="859" spans="5:27" ht="14.25" customHeight="1">
      <c r="E859" s="319"/>
      <c r="F859" s="319"/>
      <c r="W859" s="348"/>
      <c r="AA859" s="319"/>
    </row>
    <row r="860" spans="5:27" ht="14.25" customHeight="1">
      <c r="E860" s="319"/>
      <c r="F860" s="319"/>
      <c r="W860" s="348"/>
      <c r="AA860" s="319"/>
    </row>
    <row r="861" spans="5:27" ht="14.25" customHeight="1">
      <c r="E861" s="319"/>
      <c r="F861" s="319"/>
      <c r="W861" s="348"/>
      <c r="AA861" s="319"/>
    </row>
    <row r="862" spans="5:27" ht="14.25" customHeight="1">
      <c r="E862" s="319"/>
      <c r="F862" s="319"/>
      <c r="W862" s="348"/>
      <c r="AA862" s="319"/>
    </row>
    <row r="863" spans="5:27" ht="14.25" customHeight="1">
      <c r="E863" s="319"/>
      <c r="F863" s="319"/>
      <c r="W863" s="348"/>
      <c r="AA863" s="319"/>
    </row>
    <row r="864" spans="5:27" ht="14.25" customHeight="1">
      <c r="E864" s="319"/>
      <c r="F864" s="319"/>
      <c r="W864" s="348"/>
      <c r="AA864" s="319"/>
    </row>
    <row r="865" spans="5:27" ht="14.25" customHeight="1">
      <c r="E865" s="319"/>
      <c r="F865" s="319"/>
      <c r="W865" s="348"/>
      <c r="AA865" s="319"/>
    </row>
    <row r="866" spans="5:27" ht="14.25" customHeight="1">
      <c r="E866" s="319"/>
      <c r="F866" s="319"/>
      <c r="W866" s="348"/>
      <c r="AA866" s="319"/>
    </row>
    <row r="867" spans="5:27" ht="14.25" customHeight="1">
      <c r="E867" s="319"/>
      <c r="F867" s="319"/>
      <c r="W867" s="348"/>
      <c r="AA867" s="319"/>
    </row>
    <row r="868" spans="5:27" ht="14.25" customHeight="1">
      <c r="E868" s="319"/>
      <c r="F868" s="319"/>
      <c r="W868" s="348"/>
      <c r="AA868" s="319"/>
    </row>
    <row r="869" spans="5:27" ht="14.25" customHeight="1">
      <c r="E869" s="319"/>
      <c r="F869" s="319"/>
      <c r="W869" s="348"/>
      <c r="AA869" s="319"/>
    </row>
    <row r="870" spans="5:27" ht="14.25" customHeight="1">
      <c r="E870" s="319"/>
      <c r="F870" s="319"/>
      <c r="W870" s="348"/>
      <c r="AA870" s="319"/>
    </row>
    <row r="871" spans="5:27" ht="14.25" customHeight="1">
      <c r="E871" s="319"/>
      <c r="F871" s="319"/>
      <c r="W871" s="348"/>
      <c r="AA871" s="319"/>
    </row>
    <row r="872" spans="5:27" ht="14.25" customHeight="1">
      <c r="E872" s="319"/>
      <c r="F872" s="319"/>
      <c r="W872" s="348"/>
      <c r="AA872" s="319"/>
    </row>
    <row r="873" spans="5:27" ht="14.25" customHeight="1">
      <c r="E873" s="319"/>
      <c r="F873" s="319"/>
      <c r="W873" s="348"/>
      <c r="AA873" s="319"/>
    </row>
    <row r="874" spans="5:27" ht="14.25" customHeight="1">
      <c r="E874" s="319"/>
      <c r="F874" s="319"/>
      <c r="W874" s="348"/>
      <c r="AA874" s="319"/>
    </row>
    <row r="875" spans="5:27" ht="14.25" customHeight="1">
      <c r="E875" s="319"/>
      <c r="F875" s="319"/>
      <c r="W875" s="348"/>
      <c r="AA875" s="319"/>
    </row>
    <row r="876" spans="5:27" ht="14.25" customHeight="1">
      <c r="E876" s="319"/>
      <c r="F876" s="319"/>
      <c r="W876" s="348"/>
      <c r="AA876" s="319"/>
    </row>
    <row r="877" spans="5:27" ht="14.25" customHeight="1">
      <c r="E877" s="319"/>
      <c r="F877" s="319"/>
      <c r="W877" s="348"/>
      <c r="AA877" s="319"/>
    </row>
    <row r="878" spans="5:27" ht="14.25" customHeight="1">
      <c r="E878" s="319"/>
      <c r="F878" s="319"/>
      <c r="W878" s="348"/>
      <c r="AA878" s="319"/>
    </row>
    <row r="879" spans="5:27" ht="14.25" customHeight="1">
      <c r="E879" s="319"/>
      <c r="F879" s="319"/>
      <c r="W879" s="348"/>
      <c r="AA879" s="319"/>
    </row>
    <row r="880" spans="5:27" ht="14.25" customHeight="1">
      <c r="E880" s="319"/>
      <c r="F880" s="319"/>
      <c r="W880" s="348"/>
      <c r="AA880" s="319"/>
    </row>
    <row r="881" spans="5:27" ht="14.25" customHeight="1">
      <c r="E881" s="319"/>
      <c r="F881" s="319"/>
      <c r="W881" s="348"/>
      <c r="AA881" s="319"/>
    </row>
    <row r="882" spans="5:27" ht="14.25" customHeight="1">
      <c r="E882" s="319"/>
      <c r="F882" s="319"/>
      <c r="W882" s="348"/>
      <c r="AA882" s="319"/>
    </row>
    <row r="883" spans="5:27" ht="14.25" customHeight="1">
      <c r="E883" s="319"/>
      <c r="F883" s="319"/>
      <c r="W883" s="348"/>
      <c r="AA883" s="319"/>
    </row>
    <row r="884" spans="5:27" ht="14.25" customHeight="1">
      <c r="E884" s="319"/>
      <c r="F884" s="319"/>
      <c r="W884" s="348"/>
      <c r="AA884" s="319"/>
    </row>
    <row r="885" spans="5:27" ht="14.25" customHeight="1">
      <c r="E885" s="319"/>
      <c r="F885" s="319"/>
      <c r="W885" s="348"/>
      <c r="AA885" s="319"/>
    </row>
    <row r="886" spans="5:27" ht="14.25" customHeight="1">
      <c r="E886" s="319"/>
      <c r="F886" s="319"/>
      <c r="W886" s="348"/>
      <c r="AA886" s="319"/>
    </row>
    <row r="887" spans="5:27" ht="14.25" customHeight="1">
      <c r="E887" s="319"/>
      <c r="F887" s="319"/>
      <c r="W887" s="348"/>
      <c r="AA887" s="319"/>
    </row>
    <row r="888" spans="5:27" ht="14.25" customHeight="1">
      <c r="E888" s="319"/>
      <c r="F888" s="319"/>
      <c r="W888" s="348"/>
      <c r="AA888" s="319"/>
    </row>
    <row r="889" spans="5:27" ht="14.25" customHeight="1">
      <c r="E889" s="319"/>
      <c r="F889" s="319"/>
      <c r="W889" s="348"/>
      <c r="AA889" s="319"/>
    </row>
    <row r="890" spans="5:27" ht="14.25" customHeight="1">
      <c r="E890" s="319"/>
      <c r="F890" s="319"/>
      <c r="W890" s="348"/>
      <c r="AA890" s="319"/>
    </row>
    <row r="891" spans="5:27" ht="14.25" customHeight="1">
      <c r="E891" s="319"/>
      <c r="F891" s="319"/>
      <c r="W891" s="348"/>
      <c r="AA891" s="319"/>
    </row>
    <row r="892" spans="5:27" ht="14.25" customHeight="1">
      <c r="E892" s="319"/>
      <c r="F892" s="319"/>
      <c r="W892" s="348"/>
      <c r="AA892" s="319"/>
    </row>
    <row r="893" spans="5:27" ht="14.25" customHeight="1">
      <c r="E893" s="319"/>
      <c r="F893" s="319"/>
      <c r="W893" s="348"/>
      <c r="AA893" s="319"/>
    </row>
    <row r="894" spans="5:27" ht="14.25" customHeight="1">
      <c r="E894" s="319"/>
      <c r="F894" s="319"/>
      <c r="W894" s="348"/>
      <c r="AA894" s="319"/>
    </row>
    <row r="895" spans="5:27" ht="14.25" customHeight="1">
      <c r="E895" s="319"/>
      <c r="F895" s="319"/>
      <c r="W895" s="348"/>
      <c r="AA895" s="319"/>
    </row>
    <row r="896" spans="5:27" ht="14.25" customHeight="1">
      <c r="E896" s="319"/>
      <c r="F896" s="319"/>
      <c r="W896" s="348"/>
      <c r="AA896" s="319"/>
    </row>
    <row r="897" spans="5:27" ht="14.25" customHeight="1">
      <c r="E897" s="319"/>
      <c r="F897" s="319"/>
      <c r="W897" s="348"/>
      <c r="AA897" s="319"/>
    </row>
    <row r="898" spans="5:27" ht="14.25" customHeight="1">
      <c r="E898" s="319"/>
      <c r="F898" s="319"/>
      <c r="W898" s="348"/>
      <c r="AA898" s="319"/>
    </row>
    <row r="899" spans="5:27" ht="14.25" customHeight="1">
      <c r="E899" s="319"/>
      <c r="F899" s="319"/>
      <c r="W899" s="348"/>
      <c r="AA899" s="319"/>
    </row>
    <row r="900" spans="5:27" ht="14.25" customHeight="1">
      <c r="E900" s="319"/>
      <c r="F900" s="319"/>
      <c r="W900" s="348"/>
      <c r="AA900" s="319"/>
    </row>
    <row r="901" spans="5:27" ht="14.25" customHeight="1">
      <c r="E901" s="319"/>
      <c r="F901" s="319"/>
      <c r="W901" s="348"/>
      <c r="AA901" s="319"/>
    </row>
    <row r="902" spans="5:27" ht="14.25" customHeight="1">
      <c r="E902" s="319"/>
      <c r="F902" s="319"/>
      <c r="W902" s="348"/>
      <c r="AA902" s="319"/>
    </row>
    <row r="903" spans="5:27" ht="14.25" customHeight="1">
      <c r="E903" s="319"/>
      <c r="F903" s="319"/>
      <c r="W903" s="348"/>
      <c r="AA903" s="319"/>
    </row>
    <row r="904" spans="5:27" ht="14.25" customHeight="1">
      <c r="E904" s="319"/>
      <c r="F904" s="319"/>
      <c r="W904" s="348"/>
      <c r="AA904" s="319"/>
    </row>
    <row r="905" spans="5:27" ht="14.25" customHeight="1">
      <c r="E905" s="319"/>
      <c r="F905" s="319"/>
      <c r="W905" s="348"/>
      <c r="AA905" s="319"/>
    </row>
    <row r="906" spans="5:27" ht="14.25" customHeight="1">
      <c r="E906" s="319"/>
      <c r="F906" s="319"/>
      <c r="W906" s="348"/>
      <c r="AA906" s="319"/>
    </row>
    <row r="907" spans="5:27" ht="14.25" customHeight="1">
      <c r="E907" s="319"/>
      <c r="F907" s="319"/>
      <c r="W907" s="348"/>
      <c r="AA907" s="319"/>
    </row>
    <row r="908" spans="5:27" ht="14.25" customHeight="1">
      <c r="E908" s="319"/>
      <c r="F908" s="319"/>
      <c r="W908" s="348"/>
      <c r="AA908" s="319"/>
    </row>
    <row r="909" spans="5:27" ht="14.25" customHeight="1">
      <c r="E909" s="319"/>
      <c r="F909" s="319"/>
      <c r="W909" s="348"/>
      <c r="AA909" s="319"/>
    </row>
    <row r="910" spans="5:27" ht="14.25" customHeight="1">
      <c r="E910" s="319"/>
      <c r="F910" s="319"/>
      <c r="W910" s="348"/>
      <c r="AA910" s="319"/>
    </row>
    <row r="911" spans="5:27" ht="14.25" customHeight="1">
      <c r="E911" s="319"/>
      <c r="F911" s="319"/>
      <c r="W911" s="348"/>
      <c r="AA911" s="319"/>
    </row>
    <row r="912" spans="5:27" ht="14.25" customHeight="1">
      <c r="E912" s="319"/>
      <c r="F912" s="319"/>
      <c r="W912" s="348"/>
      <c r="AA912" s="319"/>
    </row>
    <row r="913" spans="5:27" ht="14.25" customHeight="1">
      <c r="E913" s="319"/>
      <c r="F913" s="319"/>
      <c r="W913" s="348"/>
      <c r="AA913" s="319"/>
    </row>
    <row r="914" spans="5:27" ht="14.25" customHeight="1">
      <c r="E914" s="319"/>
      <c r="F914" s="319"/>
      <c r="W914" s="348"/>
      <c r="AA914" s="319"/>
    </row>
    <row r="915" spans="5:27" ht="14.25" customHeight="1">
      <c r="E915" s="319"/>
      <c r="F915" s="319"/>
      <c r="W915" s="348"/>
      <c r="AA915" s="319"/>
    </row>
    <row r="916" spans="5:27" ht="14.25" customHeight="1">
      <c r="E916" s="319"/>
      <c r="F916" s="319"/>
      <c r="W916" s="348"/>
      <c r="AA916" s="319"/>
    </row>
    <row r="917" spans="5:27" ht="14.25" customHeight="1">
      <c r="E917" s="319"/>
      <c r="F917" s="319"/>
      <c r="W917" s="348"/>
      <c r="AA917" s="319"/>
    </row>
    <row r="918" spans="5:27" ht="14.25" customHeight="1">
      <c r="E918" s="319"/>
      <c r="F918" s="319"/>
      <c r="W918" s="348"/>
      <c r="AA918" s="319"/>
    </row>
    <row r="919" spans="5:27" ht="14.25" customHeight="1">
      <c r="E919" s="319"/>
      <c r="F919" s="319"/>
      <c r="W919" s="348"/>
      <c r="AA919" s="319"/>
    </row>
    <row r="920" spans="5:27" ht="14.25" customHeight="1">
      <c r="E920" s="319"/>
      <c r="F920" s="319"/>
      <c r="W920" s="348"/>
      <c r="AA920" s="319"/>
    </row>
    <row r="921" spans="5:27" ht="14.25" customHeight="1">
      <c r="E921" s="319"/>
      <c r="F921" s="319"/>
      <c r="W921" s="348"/>
      <c r="AA921" s="319"/>
    </row>
    <row r="922" spans="5:27" ht="14.25" customHeight="1">
      <c r="E922" s="319"/>
      <c r="F922" s="319"/>
      <c r="W922" s="348"/>
      <c r="AA922" s="319"/>
    </row>
    <row r="923" spans="5:27" ht="14.25" customHeight="1">
      <c r="E923" s="319"/>
      <c r="F923" s="319"/>
      <c r="W923" s="348"/>
      <c r="AA923" s="319"/>
    </row>
    <row r="924" spans="5:27" ht="14.25" customHeight="1">
      <c r="E924" s="319"/>
      <c r="F924" s="319"/>
      <c r="W924" s="348"/>
      <c r="AA924" s="319"/>
    </row>
    <row r="925" spans="5:27" ht="14.25" customHeight="1">
      <c r="E925" s="319"/>
      <c r="F925" s="319"/>
      <c r="W925" s="348"/>
      <c r="AA925" s="319"/>
    </row>
    <row r="926" spans="5:27" ht="14.25" customHeight="1">
      <c r="E926" s="319"/>
      <c r="F926" s="319"/>
      <c r="W926" s="348"/>
      <c r="AA926" s="319"/>
    </row>
    <row r="927" spans="5:27" ht="14.25" customHeight="1">
      <c r="E927" s="319"/>
      <c r="F927" s="319"/>
      <c r="W927" s="348"/>
      <c r="AA927" s="319"/>
    </row>
    <row r="928" spans="5:27" ht="14.25" customHeight="1">
      <c r="E928" s="319"/>
      <c r="F928" s="319"/>
      <c r="W928" s="348"/>
      <c r="AA928" s="319"/>
    </row>
    <row r="929" spans="5:27" ht="14.25" customHeight="1">
      <c r="E929" s="319"/>
      <c r="F929" s="319"/>
      <c r="W929" s="348"/>
      <c r="AA929" s="319"/>
    </row>
    <row r="930" spans="5:27" ht="14.25" customHeight="1">
      <c r="E930" s="319"/>
      <c r="F930" s="319"/>
      <c r="W930" s="348"/>
      <c r="AA930" s="319"/>
    </row>
    <row r="931" spans="5:27" ht="14.25" customHeight="1">
      <c r="E931" s="319"/>
      <c r="F931" s="319"/>
      <c r="W931" s="348"/>
      <c r="AA931" s="319"/>
    </row>
    <row r="932" spans="5:27" ht="14.25" customHeight="1">
      <c r="E932" s="319"/>
      <c r="F932" s="319"/>
      <c r="W932" s="348"/>
      <c r="AA932" s="319"/>
    </row>
    <row r="933" spans="5:27" ht="14.25" customHeight="1">
      <c r="E933" s="319"/>
      <c r="F933" s="319"/>
      <c r="W933" s="348"/>
      <c r="AA933" s="319"/>
    </row>
    <row r="934" spans="5:27" ht="14.25" customHeight="1">
      <c r="E934" s="319"/>
      <c r="F934" s="319"/>
      <c r="W934" s="348"/>
      <c r="AA934" s="319"/>
    </row>
    <row r="935" spans="5:27" ht="14.25" customHeight="1">
      <c r="E935" s="319"/>
      <c r="F935" s="319"/>
      <c r="W935" s="348"/>
      <c r="AA935" s="319"/>
    </row>
    <row r="936" spans="5:27" ht="14.25" customHeight="1">
      <c r="E936" s="319"/>
      <c r="F936" s="319"/>
      <c r="W936" s="348"/>
      <c r="AA936" s="319"/>
    </row>
    <row r="937" spans="5:27" ht="14.25" customHeight="1">
      <c r="E937" s="319"/>
      <c r="F937" s="319"/>
      <c r="W937" s="348"/>
      <c r="AA937" s="319"/>
    </row>
    <row r="938" spans="5:27" ht="14.25" customHeight="1">
      <c r="E938" s="319"/>
      <c r="F938" s="319"/>
      <c r="W938" s="348"/>
      <c r="AA938" s="319"/>
    </row>
    <row r="939" spans="5:27" ht="14.25" customHeight="1">
      <c r="E939" s="319"/>
      <c r="F939" s="319"/>
      <c r="W939" s="348"/>
      <c r="AA939" s="319"/>
    </row>
    <row r="940" spans="5:27" ht="14.25" customHeight="1">
      <c r="E940" s="319"/>
      <c r="F940" s="319"/>
      <c r="W940" s="348"/>
      <c r="AA940" s="319"/>
    </row>
    <row r="941" spans="5:27" ht="14.25" customHeight="1">
      <c r="E941" s="319"/>
      <c r="F941" s="319"/>
      <c r="W941" s="348"/>
      <c r="AA941" s="319"/>
    </row>
    <row r="942" spans="5:27" ht="14.25" customHeight="1">
      <c r="E942" s="319"/>
      <c r="F942" s="319"/>
      <c r="W942" s="348"/>
      <c r="AA942" s="319"/>
    </row>
    <row r="943" spans="5:27" ht="14.25" customHeight="1">
      <c r="E943" s="319"/>
      <c r="F943" s="319"/>
      <c r="W943" s="348"/>
      <c r="AA943" s="319"/>
    </row>
    <row r="944" spans="5:27" ht="14.25" customHeight="1">
      <c r="E944" s="319"/>
      <c r="F944" s="319"/>
      <c r="W944" s="348"/>
      <c r="AA944" s="319"/>
    </row>
    <row r="945" spans="5:27" ht="14.25" customHeight="1">
      <c r="E945" s="319"/>
      <c r="F945" s="319"/>
      <c r="W945" s="348"/>
      <c r="AA945" s="319"/>
    </row>
    <row r="946" spans="5:27" ht="14.25" customHeight="1">
      <c r="E946" s="319"/>
      <c r="F946" s="319"/>
      <c r="W946" s="348"/>
      <c r="AA946" s="319"/>
    </row>
    <row r="947" spans="5:27" ht="14.25" customHeight="1">
      <c r="E947" s="319"/>
      <c r="F947" s="319"/>
      <c r="W947" s="348"/>
      <c r="AA947" s="319"/>
    </row>
    <row r="948" spans="5:27" ht="14.25" customHeight="1">
      <c r="E948" s="319"/>
      <c r="F948" s="319"/>
      <c r="W948" s="348"/>
      <c r="AA948" s="319"/>
    </row>
    <row r="949" spans="5:27" ht="14.25" customHeight="1">
      <c r="E949" s="319"/>
      <c r="F949" s="319"/>
      <c r="W949" s="348"/>
      <c r="AA949" s="319"/>
    </row>
    <row r="950" spans="5:27" ht="14.25" customHeight="1">
      <c r="E950" s="319"/>
      <c r="F950" s="319"/>
      <c r="W950" s="348"/>
      <c r="AA950" s="319"/>
    </row>
    <row r="951" spans="5:27" ht="14.25" customHeight="1">
      <c r="E951" s="319"/>
      <c r="F951" s="319"/>
      <c r="W951" s="348"/>
      <c r="AA951" s="319"/>
    </row>
    <row r="952" spans="5:27" ht="14.25" customHeight="1">
      <c r="E952" s="319"/>
      <c r="F952" s="319"/>
      <c r="W952" s="348"/>
      <c r="AA952" s="319"/>
    </row>
    <row r="953" spans="5:27" ht="14.25" customHeight="1">
      <c r="E953" s="319"/>
      <c r="F953" s="319"/>
      <c r="W953" s="348"/>
      <c r="AA953" s="319"/>
    </row>
    <row r="954" spans="5:27" ht="14.25" customHeight="1">
      <c r="E954" s="319"/>
      <c r="F954" s="319"/>
      <c r="W954" s="348"/>
      <c r="AA954" s="319"/>
    </row>
    <row r="955" spans="5:27" ht="14.25" customHeight="1">
      <c r="E955" s="319"/>
      <c r="F955" s="319"/>
      <c r="W955" s="348"/>
      <c r="AA955" s="319"/>
    </row>
    <row r="956" spans="5:27" ht="14.25" customHeight="1">
      <c r="E956" s="319"/>
      <c r="F956" s="319"/>
      <c r="W956" s="348"/>
      <c r="AA956" s="319"/>
    </row>
    <row r="957" spans="5:27" ht="14.25" customHeight="1">
      <c r="E957" s="319"/>
      <c r="F957" s="319"/>
      <c r="W957" s="348"/>
      <c r="AA957" s="319"/>
    </row>
    <row r="958" spans="5:27" ht="14.25" customHeight="1">
      <c r="E958" s="319"/>
      <c r="F958" s="319"/>
      <c r="W958" s="348"/>
      <c r="AA958" s="319"/>
    </row>
    <row r="959" spans="5:27" ht="14.25" customHeight="1">
      <c r="E959" s="319"/>
      <c r="F959" s="319"/>
      <c r="W959" s="348"/>
      <c r="AA959" s="319"/>
    </row>
    <row r="960" spans="5:27" ht="14.25" customHeight="1">
      <c r="E960" s="319"/>
      <c r="F960" s="319"/>
      <c r="W960" s="348"/>
      <c r="AA960" s="319"/>
    </row>
    <row r="961" spans="5:27" ht="14.25" customHeight="1">
      <c r="E961" s="319"/>
      <c r="F961" s="319"/>
      <c r="W961" s="348"/>
      <c r="AA961" s="319"/>
    </row>
    <row r="962" spans="5:27" ht="14.25" customHeight="1">
      <c r="E962" s="319"/>
      <c r="F962" s="319"/>
      <c r="W962" s="348"/>
      <c r="AA962" s="319"/>
    </row>
    <row r="963" spans="5:27" ht="14.25" customHeight="1">
      <c r="E963" s="319"/>
      <c r="F963" s="319"/>
      <c r="W963" s="348"/>
      <c r="AA963" s="319"/>
    </row>
    <row r="964" spans="5:27" ht="14.25" customHeight="1">
      <c r="E964" s="319"/>
      <c r="F964" s="319"/>
      <c r="W964" s="348"/>
      <c r="AA964" s="319"/>
    </row>
    <row r="965" spans="5:27" ht="14.25" customHeight="1">
      <c r="E965" s="319"/>
      <c r="F965" s="319"/>
      <c r="W965" s="348"/>
      <c r="AA965" s="319"/>
    </row>
    <row r="966" spans="5:27" ht="14.25" customHeight="1">
      <c r="E966" s="319"/>
      <c r="F966" s="319"/>
      <c r="W966" s="348"/>
      <c r="AA966" s="319"/>
    </row>
    <row r="967" spans="5:27" ht="14.25" customHeight="1">
      <c r="E967" s="319"/>
      <c r="F967" s="319"/>
      <c r="W967" s="348"/>
      <c r="AA967" s="319"/>
    </row>
    <row r="968" spans="5:27" ht="14.25" customHeight="1">
      <c r="E968" s="319"/>
      <c r="F968" s="319"/>
      <c r="W968" s="348"/>
      <c r="AA968" s="319"/>
    </row>
    <row r="969" spans="5:27" ht="14.25" customHeight="1">
      <c r="E969" s="319"/>
      <c r="F969" s="319"/>
      <c r="W969" s="348"/>
      <c r="AA969" s="319"/>
    </row>
    <row r="970" spans="5:27" ht="14.25" customHeight="1">
      <c r="E970" s="319"/>
      <c r="F970" s="319"/>
      <c r="W970" s="348"/>
      <c r="AA970" s="319"/>
    </row>
    <row r="971" spans="5:27" ht="14.25" customHeight="1">
      <c r="E971" s="319"/>
      <c r="F971" s="319"/>
      <c r="W971" s="348"/>
      <c r="AA971" s="319"/>
    </row>
    <row r="972" spans="5:27" ht="14.25" customHeight="1">
      <c r="E972" s="319"/>
      <c r="F972" s="319"/>
      <c r="W972" s="348"/>
      <c r="AA972" s="319"/>
    </row>
    <row r="973" spans="5:27" ht="14.25" customHeight="1">
      <c r="E973" s="319"/>
      <c r="F973" s="319"/>
      <c r="W973" s="348"/>
      <c r="AA973" s="319"/>
    </row>
    <row r="974" spans="5:27" ht="14.25" customHeight="1">
      <c r="E974" s="319"/>
      <c r="F974" s="319"/>
      <c r="W974" s="348"/>
      <c r="AA974" s="319"/>
    </row>
    <row r="975" spans="5:27" ht="14.25" customHeight="1">
      <c r="E975" s="319"/>
      <c r="F975" s="319"/>
      <c r="W975" s="348"/>
      <c r="AA975" s="319"/>
    </row>
    <row r="976" spans="5:27" ht="14.25" customHeight="1">
      <c r="E976" s="319"/>
      <c r="F976" s="319"/>
      <c r="W976" s="348"/>
      <c r="AA976" s="319"/>
    </row>
    <row r="977" spans="5:27" ht="14.25" customHeight="1">
      <c r="E977" s="319"/>
      <c r="F977" s="319"/>
      <c r="W977" s="348"/>
      <c r="AA977" s="319"/>
    </row>
    <row r="978" spans="5:27" ht="14.25" customHeight="1">
      <c r="E978" s="319"/>
      <c r="F978" s="319"/>
      <c r="W978" s="348"/>
      <c r="AA978" s="319"/>
    </row>
    <row r="979" spans="5:27" ht="14.25" customHeight="1">
      <c r="E979" s="319"/>
      <c r="F979" s="319"/>
      <c r="W979" s="348"/>
      <c r="AA979" s="319"/>
    </row>
    <row r="980" spans="5:27" ht="14.25" customHeight="1">
      <c r="E980" s="319"/>
      <c r="F980" s="319"/>
      <c r="W980" s="348"/>
      <c r="AA980" s="319"/>
    </row>
    <row r="981" spans="5:27" ht="14.25" customHeight="1">
      <c r="E981" s="319"/>
      <c r="F981" s="319"/>
      <c r="W981" s="348"/>
      <c r="AA981" s="319"/>
    </row>
    <row r="982" spans="5:27" ht="14.25" customHeight="1">
      <c r="E982" s="319"/>
      <c r="F982" s="319"/>
      <c r="W982" s="348"/>
      <c r="AA982" s="319"/>
    </row>
    <row r="983" spans="5:27" ht="14.25" customHeight="1">
      <c r="E983" s="319"/>
      <c r="F983" s="319"/>
      <c r="W983" s="348"/>
      <c r="AA983" s="319"/>
    </row>
    <row r="984" spans="5:27" ht="14.25" customHeight="1">
      <c r="E984" s="319"/>
      <c r="F984" s="319"/>
      <c r="W984" s="348"/>
      <c r="AA984" s="319"/>
    </row>
    <row r="985" spans="5:27" ht="14.25" customHeight="1">
      <c r="E985" s="319"/>
      <c r="F985" s="319"/>
      <c r="W985" s="348"/>
      <c r="AA985" s="319"/>
    </row>
    <row r="986" spans="5:27" ht="14.25" customHeight="1">
      <c r="E986" s="319"/>
      <c r="F986" s="319"/>
      <c r="W986" s="348"/>
      <c r="AA986" s="319"/>
    </row>
    <row r="987" spans="5:27" ht="14.25" customHeight="1">
      <c r="E987" s="319"/>
      <c r="F987" s="319"/>
      <c r="W987" s="348"/>
      <c r="AA987" s="319"/>
    </row>
    <row r="988" spans="5:27" ht="14.25" customHeight="1">
      <c r="E988" s="319"/>
      <c r="F988" s="319"/>
      <c r="W988" s="348"/>
      <c r="AA988" s="319"/>
    </row>
    <row r="989" spans="5:27" ht="14.25" customHeight="1">
      <c r="E989" s="319"/>
      <c r="F989" s="319"/>
      <c r="W989" s="348"/>
      <c r="AA989" s="319"/>
    </row>
    <row r="990" spans="5:27" ht="14.25" customHeight="1">
      <c r="E990" s="319"/>
      <c r="F990" s="319"/>
      <c r="W990" s="348"/>
      <c r="AA990" s="319"/>
    </row>
    <row r="991" spans="5:27" ht="14.25" customHeight="1">
      <c r="E991" s="319"/>
      <c r="F991" s="319"/>
      <c r="W991" s="348"/>
      <c r="AA991" s="319"/>
    </row>
    <row r="992" spans="5:27" ht="14.25" customHeight="1">
      <c r="E992" s="319"/>
      <c r="F992" s="319"/>
      <c r="W992" s="348"/>
      <c r="AA992" s="319"/>
    </row>
    <row r="993" spans="5:27" ht="14.25" customHeight="1">
      <c r="E993" s="319"/>
      <c r="F993" s="319"/>
      <c r="W993" s="348"/>
      <c r="AA993" s="319"/>
    </row>
    <row r="994" spans="5:27" ht="14.25" customHeight="1">
      <c r="E994" s="319"/>
      <c r="F994" s="319"/>
      <c r="W994" s="348"/>
      <c r="AA994" s="319"/>
    </row>
    <row r="995" spans="5:27" ht="14.25" customHeight="1">
      <c r="E995" s="319"/>
      <c r="F995" s="319"/>
      <c r="W995" s="348"/>
      <c r="AA995" s="319"/>
    </row>
    <row r="996" spans="5:27" ht="14.25" customHeight="1">
      <c r="E996" s="319"/>
      <c r="F996" s="319"/>
      <c r="W996" s="348"/>
      <c r="AA996" s="319"/>
    </row>
    <row r="997" spans="5:27" ht="14.25" customHeight="1">
      <c r="E997" s="319"/>
      <c r="F997" s="319"/>
      <c r="W997" s="348"/>
      <c r="AA997" s="319"/>
    </row>
    <row r="998" spans="5:27" ht="14.25" customHeight="1">
      <c r="E998" s="319"/>
      <c r="F998" s="319"/>
      <c r="W998" s="348"/>
      <c r="AA998" s="319"/>
    </row>
    <row r="999" spans="5:27" ht="14.25" customHeight="1">
      <c r="E999" s="319"/>
      <c r="F999" s="319"/>
      <c r="W999" s="348"/>
      <c r="AA999" s="319"/>
    </row>
    <row r="1000" spans="5:27" ht="14.25" customHeight="1">
      <c r="E1000" s="319"/>
      <c r="F1000" s="319"/>
      <c r="W1000" s="348"/>
      <c r="AA1000" s="319"/>
    </row>
    <row r="1001" spans="5:27" ht="14.25" customHeight="1">
      <c r="E1001" s="319"/>
      <c r="F1001" s="319"/>
      <c r="W1001" s="348"/>
      <c r="AA1001" s="319"/>
    </row>
    <row r="1002" spans="5:27" ht="14.25" customHeight="1">
      <c r="E1002" s="319"/>
      <c r="F1002" s="319"/>
      <c r="W1002" s="348"/>
      <c r="AA1002" s="319"/>
    </row>
    <row r="1003" spans="5:27" ht="14.25" customHeight="1">
      <c r="E1003" s="319"/>
      <c r="F1003" s="319"/>
      <c r="W1003" s="348"/>
      <c r="AA1003" s="319"/>
    </row>
    <row r="1004" spans="5:27" ht="14.25" customHeight="1">
      <c r="E1004" s="319"/>
      <c r="F1004" s="319"/>
      <c r="W1004" s="348"/>
      <c r="AA1004" s="319"/>
    </row>
    <row r="1005" spans="5:27" ht="14.25" customHeight="1">
      <c r="E1005" s="319"/>
      <c r="F1005" s="319"/>
      <c r="W1005" s="348"/>
      <c r="AA1005" s="319"/>
    </row>
    <row r="1006" spans="5:27" ht="14.25" customHeight="1">
      <c r="E1006" s="319"/>
      <c r="F1006" s="319"/>
      <c r="W1006" s="348"/>
      <c r="AA1006" s="319"/>
    </row>
    <row r="1007" spans="5:27" ht="14.25" customHeight="1">
      <c r="E1007" s="319"/>
      <c r="F1007" s="319"/>
      <c r="W1007" s="348"/>
      <c r="AA1007" s="319"/>
    </row>
    <row r="1008" spans="5:27" ht="14.25" customHeight="1">
      <c r="E1008" s="319"/>
      <c r="F1008" s="319"/>
      <c r="W1008" s="348"/>
      <c r="AA1008" s="319"/>
    </row>
    <row r="1009" spans="5:27" ht="14.25" customHeight="1">
      <c r="E1009" s="319"/>
      <c r="F1009" s="319"/>
      <c r="W1009" s="348"/>
      <c r="AA1009" s="319"/>
    </row>
    <row r="1010" spans="5:27" ht="14.25" customHeight="1">
      <c r="E1010" s="319"/>
      <c r="F1010" s="319"/>
      <c r="W1010" s="348"/>
      <c r="AA1010" s="319"/>
    </row>
    <row r="1011" spans="5:27" ht="14.25" customHeight="1">
      <c r="E1011" s="319"/>
      <c r="F1011" s="319"/>
      <c r="W1011" s="348"/>
      <c r="AA1011" s="319"/>
    </row>
    <row r="1012" spans="5:27" ht="14.25" customHeight="1">
      <c r="E1012" s="319"/>
      <c r="F1012" s="319"/>
      <c r="W1012" s="348"/>
      <c r="AA1012" s="319"/>
    </row>
    <row r="1013" spans="5:27" ht="14.25" customHeight="1">
      <c r="E1013" s="319"/>
      <c r="F1013" s="319"/>
      <c r="W1013" s="348"/>
      <c r="AA1013" s="319"/>
    </row>
    <row r="1014" spans="5:27" ht="14.25" customHeight="1">
      <c r="E1014" s="319"/>
      <c r="F1014" s="319"/>
      <c r="W1014" s="348"/>
      <c r="AA1014" s="319"/>
    </row>
    <row r="1015" spans="5:27" ht="14.25" customHeight="1">
      <c r="E1015" s="319"/>
      <c r="F1015" s="319"/>
      <c r="W1015" s="348"/>
      <c r="AA1015" s="319"/>
    </row>
    <row r="1016" spans="5:27" ht="14.25" customHeight="1">
      <c r="E1016" s="319"/>
      <c r="F1016" s="319"/>
      <c r="W1016" s="348"/>
      <c r="AA1016" s="319"/>
    </row>
    <row r="1017" spans="5:27" ht="14.25" customHeight="1">
      <c r="E1017" s="319"/>
      <c r="F1017" s="319"/>
      <c r="W1017" s="348"/>
      <c r="AA1017" s="319"/>
    </row>
    <row r="1018" spans="5:27" ht="14.25" customHeight="1">
      <c r="E1018" s="319"/>
      <c r="F1018" s="319"/>
      <c r="W1018" s="348"/>
      <c r="AA1018" s="319"/>
    </row>
    <row r="1019" spans="5:27" ht="14.25" customHeight="1">
      <c r="E1019" s="319"/>
      <c r="F1019" s="319"/>
      <c r="W1019" s="348"/>
      <c r="AA1019" s="319"/>
    </row>
    <row r="1020" spans="5:27" ht="14.25" customHeight="1">
      <c r="E1020" s="319"/>
      <c r="F1020" s="319"/>
      <c r="W1020" s="348"/>
      <c r="AA1020" s="319"/>
    </row>
    <row r="1021" spans="5:27" ht="14.25" customHeight="1">
      <c r="E1021" s="319"/>
      <c r="F1021" s="319"/>
      <c r="W1021" s="348"/>
      <c r="AA1021" s="319"/>
    </row>
    <row r="1022" spans="5:27" ht="14.25" customHeight="1">
      <c r="E1022" s="319"/>
      <c r="F1022" s="319"/>
      <c r="W1022" s="348"/>
      <c r="AA1022" s="319"/>
    </row>
    <row r="1023" spans="5:27" ht="14.25" customHeight="1">
      <c r="E1023" s="319"/>
      <c r="F1023" s="319"/>
      <c r="W1023" s="348"/>
      <c r="AA1023" s="319"/>
    </row>
    <row r="1024" spans="5:27" ht="14.25" customHeight="1">
      <c r="E1024" s="319"/>
      <c r="F1024" s="319"/>
      <c r="W1024" s="348"/>
      <c r="AA1024" s="319"/>
    </row>
    <row r="1025" spans="5:27" ht="14.25" customHeight="1">
      <c r="E1025" s="319"/>
      <c r="F1025" s="319"/>
      <c r="W1025" s="348"/>
      <c r="AA1025" s="319"/>
    </row>
    <row r="1026" spans="5:27" ht="14.25" customHeight="1">
      <c r="E1026" s="319"/>
      <c r="F1026" s="319"/>
      <c r="W1026" s="348"/>
      <c r="AA1026" s="319"/>
    </row>
    <row r="1027" spans="5:27" ht="14.25" customHeight="1">
      <c r="E1027" s="319"/>
      <c r="F1027" s="319"/>
      <c r="W1027" s="348"/>
      <c r="AA1027" s="319"/>
    </row>
    <row r="1028" spans="5:27" ht="14.25" customHeight="1">
      <c r="E1028" s="319"/>
      <c r="F1028" s="319"/>
      <c r="W1028" s="348"/>
      <c r="AA1028" s="319"/>
    </row>
    <row r="1029" spans="5:27" ht="14.25" customHeight="1">
      <c r="E1029" s="319"/>
      <c r="F1029" s="319"/>
      <c r="W1029" s="348"/>
      <c r="AA1029" s="319"/>
    </row>
    <row r="1030" spans="5:27" ht="14.25" customHeight="1">
      <c r="E1030" s="319"/>
      <c r="F1030" s="319"/>
      <c r="W1030" s="348"/>
      <c r="AA1030" s="319"/>
    </row>
    <row r="1031" spans="5:27" ht="14.25" customHeight="1">
      <c r="E1031" s="319"/>
      <c r="F1031" s="319"/>
      <c r="W1031" s="348"/>
      <c r="AA1031" s="319"/>
    </row>
    <row r="1032" spans="5:27" ht="14.25" customHeight="1">
      <c r="E1032" s="319"/>
      <c r="F1032" s="319"/>
      <c r="W1032" s="348"/>
      <c r="AA1032" s="319"/>
    </row>
    <row r="1033" spans="5:27" ht="14.25" customHeight="1">
      <c r="E1033" s="319"/>
      <c r="F1033" s="319"/>
      <c r="W1033" s="348"/>
      <c r="AA1033" s="319"/>
    </row>
    <row r="1034" spans="5:27" ht="14.25" customHeight="1">
      <c r="E1034" s="319"/>
      <c r="F1034" s="319"/>
      <c r="W1034" s="348"/>
      <c r="AA1034" s="319"/>
    </row>
    <row r="1035" spans="5:27" ht="14.25" customHeight="1">
      <c r="E1035" s="319"/>
      <c r="F1035" s="319"/>
      <c r="W1035" s="348"/>
      <c r="AA1035" s="319"/>
    </row>
    <row r="1036" spans="5:27" ht="14.25" customHeight="1">
      <c r="E1036" s="319"/>
      <c r="F1036" s="319"/>
      <c r="W1036" s="348"/>
      <c r="AA1036" s="319"/>
    </row>
    <row r="1037" spans="5:27" ht="14.25" customHeight="1">
      <c r="E1037" s="319"/>
      <c r="F1037" s="319"/>
      <c r="W1037" s="348"/>
      <c r="AA1037" s="319"/>
    </row>
    <row r="1038" spans="5:27" ht="14.25" customHeight="1">
      <c r="E1038" s="319"/>
      <c r="F1038" s="319"/>
      <c r="W1038" s="348"/>
      <c r="AA1038" s="319"/>
    </row>
    <row r="1039" spans="5:27" ht="14.25" customHeight="1">
      <c r="E1039" s="319"/>
      <c r="F1039" s="319"/>
      <c r="W1039" s="348"/>
      <c r="AA1039" s="319"/>
    </row>
    <row r="1040" spans="5:27" ht="14.25" customHeight="1">
      <c r="E1040" s="319"/>
      <c r="F1040" s="319"/>
      <c r="W1040" s="348"/>
      <c r="AA1040" s="319"/>
    </row>
    <row r="1041" spans="5:27" ht="14.25" customHeight="1">
      <c r="E1041" s="319"/>
      <c r="F1041" s="319"/>
      <c r="W1041" s="348"/>
      <c r="AA1041" s="319"/>
    </row>
    <row r="1042" spans="5:27" ht="14.25" customHeight="1">
      <c r="E1042" s="319"/>
      <c r="F1042" s="319"/>
      <c r="W1042" s="348"/>
      <c r="AA1042" s="319"/>
    </row>
    <row r="1043" spans="5:27" ht="14.25" customHeight="1">
      <c r="E1043" s="319"/>
      <c r="F1043" s="319"/>
      <c r="W1043" s="348"/>
      <c r="AA1043" s="319"/>
    </row>
    <row r="1044" spans="5:27" ht="14.25" customHeight="1">
      <c r="E1044" s="319"/>
      <c r="F1044" s="319"/>
      <c r="W1044" s="348"/>
      <c r="AA1044" s="319"/>
    </row>
    <row r="1045" spans="5:27" ht="14.25" customHeight="1">
      <c r="E1045" s="319"/>
      <c r="F1045" s="319"/>
      <c r="W1045" s="348"/>
      <c r="AA1045" s="319"/>
    </row>
    <row r="1046" spans="5:27" ht="14.25" customHeight="1">
      <c r="E1046" s="319"/>
      <c r="F1046" s="319"/>
      <c r="W1046" s="348"/>
      <c r="AA1046" s="319"/>
    </row>
    <row r="1047" spans="5:27" ht="14.25" customHeight="1">
      <c r="E1047" s="319"/>
      <c r="F1047" s="319"/>
      <c r="W1047" s="348"/>
      <c r="AA1047" s="319"/>
    </row>
    <row r="1048" spans="5:27" ht="14.25" customHeight="1">
      <c r="E1048" s="319"/>
      <c r="F1048" s="319"/>
      <c r="W1048" s="348"/>
      <c r="AA1048" s="319"/>
    </row>
    <row r="1049" spans="5:27" ht="14.25" customHeight="1">
      <c r="E1049" s="319"/>
      <c r="F1049" s="319"/>
      <c r="W1049" s="348"/>
      <c r="AA1049" s="319"/>
    </row>
    <row r="1050" spans="5:27" ht="14.25" customHeight="1">
      <c r="E1050" s="319"/>
      <c r="F1050" s="319"/>
      <c r="W1050" s="348"/>
      <c r="AA1050" s="319"/>
    </row>
    <row r="1051" spans="5:27" ht="14.25" customHeight="1">
      <c r="E1051" s="319"/>
      <c r="F1051" s="319"/>
      <c r="W1051" s="348"/>
      <c r="AA1051" s="319"/>
    </row>
    <row r="1052" spans="5:27" ht="14.25" customHeight="1">
      <c r="E1052" s="319"/>
      <c r="F1052" s="319"/>
      <c r="W1052" s="348"/>
      <c r="AA1052" s="319"/>
    </row>
    <row r="1053" spans="5:27" ht="14.25" customHeight="1">
      <c r="E1053" s="319"/>
      <c r="F1053" s="319"/>
      <c r="W1053" s="348"/>
      <c r="AA1053" s="319"/>
    </row>
    <row r="1054" spans="5:27" ht="14.25" customHeight="1">
      <c r="E1054" s="319"/>
      <c r="F1054" s="319"/>
      <c r="W1054" s="348"/>
      <c r="AA1054" s="319"/>
    </row>
    <row r="1055" spans="5:27" ht="14.25" customHeight="1">
      <c r="E1055" s="319"/>
      <c r="F1055" s="319"/>
      <c r="W1055" s="348"/>
      <c r="AA1055" s="319"/>
    </row>
    <row r="1056" spans="5:27" ht="14.25" customHeight="1">
      <c r="E1056" s="319"/>
      <c r="F1056" s="319"/>
      <c r="W1056" s="348"/>
      <c r="AA1056" s="319"/>
    </row>
    <row r="1057" spans="5:27" ht="14.25" customHeight="1">
      <c r="E1057" s="319"/>
      <c r="F1057" s="319"/>
      <c r="W1057" s="348"/>
      <c r="AA1057" s="319"/>
    </row>
    <row r="1058" spans="5:27" ht="14.25" customHeight="1">
      <c r="E1058" s="319"/>
      <c r="F1058" s="319"/>
      <c r="W1058" s="348"/>
      <c r="AA1058" s="319"/>
    </row>
    <row r="1059" spans="5:27" ht="14.25" customHeight="1">
      <c r="E1059" s="319"/>
      <c r="F1059" s="319"/>
      <c r="W1059" s="348"/>
      <c r="AA1059" s="319"/>
    </row>
    <row r="1060" spans="5:27" ht="14.25" customHeight="1">
      <c r="E1060" s="319"/>
      <c r="F1060" s="319"/>
      <c r="W1060" s="348"/>
      <c r="AA1060" s="319"/>
    </row>
    <row r="1061" spans="5:27" ht="14.25" customHeight="1">
      <c r="E1061" s="319"/>
      <c r="F1061" s="319"/>
      <c r="W1061" s="348"/>
      <c r="AA1061" s="319"/>
    </row>
    <row r="1062" spans="5:27" ht="14.25" customHeight="1">
      <c r="E1062" s="319"/>
      <c r="F1062" s="319"/>
      <c r="W1062" s="348"/>
      <c r="AA1062" s="319"/>
    </row>
    <row r="1063" spans="5:27" ht="14.25" customHeight="1">
      <c r="E1063" s="319"/>
      <c r="F1063" s="319"/>
      <c r="W1063" s="348"/>
      <c r="AA1063" s="319"/>
    </row>
    <row r="1064" spans="5:27" ht="14.25" customHeight="1">
      <c r="E1064" s="319"/>
      <c r="F1064" s="319"/>
      <c r="W1064" s="348"/>
      <c r="AA1064" s="319"/>
    </row>
    <row r="1065" spans="5:27" ht="14.25" customHeight="1">
      <c r="E1065" s="319"/>
      <c r="F1065" s="319"/>
      <c r="W1065" s="348"/>
      <c r="AA1065" s="319"/>
    </row>
    <row r="1066" spans="5:27" ht="14.25" customHeight="1">
      <c r="E1066" s="319"/>
      <c r="F1066" s="319"/>
      <c r="W1066" s="348"/>
      <c r="AA1066" s="319"/>
    </row>
    <row r="1067" spans="5:27" ht="14.25" customHeight="1">
      <c r="E1067" s="319"/>
      <c r="F1067" s="319"/>
      <c r="W1067" s="348"/>
      <c r="AA1067" s="319"/>
    </row>
    <row r="1068" spans="5:27" ht="14.25" customHeight="1">
      <c r="E1068" s="319"/>
      <c r="F1068" s="319"/>
      <c r="W1068" s="348"/>
      <c r="AA1068" s="319"/>
    </row>
    <row r="1069" spans="5:27" ht="14.25" customHeight="1">
      <c r="E1069" s="319"/>
      <c r="F1069" s="319"/>
      <c r="W1069" s="348"/>
      <c r="AA1069" s="319"/>
    </row>
    <row r="1070" spans="5:27" ht="14.25" customHeight="1">
      <c r="E1070" s="319"/>
      <c r="F1070" s="319"/>
      <c r="W1070" s="348"/>
      <c r="AA1070" s="319"/>
    </row>
    <row r="1071" spans="5:27" ht="14.25" customHeight="1">
      <c r="E1071" s="319"/>
      <c r="F1071" s="319"/>
      <c r="W1071" s="348"/>
      <c r="AA1071" s="319"/>
    </row>
    <row r="1072" spans="5:27" ht="14.25" customHeight="1">
      <c r="E1072" s="319"/>
      <c r="F1072" s="319"/>
      <c r="W1072" s="348"/>
      <c r="AA1072" s="319"/>
    </row>
    <row r="1073" spans="5:27" ht="14.25" customHeight="1">
      <c r="E1073" s="319"/>
      <c r="F1073" s="319"/>
      <c r="W1073" s="348"/>
      <c r="AA1073" s="319"/>
    </row>
    <row r="1074" spans="5:27" ht="14.25" customHeight="1">
      <c r="E1074" s="319"/>
      <c r="F1074" s="319"/>
      <c r="W1074" s="348"/>
      <c r="AA1074" s="319"/>
    </row>
    <row r="1075" spans="5:27" ht="14.25" customHeight="1">
      <c r="E1075" s="319"/>
      <c r="F1075" s="319"/>
      <c r="W1075" s="348"/>
      <c r="AA1075" s="319"/>
    </row>
    <row r="1076" spans="5:27" ht="14.25" customHeight="1">
      <c r="E1076" s="319"/>
      <c r="F1076" s="319"/>
      <c r="W1076" s="348"/>
      <c r="AA1076" s="319"/>
    </row>
    <row r="1077" spans="5:27" ht="14.25" customHeight="1">
      <c r="E1077" s="319"/>
      <c r="F1077" s="319"/>
      <c r="W1077" s="348"/>
      <c r="AA1077" s="319"/>
    </row>
    <row r="1078" spans="5:27" ht="14.25" customHeight="1">
      <c r="E1078" s="319"/>
      <c r="F1078" s="319"/>
      <c r="W1078" s="348"/>
      <c r="AA1078" s="319"/>
    </row>
    <row r="1079" spans="5:27" ht="14.25" customHeight="1">
      <c r="E1079" s="319"/>
      <c r="F1079" s="319"/>
      <c r="W1079" s="348"/>
      <c r="AA1079" s="319"/>
    </row>
    <row r="1080" spans="5:27" ht="14.25" customHeight="1">
      <c r="E1080" s="319"/>
      <c r="F1080" s="319"/>
      <c r="W1080" s="348"/>
      <c r="AA1080" s="319"/>
    </row>
    <row r="1081" spans="5:27" ht="14.25" customHeight="1">
      <c r="E1081" s="319"/>
      <c r="F1081" s="319"/>
      <c r="W1081" s="348"/>
      <c r="AA1081" s="319"/>
    </row>
    <row r="1082" spans="5:27" ht="14.25" customHeight="1">
      <c r="E1082" s="319"/>
      <c r="F1082" s="319"/>
      <c r="W1082" s="348"/>
      <c r="AA1082" s="319"/>
    </row>
    <row r="1083" spans="5:27" ht="14.25" customHeight="1">
      <c r="E1083" s="319"/>
      <c r="F1083" s="319"/>
      <c r="W1083" s="348"/>
      <c r="AA1083" s="319"/>
    </row>
    <row r="1084" spans="5:27" ht="14.25" customHeight="1">
      <c r="E1084" s="319"/>
      <c r="F1084" s="319"/>
      <c r="W1084" s="348"/>
      <c r="AA1084" s="319"/>
    </row>
    <row r="1085" spans="5:27" ht="14.25" customHeight="1">
      <c r="E1085" s="319"/>
      <c r="F1085" s="319"/>
      <c r="W1085" s="348"/>
      <c r="AA1085" s="319"/>
    </row>
    <row r="1086" spans="5:27" ht="14.25" customHeight="1">
      <c r="E1086" s="319"/>
      <c r="F1086" s="319"/>
      <c r="W1086" s="348"/>
      <c r="AA1086" s="319"/>
    </row>
    <row r="1087" spans="5:27" ht="14.25" customHeight="1">
      <c r="E1087" s="319"/>
      <c r="F1087" s="319"/>
      <c r="W1087" s="348"/>
      <c r="AA1087" s="319"/>
    </row>
    <row r="1088" spans="5:27" ht="14.25" customHeight="1">
      <c r="E1088" s="319"/>
      <c r="F1088" s="319"/>
      <c r="W1088" s="348"/>
      <c r="AA1088" s="319"/>
    </row>
    <row r="1089" spans="5:27" ht="14.25" customHeight="1">
      <c r="E1089" s="319"/>
      <c r="F1089" s="319"/>
      <c r="W1089" s="348"/>
      <c r="AA1089" s="319"/>
    </row>
    <row r="1090" spans="5:27" ht="14.25" customHeight="1">
      <c r="E1090" s="319"/>
      <c r="F1090" s="319"/>
      <c r="W1090" s="348"/>
      <c r="AA1090" s="319"/>
    </row>
    <row r="1091" spans="5:27" ht="14.25" customHeight="1">
      <c r="E1091" s="319"/>
      <c r="F1091" s="319"/>
      <c r="W1091" s="348"/>
      <c r="AA1091" s="319"/>
    </row>
    <row r="1092" spans="5:27" ht="14.25" customHeight="1">
      <c r="E1092" s="319"/>
      <c r="F1092" s="319"/>
      <c r="W1092" s="348"/>
      <c r="AA1092" s="319"/>
    </row>
    <row r="1093" spans="5:27" ht="14.25" customHeight="1">
      <c r="E1093" s="319"/>
      <c r="F1093" s="319"/>
      <c r="W1093" s="348"/>
      <c r="AA1093" s="319"/>
    </row>
    <row r="1094" spans="5:27" ht="14.25" customHeight="1">
      <c r="E1094" s="319"/>
      <c r="F1094" s="319"/>
      <c r="W1094" s="348"/>
      <c r="AA1094" s="319"/>
    </row>
    <row r="1095" spans="5:27" ht="14.25" customHeight="1">
      <c r="E1095" s="319"/>
      <c r="F1095" s="319"/>
      <c r="W1095" s="348"/>
      <c r="AA1095" s="319"/>
    </row>
    <row r="1096" spans="5:27" ht="14.25" customHeight="1">
      <c r="E1096" s="319"/>
      <c r="F1096" s="319"/>
      <c r="W1096" s="348"/>
      <c r="AA1096" s="319"/>
    </row>
    <row r="1097" spans="5:27" ht="14.25" customHeight="1">
      <c r="E1097" s="319"/>
      <c r="F1097" s="319"/>
      <c r="W1097" s="348"/>
      <c r="AA1097" s="319"/>
    </row>
    <row r="1098" spans="5:27" ht="14.25" customHeight="1">
      <c r="E1098" s="319"/>
      <c r="F1098" s="319"/>
      <c r="W1098" s="348"/>
      <c r="AA1098" s="319"/>
    </row>
    <row r="1099" spans="5:27" ht="14.25" customHeight="1">
      <c r="E1099" s="319"/>
      <c r="F1099" s="319"/>
      <c r="W1099" s="348"/>
      <c r="AA1099" s="319"/>
    </row>
    <row r="1100" spans="5:27" ht="14.25" customHeight="1">
      <c r="E1100" s="319"/>
      <c r="F1100" s="319"/>
      <c r="W1100" s="348"/>
      <c r="AA1100" s="319"/>
    </row>
    <row r="1101" spans="5:27" ht="14.25" customHeight="1">
      <c r="E1101" s="319"/>
      <c r="F1101" s="319"/>
      <c r="W1101" s="348"/>
      <c r="AA1101" s="319"/>
    </row>
    <row r="1102" spans="5:27" ht="14.25" customHeight="1">
      <c r="E1102" s="319"/>
      <c r="F1102" s="319"/>
      <c r="W1102" s="348"/>
      <c r="AA1102" s="319"/>
    </row>
    <row r="1103" spans="5:27" ht="14.25" customHeight="1">
      <c r="E1103" s="319"/>
      <c r="F1103" s="319"/>
      <c r="W1103" s="348"/>
      <c r="AA1103" s="319"/>
    </row>
    <row r="1104" spans="5:27" ht="14.25" customHeight="1">
      <c r="E1104" s="319"/>
      <c r="F1104" s="319"/>
      <c r="W1104" s="348"/>
      <c r="AA1104" s="319"/>
    </row>
    <row r="1105" spans="5:27" ht="14.25" customHeight="1">
      <c r="E1105" s="319"/>
      <c r="F1105" s="319"/>
      <c r="W1105" s="348"/>
      <c r="AA1105" s="319"/>
    </row>
    <row r="1106" spans="5:27" ht="14.25" customHeight="1">
      <c r="E1106" s="319"/>
      <c r="F1106" s="319"/>
      <c r="W1106" s="348"/>
      <c r="AA1106" s="319"/>
    </row>
    <row r="1107" spans="5:27" ht="14.25" customHeight="1">
      <c r="E1107" s="319"/>
      <c r="F1107" s="319"/>
      <c r="W1107" s="348"/>
      <c r="AA1107" s="319"/>
    </row>
    <row r="1108" spans="5:27" ht="14.25" customHeight="1">
      <c r="E1108" s="319"/>
      <c r="F1108" s="319"/>
      <c r="W1108" s="348"/>
      <c r="AA1108" s="319"/>
    </row>
    <row r="1109" spans="5:27" ht="14.25" customHeight="1">
      <c r="E1109" s="319"/>
      <c r="F1109" s="319"/>
      <c r="W1109" s="348"/>
      <c r="AA1109" s="319"/>
    </row>
    <row r="1110" spans="5:27" ht="14.25" customHeight="1">
      <c r="E1110" s="319"/>
      <c r="F1110" s="319"/>
      <c r="W1110" s="348"/>
      <c r="AA1110" s="319"/>
    </row>
    <row r="1111" spans="5:27" ht="14.25" customHeight="1">
      <c r="E1111" s="319"/>
      <c r="F1111" s="319"/>
      <c r="W1111" s="348"/>
      <c r="AA1111" s="319"/>
    </row>
    <row r="1112" spans="5:27" ht="14.25" customHeight="1">
      <c r="E1112" s="319"/>
      <c r="F1112" s="319"/>
      <c r="W1112" s="348"/>
      <c r="AA1112" s="319"/>
    </row>
    <row r="1113" spans="5:27" ht="14.25" customHeight="1">
      <c r="E1113" s="319"/>
      <c r="F1113" s="319"/>
      <c r="W1113" s="348"/>
      <c r="AA1113" s="319"/>
    </row>
    <row r="1114" spans="5:27" ht="14.25" customHeight="1">
      <c r="E1114" s="319"/>
      <c r="F1114" s="319"/>
      <c r="W1114" s="348"/>
      <c r="AA1114" s="319"/>
    </row>
    <row r="1115" spans="5:27" ht="14.25" customHeight="1">
      <c r="E1115" s="319"/>
      <c r="F1115" s="319"/>
      <c r="W1115" s="348"/>
      <c r="AA1115" s="319"/>
    </row>
    <row r="1116" spans="5:27" ht="14.25" customHeight="1">
      <c r="E1116" s="319"/>
      <c r="F1116" s="319"/>
      <c r="W1116" s="348"/>
      <c r="AA1116" s="319"/>
    </row>
    <row r="1117" spans="5:27" ht="14.25" customHeight="1">
      <c r="E1117" s="319"/>
      <c r="F1117" s="319"/>
      <c r="W1117" s="348"/>
      <c r="AA1117" s="319"/>
    </row>
    <row r="1118" spans="5:27" ht="14.25" customHeight="1">
      <c r="E1118" s="319"/>
      <c r="F1118" s="319"/>
      <c r="W1118" s="348"/>
      <c r="AA1118" s="319"/>
    </row>
    <row r="1119" spans="5:27" ht="14.25" customHeight="1">
      <c r="E1119" s="319"/>
      <c r="F1119" s="319"/>
      <c r="W1119" s="348"/>
      <c r="AA1119" s="319"/>
    </row>
    <row r="1120" spans="5:27" ht="14.25" customHeight="1">
      <c r="E1120" s="319"/>
      <c r="F1120" s="319"/>
      <c r="W1120" s="348"/>
      <c r="AA1120" s="319"/>
    </row>
    <row r="1121" spans="5:27" ht="14.25" customHeight="1">
      <c r="E1121" s="319"/>
      <c r="F1121" s="319"/>
      <c r="W1121" s="348"/>
      <c r="AA1121" s="319"/>
    </row>
    <row r="1122" spans="5:27" ht="14.25" customHeight="1">
      <c r="E1122" s="319"/>
      <c r="F1122" s="319"/>
      <c r="W1122" s="348"/>
      <c r="AA1122" s="319"/>
    </row>
    <row r="1123" spans="5:27" ht="14.25" customHeight="1">
      <c r="E1123" s="319"/>
      <c r="F1123" s="319"/>
      <c r="W1123" s="348"/>
      <c r="AA1123" s="319"/>
    </row>
    <row r="1124" spans="5:27" ht="14.25" customHeight="1">
      <c r="E1124" s="319"/>
      <c r="F1124" s="319"/>
      <c r="W1124" s="348"/>
      <c r="AA1124" s="319"/>
    </row>
    <row r="1125" spans="5:27" ht="14.25" customHeight="1">
      <c r="E1125" s="319"/>
      <c r="F1125" s="319"/>
      <c r="W1125" s="348"/>
      <c r="AA1125" s="319"/>
    </row>
    <row r="1126" spans="5:27" ht="14.25" customHeight="1">
      <c r="E1126" s="319"/>
      <c r="F1126" s="319"/>
      <c r="W1126" s="348"/>
      <c r="AA1126" s="319"/>
    </row>
    <row r="1127" spans="5:27" ht="14.25" customHeight="1">
      <c r="E1127" s="319"/>
      <c r="F1127" s="319"/>
      <c r="W1127" s="348"/>
      <c r="AA1127" s="319"/>
    </row>
    <row r="1128" spans="5:27" ht="14.25" customHeight="1">
      <c r="E1128" s="319"/>
      <c r="F1128" s="319"/>
      <c r="W1128" s="348"/>
      <c r="AA1128" s="319"/>
    </row>
    <row r="1129" spans="5:27" ht="14.25" customHeight="1">
      <c r="E1129" s="319"/>
      <c r="F1129" s="319"/>
      <c r="W1129" s="348"/>
      <c r="AA1129" s="319"/>
    </row>
    <row r="1130" spans="5:27" ht="14.25" customHeight="1">
      <c r="E1130" s="319"/>
      <c r="F1130" s="319"/>
      <c r="W1130" s="348"/>
      <c r="AA1130" s="319"/>
    </row>
    <row r="1131" spans="5:27" ht="14.25" customHeight="1">
      <c r="E1131" s="319"/>
      <c r="F1131" s="319"/>
      <c r="W1131" s="348"/>
      <c r="AA1131" s="319"/>
    </row>
    <row r="1132" spans="5:27" ht="14.25" customHeight="1">
      <c r="E1132" s="319"/>
      <c r="F1132" s="319"/>
      <c r="W1132" s="348"/>
      <c r="AA1132" s="319"/>
    </row>
    <row r="1133" spans="5:27" ht="14.25" customHeight="1">
      <c r="E1133" s="319"/>
      <c r="F1133" s="319"/>
      <c r="W1133" s="348"/>
      <c r="AA1133" s="319"/>
    </row>
    <row r="1134" spans="5:27" ht="14.25" customHeight="1">
      <c r="E1134" s="319"/>
      <c r="F1134" s="319"/>
      <c r="W1134" s="348"/>
      <c r="AA1134" s="319"/>
    </row>
    <row r="1135" spans="5:27" ht="14.25" customHeight="1">
      <c r="E1135" s="319"/>
      <c r="F1135" s="319"/>
      <c r="W1135" s="348"/>
      <c r="AA1135" s="319"/>
    </row>
    <row r="1136" spans="5:27" ht="14.25" customHeight="1">
      <c r="E1136" s="319"/>
      <c r="F1136" s="319"/>
      <c r="W1136" s="348"/>
      <c r="AA1136" s="319"/>
    </row>
    <row r="1137" spans="5:27" ht="14.25" customHeight="1">
      <c r="E1137" s="319"/>
      <c r="F1137" s="319"/>
      <c r="W1137" s="348"/>
      <c r="AA1137" s="319"/>
    </row>
    <row r="1138" spans="5:27" ht="14.25" customHeight="1">
      <c r="E1138" s="319"/>
      <c r="F1138" s="319"/>
      <c r="W1138" s="348"/>
      <c r="AA1138" s="319"/>
    </row>
  </sheetData>
  <sheetProtection password="CC2E" sheet="1" objects="1" scenarios="1"/>
  <mergeCells count="1">
    <mergeCell ref="AJ6:AO6"/>
  </mergeCells>
  <printOptions headings="1"/>
  <pageMargins left="0.7" right="0.7" top="0.75" bottom="0.75" header="0.3" footer="0.3"/>
  <pageSetup orientation="portrait" r:id="rId1"/>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C11:D41"/>
  <sheetViews>
    <sheetView topLeftCell="A4" workbookViewId="0">
      <selection activeCell="I24" sqref="I24"/>
    </sheetView>
  </sheetViews>
  <sheetFormatPr defaultRowHeight="14.45"/>
  <cols>
    <col min="3" max="3" width="17.42578125" style="423" bestFit="1" customWidth="1"/>
  </cols>
  <sheetData>
    <row r="11" spans="3:4">
      <c r="C11" s="423">
        <v>44409</v>
      </c>
      <c r="D11" t="s">
        <v>988</v>
      </c>
    </row>
    <row r="12" spans="3:4">
      <c r="C12" s="423">
        <v>44440</v>
      </c>
      <c r="D12">
        <v>1</v>
      </c>
    </row>
    <row r="13" spans="3:4">
      <c r="C13" s="423">
        <v>44470</v>
      </c>
      <c r="D13">
        <v>2</v>
      </c>
    </row>
    <row r="14" spans="3:4">
      <c r="C14" s="423">
        <v>44501</v>
      </c>
      <c r="D14">
        <v>3</v>
      </c>
    </row>
    <row r="15" spans="3:4">
      <c r="C15" s="423">
        <v>44531</v>
      </c>
      <c r="D15">
        <v>4</v>
      </c>
    </row>
    <row r="16" spans="3:4">
      <c r="C16" s="423">
        <v>44562</v>
      </c>
      <c r="D16">
        <v>5</v>
      </c>
    </row>
    <row r="17" spans="3:4">
      <c r="C17" s="423">
        <v>44593</v>
      </c>
      <c r="D17">
        <v>6</v>
      </c>
    </row>
    <row r="18" spans="3:4">
      <c r="C18" s="423">
        <v>44621</v>
      </c>
      <c r="D18">
        <v>7</v>
      </c>
    </row>
    <row r="19" spans="3:4">
      <c r="C19" s="423">
        <v>44652</v>
      </c>
      <c r="D19">
        <v>8</v>
      </c>
    </row>
    <row r="20" spans="3:4">
      <c r="C20" s="423">
        <v>44682</v>
      </c>
      <c r="D20">
        <v>9</v>
      </c>
    </row>
    <row r="21" spans="3:4">
      <c r="C21" s="423">
        <v>44713</v>
      </c>
      <c r="D21">
        <v>10</v>
      </c>
    </row>
    <row r="22" spans="3:4">
      <c r="C22" s="423">
        <v>44743</v>
      </c>
      <c r="D22">
        <v>11</v>
      </c>
    </row>
    <row r="23" spans="3:4">
      <c r="C23" s="423">
        <v>44774</v>
      </c>
      <c r="D23">
        <v>12</v>
      </c>
    </row>
    <row r="24" spans="3:4">
      <c r="C24" s="423">
        <v>44805</v>
      </c>
      <c r="D24">
        <v>13</v>
      </c>
    </row>
    <row r="25" spans="3:4">
      <c r="C25" s="423">
        <v>44835</v>
      </c>
      <c r="D25">
        <v>14</v>
      </c>
    </row>
    <row r="26" spans="3:4">
      <c r="C26" s="423">
        <v>44866</v>
      </c>
      <c r="D26">
        <v>15</v>
      </c>
    </row>
    <row r="27" spans="3:4">
      <c r="C27" s="423">
        <v>44896</v>
      </c>
      <c r="D27">
        <v>16</v>
      </c>
    </row>
    <row r="28" spans="3:4">
      <c r="C28" s="423">
        <v>44927</v>
      </c>
      <c r="D28">
        <v>17</v>
      </c>
    </row>
    <row r="29" spans="3:4">
      <c r="C29" s="423">
        <v>44958</v>
      </c>
      <c r="D29">
        <v>18</v>
      </c>
    </row>
    <row r="30" spans="3:4">
      <c r="C30" s="423">
        <v>44986</v>
      </c>
      <c r="D30">
        <v>19</v>
      </c>
    </row>
    <row r="31" spans="3:4">
      <c r="C31" s="424">
        <v>45017</v>
      </c>
      <c r="D31" s="412">
        <v>20</v>
      </c>
    </row>
    <row r="32" spans="3:4">
      <c r="C32" s="423">
        <v>45047</v>
      </c>
      <c r="D32">
        <v>21</v>
      </c>
    </row>
    <row r="33" spans="3:4">
      <c r="C33" s="423">
        <v>45078</v>
      </c>
      <c r="D33">
        <v>22</v>
      </c>
    </row>
    <row r="34" spans="3:4">
      <c r="C34" s="423">
        <v>45108</v>
      </c>
      <c r="D34">
        <v>23</v>
      </c>
    </row>
    <row r="35" spans="3:4">
      <c r="C35" s="423">
        <v>45139</v>
      </c>
      <c r="D35">
        <v>24</v>
      </c>
    </row>
    <row r="36" spans="3:4">
      <c r="C36" s="423">
        <v>45170</v>
      </c>
      <c r="D36">
        <v>25</v>
      </c>
    </row>
    <row r="37" spans="3:4">
      <c r="C37" s="423">
        <v>45200</v>
      </c>
      <c r="D37">
        <v>26</v>
      </c>
    </row>
    <row r="38" spans="3:4">
      <c r="C38" s="423">
        <v>45231</v>
      </c>
      <c r="D38">
        <v>27</v>
      </c>
    </row>
    <row r="39" spans="3:4">
      <c r="C39" s="423">
        <v>45261</v>
      </c>
      <c r="D39">
        <v>28</v>
      </c>
    </row>
    <row r="40" spans="3:4">
      <c r="C40" s="423">
        <v>45292</v>
      </c>
      <c r="D40">
        <v>29</v>
      </c>
    </row>
    <row r="41" spans="3:4">
      <c r="C41" s="423">
        <v>45323</v>
      </c>
      <c r="D41">
        <v>30</v>
      </c>
    </row>
  </sheetData>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5EF7B-5DC2-4A15-80A6-C4100025531F}">
  <dimension ref="C3:L115"/>
  <sheetViews>
    <sheetView topLeftCell="A98" workbookViewId="0">
      <selection activeCell="G115" sqref="G115"/>
    </sheetView>
  </sheetViews>
  <sheetFormatPr defaultRowHeight="14.45"/>
  <cols>
    <col min="3" max="3" width="11.5703125" customWidth="1"/>
    <col min="4" max="4" width="7.42578125" bestFit="1" customWidth="1"/>
    <col min="5" max="5" width="18" customWidth="1"/>
    <col min="6" max="6" width="21.7109375" customWidth="1"/>
    <col min="7" max="7" width="21.5703125" bestFit="1" customWidth="1"/>
    <col min="8" max="8" width="10.140625" bestFit="1" customWidth="1"/>
    <col min="11" max="11" width="14.42578125" customWidth="1"/>
    <col min="12" max="12" width="21.85546875" customWidth="1"/>
  </cols>
  <sheetData>
    <row r="3" spans="3:8">
      <c r="C3" s="1204" t="s">
        <v>989</v>
      </c>
      <c r="D3" s="1204" t="s">
        <v>990</v>
      </c>
      <c r="E3" s="1204" t="s">
        <v>991</v>
      </c>
      <c r="F3" s="1204" t="s">
        <v>992</v>
      </c>
      <c r="G3" s="1204" t="s">
        <v>993</v>
      </c>
      <c r="H3" s="103"/>
    </row>
    <row r="4" spans="3:8">
      <c r="D4" t="s">
        <v>429</v>
      </c>
      <c r="E4" t="s">
        <v>994</v>
      </c>
      <c r="F4" s="402">
        <v>45432.34</v>
      </c>
      <c r="G4" s="402">
        <f>F4*1.12</f>
        <v>50884.220800000003</v>
      </c>
    </row>
    <row r="5" spans="3:8">
      <c r="D5" t="s">
        <v>450</v>
      </c>
      <c r="E5" t="s">
        <v>994</v>
      </c>
      <c r="F5" s="402">
        <v>10000</v>
      </c>
      <c r="G5" s="402">
        <f t="shared" ref="G5:G10" si="0">F5*1.12</f>
        <v>11200.000000000002</v>
      </c>
    </row>
    <row r="6" spans="3:8">
      <c r="D6" t="s">
        <v>466</v>
      </c>
      <c r="E6" t="s">
        <v>994</v>
      </c>
      <c r="F6" s="402">
        <v>1350</v>
      </c>
      <c r="G6" s="402">
        <f t="shared" si="0"/>
        <v>1512.0000000000002</v>
      </c>
    </row>
    <row r="7" spans="3:8">
      <c r="D7" t="s">
        <v>487</v>
      </c>
      <c r="E7" t="s">
        <v>994</v>
      </c>
      <c r="F7" s="402">
        <v>119793.79</v>
      </c>
      <c r="G7" s="402">
        <f t="shared" si="0"/>
        <v>134169.0448</v>
      </c>
    </row>
    <row r="8" spans="3:8">
      <c r="D8" t="s">
        <v>690</v>
      </c>
      <c r="E8" t="s">
        <v>994</v>
      </c>
      <c r="F8" s="402">
        <v>11700</v>
      </c>
      <c r="G8" s="402">
        <f t="shared" si="0"/>
        <v>13104.000000000002</v>
      </c>
    </row>
    <row r="9" spans="3:8">
      <c r="D9" t="s">
        <v>670</v>
      </c>
      <c r="E9" t="s">
        <v>994</v>
      </c>
      <c r="F9" s="402">
        <v>12250</v>
      </c>
      <c r="G9" s="402">
        <f t="shared" si="0"/>
        <v>13720.000000000002</v>
      </c>
    </row>
    <row r="10" spans="3:8">
      <c r="D10" t="s">
        <v>756</v>
      </c>
      <c r="E10" t="s">
        <v>994</v>
      </c>
      <c r="F10" s="402">
        <v>9150</v>
      </c>
      <c r="G10" s="402">
        <f t="shared" si="0"/>
        <v>10248.000000000002</v>
      </c>
    </row>
    <row r="11" spans="3:8">
      <c r="G11" s="1205">
        <f>SUM(G4:G10)</f>
        <v>234837.26560000001</v>
      </c>
    </row>
    <row r="14" spans="3:8">
      <c r="C14" t="s">
        <v>995</v>
      </c>
    </row>
    <row r="15" spans="3:8">
      <c r="C15" s="382" t="s">
        <v>989</v>
      </c>
      <c r="D15" s="382" t="s">
        <v>990</v>
      </c>
      <c r="E15" s="382" t="s">
        <v>991</v>
      </c>
      <c r="F15" s="382" t="s">
        <v>992</v>
      </c>
      <c r="G15" s="382" t="s">
        <v>993</v>
      </c>
    </row>
    <row r="16" spans="3:8">
      <c r="C16" s="425"/>
      <c r="D16" s="425"/>
      <c r="E16" s="425"/>
      <c r="F16" s="425"/>
      <c r="G16" s="425"/>
    </row>
    <row r="17" spans="3:8">
      <c r="C17" s="425"/>
      <c r="D17" s="425"/>
      <c r="E17" s="425"/>
      <c r="F17" s="425"/>
      <c r="G17" s="425"/>
    </row>
    <row r="18" spans="3:8">
      <c r="C18" s="425"/>
      <c r="D18" s="425"/>
      <c r="E18" s="425"/>
      <c r="F18" s="425"/>
      <c r="G18" s="425"/>
    </row>
    <row r="19" spans="3:8">
      <c r="C19" s="425"/>
      <c r="D19" s="425"/>
      <c r="E19" s="425"/>
      <c r="F19" s="425"/>
      <c r="G19" s="425"/>
    </row>
    <row r="20" spans="3:8">
      <c r="C20" s="425"/>
      <c r="D20" s="425"/>
      <c r="E20" s="425"/>
      <c r="F20" s="425"/>
      <c r="G20" s="425"/>
    </row>
    <row r="21" spans="3:8">
      <c r="F21" s="402">
        <f>SUM(F16:F20)</f>
        <v>0</v>
      </c>
      <c r="G21" s="402">
        <f>SUM(G16:G20)</f>
        <v>0</v>
      </c>
    </row>
    <row r="25" spans="3:8">
      <c r="C25" s="382" t="s">
        <v>989</v>
      </c>
      <c r="D25" s="382" t="s">
        <v>990</v>
      </c>
      <c r="E25" s="382" t="s">
        <v>991</v>
      </c>
      <c r="F25" s="382" t="s">
        <v>992</v>
      </c>
      <c r="G25" s="382" t="s">
        <v>993</v>
      </c>
    </row>
    <row r="26" spans="3:8">
      <c r="C26" s="1207">
        <v>45627</v>
      </c>
      <c r="D26" s="425" t="s">
        <v>363</v>
      </c>
      <c r="E26" s="425" t="s">
        <v>994</v>
      </c>
      <c r="F26" s="651">
        <v>4250</v>
      </c>
      <c r="G26" s="651">
        <f t="shared" ref="G26:G28" si="1">F26*1.12</f>
        <v>4760</v>
      </c>
    </row>
    <row r="27" spans="3:8">
      <c r="C27" s="1207">
        <v>45627</v>
      </c>
      <c r="D27" s="425" t="s">
        <v>746</v>
      </c>
      <c r="E27" s="425" t="s">
        <v>994</v>
      </c>
      <c r="F27" s="651">
        <v>369145.32000000018</v>
      </c>
      <c r="G27" s="651">
        <f t="shared" si="1"/>
        <v>413442.75840000022</v>
      </c>
    </row>
    <row r="28" spans="3:8">
      <c r="C28" s="1207">
        <v>45627</v>
      </c>
      <c r="D28" s="425" t="s">
        <v>827</v>
      </c>
      <c r="E28" s="425" t="s">
        <v>994</v>
      </c>
      <c r="F28" s="651">
        <v>135000</v>
      </c>
      <c r="G28" s="651">
        <f t="shared" si="1"/>
        <v>151200</v>
      </c>
    </row>
    <row r="29" spans="3:8">
      <c r="G29" s="1205">
        <f>SUM(G26:G28)</f>
        <v>569402.75840000017</v>
      </c>
      <c r="H29" t="s">
        <v>996</v>
      </c>
    </row>
    <row r="30" spans="3:8">
      <c r="H30" s="1208">
        <f>G29/31</f>
        <v>18367.830916129038</v>
      </c>
    </row>
    <row r="33" spans="3:7" ht="15" thickBot="1">
      <c r="C33" s="1212" t="s">
        <v>989</v>
      </c>
      <c r="D33" s="1212" t="s">
        <v>990</v>
      </c>
      <c r="E33" s="1212" t="s">
        <v>991</v>
      </c>
      <c r="F33" s="1212" t="s">
        <v>992</v>
      </c>
      <c r="G33" s="1212" t="s">
        <v>993</v>
      </c>
    </row>
    <row r="34" spans="3:7" ht="15" thickTop="1">
      <c r="C34" s="1210">
        <v>45658</v>
      </c>
      <c r="D34" s="103" t="s">
        <v>997</v>
      </c>
      <c r="E34" s="103" t="s">
        <v>994</v>
      </c>
      <c r="F34" s="1211">
        <v>13150</v>
      </c>
      <c r="G34" s="1211">
        <v>14728.000000000002</v>
      </c>
    </row>
    <row r="37" spans="3:7">
      <c r="G37" s="1205">
        <v>14728.000000000002</v>
      </c>
    </row>
    <row r="39" spans="3:7" ht="15" thickBot="1">
      <c r="C39" s="1212" t="s">
        <v>989</v>
      </c>
      <c r="D39" s="1212" t="s">
        <v>990</v>
      </c>
      <c r="E39" s="1212" t="s">
        <v>991</v>
      </c>
      <c r="F39" s="1212" t="s">
        <v>992</v>
      </c>
      <c r="G39" s="1212" t="s">
        <v>993</v>
      </c>
    </row>
    <row r="40" spans="3:7" ht="15" thickTop="1">
      <c r="C40" s="1210">
        <v>45689</v>
      </c>
      <c r="D40" s="103" t="s">
        <v>528</v>
      </c>
      <c r="E40" s="103" t="s">
        <v>994</v>
      </c>
      <c r="F40">
        <v>13150</v>
      </c>
      <c r="G40" s="1213">
        <f t="shared" ref="G40:G41" si="2">F40*1.12</f>
        <v>14728.000000000002</v>
      </c>
    </row>
    <row r="41" spans="3:7">
      <c r="C41" s="103"/>
      <c r="D41" s="103" t="s">
        <v>626</v>
      </c>
      <c r="E41" s="103" t="s">
        <v>994</v>
      </c>
      <c r="F41">
        <v>13150</v>
      </c>
      <c r="G41" s="1213">
        <f t="shared" si="2"/>
        <v>14728.000000000002</v>
      </c>
    </row>
    <row r="42" spans="3:7">
      <c r="C42" s="103"/>
      <c r="D42" s="103"/>
      <c r="E42" s="103"/>
    </row>
    <row r="43" spans="3:7">
      <c r="C43" s="103"/>
      <c r="D43" s="103"/>
      <c r="E43" s="103"/>
      <c r="G43" s="1205">
        <f>SUM(G40:G42)</f>
        <v>29456.000000000004</v>
      </c>
    </row>
    <row r="46" spans="3:7" ht="15" thickBot="1">
      <c r="C46" s="1212" t="s">
        <v>989</v>
      </c>
      <c r="D46" s="1212" t="s">
        <v>990</v>
      </c>
      <c r="E46" s="1212" t="s">
        <v>991</v>
      </c>
      <c r="F46" s="1212" t="s">
        <v>992</v>
      </c>
      <c r="G46" s="1212" t="s">
        <v>993</v>
      </c>
    </row>
    <row r="47" spans="3:7" ht="15" thickTop="1">
      <c r="C47" s="1002">
        <v>45717</v>
      </c>
      <c r="D47" t="s">
        <v>363</v>
      </c>
      <c r="E47" s="103" t="s">
        <v>994</v>
      </c>
      <c r="F47" s="402">
        <v>19000</v>
      </c>
      <c r="G47" s="402">
        <f>F47*1.12</f>
        <v>21280.000000000004</v>
      </c>
    </row>
    <row r="48" spans="3:7">
      <c r="D48" t="s">
        <v>487</v>
      </c>
      <c r="E48" s="103" t="s">
        <v>994</v>
      </c>
      <c r="F48" s="402">
        <v>19000</v>
      </c>
      <c r="G48" s="402">
        <f t="shared" ref="G48" si="3">F48*1.12</f>
        <v>21280.000000000004</v>
      </c>
    </row>
    <row r="49" spans="3:7">
      <c r="F49" s="402"/>
      <c r="G49" s="402"/>
    </row>
    <row r="50" spans="3:7">
      <c r="F50" s="402"/>
      <c r="G50" s="402"/>
    </row>
    <row r="51" spans="3:7">
      <c r="F51" s="402"/>
      <c r="G51" s="402">
        <f>SUM(G47:G50)</f>
        <v>42560.000000000007</v>
      </c>
    </row>
    <row r="53" spans="3:7" ht="15" thickBot="1">
      <c r="C53" s="1212" t="s">
        <v>989</v>
      </c>
      <c r="D53" s="1212" t="s">
        <v>990</v>
      </c>
      <c r="E53" s="1212" t="s">
        <v>991</v>
      </c>
      <c r="F53" s="1212" t="s">
        <v>992</v>
      </c>
      <c r="G53" s="1212" t="s">
        <v>993</v>
      </c>
    </row>
    <row r="54" spans="3:7" ht="15" thickTop="1">
      <c r="C54" s="1210">
        <v>45748</v>
      </c>
      <c r="D54" s="103"/>
      <c r="E54" s="103"/>
      <c r="F54" s="1211">
        <v>0</v>
      </c>
      <c r="G54" s="1211">
        <v>0</v>
      </c>
    </row>
    <row r="57" spans="3:7" ht="15" thickBot="1">
      <c r="C57" s="1212" t="s">
        <v>989</v>
      </c>
      <c r="D57" s="1212" t="s">
        <v>990</v>
      </c>
      <c r="E57" s="1212" t="s">
        <v>991</v>
      </c>
      <c r="F57" s="1212" t="s">
        <v>992</v>
      </c>
      <c r="G57" s="1212" t="s">
        <v>993</v>
      </c>
    </row>
    <row r="58" spans="3:7" ht="15" thickTop="1">
      <c r="C58" s="1210">
        <v>45778</v>
      </c>
      <c r="D58" s="103" t="s">
        <v>363</v>
      </c>
      <c r="E58" s="103" t="s">
        <v>998</v>
      </c>
      <c r="F58" s="1226">
        <v>19000</v>
      </c>
      <c r="G58" s="1227">
        <f>F58*1.12</f>
        <v>21280.000000000004</v>
      </c>
    </row>
    <row r="59" spans="3:7">
      <c r="D59" t="s">
        <v>554</v>
      </c>
      <c r="E59" s="103" t="s">
        <v>998</v>
      </c>
      <c r="F59" s="1228">
        <v>42458.979999999996</v>
      </c>
      <c r="G59" s="1227">
        <f t="shared" ref="G59:G73" si="4">F59*1.12</f>
        <v>47554.0576</v>
      </c>
    </row>
    <row r="60" spans="3:7">
      <c r="D60" t="s">
        <v>563</v>
      </c>
      <c r="E60" s="103" t="s">
        <v>998</v>
      </c>
      <c r="F60" s="1228">
        <v>13150</v>
      </c>
      <c r="G60" s="1227">
        <f t="shared" si="4"/>
        <v>14728.000000000002</v>
      </c>
    </row>
    <row r="61" spans="3:7">
      <c r="D61" t="s">
        <v>645</v>
      </c>
      <c r="E61" s="103" t="s">
        <v>998</v>
      </c>
      <c r="F61" s="1228">
        <v>13150</v>
      </c>
      <c r="G61" s="1227">
        <f t="shared" si="4"/>
        <v>14728.000000000002</v>
      </c>
    </row>
    <row r="62" spans="3:7">
      <c r="D62" t="s">
        <v>666</v>
      </c>
      <c r="E62" s="103" t="s">
        <v>998</v>
      </c>
      <c r="F62" s="1228">
        <v>11700</v>
      </c>
      <c r="G62" s="1227">
        <f t="shared" si="4"/>
        <v>13104.000000000002</v>
      </c>
    </row>
    <row r="63" spans="3:7">
      <c r="D63" t="s">
        <v>667</v>
      </c>
      <c r="E63" s="103" t="s">
        <v>998</v>
      </c>
      <c r="F63" s="1228">
        <v>12150</v>
      </c>
      <c r="G63" s="1227">
        <f t="shared" si="4"/>
        <v>13608.000000000002</v>
      </c>
    </row>
    <row r="64" spans="3:7">
      <c r="D64" t="s">
        <v>748</v>
      </c>
      <c r="E64" s="103" t="s">
        <v>998</v>
      </c>
      <c r="F64" s="1228">
        <v>13150</v>
      </c>
      <c r="G64" s="1227">
        <f t="shared" si="4"/>
        <v>14728.000000000002</v>
      </c>
    </row>
    <row r="65" spans="3:7">
      <c r="D65" t="s">
        <v>752</v>
      </c>
      <c r="E65" s="103" t="s">
        <v>998</v>
      </c>
      <c r="F65" s="1228">
        <v>13150</v>
      </c>
      <c r="G65" s="1227">
        <f t="shared" si="4"/>
        <v>14728.000000000002</v>
      </c>
    </row>
    <row r="66" spans="3:7">
      <c r="D66" t="s">
        <v>753</v>
      </c>
      <c r="E66" s="103" t="s">
        <v>998</v>
      </c>
      <c r="F66" s="1228">
        <v>13150</v>
      </c>
      <c r="G66" s="1227">
        <f t="shared" si="4"/>
        <v>14728.000000000002</v>
      </c>
    </row>
    <row r="67" spans="3:7">
      <c r="D67" t="s">
        <v>780</v>
      </c>
      <c r="E67" s="103" t="s">
        <v>998</v>
      </c>
      <c r="F67" s="1228">
        <v>12700</v>
      </c>
      <c r="G67" s="1227">
        <f t="shared" si="4"/>
        <v>14224.000000000002</v>
      </c>
    </row>
    <row r="68" spans="3:7">
      <c r="D68" t="s">
        <v>781</v>
      </c>
      <c r="E68" s="103" t="s">
        <v>998</v>
      </c>
      <c r="F68" s="1228">
        <v>13150</v>
      </c>
      <c r="G68" s="1227">
        <f t="shared" si="4"/>
        <v>14728.000000000002</v>
      </c>
    </row>
    <row r="69" spans="3:7">
      <c r="D69" t="s">
        <v>999</v>
      </c>
      <c r="E69" s="103" t="s">
        <v>998</v>
      </c>
      <c r="F69" s="1228">
        <v>7250</v>
      </c>
      <c r="G69" s="1227">
        <f t="shared" si="4"/>
        <v>8120.0000000000009</v>
      </c>
    </row>
    <row r="70" spans="3:7">
      <c r="D70" t="s">
        <v>794</v>
      </c>
      <c r="E70" s="103" t="s">
        <v>998</v>
      </c>
      <c r="F70" s="1228">
        <v>13150</v>
      </c>
      <c r="G70" s="1227">
        <f t="shared" si="4"/>
        <v>14728.000000000002</v>
      </c>
    </row>
    <row r="71" spans="3:7">
      <c r="D71" t="s">
        <v>799</v>
      </c>
      <c r="E71" s="103" t="s">
        <v>998</v>
      </c>
      <c r="F71" s="1228">
        <v>63796.93</v>
      </c>
      <c r="G71" s="1227">
        <f t="shared" si="4"/>
        <v>71452.561600000001</v>
      </c>
    </row>
    <row r="72" spans="3:7">
      <c r="D72" t="s">
        <v>807</v>
      </c>
      <c r="E72" s="103" t="s">
        <v>998</v>
      </c>
      <c r="F72" s="1228">
        <v>10700</v>
      </c>
      <c r="G72" s="1227">
        <f t="shared" si="4"/>
        <v>11984.000000000002</v>
      </c>
    </row>
    <row r="73" spans="3:7">
      <c r="D73" t="s">
        <v>834</v>
      </c>
      <c r="E73" s="103" t="s">
        <v>998</v>
      </c>
      <c r="F73" s="1228">
        <v>60107.47</v>
      </c>
      <c r="G73" s="1227">
        <f t="shared" si="4"/>
        <v>67320.366400000014</v>
      </c>
    </row>
    <row r="74" spans="3:7">
      <c r="F74" s="412"/>
      <c r="G74" s="412"/>
    </row>
    <row r="75" spans="3:7">
      <c r="F75" s="1229">
        <f>SUM(F58:F73)</f>
        <v>331913.38</v>
      </c>
      <c r="G75" s="1229">
        <f>SUM(G58:G73)</f>
        <v>371742.98560000001</v>
      </c>
    </row>
    <row r="78" spans="3:7" ht="15" thickBot="1">
      <c r="C78" s="1212" t="s">
        <v>989</v>
      </c>
      <c r="D78" s="1212" t="s">
        <v>990</v>
      </c>
      <c r="E78" s="1212" t="s">
        <v>991</v>
      </c>
      <c r="F78" s="1212" t="s">
        <v>992</v>
      </c>
      <c r="G78" s="1212" t="s">
        <v>993</v>
      </c>
    </row>
    <row r="79" spans="3:7" ht="15" thickTop="1">
      <c r="C79" s="1210">
        <v>45809</v>
      </c>
      <c r="D79" t="s">
        <v>564</v>
      </c>
      <c r="E79" s="103" t="s">
        <v>998</v>
      </c>
      <c r="F79" s="1228">
        <v>76017.17</v>
      </c>
      <c r="G79" s="1227">
        <f>F79*1.12</f>
        <v>85139.2304</v>
      </c>
    </row>
    <row r="80" spans="3:7">
      <c r="D80" t="s">
        <v>583</v>
      </c>
      <c r="E80" s="103" t="s">
        <v>998</v>
      </c>
      <c r="F80" s="1228">
        <v>11700</v>
      </c>
      <c r="G80" s="1227">
        <f>F80*1.12</f>
        <v>13104.000000000002</v>
      </c>
    </row>
    <row r="81" spans="3:12">
      <c r="D81" t="s">
        <v>819</v>
      </c>
      <c r="E81" s="103" t="s">
        <v>998</v>
      </c>
      <c r="F81" s="1228">
        <v>67852.01999999999</v>
      </c>
      <c r="G81" s="1227">
        <v>75994.262399999992</v>
      </c>
    </row>
    <row r="82" spans="3:12">
      <c r="D82" t="s">
        <v>820</v>
      </c>
      <c r="E82" s="103" t="s">
        <v>998</v>
      </c>
      <c r="F82" s="1228">
        <v>67852.01999999999</v>
      </c>
      <c r="G82" s="1227">
        <v>75994.262399999992</v>
      </c>
    </row>
    <row r="84" spans="3:12">
      <c r="G84" s="1205">
        <f>SUM(G79:G83)</f>
        <v>250231.75520000001</v>
      </c>
    </row>
    <row r="87" spans="3:12" ht="15" thickBot="1">
      <c r="C87" s="1212" t="s">
        <v>989</v>
      </c>
      <c r="D87" s="1212" t="s">
        <v>990</v>
      </c>
      <c r="E87" s="1212" t="s">
        <v>991</v>
      </c>
      <c r="F87" s="1212" t="s">
        <v>992</v>
      </c>
      <c r="G87" s="1212" t="s">
        <v>993</v>
      </c>
    </row>
    <row r="88" spans="3:12" ht="15" thickTop="1">
      <c r="C88" s="1210">
        <v>45839</v>
      </c>
      <c r="D88" t="s">
        <v>348</v>
      </c>
      <c r="E88" s="103" t="s">
        <v>998</v>
      </c>
      <c r="F88" s="1228">
        <v>27797.03</v>
      </c>
      <c r="G88" s="1227">
        <f>F88*1.12</f>
        <v>31132.673600000002</v>
      </c>
    </row>
    <row r="89" spans="3:12">
      <c r="D89" t="s">
        <v>369</v>
      </c>
      <c r="E89" s="103" t="s">
        <v>998</v>
      </c>
      <c r="F89" s="1228">
        <v>12150</v>
      </c>
      <c r="G89" s="1227">
        <f t="shared" ref="G89:G95" si="5">F89*1.12</f>
        <v>13608.000000000002</v>
      </c>
      <c r="K89" s="1231"/>
      <c r="L89" s="1230"/>
    </row>
    <row r="90" spans="3:12">
      <c r="D90" t="s">
        <v>395</v>
      </c>
      <c r="E90" s="103" t="s">
        <v>998</v>
      </c>
      <c r="F90" s="1228">
        <v>12250</v>
      </c>
      <c r="G90" s="1227">
        <f t="shared" si="5"/>
        <v>13720.000000000002</v>
      </c>
      <c r="K90" s="1231"/>
      <c r="L90" s="1230"/>
    </row>
    <row r="91" spans="3:12">
      <c r="D91" t="s">
        <v>532</v>
      </c>
      <c r="E91" s="103" t="s">
        <v>998</v>
      </c>
      <c r="F91" s="1228">
        <v>11700</v>
      </c>
      <c r="G91" s="1227">
        <f t="shared" si="5"/>
        <v>13104.000000000002</v>
      </c>
      <c r="K91" s="1231"/>
      <c r="L91" s="1230"/>
    </row>
    <row r="92" spans="3:12">
      <c r="D92" t="s">
        <v>534</v>
      </c>
      <c r="E92" s="103" t="s">
        <v>998</v>
      </c>
      <c r="F92" s="1228">
        <v>12150</v>
      </c>
      <c r="G92" s="1227">
        <f t="shared" si="5"/>
        <v>13608.000000000002</v>
      </c>
      <c r="K92" s="1231"/>
      <c r="L92" s="1230"/>
    </row>
    <row r="93" spans="3:12">
      <c r="D93" t="s">
        <v>712</v>
      </c>
      <c r="E93" s="103" t="s">
        <v>998</v>
      </c>
      <c r="F93" s="1228">
        <v>10000</v>
      </c>
      <c r="G93" s="1227">
        <f t="shared" si="5"/>
        <v>11200.000000000002</v>
      </c>
      <c r="K93" s="1231"/>
      <c r="L93" s="1230"/>
    </row>
    <row r="94" spans="3:12">
      <c r="D94" t="s">
        <v>758</v>
      </c>
      <c r="E94" s="103" t="s">
        <v>998</v>
      </c>
      <c r="F94" s="1228">
        <v>12250</v>
      </c>
      <c r="G94" s="1227">
        <f t="shared" si="5"/>
        <v>13720.000000000002</v>
      </c>
      <c r="K94" s="1231"/>
      <c r="L94" s="1230"/>
    </row>
    <row r="95" spans="3:12">
      <c r="D95" t="s">
        <v>792</v>
      </c>
      <c r="E95" s="103" t="s">
        <v>998</v>
      </c>
      <c r="F95" s="1228">
        <v>53216.037397149732</v>
      </c>
      <c r="G95" s="1227">
        <f t="shared" si="5"/>
        <v>59601.961884807708</v>
      </c>
      <c r="K95" s="1231"/>
      <c r="L95" s="1230"/>
    </row>
    <row r="96" spans="3:12">
      <c r="E96" s="103"/>
      <c r="F96" s="1228"/>
      <c r="G96" s="1227"/>
      <c r="K96" s="1231"/>
      <c r="L96" s="1230"/>
    </row>
    <row r="97" spans="3:12">
      <c r="G97" s="1205">
        <f>SUM(G88:G95)</f>
        <v>169694.63548480772</v>
      </c>
    </row>
    <row r="99" spans="3:12" ht="15" thickBot="1">
      <c r="C99" s="1212" t="s">
        <v>989</v>
      </c>
      <c r="D99" s="1212" t="s">
        <v>990</v>
      </c>
      <c r="E99" s="1212" t="s">
        <v>991</v>
      </c>
      <c r="F99" s="1212" t="s">
        <v>992</v>
      </c>
      <c r="G99" s="1212" t="s">
        <v>993</v>
      </c>
    </row>
    <row r="100" spans="3:12" ht="15" thickTop="1">
      <c r="C100" s="1210">
        <v>45870</v>
      </c>
      <c r="D100" t="s">
        <v>809</v>
      </c>
      <c r="E100" s="103" t="s">
        <v>998</v>
      </c>
      <c r="F100" s="1228">
        <v>12250</v>
      </c>
      <c r="G100" s="1227">
        <f>F100*1.12</f>
        <v>13720.000000000002</v>
      </c>
    </row>
    <row r="101" spans="3:12">
      <c r="E101" s="103"/>
      <c r="F101" s="1228"/>
      <c r="G101" s="1227"/>
    </row>
    <row r="102" spans="3:12">
      <c r="E102" s="103"/>
      <c r="F102" s="1228"/>
      <c r="G102" s="1227"/>
    </row>
    <row r="103" spans="3:12">
      <c r="E103" s="103"/>
      <c r="F103" s="1228"/>
      <c r="G103" s="1227"/>
    </row>
    <row r="105" spans="3:12">
      <c r="G105" s="1205">
        <f>SUM(G100:G104)</f>
        <v>13720.000000000002</v>
      </c>
    </row>
    <row r="106" spans="3:12">
      <c r="L106" t="s">
        <v>1000</v>
      </c>
    </row>
    <row r="107" spans="3:12" ht="15" thickBot="1">
      <c r="C107" s="1212" t="s">
        <v>989</v>
      </c>
      <c r="D107" s="1212" t="s">
        <v>990</v>
      </c>
      <c r="E107" s="1212" t="s">
        <v>991</v>
      </c>
      <c r="F107" s="1212" t="s">
        <v>992</v>
      </c>
      <c r="G107" s="1212" t="s">
        <v>993</v>
      </c>
      <c r="K107" t="s">
        <v>1001</v>
      </c>
      <c r="L107" s="402">
        <v>3272051.608294595</v>
      </c>
    </row>
    <row r="108" spans="3:12" ht="15" thickTop="1">
      <c r="D108" t="s">
        <v>392</v>
      </c>
      <c r="E108" t="s">
        <v>125</v>
      </c>
      <c r="F108" s="402">
        <v>151663.39000000001</v>
      </c>
      <c r="G108" s="402">
        <f>F108*1.12</f>
        <v>169862.99680000002</v>
      </c>
      <c r="J108" t="s">
        <v>4</v>
      </c>
      <c r="K108">
        <v>20</v>
      </c>
      <c r="L108" s="1282">
        <f>$L$107*K108/$K$111</f>
        <v>495765.39519615076</v>
      </c>
    </row>
    <row r="109" spans="3:12">
      <c r="D109" t="s">
        <v>729</v>
      </c>
      <c r="E109" t="s">
        <v>125</v>
      </c>
      <c r="F109" s="402">
        <v>10000</v>
      </c>
      <c r="G109" s="402">
        <f t="shared" ref="G109:G110" si="6">F109*1.12</f>
        <v>11200.000000000002</v>
      </c>
      <c r="J109" t="s">
        <v>5</v>
      </c>
      <c r="K109">
        <v>44</v>
      </c>
      <c r="L109" s="1282">
        <f t="shared" ref="L109:L110" si="7">$L$107*K109/$K$111</f>
        <v>1090683.8694315318</v>
      </c>
    </row>
    <row r="110" spans="3:12">
      <c r="D110" t="s">
        <v>816</v>
      </c>
      <c r="E110" t="s">
        <v>125</v>
      </c>
      <c r="F110" s="402">
        <v>12150</v>
      </c>
      <c r="G110" s="402">
        <f t="shared" si="6"/>
        <v>13608.000000000002</v>
      </c>
      <c r="J110" s="1291" t="s">
        <v>6</v>
      </c>
      <c r="K110" s="1291">
        <v>68</v>
      </c>
      <c r="L110" s="1292">
        <f t="shared" si="7"/>
        <v>1685602.3436669125</v>
      </c>
    </row>
    <row r="111" spans="3:12">
      <c r="K111">
        <f>SUM(K108:K110)</f>
        <v>132</v>
      </c>
    </row>
    <row r="112" spans="3:12">
      <c r="G112" s="1293">
        <f>SUM(G108:G110)</f>
        <v>194670.99680000002</v>
      </c>
    </row>
    <row r="115" spans="6:7">
      <c r="F115" s="383" t="s">
        <v>1002</v>
      </c>
      <c r="G115" s="1294">
        <f>G112+L110</f>
        <v>1880273.3404669126</v>
      </c>
    </row>
  </sheetData>
  <sheetProtection password="CC2E" sheet="1" objects="1" scenarios="1"/>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7" filterMode="1">
    <tabColor theme="9" tint="0.39997558519241921"/>
    <pageSetUpPr fitToPage="1"/>
  </sheetPr>
  <dimension ref="A1:AU464"/>
  <sheetViews>
    <sheetView tabSelected="1" zoomScale="85" zoomScaleNormal="85" workbookViewId="0">
      <pane xSplit="3" ySplit="6" topLeftCell="E70" activePane="bottomRight" state="frozen"/>
      <selection pane="bottomRight" activeCell="F126" sqref="F126"/>
      <selection pane="bottomLeft" activeCell="F20" sqref="F20:H20"/>
      <selection pane="topRight" activeCell="F20" sqref="F20:H20"/>
    </sheetView>
  </sheetViews>
  <sheetFormatPr defaultColWidth="8.85546875" defaultRowHeight="12.95"/>
  <cols>
    <col min="1" max="1" width="8.42578125" style="162" hidden="1" customWidth="1"/>
    <col min="2" max="2" width="8" style="162" hidden="1" customWidth="1"/>
    <col min="3" max="3" width="17.85546875" style="162" bestFit="1" customWidth="1"/>
    <col min="4" max="4" width="9.85546875" style="119" hidden="1" customWidth="1"/>
    <col min="5" max="6" width="13.42578125" style="119" customWidth="1"/>
    <col min="7" max="7" width="10.85546875" style="119" bestFit="1" customWidth="1"/>
    <col min="8" max="8" width="13.140625" style="119" bestFit="1" customWidth="1"/>
    <col min="9" max="9" width="14.5703125" style="119" customWidth="1"/>
    <col min="10" max="10" width="12.42578125" style="119" customWidth="1"/>
    <col min="11" max="11" width="17.85546875" style="119" customWidth="1"/>
    <col min="12" max="12" width="11" style="827" customWidth="1"/>
    <col min="13" max="13" width="11.5703125" style="119" bestFit="1" customWidth="1"/>
    <col min="14" max="14" width="14.42578125" style="119" customWidth="1"/>
    <col min="15" max="15" width="13.140625" style="119" customWidth="1"/>
    <col min="16" max="16" width="12.85546875" style="162" customWidth="1"/>
    <col min="17" max="17" width="13.85546875" style="119" bestFit="1" customWidth="1"/>
    <col min="18" max="18" width="16.85546875" style="119" bestFit="1" customWidth="1"/>
    <col min="19" max="19" width="14.140625" style="119" customWidth="1"/>
    <col min="20" max="20" width="13.5703125" style="119" customWidth="1"/>
    <col min="21" max="21" width="13.85546875" style="119" customWidth="1"/>
    <col min="22" max="22" width="13.5703125" style="119" customWidth="1"/>
    <col min="23" max="26" width="14.5703125" style="497" customWidth="1"/>
    <col min="27" max="27" width="10.85546875" style="677" customWidth="1"/>
    <col min="28" max="28" width="9.85546875" style="677" customWidth="1"/>
    <col min="29" max="29" width="12.85546875" style="677" customWidth="1"/>
    <col min="30" max="30" width="11" style="497" customWidth="1"/>
    <col min="31" max="31" width="9.140625" style="497" customWidth="1"/>
    <col min="32" max="32" width="14.42578125" style="497" customWidth="1"/>
    <col min="33" max="33" width="13.5703125" style="497" customWidth="1"/>
    <col min="34" max="35" width="9.140625" style="677" customWidth="1"/>
    <col min="36" max="36" width="13.5703125" style="677" customWidth="1"/>
    <col min="37" max="37" width="11" style="677" customWidth="1"/>
    <col min="38" max="40" width="9.140625" style="521" customWidth="1"/>
    <col min="41" max="45" width="8.85546875" style="521"/>
    <col min="46" max="16384" width="8.85546875" style="119"/>
  </cols>
  <sheetData>
    <row r="1" spans="1:45" s="521" customFormat="1">
      <c r="A1" s="522"/>
      <c r="B1" s="522"/>
      <c r="C1" s="964" t="s">
        <v>51</v>
      </c>
      <c r="L1" s="824"/>
      <c r="P1" s="522"/>
      <c r="W1" s="497"/>
      <c r="X1" s="497"/>
      <c r="Y1" s="497"/>
      <c r="Z1" s="497"/>
      <c r="AA1" s="677"/>
      <c r="AB1" s="677"/>
      <c r="AC1" s="677"/>
      <c r="AD1" s="497"/>
      <c r="AE1" s="497"/>
      <c r="AF1" s="497"/>
      <c r="AG1" s="497"/>
      <c r="AH1" s="677"/>
      <c r="AI1" s="677"/>
      <c r="AJ1" s="677"/>
      <c r="AK1" s="677"/>
    </row>
    <row r="2" spans="1:45" s="521" customFormat="1">
      <c r="A2" s="522"/>
      <c r="B2" s="522"/>
      <c r="C2" s="964" t="s">
        <v>61</v>
      </c>
      <c r="L2" s="824"/>
      <c r="P2" s="522"/>
      <c r="W2" s="497"/>
      <c r="X2" s="497"/>
      <c r="Y2" s="497"/>
      <c r="Z2" s="497"/>
      <c r="AA2" s="677"/>
      <c r="AB2" s="677"/>
      <c r="AC2" s="677"/>
      <c r="AD2" s="497"/>
      <c r="AE2" s="497"/>
      <c r="AF2" s="497"/>
      <c r="AG2" s="497"/>
      <c r="AH2" s="677"/>
      <c r="AI2" s="677"/>
      <c r="AJ2" s="677"/>
      <c r="AK2" s="677"/>
    </row>
    <row r="3" spans="1:45" s="521" customFormat="1">
      <c r="A3" s="522"/>
      <c r="B3" s="522"/>
      <c r="C3" s="964" t="s">
        <v>865</v>
      </c>
      <c r="L3" s="824"/>
      <c r="P3" s="522"/>
      <c r="W3" s="497"/>
      <c r="X3" s="497"/>
      <c r="Y3" s="497"/>
      <c r="Z3" s="497"/>
      <c r="AA3" s="677"/>
      <c r="AB3" s="677"/>
      <c r="AC3" s="677"/>
      <c r="AD3" s="497"/>
      <c r="AE3" s="497"/>
      <c r="AF3" s="497"/>
      <c r="AG3" s="497"/>
      <c r="AH3" s="677"/>
      <c r="AI3" s="677"/>
      <c r="AJ3" s="677"/>
      <c r="AK3" s="677"/>
    </row>
    <row r="4" spans="1:45" s="521" customFormat="1">
      <c r="A4" s="522"/>
      <c r="B4" s="522"/>
      <c r="C4" s="965" t="s">
        <v>1003</v>
      </c>
      <c r="D4" s="522"/>
      <c r="E4" s="522"/>
      <c r="F4" s="522"/>
      <c r="G4" s="522"/>
      <c r="H4" s="522"/>
      <c r="I4" s="522"/>
      <c r="J4" s="522"/>
      <c r="K4" s="522"/>
      <c r="L4" s="825"/>
      <c r="M4" s="522"/>
      <c r="N4" s="522"/>
      <c r="O4" s="522"/>
      <c r="P4" s="522"/>
      <c r="Q4" s="522"/>
      <c r="R4" s="522"/>
      <c r="S4" s="522"/>
      <c r="T4" s="522"/>
      <c r="W4" s="497"/>
      <c r="X4" s="497"/>
      <c r="Y4" s="497"/>
      <c r="Z4" s="497"/>
      <c r="AA4" s="677"/>
      <c r="AB4" s="677"/>
      <c r="AC4" s="677"/>
      <c r="AD4" s="497"/>
      <c r="AE4" s="497"/>
      <c r="AF4" s="497"/>
      <c r="AG4" s="497"/>
      <c r="AH4" s="677"/>
      <c r="AI4" s="677"/>
      <c r="AJ4" s="677"/>
      <c r="AK4" s="677"/>
    </row>
    <row r="5" spans="1:45" ht="13.5" thickBot="1">
      <c r="A5" s="1319" t="s">
        <v>1004</v>
      </c>
      <c r="B5" s="1319"/>
      <c r="C5" s="522"/>
      <c r="D5" s="708" t="s">
        <v>72</v>
      </c>
      <c r="E5" s="521"/>
      <c r="F5" s="522"/>
      <c r="G5" s="521"/>
      <c r="H5" s="521"/>
      <c r="I5" s="521"/>
      <c r="J5" s="521"/>
      <c r="K5" s="521"/>
      <c r="L5" s="824"/>
      <c r="M5" s="521"/>
      <c r="N5" s="521"/>
      <c r="O5" s="521"/>
      <c r="P5" s="522"/>
      <c r="Q5" s="521"/>
      <c r="R5" s="521"/>
      <c r="S5" s="521"/>
      <c r="T5" s="521"/>
      <c r="U5" s="521"/>
      <c r="V5" s="521"/>
      <c r="W5" s="1320" t="s">
        <v>1005</v>
      </c>
      <c r="X5" s="1320"/>
      <c r="Y5" s="1320"/>
      <c r="Z5" s="1320"/>
    </row>
    <row r="6" spans="1:45" ht="39.6" thickBot="1">
      <c r="A6" s="629" t="s">
        <v>1006</v>
      </c>
      <c r="B6" s="630" t="s">
        <v>98</v>
      </c>
      <c r="C6" s="966" t="s">
        <v>101</v>
      </c>
      <c r="D6" s="967" t="s">
        <v>871</v>
      </c>
      <c r="E6" s="968" t="s">
        <v>103</v>
      </c>
      <c r="F6" s="969" t="s">
        <v>105</v>
      </c>
      <c r="G6" s="966" t="s">
        <v>106</v>
      </c>
      <c r="H6" s="967" t="s">
        <v>872</v>
      </c>
      <c r="I6" s="967" t="s">
        <v>1007</v>
      </c>
      <c r="J6" s="967" t="s">
        <v>880</v>
      </c>
      <c r="K6" s="970" t="s">
        <v>170</v>
      </c>
      <c r="L6" s="971" t="s">
        <v>171</v>
      </c>
      <c r="M6" s="970" t="s">
        <v>172</v>
      </c>
      <c r="N6" s="970" t="s">
        <v>173</v>
      </c>
      <c r="O6" s="970" t="s">
        <v>174</v>
      </c>
      <c r="P6" s="967" t="s">
        <v>175</v>
      </c>
      <c r="Q6" s="970" t="s">
        <v>176</v>
      </c>
      <c r="R6" s="972" t="s">
        <v>178</v>
      </c>
      <c r="S6" s="962" t="s">
        <v>179</v>
      </c>
      <c r="T6" s="962" t="s">
        <v>180</v>
      </c>
      <c r="U6" s="962" t="s">
        <v>181</v>
      </c>
      <c r="V6" s="963" t="s">
        <v>182</v>
      </c>
      <c r="W6" s="1160" t="s">
        <v>1008</v>
      </c>
      <c r="X6" s="1160" t="s">
        <v>1009</v>
      </c>
      <c r="Y6" s="1160" t="s">
        <v>1010</v>
      </c>
      <c r="Z6" s="1160" t="s">
        <v>1011</v>
      </c>
      <c r="AA6" s="677" t="s">
        <v>985</v>
      </c>
      <c r="AB6" s="677" t="s">
        <v>1012</v>
      </c>
      <c r="AC6" s="677" t="s">
        <v>1013</v>
      </c>
    </row>
    <row r="7" spans="1:45" hidden="1">
      <c r="A7" s="631" t="str">
        <f>E7</f>
        <v>W-3A</v>
      </c>
      <c r="B7" s="632" t="str">
        <f>'Corrected and Updated TSF 3'!EP7</f>
        <v>SOLD</v>
      </c>
      <c r="C7" s="820" t="str">
        <f>'Corrected and Updated TSF 3'!E7</f>
        <v>3rd Floor</v>
      </c>
      <c r="D7" s="628">
        <f>'INTERNAL PRICELIST'!D7</f>
        <v>0</v>
      </c>
      <c r="E7" s="596" t="str">
        <f>'Corrected and Updated TSF 3'!G7</f>
        <v>W-3A</v>
      </c>
      <c r="F7" s="401" t="str">
        <f>'Corrected and Updated TSF 3'!I7</f>
        <v>Studio</v>
      </c>
      <c r="G7" s="633">
        <f>'Corrected and Updated TSF 3'!J7</f>
        <v>22</v>
      </c>
      <c r="H7" s="633">
        <f>'Corrected and Updated TSF 3'!CG7</f>
        <v>3800059.0837362926</v>
      </c>
      <c r="I7" s="633">
        <f>SUM('Corrected and Updated TSF 3'!CI7:CJ7)</f>
        <v>484507.53317637724</v>
      </c>
      <c r="J7" s="633">
        <f>'Corrected and Updated TSF 3'!CH7</f>
        <v>0</v>
      </c>
      <c r="K7" s="633">
        <f>'Corrected and Updated TSF 3'!CK7</f>
        <v>4284566.6169126695</v>
      </c>
      <c r="L7" s="634">
        <f>'Corrected and Updated TSF 3'!CL7</f>
        <v>0.125</v>
      </c>
      <c r="M7" s="633">
        <f>'Corrected and Updated TSF 3'!CM7</f>
        <v>535570.82711408369</v>
      </c>
      <c r="N7" s="633">
        <f>'Corrected and Updated TSF 3'!CN7</f>
        <v>30000</v>
      </c>
      <c r="O7" s="633">
        <f>'Corrected and Updated TSF 3'!CO7</f>
        <v>505570.82711408369</v>
      </c>
      <c r="P7" s="401">
        <f>'Corrected and Updated TSF 3'!CP7</f>
        <v>29</v>
      </c>
      <c r="Q7" s="633">
        <f>'Corrected and Updated TSF 3'!CQ7</f>
        <v>17433.476797037369</v>
      </c>
      <c r="R7" s="633">
        <f>'Corrected and Updated TSF 3'!CS7</f>
        <v>3748995.7897985857</v>
      </c>
      <c r="S7" s="633">
        <f>'Corrected and Updated TSF 3'!CT7</f>
        <v>29065.924454704858</v>
      </c>
      <c r="T7" s="635">
        <f>'Corrected and Updated TSF 3'!CU7</f>
        <v>33697.034031776915</v>
      </c>
      <c r="U7" s="636">
        <f>'Corrected and Updated TSF 3'!CV7</f>
        <v>43529.019975053816</v>
      </c>
      <c r="V7" s="636">
        <f>'Corrected and Updated TSF 3'!CW7</f>
        <v>74234.609960736314</v>
      </c>
      <c r="W7" s="1102">
        <f>'Corrected and Updated TSF 3'!CX7</f>
        <v>304542.84424201411</v>
      </c>
      <c r="X7" s="1102">
        <f>'Corrected and Updated TSF 3'!CY7</f>
        <v>120506.11995319766</v>
      </c>
      <c r="Y7" s="1102">
        <f>'Corrected and Updated TSF 3'!CZ7</f>
        <v>87039.863690567072</v>
      </c>
      <c r="Z7" s="1102">
        <f>'Corrected and Updated TSF 3'!DA7</f>
        <v>66241.343376887307</v>
      </c>
      <c r="AA7" s="821">
        <f>L7-'Corrected and Updated TSF 3'!CL7</f>
        <v>0</v>
      </c>
      <c r="AB7" s="678">
        <f>N7-'Corrected and Updated TSF 3'!CN7</f>
        <v>0</v>
      </c>
      <c r="AC7" s="678">
        <f>Q7-'Corrected and Updated TSF 3'!CQ7</f>
        <v>0</v>
      </c>
      <c r="AL7" s="119"/>
      <c r="AM7" s="119"/>
      <c r="AN7" s="119"/>
      <c r="AO7" s="119"/>
      <c r="AP7" s="119"/>
      <c r="AQ7" s="119"/>
      <c r="AR7" s="119"/>
      <c r="AS7" s="119"/>
    </row>
    <row r="8" spans="1:45" hidden="1">
      <c r="A8" s="631" t="str">
        <f t="shared" ref="A8:A71" si="0">E8</f>
        <v>W-3B</v>
      </c>
      <c r="B8" s="632" t="str">
        <f>'Corrected and Updated TSF 3'!EP8</f>
        <v>SOLD</v>
      </c>
      <c r="C8" s="820" t="str">
        <f>'Corrected and Updated TSF 3'!E8</f>
        <v>3rd Floor</v>
      </c>
      <c r="D8" s="628">
        <f>'INTERNAL PRICELIST'!D8</f>
        <v>0</v>
      </c>
      <c r="E8" s="596" t="str">
        <f>'Corrected and Updated TSF 3'!G8</f>
        <v>W-3B</v>
      </c>
      <c r="F8" s="401" t="str">
        <f>'Corrected and Updated TSF 3'!I8</f>
        <v>Studio</v>
      </c>
      <c r="G8" s="633">
        <f>'Corrected and Updated TSF 3'!J8</f>
        <v>22</v>
      </c>
      <c r="H8" s="633">
        <f>'Corrected and Updated TSF 3'!CG8</f>
        <v>3705505.1002695854</v>
      </c>
      <c r="I8" s="633">
        <f>SUM('Corrected and Updated TSF 3'!CI8:CJ8)</f>
        <v>472451.9002843721</v>
      </c>
      <c r="J8" s="633">
        <f>'Corrected and Updated TSF 3'!CH8</f>
        <v>0</v>
      </c>
      <c r="K8" s="633">
        <f>'Corrected and Updated TSF 3'!CK8</f>
        <v>4177957.0005539572</v>
      </c>
      <c r="L8" s="634">
        <f>'Corrected and Updated TSF 3'!CL8</f>
        <v>0.125</v>
      </c>
      <c r="M8" s="633">
        <f>'Corrected and Updated TSF 3'!CM8</f>
        <v>522244.62506924465</v>
      </c>
      <c r="N8" s="633">
        <f>'Corrected and Updated TSF 3'!CN8</f>
        <v>30000</v>
      </c>
      <c r="O8" s="633">
        <f>'Corrected and Updated TSF 3'!CO8</f>
        <v>492244.62506924465</v>
      </c>
      <c r="P8" s="401">
        <f>'Corrected and Updated TSF 3'!CP8</f>
        <v>29</v>
      </c>
      <c r="Q8" s="633">
        <f>'Corrected and Updated TSF 3'!CQ8</f>
        <v>16973.952588594642</v>
      </c>
      <c r="R8" s="633">
        <f>'Corrected and Updated TSF 3'!CS8</f>
        <v>3655712.3754847124</v>
      </c>
      <c r="S8" s="633">
        <f>'Corrected and Updated TSF 3'!CT8</f>
        <v>28342.699136420455</v>
      </c>
      <c r="T8" s="635">
        <f>'Corrected and Updated TSF 3'!CU8</f>
        <v>32858.576331907425</v>
      </c>
      <c r="U8" s="636">
        <f>'Corrected and Updated TSF 3'!CV8</f>
        <v>42445.920437823348</v>
      </c>
      <c r="V8" s="636">
        <f>'Corrected and Updated TSF 3'!CW8</f>
        <v>72387.486553385621</v>
      </c>
      <c r="W8" s="1102">
        <f>'Corrected and Updated TSF 3'!CX8</f>
        <v>296965.13599463314</v>
      </c>
      <c r="X8" s="1102">
        <f>'Corrected and Updated TSF 3'!CY8</f>
        <v>117507.65771284519</v>
      </c>
      <c r="Y8" s="1102">
        <f>'Corrected and Updated TSF 3'!CZ8</f>
        <v>84874.116882164701</v>
      </c>
      <c r="Z8" s="1102">
        <f>'Corrected and Updated TSF 3'!DA8</f>
        <v>64593.11034985962</v>
      </c>
      <c r="AA8" s="821">
        <f>L8-'Corrected and Updated TSF 3'!CL8</f>
        <v>0</v>
      </c>
      <c r="AB8" s="678">
        <f>N8-'Corrected and Updated TSF 3'!CN8</f>
        <v>0</v>
      </c>
      <c r="AC8" s="678">
        <f>Q8-'Corrected and Updated TSF 3'!CQ8</f>
        <v>0</v>
      </c>
      <c r="AL8" s="119"/>
      <c r="AM8" s="119"/>
      <c r="AN8" s="119"/>
      <c r="AO8" s="119"/>
      <c r="AP8" s="119"/>
      <c r="AQ8" s="119"/>
      <c r="AR8" s="119"/>
      <c r="AS8" s="119"/>
    </row>
    <row r="9" spans="1:45" hidden="1">
      <c r="A9" s="631" t="str">
        <f t="shared" si="0"/>
        <v>W-3C</v>
      </c>
      <c r="B9" s="632" t="str">
        <f>'Corrected and Updated TSF 3'!EP9</f>
        <v>SOLD</v>
      </c>
      <c r="C9" s="820" t="str">
        <f>'Corrected and Updated TSF 3'!E9</f>
        <v>3rd Floor</v>
      </c>
      <c r="D9" s="628">
        <f>'INTERNAL PRICELIST'!D9</f>
        <v>0</v>
      </c>
      <c r="E9" s="596" t="str">
        <f>'Corrected and Updated TSF 3'!G9</f>
        <v>W-3C</v>
      </c>
      <c r="F9" s="401" t="str">
        <f>'Corrected and Updated TSF 3'!I9</f>
        <v>Studio</v>
      </c>
      <c r="G9" s="633">
        <f>'Corrected and Updated TSF 3'!J9</f>
        <v>22</v>
      </c>
      <c r="H9" s="633">
        <f>'Corrected and Updated TSF 3'!CG9</f>
        <v>3705505.1002695854</v>
      </c>
      <c r="I9" s="633">
        <f>SUM('Corrected and Updated TSF 3'!CI9:CJ9)</f>
        <v>472451.9002843721</v>
      </c>
      <c r="J9" s="633">
        <f>'Corrected and Updated TSF 3'!CH9</f>
        <v>0</v>
      </c>
      <c r="K9" s="633">
        <f>'Corrected and Updated TSF 3'!CK9</f>
        <v>4177957.0005539572</v>
      </c>
      <c r="L9" s="634">
        <f>'Corrected and Updated TSF 3'!CL9</f>
        <v>0.125</v>
      </c>
      <c r="M9" s="633">
        <f>'Corrected and Updated TSF 3'!CM9</f>
        <v>522244.62506924465</v>
      </c>
      <c r="N9" s="633">
        <f>'Corrected and Updated TSF 3'!CN9</f>
        <v>30000</v>
      </c>
      <c r="O9" s="633">
        <f>'Corrected and Updated TSF 3'!CO9</f>
        <v>492244.62506924465</v>
      </c>
      <c r="P9" s="401">
        <f>'Corrected and Updated TSF 3'!CP9</f>
        <v>29</v>
      </c>
      <c r="Q9" s="633">
        <f>'Corrected and Updated TSF 3'!CQ9</f>
        <v>16973.952588594642</v>
      </c>
      <c r="R9" s="633">
        <f>'Corrected and Updated TSF 3'!CS9</f>
        <v>3655712.3754847124</v>
      </c>
      <c r="S9" s="633">
        <f>'Corrected and Updated TSF 3'!CT9</f>
        <v>28342.699136420455</v>
      </c>
      <c r="T9" s="635">
        <f>'Corrected and Updated TSF 3'!CU9</f>
        <v>32858.576331907425</v>
      </c>
      <c r="U9" s="636">
        <f>'Corrected and Updated TSF 3'!CV9</f>
        <v>42445.920437823348</v>
      </c>
      <c r="V9" s="636">
        <f>'Corrected and Updated TSF 3'!CW9</f>
        <v>72387.486553385621</v>
      </c>
      <c r="W9" s="1102">
        <f>'Corrected and Updated TSF 3'!CX9</f>
        <v>296965.13599463314</v>
      </c>
      <c r="X9" s="1102">
        <f>'Corrected and Updated TSF 3'!CY9</f>
        <v>117507.65771284519</v>
      </c>
      <c r="Y9" s="1102">
        <f>'Corrected and Updated TSF 3'!CZ9</f>
        <v>84874.116882164701</v>
      </c>
      <c r="Z9" s="1102">
        <f>'Corrected and Updated TSF 3'!DA9</f>
        <v>64593.11034985962</v>
      </c>
      <c r="AA9" s="821">
        <f>L9-'Corrected and Updated TSF 3'!CL9</f>
        <v>0</v>
      </c>
      <c r="AB9" s="678">
        <f>N9-'Corrected and Updated TSF 3'!CN9</f>
        <v>0</v>
      </c>
      <c r="AC9" s="678">
        <f>Q9-'Corrected and Updated TSF 3'!CQ9</f>
        <v>0</v>
      </c>
      <c r="AL9" s="119"/>
      <c r="AM9" s="119"/>
      <c r="AN9" s="119"/>
      <c r="AO9" s="119"/>
      <c r="AP9" s="119"/>
      <c r="AQ9" s="119"/>
      <c r="AR9" s="119"/>
      <c r="AS9" s="119"/>
    </row>
    <row r="10" spans="1:45" hidden="1">
      <c r="A10" s="631" t="str">
        <f t="shared" si="0"/>
        <v>W-3D</v>
      </c>
      <c r="B10" s="632" t="str">
        <f>'Corrected and Updated TSF 3'!EP10</f>
        <v>SOLD</v>
      </c>
      <c r="C10" s="820" t="str">
        <f>'Corrected and Updated TSF 3'!E10</f>
        <v>3rd Floor</v>
      </c>
      <c r="D10" s="628">
        <f>'INTERNAL PRICELIST'!D10</f>
        <v>0</v>
      </c>
      <c r="E10" s="596" t="str">
        <f>'Corrected and Updated TSF 3'!G10</f>
        <v>W-3D</v>
      </c>
      <c r="F10" s="401" t="str">
        <f>'Corrected and Updated TSF 3'!I10</f>
        <v>Studio</v>
      </c>
      <c r="G10" s="633">
        <f>'Corrected and Updated TSF 3'!J10</f>
        <v>22</v>
      </c>
      <c r="H10" s="633">
        <f>'Corrected and Updated TSF 3'!CG10</f>
        <v>3705505.1002695854</v>
      </c>
      <c r="I10" s="633">
        <f>SUM('Corrected and Updated TSF 3'!CI10:CJ10)</f>
        <v>472451.9002843721</v>
      </c>
      <c r="J10" s="633">
        <f>'Corrected and Updated TSF 3'!CH10</f>
        <v>0</v>
      </c>
      <c r="K10" s="633">
        <f>'Corrected and Updated TSF 3'!CK10</f>
        <v>4177957.0005539572</v>
      </c>
      <c r="L10" s="634">
        <f>'Corrected and Updated TSF 3'!CL10</f>
        <v>0.125</v>
      </c>
      <c r="M10" s="633">
        <f>'Corrected and Updated TSF 3'!CM10</f>
        <v>522244.62506924465</v>
      </c>
      <c r="N10" s="633">
        <f>'Corrected and Updated TSF 3'!CN10</f>
        <v>30000</v>
      </c>
      <c r="O10" s="633">
        <f>'Corrected and Updated TSF 3'!CO10</f>
        <v>492244.62506924465</v>
      </c>
      <c r="P10" s="401">
        <f>'Corrected and Updated TSF 3'!CP10</f>
        <v>29</v>
      </c>
      <c r="Q10" s="633">
        <f>'Corrected and Updated TSF 3'!CQ10</f>
        <v>16973.952588594642</v>
      </c>
      <c r="R10" s="633">
        <f>'Corrected and Updated TSF 3'!CS10</f>
        <v>3655712.3754847124</v>
      </c>
      <c r="S10" s="633">
        <f>'Corrected and Updated TSF 3'!CT10</f>
        <v>28342.699136420455</v>
      </c>
      <c r="T10" s="635">
        <f>'Corrected and Updated TSF 3'!CU10</f>
        <v>32858.576331907425</v>
      </c>
      <c r="U10" s="636">
        <f>'Corrected and Updated TSF 3'!CV10</f>
        <v>42445.920437823348</v>
      </c>
      <c r="V10" s="636">
        <f>'Corrected and Updated TSF 3'!CW10</f>
        <v>72387.486553385621</v>
      </c>
      <c r="W10" s="1102">
        <f>'Corrected and Updated TSF 3'!CX10</f>
        <v>296965.13599463314</v>
      </c>
      <c r="X10" s="1102">
        <f>'Corrected and Updated TSF 3'!CY10</f>
        <v>117507.65771284519</v>
      </c>
      <c r="Y10" s="1102">
        <f>'Corrected and Updated TSF 3'!CZ10</f>
        <v>84874.116882164701</v>
      </c>
      <c r="Z10" s="1102">
        <f>'Corrected and Updated TSF 3'!DA10</f>
        <v>64593.11034985962</v>
      </c>
      <c r="AA10" s="821">
        <f>L10-'Corrected and Updated TSF 3'!CL10</f>
        <v>0</v>
      </c>
      <c r="AB10" s="678">
        <f>N10-'Corrected and Updated TSF 3'!CN10</f>
        <v>0</v>
      </c>
      <c r="AC10" s="678">
        <f>Q10-'Corrected and Updated TSF 3'!CQ10</f>
        <v>0</v>
      </c>
      <c r="AD10" s="775"/>
      <c r="AE10" s="775"/>
      <c r="AF10" s="775"/>
      <c r="AG10" s="775"/>
      <c r="AL10" s="119"/>
      <c r="AM10" s="119"/>
      <c r="AN10" s="119"/>
      <c r="AO10" s="119"/>
      <c r="AP10" s="119"/>
      <c r="AQ10" s="119"/>
      <c r="AR10" s="119"/>
      <c r="AS10" s="119"/>
    </row>
    <row r="11" spans="1:45" ht="12" hidden="1" customHeight="1">
      <c r="A11" s="631" t="str">
        <f t="shared" si="0"/>
        <v>W-3E</v>
      </c>
      <c r="B11" s="632" t="str">
        <f>'Corrected and Updated TSF 3'!EP11</f>
        <v>SOLD</v>
      </c>
      <c r="C11" s="820" t="str">
        <f>'Corrected and Updated TSF 3'!E11</f>
        <v>3rd Floor</v>
      </c>
      <c r="D11" s="628">
        <f>'INTERNAL PRICELIST'!D11</f>
        <v>0</v>
      </c>
      <c r="E11" s="596" t="str">
        <f>'Corrected and Updated TSF 3'!G11</f>
        <v>W-3E</v>
      </c>
      <c r="F11" s="401" t="str">
        <f>'Corrected and Updated TSF 3'!I11</f>
        <v>Studio</v>
      </c>
      <c r="G11" s="633">
        <f>'Corrected and Updated TSF 3'!J11</f>
        <v>22</v>
      </c>
      <c r="H11" s="633">
        <f>'Corrected and Updated TSF 3'!CG11</f>
        <v>3705505.1002695854</v>
      </c>
      <c r="I11" s="633">
        <f>SUM('Corrected and Updated TSF 3'!CI11:CJ11)</f>
        <v>472451.9002843721</v>
      </c>
      <c r="J11" s="633">
        <f>'Corrected and Updated TSF 3'!CH11</f>
        <v>0</v>
      </c>
      <c r="K11" s="633">
        <f>'Corrected and Updated TSF 3'!CK11</f>
        <v>4177957.0005539572</v>
      </c>
      <c r="L11" s="634">
        <f>'Corrected and Updated TSF 3'!CL11</f>
        <v>0.125</v>
      </c>
      <c r="M11" s="633">
        <f>'Corrected and Updated TSF 3'!CM11</f>
        <v>522244.62506924465</v>
      </c>
      <c r="N11" s="633">
        <f>'Corrected and Updated TSF 3'!CN11</f>
        <v>30000</v>
      </c>
      <c r="O11" s="633">
        <f>'Corrected and Updated TSF 3'!CO11</f>
        <v>492244.62506924465</v>
      </c>
      <c r="P11" s="401">
        <f>'Corrected and Updated TSF 3'!CP11</f>
        <v>29</v>
      </c>
      <c r="Q11" s="633">
        <f>'Corrected and Updated TSF 3'!CQ11</f>
        <v>16973.952588594642</v>
      </c>
      <c r="R11" s="633">
        <f>'Corrected and Updated TSF 3'!CS11</f>
        <v>3655712.3754847124</v>
      </c>
      <c r="S11" s="633">
        <f>'Corrected and Updated TSF 3'!CT11</f>
        <v>28342.699136420455</v>
      </c>
      <c r="T11" s="635">
        <f>'Corrected and Updated TSF 3'!CU11</f>
        <v>32858.576331907425</v>
      </c>
      <c r="U11" s="636">
        <f>'Corrected and Updated TSF 3'!CV11</f>
        <v>42445.920437823348</v>
      </c>
      <c r="V11" s="636">
        <f>'Corrected and Updated TSF 3'!CW11</f>
        <v>72387.486553385621</v>
      </c>
      <c r="W11" s="1102">
        <f>'Corrected and Updated TSF 3'!CX11</f>
        <v>296965.13599463314</v>
      </c>
      <c r="X11" s="1102">
        <f>'Corrected and Updated TSF 3'!CY11</f>
        <v>117507.65771284519</v>
      </c>
      <c r="Y11" s="1102">
        <f>'Corrected and Updated TSF 3'!CZ11</f>
        <v>84874.116882164701</v>
      </c>
      <c r="Z11" s="1102">
        <f>'Corrected and Updated TSF 3'!DA11</f>
        <v>64593.11034985962</v>
      </c>
      <c r="AA11" s="821">
        <f>L11-'Corrected and Updated TSF 3'!CL11</f>
        <v>0</v>
      </c>
      <c r="AB11" s="678">
        <f>N11-'Corrected and Updated TSF 3'!CN11</f>
        <v>0</v>
      </c>
      <c r="AC11" s="678">
        <f>Q11-'Corrected and Updated TSF 3'!CQ11</f>
        <v>0</v>
      </c>
      <c r="AD11" s="775"/>
      <c r="AE11" s="775"/>
      <c r="AF11" s="775"/>
      <c r="AG11" s="775"/>
      <c r="AL11" s="119"/>
      <c r="AM11" s="119"/>
      <c r="AN11" s="119"/>
      <c r="AO11" s="119"/>
      <c r="AP11" s="119"/>
      <c r="AQ11" s="119"/>
      <c r="AR11" s="119"/>
      <c r="AS11" s="119"/>
    </row>
    <row r="12" spans="1:45" hidden="1">
      <c r="A12" s="631" t="str">
        <f t="shared" si="0"/>
        <v>W-3F</v>
      </c>
      <c r="B12" s="632" t="str">
        <f>'Corrected and Updated TSF 3'!EP12</f>
        <v>SOLD</v>
      </c>
      <c r="C12" s="820" t="str">
        <f>'Corrected and Updated TSF 3'!E12</f>
        <v>3rd Floor</v>
      </c>
      <c r="D12" s="628">
        <f>'INTERNAL PRICELIST'!D12</f>
        <v>0</v>
      </c>
      <c r="E12" s="596" t="str">
        <f>'Corrected and Updated TSF 3'!G12</f>
        <v>W-3F</v>
      </c>
      <c r="F12" s="401" t="str">
        <f>'Corrected and Updated TSF 3'!I12</f>
        <v>Studio</v>
      </c>
      <c r="G12" s="633">
        <f>'Corrected and Updated TSF 3'!J12</f>
        <v>22</v>
      </c>
      <c r="H12" s="633">
        <f>'Corrected and Updated TSF 3'!CG12</f>
        <v>3705505.1002695854</v>
      </c>
      <c r="I12" s="633">
        <f>SUM('Corrected and Updated TSF 3'!CI12:CJ12)</f>
        <v>472451.9002843721</v>
      </c>
      <c r="J12" s="633">
        <f>'Corrected and Updated TSF 3'!CH12</f>
        <v>0</v>
      </c>
      <c r="K12" s="633">
        <f>'Corrected and Updated TSF 3'!CK12</f>
        <v>4177957.0005539572</v>
      </c>
      <c r="L12" s="634">
        <f>'Corrected and Updated TSF 3'!CL12</f>
        <v>0.125</v>
      </c>
      <c r="M12" s="633">
        <f>'Corrected and Updated TSF 3'!CM12</f>
        <v>522244.62506924465</v>
      </c>
      <c r="N12" s="633">
        <f>'Corrected and Updated TSF 3'!CN12</f>
        <v>30000</v>
      </c>
      <c r="O12" s="633">
        <f>'Corrected and Updated TSF 3'!CO12</f>
        <v>492244.62506924465</v>
      </c>
      <c r="P12" s="401">
        <f>'Corrected and Updated TSF 3'!CP12</f>
        <v>29</v>
      </c>
      <c r="Q12" s="633">
        <f>'Corrected and Updated TSF 3'!CQ12</f>
        <v>16973.952588594642</v>
      </c>
      <c r="R12" s="633">
        <f>'Corrected and Updated TSF 3'!CS12</f>
        <v>3655712.3754847124</v>
      </c>
      <c r="S12" s="633">
        <f>'Corrected and Updated TSF 3'!CT12</f>
        <v>28342.699136420455</v>
      </c>
      <c r="T12" s="635">
        <f>'Corrected and Updated TSF 3'!CU12</f>
        <v>32858.576331907425</v>
      </c>
      <c r="U12" s="636">
        <f>'Corrected and Updated TSF 3'!CV12</f>
        <v>42445.920437823348</v>
      </c>
      <c r="V12" s="636">
        <f>'Corrected and Updated TSF 3'!CW12</f>
        <v>72387.486553385621</v>
      </c>
      <c r="W12" s="1102">
        <f>'Corrected and Updated TSF 3'!CX12</f>
        <v>296965.13599463314</v>
      </c>
      <c r="X12" s="1102">
        <f>'Corrected and Updated TSF 3'!CY12</f>
        <v>117507.65771284519</v>
      </c>
      <c r="Y12" s="1102">
        <f>'Corrected and Updated TSF 3'!CZ12</f>
        <v>84874.116882164701</v>
      </c>
      <c r="Z12" s="1102">
        <f>'Corrected and Updated TSF 3'!DA12</f>
        <v>64593.11034985962</v>
      </c>
      <c r="AA12" s="821">
        <f>L12-'Corrected and Updated TSF 3'!CL12</f>
        <v>0</v>
      </c>
      <c r="AB12" s="678">
        <f>N12-'Corrected and Updated TSF 3'!CN12</f>
        <v>0</v>
      </c>
      <c r="AC12" s="678">
        <f>Q12-'Corrected and Updated TSF 3'!CQ12</f>
        <v>0</v>
      </c>
      <c r="AD12" s="775"/>
      <c r="AE12" s="775"/>
      <c r="AF12" s="775"/>
      <c r="AG12" s="775"/>
      <c r="AL12" s="119"/>
      <c r="AM12" s="119"/>
      <c r="AN12" s="119"/>
      <c r="AO12" s="119"/>
      <c r="AP12" s="119"/>
      <c r="AQ12" s="119"/>
      <c r="AR12" s="119"/>
      <c r="AS12" s="119"/>
    </row>
    <row r="13" spans="1:45" ht="12" hidden="1" customHeight="1">
      <c r="A13" s="631" t="str">
        <f t="shared" si="0"/>
        <v>W-3G</v>
      </c>
      <c r="B13" s="632" t="str">
        <f>'Corrected and Updated TSF 3'!EP13</f>
        <v>SOLD</v>
      </c>
      <c r="C13" s="820" t="str">
        <f>'Corrected and Updated TSF 3'!E13</f>
        <v>3rd Floor</v>
      </c>
      <c r="D13" s="628">
        <f>'INTERNAL PRICELIST'!D13</f>
        <v>0</v>
      </c>
      <c r="E13" s="596" t="str">
        <f>'Corrected and Updated TSF 3'!G13</f>
        <v>W-3G</v>
      </c>
      <c r="F13" s="401" t="str">
        <f>'Corrected and Updated TSF 3'!I13</f>
        <v>Studio</v>
      </c>
      <c r="G13" s="633">
        <f>'Corrected and Updated TSF 3'!J13</f>
        <v>22</v>
      </c>
      <c r="H13" s="633">
        <f>'Corrected and Updated TSF 3'!CG13</f>
        <v>3705505.1002695854</v>
      </c>
      <c r="I13" s="633">
        <f>SUM('Corrected and Updated TSF 3'!CI13:CJ13)</f>
        <v>472451.9002843721</v>
      </c>
      <c r="J13" s="633">
        <f>'Corrected and Updated TSF 3'!CH13</f>
        <v>0</v>
      </c>
      <c r="K13" s="633">
        <f>'Corrected and Updated TSF 3'!CK13</f>
        <v>4177957.0005539572</v>
      </c>
      <c r="L13" s="634">
        <f>'Corrected and Updated TSF 3'!CL13</f>
        <v>0.125</v>
      </c>
      <c r="M13" s="633">
        <f>'Corrected and Updated TSF 3'!CM13</f>
        <v>522244.62506924465</v>
      </c>
      <c r="N13" s="633">
        <f>'Corrected and Updated TSF 3'!CN13</f>
        <v>30000</v>
      </c>
      <c r="O13" s="633">
        <f>'Corrected and Updated TSF 3'!CO13</f>
        <v>492244.62506924465</v>
      </c>
      <c r="P13" s="401">
        <f>'Corrected and Updated TSF 3'!CP13</f>
        <v>29</v>
      </c>
      <c r="Q13" s="633">
        <f>'Corrected and Updated TSF 3'!CQ13</f>
        <v>16973.952588594642</v>
      </c>
      <c r="R13" s="633">
        <f>'Corrected and Updated TSF 3'!CS13</f>
        <v>3655712.3754847124</v>
      </c>
      <c r="S13" s="633">
        <f>'Corrected and Updated TSF 3'!CT13</f>
        <v>28342.699136420455</v>
      </c>
      <c r="T13" s="635">
        <f>'Corrected and Updated TSF 3'!CU13</f>
        <v>32858.576331907425</v>
      </c>
      <c r="U13" s="636">
        <f>'Corrected and Updated TSF 3'!CV13</f>
        <v>42445.920437823348</v>
      </c>
      <c r="V13" s="636">
        <f>'Corrected and Updated TSF 3'!CW13</f>
        <v>72387.486553385621</v>
      </c>
      <c r="W13" s="1102">
        <f>'Corrected and Updated TSF 3'!CX13</f>
        <v>296965.13599463314</v>
      </c>
      <c r="X13" s="1102">
        <f>'Corrected and Updated TSF 3'!CY13</f>
        <v>117507.65771284519</v>
      </c>
      <c r="Y13" s="1102">
        <f>'Corrected and Updated TSF 3'!CZ13</f>
        <v>84874.116882164701</v>
      </c>
      <c r="Z13" s="1102">
        <f>'Corrected and Updated TSF 3'!DA13</f>
        <v>64593.11034985962</v>
      </c>
      <c r="AA13" s="821">
        <f>L13-'Corrected and Updated TSF 3'!CL13</f>
        <v>0</v>
      </c>
      <c r="AB13" s="678">
        <f>N13-'Corrected and Updated TSF 3'!CN13</f>
        <v>0</v>
      </c>
      <c r="AC13" s="678">
        <f>Q13-'Corrected and Updated TSF 3'!CQ13</f>
        <v>0</v>
      </c>
      <c r="AD13" s="775"/>
      <c r="AE13" s="775"/>
      <c r="AF13" s="775"/>
      <c r="AG13" s="775"/>
      <c r="AL13" s="119"/>
      <c r="AM13" s="119"/>
      <c r="AN13" s="119"/>
      <c r="AO13" s="119"/>
      <c r="AP13" s="119"/>
      <c r="AQ13" s="119"/>
      <c r="AR13" s="119"/>
      <c r="AS13" s="119"/>
    </row>
    <row r="14" spans="1:45" ht="12.75" hidden="1" customHeight="1">
      <c r="A14" s="631" t="str">
        <f t="shared" si="0"/>
        <v>W-3H</v>
      </c>
      <c r="B14" s="632" t="str">
        <f>'Corrected and Updated TSF 3'!EP14</f>
        <v>SOLD</v>
      </c>
      <c r="C14" s="820" t="str">
        <f>'Corrected and Updated TSF 3'!E14</f>
        <v>3rd Floor</v>
      </c>
      <c r="D14" s="628">
        <f>'INTERNAL PRICELIST'!D14</f>
        <v>0</v>
      </c>
      <c r="E14" s="596" t="str">
        <f>'Corrected and Updated TSF 3'!G14</f>
        <v>W-3H</v>
      </c>
      <c r="F14" s="401" t="str">
        <f>'Corrected and Updated TSF 3'!I14</f>
        <v>Studio</v>
      </c>
      <c r="G14" s="633">
        <f>'Corrected and Updated TSF 3'!J14</f>
        <v>22</v>
      </c>
      <c r="H14" s="633">
        <f>'Corrected and Updated TSF 3'!CG14</f>
        <v>3734432.9311857144</v>
      </c>
      <c r="I14" s="633">
        <f>SUM('Corrected and Updated TSF 3'!CI14:CJ14)</f>
        <v>476140.19872617855</v>
      </c>
      <c r="J14" s="633">
        <f>'Corrected and Updated TSF 3'!CH14</f>
        <v>0</v>
      </c>
      <c r="K14" s="633">
        <f>'Corrected and Updated TSF 3'!CK14</f>
        <v>4210573.129911893</v>
      </c>
      <c r="L14" s="634">
        <f>'Corrected and Updated TSF 3'!CL14</f>
        <v>0.125</v>
      </c>
      <c r="M14" s="633">
        <f>'Corrected and Updated TSF 3'!CM14</f>
        <v>526321.64123898663</v>
      </c>
      <c r="N14" s="633">
        <f>'Corrected and Updated TSF 3'!CN14</f>
        <v>30000</v>
      </c>
      <c r="O14" s="633">
        <f>'Corrected and Updated TSF 3'!CO14</f>
        <v>496321.64123898663</v>
      </c>
      <c r="P14" s="401">
        <f>'Corrected and Updated TSF 3'!CP14</f>
        <v>29</v>
      </c>
      <c r="Q14" s="633">
        <f>'Corrected and Updated TSF 3'!CQ14</f>
        <v>17114.539353068503</v>
      </c>
      <c r="R14" s="633">
        <f>'Corrected and Updated TSF 3'!CS14</f>
        <v>3684251.4886729065</v>
      </c>
      <c r="S14" s="633">
        <f>'Corrected and Updated TSF 3'!CT14</f>
        <v>28563.962577203583</v>
      </c>
      <c r="T14" s="635">
        <f>'Corrected and Updated TSF 3'!CU14</f>
        <v>33115.093949493486</v>
      </c>
      <c r="U14" s="636">
        <f>'Corrected and Updated TSF 3'!CV14</f>
        <v>42777.283740876293</v>
      </c>
      <c r="V14" s="636">
        <f>'Corrected and Updated TSF 3'!CW14</f>
        <v>72952.595199790565</v>
      </c>
      <c r="W14" s="1102">
        <f>'Corrected and Updated TSF 3'!CX14</f>
        <v>299283.4588708891</v>
      </c>
      <c r="X14" s="1102">
        <f>'Corrected and Updated TSF 3'!CY14</f>
        <v>118425.00678178055</v>
      </c>
      <c r="Y14" s="1102">
        <f>'Corrected and Updated TSF 3'!CZ14</f>
        <v>85536.705122063344</v>
      </c>
      <c r="Z14" s="1102">
        <f>'Corrected and Updated TSF 3'!DA14</f>
        <v>65097.370504409591</v>
      </c>
      <c r="AA14" s="821">
        <f>L14-'Corrected and Updated TSF 3'!CL14</f>
        <v>0</v>
      </c>
      <c r="AB14" s="678">
        <f>N14-'Corrected and Updated TSF 3'!CN14</f>
        <v>0</v>
      </c>
      <c r="AC14" s="678">
        <f>Q14-'Corrected and Updated TSF 3'!CQ14</f>
        <v>0</v>
      </c>
      <c r="AD14" s="775"/>
      <c r="AE14" s="775"/>
      <c r="AF14" s="775"/>
      <c r="AG14" s="775"/>
      <c r="AL14" s="119"/>
      <c r="AM14" s="119"/>
      <c r="AN14" s="119"/>
      <c r="AO14" s="119"/>
      <c r="AP14" s="119"/>
      <c r="AQ14" s="119"/>
      <c r="AR14" s="119"/>
      <c r="AS14" s="119"/>
    </row>
    <row r="15" spans="1:45" ht="12.75" hidden="1" customHeight="1">
      <c r="A15" s="631" t="str">
        <f t="shared" si="0"/>
        <v>W-3I</v>
      </c>
      <c r="B15" s="632" t="str">
        <f>'Corrected and Updated TSF 3'!EP15</f>
        <v>SOLD</v>
      </c>
      <c r="C15" s="820" t="str">
        <f>'Corrected and Updated TSF 3'!E15</f>
        <v>3rd Floor</v>
      </c>
      <c r="D15" s="628">
        <f>'INTERNAL PRICELIST'!D15</f>
        <v>0</v>
      </c>
      <c r="E15" s="596" t="str">
        <f>'Corrected and Updated TSF 3'!G15</f>
        <v>W-3I</v>
      </c>
      <c r="F15" s="401" t="str">
        <f>'Corrected and Updated TSF 3'!I15</f>
        <v>Studio</v>
      </c>
      <c r="G15" s="633">
        <f>'Corrected and Updated TSF 3'!J15</f>
        <v>22</v>
      </c>
      <c r="H15" s="633">
        <f>'Corrected and Updated TSF 3'!CG15</f>
        <v>3821860.0447473223</v>
      </c>
      <c r="I15" s="633">
        <f>SUM('Corrected and Updated TSF 3'!CI15:CJ15)</f>
        <v>487287.15570528357</v>
      </c>
      <c r="J15" s="633">
        <f>'Corrected and Updated TSF 3'!CH15</f>
        <v>0</v>
      </c>
      <c r="K15" s="633">
        <f>'Corrected and Updated TSF 3'!CK15</f>
        <v>4309147.2004526062</v>
      </c>
      <c r="L15" s="634">
        <f>'Corrected and Updated TSF 3'!CL15</f>
        <v>0.125</v>
      </c>
      <c r="M15" s="633">
        <f>'Corrected and Updated TSF 3'!CM15</f>
        <v>538643.40005657577</v>
      </c>
      <c r="N15" s="633">
        <f>'Corrected and Updated TSF 3'!CN15</f>
        <v>30000</v>
      </c>
      <c r="O15" s="633">
        <f>'Corrected and Updated TSF 3'!CO15</f>
        <v>508643.40005657577</v>
      </c>
      <c r="P15" s="401">
        <f>'Corrected and Updated TSF 3'!CP15</f>
        <v>29</v>
      </c>
      <c r="Q15" s="633">
        <f>'Corrected and Updated TSF 3'!CQ15</f>
        <v>17539.427588157785</v>
      </c>
      <c r="R15" s="633">
        <f>'Corrected and Updated TSF 3'!CS15</f>
        <v>3770503.8003960303</v>
      </c>
      <c r="S15" s="633">
        <f>'Corrected and Updated TSF 3'!CT15</f>
        <v>29232.675831939636</v>
      </c>
      <c r="T15" s="635">
        <f>'Corrected and Updated TSF 3'!CU15</f>
        <v>33890.354111524684</v>
      </c>
      <c r="U15" s="636">
        <f>'Corrected and Updated TSF 3'!CV15</f>
        <v>43778.746215202555</v>
      </c>
      <c r="V15" s="636">
        <f>'Corrected and Updated TSF 3'!CW15</f>
        <v>74660.494348784239</v>
      </c>
      <c r="W15" s="1102">
        <f>'Corrected and Updated TSF 3'!CX15</f>
        <v>306290.00830636342</v>
      </c>
      <c r="X15" s="1102">
        <f>'Corrected and Updated TSF 3'!CY15</f>
        <v>121197.4642625359</v>
      </c>
      <c r="Y15" s="1102">
        <f>'Corrected and Updated TSF 3'!CZ15</f>
        <v>87539.211893558095</v>
      </c>
      <c r="Z15" s="1102">
        <f>'Corrected and Updated TSF 3'!DA15</f>
        <v>66621.370348167417</v>
      </c>
      <c r="AA15" s="821">
        <f>L15-'Corrected and Updated TSF 3'!CL15</f>
        <v>0</v>
      </c>
      <c r="AB15" s="678">
        <f>N15-'Corrected and Updated TSF 3'!CN15</f>
        <v>0</v>
      </c>
      <c r="AC15" s="678">
        <f>Q15-'Corrected and Updated TSF 3'!CQ15</f>
        <v>0</v>
      </c>
      <c r="AD15" s="775"/>
      <c r="AE15" s="775"/>
      <c r="AF15" s="775"/>
      <c r="AG15" s="775"/>
      <c r="AL15" s="119"/>
      <c r="AM15" s="119"/>
      <c r="AN15" s="119"/>
      <c r="AO15" s="119"/>
      <c r="AP15" s="119"/>
      <c r="AQ15" s="119"/>
      <c r="AR15" s="119"/>
      <c r="AS15" s="119"/>
    </row>
    <row r="16" spans="1:45" ht="12.75" hidden="1" customHeight="1">
      <c r="A16" s="631" t="str">
        <f t="shared" si="0"/>
        <v>W-3J</v>
      </c>
      <c r="B16" s="632" t="str">
        <f>'Corrected and Updated TSF 3'!EP16</f>
        <v>SOLD</v>
      </c>
      <c r="C16" s="820" t="str">
        <f>'Corrected and Updated TSF 3'!E16</f>
        <v>3rd Floor</v>
      </c>
      <c r="D16" s="628">
        <f>'INTERNAL PRICELIST'!D16</f>
        <v>0</v>
      </c>
      <c r="E16" s="596" t="str">
        <f>'Corrected and Updated TSF 3'!G16</f>
        <v>W-3J</v>
      </c>
      <c r="F16" s="401" t="str">
        <f>'Corrected and Updated TSF 3'!I16</f>
        <v>Studio</v>
      </c>
      <c r="G16" s="633">
        <f>'Corrected and Updated TSF 3'!J16</f>
        <v>22</v>
      </c>
      <c r="H16" s="633">
        <f>'Corrected and Updated TSF 3'!CG16</f>
        <v>3822128.7747359099</v>
      </c>
      <c r="I16" s="633">
        <f>SUM('Corrected and Updated TSF 3'!CI16:CJ16)</f>
        <v>487321.41877882846</v>
      </c>
      <c r="J16" s="633">
        <f>'Corrected and Updated TSF 3'!CH16</f>
        <v>0</v>
      </c>
      <c r="K16" s="633">
        <f>'Corrected and Updated TSF 3'!CK16</f>
        <v>4309450.1935147392</v>
      </c>
      <c r="L16" s="634">
        <f>'Corrected and Updated TSF 3'!CL16</f>
        <v>0.125</v>
      </c>
      <c r="M16" s="633">
        <f>'Corrected and Updated TSF 3'!CM16</f>
        <v>538681.2741893424</v>
      </c>
      <c r="N16" s="633">
        <f>'Corrected and Updated TSF 3'!CN16</f>
        <v>30000</v>
      </c>
      <c r="O16" s="633">
        <f>'Corrected and Updated TSF 3'!CO16</f>
        <v>508681.2741893424</v>
      </c>
      <c r="P16" s="401">
        <f>'Corrected and Updated TSF 3'!CP16</f>
        <v>29</v>
      </c>
      <c r="Q16" s="633">
        <f>'Corrected and Updated TSF 3'!CQ16</f>
        <v>17540.733592735945</v>
      </c>
      <c r="R16" s="633">
        <f>'Corrected and Updated TSF 3'!CS16</f>
        <v>3770768.9193253969</v>
      </c>
      <c r="S16" s="633">
        <f>'Corrected and Updated TSF 3'!CT16</f>
        <v>29234.731296177142</v>
      </c>
      <c r="T16" s="635">
        <f>'Corrected and Updated TSF 3'!CU16</f>
        <v>33892.737075413213</v>
      </c>
      <c r="U16" s="636">
        <f>'Corrected and Updated TSF 3'!CV16</f>
        <v>43781.824470772634</v>
      </c>
      <c r="V16" s="636">
        <f>'Corrected and Updated TSF 3'!CW16</f>
        <v>74665.744021341437</v>
      </c>
      <c r="W16" s="1102">
        <f>'Corrected and Updated TSF 3'!CX16</f>
        <v>306311.54475968023</v>
      </c>
      <c r="X16" s="1102">
        <f>'Corrected and Updated TSF 3'!CY16</f>
        <v>121205.98613220325</v>
      </c>
      <c r="Y16" s="1102">
        <f>'Corrected and Updated TSF 3'!CZ16</f>
        <v>87545.367119321934</v>
      </c>
      <c r="Z16" s="1102">
        <f>'Corrected and Updated TSF 3'!DA16</f>
        <v>66626.05475834565</v>
      </c>
      <c r="AA16" s="821">
        <f>L16-'Corrected and Updated TSF 3'!CL16</f>
        <v>0</v>
      </c>
      <c r="AB16" s="678">
        <f>N16-'Corrected and Updated TSF 3'!CN16</f>
        <v>0</v>
      </c>
      <c r="AC16" s="678">
        <f>Q16-'Corrected and Updated TSF 3'!CQ16</f>
        <v>0</v>
      </c>
      <c r="AD16" s="775"/>
      <c r="AE16" s="775"/>
      <c r="AF16" s="775"/>
      <c r="AG16" s="775"/>
      <c r="AL16" s="119"/>
      <c r="AM16" s="119"/>
      <c r="AN16" s="119"/>
      <c r="AO16" s="119"/>
      <c r="AP16" s="119"/>
      <c r="AQ16" s="119"/>
      <c r="AR16" s="119"/>
      <c r="AS16" s="119"/>
    </row>
    <row r="17" spans="1:37" s="119" customFormat="1" ht="12.75" customHeight="1">
      <c r="A17" s="631" t="str">
        <f t="shared" si="0"/>
        <v>W-3K</v>
      </c>
      <c r="B17" s="632" t="str">
        <f>'Corrected and Updated TSF 3'!EP17</f>
        <v>UNSOLD</v>
      </c>
      <c r="C17" s="820" t="str">
        <f>'Corrected and Updated TSF 3'!E17</f>
        <v>3rd Floor</v>
      </c>
      <c r="D17" s="628">
        <f>'INTERNAL PRICELIST'!D17</f>
        <v>0</v>
      </c>
      <c r="E17" s="596" t="str">
        <f>'Corrected and Updated TSF 3'!G17</f>
        <v>W-3K</v>
      </c>
      <c r="F17" s="401" t="str">
        <f>'Corrected and Updated TSF 3'!I17</f>
        <v>Studio</v>
      </c>
      <c r="G17" s="633">
        <f>'Corrected and Updated TSF 3'!J17</f>
        <v>22</v>
      </c>
      <c r="H17" s="633">
        <f>'Corrected and Updated TSF 3'!CG17</f>
        <v>3926058.8273568875</v>
      </c>
      <c r="I17" s="633">
        <f>SUM('Corrected and Updated TSF 3'!CI17:CJ17)</f>
        <v>500572.50048800313</v>
      </c>
      <c r="J17" s="633">
        <f>'Corrected and Updated TSF 3'!CH17</f>
        <v>0</v>
      </c>
      <c r="K17" s="633">
        <f>'Corrected and Updated TSF 3'!CK17</f>
        <v>4426631.3278448908</v>
      </c>
      <c r="L17" s="634">
        <f>'Corrected and Updated TSF 3'!CL17</f>
        <v>0.125</v>
      </c>
      <c r="M17" s="633">
        <f>'Corrected and Updated TSF 3'!CM17</f>
        <v>553328.91598061135</v>
      </c>
      <c r="N17" s="633">
        <f>'Corrected and Updated TSF 3'!CN17</f>
        <v>30000</v>
      </c>
      <c r="O17" s="633">
        <f>'Corrected and Updated TSF 3'!CO17</f>
        <v>523328.91598061135</v>
      </c>
      <c r="P17" s="401">
        <f>'Corrected and Updated TSF 3'!CP17</f>
        <v>29</v>
      </c>
      <c r="Q17" s="633">
        <f>'Corrected and Updated TSF 3'!CQ17</f>
        <v>18045.824688986599</v>
      </c>
      <c r="R17" s="633">
        <f>'Corrected and Updated TSF 3'!CS17</f>
        <v>3873302.4118642793</v>
      </c>
      <c r="S17" s="633">
        <f>'Corrected and Updated TSF 3'!CT17</f>
        <v>30029.672372483958</v>
      </c>
      <c r="T17" s="635">
        <f>'Corrected and Updated TSF 3'!CU17</f>
        <v>34814.337093445058</v>
      </c>
      <c r="U17" s="636">
        <f>'Corrected and Updated TSF 3'!CV17</f>
        <v>44972.325259539015</v>
      </c>
      <c r="V17" s="636">
        <f>'Corrected and Updated TSF 3'!CW17</f>
        <v>76696.030064139311</v>
      </c>
      <c r="W17" s="1102">
        <f>'Corrected and Updated TSF 3'!CX17</f>
        <v>314640.66626278439</v>
      </c>
      <c r="X17" s="1102">
        <f>'Corrected and Updated TSF 3'!CY17</f>
        <v>124501.77893750131</v>
      </c>
      <c r="Y17" s="1102">
        <f>'Corrected and Updated TSF 3'!CZ17</f>
        <v>89925.871583633838</v>
      </c>
      <c r="Z17" s="1102">
        <f>'Corrected and Updated TSF 3'!DA17</f>
        <v>68437.728248452317</v>
      </c>
      <c r="AA17" s="821">
        <f>L17-'Corrected and Updated TSF 3'!CL17</f>
        <v>0</v>
      </c>
      <c r="AB17" s="678">
        <f>N17-'Corrected and Updated TSF 3'!CN17</f>
        <v>0</v>
      </c>
      <c r="AC17" s="678">
        <f>Q17-'Corrected and Updated TSF 3'!CQ17</f>
        <v>0</v>
      </c>
      <c r="AD17" s="775"/>
      <c r="AE17" s="775"/>
      <c r="AF17" s="775"/>
      <c r="AG17" s="775"/>
      <c r="AH17" s="677"/>
      <c r="AI17" s="677"/>
      <c r="AJ17" s="677"/>
      <c r="AK17" s="677"/>
    </row>
    <row r="18" spans="1:37" s="119" customFormat="1" ht="12.75" hidden="1" customHeight="1">
      <c r="A18" s="631" t="str">
        <f t="shared" si="0"/>
        <v>W-3L</v>
      </c>
      <c r="B18" s="632" t="str">
        <f>'Corrected and Updated TSF 3'!EP18</f>
        <v>SOLD</v>
      </c>
      <c r="C18" s="820" t="str">
        <f>'Corrected and Updated TSF 3'!E18</f>
        <v>3rd Floor</v>
      </c>
      <c r="D18" s="628">
        <f>'INTERNAL PRICELIST'!D18</f>
        <v>0</v>
      </c>
      <c r="E18" s="596" t="str">
        <f>'Corrected and Updated TSF 3'!G18</f>
        <v>W-3L</v>
      </c>
      <c r="F18" s="401" t="str">
        <f>'Corrected and Updated TSF 3'!I18</f>
        <v>Studio</v>
      </c>
      <c r="G18" s="633">
        <f>'Corrected and Updated TSF 3'!J18</f>
        <v>22</v>
      </c>
      <c r="H18" s="633">
        <f>'Corrected and Updated TSF 3'!CG18</f>
        <v>3785891.1813492263</v>
      </c>
      <c r="I18" s="633">
        <f>SUM('Corrected and Updated TSF 3'!CI18:CJ18)</f>
        <v>482701.12562202633</v>
      </c>
      <c r="J18" s="633">
        <f>'Corrected and Updated TSF 3'!CH18</f>
        <v>0</v>
      </c>
      <c r="K18" s="633">
        <f>'Corrected and Updated TSF 3'!CK18</f>
        <v>4268592.3069712529</v>
      </c>
      <c r="L18" s="634">
        <f>'Corrected and Updated TSF 3'!CL18</f>
        <v>0.125</v>
      </c>
      <c r="M18" s="633">
        <f>'Corrected and Updated TSF 3'!CM18</f>
        <v>533574.03837140661</v>
      </c>
      <c r="N18" s="633">
        <f>'Corrected and Updated TSF 3'!CN18</f>
        <v>30000</v>
      </c>
      <c r="O18" s="633">
        <f>'Corrected and Updated TSF 3'!CO18</f>
        <v>503574.03837140661</v>
      </c>
      <c r="P18" s="401">
        <f>'Corrected and Updated TSF 3'!CP18</f>
        <v>29</v>
      </c>
      <c r="Q18" s="633">
        <f>'Corrected and Updated TSF 3'!CQ18</f>
        <v>17364.622012807125</v>
      </c>
      <c r="R18" s="633">
        <f>'Corrected and Updated TSF 3'!CS18</f>
        <v>3735018.2685998464</v>
      </c>
      <c r="S18" s="633">
        <f>'Corrected and Updated TSF 3'!CT18</f>
        <v>28957.556881625129</v>
      </c>
      <c r="T18" s="635">
        <f>'Corrected and Updated TSF 3'!CU18</f>
        <v>33571.400119678256</v>
      </c>
      <c r="U18" s="636">
        <f>'Corrected and Updated TSF 3'!CV18</f>
        <v>43366.729102090649</v>
      </c>
      <c r="V18" s="636">
        <f>'Corrected and Updated TSF 3'!CW18</f>
        <v>73957.838288378131</v>
      </c>
      <c r="W18" s="1102">
        <f>'Corrected and Updated TSF 3'!CX18</f>
        <v>303407.40576728969</v>
      </c>
      <c r="X18" s="1102">
        <f>'Corrected and Updated TSF 3'!CY18</f>
        <v>120056.83247978757</v>
      </c>
      <c r="Y18" s="1102">
        <f>'Corrected and Updated TSF 3'!CZ18</f>
        <v>86715.349711868883</v>
      </c>
      <c r="Z18" s="1102">
        <f>'Corrected and Updated TSF 3'!DA18</f>
        <v>65994.373299246014</v>
      </c>
      <c r="AA18" s="821">
        <f>L18-'Corrected and Updated TSF 3'!CL18</f>
        <v>0</v>
      </c>
      <c r="AB18" s="678">
        <f>N18-'Corrected and Updated TSF 3'!CN18</f>
        <v>0</v>
      </c>
      <c r="AC18" s="678">
        <f>Q18-'Corrected and Updated TSF 3'!CQ18</f>
        <v>0</v>
      </c>
      <c r="AD18" s="775"/>
      <c r="AE18" s="775"/>
      <c r="AF18" s="775"/>
      <c r="AG18" s="775"/>
      <c r="AH18" s="677"/>
      <c r="AI18" s="677"/>
      <c r="AJ18" s="677"/>
      <c r="AK18" s="677"/>
    </row>
    <row r="19" spans="1:37" s="119" customFormat="1" ht="12.75" hidden="1" customHeight="1">
      <c r="A19" s="631" t="str">
        <f t="shared" si="0"/>
        <v>W-3M</v>
      </c>
      <c r="B19" s="632" t="str">
        <f>'Corrected and Updated TSF 3'!EP19</f>
        <v>SOLD</v>
      </c>
      <c r="C19" s="820" t="str">
        <f>'Corrected and Updated TSF 3'!E19</f>
        <v>3rd Floor</v>
      </c>
      <c r="D19" s="628">
        <f>'INTERNAL PRICELIST'!D19</f>
        <v>0</v>
      </c>
      <c r="E19" s="596" t="str">
        <f>'Corrected and Updated TSF 3'!G19</f>
        <v>W-3M</v>
      </c>
      <c r="F19" s="401" t="str">
        <f>'Corrected and Updated TSF 3'!I19</f>
        <v>Studio</v>
      </c>
      <c r="G19" s="633">
        <f>'Corrected and Updated TSF 3'!J19</f>
        <v>22</v>
      </c>
      <c r="H19" s="633">
        <f>'Corrected and Updated TSF 3'!CG19</f>
        <v>3785891.1813492263</v>
      </c>
      <c r="I19" s="633">
        <f>SUM('Corrected and Updated TSF 3'!CI19:CJ19)</f>
        <v>482701.12562202633</v>
      </c>
      <c r="J19" s="633">
        <f>'Corrected and Updated TSF 3'!CH19</f>
        <v>0</v>
      </c>
      <c r="K19" s="633">
        <f>'Corrected and Updated TSF 3'!CK19</f>
        <v>4268592.3069712529</v>
      </c>
      <c r="L19" s="634">
        <f>'Corrected and Updated TSF 3'!CL19</f>
        <v>0.125</v>
      </c>
      <c r="M19" s="633">
        <f>'Corrected and Updated TSF 3'!CM19</f>
        <v>533574.03837140661</v>
      </c>
      <c r="N19" s="633">
        <f>'Corrected and Updated TSF 3'!CN19</f>
        <v>30000</v>
      </c>
      <c r="O19" s="633">
        <f>'Corrected and Updated TSF 3'!CO19</f>
        <v>503574.03837140661</v>
      </c>
      <c r="P19" s="401">
        <f>'Corrected and Updated TSF 3'!CP19</f>
        <v>29</v>
      </c>
      <c r="Q19" s="633">
        <f>'Corrected and Updated TSF 3'!CQ19</f>
        <v>17364.622012807125</v>
      </c>
      <c r="R19" s="633">
        <f>'Corrected and Updated TSF 3'!CS19</f>
        <v>3735018.2685998464</v>
      </c>
      <c r="S19" s="633">
        <f>'Corrected and Updated TSF 3'!CT19</f>
        <v>28957.556881625129</v>
      </c>
      <c r="T19" s="635">
        <f>'Corrected and Updated TSF 3'!CU19</f>
        <v>33571.400119678256</v>
      </c>
      <c r="U19" s="636">
        <f>'Corrected and Updated TSF 3'!CV19</f>
        <v>43366.729102090649</v>
      </c>
      <c r="V19" s="636">
        <f>'Corrected and Updated TSF 3'!CW19</f>
        <v>73957.838288378131</v>
      </c>
      <c r="W19" s="1102">
        <f>'Corrected and Updated TSF 3'!CX19</f>
        <v>303407.40576728969</v>
      </c>
      <c r="X19" s="1102">
        <f>'Corrected and Updated TSF 3'!CY19</f>
        <v>120056.83247978757</v>
      </c>
      <c r="Y19" s="1102">
        <f>'Corrected and Updated TSF 3'!CZ19</f>
        <v>86715.349711868883</v>
      </c>
      <c r="Z19" s="1102">
        <f>'Corrected and Updated TSF 3'!DA19</f>
        <v>65994.373299246014</v>
      </c>
      <c r="AA19" s="821">
        <f>L19-'Corrected and Updated TSF 3'!CL19</f>
        <v>0</v>
      </c>
      <c r="AB19" s="678">
        <f>N19-'Corrected and Updated TSF 3'!CN19</f>
        <v>0</v>
      </c>
      <c r="AC19" s="678">
        <f>Q19-'Corrected and Updated TSF 3'!CQ19</f>
        <v>0</v>
      </c>
      <c r="AD19" s="775"/>
      <c r="AE19" s="775"/>
      <c r="AF19" s="775"/>
      <c r="AG19" s="775"/>
      <c r="AH19" s="677"/>
      <c r="AI19" s="677"/>
      <c r="AJ19" s="677"/>
      <c r="AK19" s="677"/>
    </row>
    <row r="20" spans="1:37" s="119" customFormat="1" ht="12.75" hidden="1" customHeight="1">
      <c r="A20" s="631" t="str">
        <f t="shared" si="0"/>
        <v>W-3N</v>
      </c>
      <c r="B20" s="632" t="str">
        <f>'Corrected and Updated TSF 3'!EP20</f>
        <v>SOLD</v>
      </c>
      <c r="C20" s="820" t="str">
        <f>'Corrected and Updated TSF 3'!E20</f>
        <v>3rd Floor</v>
      </c>
      <c r="D20" s="628">
        <f>'INTERNAL PRICELIST'!D20</f>
        <v>0</v>
      </c>
      <c r="E20" s="596" t="str">
        <f>'Corrected and Updated TSF 3'!G20</f>
        <v>W-3N</v>
      </c>
      <c r="F20" s="401" t="str">
        <f>'Corrected and Updated TSF 3'!I20</f>
        <v>Studio</v>
      </c>
      <c r="G20" s="633">
        <f>'Corrected and Updated TSF 3'!J20</f>
        <v>22</v>
      </c>
      <c r="H20" s="633">
        <f>'Corrected and Updated TSF 3'!CG20</f>
        <v>3822128.7747359099</v>
      </c>
      <c r="I20" s="633">
        <f>SUM('Corrected and Updated TSF 3'!CI20:CJ20)</f>
        <v>487321.41877882846</v>
      </c>
      <c r="J20" s="633">
        <f>'Corrected and Updated TSF 3'!CH20</f>
        <v>0</v>
      </c>
      <c r="K20" s="633">
        <f>'Corrected and Updated TSF 3'!CK20</f>
        <v>4309450.1935147392</v>
      </c>
      <c r="L20" s="634">
        <f>'Corrected and Updated TSF 3'!CL20</f>
        <v>0.125</v>
      </c>
      <c r="M20" s="633">
        <f>'Corrected and Updated TSF 3'!CM20</f>
        <v>538681.2741893424</v>
      </c>
      <c r="N20" s="633">
        <f>'Corrected and Updated TSF 3'!CN20</f>
        <v>30000</v>
      </c>
      <c r="O20" s="633">
        <f>'Corrected and Updated TSF 3'!CO20</f>
        <v>508681.2741893424</v>
      </c>
      <c r="P20" s="401">
        <f>'Corrected and Updated TSF 3'!CP20</f>
        <v>29</v>
      </c>
      <c r="Q20" s="633">
        <f>'Corrected and Updated TSF 3'!CQ20</f>
        <v>17540.733592735945</v>
      </c>
      <c r="R20" s="633">
        <f>'Corrected and Updated TSF 3'!CS20</f>
        <v>3770768.9193253969</v>
      </c>
      <c r="S20" s="633">
        <f>'Corrected and Updated TSF 3'!CT20</f>
        <v>29234.731296177142</v>
      </c>
      <c r="T20" s="635">
        <f>'Corrected and Updated TSF 3'!CU20</f>
        <v>33892.737075413213</v>
      </c>
      <c r="U20" s="636">
        <f>'Corrected and Updated TSF 3'!CV20</f>
        <v>43781.824470772634</v>
      </c>
      <c r="V20" s="636">
        <f>'Corrected and Updated TSF 3'!CW20</f>
        <v>74665.744021341437</v>
      </c>
      <c r="W20" s="1102">
        <f>'Corrected and Updated TSF 3'!CX20</f>
        <v>306311.54475968023</v>
      </c>
      <c r="X20" s="1102">
        <f>'Corrected and Updated TSF 3'!CY20</f>
        <v>121205.98613220325</v>
      </c>
      <c r="Y20" s="1102">
        <f>'Corrected and Updated TSF 3'!CZ20</f>
        <v>87545.367119321934</v>
      </c>
      <c r="Z20" s="1102">
        <f>'Corrected and Updated TSF 3'!DA20</f>
        <v>66626.05475834565</v>
      </c>
      <c r="AA20" s="821">
        <f>L20-'Corrected and Updated TSF 3'!CL20</f>
        <v>0</v>
      </c>
      <c r="AB20" s="678">
        <f>N20-'Corrected and Updated TSF 3'!CN20</f>
        <v>0</v>
      </c>
      <c r="AC20" s="678">
        <f>Q20-'Corrected and Updated TSF 3'!CQ20</f>
        <v>0</v>
      </c>
      <c r="AD20" s="775"/>
      <c r="AE20" s="775"/>
      <c r="AF20" s="775"/>
      <c r="AG20" s="775"/>
      <c r="AH20" s="677"/>
      <c r="AI20" s="677"/>
      <c r="AJ20" s="677"/>
      <c r="AK20" s="677"/>
    </row>
    <row r="21" spans="1:37" s="119" customFormat="1" hidden="1">
      <c r="A21" s="631" t="str">
        <f t="shared" si="0"/>
        <v>W-3O</v>
      </c>
      <c r="B21" s="632" t="str">
        <f>'Corrected and Updated TSF 3'!EP21</f>
        <v>SOLD</v>
      </c>
      <c r="C21" s="820" t="str">
        <f>'Corrected and Updated TSF 3'!E21</f>
        <v>3rd Floor</v>
      </c>
      <c r="D21" s="628">
        <f>'INTERNAL PRICELIST'!D21</f>
        <v>0</v>
      </c>
      <c r="E21" s="596" t="str">
        <f>'Corrected and Updated TSF 3'!G21</f>
        <v>W-3O</v>
      </c>
      <c r="F21" s="401" t="str">
        <f>'Corrected and Updated TSF 3'!I21</f>
        <v>Studio</v>
      </c>
      <c r="G21" s="633">
        <f>'Corrected and Updated TSF 3'!J21</f>
        <v>22</v>
      </c>
      <c r="H21" s="633">
        <f>'Corrected and Updated TSF 3'!CG21</f>
        <v>3822128.7747359099</v>
      </c>
      <c r="I21" s="633">
        <f>SUM('Corrected and Updated TSF 3'!CI21:CJ21)</f>
        <v>487321.41877882846</v>
      </c>
      <c r="J21" s="633">
        <f>'Corrected and Updated TSF 3'!CH21</f>
        <v>0</v>
      </c>
      <c r="K21" s="633">
        <f>'Corrected and Updated TSF 3'!CK21</f>
        <v>4309450.1935147392</v>
      </c>
      <c r="L21" s="634">
        <f>'Corrected and Updated TSF 3'!CL21</f>
        <v>0.125</v>
      </c>
      <c r="M21" s="633">
        <f>'Corrected and Updated TSF 3'!CM21</f>
        <v>538681.2741893424</v>
      </c>
      <c r="N21" s="633">
        <f>'Corrected and Updated TSF 3'!CN21</f>
        <v>30000</v>
      </c>
      <c r="O21" s="633">
        <f>'Corrected and Updated TSF 3'!CO21</f>
        <v>508681.2741893424</v>
      </c>
      <c r="P21" s="401">
        <f>'Corrected and Updated TSF 3'!CP21</f>
        <v>29</v>
      </c>
      <c r="Q21" s="633">
        <f>'Corrected and Updated TSF 3'!CQ21</f>
        <v>17540.733592735945</v>
      </c>
      <c r="R21" s="633">
        <f>'Corrected and Updated TSF 3'!CS21</f>
        <v>3770768.9193253969</v>
      </c>
      <c r="S21" s="633">
        <f>'Corrected and Updated TSF 3'!CT21</f>
        <v>29234.731296177142</v>
      </c>
      <c r="T21" s="635">
        <f>'Corrected and Updated TSF 3'!CU21</f>
        <v>33892.737075413213</v>
      </c>
      <c r="U21" s="636">
        <f>'Corrected and Updated TSF 3'!CV21</f>
        <v>43781.824470772634</v>
      </c>
      <c r="V21" s="636">
        <f>'Corrected and Updated TSF 3'!CW21</f>
        <v>74665.744021341437</v>
      </c>
      <c r="W21" s="1102">
        <f>'Corrected and Updated TSF 3'!CX21</f>
        <v>306311.54475968023</v>
      </c>
      <c r="X21" s="1102">
        <f>'Corrected and Updated TSF 3'!CY21</f>
        <v>121205.98613220325</v>
      </c>
      <c r="Y21" s="1102">
        <f>'Corrected and Updated TSF 3'!CZ21</f>
        <v>87545.367119321934</v>
      </c>
      <c r="Z21" s="1102">
        <f>'Corrected and Updated TSF 3'!DA21</f>
        <v>66626.05475834565</v>
      </c>
      <c r="AA21" s="821">
        <f>L21-'Corrected and Updated TSF 3'!CL21</f>
        <v>0</v>
      </c>
      <c r="AB21" s="678">
        <f>N21-'Corrected and Updated TSF 3'!CN21</f>
        <v>0</v>
      </c>
      <c r="AC21" s="678">
        <f>Q21-'Corrected and Updated TSF 3'!CQ21</f>
        <v>0</v>
      </c>
      <c r="AD21" s="775"/>
      <c r="AE21" s="775"/>
      <c r="AF21" s="775"/>
      <c r="AG21" s="775"/>
      <c r="AH21" s="677"/>
      <c r="AI21" s="677"/>
      <c r="AJ21" s="677"/>
      <c r="AK21" s="677"/>
    </row>
    <row r="22" spans="1:37" s="119" customFormat="1" hidden="1">
      <c r="A22" s="631" t="str">
        <f t="shared" si="0"/>
        <v>W-3P</v>
      </c>
      <c r="B22" s="632" t="str">
        <f>'Corrected and Updated TSF 3'!EP22</f>
        <v>SOLD</v>
      </c>
      <c r="C22" s="820" t="str">
        <f>'Corrected and Updated TSF 3'!E22</f>
        <v>3rd Floor</v>
      </c>
      <c r="D22" s="628">
        <f>'INTERNAL PRICELIST'!D22</f>
        <v>0</v>
      </c>
      <c r="E22" s="596" t="str">
        <f>'Corrected and Updated TSF 3'!G22</f>
        <v>W-3P</v>
      </c>
      <c r="F22" s="401" t="str">
        <f>'Corrected and Updated TSF 3'!I22</f>
        <v>Studio</v>
      </c>
      <c r="G22" s="633">
        <f>'Corrected and Updated TSF 3'!J22</f>
        <v>22</v>
      </c>
      <c r="H22" s="633">
        <f>'Corrected and Updated TSF 3'!CG22</f>
        <v>3877805.1648159334</v>
      </c>
      <c r="I22" s="633">
        <f>SUM('Corrected and Updated TSF 3'!CI22:CJ22)</f>
        <v>494420.15851403144</v>
      </c>
      <c r="J22" s="633">
        <f>'Corrected and Updated TSF 3'!CH22</f>
        <v>0</v>
      </c>
      <c r="K22" s="633">
        <f>'Corrected and Updated TSF 3'!CK22</f>
        <v>4372225.3233299647</v>
      </c>
      <c r="L22" s="634">
        <f>'Corrected and Updated TSF 3'!CL22</f>
        <v>0.125</v>
      </c>
      <c r="M22" s="633">
        <f>'Corrected and Updated TSF 3'!CM22</f>
        <v>546528.16541624558</v>
      </c>
      <c r="N22" s="633">
        <f>'Corrected and Updated TSF 3'!CN22</f>
        <v>30000</v>
      </c>
      <c r="O22" s="633">
        <f>'Corrected and Updated TSF 3'!CO22</f>
        <v>516528.16541624558</v>
      </c>
      <c r="P22" s="401">
        <f>'Corrected and Updated TSF 3'!CP22</f>
        <v>29</v>
      </c>
      <c r="Q22" s="633">
        <f>'Corrected and Updated TSF 3'!CQ22</f>
        <v>17811.316048836055</v>
      </c>
      <c r="R22" s="633">
        <f>'Corrected and Updated TSF 3'!CS22</f>
        <v>3825697.1579137193</v>
      </c>
      <c r="S22" s="633">
        <f>'Corrected and Updated TSF 3'!CT22</f>
        <v>29660.589345306602</v>
      </c>
      <c r="T22" s="635">
        <f>'Corrected and Updated TSF 3'!CU22</f>
        <v>34386.447612526325</v>
      </c>
      <c r="U22" s="636">
        <f>'Corrected and Updated TSF 3'!CV22</f>
        <v>44419.587895637422</v>
      </c>
      <c r="V22" s="636">
        <f>'Corrected and Updated TSF 3'!CW22</f>
        <v>75753.388979100506</v>
      </c>
      <c r="W22" s="1102">
        <f>'Corrected and Updated TSF 3'!CX22</f>
        <v>310773.54017040064</v>
      </c>
      <c r="X22" s="1102">
        <f>'Corrected and Updated TSF 3'!CY22</f>
        <v>122971.57598059779</v>
      </c>
      <c r="Y22" s="1102">
        <f>'Corrected and Updated TSF 3'!CZ22</f>
        <v>88820.627660424681</v>
      </c>
      <c r="Z22" s="1102">
        <f>'Corrected and Updated TSF 3'!DA22</f>
        <v>67596.586740087907</v>
      </c>
      <c r="AA22" s="821">
        <f>L22-'Corrected and Updated TSF 3'!CL22</f>
        <v>0</v>
      </c>
      <c r="AB22" s="678">
        <f>N22-'Corrected and Updated TSF 3'!CN22</f>
        <v>0</v>
      </c>
      <c r="AC22" s="678">
        <f>Q22-'Corrected and Updated TSF 3'!CQ22</f>
        <v>0</v>
      </c>
      <c r="AD22" s="775"/>
      <c r="AE22" s="775"/>
      <c r="AF22" s="775"/>
      <c r="AG22" s="775"/>
      <c r="AH22" s="677"/>
      <c r="AI22" s="677"/>
      <c r="AJ22" s="677"/>
      <c r="AK22" s="677"/>
    </row>
    <row r="23" spans="1:37" s="119" customFormat="1" hidden="1">
      <c r="A23" s="631" t="str">
        <f t="shared" si="0"/>
        <v>E-3A</v>
      </c>
      <c r="B23" s="632" t="str">
        <f>'Corrected and Updated TSF 3'!EP23</f>
        <v>SOLD</v>
      </c>
      <c r="C23" s="820" t="str">
        <f>'Corrected and Updated TSF 3'!E23</f>
        <v>3rd Floor</v>
      </c>
      <c r="D23" s="628">
        <f>'INTERNAL PRICELIST'!D23</f>
        <v>0</v>
      </c>
      <c r="E23" s="596" t="str">
        <f>'Corrected and Updated TSF 3'!G23</f>
        <v>E-3A</v>
      </c>
      <c r="F23" s="401" t="str">
        <f>'Corrected and Updated TSF 3'!I23</f>
        <v>Studio</v>
      </c>
      <c r="G23" s="633">
        <f>'Corrected and Updated TSF 3'!J23</f>
        <v>22</v>
      </c>
      <c r="H23" s="633">
        <f>'Corrected and Updated TSF 3'!CG23</f>
        <v>3829338.8274709652</v>
      </c>
      <c r="I23" s="633">
        <f>SUM('Corrected and Updated TSF 3'!CI23:CJ23)</f>
        <v>488240.70050254802</v>
      </c>
      <c r="J23" s="633">
        <f>'Corrected and Updated TSF 3'!CH23</f>
        <v>0</v>
      </c>
      <c r="K23" s="633">
        <f>'Corrected and Updated TSF 3'!CK23</f>
        <v>4317579.5279735131</v>
      </c>
      <c r="L23" s="634">
        <f>'Corrected and Updated TSF 3'!CL23</f>
        <v>0.125</v>
      </c>
      <c r="M23" s="633">
        <f>'Corrected and Updated TSF 3'!CM23</f>
        <v>539697.44099668914</v>
      </c>
      <c r="N23" s="633">
        <f>'Corrected and Updated TSF 3'!CN23</f>
        <v>30000</v>
      </c>
      <c r="O23" s="633">
        <f>'Corrected and Updated TSF 3'!CO23</f>
        <v>509697.44099668914</v>
      </c>
      <c r="P23" s="401">
        <f>'Corrected and Updated TSF 3'!CP23</f>
        <v>29</v>
      </c>
      <c r="Q23" s="633">
        <f>'Corrected and Updated TSF 3'!CQ23</f>
        <v>17575.77382747204</v>
      </c>
      <c r="R23" s="633">
        <f>'Corrected and Updated TSF 3'!CS23</f>
        <v>3777882.0869768239</v>
      </c>
      <c r="S23" s="633">
        <f>'Corrected and Updated TSF 3'!CT23</f>
        <v>29289.879609267446</v>
      </c>
      <c r="T23" s="635">
        <f>'Corrected and Updated TSF 3'!CU23</f>
        <v>33956.672237217368</v>
      </c>
      <c r="U23" s="636">
        <f>'Corrected and Updated TSF 3'!CV23</f>
        <v>43864.414378616064</v>
      </c>
      <c r="V23" s="636">
        <f>'Corrected and Updated TSF 3'!CW23</f>
        <v>74806.593266258133</v>
      </c>
      <c r="W23" s="1102">
        <f>'Corrected and Updated TSF 3'!CX23</f>
        <v>306889.36997731065</v>
      </c>
      <c r="X23" s="1102">
        <f>'Corrected and Updated TSF 3'!CY23</f>
        <v>121434.62875607138</v>
      </c>
      <c r="Y23" s="1102">
        <f>'Corrected and Updated TSF 3'!CZ23</f>
        <v>87710.512448231893</v>
      </c>
      <c r="Z23" s="1102">
        <f>'Corrected and Updated TSF 3'!DA23</f>
        <v>66751.737956544399</v>
      </c>
      <c r="AA23" s="821">
        <f>L23-'Corrected and Updated TSF 3'!CL23</f>
        <v>0</v>
      </c>
      <c r="AB23" s="678">
        <f>N23-'Corrected and Updated TSF 3'!CN23</f>
        <v>0</v>
      </c>
      <c r="AC23" s="678">
        <f>Q23-'Corrected and Updated TSF 3'!CQ23</f>
        <v>0</v>
      </c>
      <c r="AD23" s="775"/>
      <c r="AE23" s="775"/>
      <c r="AF23" s="775"/>
      <c r="AG23" s="775"/>
      <c r="AH23" s="677"/>
      <c r="AI23" s="677"/>
      <c r="AJ23" s="677"/>
      <c r="AK23" s="677"/>
    </row>
    <row r="24" spans="1:37" s="119" customFormat="1" ht="12.75" hidden="1" customHeight="1">
      <c r="A24" s="631" t="str">
        <f t="shared" si="0"/>
        <v>E-3B</v>
      </c>
      <c r="B24" s="632" t="str">
        <f>'Corrected and Updated TSF 3'!EP24</f>
        <v>SOLD</v>
      </c>
      <c r="C24" s="820" t="str">
        <f>'Corrected and Updated TSF 3'!E24</f>
        <v>3rd Floor</v>
      </c>
      <c r="D24" s="628">
        <f>'INTERNAL PRICELIST'!D24</f>
        <v>0</v>
      </c>
      <c r="E24" s="596" t="str">
        <f>'Corrected and Updated TSF 3'!G24</f>
        <v>E-3B</v>
      </c>
      <c r="F24" s="401" t="str">
        <f>'Corrected and Updated TSF 3'!I24</f>
        <v>Studio</v>
      </c>
      <c r="G24" s="633">
        <f>'Corrected and Updated TSF 3'!J24</f>
        <v>22</v>
      </c>
      <c r="H24" s="633">
        <f>'Corrected and Updated TSF 3'!CG24</f>
        <v>3785891.1813492263</v>
      </c>
      <c r="I24" s="633">
        <f>SUM('Corrected and Updated TSF 3'!CI24:CJ24)</f>
        <v>482701.12562202633</v>
      </c>
      <c r="J24" s="633">
        <f>'Corrected and Updated TSF 3'!CH24</f>
        <v>0</v>
      </c>
      <c r="K24" s="633">
        <f>'Corrected and Updated TSF 3'!CK24</f>
        <v>4268592.3069712529</v>
      </c>
      <c r="L24" s="634">
        <f>'Corrected and Updated TSF 3'!CL24</f>
        <v>0.125</v>
      </c>
      <c r="M24" s="633">
        <f>'Corrected and Updated TSF 3'!CM24</f>
        <v>533574.03837140661</v>
      </c>
      <c r="N24" s="633">
        <f>'Corrected and Updated TSF 3'!CN24</f>
        <v>30000</v>
      </c>
      <c r="O24" s="633">
        <f>'Corrected and Updated TSF 3'!CO24</f>
        <v>503574.03837140661</v>
      </c>
      <c r="P24" s="401">
        <f>'Corrected and Updated TSF 3'!CP24</f>
        <v>29</v>
      </c>
      <c r="Q24" s="633">
        <f>'Corrected and Updated TSF 3'!CQ24</f>
        <v>17364.622012807125</v>
      </c>
      <c r="R24" s="633">
        <f>'Corrected and Updated TSF 3'!CS24</f>
        <v>3735018.2685998464</v>
      </c>
      <c r="S24" s="633">
        <f>'Corrected and Updated TSF 3'!CT24</f>
        <v>28957.556881625129</v>
      </c>
      <c r="T24" s="635">
        <f>'Corrected and Updated TSF 3'!CU24</f>
        <v>33571.400119678256</v>
      </c>
      <c r="U24" s="636">
        <f>'Corrected and Updated TSF 3'!CV24</f>
        <v>43366.729102090649</v>
      </c>
      <c r="V24" s="636">
        <f>'Corrected and Updated TSF 3'!CW24</f>
        <v>73957.838288378131</v>
      </c>
      <c r="W24" s="1102">
        <f>'Corrected and Updated TSF 3'!CX24</f>
        <v>303407.40576728969</v>
      </c>
      <c r="X24" s="1102">
        <f>'Corrected and Updated TSF 3'!CY24</f>
        <v>120056.83247978757</v>
      </c>
      <c r="Y24" s="1102">
        <f>'Corrected and Updated TSF 3'!CZ24</f>
        <v>86715.349711868883</v>
      </c>
      <c r="Z24" s="1102">
        <f>'Corrected and Updated TSF 3'!DA24</f>
        <v>65994.373299246014</v>
      </c>
      <c r="AA24" s="821">
        <f>L24-'Corrected and Updated TSF 3'!CL24</f>
        <v>0</v>
      </c>
      <c r="AB24" s="678">
        <f>N24-'Corrected and Updated TSF 3'!CN24</f>
        <v>0</v>
      </c>
      <c r="AC24" s="678">
        <f>Q24-'Corrected and Updated TSF 3'!CQ24</f>
        <v>0</v>
      </c>
      <c r="AD24" s="775"/>
      <c r="AE24" s="775"/>
      <c r="AF24" s="775"/>
      <c r="AG24" s="775"/>
      <c r="AH24" s="677"/>
      <c r="AI24" s="677"/>
      <c r="AJ24" s="677"/>
      <c r="AK24" s="677"/>
    </row>
    <row r="25" spans="1:37" s="119" customFormat="1" ht="12.75" hidden="1" customHeight="1">
      <c r="A25" s="631" t="str">
        <f t="shared" si="0"/>
        <v>E-3C</v>
      </c>
      <c r="B25" s="632" t="str">
        <f>'Corrected and Updated TSF 3'!EP25</f>
        <v>SOLD</v>
      </c>
      <c r="C25" s="820" t="str">
        <f>'Corrected and Updated TSF 3'!E25</f>
        <v>3rd Floor</v>
      </c>
      <c r="D25" s="628">
        <f>'INTERNAL PRICELIST'!D25</f>
        <v>0</v>
      </c>
      <c r="E25" s="596" t="str">
        <f>'Corrected and Updated TSF 3'!G25</f>
        <v>E-3C</v>
      </c>
      <c r="F25" s="401" t="str">
        <f>'Corrected and Updated TSF 3'!I25</f>
        <v>Studio</v>
      </c>
      <c r="G25" s="633">
        <f>'Corrected and Updated TSF 3'!J25</f>
        <v>22</v>
      </c>
      <c r="H25" s="633">
        <f>'Corrected and Updated TSF 3'!CG25</f>
        <v>3785891.1813492263</v>
      </c>
      <c r="I25" s="633">
        <f>SUM('Corrected and Updated TSF 3'!CI25:CJ25)</f>
        <v>482701.12562202633</v>
      </c>
      <c r="J25" s="633">
        <f>'Corrected and Updated TSF 3'!CH25</f>
        <v>0</v>
      </c>
      <c r="K25" s="633">
        <f>'Corrected and Updated TSF 3'!CK25</f>
        <v>4268592.3069712529</v>
      </c>
      <c r="L25" s="634">
        <f>'Corrected and Updated TSF 3'!CL25</f>
        <v>0.125</v>
      </c>
      <c r="M25" s="633">
        <f>'Corrected and Updated TSF 3'!CM25</f>
        <v>533574.03837140661</v>
      </c>
      <c r="N25" s="633">
        <f>'Corrected and Updated TSF 3'!CN25</f>
        <v>30000</v>
      </c>
      <c r="O25" s="633">
        <f>'Corrected and Updated TSF 3'!CO25</f>
        <v>503574.03837140661</v>
      </c>
      <c r="P25" s="401">
        <f>'Corrected and Updated TSF 3'!CP25</f>
        <v>29</v>
      </c>
      <c r="Q25" s="633">
        <f>'Corrected and Updated TSF 3'!CQ25</f>
        <v>17364.622012807125</v>
      </c>
      <c r="R25" s="633">
        <f>'Corrected and Updated TSF 3'!CS25</f>
        <v>3735018.2685998464</v>
      </c>
      <c r="S25" s="633">
        <f>'Corrected and Updated TSF 3'!CT25</f>
        <v>28957.556881625129</v>
      </c>
      <c r="T25" s="635">
        <f>'Corrected and Updated TSF 3'!CU25</f>
        <v>33571.400119678256</v>
      </c>
      <c r="U25" s="636">
        <f>'Corrected and Updated TSF 3'!CV25</f>
        <v>43366.729102090649</v>
      </c>
      <c r="V25" s="636">
        <f>'Corrected and Updated TSF 3'!CW25</f>
        <v>73957.838288378131</v>
      </c>
      <c r="W25" s="1102">
        <f>'Corrected and Updated TSF 3'!CX25</f>
        <v>303407.40576728969</v>
      </c>
      <c r="X25" s="1102">
        <f>'Corrected and Updated TSF 3'!CY25</f>
        <v>120056.83247978757</v>
      </c>
      <c r="Y25" s="1102">
        <f>'Corrected and Updated TSF 3'!CZ25</f>
        <v>86715.349711868883</v>
      </c>
      <c r="Z25" s="1102">
        <f>'Corrected and Updated TSF 3'!DA25</f>
        <v>65994.373299246014</v>
      </c>
      <c r="AA25" s="821">
        <f>L25-'Corrected and Updated TSF 3'!CL25</f>
        <v>0</v>
      </c>
      <c r="AB25" s="678">
        <f>N25-'Corrected and Updated TSF 3'!CN25</f>
        <v>0</v>
      </c>
      <c r="AC25" s="678">
        <f>Q25-'Corrected and Updated TSF 3'!CQ25</f>
        <v>0</v>
      </c>
      <c r="AD25" s="775"/>
      <c r="AE25" s="775"/>
      <c r="AF25" s="775"/>
      <c r="AG25" s="775"/>
      <c r="AH25" s="677"/>
      <c r="AI25" s="677"/>
      <c r="AJ25" s="677"/>
      <c r="AK25" s="677"/>
    </row>
    <row r="26" spans="1:37" s="119" customFormat="1" ht="12.75" hidden="1" customHeight="1">
      <c r="A26" s="631" t="str">
        <f t="shared" si="0"/>
        <v>E-3D</v>
      </c>
      <c r="B26" s="632" t="str">
        <f>'Corrected and Updated TSF 3'!EP26</f>
        <v>SOLD</v>
      </c>
      <c r="C26" s="820" t="str">
        <f>'Corrected and Updated TSF 3'!E26</f>
        <v>3rd Floor</v>
      </c>
      <c r="D26" s="628">
        <f>'INTERNAL PRICELIST'!D26</f>
        <v>0</v>
      </c>
      <c r="E26" s="596" t="str">
        <f>'Corrected and Updated TSF 3'!G26</f>
        <v>E-3D</v>
      </c>
      <c r="F26" s="401" t="str">
        <f>'Corrected and Updated TSF 3'!I26</f>
        <v>Studio</v>
      </c>
      <c r="G26" s="633">
        <f>'Corrected and Updated TSF 3'!J26</f>
        <v>22</v>
      </c>
      <c r="H26" s="633">
        <f>'Corrected and Updated TSF 3'!CG26</f>
        <v>3785891.1813492263</v>
      </c>
      <c r="I26" s="633">
        <f>SUM('Corrected and Updated TSF 3'!CI26:CJ26)</f>
        <v>482701.12562202633</v>
      </c>
      <c r="J26" s="633">
        <f>'Corrected and Updated TSF 3'!CH26</f>
        <v>0</v>
      </c>
      <c r="K26" s="633">
        <f>'Corrected and Updated TSF 3'!CK26</f>
        <v>4268592.3069712529</v>
      </c>
      <c r="L26" s="634">
        <f>'Corrected and Updated TSF 3'!CL26</f>
        <v>0.125</v>
      </c>
      <c r="M26" s="633">
        <f>'Corrected and Updated TSF 3'!CM26</f>
        <v>533574.03837140661</v>
      </c>
      <c r="N26" s="633">
        <f>'Corrected and Updated TSF 3'!CN26</f>
        <v>30000</v>
      </c>
      <c r="O26" s="633">
        <f>'Corrected and Updated TSF 3'!CO26</f>
        <v>503574.03837140661</v>
      </c>
      <c r="P26" s="401">
        <f>'Corrected and Updated TSF 3'!CP26</f>
        <v>29</v>
      </c>
      <c r="Q26" s="633">
        <f>'Corrected and Updated TSF 3'!CQ26</f>
        <v>17364.622012807125</v>
      </c>
      <c r="R26" s="633">
        <f>'Corrected and Updated TSF 3'!CS26</f>
        <v>3735018.2685998464</v>
      </c>
      <c r="S26" s="633">
        <f>'Corrected and Updated TSF 3'!CT26</f>
        <v>28957.556881625129</v>
      </c>
      <c r="T26" s="635">
        <f>'Corrected and Updated TSF 3'!CU26</f>
        <v>33571.400119678256</v>
      </c>
      <c r="U26" s="636">
        <f>'Corrected and Updated TSF 3'!CV26</f>
        <v>43366.729102090649</v>
      </c>
      <c r="V26" s="636">
        <f>'Corrected and Updated TSF 3'!CW26</f>
        <v>73957.838288378131</v>
      </c>
      <c r="W26" s="1102">
        <f>'Corrected and Updated TSF 3'!CX26</f>
        <v>303407.40576728969</v>
      </c>
      <c r="X26" s="1102">
        <f>'Corrected and Updated TSF 3'!CY26</f>
        <v>120056.83247978757</v>
      </c>
      <c r="Y26" s="1102">
        <f>'Corrected and Updated TSF 3'!CZ26</f>
        <v>86715.349711868883</v>
      </c>
      <c r="Z26" s="1102">
        <f>'Corrected and Updated TSF 3'!DA26</f>
        <v>65994.373299246014</v>
      </c>
      <c r="AA26" s="821">
        <f>L26-'Corrected and Updated TSF 3'!CL26</f>
        <v>0</v>
      </c>
      <c r="AB26" s="678">
        <f>N26-'Corrected and Updated TSF 3'!CN26</f>
        <v>0</v>
      </c>
      <c r="AC26" s="678">
        <f>Q26-'Corrected and Updated TSF 3'!CQ26</f>
        <v>0</v>
      </c>
      <c r="AD26" s="775"/>
      <c r="AE26" s="775"/>
      <c r="AF26" s="775"/>
      <c r="AG26" s="775"/>
      <c r="AH26" s="677"/>
      <c r="AI26" s="677"/>
      <c r="AJ26" s="677"/>
      <c r="AK26" s="677"/>
    </row>
    <row r="27" spans="1:37" s="119" customFormat="1" hidden="1">
      <c r="A27" s="631" t="str">
        <f t="shared" si="0"/>
        <v>E-3E</v>
      </c>
      <c r="B27" s="632" t="str">
        <f>'Corrected and Updated TSF 3'!EP27</f>
        <v>SOLD</v>
      </c>
      <c r="C27" s="820" t="str">
        <f>'Corrected and Updated TSF 3'!E27</f>
        <v>3rd Floor</v>
      </c>
      <c r="D27" s="628">
        <f>'INTERNAL PRICELIST'!D27</f>
        <v>0</v>
      </c>
      <c r="E27" s="596" t="str">
        <f>'Corrected and Updated TSF 3'!G27</f>
        <v>E-3E</v>
      </c>
      <c r="F27" s="401" t="str">
        <f>'Corrected and Updated TSF 3'!I27</f>
        <v>Studio</v>
      </c>
      <c r="G27" s="633">
        <f>'Corrected and Updated TSF 3'!J27</f>
        <v>22</v>
      </c>
      <c r="H27" s="633">
        <f>'Corrected and Updated TSF 3'!CG27</f>
        <v>3785891.1813492263</v>
      </c>
      <c r="I27" s="633">
        <f>SUM('Corrected and Updated TSF 3'!CI27:CJ27)</f>
        <v>482701.12562202633</v>
      </c>
      <c r="J27" s="633">
        <f>'Corrected and Updated TSF 3'!CH27</f>
        <v>0</v>
      </c>
      <c r="K27" s="633">
        <f>'Corrected and Updated TSF 3'!CK27</f>
        <v>4268592.3069712529</v>
      </c>
      <c r="L27" s="634">
        <f>'Corrected and Updated TSF 3'!CL27</f>
        <v>0.125</v>
      </c>
      <c r="M27" s="633">
        <f>'Corrected and Updated TSF 3'!CM27</f>
        <v>533574.03837140661</v>
      </c>
      <c r="N27" s="633">
        <f>'Corrected and Updated TSF 3'!CN27</f>
        <v>30000</v>
      </c>
      <c r="O27" s="633">
        <f>'Corrected and Updated TSF 3'!CO27</f>
        <v>503574.03837140661</v>
      </c>
      <c r="P27" s="401">
        <f>'Corrected and Updated TSF 3'!CP27</f>
        <v>29</v>
      </c>
      <c r="Q27" s="633">
        <f>'Corrected and Updated TSF 3'!CQ27</f>
        <v>17364.622012807125</v>
      </c>
      <c r="R27" s="633">
        <f>'Corrected and Updated TSF 3'!CS27</f>
        <v>3735018.2685998464</v>
      </c>
      <c r="S27" s="633">
        <f>'Corrected and Updated TSF 3'!CT27</f>
        <v>28957.556881625129</v>
      </c>
      <c r="T27" s="635">
        <f>'Corrected and Updated TSF 3'!CU27</f>
        <v>33571.400119678256</v>
      </c>
      <c r="U27" s="636">
        <f>'Corrected and Updated TSF 3'!CV27</f>
        <v>43366.729102090649</v>
      </c>
      <c r="V27" s="636">
        <f>'Corrected and Updated TSF 3'!CW27</f>
        <v>73957.838288378131</v>
      </c>
      <c r="W27" s="1102">
        <f>'Corrected and Updated TSF 3'!CX27</f>
        <v>303407.40576728969</v>
      </c>
      <c r="X27" s="1102">
        <f>'Corrected and Updated TSF 3'!CY27</f>
        <v>120056.83247978757</v>
      </c>
      <c r="Y27" s="1102">
        <f>'Corrected and Updated TSF 3'!CZ27</f>
        <v>86715.349711868883</v>
      </c>
      <c r="Z27" s="1102">
        <f>'Corrected and Updated TSF 3'!DA27</f>
        <v>65994.373299246014</v>
      </c>
      <c r="AA27" s="821">
        <f>L27-'Corrected and Updated TSF 3'!CL27</f>
        <v>0</v>
      </c>
      <c r="AB27" s="678">
        <f>N27-'Corrected and Updated TSF 3'!CN27</f>
        <v>0</v>
      </c>
      <c r="AC27" s="678">
        <f>Q27-'Corrected and Updated TSF 3'!CQ27</f>
        <v>0</v>
      </c>
      <c r="AD27" s="775"/>
      <c r="AE27" s="775"/>
      <c r="AF27" s="775"/>
      <c r="AG27" s="775"/>
      <c r="AH27" s="677"/>
      <c r="AI27" s="677"/>
      <c r="AJ27" s="677"/>
      <c r="AK27" s="677"/>
    </row>
    <row r="28" spans="1:37" s="119" customFormat="1" hidden="1">
      <c r="A28" s="631" t="str">
        <f t="shared" si="0"/>
        <v>E-3F</v>
      </c>
      <c r="B28" s="632" t="str">
        <f>'Corrected and Updated TSF 3'!EP28</f>
        <v>SOLD</v>
      </c>
      <c r="C28" s="973" t="str">
        <f>'Corrected and Updated TSF 3'!E28</f>
        <v>3rd Floor</v>
      </c>
      <c r="D28" s="974">
        <f>'INTERNAL PRICELIST'!D28</f>
        <v>0</v>
      </c>
      <c r="E28" s="975" t="str">
        <f>'Corrected and Updated TSF 3'!G28</f>
        <v>E-3F</v>
      </c>
      <c r="F28" s="976" t="str">
        <f>'Corrected and Updated TSF 3'!I28</f>
        <v>Studio</v>
      </c>
      <c r="G28" s="977">
        <f>'Corrected and Updated TSF 3'!J28</f>
        <v>22</v>
      </c>
      <c r="H28" s="977">
        <f>'Corrected and Updated TSF 3'!CG28</f>
        <v>3785891.1813492263</v>
      </c>
      <c r="I28" s="977">
        <f>SUM('Corrected and Updated TSF 3'!CI28:CJ28)</f>
        <v>482701.12562202633</v>
      </c>
      <c r="J28" s="977">
        <f>'Corrected and Updated TSF 3'!CH28</f>
        <v>0</v>
      </c>
      <c r="K28" s="977">
        <f>'Corrected and Updated TSF 3'!CK28</f>
        <v>4268592.3069712529</v>
      </c>
      <c r="L28" s="978">
        <f>'Corrected and Updated TSF 3'!CL28</f>
        <v>0.125</v>
      </c>
      <c r="M28" s="977">
        <f>'Corrected and Updated TSF 3'!CM28</f>
        <v>533574.03837140661</v>
      </c>
      <c r="N28" s="977">
        <f>'Corrected and Updated TSF 3'!CN28</f>
        <v>30000</v>
      </c>
      <c r="O28" s="977">
        <f>'Corrected and Updated TSF 3'!CO28</f>
        <v>503574.03837140661</v>
      </c>
      <c r="P28" s="976">
        <f>'Corrected and Updated TSF 3'!CP28</f>
        <v>29</v>
      </c>
      <c r="Q28" s="977">
        <f>'Corrected and Updated TSF 3'!CQ28</f>
        <v>17364.622012807125</v>
      </c>
      <c r="R28" s="977">
        <f>'Corrected and Updated TSF 3'!CS28</f>
        <v>3735018.2685998464</v>
      </c>
      <c r="S28" s="977">
        <f>'Corrected and Updated TSF 3'!CT28</f>
        <v>28957.556881625129</v>
      </c>
      <c r="T28" s="636">
        <f>'Corrected and Updated TSF 3'!CU28</f>
        <v>33571.400119678256</v>
      </c>
      <c r="U28" s="636">
        <f>'Corrected and Updated TSF 3'!CV28</f>
        <v>43366.729102090649</v>
      </c>
      <c r="V28" s="636">
        <f>'Corrected and Updated TSF 3'!CW28</f>
        <v>73957.838288378131</v>
      </c>
      <c r="W28" s="1102">
        <f>'Corrected and Updated TSF 3'!CX28</f>
        <v>303407.40576728969</v>
      </c>
      <c r="X28" s="1102">
        <f>'Corrected and Updated TSF 3'!CY28</f>
        <v>120056.83247978757</v>
      </c>
      <c r="Y28" s="1102">
        <f>'Corrected and Updated TSF 3'!CZ28</f>
        <v>86715.349711868883</v>
      </c>
      <c r="Z28" s="1102">
        <f>'Corrected and Updated TSF 3'!DA28</f>
        <v>65994.373299246014</v>
      </c>
      <c r="AA28" s="821">
        <f>L28-'Corrected and Updated TSF 3'!CL28</f>
        <v>0</v>
      </c>
      <c r="AB28" s="678">
        <f>N28-'Corrected and Updated TSF 3'!CN28</f>
        <v>0</v>
      </c>
      <c r="AC28" s="678">
        <f>Q28-'Corrected and Updated TSF 3'!CQ28</f>
        <v>0</v>
      </c>
      <c r="AD28" s="775"/>
      <c r="AE28" s="775"/>
      <c r="AF28" s="775"/>
      <c r="AG28" s="775"/>
      <c r="AH28" s="677"/>
      <c r="AI28" s="677"/>
      <c r="AJ28" s="677"/>
      <c r="AK28" s="677"/>
    </row>
    <row r="29" spans="1:37" s="119" customFormat="1" ht="12.75" hidden="1" customHeight="1">
      <c r="A29" s="631" t="str">
        <f t="shared" si="0"/>
        <v>E-3G</v>
      </c>
      <c r="B29" s="632" t="str">
        <f>'Corrected and Updated TSF 3'!EP29</f>
        <v>SOLD</v>
      </c>
      <c r="C29" s="820" t="str">
        <f>'Corrected and Updated TSF 3'!E29</f>
        <v>3rd Floor</v>
      </c>
      <c r="D29" s="628">
        <f>'INTERNAL PRICELIST'!D29</f>
        <v>0</v>
      </c>
      <c r="E29" s="596" t="str">
        <f>'Corrected and Updated TSF 3'!G29</f>
        <v>E-3G</v>
      </c>
      <c r="F29" s="401" t="str">
        <f>'Corrected and Updated TSF 3'!I29</f>
        <v>Studio</v>
      </c>
      <c r="G29" s="633">
        <f>'Corrected and Updated TSF 3'!J29</f>
        <v>22</v>
      </c>
      <c r="H29" s="633">
        <f>'Corrected and Updated TSF 3'!CG29</f>
        <v>3785891.1813492263</v>
      </c>
      <c r="I29" s="633">
        <f>SUM('Corrected and Updated TSF 3'!CI29:CJ29)</f>
        <v>482701.12562202633</v>
      </c>
      <c r="J29" s="633">
        <f>'Corrected and Updated TSF 3'!CH29</f>
        <v>0</v>
      </c>
      <c r="K29" s="633">
        <f>'Corrected and Updated TSF 3'!CK29</f>
        <v>4268592.3069712529</v>
      </c>
      <c r="L29" s="634">
        <f>'Corrected and Updated TSF 3'!CL29</f>
        <v>0.125</v>
      </c>
      <c r="M29" s="633">
        <f>'Corrected and Updated TSF 3'!CM29</f>
        <v>533574.03837140661</v>
      </c>
      <c r="N29" s="633">
        <f>'Corrected and Updated TSF 3'!CN29</f>
        <v>30000</v>
      </c>
      <c r="O29" s="633">
        <f>'Corrected and Updated TSF 3'!CO29</f>
        <v>503574.03837140661</v>
      </c>
      <c r="P29" s="401">
        <f>'Corrected and Updated TSF 3'!CP29</f>
        <v>29</v>
      </c>
      <c r="Q29" s="633">
        <f>'Corrected and Updated TSF 3'!CQ29</f>
        <v>17364.622012807125</v>
      </c>
      <c r="R29" s="633">
        <f>'Corrected and Updated TSF 3'!CS29</f>
        <v>3735018.2685998464</v>
      </c>
      <c r="S29" s="633">
        <f>'Corrected and Updated TSF 3'!CT29</f>
        <v>28957.556881625129</v>
      </c>
      <c r="T29" s="635">
        <f>'Corrected and Updated TSF 3'!CU29</f>
        <v>33571.400119678256</v>
      </c>
      <c r="U29" s="636">
        <f>'Corrected and Updated TSF 3'!CV29</f>
        <v>43366.729102090649</v>
      </c>
      <c r="V29" s="636">
        <f>'Corrected and Updated TSF 3'!CW29</f>
        <v>73957.838288378131</v>
      </c>
      <c r="W29" s="1102">
        <f>'Corrected and Updated TSF 3'!CX29</f>
        <v>303407.40576728969</v>
      </c>
      <c r="X29" s="1102">
        <f>'Corrected and Updated TSF 3'!CY29</f>
        <v>120056.83247978757</v>
      </c>
      <c r="Y29" s="1102">
        <f>'Corrected and Updated TSF 3'!CZ29</f>
        <v>86715.349711868883</v>
      </c>
      <c r="Z29" s="1102">
        <f>'Corrected and Updated TSF 3'!DA29</f>
        <v>65994.373299246014</v>
      </c>
      <c r="AA29" s="821">
        <f>L29-'Corrected and Updated TSF 3'!CL29</f>
        <v>0</v>
      </c>
      <c r="AB29" s="678">
        <f>N29-'Corrected and Updated TSF 3'!CN29</f>
        <v>0</v>
      </c>
      <c r="AC29" s="678">
        <f>Q29-'Corrected and Updated TSF 3'!CQ29</f>
        <v>0</v>
      </c>
      <c r="AD29" s="775"/>
      <c r="AE29" s="775"/>
      <c r="AF29" s="775"/>
      <c r="AG29" s="775"/>
      <c r="AH29" s="677"/>
      <c r="AI29" s="677"/>
      <c r="AJ29" s="677"/>
      <c r="AK29" s="677"/>
    </row>
    <row r="30" spans="1:37" s="119" customFormat="1" ht="12.75" customHeight="1">
      <c r="A30" s="631" t="str">
        <f t="shared" si="0"/>
        <v>E-3H</v>
      </c>
      <c r="B30" s="632" t="str">
        <f>'Corrected and Updated TSF 3'!EP30</f>
        <v>UNSOLD</v>
      </c>
      <c r="C30" s="820" t="str">
        <f>'Corrected and Updated TSF 3'!E30</f>
        <v>3rd Floor</v>
      </c>
      <c r="D30" s="628">
        <f>'INTERNAL PRICELIST'!D30</f>
        <v>0</v>
      </c>
      <c r="E30" s="1146" t="str">
        <f>'Corrected and Updated TSF 3'!G30</f>
        <v>E-3H</v>
      </c>
      <c r="F30" s="401" t="str">
        <f>'Corrected and Updated TSF 3'!I30</f>
        <v>Studio</v>
      </c>
      <c r="G30" s="633">
        <f>'Corrected and Updated TSF 3'!J30</f>
        <v>22</v>
      </c>
      <c r="H30" s="633">
        <f>'Corrected and Updated TSF 3'!CG30</f>
        <v>3853678.8056419292</v>
      </c>
      <c r="I30" s="633">
        <f>SUM('Corrected and Updated TSF 3'!CI30:CJ30)</f>
        <v>491344.04771934595</v>
      </c>
      <c r="J30" s="633">
        <f>'Corrected and Updated TSF 3'!CH30</f>
        <v>0</v>
      </c>
      <c r="K30" s="633">
        <f>'Corrected and Updated TSF 3'!CK30</f>
        <v>4345022.853361275</v>
      </c>
      <c r="L30" s="634">
        <f>'Corrected and Updated TSF 3'!CL30</f>
        <v>0.125</v>
      </c>
      <c r="M30" s="633">
        <f>'Corrected and Updated TSF 3'!CM30</f>
        <v>543127.85667015938</v>
      </c>
      <c r="N30" s="633">
        <f>'Corrected and Updated TSF 3'!CN30</f>
        <v>30000</v>
      </c>
      <c r="O30" s="633">
        <f>'Corrected and Updated TSF 3'!CO30</f>
        <v>513127.85667015938</v>
      </c>
      <c r="P30" s="401">
        <f>'Corrected and Updated TSF 3'!CP30</f>
        <v>29</v>
      </c>
      <c r="Q30" s="633">
        <f>'Corrected and Updated TSF 3'!CQ30</f>
        <v>17694.064023108946</v>
      </c>
      <c r="R30" s="633">
        <f>'Corrected and Updated TSF 3'!CS30</f>
        <v>3801894.9966911157</v>
      </c>
      <c r="S30" s="633">
        <f>'Corrected and Updated TSF 3'!CT30</f>
        <v>29476.051442693464</v>
      </c>
      <c r="T30" s="635">
        <f>'Corrected and Updated TSF 3'!CU30</f>
        <v>34172.507058383693</v>
      </c>
      <c r="U30" s="636">
        <f>'Corrected and Updated TSF 3'!CV30</f>
        <v>44143.224621470115</v>
      </c>
      <c r="V30" s="636">
        <f>'Corrected and Updated TSF 3'!CW30</f>
        <v>75282.077659042319</v>
      </c>
      <c r="W30" s="1102">
        <f>'Corrected and Updated TSF 3'!CX30</f>
        <v>308840.01495877909</v>
      </c>
      <c r="X30" s="1102">
        <f>'Corrected and Updated TSF 3'!CY30</f>
        <v>122206.4894731012</v>
      </c>
      <c r="Y30" s="1102">
        <f>'Corrected and Updated TSF 3'!CZ30</f>
        <v>88268.01651212899</v>
      </c>
      <c r="Z30" s="1102">
        <f>'Corrected and Updated TSF 3'!DA30</f>
        <v>67176.024215331592</v>
      </c>
      <c r="AA30" s="821">
        <f>L30-'Corrected and Updated TSF 3'!CL30</f>
        <v>0</v>
      </c>
      <c r="AB30" s="678">
        <f>N30-'Corrected and Updated TSF 3'!CN30</f>
        <v>0</v>
      </c>
      <c r="AC30" s="678">
        <f>Q30-'Corrected and Updated TSF 3'!CQ30</f>
        <v>0</v>
      </c>
      <c r="AD30" s="775"/>
      <c r="AE30" s="775"/>
      <c r="AF30" s="775"/>
      <c r="AG30" s="775"/>
      <c r="AH30" s="677"/>
      <c r="AI30" s="677"/>
      <c r="AJ30" s="677"/>
      <c r="AK30" s="677"/>
    </row>
    <row r="31" spans="1:37" s="119" customFormat="1" hidden="1">
      <c r="A31" s="631" t="str">
        <f t="shared" si="0"/>
        <v>E-3I</v>
      </c>
      <c r="B31" s="632" t="str">
        <f>'Corrected and Updated TSF 3'!EP31</f>
        <v>SOLD</v>
      </c>
      <c r="C31" s="973" t="str">
        <f>'Corrected and Updated TSF 3'!E31</f>
        <v>3rd Floor</v>
      </c>
      <c r="D31" s="974">
        <f>'INTERNAL PRICELIST'!D31</f>
        <v>0</v>
      </c>
      <c r="E31" s="975" t="str">
        <f>'Corrected and Updated TSF 3'!G31</f>
        <v>E-3I</v>
      </c>
      <c r="F31" s="976" t="str">
        <f>'Corrected and Updated TSF 3'!I31</f>
        <v>Studio</v>
      </c>
      <c r="G31" s="977">
        <f>'Corrected and Updated TSF 3'!J31</f>
        <v>22</v>
      </c>
      <c r="H31" s="977">
        <f>'Corrected and Updated TSF 3'!CG31</f>
        <v>3877805.1648159334</v>
      </c>
      <c r="I31" s="977">
        <f>SUM('Corrected and Updated TSF 3'!CI31:CJ31)</f>
        <v>494420.15851403144</v>
      </c>
      <c r="J31" s="977">
        <f>'Corrected and Updated TSF 3'!CH31</f>
        <v>0</v>
      </c>
      <c r="K31" s="977">
        <f>'Corrected and Updated TSF 3'!CK31</f>
        <v>4372225.3233299647</v>
      </c>
      <c r="L31" s="978">
        <f>'Corrected and Updated TSF 3'!CL31</f>
        <v>0.125</v>
      </c>
      <c r="M31" s="977">
        <f>'Corrected and Updated TSF 3'!CM31</f>
        <v>546528.16541624558</v>
      </c>
      <c r="N31" s="977">
        <f>'Corrected and Updated TSF 3'!CN31</f>
        <v>30000</v>
      </c>
      <c r="O31" s="977">
        <f>'Corrected and Updated TSF 3'!CO31</f>
        <v>516528.16541624558</v>
      </c>
      <c r="P31" s="976">
        <f>'Corrected and Updated TSF 3'!CP31</f>
        <v>29</v>
      </c>
      <c r="Q31" s="977">
        <f>'Corrected and Updated TSF 3'!CQ31</f>
        <v>17811.316048836055</v>
      </c>
      <c r="R31" s="977">
        <f>'Corrected and Updated TSF 3'!CS31</f>
        <v>3825697.1579137193</v>
      </c>
      <c r="S31" s="977">
        <f>'Corrected and Updated TSF 3'!CT31</f>
        <v>29660.589345306602</v>
      </c>
      <c r="T31" s="636">
        <f>'Corrected and Updated TSF 3'!CU31</f>
        <v>34386.447612526325</v>
      </c>
      <c r="U31" s="636">
        <f>'Corrected and Updated TSF 3'!CV31</f>
        <v>44419.587895637422</v>
      </c>
      <c r="V31" s="636">
        <f>'Corrected and Updated TSF 3'!CW31</f>
        <v>75753.388979100506</v>
      </c>
      <c r="W31" s="1102">
        <f>'Corrected and Updated TSF 3'!CX31</f>
        <v>310773.54017040064</v>
      </c>
      <c r="X31" s="1102">
        <f>'Corrected and Updated TSF 3'!CY31</f>
        <v>122971.57598059779</v>
      </c>
      <c r="Y31" s="1102">
        <f>'Corrected and Updated TSF 3'!CZ31</f>
        <v>88820.627660424681</v>
      </c>
      <c r="Z31" s="1102">
        <f>'Corrected and Updated TSF 3'!DA31</f>
        <v>67596.586740087907</v>
      </c>
      <c r="AA31" s="821">
        <f>L31-'Corrected and Updated TSF 3'!CL31</f>
        <v>0</v>
      </c>
      <c r="AB31" s="678">
        <f>N31-'Corrected and Updated TSF 3'!CN31</f>
        <v>0</v>
      </c>
      <c r="AC31" s="678">
        <f>Q31-'Corrected and Updated TSF 3'!CQ31</f>
        <v>0</v>
      </c>
      <c r="AD31" s="775"/>
      <c r="AE31" s="775"/>
      <c r="AF31" s="775"/>
      <c r="AG31" s="775"/>
      <c r="AH31" s="677"/>
      <c r="AI31" s="677"/>
      <c r="AJ31" s="677"/>
      <c r="AK31" s="677"/>
    </row>
    <row r="32" spans="1:37" s="119" customFormat="1" ht="12.75" hidden="1" customHeight="1">
      <c r="A32" s="631" t="str">
        <f t="shared" si="0"/>
        <v>E-3J</v>
      </c>
      <c r="B32" s="632" t="str">
        <f>'Corrected and Updated TSF 3'!EP32</f>
        <v>SOLD</v>
      </c>
      <c r="C32" s="973" t="str">
        <f>'Corrected and Updated TSF 3'!E32</f>
        <v>3rd Floor</v>
      </c>
      <c r="D32" s="974">
        <f>'INTERNAL PRICELIST'!D32</f>
        <v>0</v>
      </c>
      <c r="E32" s="975" t="str">
        <f>'Corrected and Updated TSF 3'!G32</f>
        <v>E-3J</v>
      </c>
      <c r="F32" s="976" t="str">
        <f>'Corrected and Updated TSF 3'!I32</f>
        <v>Studio</v>
      </c>
      <c r="G32" s="977">
        <f>'Corrected and Updated TSF 3'!J32</f>
        <v>22</v>
      </c>
      <c r="H32" s="977">
        <f>'Corrected and Updated TSF 3'!CG32</f>
        <v>3877805.1648159334</v>
      </c>
      <c r="I32" s="977">
        <f>SUM('Corrected and Updated TSF 3'!CI32:CJ32)</f>
        <v>494420.15851403144</v>
      </c>
      <c r="J32" s="977">
        <f>'Corrected and Updated TSF 3'!CH32</f>
        <v>0</v>
      </c>
      <c r="K32" s="977">
        <f>'Corrected and Updated TSF 3'!CK32</f>
        <v>4372225.3233299647</v>
      </c>
      <c r="L32" s="978">
        <f>'Corrected and Updated TSF 3'!CL32</f>
        <v>0.125</v>
      </c>
      <c r="M32" s="977">
        <f>'Corrected and Updated TSF 3'!CM32</f>
        <v>546528.16541624558</v>
      </c>
      <c r="N32" s="977">
        <f>'Corrected and Updated TSF 3'!CN32</f>
        <v>30000</v>
      </c>
      <c r="O32" s="977">
        <f>'Corrected and Updated TSF 3'!CO32</f>
        <v>516528.16541624558</v>
      </c>
      <c r="P32" s="976">
        <f>'Corrected and Updated TSF 3'!CP32</f>
        <v>29</v>
      </c>
      <c r="Q32" s="977">
        <f>'Corrected and Updated TSF 3'!CQ32</f>
        <v>17811.316048836055</v>
      </c>
      <c r="R32" s="977">
        <f>'Corrected and Updated TSF 3'!CS32</f>
        <v>3825697.1579137193</v>
      </c>
      <c r="S32" s="977">
        <f>'Corrected and Updated TSF 3'!CT32</f>
        <v>29660.589345306602</v>
      </c>
      <c r="T32" s="636">
        <f>'Corrected and Updated TSF 3'!CU32</f>
        <v>34386.447612526325</v>
      </c>
      <c r="U32" s="636">
        <f>'Corrected and Updated TSF 3'!CV32</f>
        <v>44419.587895637422</v>
      </c>
      <c r="V32" s="636">
        <f>'Corrected and Updated TSF 3'!CW32</f>
        <v>75753.388979100506</v>
      </c>
      <c r="W32" s="1102">
        <f>'Corrected and Updated TSF 3'!CX32</f>
        <v>310773.54017040064</v>
      </c>
      <c r="X32" s="1102">
        <f>'Corrected and Updated TSF 3'!CY32</f>
        <v>122971.57598059779</v>
      </c>
      <c r="Y32" s="1102">
        <f>'Corrected and Updated TSF 3'!CZ32</f>
        <v>88820.627660424681</v>
      </c>
      <c r="Z32" s="1102">
        <f>'Corrected and Updated TSF 3'!DA32</f>
        <v>67596.586740087907</v>
      </c>
      <c r="AA32" s="821">
        <f>L32-'Corrected and Updated TSF 3'!CL32</f>
        <v>0</v>
      </c>
      <c r="AB32" s="678">
        <f>N32-'Corrected and Updated TSF 3'!CN32</f>
        <v>0</v>
      </c>
      <c r="AC32" s="678">
        <f>Q32-'Corrected and Updated TSF 3'!CQ32</f>
        <v>0</v>
      </c>
      <c r="AD32" s="775"/>
      <c r="AE32" s="775"/>
      <c r="AF32" s="775"/>
      <c r="AG32" s="775"/>
      <c r="AH32" s="677"/>
      <c r="AI32" s="677"/>
      <c r="AJ32" s="677"/>
      <c r="AK32" s="677"/>
    </row>
    <row r="33" spans="1:37" s="119" customFormat="1" ht="12.75" hidden="1" customHeight="1">
      <c r="A33" s="631" t="str">
        <f t="shared" si="0"/>
        <v>E-3K</v>
      </c>
      <c r="B33" s="632" t="str">
        <f>'Corrected and Updated TSF 3'!EP33</f>
        <v>SOLD</v>
      </c>
      <c r="C33" s="820" t="str">
        <f>'Corrected and Updated TSF 3'!E33</f>
        <v>3rd Floor</v>
      </c>
      <c r="D33" s="628">
        <f>'INTERNAL PRICELIST'!D33</f>
        <v>0</v>
      </c>
      <c r="E33" s="596" t="str">
        <f>'Corrected and Updated TSF 3'!G33</f>
        <v>E-3K</v>
      </c>
      <c r="F33" s="401" t="str">
        <f>'Corrected and Updated TSF 3'!I33</f>
        <v>Studio</v>
      </c>
      <c r="G33" s="633">
        <f>'Corrected and Updated TSF 3'!J33</f>
        <v>22</v>
      </c>
      <c r="H33" s="633">
        <f>'Corrected and Updated TSF 3'!CG33</f>
        <v>3822128.7747359099</v>
      </c>
      <c r="I33" s="633">
        <f>SUM('Corrected and Updated TSF 3'!CI33:CJ33)</f>
        <v>487321.41877882846</v>
      </c>
      <c r="J33" s="633">
        <f>'Corrected and Updated TSF 3'!CH33</f>
        <v>0</v>
      </c>
      <c r="K33" s="633">
        <f>'Corrected and Updated TSF 3'!CK33</f>
        <v>4309450.1935147392</v>
      </c>
      <c r="L33" s="634">
        <f>'Corrected and Updated TSF 3'!CL33</f>
        <v>0.125</v>
      </c>
      <c r="M33" s="633">
        <f>'Corrected and Updated TSF 3'!CM33</f>
        <v>538681.2741893424</v>
      </c>
      <c r="N33" s="633">
        <f>'Corrected and Updated TSF 3'!CN33</f>
        <v>30000</v>
      </c>
      <c r="O33" s="633">
        <f>'Corrected and Updated TSF 3'!CO33</f>
        <v>508681.2741893424</v>
      </c>
      <c r="P33" s="401">
        <f>'Corrected and Updated TSF 3'!CP33</f>
        <v>29</v>
      </c>
      <c r="Q33" s="633">
        <f>'Corrected and Updated TSF 3'!CQ33</f>
        <v>17540.733592735945</v>
      </c>
      <c r="R33" s="633">
        <f>'Corrected and Updated TSF 3'!CS33</f>
        <v>3770768.9193253969</v>
      </c>
      <c r="S33" s="633">
        <f>'Corrected and Updated TSF 3'!CT33</f>
        <v>29234.731296177142</v>
      </c>
      <c r="T33" s="635">
        <f>'Corrected and Updated TSF 3'!CU33</f>
        <v>33892.737075413213</v>
      </c>
      <c r="U33" s="636">
        <f>'Corrected and Updated TSF 3'!CV33</f>
        <v>43781.824470772634</v>
      </c>
      <c r="V33" s="636">
        <f>'Corrected and Updated TSF 3'!CW33</f>
        <v>74665.744021341437</v>
      </c>
      <c r="W33" s="1102">
        <f>'Corrected and Updated TSF 3'!CX33</f>
        <v>306311.54475968023</v>
      </c>
      <c r="X33" s="1102">
        <f>'Corrected and Updated TSF 3'!CY33</f>
        <v>121205.98613220325</v>
      </c>
      <c r="Y33" s="1102">
        <f>'Corrected and Updated TSF 3'!CZ33</f>
        <v>87545.367119321934</v>
      </c>
      <c r="Z33" s="1102">
        <f>'Corrected and Updated TSF 3'!DA33</f>
        <v>66626.05475834565</v>
      </c>
      <c r="AA33" s="821">
        <f>L33-'Corrected and Updated TSF 3'!CL33</f>
        <v>0</v>
      </c>
      <c r="AB33" s="678">
        <f>N33-'Corrected and Updated TSF 3'!CN33</f>
        <v>0</v>
      </c>
      <c r="AC33" s="678">
        <f>Q33-'Corrected and Updated TSF 3'!CQ33</f>
        <v>0</v>
      </c>
      <c r="AD33" s="775"/>
      <c r="AE33" s="775"/>
      <c r="AF33" s="775"/>
      <c r="AG33" s="775"/>
      <c r="AH33" s="677"/>
      <c r="AI33" s="677"/>
      <c r="AJ33" s="677"/>
      <c r="AK33" s="677"/>
    </row>
    <row r="34" spans="1:37" s="119" customFormat="1" ht="12.75" customHeight="1">
      <c r="A34" s="631" t="str">
        <f t="shared" si="0"/>
        <v>E-3L</v>
      </c>
      <c r="B34" s="632" t="str">
        <f>'Corrected and Updated TSF 3'!EP34</f>
        <v>UNSOLD</v>
      </c>
      <c r="C34" s="820" t="str">
        <f>'Corrected and Updated TSF 3'!E34</f>
        <v>3rd Floor</v>
      </c>
      <c r="D34" s="628">
        <f>'INTERNAL PRICELIST'!D34</f>
        <v>0</v>
      </c>
      <c r="E34" s="596" t="str">
        <f>'Corrected and Updated TSF 3'!G34</f>
        <v>E-3L</v>
      </c>
      <c r="F34" s="401" t="str">
        <f>'Corrected and Updated TSF 3'!I34</f>
        <v>Studio</v>
      </c>
      <c r="G34" s="633">
        <f>'Corrected and Updated TSF 3'!J34</f>
        <v>22</v>
      </c>
      <c r="H34" s="633">
        <f>'Corrected and Updated TSF 3'!CG34</f>
        <v>3959656.4207435702</v>
      </c>
      <c r="I34" s="633">
        <f>SUM('Corrected and Updated TSF 3'!CI34:CJ34)</f>
        <v>504856.19364480517</v>
      </c>
      <c r="J34" s="633">
        <f>'Corrected and Updated TSF 3'!CH34</f>
        <v>0</v>
      </c>
      <c r="K34" s="633">
        <f>'Corrected and Updated TSF 3'!CK34</f>
        <v>4464512.6143883755</v>
      </c>
      <c r="L34" s="634">
        <f>'Corrected and Updated TSF 3'!CL34</f>
        <v>0.125</v>
      </c>
      <c r="M34" s="633">
        <f>'Corrected and Updated TSF 3'!CM34</f>
        <v>558064.07679854694</v>
      </c>
      <c r="N34" s="633">
        <f>'Corrected and Updated TSF 3'!CN34</f>
        <v>30000</v>
      </c>
      <c r="O34" s="633">
        <f>'Corrected and Updated TSF 3'!CO34</f>
        <v>528064.07679854694</v>
      </c>
      <c r="P34" s="401">
        <f>'Corrected and Updated TSF 3'!CP34</f>
        <v>29</v>
      </c>
      <c r="Q34" s="633">
        <f>'Corrected and Updated TSF 3'!CQ34</f>
        <v>18209.106096501619</v>
      </c>
      <c r="R34" s="633">
        <f>'Corrected and Updated TSF 3'!CS34</f>
        <v>3906448.5375898285</v>
      </c>
      <c r="S34" s="633">
        <f>'Corrected and Updated TSF 3'!CT34</f>
        <v>30286.65393243303</v>
      </c>
      <c r="T34" s="635">
        <f>'Corrected and Updated TSF 3'!CU34</f>
        <v>35112.263842158573</v>
      </c>
      <c r="U34" s="636">
        <f>'Corrected and Updated TSF 3'!CV34</f>
        <v>45357.179884537298</v>
      </c>
      <c r="V34" s="636">
        <f>'Corrected and Updated TSF 3'!CW34</f>
        <v>77352.363080474286</v>
      </c>
      <c r="W34" s="1102">
        <f>'Corrected and Updated TSF 3'!CX34</f>
        <v>317333.2314109049</v>
      </c>
      <c r="X34" s="1102">
        <f>'Corrected and Updated TSF 3'!CY34</f>
        <v>125567.21385037471</v>
      </c>
      <c r="Y34" s="1102">
        <f>'Corrected and Updated TSF 3'!CZ34</f>
        <v>90695.420131240287</v>
      </c>
      <c r="Z34" s="1102">
        <f>'Corrected and Updated TSF 3'!DA34</f>
        <v>69023.390121366174</v>
      </c>
      <c r="AA34" s="821">
        <f>L34-'Corrected and Updated TSF 3'!CL34</f>
        <v>0</v>
      </c>
      <c r="AB34" s="678">
        <f>N34-'Corrected and Updated TSF 3'!CN34</f>
        <v>0</v>
      </c>
      <c r="AC34" s="678">
        <f>Q34-'Corrected and Updated TSF 3'!CQ34</f>
        <v>0</v>
      </c>
      <c r="AD34" s="775"/>
      <c r="AE34" s="775"/>
      <c r="AF34" s="775"/>
      <c r="AG34" s="775"/>
      <c r="AH34" s="677"/>
      <c r="AI34" s="677"/>
      <c r="AJ34" s="677"/>
      <c r="AK34" s="677"/>
    </row>
    <row r="35" spans="1:37" s="119" customFormat="1" ht="12.75" hidden="1" customHeight="1">
      <c r="A35" s="631" t="str">
        <f t="shared" si="0"/>
        <v>E-3M</v>
      </c>
      <c r="B35" s="632" t="str">
        <f>'Corrected and Updated TSF 3'!EP35</f>
        <v>SOLD</v>
      </c>
      <c r="C35" s="820" t="str">
        <f>'Corrected and Updated TSF 3'!E35</f>
        <v>3rd Floor</v>
      </c>
      <c r="D35" s="628">
        <f>'INTERNAL PRICELIST'!D35</f>
        <v>0</v>
      </c>
      <c r="E35" s="596" t="str">
        <f>'Corrected and Updated TSF 3'!G35</f>
        <v>E-3M</v>
      </c>
      <c r="F35" s="401" t="str">
        <f>'Corrected and Updated TSF 3'!I35</f>
        <v>Studio</v>
      </c>
      <c r="G35" s="633">
        <f>'Corrected and Updated TSF 3'!J35</f>
        <v>22</v>
      </c>
      <c r="H35" s="633">
        <f>'Corrected and Updated TSF 3'!CG35</f>
        <v>3785891.1813492263</v>
      </c>
      <c r="I35" s="633">
        <f>SUM('Corrected and Updated TSF 3'!CI35:CJ35)</f>
        <v>482701.12562202633</v>
      </c>
      <c r="J35" s="633">
        <f>'Corrected and Updated TSF 3'!CH35</f>
        <v>0</v>
      </c>
      <c r="K35" s="633">
        <f>'Corrected and Updated TSF 3'!CK35</f>
        <v>4268592.3069712529</v>
      </c>
      <c r="L35" s="634">
        <f>'Corrected and Updated TSF 3'!CL35</f>
        <v>0.125</v>
      </c>
      <c r="M35" s="633">
        <f>'Corrected and Updated TSF 3'!CM35</f>
        <v>533574.03837140661</v>
      </c>
      <c r="N35" s="633">
        <f>'Corrected and Updated TSF 3'!CN35</f>
        <v>30000</v>
      </c>
      <c r="O35" s="633">
        <f>'Corrected and Updated TSF 3'!CO35</f>
        <v>503574.03837140661</v>
      </c>
      <c r="P35" s="401">
        <f>'Corrected and Updated TSF 3'!CP35</f>
        <v>29</v>
      </c>
      <c r="Q35" s="633">
        <f>'Corrected and Updated TSF 3'!CQ35</f>
        <v>17364.622012807125</v>
      </c>
      <c r="R35" s="633">
        <f>'Corrected and Updated TSF 3'!CS35</f>
        <v>3735018.2685998464</v>
      </c>
      <c r="S35" s="633">
        <f>'Corrected and Updated TSF 3'!CT35</f>
        <v>28957.556881625129</v>
      </c>
      <c r="T35" s="635">
        <f>'Corrected and Updated TSF 3'!CU35</f>
        <v>33571.400119678256</v>
      </c>
      <c r="U35" s="636">
        <f>'Corrected and Updated TSF 3'!CV35</f>
        <v>43366.729102090649</v>
      </c>
      <c r="V35" s="636">
        <f>'Corrected and Updated TSF 3'!CW35</f>
        <v>73957.838288378131</v>
      </c>
      <c r="W35" s="1102">
        <f>'Corrected and Updated TSF 3'!CX35</f>
        <v>303407.40576728969</v>
      </c>
      <c r="X35" s="1102">
        <f>'Corrected and Updated TSF 3'!CY35</f>
        <v>120056.83247978757</v>
      </c>
      <c r="Y35" s="1102">
        <f>'Corrected and Updated TSF 3'!CZ35</f>
        <v>86715.349711868883</v>
      </c>
      <c r="Z35" s="1102">
        <f>'Corrected and Updated TSF 3'!DA35</f>
        <v>65994.373299246014</v>
      </c>
      <c r="AA35" s="821">
        <f>L35-'Corrected and Updated TSF 3'!CL35</f>
        <v>0</v>
      </c>
      <c r="AB35" s="678">
        <f>N35-'Corrected and Updated TSF 3'!CN35</f>
        <v>0</v>
      </c>
      <c r="AC35" s="678">
        <f>Q35-'Corrected and Updated TSF 3'!CQ35</f>
        <v>0</v>
      </c>
      <c r="AD35" s="775"/>
      <c r="AE35" s="775"/>
      <c r="AF35" s="775"/>
      <c r="AG35" s="775"/>
      <c r="AH35" s="677"/>
      <c r="AI35" s="677"/>
      <c r="AJ35" s="677"/>
      <c r="AK35" s="677"/>
    </row>
    <row r="36" spans="1:37" s="119" customFormat="1" ht="12.75" hidden="1" customHeight="1">
      <c r="A36" s="631" t="str">
        <f t="shared" si="0"/>
        <v>E-3N</v>
      </c>
      <c r="B36" s="632" t="str">
        <f>'Corrected and Updated TSF 3'!EP36</f>
        <v>SOLD</v>
      </c>
      <c r="C36" s="820" t="str">
        <f>'Corrected and Updated TSF 3'!E36</f>
        <v>3rd Floor</v>
      </c>
      <c r="D36" s="628">
        <f>'INTERNAL PRICELIST'!D36</f>
        <v>0</v>
      </c>
      <c r="E36" s="596" t="str">
        <f>'Corrected and Updated TSF 3'!G36</f>
        <v>E-3N</v>
      </c>
      <c r="F36" s="401" t="str">
        <f>'Corrected and Updated TSF 3'!I36</f>
        <v>Studio</v>
      </c>
      <c r="G36" s="633">
        <f>'Corrected and Updated TSF 3'!J36</f>
        <v>22</v>
      </c>
      <c r="H36" s="633">
        <f>'Corrected and Updated TSF 3'!CG36</f>
        <v>3846503.3721480556</v>
      </c>
      <c r="I36" s="633">
        <f>SUM('Corrected and Updated TSF 3'!CI36:CJ36)</f>
        <v>490429.17994887708</v>
      </c>
      <c r="J36" s="633">
        <f>'Corrected and Updated TSF 3'!CH36</f>
        <v>0</v>
      </c>
      <c r="K36" s="633">
        <f>'Corrected and Updated TSF 3'!CK36</f>
        <v>4336932.5520969322</v>
      </c>
      <c r="L36" s="634">
        <f>'Corrected and Updated TSF 3'!CL36</f>
        <v>0.125</v>
      </c>
      <c r="M36" s="633">
        <f>'Corrected and Updated TSF 3'!CM36</f>
        <v>542116.56901211652</v>
      </c>
      <c r="N36" s="633">
        <f>'Corrected and Updated TSF 3'!CN36</f>
        <v>30000</v>
      </c>
      <c r="O36" s="633">
        <f>'Corrected and Updated TSF 3'!CO36</f>
        <v>512116.56901211652</v>
      </c>
      <c r="P36" s="401">
        <f>'Corrected and Updated TSF 3'!CP36</f>
        <v>29</v>
      </c>
      <c r="Q36" s="633">
        <f>'Corrected and Updated TSF 3'!CQ36</f>
        <v>17659.19203490057</v>
      </c>
      <c r="R36" s="633">
        <f>'Corrected and Updated TSF 3'!CS36</f>
        <v>3794815.9830848156</v>
      </c>
      <c r="S36" s="633">
        <f>'Corrected and Updated TSF 3'!CT36</f>
        <v>29421.167925551508</v>
      </c>
      <c r="T36" s="635">
        <f>'Corrected and Updated TSF 3'!CU36</f>
        <v>34108.878882792778</v>
      </c>
      <c r="U36" s="636">
        <f>'Corrected and Updated TSF 3'!CV36</f>
        <v>44061.031271050568</v>
      </c>
      <c r="V36" s="636">
        <f>'Corrected and Updated TSF 3'!CW36</f>
        <v>75141.904705154127</v>
      </c>
      <c r="W36" s="1102">
        <f>'Corrected and Updated TSF 3'!CX36</f>
        <v>308264.96418279345</v>
      </c>
      <c r="X36" s="1102">
        <f>'Corrected and Updated TSF 3'!CY36</f>
        <v>121978.94468227684</v>
      </c>
      <c r="Y36" s="1102">
        <f>'Corrected and Updated TSF 3'!CZ36</f>
        <v>88103.664132477716</v>
      </c>
      <c r="Z36" s="1102">
        <f>'Corrected and Updated TSF 3'!DA36</f>
        <v>67050.944488024194</v>
      </c>
      <c r="AA36" s="821">
        <f>L36-'Corrected and Updated TSF 3'!CL36</f>
        <v>0</v>
      </c>
      <c r="AB36" s="678">
        <f>N36-'Corrected and Updated TSF 3'!CN36</f>
        <v>0</v>
      </c>
      <c r="AC36" s="678">
        <f>Q36-'Corrected and Updated TSF 3'!CQ36</f>
        <v>0</v>
      </c>
      <c r="AD36" s="775"/>
      <c r="AE36" s="775"/>
      <c r="AF36" s="775"/>
      <c r="AG36" s="775"/>
      <c r="AH36" s="677"/>
      <c r="AI36" s="677"/>
      <c r="AJ36" s="677"/>
      <c r="AK36" s="677"/>
    </row>
    <row r="37" spans="1:37" s="119" customFormat="1" ht="12.75" hidden="1" customHeight="1">
      <c r="A37" s="631" t="str">
        <f t="shared" si="0"/>
        <v>E-3O</v>
      </c>
      <c r="B37" s="632" t="str">
        <f>'Corrected and Updated TSF 3'!EP37</f>
        <v>SOLD</v>
      </c>
      <c r="C37" s="820" t="str">
        <f>'Corrected and Updated TSF 3'!E37</f>
        <v>3rd Floor</v>
      </c>
      <c r="D37" s="628">
        <f>'INTERNAL PRICELIST'!D37</f>
        <v>0</v>
      </c>
      <c r="E37" s="596" t="str">
        <f>'Corrected and Updated TSF 3'!G37</f>
        <v>E-3O</v>
      </c>
      <c r="F37" s="401" t="str">
        <f>'Corrected and Updated TSF 3'!I37</f>
        <v>Studio</v>
      </c>
      <c r="G37" s="633">
        <f>'Corrected and Updated TSF 3'!J37</f>
        <v>22</v>
      </c>
      <c r="H37" s="633">
        <f>'Corrected and Updated TSF 3'!CG37</f>
        <v>3881420.9655347383</v>
      </c>
      <c r="I37" s="633">
        <f>SUM('Corrected and Updated TSF 3'!CI37:CJ37)</f>
        <v>494881.1731056791</v>
      </c>
      <c r="J37" s="633">
        <f>'Corrected and Updated TSF 3'!CH37</f>
        <v>0</v>
      </c>
      <c r="K37" s="633">
        <f>'Corrected and Updated TSF 3'!CK37</f>
        <v>4376302.1386404177</v>
      </c>
      <c r="L37" s="634">
        <f>'Corrected and Updated TSF 3'!CL37</f>
        <v>0.125</v>
      </c>
      <c r="M37" s="633">
        <f>'Corrected and Updated TSF 3'!CM37</f>
        <v>547037.76733005221</v>
      </c>
      <c r="N37" s="633">
        <f>'Corrected and Updated TSF 3'!CN37</f>
        <v>30000</v>
      </c>
      <c r="O37" s="633">
        <f>'Corrected and Updated TSF 3'!CO37</f>
        <v>517037.76733005221</v>
      </c>
      <c r="P37" s="401">
        <f>'Corrected and Updated TSF 3'!CP37</f>
        <v>29</v>
      </c>
      <c r="Q37" s="633">
        <f>'Corrected and Updated TSF 3'!CQ37</f>
        <v>17828.88852862249</v>
      </c>
      <c r="R37" s="633">
        <f>'Corrected and Updated TSF 3'!CS37</f>
        <v>3829264.3713103654</v>
      </c>
      <c r="S37" s="633">
        <f>'Corrected and Updated TSF 3'!CT37</f>
        <v>29688.245912802056</v>
      </c>
      <c r="T37" s="635">
        <f>'Corrected and Updated TSF 3'!CU37</f>
        <v>34418.510735017015</v>
      </c>
      <c r="U37" s="636">
        <f>'Corrected and Updated TSF 3'!CV37</f>
        <v>44461.006267890705</v>
      </c>
      <c r="V37" s="636">
        <f>'Corrected and Updated TSF 3'!CW37</f>
        <v>75824.02407980329</v>
      </c>
      <c r="W37" s="1102">
        <f>'Corrected and Updated TSF 3'!CX37</f>
        <v>311063.31625304895</v>
      </c>
      <c r="X37" s="1102">
        <f>'Corrected and Updated TSF 3'!CY37</f>
        <v>123086.23896492139</v>
      </c>
      <c r="Y37" s="1102">
        <f>'Corrected and Updated TSF 3'!CZ37</f>
        <v>88903.447110007459</v>
      </c>
      <c r="Z37" s="1102">
        <f>'Corrected and Updated TSF 3'!DA37</f>
        <v>67659.61615403094</v>
      </c>
      <c r="AA37" s="821">
        <f>L37-'Corrected and Updated TSF 3'!CL37</f>
        <v>0</v>
      </c>
      <c r="AB37" s="678">
        <f>N37-'Corrected and Updated TSF 3'!CN37</f>
        <v>0</v>
      </c>
      <c r="AC37" s="678">
        <f>Q37-'Corrected and Updated TSF 3'!CQ37</f>
        <v>0</v>
      </c>
      <c r="AD37" s="775"/>
      <c r="AE37" s="775"/>
      <c r="AF37" s="775"/>
      <c r="AG37" s="775"/>
      <c r="AH37" s="677"/>
      <c r="AI37" s="677"/>
      <c r="AJ37" s="677"/>
      <c r="AK37" s="677"/>
    </row>
    <row r="38" spans="1:37" s="119" customFormat="1" ht="12.75" hidden="1" customHeight="1">
      <c r="A38" s="631" t="str">
        <f t="shared" si="0"/>
        <v>W-4A</v>
      </c>
      <c r="B38" s="632" t="str">
        <f>'Corrected and Updated TSF 3'!EP38</f>
        <v>SOLD</v>
      </c>
      <c r="C38" s="820" t="str">
        <f>'Corrected and Updated TSF 3'!E38</f>
        <v>4th Floor</v>
      </c>
      <c r="D38" s="628">
        <f>'INTERNAL PRICELIST'!D38</f>
        <v>0</v>
      </c>
      <c r="E38" s="596" t="str">
        <f>'Corrected and Updated TSF 3'!G38</f>
        <v>W-4A</v>
      </c>
      <c r="F38" s="401" t="str">
        <f>'Corrected and Updated TSF 3'!I38</f>
        <v>Studio</v>
      </c>
      <c r="G38" s="633">
        <f>'Corrected and Updated TSF 3'!J38</f>
        <v>22</v>
      </c>
      <c r="H38" s="633">
        <f>'Corrected and Updated TSF 3'!CG38</f>
        <v>3938417.3556147623</v>
      </c>
      <c r="I38" s="633">
        <f>SUM('Corrected and Updated TSF 3'!CI38:CJ38)</f>
        <v>502148.21284088219</v>
      </c>
      <c r="J38" s="633">
        <f>'Corrected and Updated TSF 3'!CH38</f>
        <v>0</v>
      </c>
      <c r="K38" s="633">
        <f>'Corrected and Updated TSF 3'!CK38</f>
        <v>4440565.568455644</v>
      </c>
      <c r="L38" s="634">
        <f>'Corrected and Updated TSF 3'!CL38</f>
        <v>0.125</v>
      </c>
      <c r="M38" s="633">
        <f>'Corrected and Updated TSF 3'!CM38</f>
        <v>555070.69605695549</v>
      </c>
      <c r="N38" s="633">
        <f>'Corrected and Updated TSF 3'!CN38</f>
        <v>30000</v>
      </c>
      <c r="O38" s="633">
        <f>'Corrected and Updated TSF 3'!CO38</f>
        <v>525070.69605695549</v>
      </c>
      <c r="P38" s="401">
        <f>'Corrected and Updated TSF 3'!CP38</f>
        <v>29</v>
      </c>
      <c r="Q38" s="633">
        <f>'Corrected and Updated TSF 3'!CQ38</f>
        <v>18105.8860709295</v>
      </c>
      <c r="R38" s="633">
        <f>'Corrected and Updated TSF 3'!CS38</f>
        <v>3885494.8723986885</v>
      </c>
      <c r="S38" s="633">
        <f>'Corrected and Updated TSF 3'!CT38</f>
        <v>30124.200389232981</v>
      </c>
      <c r="T38" s="635">
        <f>'Corrected and Updated TSF 3'!CU38</f>
        <v>34923.926375640847</v>
      </c>
      <c r="U38" s="636">
        <f>'Corrected and Updated TSF 3'!CV38</f>
        <v>45113.890064597348</v>
      </c>
      <c r="V38" s="636">
        <f>'Corrected and Updated TSF 3'!CW38</f>
        <v>76937.455395876517</v>
      </c>
      <c r="W38" s="1102">
        <f>'Corrected and Updated TSF 3'!CX38</f>
        <v>315631.09858590446</v>
      </c>
      <c r="X38" s="1102">
        <f>'Corrected and Updated TSF 3'!CY38</f>
        <v>124893.68818308706</v>
      </c>
      <c r="Y38" s="1102">
        <f>'Corrected and Updated TSF 3'!CZ38</f>
        <v>90208.942081033514</v>
      </c>
      <c r="Z38" s="1102">
        <f>'Corrected and Updated TSF 3'!DA38</f>
        <v>68653.157928866101</v>
      </c>
      <c r="AA38" s="821">
        <f>L38-'Corrected and Updated TSF 3'!CL38</f>
        <v>0</v>
      </c>
      <c r="AB38" s="678">
        <f>N38-'Corrected and Updated TSF 3'!CN38</f>
        <v>0</v>
      </c>
      <c r="AC38" s="678">
        <f>Q38-'Corrected and Updated TSF 3'!CQ38</f>
        <v>0</v>
      </c>
      <c r="AD38" s="775"/>
      <c r="AE38" s="775"/>
      <c r="AF38" s="775"/>
      <c r="AG38" s="775"/>
      <c r="AH38" s="677"/>
      <c r="AI38" s="677"/>
      <c r="AJ38" s="677"/>
      <c r="AK38" s="677"/>
    </row>
    <row r="39" spans="1:37" s="119" customFormat="1" ht="12.75" hidden="1" customHeight="1">
      <c r="A39" s="631" t="str">
        <f t="shared" si="0"/>
        <v>W-4B</v>
      </c>
      <c r="B39" s="632" t="str">
        <f>'Corrected and Updated TSF 3'!EP39</f>
        <v>SOLD</v>
      </c>
      <c r="C39" s="820" t="str">
        <f>'Corrected and Updated TSF 3'!E39</f>
        <v>4th Floor</v>
      </c>
      <c r="D39" s="628">
        <f>'INTERNAL PRICELIST'!D39</f>
        <v>0</v>
      </c>
      <c r="E39" s="596" t="str">
        <f>'Corrected and Updated TSF 3'!G39</f>
        <v>W-4B</v>
      </c>
      <c r="F39" s="401" t="str">
        <f>'Corrected and Updated TSF 3'!I39</f>
        <v>Studio</v>
      </c>
      <c r="G39" s="633">
        <f>'Corrected and Updated TSF 3'!J39</f>
        <v>22</v>
      </c>
      <c r="H39" s="633">
        <f>'Corrected and Updated TSF 3'!CG39</f>
        <v>3785891.1813492263</v>
      </c>
      <c r="I39" s="633">
        <f>SUM('Corrected and Updated TSF 3'!CI39:CJ39)</f>
        <v>482701.12562202633</v>
      </c>
      <c r="J39" s="633">
        <f>'Corrected and Updated TSF 3'!CH39</f>
        <v>0</v>
      </c>
      <c r="K39" s="633">
        <f>'Corrected and Updated TSF 3'!CK39</f>
        <v>4268592.3069712529</v>
      </c>
      <c r="L39" s="634">
        <f>'Corrected and Updated TSF 3'!CL39</f>
        <v>0.125</v>
      </c>
      <c r="M39" s="633">
        <f>'Corrected and Updated TSF 3'!CM39</f>
        <v>533574.03837140661</v>
      </c>
      <c r="N39" s="633">
        <f>'Corrected and Updated TSF 3'!CN39</f>
        <v>30000</v>
      </c>
      <c r="O39" s="633">
        <f>'Corrected and Updated TSF 3'!CO39</f>
        <v>503574.03837140661</v>
      </c>
      <c r="P39" s="401">
        <f>'Corrected and Updated TSF 3'!CP39</f>
        <v>29</v>
      </c>
      <c r="Q39" s="633">
        <f>'Corrected and Updated TSF 3'!CQ39</f>
        <v>17364.622012807125</v>
      </c>
      <c r="R39" s="633">
        <f>'Corrected and Updated TSF 3'!CS39</f>
        <v>3735018.2685998464</v>
      </c>
      <c r="S39" s="633">
        <f>'Corrected and Updated TSF 3'!CT39</f>
        <v>28957.556881625129</v>
      </c>
      <c r="T39" s="635">
        <f>'Corrected and Updated TSF 3'!CU39</f>
        <v>33571.400119678256</v>
      </c>
      <c r="U39" s="636">
        <f>'Corrected and Updated TSF 3'!CV39</f>
        <v>43366.729102090649</v>
      </c>
      <c r="V39" s="636">
        <f>'Corrected and Updated TSF 3'!CW39</f>
        <v>73957.838288378131</v>
      </c>
      <c r="W39" s="1102">
        <f>'Corrected and Updated TSF 3'!CX39</f>
        <v>303407.40576728969</v>
      </c>
      <c r="X39" s="1102">
        <f>'Corrected and Updated TSF 3'!CY39</f>
        <v>120056.83247978757</v>
      </c>
      <c r="Y39" s="1102">
        <f>'Corrected and Updated TSF 3'!CZ39</f>
        <v>86715.349711868883</v>
      </c>
      <c r="Z39" s="1102">
        <f>'Corrected and Updated TSF 3'!DA39</f>
        <v>65994.373299246014</v>
      </c>
      <c r="AA39" s="821">
        <f>L39-'Corrected and Updated TSF 3'!CL39</f>
        <v>0</v>
      </c>
      <c r="AB39" s="678">
        <f>N39-'Corrected and Updated TSF 3'!CN39</f>
        <v>0</v>
      </c>
      <c r="AC39" s="678">
        <f>Q39-'Corrected and Updated TSF 3'!CQ39</f>
        <v>0</v>
      </c>
      <c r="AD39" s="775"/>
      <c r="AE39" s="775"/>
      <c r="AF39" s="775"/>
      <c r="AG39" s="775"/>
      <c r="AH39" s="677"/>
      <c r="AI39" s="677"/>
      <c r="AJ39" s="677"/>
      <c r="AK39" s="677"/>
    </row>
    <row r="40" spans="1:37" s="119" customFormat="1" ht="12.75" hidden="1" customHeight="1">
      <c r="A40" s="631" t="str">
        <f t="shared" si="0"/>
        <v>W-4C</v>
      </c>
      <c r="B40" s="632" t="str">
        <f>'Corrected and Updated TSF 3'!EP40</f>
        <v>SOLD</v>
      </c>
      <c r="C40" s="820" t="str">
        <f>'Corrected and Updated TSF 3'!E40</f>
        <v>4th Floor</v>
      </c>
      <c r="D40" s="628">
        <f>'INTERNAL PRICELIST'!D40</f>
        <v>0</v>
      </c>
      <c r="E40" s="596" t="str">
        <f>'Corrected and Updated TSF 3'!G40</f>
        <v>W-4C</v>
      </c>
      <c r="F40" s="401" t="str">
        <f>'Corrected and Updated TSF 3'!I40</f>
        <v>Studio</v>
      </c>
      <c r="G40" s="633">
        <f>'Corrected and Updated TSF 3'!J40</f>
        <v>22</v>
      </c>
      <c r="H40" s="633">
        <f>'Corrected and Updated TSF 3'!CG40</f>
        <v>3829338.8274709652</v>
      </c>
      <c r="I40" s="633">
        <f>SUM('Corrected and Updated TSF 3'!CI40:CJ40)</f>
        <v>488240.70050254802</v>
      </c>
      <c r="J40" s="633">
        <f>'Corrected and Updated TSF 3'!CH40</f>
        <v>0</v>
      </c>
      <c r="K40" s="633">
        <f>'Corrected and Updated TSF 3'!CK40</f>
        <v>4317579.5279735131</v>
      </c>
      <c r="L40" s="634">
        <f>'Corrected and Updated TSF 3'!CL40</f>
        <v>0.125</v>
      </c>
      <c r="M40" s="633">
        <f>'Corrected and Updated TSF 3'!CM40</f>
        <v>539697.44099668914</v>
      </c>
      <c r="N40" s="633">
        <f>'Corrected and Updated TSF 3'!CN40</f>
        <v>30000</v>
      </c>
      <c r="O40" s="633">
        <f>'Corrected and Updated TSF 3'!CO40</f>
        <v>509697.44099668914</v>
      </c>
      <c r="P40" s="401">
        <f>'Corrected and Updated TSF 3'!CP40</f>
        <v>29</v>
      </c>
      <c r="Q40" s="633">
        <f>'Corrected and Updated TSF 3'!CQ40</f>
        <v>17575.77382747204</v>
      </c>
      <c r="R40" s="633">
        <f>'Corrected and Updated TSF 3'!CS40</f>
        <v>3777882.0869768239</v>
      </c>
      <c r="S40" s="633">
        <f>'Corrected and Updated TSF 3'!CT40</f>
        <v>29289.879609267446</v>
      </c>
      <c r="T40" s="635">
        <f>'Corrected and Updated TSF 3'!CU40</f>
        <v>33956.672237217368</v>
      </c>
      <c r="U40" s="636">
        <f>'Corrected and Updated TSF 3'!CV40</f>
        <v>43864.414378616064</v>
      </c>
      <c r="V40" s="636">
        <f>'Corrected and Updated TSF 3'!CW40</f>
        <v>74806.593266258133</v>
      </c>
      <c r="W40" s="1102">
        <f>'Corrected and Updated TSF 3'!CX40</f>
        <v>306889.36997731065</v>
      </c>
      <c r="X40" s="1102">
        <f>'Corrected and Updated TSF 3'!CY40</f>
        <v>121434.62875607138</v>
      </c>
      <c r="Y40" s="1102">
        <f>'Corrected and Updated TSF 3'!CZ40</f>
        <v>87710.512448231893</v>
      </c>
      <c r="Z40" s="1102">
        <f>'Corrected and Updated TSF 3'!DA40</f>
        <v>66751.737956544399</v>
      </c>
      <c r="AA40" s="821">
        <f>L40-'Corrected and Updated TSF 3'!CL40</f>
        <v>0</v>
      </c>
      <c r="AB40" s="678">
        <f>N40-'Corrected and Updated TSF 3'!CN40</f>
        <v>0</v>
      </c>
      <c r="AC40" s="678">
        <f>Q40-'Corrected and Updated TSF 3'!CQ40</f>
        <v>0</v>
      </c>
      <c r="AD40" s="775"/>
      <c r="AE40" s="775"/>
      <c r="AF40" s="775"/>
      <c r="AG40" s="775"/>
      <c r="AH40" s="677"/>
      <c r="AI40" s="677"/>
      <c r="AJ40" s="677"/>
      <c r="AK40" s="677"/>
    </row>
    <row r="41" spans="1:37" s="119" customFormat="1" ht="12.75" hidden="1" customHeight="1">
      <c r="A41" s="631" t="str">
        <f t="shared" si="0"/>
        <v>W-4D</v>
      </c>
      <c r="B41" s="632" t="str">
        <f>'Corrected and Updated TSF 3'!EP41</f>
        <v>SOLD</v>
      </c>
      <c r="C41" s="820" t="str">
        <f>'Corrected and Updated TSF 3'!E41</f>
        <v>4th Floor</v>
      </c>
      <c r="D41" s="628">
        <f>'INTERNAL PRICELIST'!D41</f>
        <v>0</v>
      </c>
      <c r="E41" s="596" t="str">
        <f>'Corrected and Updated TSF 3'!G41</f>
        <v>W-4D</v>
      </c>
      <c r="F41" s="401" t="str">
        <f>'Corrected and Updated TSF 3'!I41</f>
        <v>Studio</v>
      </c>
      <c r="G41" s="633">
        <f>'Corrected and Updated TSF 3'!J41</f>
        <v>22</v>
      </c>
      <c r="H41" s="633">
        <f>'Corrected and Updated TSF 3'!CG41</f>
        <v>3785891.1813492263</v>
      </c>
      <c r="I41" s="633">
        <f>SUM('Corrected and Updated TSF 3'!CI41:CJ41)</f>
        <v>482701.12562202633</v>
      </c>
      <c r="J41" s="633">
        <f>'Corrected and Updated TSF 3'!CH41</f>
        <v>0</v>
      </c>
      <c r="K41" s="633">
        <f>'Corrected and Updated TSF 3'!CK41</f>
        <v>4268592.3069712529</v>
      </c>
      <c r="L41" s="634">
        <f>'Corrected and Updated TSF 3'!CL41</f>
        <v>0.125</v>
      </c>
      <c r="M41" s="633">
        <f>'Corrected and Updated TSF 3'!CM41</f>
        <v>533574.03837140661</v>
      </c>
      <c r="N41" s="633">
        <f>'Corrected and Updated TSF 3'!CN41</f>
        <v>30000</v>
      </c>
      <c r="O41" s="633">
        <f>'Corrected and Updated TSF 3'!CO41</f>
        <v>503574.03837140661</v>
      </c>
      <c r="P41" s="401">
        <f>'Corrected and Updated TSF 3'!CP41</f>
        <v>29</v>
      </c>
      <c r="Q41" s="633">
        <f>'Corrected and Updated TSF 3'!CQ41</f>
        <v>17364.622012807125</v>
      </c>
      <c r="R41" s="633">
        <f>'Corrected and Updated TSF 3'!CS41</f>
        <v>3735018.2685998464</v>
      </c>
      <c r="S41" s="633">
        <f>'Corrected and Updated TSF 3'!CT41</f>
        <v>28957.556881625129</v>
      </c>
      <c r="T41" s="635">
        <f>'Corrected and Updated TSF 3'!CU41</f>
        <v>33571.400119678256</v>
      </c>
      <c r="U41" s="636">
        <f>'Corrected and Updated TSF 3'!CV41</f>
        <v>43366.729102090649</v>
      </c>
      <c r="V41" s="636">
        <f>'Corrected and Updated TSF 3'!CW41</f>
        <v>73957.838288378131</v>
      </c>
      <c r="W41" s="1102">
        <f>'Corrected and Updated TSF 3'!CX41</f>
        <v>303407.40576728969</v>
      </c>
      <c r="X41" s="1102">
        <f>'Corrected and Updated TSF 3'!CY41</f>
        <v>120056.83247978757</v>
      </c>
      <c r="Y41" s="1102">
        <f>'Corrected and Updated TSF 3'!CZ41</f>
        <v>86715.349711868883</v>
      </c>
      <c r="Z41" s="1102">
        <f>'Corrected and Updated TSF 3'!DA41</f>
        <v>65994.373299246014</v>
      </c>
      <c r="AA41" s="821">
        <f>L41-'Corrected and Updated TSF 3'!CL41</f>
        <v>0</v>
      </c>
      <c r="AB41" s="678">
        <f>N41-'Corrected and Updated TSF 3'!CN41</f>
        <v>0</v>
      </c>
      <c r="AC41" s="678">
        <f>Q41-'Corrected and Updated TSF 3'!CQ41</f>
        <v>0</v>
      </c>
      <c r="AD41" s="775"/>
      <c r="AE41" s="775"/>
      <c r="AF41" s="775"/>
      <c r="AG41" s="775"/>
      <c r="AH41" s="677"/>
      <c r="AI41" s="677"/>
      <c r="AJ41" s="677"/>
      <c r="AK41" s="677"/>
    </row>
    <row r="42" spans="1:37" s="119" customFormat="1" ht="12.75" hidden="1" customHeight="1">
      <c r="A42" s="631" t="str">
        <f t="shared" si="0"/>
        <v>W-4E</v>
      </c>
      <c r="B42" s="632" t="str">
        <f>'Corrected and Updated TSF 3'!EP42</f>
        <v>SOLD</v>
      </c>
      <c r="C42" s="820" t="str">
        <f>'Corrected and Updated TSF 3'!E42</f>
        <v>4th Floor</v>
      </c>
      <c r="D42" s="628">
        <f>'INTERNAL PRICELIST'!D42</f>
        <v>0</v>
      </c>
      <c r="E42" s="596" t="str">
        <f>'Corrected and Updated TSF 3'!G42</f>
        <v>W-4E</v>
      </c>
      <c r="F42" s="401" t="str">
        <f>'Corrected and Updated TSF 3'!I42</f>
        <v>Studio</v>
      </c>
      <c r="G42" s="633">
        <f>'Corrected and Updated TSF 3'!J42</f>
        <v>22</v>
      </c>
      <c r="H42" s="633">
        <f>'Corrected and Updated TSF 3'!CG42</f>
        <v>3785891.1813492263</v>
      </c>
      <c r="I42" s="633">
        <f>SUM('Corrected and Updated TSF 3'!CI42:CJ42)</f>
        <v>482701.12562202633</v>
      </c>
      <c r="J42" s="633">
        <f>'Corrected and Updated TSF 3'!CH42</f>
        <v>0</v>
      </c>
      <c r="K42" s="633">
        <f>'Corrected and Updated TSF 3'!CK42</f>
        <v>4268592.3069712529</v>
      </c>
      <c r="L42" s="634">
        <f>'Corrected and Updated TSF 3'!CL42</f>
        <v>0.125</v>
      </c>
      <c r="M42" s="633">
        <f>'Corrected and Updated TSF 3'!CM42</f>
        <v>533574.03837140661</v>
      </c>
      <c r="N42" s="633">
        <f>'Corrected and Updated TSF 3'!CN42</f>
        <v>30000</v>
      </c>
      <c r="O42" s="633">
        <f>'Corrected and Updated TSF 3'!CO42</f>
        <v>503574.03837140661</v>
      </c>
      <c r="P42" s="401">
        <f>'Corrected and Updated TSF 3'!CP42</f>
        <v>29</v>
      </c>
      <c r="Q42" s="633">
        <f>'Corrected and Updated TSF 3'!CQ42</f>
        <v>17364.622012807125</v>
      </c>
      <c r="R42" s="633">
        <f>'Corrected and Updated TSF 3'!CS42</f>
        <v>3735018.2685998464</v>
      </c>
      <c r="S42" s="633">
        <f>'Corrected and Updated TSF 3'!CT42</f>
        <v>28957.556881625129</v>
      </c>
      <c r="T42" s="635">
        <f>'Corrected and Updated TSF 3'!CU42</f>
        <v>33571.400119678256</v>
      </c>
      <c r="U42" s="636">
        <f>'Corrected and Updated TSF 3'!CV42</f>
        <v>43366.729102090649</v>
      </c>
      <c r="V42" s="636">
        <f>'Corrected and Updated TSF 3'!CW42</f>
        <v>73957.838288378131</v>
      </c>
      <c r="W42" s="1102">
        <f>'Corrected and Updated TSF 3'!CX42</f>
        <v>303407.40576728969</v>
      </c>
      <c r="X42" s="1102">
        <f>'Corrected and Updated TSF 3'!CY42</f>
        <v>120056.83247978757</v>
      </c>
      <c r="Y42" s="1102">
        <f>'Corrected and Updated TSF 3'!CZ42</f>
        <v>86715.349711868883</v>
      </c>
      <c r="Z42" s="1102">
        <f>'Corrected and Updated TSF 3'!DA42</f>
        <v>65994.373299246014</v>
      </c>
      <c r="AA42" s="821">
        <f>L42-'Corrected and Updated TSF 3'!CL42</f>
        <v>0</v>
      </c>
      <c r="AB42" s="678">
        <f>N42-'Corrected and Updated TSF 3'!CN42</f>
        <v>0</v>
      </c>
      <c r="AC42" s="678">
        <f>Q42-'Corrected and Updated TSF 3'!CQ42</f>
        <v>0</v>
      </c>
      <c r="AD42" s="775"/>
      <c r="AE42" s="775"/>
      <c r="AF42" s="775"/>
      <c r="AG42" s="775"/>
      <c r="AH42" s="677"/>
      <c r="AI42" s="677"/>
      <c r="AJ42" s="677"/>
      <c r="AK42" s="677"/>
    </row>
    <row r="43" spans="1:37" s="119" customFormat="1" ht="12.75" hidden="1" customHeight="1">
      <c r="A43" s="631" t="str">
        <f t="shared" si="0"/>
        <v>W-4F</v>
      </c>
      <c r="B43" s="632" t="str">
        <f>'Corrected and Updated TSF 3'!EP43</f>
        <v>SOLD</v>
      </c>
      <c r="C43" s="820" t="str">
        <f>'Corrected and Updated TSF 3'!E43</f>
        <v>4th Floor</v>
      </c>
      <c r="D43" s="628">
        <f>'INTERNAL PRICELIST'!D43</f>
        <v>0</v>
      </c>
      <c r="E43" s="596" t="str">
        <f>'Corrected and Updated TSF 3'!G43</f>
        <v>W-4F</v>
      </c>
      <c r="F43" s="401" t="str">
        <f>'Corrected and Updated TSF 3'!I43</f>
        <v>Studio</v>
      </c>
      <c r="G43" s="633">
        <f>'Corrected and Updated TSF 3'!J43</f>
        <v>22</v>
      </c>
      <c r="H43" s="633">
        <f>'Corrected and Updated TSF 3'!CG43</f>
        <v>3785891.1813492263</v>
      </c>
      <c r="I43" s="633">
        <f>SUM('Corrected and Updated TSF 3'!CI43:CJ43)</f>
        <v>482701.12562202633</v>
      </c>
      <c r="J43" s="633">
        <f>'Corrected and Updated TSF 3'!CH43</f>
        <v>0</v>
      </c>
      <c r="K43" s="633">
        <f>'Corrected and Updated TSF 3'!CK43</f>
        <v>4268592.3069712529</v>
      </c>
      <c r="L43" s="634">
        <f>'Corrected and Updated TSF 3'!CL43</f>
        <v>0.125</v>
      </c>
      <c r="M43" s="633">
        <f>'Corrected and Updated TSF 3'!CM43</f>
        <v>533574.03837140661</v>
      </c>
      <c r="N43" s="633">
        <f>'Corrected and Updated TSF 3'!CN43</f>
        <v>30000</v>
      </c>
      <c r="O43" s="633">
        <f>'Corrected and Updated TSF 3'!CO43</f>
        <v>503574.03837140661</v>
      </c>
      <c r="P43" s="401">
        <f>'Corrected and Updated TSF 3'!CP43</f>
        <v>29</v>
      </c>
      <c r="Q43" s="633">
        <f>'Corrected and Updated TSF 3'!CQ43</f>
        <v>17364.622012807125</v>
      </c>
      <c r="R43" s="633">
        <f>'Corrected and Updated TSF 3'!CS43</f>
        <v>3735018.2685998464</v>
      </c>
      <c r="S43" s="633">
        <f>'Corrected and Updated TSF 3'!CT43</f>
        <v>28957.556881625129</v>
      </c>
      <c r="T43" s="635">
        <f>'Corrected and Updated TSF 3'!CU43</f>
        <v>33571.400119678256</v>
      </c>
      <c r="U43" s="636">
        <f>'Corrected and Updated TSF 3'!CV43</f>
        <v>43366.729102090649</v>
      </c>
      <c r="V43" s="636">
        <f>'Corrected and Updated TSF 3'!CW43</f>
        <v>73957.838288378131</v>
      </c>
      <c r="W43" s="1102">
        <f>'Corrected and Updated TSF 3'!CX43</f>
        <v>303407.40576728969</v>
      </c>
      <c r="X43" s="1102">
        <f>'Corrected and Updated TSF 3'!CY43</f>
        <v>120056.83247978757</v>
      </c>
      <c r="Y43" s="1102">
        <f>'Corrected and Updated TSF 3'!CZ43</f>
        <v>86715.349711868883</v>
      </c>
      <c r="Z43" s="1102">
        <f>'Corrected and Updated TSF 3'!DA43</f>
        <v>65994.373299246014</v>
      </c>
      <c r="AA43" s="821">
        <f>L43-'Corrected and Updated TSF 3'!CL43</f>
        <v>0</v>
      </c>
      <c r="AB43" s="678">
        <f>N43-'Corrected and Updated TSF 3'!CN43</f>
        <v>0</v>
      </c>
      <c r="AC43" s="678">
        <f>Q43-'Corrected and Updated TSF 3'!CQ43</f>
        <v>0</v>
      </c>
      <c r="AD43" s="775"/>
      <c r="AE43" s="775"/>
      <c r="AF43" s="775"/>
      <c r="AG43" s="775"/>
      <c r="AH43" s="677"/>
      <c r="AI43" s="677"/>
      <c r="AJ43" s="677"/>
      <c r="AK43" s="677"/>
    </row>
    <row r="44" spans="1:37" s="119" customFormat="1" ht="12.75" customHeight="1">
      <c r="A44" s="631" t="str">
        <f t="shared" si="0"/>
        <v>W-4G</v>
      </c>
      <c r="B44" s="632" t="str">
        <f>'Corrected and Updated TSF 3'!EP44</f>
        <v>UNSOLD</v>
      </c>
      <c r="C44" s="820" t="str">
        <f>'Corrected and Updated TSF 3'!E44</f>
        <v>4th Floor</v>
      </c>
      <c r="D44" s="628">
        <f>'INTERNAL PRICELIST'!D44</f>
        <v>0</v>
      </c>
      <c r="E44" s="596" t="str">
        <f>'Corrected and Updated TSF 3'!G44</f>
        <v>W-4G</v>
      </c>
      <c r="F44" s="401" t="str">
        <f>'Corrected and Updated TSF 3'!I44</f>
        <v>Studio</v>
      </c>
      <c r="G44" s="633">
        <f>'Corrected and Updated TSF 3'!J44</f>
        <v>22</v>
      </c>
      <c r="H44" s="633">
        <f>'Corrected and Updated TSF 3'!CG44</f>
        <v>3840164.8154880316</v>
      </c>
      <c r="I44" s="633">
        <f>SUM('Corrected and Updated TSF 3'!CI44:CJ44)</f>
        <v>489621.01397472399</v>
      </c>
      <c r="J44" s="633">
        <f>'Corrected and Updated TSF 3'!CH44</f>
        <v>0</v>
      </c>
      <c r="K44" s="633">
        <f>'Corrected and Updated TSF 3'!CK44</f>
        <v>4329785.8294627564</v>
      </c>
      <c r="L44" s="634">
        <f>'Corrected and Updated TSF 3'!CL44</f>
        <v>0.125</v>
      </c>
      <c r="M44" s="633">
        <f>'Corrected and Updated TSF 3'!CM44</f>
        <v>541223.22868284455</v>
      </c>
      <c r="N44" s="633">
        <f>'Corrected and Updated TSF 3'!CN44</f>
        <v>30000</v>
      </c>
      <c r="O44" s="633">
        <f>'Corrected and Updated TSF 3'!CO44</f>
        <v>511223.22868284455</v>
      </c>
      <c r="P44" s="401">
        <f>'Corrected and Updated TSF 3'!CP44</f>
        <v>29</v>
      </c>
      <c r="Q44" s="633">
        <f>'Corrected and Updated TSF 3'!CQ44</f>
        <v>17628.387195960157</v>
      </c>
      <c r="R44" s="633">
        <f>'Corrected and Updated TSF 3'!CS44</f>
        <v>3788562.600779912</v>
      </c>
      <c r="S44" s="633">
        <f>'Corrected and Updated TSF 3'!CT44</f>
        <v>29372.685519101411</v>
      </c>
      <c r="T44" s="635">
        <f>'Corrected and Updated TSF 3'!CU44</f>
        <v>34052.671714751821</v>
      </c>
      <c r="U44" s="636">
        <f>'Corrected and Updated TSF 3'!CV44</f>
        <v>43988.424200111069</v>
      </c>
      <c r="V44" s="636">
        <f>'Corrected and Updated TSF 3'!CW44</f>
        <v>75018.08024058603</v>
      </c>
      <c r="W44" s="1102">
        <f>'Corrected and Updated TSF 3'!CX44</f>
        <v>307756.98206170113</v>
      </c>
      <c r="X44" s="1102">
        <f>'Corrected and Updated TSF 3'!CY44</f>
        <v>121777.93863148359</v>
      </c>
      <c r="Y44" s="1102">
        <f>'Corrected and Updated TSF 3'!CZ44</f>
        <v>87958.480308877566</v>
      </c>
      <c r="Z44" s="1102">
        <f>'Corrected and Updated TSF 3'!DA44</f>
        <v>66940.452914346461</v>
      </c>
      <c r="AA44" s="821">
        <f>L44-'Corrected and Updated TSF 3'!CL44</f>
        <v>0</v>
      </c>
      <c r="AB44" s="678">
        <f>N44-'Corrected and Updated TSF 3'!CN44</f>
        <v>0</v>
      </c>
      <c r="AC44" s="678">
        <f>Q44-'Corrected and Updated TSF 3'!CQ44</f>
        <v>0</v>
      </c>
      <c r="AD44" s="775"/>
      <c r="AE44" s="775"/>
      <c r="AF44" s="775"/>
      <c r="AG44" s="775"/>
      <c r="AH44" s="677"/>
      <c r="AI44" s="677"/>
      <c r="AJ44" s="677"/>
      <c r="AK44" s="677"/>
    </row>
    <row r="45" spans="1:37" s="119" customFormat="1" ht="12.75" hidden="1" customHeight="1">
      <c r="A45" s="631" t="str">
        <f t="shared" si="0"/>
        <v>W-4H</v>
      </c>
      <c r="B45" s="632" t="str">
        <f>'Corrected and Updated TSF 3'!EP45</f>
        <v>SOLD</v>
      </c>
      <c r="C45" s="820" t="str">
        <f>'Corrected and Updated TSF 3'!E45</f>
        <v>4th Floor</v>
      </c>
      <c r="D45" s="628">
        <f>'INTERNAL PRICELIST'!D45</f>
        <v>0</v>
      </c>
      <c r="E45" s="596" t="str">
        <f>'Corrected and Updated TSF 3'!G45</f>
        <v>W-4H</v>
      </c>
      <c r="F45" s="401" t="str">
        <f>'Corrected and Updated TSF 3'!I45</f>
        <v>Studio</v>
      </c>
      <c r="G45" s="633">
        <f>'Corrected and Updated TSF 3'!J45</f>
        <v>22</v>
      </c>
      <c r="H45" s="633">
        <f>'Corrected and Updated TSF 3'!CG45</f>
        <v>3785891.1813492263</v>
      </c>
      <c r="I45" s="633">
        <f>SUM('Corrected and Updated TSF 3'!CI45:CJ45)</f>
        <v>482701.12562202633</v>
      </c>
      <c r="J45" s="633">
        <f>'Corrected and Updated TSF 3'!CH45</f>
        <v>0</v>
      </c>
      <c r="K45" s="633">
        <f>'Corrected and Updated TSF 3'!CK45</f>
        <v>4268592.3069712529</v>
      </c>
      <c r="L45" s="634">
        <f>'Corrected and Updated TSF 3'!CL45</f>
        <v>0.125</v>
      </c>
      <c r="M45" s="633">
        <f>'Corrected and Updated TSF 3'!CM45</f>
        <v>533574.03837140661</v>
      </c>
      <c r="N45" s="633">
        <f>'Corrected and Updated TSF 3'!CN45</f>
        <v>30000</v>
      </c>
      <c r="O45" s="633">
        <f>'Corrected and Updated TSF 3'!CO45</f>
        <v>503574.03837140661</v>
      </c>
      <c r="P45" s="401">
        <f>'Corrected and Updated TSF 3'!CP45</f>
        <v>29</v>
      </c>
      <c r="Q45" s="633">
        <f>'Corrected and Updated TSF 3'!CQ45</f>
        <v>17364.622012807125</v>
      </c>
      <c r="R45" s="633">
        <f>'Corrected and Updated TSF 3'!CS45</f>
        <v>3735018.2685998464</v>
      </c>
      <c r="S45" s="633">
        <f>'Corrected and Updated TSF 3'!CT45</f>
        <v>28957.556881625129</v>
      </c>
      <c r="T45" s="635">
        <f>'Corrected and Updated TSF 3'!CU45</f>
        <v>33571.400119678256</v>
      </c>
      <c r="U45" s="636">
        <f>'Corrected and Updated TSF 3'!CV45</f>
        <v>43366.729102090649</v>
      </c>
      <c r="V45" s="636">
        <f>'Corrected and Updated TSF 3'!CW45</f>
        <v>73957.838288378131</v>
      </c>
      <c r="W45" s="1102">
        <f>'Corrected and Updated TSF 3'!CX45</f>
        <v>303407.40576728969</v>
      </c>
      <c r="X45" s="1102">
        <f>'Corrected and Updated TSF 3'!CY45</f>
        <v>120056.83247978757</v>
      </c>
      <c r="Y45" s="1102">
        <f>'Corrected and Updated TSF 3'!CZ45</f>
        <v>86715.349711868883</v>
      </c>
      <c r="Z45" s="1102">
        <f>'Corrected and Updated TSF 3'!DA45</f>
        <v>65994.373299246014</v>
      </c>
      <c r="AA45" s="821">
        <f>L45-'Corrected and Updated TSF 3'!CL45</f>
        <v>0</v>
      </c>
      <c r="AB45" s="678">
        <f>N45-'Corrected and Updated TSF 3'!CN45</f>
        <v>0</v>
      </c>
      <c r="AC45" s="678">
        <f>Q45-'Corrected and Updated TSF 3'!CQ45</f>
        <v>0</v>
      </c>
      <c r="AD45" s="775"/>
      <c r="AE45" s="775"/>
      <c r="AF45" s="775"/>
      <c r="AG45" s="775"/>
      <c r="AH45" s="677"/>
      <c r="AI45" s="677"/>
      <c r="AJ45" s="677"/>
      <c r="AK45" s="677"/>
    </row>
    <row r="46" spans="1:37" s="119" customFormat="1" ht="12.75" hidden="1" customHeight="1">
      <c r="A46" s="631" t="str">
        <f t="shared" si="0"/>
        <v>W-4I</v>
      </c>
      <c r="B46" s="632" t="str">
        <f>'Corrected and Updated TSF 3'!EP46</f>
        <v>SOLD</v>
      </c>
      <c r="C46" s="820" t="str">
        <f>'Corrected and Updated TSF 3'!E46</f>
        <v>4th Floor</v>
      </c>
      <c r="D46" s="628">
        <f>'INTERNAL PRICELIST'!D46</f>
        <v>0</v>
      </c>
      <c r="E46" s="596" t="str">
        <f>'Corrected and Updated TSF 3'!G46</f>
        <v>W-4I</v>
      </c>
      <c r="F46" s="401" t="str">
        <f>'Corrected and Updated TSF 3'!I46</f>
        <v>Studio</v>
      </c>
      <c r="G46" s="633">
        <f>'Corrected and Updated TSF 3'!J46</f>
        <v>22</v>
      </c>
      <c r="H46" s="633">
        <f>'Corrected and Updated TSF 3'!CG46</f>
        <v>3787647.6691541043</v>
      </c>
      <c r="I46" s="633">
        <f>SUM('Corrected and Updated TSF 3'!CI46:CJ46)</f>
        <v>482925.0778171483</v>
      </c>
      <c r="J46" s="633">
        <f>'Corrected and Updated TSF 3'!CH46</f>
        <v>0</v>
      </c>
      <c r="K46" s="633">
        <f>'Corrected and Updated TSF 3'!CK46</f>
        <v>4270572.7469712524</v>
      </c>
      <c r="L46" s="634">
        <f>'Corrected and Updated TSF 3'!CL46</f>
        <v>0.125</v>
      </c>
      <c r="M46" s="633">
        <f>'Corrected and Updated TSF 3'!CM46</f>
        <v>533821.59337140655</v>
      </c>
      <c r="N46" s="633">
        <f>'Corrected and Updated TSF 3'!CN46</f>
        <v>30000</v>
      </c>
      <c r="O46" s="633">
        <f>'Corrected and Updated TSF 3'!CO46</f>
        <v>503821.59337140655</v>
      </c>
      <c r="P46" s="401">
        <f>'Corrected and Updated TSF 3'!CP46</f>
        <v>29</v>
      </c>
      <c r="Q46" s="633">
        <f>'Corrected and Updated TSF 3'!CQ46</f>
        <v>17373.158392117468</v>
      </c>
      <c r="R46" s="633">
        <f>'Corrected and Updated TSF 3'!CS46</f>
        <v>3736751.1535998457</v>
      </c>
      <c r="S46" s="633">
        <f>'Corrected and Updated TSF 3'!CT46</f>
        <v>28970.99192058562</v>
      </c>
      <c r="T46" s="635">
        <f>'Corrected and Updated TSF 3'!CU46</f>
        <v>33586.975779959612</v>
      </c>
      <c r="U46" s="636">
        <f>'Corrected and Updated TSF 3'!CV46</f>
        <v>43386.849366291717</v>
      </c>
      <c r="V46" s="636">
        <f>'Corrected and Updated TSF 3'!CW46</f>
        <v>73992.151488310701</v>
      </c>
      <c r="W46" s="1102">
        <f>'Corrected and Updated TSF 3'!CX46</f>
        <v>303548.17352383933</v>
      </c>
      <c r="X46" s="1102">
        <f>'Corrected and Updated TSF 3'!CY46</f>
        <v>120112.53359533518</v>
      </c>
      <c r="Y46" s="1102">
        <f>'Corrected and Updated TSF 3'!CZ46</f>
        <v>86755.58183872317</v>
      </c>
      <c r="Z46" s="1102">
        <f>'Corrected and Updated TSF 3'!DA46</f>
        <v>66024.991799973577</v>
      </c>
      <c r="AA46" s="821">
        <f>L46-'Corrected and Updated TSF 3'!CL46</f>
        <v>0</v>
      </c>
      <c r="AB46" s="678">
        <f>N46-'Corrected and Updated TSF 3'!CN46</f>
        <v>0</v>
      </c>
      <c r="AC46" s="678">
        <f>Q46-'Corrected and Updated TSF 3'!CQ46</f>
        <v>0</v>
      </c>
      <c r="AD46" s="775"/>
      <c r="AE46" s="775"/>
      <c r="AF46" s="775"/>
      <c r="AG46" s="775"/>
      <c r="AH46" s="677"/>
      <c r="AI46" s="677"/>
      <c r="AJ46" s="677"/>
      <c r="AK46" s="677"/>
    </row>
    <row r="47" spans="1:37" s="119" customFormat="1" ht="12.75" customHeight="1">
      <c r="A47" s="631" t="str">
        <f t="shared" si="0"/>
        <v>W-4J</v>
      </c>
      <c r="B47" s="632" t="str">
        <f>'Corrected and Updated TSF 3'!EP47</f>
        <v>UNSOLD</v>
      </c>
      <c r="C47" s="820" t="str">
        <f>'Corrected and Updated TSF 3'!E47</f>
        <v>4th Floor</v>
      </c>
      <c r="D47" s="628">
        <f>'INTERNAL PRICELIST'!D47</f>
        <v>0</v>
      </c>
      <c r="E47" s="596" t="str">
        <f>'Corrected and Updated TSF 3'!G47</f>
        <v>W-4J</v>
      </c>
      <c r="F47" s="401" t="str">
        <f>'Corrected and Updated TSF 3'!I47</f>
        <v>Studio</v>
      </c>
      <c r="G47" s="633">
        <f>'Corrected and Updated TSF 3'!J47</f>
        <v>22</v>
      </c>
      <c r="H47" s="633">
        <f>'Corrected and Updated TSF 3'!CG47</f>
        <v>3959656.4207435702</v>
      </c>
      <c r="I47" s="633">
        <f>SUM('Corrected and Updated TSF 3'!CI47:CJ47)</f>
        <v>504856.19364480517</v>
      </c>
      <c r="J47" s="633">
        <f>'Corrected and Updated TSF 3'!CH47</f>
        <v>0</v>
      </c>
      <c r="K47" s="633">
        <f>'Corrected and Updated TSF 3'!CK47</f>
        <v>4464512.6143883755</v>
      </c>
      <c r="L47" s="634">
        <f>'Corrected and Updated TSF 3'!CL47</f>
        <v>0.125</v>
      </c>
      <c r="M47" s="633">
        <f>'Corrected and Updated TSF 3'!CM47</f>
        <v>558064.07679854694</v>
      </c>
      <c r="N47" s="633">
        <f>'Corrected and Updated TSF 3'!CN47</f>
        <v>30000</v>
      </c>
      <c r="O47" s="633">
        <f>'Corrected and Updated TSF 3'!CO47</f>
        <v>528064.07679854694</v>
      </c>
      <c r="P47" s="401">
        <f>'Corrected and Updated TSF 3'!CP47</f>
        <v>29</v>
      </c>
      <c r="Q47" s="633">
        <f>'Corrected and Updated TSF 3'!CQ47</f>
        <v>18209.106096501619</v>
      </c>
      <c r="R47" s="633">
        <f>'Corrected and Updated TSF 3'!CS47</f>
        <v>3906448.5375898285</v>
      </c>
      <c r="S47" s="633">
        <f>'Corrected and Updated TSF 3'!CT47</f>
        <v>30286.65393243303</v>
      </c>
      <c r="T47" s="635">
        <f>'Corrected and Updated TSF 3'!CU47</f>
        <v>35112.263842158573</v>
      </c>
      <c r="U47" s="636">
        <f>'Corrected and Updated TSF 3'!CV47</f>
        <v>45357.179884537298</v>
      </c>
      <c r="V47" s="636">
        <f>'Corrected and Updated TSF 3'!CW47</f>
        <v>77352.363080474286</v>
      </c>
      <c r="W47" s="1102">
        <f>'Corrected and Updated TSF 3'!CX47</f>
        <v>317333.2314109049</v>
      </c>
      <c r="X47" s="1102">
        <f>'Corrected and Updated TSF 3'!CY47</f>
        <v>125567.21385037471</v>
      </c>
      <c r="Y47" s="1102">
        <f>'Corrected and Updated TSF 3'!CZ47</f>
        <v>90695.420131240287</v>
      </c>
      <c r="Z47" s="1102">
        <f>'Corrected and Updated TSF 3'!DA47</f>
        <v>69023.390121366174</v>
      </c>
      <c r="AA47" s="821">
        <f>L47-'Corrected and Updated TSF 3'!CL47</f>
        <v>0</v>
      </c>
      <c r="AB47" s="678">
        <f>N47-'Corrected and Updated TSF 3'!CN47</f>
        <v>0</v>
      </c>
      <c r="AC47" s="678">
        <f>Q47-'Corrected and Updated TSF 3'!CQ47</f>
        <v>0</v>
      </c>
      <c r="AD47" s="775"/>
      <c r="AE47" s="775"/>
      <c r="AF47" s="775"/>
      <c r="AG47" s="775"/>
      <c r="AH47" s="677"/>
      <c r="AI47" s="677"/>
      <c r="AJ47" s="677"/>
      <c r="AK47" s="677"/>
    </row>
    <row r="48" spans="1:37" s="119" customFormat="1" ht="12.75" hidden="1" customHeight="1">
      <c r="A48" s="631" t="str">
        <f t="shared" si="0"/>
        <v>W-4K</v>
      </c>
      <c r="B48" s="632" t="str">
        <f>'Corrected and Updated TSF 3'!EP48</f>
        <v>SOLD</v>
      </c>
      <c r="C48" s="820" t="str">
        <f>'Corrected and Updated TSF 3'!E48</f>
        <v>4th Floor</v>
      </c>
      <c r="D48" s="628">
        <f>'INTERNAL PRICELIST'!D48</f>
        <v>0</v>
      </c>
      <c r="E48" s="596" t="str">
        <f>'Corrected and Updated TSF 3'!G48</f>
        <v>W-4K</v>
      </c>
      <c r="F48" s="401" t="str">
        <f>'Corrected and Updated TSF 3'!I48</f>
        <v>Studio</v>
      </c>
      <c r="G48" s="633">
        <f>'Corrected and Updated TSF 3'!J48</f>
        <v>22</v>
      </c>
      <c r="H48" s="633">
        <f>'Corrected and Updated TSF 3'!CG48</f>
        <v>3785891.1813492263</v>
      </c>
      <c r="I48" s="633">
        <f>SUM('Corrected and Updated TSF 3'!CI48:CJ48)</f>
        <v>482701.12562202633</v>
      </c>
      <c r="J48" s="633">
        <f>'Corrected and Updated TSF 3'!CH48</f>
        <v>0</v>
      </c>
      <c r="K48" s="633">
        <f>'Corrected and Updated TSF 3'!CK48</f>
        <v>4268592.3069712529</v>
      </c>
      <c r="L48" s="634">
        <f>'Corrected and Updated TSF 3'!CL48</f>
        <v>0.125</v>
      </c>
      <c r="M48" s="633">
        <f>'Corrected and Updated TSF 3'!CM48</f>
        <v>533574.03837140661</v>
      </c>
      <c r="N48" s="633">
        <f>'Corrected and Updated TSF 3'!CN48</f>
        <v>30000</v>
      </c>
      <c r="O48" s="633">
        <f>'Corrected and Updated TSF 3'!CO48</f>
        <v>503574.03837140661</v>
      </c>
      <c r="P48" s="401">
        <f>'Corrected and Updated TSF 3'!CP48</f>
        <v>29</v>
      </c>
      <c r="Q48" s="633">
        <f>'Corrected and Updated TSF 3'!CQ48</f>
        <v>17364.622012807125</v>
      </c>
      <c r="R48" s="633">
        <f>'Corrected and Updated TSF 3'!CS48</f>
        <v>3735018.2685998464</v>
      </c>
      <c r="S48" s="633">
        <f>'Corrected and Updated TSF 3'!CT48</f>
        <v>28957.556881625129</v>
      </c>
      <c r="T48" s="635">
        <f>'Corrected and Updated TSF 3'!CU48</f>
        <v>33571.400119678256</v>
      </c>
      <c r="U48" s="636">
        <f>'Corrected and Updated TSF 3'!CV48</f>
        <v>43366.729102090649</v>
      </c>
      <c r="V48" s="636">
        <f>'Corrected and Updated TSF 3'!CW48</f>
        <v>73957.838288378131</v>
      </c>
      <c r="W48" s="1102">
        <f>'Corrected and Updated TSF 3'!CX48</f>
        <v>303407.40576728969</v>
      </c>
      <c r="X48" s="1102">
        <f>'Corrected and Updated TSF 3'!CY48</f>
        <v>120056.83247978757</v>
      </c>
      <c r="Y48" s="1102">
        <f>'Corrected and Updated TSF 3'!CZ48</f>
        <v>86715.349711868883</v>
      </c>
      <c r="Z48" s="1102">
        <f>'Corrected and Updated TSF 3'!DA48</f>
        <v>65994.373299246014</v>
      </c>
      <c r="AA48" s="821">
        <f>L48-'Corrected and Updated TSF 3'!CL48</f>
        <v>0</v>
      </c>
      <c r="AB48" s="678">
        <f>N48-'Corrected and Updated TSF 3'!CN48</f>
        <v>0</v>
      </c>
      <c r="AC48" s="678">
        <f>Q48-'Corrected and Updated TSF 3'!CQ48</f>
        <v>0</v>
      </c>
      <c r="AD48" s="775"/>
      <c r="AE48" s="775"/>
      <c r="AF48" s="775"/>
      <c r="AG48" s="775"/>
      <c r="AH48" s="677"/>
      <c r="AI48" s="677"/>
      <c r="AJ48" s="677"/>
      <c r="AK48" s="677"/>
    </row>
    <row r="49" spans="1:37" s="119" customFormat="1" ht="12.75" hidden="1" customHeight="1">
      <c r="A49" s="631" t="str">
        <f t="shared" si="0"/>
        <v>W-4L</v>
      </c>
      <c r="B49" s="632" t="str">
        <f>'Corrected and Updated TSF 3'!EP49</f>
        <v>SOLD</v>
      </c>
      <c r="C49" s="820" t="str">
        <f>'Corrected and Updated TSF 3'!E49</f>
        <v>4th Floor</v>
      </c>
      <c r="D49" s="628">
        <f>'INTERNAL PRICELIST'!D49</f>
        <v>0</v>
      </c>
      <c r="E49" s="596" t="str">
        <f>'Corrected and Updated TSF 3'!G49</f>
        <v>W-4L</v>
      </c>
      <c r="F49" s="401" t="str">
        <f>'Corrected and Updated TSF 3'!I49</f>
        <v>Studio</v>
      </c>
      <c r="G49" s="633">
        <f>'Corrected and Updated TSF 3'!J49</f>
        <v>22</v>
      </c>
      <c r="H49" s="633">
        <f>'Corrected and Updated TSF 3'!CG49</f>
        <v>3785891.1813492263</v>
      </c>
      <c r="I49" s="633">
        <f>SUM('Corrected and Updated TSF 3'!CI49:CJ49)</f>
        <v>482701.12562202633</v>
      </c>
      <c r="J49" s="633">
        <f>'Corrected and Updated TSF 3'!CH49</f>
        <v>0</v>
      </c>
      <c r="K49" s="633">
        <f>'Corrected and Updated TSF 3'!CK49</f>
        <v>4268592.3069712529</v>
      </c>
      <c r="L49" s="634">
        <f>'Corrected and Updated TSF 3'!CL49</f>
        <v>0.125</v>
      </c>
      <c r="M49" s="633">
        <f>'Corrected and Updated TSF 3'!CM49</f>
        <v>533574.03837140661</v>
      </c>
      <c r="N49" s="633">
        <f>'Corrected and Updated TSF 3'!CN49</f>
        <v>30000</v>
      </c>
      <c r="O49" s="633">
        <f>'Corrected and Updated TSF 3'!CO49</f>
        <v>503574.03837140661</v>
      </c>
      <c r="P49" s="401">
        <f>'Corrected and Updated TSF 3'!CP49</f>
        <v>29</v>
      </c>
      <c r="Q49" s="633">
        <f>'Corrected and Updated TSF 3'!CQ49</f>
        <v>17364.622012807125</v>
      </c>
      <c r="R49" s="633">
        <f>'Corrected and Updated TSF 3'!CS49</f>
        <v>3735018.2685998464</v>
      </c>
      <c r="S49" s="633">
        <f>'Corrected and Updated TSF 3'!CT49</f>
        <v>28957.556881625129</v>
      </c>
      <c r="T49" s="635">
        <f>'Corrected and Updated TSF 3'!CU49</f>
        <v>33571.400119678256</v>
      </c>
      <c r="U49" s="636">
        <f>'Corrected and Updated TSF 3'!CV49</f>
        <v>43366.729102090649</v>
      </c>
      <c r="V49" s="636">
        <f>'Corrected and Updated TSF 3'!CW49</f>
        <v>73957.838288378131</v>
      </c>
      <c r="W49" s="1102">
        <f>'Corrected and Updated TSF 3'!CX49</f>
        <v>303407.40576728969</v>
      </c>
      <c r="X49" s="1102">
        <f>'Corrected and Updated TSF 3'!CY49</f>
        <v>120056.83247978757</v>
      </c>
      <c r="Y49" s="1102">
        <f>'Corrected and Updated TSF 3'!CZ49</f>
        <v>86715.349711868883</v>
      </c>
      <c r="Z49" s="1102">
        <f>'Corrected and Updated TSF 3'!DA49</f>
        <v>65994.373299246014</v>
      </c>
      <c r="AA49" s="821">
        <f>L49-'Corrected and Updated TSF 3'!CL49</f>
        <v>0</v>
      </c>
      <c r="AB49" s="678">
        <f>N49-'Corrected and Updated TSF 3'!CN49</f>
        <v>0</v>
      </c>
      <c r="AC49" s="678">
        <f>Q49-'Corrected and Updated TSF 3'!CQ49</f>
        <v>0</v>
      </c>
      <c r="AD49" s="775"/>
      <c r="AE49" s="775"/>
      <c r="AF49" s="775"/>
      <c r="AG49" s="775"/>
      <c r="AH49" s="677"/>
      <c r="AI49" s="677"/>
      <c r="AJ49" s="677"/>
      <c r="AK49" s="677"/>
    </row>
    <row r="50" spans="1:37" s="119" customFormat="1" ht="12.75" hidden="1" customHeight="1">
      <c r="A50" s="631" t="str">
        <f t="shared" si="0"/>
        <v>W-4M</v>
      </c>
      <c r="B50" s="632" t="str">
        <f>'Corrected and Updated TSF 3'!EP50</f>
        <v>SOLD</v>
      </c>
      <c r="C50" s="820" t="str">
        <f>'Corrected and Updated TSF 3'!E50</f>
        <v>4th Floor</v>
      </c>
      <c r="D50" s="628">
        <f>'INTERNAL PRICELIST'!D50</f>
        <v>0</v>
      </c>
      <c r="E50" s="596" t="str">
        <f>'Corrected and Updated TSF 3'!G50</f>
        <v>W-4M</v>
      </c>
      <c r="F50" s="401" t="str">
        <f>'Corrected and Updated TSF 3'!I50</f>
        <v>Studio</v>
      </c>
      <c r="G50" s="633">
        <f>'Corrected and Updated TSF 3'!J50</f>
        <v>22</v>
      </c>
      <c r="H50" s="633">
        <f>'Corrected and Updated TSF 3'!CG50</f>
        <v>3785891.1813492263</v>
      </c>
      <c r="I50" s="633">
        <f>SUM('Corrected and Updated TSF 3'!CI50:CJ50)</f>
        <v>482701.12562202633</v>
      </c>
      <c r="J50" s="633">
        <f>'Corrected and Updated TSF 3'!CH50</f>
        <v>0</v>
      </c>
      <c r="K50" s="633">
        <f>'Corrected and Updated TSF 3'!CK50</f>
        <v>4268592.3069712529</v>
      </c>
      <c r="L50" s="634">
        <f>'Corrected and Updated TSF 3'!CL50</f>
        <v>0.125</v>
      </c>
      <c r="M50" s="633">
        <f>'Corrected and Updated TSF 3'!CM50</f>
        <v>533574.03837140661</v>
      </c>
      <c r="N50" s="633">
        <f>'Corrected and Updated TSF 3'!CN50</f>
        <v>30000</v>
      </c>
      <c r="O50" s="633">
        <f>'Corrected and Updated TSF 3'!CO50</f>
        <v>503574.03837140661</v>
      </c>
      <c r="P50" s="401">
        <f>'Corrected and Updated TSF 3'!CP50</f>
        <v>29</v>
      </c>
      <c r="Q50" s="633">
        <f>'Corrected and Updated TSF 3'!CQ50</f>
        <v>17364.622012807125</v>
      </c>
      <c r="R50" s="633">
        <f>'Corrected and Updated TSF 3'!CS50</f>
        <v>3735018.2685998464</v>
      </c>
      <c r="S50" s="633">
        <f>'Corrected and Updated TSF 3'!CT50</f>
        <v>28957.556881625129</v>
      </c>
      <c r="T50" s="635">
        <f>'Corrected and Updated TSF 3'!CU50</f>
        <v>33571.400119678256</v>
      </c>
      <c r="U50" s="636">
        <f>'Corrected and Updated TSF 3'!CV50</f>
        <v>43366.729102090649</v>
      </c>
      <c r="V50" s="636">
        <f>'Corrected and Updated TSF 3'!CW50</f>
        <v>73957.838288378131</v>
      </c>
      <c r="W50" s="1102">
        <f>'Corrected and Updated TSF 3'!CX50</f>
        <v>303407.40576728969</v>
      </c>
      <c r="X50" s="1102">
        <f>'Corrected and Updated TSF 3'!CY50</f>
        <v>120056.83247978757</v>
      </c>
      <c r="Y50" s="1102">
        <f>'Corrected and Updated TSF 3'!CZ50</f>
        <v>86715.349711868883</v>
      </c>
      <c r="Z50" s="1102">
        <f>'Corrected and Updated TSF 3'!DA50</f>
        <v>65994.373299246014</v>
      </c>
      <c r="AA50" s="821">
        <f>L50-'Corrected and Updated TSF 3'!CL50</f>
        <v>0</v>
      </c>
      <c r="AB50" s="678">
        <f>N50-'Corrected and Updated TSF 3'!CN50</f>
        <v>0</v>
      </c>
      <c r="AC50" s="678">
        <f>Q50-'Corrected and Updated TSF 3'!CQ50</f>
        <v>0</v>
      </c>
      <c r="AD50" s="775"/>
      <c r="AE50" s="775"/>
      <c r="AF50" s="775"/>
      <c r="AG50" s="775"/>
      <c r="AH50" s="677"/>
      <c r="AI50" s="677"/>
      <c r="AJ50" s="677"/>
      <c r="AK50" s="677"/>
    </row>
    <row r="51" spans="1:37" s="119" customFormat="1" ht="12.75" hidden="1" customHeight="1">
      <c r="A51" s="631" t="str">
        <f t="shared" si="0"/>
        <v>W-4N</v>
      </c>
      <c r="B51" s="632" t="str">
        <f>'Corrected and Updated TSF 3'!EP51</f>
        <v>SOLD</v>
      </c>
      <c r="C51" s="820" t="str">
        <f>'Corrected and Updated TSF 3'!E51</f>
        <v>4th Floor</v>
      </c>
      <c r="D51" s="628">
        <f>'INTERNAL PRICELIST'!D51</f>
        <v>0</v>
      </c>
      <c r="E51" s="596" t="str">
        <f>'Corrected and Updated TSF 3'!G51</f>
        <v>W-4N</v>
      </c>
      <c r="F51" s="401" t="str">
        <f>'Corrected and Updated TSF 3'!I51</f>
        <v>Studio</v>
      </c>
      <c r="G51" s="633">
        <f>'Corrected and Updated TSF 3'!J51</f>
        <v>22</v>
      </c>
      <c r="H51" s="633">
        <f>'Corrected and Updated TSF 3'!CG51</f>
        <v>3822128.7747359099</v>
      </c>
      <c r="I51" s="633">
        <f>SUM('Corrected and Updated TSF 3'!CI51:CJ51)</f>
        <v>487321.41877882846</v>
      </c>
      <c r="J51" s="633">
        <f>'Corrected and Updated TSF 3'!CH51</f>
        <v>0</v>
      </c>
      <c r="K51" s="633">
        <f>'Corrected and Updated TSF 3'!CK51</f>
        <v>4309450.1935147392</v>
      </c>
      <c r="L51" s="634">
        <f>'Corrected and Updated TSF 3'!CL51</f>
        <v>0.125</v>
      </c>
      <c r="M51" s="633">
        <f>'Corrected and Updated TSF 3'!CM51</f>
        <v>538681.2741893424</v>
      </c>
      <c r="N51" s="633">
        <f>'Corrected and Updated TSF 3'!CN51</f>
        <v>30000</v>
      </c>
      <c r="O51" s="633">
        <f>'Corrected and Updated TSF 3'!CO51</f>
        <v>508681.2741893424</v>
      </c>
      <c r="P51" s="401">
        <f>'Corrected and Updated TSF 3'!CP51</f>
        <v>29</v>
      </c>
      <c r="Q51" s="633">
        <f>'Corrected and Updated TSF 3'!CQ51</f>
        <v>17540.733592735945</v>
      </c>
      <c r="R51" s="633">
        <f>'Corrected and Updated TSF 3'!CS51</f>
        <v>3770768.9193253969</v>
      </c>
      <c r="S51" s="633">
        <f>'Corrected and Updated TSF 3'!CT51</f>
        <v>29234.731296177142</v>
      </c>
      <c r="T51" s="635">
        <f>'Corrected and Updated TSF 3'!CU51</f>
        <v>33892.737075413213</v>
      </c>
      <c r="U51" s="636">
        <f>'Corrected and Updated TSF 3'!CV51</f>
        <v>43781.824470772634</v>
      </c>
      <c r="V51" s="636">
        <f>'Corrected and Updated TSF 3'!CW51</f>
        <v>74665.744021341437</v>
      </c>
      <c r="W51" s="1102">
        <f>'Corrected and Updated TSF 3'!CX51</f>
        <v>306311.54475968023</v>
      </c>
      <c r="X51" s="1102">
        <f>'Corrected and Updated TSF 3'!CY51</f>
        <v>121205.98613220325</v>
      </c>
      <c r="Y51" s="1102">
        <f>'Corrected and Updated TSF 3'!CZ51</f>
        <v>87545.367119321934</v>
      </c>
      <c r="Z51" s="1102">
        <f>'Corrected and Updated TSF 3'!DA51</f>
        <v>66626.05475834565</v>
      </c>
      <c r="AA51" s="821">
        <f>L51-'Corrected and Updated TSF 3'!CL51</f>
        <v>0</v>
      </c>
      <c r="AB51" s="678">
        <f>N51-'Corrected and Updated TSF 3'!CN51</f>
        <v>0</v>
      </c>
      <c r="AC51" s="678">
        <f>Q51-'Corrected and Updated TSF 3'!CQ51</f>
        <v>0</v>
      </c>
      <c r="AD51" s="775"/>
      <c r="AE51" s="775"/>
      <c r="AF51" s="775"/>
      <c r="AG51" s="775"/>
      <c r="AH51" s="677"/>
      <c r="AI51" s="677"/>
      <c r="AJ51" s="677"/>
      <c r="AK51" s="677"/>
    </row>
    <row r="52" spans="1:37" s="119" customFormat="1" ht="12.75" hidden="1" customHeight="1">
      <c r="A52" s="631" t="str">
        <f t="shared" si="0"/>
        <v>W-4O</v>
      </c>
      <c r="B52" s="632" t="str">
        <f>'Corrected and Updated TSF 3'!EP52</f>
        <v>SOLD</v>
      </c>
      <c r="C52" s="820" t="str">
        <f>'Corrected and Updated TSF 3'!E52</f>
        <v>4th Floor</v>
      </c>
      <c r="D52" s="628">
        <f>'INTERNAL PRICELIST'!D52</f>
        <v>0</v>
      </c>
      <c r="E52" s="596" t="str">
        <f>'Corrected and Updated TSF 3'!G52</f>
        <v>W-4O</v>
      </c>
      <c r="F52" s="401" t="str">
        <f>'Corrected and Updated TSF 3'!I52</f>
        <v>Studio</v>
      </c>
      <c r="G52" s="633">
        <f>'Corrected and Updated TSF 3'!J52</f>
        <v>22</v>
      </c>
      <c r="H52" s="633">
        <f>'Corrected and Updated TSF 3'!CG52</f>
        <v>3822128.7747359099</v>
      </c>
      <c r="I52" s="633">
        <f>SUM('Corrected and Updated TSF 3'!CI52:CJ52)</f>
        <v>487321.41877882846</v>
      </c>
      <c r="J52" s="633">
        <f>'Corrected and Updated TSF 3'!CH52</f>
        <v>0</v>
      </c>
      <c r="K52" s="633">
        <f>'Corrected and Updated TSF 3'!CK52</f>
        <v>4309450.1935147392</v>
      </c>
      <c r="L52" s="634">
        <f>'Corrected and Updated TSF 3'!CL52</f>
        <v>0.125</v>
      </c>
      <c r="M52" s="633">
        <f>'Corrected and Updated TSF 3'!CM52</f>
        <v>538681.2741893424</v>
      </c>
      <c r="N52" s="633">
        <f>'Corrected and Updated TSF 3'!CN52</f>
        <v>30000</v>
      </c>
      <c r="O52" s="633">
        <f>'Corrected and Updated TSF 3'!CO52</f>
        <v>508681.2741893424</v>
      </c>
      <c r="P52" s="401">
        <f>'Corrected and Updated TSF 3'!CP52</f>
        <v>29</v>
      </c>
      <c r="Q52" s="633">
        <f>'Corrected and Updated TSF 3'!CQ52</f>
        <v>17540.733592735945</v>
      </c>
      <c r="R52" s="633">
        <f>'Corrected and Updated TSF 3'!CS52</f>
        <v>3770768.9193253969</v>
      </c>
      <c r="S52" s="633">
        <f>'Corrected and Updated TSF 3'!CT52</f>
        <v>29234.731296177142</v>
      </c>
      <c r="T52" s="635">
        <f>'Corrected and Updated TSF 3'!CU52</f>
        <v>33892.737075413213</v>
      </c>
      <c r="U52" s="636">
        <f>'Corrected and Updated TSF 3'!CV52</f>
        <v>43781.824470772634</v>
      </c>
      <c r="V52" s="636">
        <f>'Corrected and Updated TSF 3'!CW52</f>
        <v>74665.744021341437</v>
      </c>
      <c r="W52" s="1102">
        <f>'Corrected and Updated TSF 3'!CX52</f>
        <v>306311.54475968023</v>
      </c>
      <c r="X52" s="1102">
        <f>'Corrected and Updated TSF 3'!CY52</f>
        <v>121205.98613220325</v>
      </c>
      <c r="Y52" s="1102">
        <f>'Corrected and Updated TSF 3'!CZ52</f>
        <v>87545.367119321934</v>
      </c>
      <c r="Z52" s="1102">
        <f>'Corrected and Updated TSF 3'!DA52</f>
        <v>66626.05475834565</v>
      </c>
      <c r="AA52" s="821">
        <f>L52-'Corrected and Updated TSF 3'!CL52</f>
        <v>0</v>
      </c>
      <c r="AB52" s="678">
        <f>N52-'Corrected and Updated TSF 3'!CN52</f>
        <v>0</v>
      </c>
      <c r="AC52" s="678">
        <f>Q52-'Corrected and Updated TSF 3'!CQ52</f>
        <v>0</v>
      </c>
      <c r="AD52" s="775"/>
      <c r="AE52" s="775"/>
      <c r="AF52" s="775"/>
      <c r="AG52" s="775"/>
      <c r="AH52" s="677"/>
      <c r="AI52" s="677"/>
      <c r="AJ52" s="677"/>
      <c r="AK52" s="677"/>
    </row>
    <row r="53" spans="1:37" s="119" customFormat="1" ht="12.75" hidden="1" customHeight="1">
      <c r="A53" s="631" t="str">
        <f t="shared" si="0"/>
        <v>W-4P</v>
      </c>
      <c r="B53" s="632" t="str">
        <f>'Corrected and Updated TSF 3'!EP53</f>
        <v>SOLD</v>
      </c>
      <c r="C53" s="820" t="str">
        <f>'Corrected and Updated TSF 3'!E53</f>
        <v>4th Floor</v>
      </c>
      <c r="D53" s="628">
        <f>'INTERNAL PRICELIST'!D53</f>
        <v>0</v>
      </c>
      <c r="E53" s="596" t="str">
        <f>'Corrected and Updated TSF 3'!G53</f>
        <v>W-4P</v>
      </c>
      <c r="F53" s="401" t="str">
        <f>'Corrected and Updated TSF 3'!I53</f>
        <v>Studio</v>
      </c>
      <c r="G53" s="633">
        <f>'Corrected and Updated TSF 3'!J53</f>
        <v>22</v>
      </c>
      <c r="H53" s="633">
        <f>'Corrected and Updated TSF 3'!CG53</f>
        <v>3877805.1648159334</v>
      </c>
      <c r="I53" s="633">
        <f>SUM('Corrected and Updated TSF 3'!CI53:CJ53)</f>
        <v>494420.15851403144</v>
      </c>
      <c r="J53" s="633">
        <f>'Corrected and Updated TSF 3'!CH53</f>
        <v>0</v>
      </c>
      <c r="K53" s="633">
        <f>'Corrected and Updated TSF 3'!CK53</f>
        <v>4372225.3233299647</v>
      </c>
      <c r="L53" s="634">
        <f>'Corrected and Updated TSF 3'!CL53</f>
        <v>0.125</v>
      </c>
      <c r="M53" s="633">
        <f>'Corrected and Updated TSF 3'!CM53</f>
        <v>546528.16541624558</v>
      </c>
      <c r="N53" s="633">
        <f>'Corrected and Updated TSF 3'!CN53</f>
        <v>30000</v>
      </c>
      <c r="O53" s="633">
        <f>'Corrected and Updated TSF 3'!CO53</f>
        <v>516528.16541624558</v>
      </c>
      <c r="P53" s="401">
        <f>'Corrected and Updated TSF 3'!CP53</f>
        <v>29</v>
      </c>
      <c r="Q53" s="633">
        <f>'Corrected and Updated TSF 3'!CQ53</f>
        <v>17811.316048836055</v>
      </c>
      <c r="R53" s="633">
        <f>'Corrected and Updated TSF 3'!CS53</f>
        <v>3825697.1579137193</v>
      </c>
      <c r="S53" s="633">
        <f>'Corrected and Updated TSF 3'!CT53</f>
        <v>29660.589345306602</v>
      </c>
      <c r="T53" s="635">
        <f>'Corrected and Updated TSF 3'!CU53</f>
        <v>34386.447612526325</v>
      </c>
      <c r="U53" s="636">
        <f>'Corrected and Updated TSF 3'!CV53</f>
        <v>44419.587895637422</v>
      </c>
      <c r="V53" s="636">
        <f>'Corrected and Updated TSF 3'!CW53</f>
        <v>75753.388979100506</v>
      </c>
      <c r="W53" s="1102">
        <f>'Corrected and Updated TSF 3'!CX53</f>
        <v>310773.54017040064</v>
      </c>
      <c r="X53" s="1102">
        <f>'Corrected and Updated TSF 3'!CY53</f>
        <v>122971.57598059779</v>
      </c>
      <c r="Y53" s="1102">
        <f>'Corrected and Updated TSF 3'!CZ53</f>
        <v>88820.627660424681</v>
      </c>
      <c r="Z53" s="1102">
        <f>'Corrected and Updated TSF 3'!DA53</f>
        <v>67596.586740087907</v>
      </c>
      <c r="AA53" s="821">
        <f>L53-'Corrected and Updated TSF 3'!CL53</f>
        <v>0</v>
      </c>
      <c r="AB53" s="678">
        <f>N53-'Corrected and Updated TSF 3'!CN53</f>
        <v>0</v>
      </c>
      <c r="AC53" s="678">
        <f>Q53-'Corrected and Updated TSF 3'!CQ53</f>
        <v>0</v>
      </c>
      <c r="AD53" s="775"/>
      <c r="AE53" s="775"/>
      <c r="AF53" s="775"/>
      <c r="AG53" s="775"/>
      <c r="AH53" s="677"/>
      <c r="AI53" s="677"/>
      <c r="AJ53" s="677"/>
      <c r="AK53" s="677"/>
    </row>
    <row r="54" spans="1:37" s="119" customFormat="1">
      <c r="A54" s="631" t="str">
        <f t="shared" si="0"/>
        <v>E-4A</v>
      </c>
      <c r="B54" s="632" t="str">
        <f>'Corrected and Updated TSF 3'!EP54</f>
        <v>UNSOLD</v>
      </c>
      <c r="C54" s="820" t="str">
        <f>'Corrected and Updated TSF 3'!E54</f>
        <v>4th Floor</v>
      </c>
      <c r="D54" s="628">
        <f>'INTERNAL PRICELIST'!D54</f>
        <v>0</v>
      </c>
      <c r="E54" s="596" t="str">
        <f>'Corrected and Updated TSF 3'!G54</f>
        <v>E-4A</v>
      </c>
      <c r="F54" s="401" t="str">
        <f>'Corrected and Updated TSF 3'!I54</f>
        <v>Studio</v>
      </c>
      <c r="G54" s="633">
        <f>'Corrected and Updated TSF 3'!J54</f>
        <v>22</v>
      </c>
      <c r="H54" s="633">
        <f>'Corrected and Updated TSF 3'!CG54</f>
        <v>3871328.197533668</v>
      </c>
      <c r="I54" s="633">
        <f>SUM('Corrected and Updated TSF 3'!CI54:CJ54)</f>
        <v>493594.34518554265</v>
      </c>
      <c r="J54" s="633">
        <f>'Corrected and Updated TSF 3'!CH54</f>
        <v>0</v>
      </c>
      <c r="K54" s="633">
        <f>'Corrected and Updated TSF 3'!CK54</f>
        <v>4364922.5427192105</v>
      </c>
      <c r="L54" s="634">
        <f>'Corrected and Updated TSF 3'!CL54</f>
        <v>0.125</v>
      </c>
      <c r="M54" s="633">
        <f>'Corrected and Updated TSF 3'!CM54</f>
        <v>545615.31783990131</v>
      </c>
      <c r="N54" s="633">
        <f>'Corrected and Updated TSF 3'!CN54</f>
        <v>30000</v>
      </c>
      <c r="O54" s="633">
        <f>'Corrected and Updated TSF 3'!CO54</f>
        <v>515615.31783990131</v>
      </c>
      <c r="P54" s="401">
        <f>'Corrected and Updated TSF 3'!CP54</f>
        <v>29</v>
      </c>
      <c r="Q54" s="633">
        <f>'Corrected and Updated TSF 3'!CQ54</f>
        <v>17779.838546203493</v>
      </c>
      <c r="R54" s="633">
        <f>'Corrected and Updated TSF 3'!CS54</f>
        <v>3819307.2248793091</v>
      </c>
      <c r="S54" s="633">
        <f>'Corrected and Updated TSF 3'!CT54</f>
        <v>29611.04826250406</v>
      </c>
      <c r="T54" s="635">
        <f>'Corrected and Updated TSF 3'!CU54</f>
        <v>34329.013087924512</v>
      </c>
      <c r="U54" s="636">
        <f>'Corrected and Updated TSF 3'!CV54</f>
        <v>44345.395354943998</v>
      </c>
      <c r="V54" s="636">
        <f>'Corrected and Updated TSF 3'!CW54</f>
        <v>75626.860646426619</v>
      </c>
      <c r="W54" s="1102">
        <f>'Corrected and Updated TSF 3'!CX54</f>
        <v>310254.46559952211</v>
      </c>
      <c r="X54" s="1102">
        <f>'Corrected and Updated TSF 3'!CY54</f>
        <v>122766.18070145855</v>
      </c>
      <c r="Y54" s="1102">
        <f>'Corrected and Updated TSF 3'!CZ54</f>
        <v>88672.27355935573</v>
      </c>
      <c r="Z54" s="1102">
        <f>'Corrected and Updated TSF 3'!DA54</f>
        <v>67483.682439304364</v>
      </c>
      <c r="AA54" s="821">
        <f>L54-'Corrected and Updated TSF 3'!CL54</f>
        <v>0</v>
      </c>
      <c r="AB54" s="678">
        <f>N54-'Corrected and Updated TSF 3'!CN54</f>
        <v>0</v>
      </c>
      <c r="AC54" s="678">
        <f>Q54-'Corrected and Updated TSF 3'!CQ54</f>
        <v>0</v>
      </c>
      <c r="AD54" s="775"/>
      <c r="AE54" s="775"/>
      <c r="AF54" s="775"/>
      <c r="AG54" s="775"/>
      <c r="AH54" s="677"/>
      <c r="AI54" s="677"/>
      <c r="AJ54" s="677"/>
      <c r="AK54" s="677"/>
    </row>
    <row r="55" spans="1:37" s="119" customFormat="1" ht="12.75" hidden="1" customHeight="1">
      <c r="A55" s="631" t="str">
        <f t="shared" si="0"/>
        <v>E-4B</v>
      </c>
      <c r="B55" s="632" t="str">
        <f>'Corrected and Updated TSF 3'!EP55</f>
        <v>SOLD</v>
      </c>
      <c r="C55" s="820" t="str">
        <f>'Corrected and Updated TSF 3'!E55</f>
        <v>4th Floor</v>
      </c>
      <c r="D55" s="628">
        <f>'INTERNAL PRICELIST'!D55</f>
        <v>0</v>
      </c>
      <c r="E55" s="596" t="str">
        <f>'Corrected and Updated TSF 3'!G55</f>
        <v>E-4B</v>
      </c>
      <c r="F55" s="401" t="str">
        <f>'Corrected and Updated TSF 3'!I55</f>
        <v>Studio</v>
      </c>
      <c r="G55" s="633">
        <f>'Corrected and Updated TSF 3'!J55</f>
        <v>22</v>
      </c>
      <c r="H55" s="633">
        <f>'Corrected and Updated TSF 3'!CG55</f>
        <v>3785891.1813492263</v>
      </c>
      <c r="I55" s="633">
        <f>SUM('Corrected and Updated TSF 3'!CI55:CJ55)</f>
        <v>482701.12562202633</v>
      </c>
      <c r="J55" s="633">
        <f>'Corrected and Updated TSF 3'!CH55</f>
        <v>0</v>
      </c>
      <c r="K55" s="633">
        <f>'Corrected and Updated TSF 3'!CK55</f>
        <v>4268592.3069712529</v>
      </c>
      <c r="L55" s="634">
        <f>'Corrected and Updated TSF 3'!CL55</f>
        <v>0.125</v>
      </c>
      <c r="M55" s="633">
        <f>'Corrected and Updated TSF 3'!CM55</f>
        <v>533574.03837140661</v>
      </c>
      <c r="N55" s="633">
        <f>'Corrected and Updated TSF 3'!CN55</f>
        <v>30000</v>
      </c>
      <c r="O55" s="633">
        <f>'Corrected and Updated TSF 3'!CO55</f>
        <v>503574.03837140661</v>
      </c>
      <c r="P55" s="401">
        <f>'Corrected and Updated TSF 3'!CP55</f>
        <v>29</v>
      </c>
      <c r="Q55" s="633">
        <f>'Corrected and Updated TSF 3'!CQ55</f>
        <v>17364.622012807125</v>
      </c>
      <c r="R55" s="633">
        <f>'Corrected and Updated TSF 3'!CS55</f>
        <v>3735018.2685998464</v>
      </c>
      <c r="S55" s="633">
        <f>'Corrected and Updated TSF 3'!CT55</f>
        <v>28957.556881625129</v>
      </c>
      <c r="T55" s="635">
        <f>'Corrected and Updated TSF 3'!CU55</f>
        <v>33571.400119678256</v>
      </c>
      <c r="U55" s="636">
        <f>'Corrected and Updated TSF 3'!CV55</f>
        <v>43366.729102090649</v>
      </c>
      <c r="V55" s="636">
        <f>'Corrected and Updated TSF 3'!CW55</f>
        <v>73957.838288378131</v>
      </c>
      <c r="W55" s="1102">
        <f>'Corrected and Updated TSF 3'!CX55</f>
        <v>303407.40576728969</v>
      </c>
      <c r="X55" s="1102">
        <f>'Corrected and Updated TSF 3'!CY55</f>
        <v>120056.83247978757</v>
      </c>
      <c r="Y55" s="1102">
        <f>'Corrected and Updated TSF 3'!CZ55</f>
        <v>86715.349711868883</v>
      </c>
      <c r="Z55" s="1102">
        <f>'Corrected and Updated TSF 3'!DA55</f>
        <v>65994.373299246014</v>
      </c>
      <c r="AA55" s="821">
        <f>L55-'Corrected and Updated TSF 3'!CL55</f>
        <v>0</v>
      </c>
      <c r="AB55" s="678">
        <f>N55-'Corrected and Updated TSF 3'!CN55</f>
        <v>0</v>
      </c>
      <c r="AC55" s="678">
        <f>Q55-'Corrected and Updated TSF 3'!CQ55</f>
        <v>0</v>
      </c>
      <c r="AD55" s="775"/>
      <c r="AE55" s="775"/>
      <c r="AF55" s="775"/>
      <c r="AG55" s="775"/>
      <c r="AH55" s="677"/>
      <c r="AI55" s="677"/>
      <c r="AJ55" s="677"/>
      <c r="AK55" s="677"/>
    </row>
    <row r="56" spans="1:37" s="119" customFormat="1" ht="12.75" hidden="1" customHeight="1">
      <c r="A56" s="631" t="str">
        <f t="shared" si="0"/>
        <v>E-4C</v>
      </c>
      <c r="B56" s="632" t="str">
        <f>'Corrected and Updated TSF 3'!EP56</f>
        <v>SOLD</v>
      </c>
      <c r="C56" s="820" t="str">
        <f>'Corrected and Updated TSF 3'!E56</f>
        <v>4th Floor</v>
      </c>
      <c r="D56" s="628">
        <f>'INTERNAL PRICELIST'!D56</f>
        <v>0</v>
      </c>
      <c r="E56" s="596" t="str">
        <f>'Corrected and Updated TSF 3'!G56</f>
        <v>E-4C</v>
      </c>
      <c r="F56" s="401" t="str">
        <f>'Corrected and Updated TSF 3'!I56</f>
        <v>Studio</v>
      </c>
      <c r="G56" s="633">
        <f>'Corrected and Updated TSF 3'!J56</f>
        <v>22</v>
      </c>
      <c r="H56" s="633">
        <f>'Corrected and Updated TSF 3'!CG56</f>
        <v>3785891.1813492263</v>
      </c>
      <c r="I56" s="633">
        <f>SUM('Corrected and Updated TSF 3'!CI56:CJ56)</f>
        <v>482701.12562202633</v>
      </c>
      <c r="J56" s="633">
        <f>'Corrected and Updated TSF 3'!CH56</f>
        <v>0</v>
      </c>
      <c r="K56" s="633">
        <f>'Corrected and Updated TSF 3'!CK56</f>
        <v>4268592.3069712529</v>
      </c>
      <c r="L56" s="634">
        <f>'Corrected and Updated TSF 3'!CL56</f>
        <v>0.125</v>
      </c>
      <c r="M56" s="633">
        <f>'Corrected and Updated TSF 3'!CM56</f>
        <v>533574.03837140661</v>
      </c>
      <c r="N56" s="633">
        <f>'Corrected and Updated TSF 3'!CN56</f>
        <v>30000</v>
      </c>
      <c r="O56" s="633">
        <f>'Corrected and Updated TSF 3'!CO56</f>
        <v>503574.03837140661</v>
      </c>
      <c r="P56" s="401">
        <f>'Corrected and Updated TSF 3'!CP56</f>
        <v>29</v>
      </c>
      <c r="Q56" s="633">
        <f>'Corrected and Updated TSF 3'!CQ56</f>
        <v>17364.622012807125</v>
      </c>
      <c r="R56" s="633">
        <f>'Corrected and Updated TSF 3'!CS56</f>
        <v>3735018.2685998464</v>
      </c>
      <c r="S56" s="633">
        <f>'Corrected and Updated TSF 3'!CT56</f>
        <v>28957.556881625129</v>
      </c>
      <c r="T56" s="635">
        <f>'Corrected and Updated TSF 3'!CU56</f>
        <v>33571.400119678256</v>
      </c>
      <c r="U56" s="636">
        <f>'Corrected and Updated TSF 3'!CV56</f>
        <v>43366.729102090649</v>
      </c>
      <c r="V56" s="636">
        <f>'Corrected and Updated TSF 3'!CW56</f>
        <v>73957.838288378131</v>
      </c>
      <c r="W56" s="1102">
        <f>'Corrected and Updated TSF 3'!CX56</f>
        <v>303407.40576728969</v>
      </c>
      <c r="X56" s="1102">
        <f>'Corrected and Updated TSF 3'!CY56</f>
        <v>120056.83247978757</v>
      </c>
      <c r="Y56" s="1102">
        <f>'Corrected and Updated TSF 3'!CZ56</f>
        <v>86715.349711868883</v>
      </c>
      <c r="Z56" s="1102">
        <f>'Corrected and Updated TSF 3'!DA56</f>
        <v>65994.373299246014</v>
      </c>
      <c r="AA56" s="821">
        <f>L56-'Corrected and Updated TSF 3'!CL56</f>
        <v>0</v>
      </c>
      <c r="AB56" s="678">
        <f>N56-'Corrected and Updated TSF 3'!CN56</f>
        <v>0</v>
      </c>
      <c r="AC56" s="678">
        <f>Q56-'Corrected and Updated TSF 3'!CQ56</f>
        <v>0</v>
      </c>
      <c r="AD56" s="775"/>
      <c r="AE56" s="775"/>
      <c r="AF56" s="775"/>
      <c r="AG56" s="775"/>
      <c r="AH56" s="677"/>
      <c r="AI56" s="677"/>
      <c r="AJ56" s="677"/>
      <c r="AK56" s="677"/>
    </row>
    <row r="57" spans="1:37" s="119" customFormat="1" ht="12.75" customHeight="1">
      <c r="A57" s="631" t="str">
        <f t="shared" si="0"/>
        <v>E-4D</v>
      </c>
      <c r="B57" s="632" t="str">
        <f>'Corrected and Updated TSF 3'!EP57</f>
        <v>UNSOLD</v>
      </c>
      <c r="C57" s="973" t="str">
        <f>'Corrected and Updated TSF 3'!E57</f>
        <v>4th Floor</v>
      </c>
      <c r="D57" s="974">
        <f>'INTERNAL PRICELIST'!D57</f>
        <v>0</v>
      </c>
      <c r="E57" s="975" t="str">
        <f>'Corrected and Updated TSF 3'!G57</f>
        <v>E-4D</v>
      </c>
      <c r="F57" s="976" t="str">
        <f>'Corrected and Updated TSF 3'!I57</f>
        <v>Studio</v>
      </c>
      <c r="G57" s="977">
        <f>'Corrected and Updated TSF 3'!J57</f>
        <v>22</v>
      </c>
      <c r="H57" s="977">
        <f>'Corrected and Updated TSF 3'!CG57</f>
        <v>3840164.8154880316</v>
      </c>
      <c r="I57" s="977">
        <f>SUM('Corrected and Updated TSF 3'!CI57:CJ57)</f>
        <v>489621.01397472399</v>
      </c>
      <c r="J57" s="977">
        <f>'Corrected and Updated TSF 3'!CH57</f>
        <v>0</v>
      </c>
      <c r="K57" s="977">
        <f>'Corrected and Updated TSF 3'!CK57</f>
        <v>4329785.8294627564</v>
      </c>
      <c r="L57" s="978">
        <f>'Corrected and Updated TSF 3'!CL57</f>
        <v>0.125</v>
      </c>
      <c r="M57" s="977">
        <f>'Corrected and Updated TSF 3'!CM57</f>
        <v>541223.22868284455</v>
      </c>
      <c r="N57" s="977">
        <f>'Corrected and Updated TSF 3'!CN57</f>
        <v>30000</v>
      </c>
      <c r="O57" s="977">
        <f>'Corrected and Updated TSF 3'!CO57</f>
        <v>511223.22868284455</v>
      </c>
      <c r="P57" s="976">
        <f>'Corrected and Updated TSF 3'!CP57</f>
        <v>29</v>
      </c>
      <c r="Q57" s="977">
        <f>'Corrected and Updated TSF 3'!CQ57</f>
        <v>17628.387195960157</v>
      </c>
      <c r="R57" s="977">
        <f>'Corrected and Updated TSF 3'!CS57</f>
        <v>3788562.600779912</v>
      </c>
      <c r="S57" s="977">
        <f>'Corrected and Updated TSF 3'!CT57</f>
        <v>29372.685519101411</v>
      </c>
      <c r="T57" s="636">
        <f>'Corrected and Updated TSF 3'!CU57</f>
        <v>34052.671714751821</v>
      </c>
      <c r="U57" s="636">
        <f>'Corrected and Updated TSF 3'!CV57</f>
        <v>43988.424200111069</v>
      </c>
      <c r="V57" s="636">
        <f>'Corrected and Updated TSF 3'!CW57</f>
        <v>75018.08024058603</v>
      </c>
      <c r="W57" s="1102">
        <f>'Corrected and Updated TSF 3'!CX57</f>
        <v>307756.98206170113</v>
      </c>
      <c r="X57" s="1102">
        <f>'Corrected and Updated TSF 3'!CY57</f>
        <v>121777.93863148359</v>
      </c>
      <c r="Y57" s="1102">
        <f>'Corrected and Updated TSF 3'!CZ57</f>
        <v>87958.480308877566</v>
      </c>
      <c r="Z57" s="1102">
        <f>'Corrected and Updated TSF 3'!DA57</f>
        <v>66940.452914346461</v>
      </c>
      <c r="AA57" s="821">
        <f>L57-'Corrected and Updated TSF 3'!CL57</f>
        <v>0</v>
      </c>
      <c r="AB57" s="678">
        <f>N57-'Corrected and Updated TSF 3'!CN57</f>
        <v>0</v>
      </c>
      <c r="AC57" s="678">
        <f>Q57-'Corrected and Updated TSF 3'!CQ57</f>
        <v>0</v>
      </c>
      <c r="AD57" s="775"/>
      <c r="AE57" s="775"/>
      <c r="AF57" s="775"/>
      <c r="AG57" s="775"/>
      <c r="AH57" s="677"/>
      <c r="AI57" s="677"/>
      <c r="AJ57" s="677"/>
      <c r="AK57" s="677"/>
    </row>
    <row r="58" spans="1:37" s="119" customFormat="1" ht="12.75" hidden="1" customHeight="1">
      <c r="A58" s="631" t="str">
        <f t="shared" si="0"/>
        <v>E-4E</v>
      </c>
      <c r="B58" s="632" t="str">
        <f>'Corrected and Updated TSF 3'!EP58</f>
        <v>SOLD</v>
      </c>
      <c r="C58" s="820" t="str">
        <f>'Corrected and Updated TSF 3'!E58</f>
        <v>4th Floor</v>
      </c>
      <c r="D58" s="628">
        <f>'INTERNAL PRICELIST'!D58</f>
        <v>0</v>
      </c>
      <c r="E58" s="596" t="str">
        <f>'Corrected and Updated TSF 3'!G58</f>
        <v>E-4E</v>
      </c>
      <c r="F58" s="401" t="str">
        <f>'Corrected and Updated TSF 3'!I58</f>
        <v>Studio</v>
      </c>
      <c r="G58" s="633">
        <f>'Corrected and Updated TSF 3'!J58</f>
        <v>22</v>
      </c>
      <c r="H58" s="633">
        <f>'Corrected and Updated TSF 3'!CG58</f>
        <v>3785891.1813492263</v>
      </c>
      <c r="I58" s="633">
        <f>SUM('Corrected and Updated TSF 3'!CI58:CJ58)</f>
        <v>482701.12562202633</v>
      </c>
      <c r="J58" s="633">
        <f>'Corrected and Updated TSF 3'!CH58</f>
        <v>0</v>
      </c>
      <c r="K58" s="633">
        <f>'Corrected and Updated TSF 3'!CK58</f>
        <v>4268592.3069712529</v>
      </c>
      <c r="L58" s="634">
        <f>'Corrected and Updated TSF 3'!CL58</f>
        <v>0.125</v>
      </c>
      <c r="M58" s="633">
        <f>'Corrected and Updated TSF 3'!CM58</f>
        <v>533574.03837140661</v>
      </c>
      <c r="N58" s="633">
        <f>'Corrected and Updated TSF 3'!CN58</f>
        <v>30000</v>
      </c>
      <c r="O58" s="633">
        <f>'Corrected and Updated TSF 3'!CO58</f>
        <v>503574.03837140661</v>
      </c>
      <c r="P58" s="401">
        <f>'Corrected and Updated TSF 3'!CP58</f>
        <v>29</v>
      </c>
      <c r="Q58" s="633">
        <f>'Corrected and Updated TSF 3'!CQ58</f>
        <v>17364.622012807125</v>
      </c>
      <c r="R58" s="633">
        <f>'Corrected and Updated TSF 3'!CS58</f>
        <v>3735018.2685998464</v>
      </c>
      <c r="S58" s="633">
        <f>'Corrected and Updated TSF 3'!CT58</f>
        <v>28957.556881625129</v>
      </c>
      <c r="T58" s="635">
        <f>'Corrected and Updated TSF 3'!CU58</f>
        <v>33571.400119678256</v>
      </c>
      <c r="U58" s="636">
        <f>'Corrected and Updated TSF 3'!CV58</f>
        <v>43366.729102090649</v>
      </c>
      <c r="V58" s="636">
        <f>'Corrected and Updated TSF 3'!CW58</f>
        <v>73957.838288378131</v>
      </c>
      <c r="W58" s="1102">
        <f>'Corrected and Updated TSF 3'!CX58</f>
        <v>303407.40576728969</v>
      </c>
      <c r="X58" s="1102">
        <f>'Corrected and Updated TSF 3'!CY58</f>
        <v>120056.83247978757</v>
      </c>
      <c r="Y58" s="1102">
        <f>'Corrected and Updated TSF 3'!CZ58</f>
        <v>86715.349711868883</v>
      </c>
      <c r="Z58" s="1102">
        <f>'Corrected and Updated TSF 3'!DA58</f>
        <v>65994.373299246014</v>
      </c>
      <c r="AA58" s="821">
        <f>L58-'Corrected and Updated TSF 3'!CL58</f>
        <v>0</v>
      </c>
      <c r="AB58" s="678">
        <f>N58-'Corrected and Updated TSF 3'!CN58</f>
        <v>0</v>
      </c>
      <c r="AC58" s="678">
        <f>Q58-'Corrected and Updated TSF 3'!CQ58</f>
        <v>0</v>
      </c>
      <c r="AD58" s="775"/>
      <c r="AE58" s="775"/>
      <c r="AF58" s="775"/>
      <c r="AG58" s="775"/>
      <c r="AH58" s="677"/>
      <c r="AI58" s="677"/>
      <c r="AJ58" s="677"/>
      <c r="AK58" s="677"/>
    </row>
    <row r="59" spans="1:37" s="119" customFormat="1" ht="12.75" hidden="1" customHeight="1">
      <c r="A59" s="631" t="str">
        <f t="shared" si="0"/>
        <v>E-4F</v>
      </c>
      <c r="B59" s="632" t="str">
        <f>'Corrected and Updated TSF 3'!EP59</f>
        <v>SOLD</v>
      </c>
      <c r="C59" s="820" t="str">
        <f>'Corrected and Updated TSF 3'!E59</f>
        <v>4th Floor</v>
      </c>
      <c r="D59" s="628">
        <f>'INTERNAL PRICELIST'!D59</f>
        <v>0</v>
      </c>
      <c r="E59" s="596" t="str">
        <f>'Corrected and Updated TSF 3'!G59</f>
        <v>E-4F</v>
      </c>
      <c r="F59" s="401" t="str">
        <f>'Corrected and Updated TSF 3'!I59</f>
        <v>Studio</v>
      </c>
      <c r="G59" s="633">
        <f>'Corrected and Updated TSF 3'!J59</f>
        <v>22</v>
      </c>
      <c r="H59" s="633">
        <f>'Corrected and Updated TSF 3'!CG59</f>
        <v>3785891.1813492263</v>
      </c>
      <c r="I59" s="633">
        <f>SUM('Corrected and Updated TSF 3'!CI59:CJ59)</f>
        <v>482701.12562202633</v>
      </c>
      <c r="J59" s="633">
        <f>'Corrected and Updated TSF 3'!CH59</f>
        <v>0</v>
      </c>
      <c r="K59" s="633">
        <f>'Corrected and Updated TSF 3'!CK59</f>
        <v>4268592.3069712529</v>
      </c>
      <c r="L59" s="634">
        <f>'Corrected and Updated TSF 3'!CL59</f>
        <v>0.125</v>
      </c>
      <c r="M59" s="633">
        <f>'Corrected and Updated TSF 3'!CM59</f>
        <v>533574.03837140661</v>
      </c>
      <c r="N59" s="633">
        <f>'Corrected and Updated TSF 3'!CN59</f>
        <v>30000</v>
      </c>
      <c r="O59" s="633">
        <f>'Corrected and Updated TSF 3'!CO59</f>
        <v>503574.03837140661</v>
      </c>
      <c r="P59" s="401">
        <f>'Corrected and Updated TSF 3'!CP59</f>
        <v>29</v>
      </c>
      <c r="Q59" s="633">
        <f>'Corrected and Updated TSF 3'!CQ59</f>
        <v>17364.622012807125</v>
      </c>
      <c r="R59" s="633">
        <f>'Corrected and Updated TSF 3'!CS59</f>
        <v>3735018.2685998464</v>
      </c>
      <c r="S59" s="633">
        <f>'Corrected and Updated TSF 3'!CT59</f>
        <v>28957.556881625129</v>
      </c>
      <c r="T59" s="635">
        <f>'Corrected and Updated TSF 3'!CU59</f>
        <v>33571.400119678256</v>
      </c>
      <c r="U59" s="636">
        <f>'Corrected and Updated TSF 3'!CV59</f>
        <v>43366.729102090649</v>
      </c>
      <c r="V59" s="636">
        <f>'Corrected and Updated TSF 3'!CW59</f>
        <v>73957.838288378131</v>
      </c>
      <c r="W59" s="1102">
        <f>'Corrected and Updated TSF 3'!CX59</f>
        <v>303407.40576728969</v>
      </c>
      <c r="X59" s="1102">
        <f>'Corrected and Updated TSF 3'!CY59</f>
        <v>120056.83247978757</v>
      </c>
      <c r="Y59" s="1102">
        <f>'Corrected and Updated TSF 3'!CZ59</f>
        <v>86715.349711868883</v>
      </c>
      <c r="Z59" s="1102">
        <f>'Corrected and Updated TSF 3'!DA59</f>
        <v>65994.373299246014</v>
      </c>
      <c r="AA59" s="821">
        <f>L59-'Corrected and Updated TSF 3'!CL59</f>
        <v>0</v>
      </c>
      <c r="AB59" s="678">
        <f>N59-'Corrected and Updated TSF 3'!CN59</f>
        <v>0</v>
      </c>
      <c r="AC59" s="678">
        <f>Q59-'Corrected and Updated TSF 3'!CQ59</f>
        <v>0</v>
      </c>
      <c r="AD59" s="775"/>
      <c r="AE59" s="775"/>
      <c r="AF59" s="775"/>
      <c r="AG59" s="775"/>
      <c r="AH59" s="677"/>
      <c r="AI59" s="677"/>
      <c r="AJ59" s="677"/>
      <c r="AK59" s="677"/>
    </row>
    <row r="60" spans="1:37" s="119" customFormat="1" ht="12.75" hidden="1" customHeight="1">
      <c r="A60" s="631" t="str">
        <f t="shared" si="0"/>
        <v>E-4G</v>
      </c>
      <c r="B60" s="632" t="str">
        <f>'Corrected and Updated TSF 3'!EP60</f>
        <v>SOLD</v>
      </c>
      <c r="C60" s="820" t="str">
        <f>'Corrected and Updated TSF 3'!E60</f>
        <v>4th Floor</v>
      </c>
      <c r="D60" s="628">
        <f>'INTERNAL PRICELIST'!D60</f>
        <v>0</v>
      </c>
      <c r="E60" s="596" t="str">
        <f>'Corrected and Updated TSF 3'!G60</f>
        <v>E-4G</v>
      </c>
      <c r="F60" s="401" t="str">
        <f>'Corrected and Updated TSF 3'!I60</f>
        <v>Studio</v>
      </c>
      <c r="G60" s="633">
        <f>'Corrected and Updated TSF 3'!J60</f>
        <v>22</v>
      </c>
      <c r="H60" s="633">
        <f>'Corrected and Updated TSF 3'!CG60</f>
        <v>3785891.1813492263</v>
      </c>
      <c r="I60" s="633">
        <f>SUM('Corrected and Updated TSF 3'!CI60:CJ60)</f>
        <v>482701.12562202633</v>
      </c>
      <c r="J60" s="633">
        <f>'Corrected and Updated TSF 3'!CH60</f>
        <v>0</v>
      </c>
      <c r="K60" s="633">
        <f>'Corrected and Updated TSF 3'!CK60</f>
        <v>4268592.3069712529</v>
      </c>
      <c r="L60" s="634">
        <f>'Corrected and Updated TSF 3'!CL60</f>
        <v>0.125</v>
      </c>
      <c r="M60" s="633">
        <f>'Corrected and Updated TSF 3'!CM60</f>
        <v>533574.03837140661</v>
      </c>
      <c r="N60" s="633">
        <f>'Corrected and Updated TSF 3'!CN60</f>
        <v>30000</v>
      </c>
      <c r="O60" s="633">
        <f>'Corrected and Updated TSF 3'!CO60</f>
        <v>503574.03837140661</v>
      </c>
      <c r="P60" s="401">
        <f>'Corrected and Updated TSF 3'!CP60</f>
        <v>29</v>
      </c>
      <c r="Q60" s="633">
        <f>'Corrected and Updated TSF 3'!CQ60</f>
        <v>17364.622012807125</v>
      </c>
      <c r="R60" s="633">
        <f>'Corrected and Updated TSF 3'!CS60</f>
        <v>3735018.2685998464</v>
      </c>
      <c r="S60" s="633">
        <f>'Corrected and Updated TSF 3'!CT60</f>
        <v>28957.556881625129</v>
      </c>
      <c r="T60" s="635">
        <f>'Corrected and Updated TSF 3'!CU60</f>
        <v>33571.400119678256</v>
      </c>
      <c r="U60" s="636">
        <f>'Corrected and Updated TSF 3'!CV60</f>
        <v>43366.729102090649</v>
      </c>
      <c r="V60" s="636">
        <f>'Corrected and Updated TSF 3'!CW60</f>
        <v>73957.838288378131</v>
      </c>
      <c r="W60" s="1102">
        <f>'Corrected and Updated TSF 3'!CX60</f>
        <v>303407.40576728969</v>
      </c>
      <c r="X60" s="1102">
        <f>'Corrected and Updated TSF 3'!CY60</f>
        <v>120056.83247978757</v>
      </c>
      <c r="Y60" s="1102">
        <f>'Corrected and Updated TSF 3'!CZ60</f>
        <v>86715.349711868883</v>
      </c>
      <c r="Z60" s="1102">
        <f>'Corrected and Updated TSF 3'!DA60</f>
        <v>65994.373299246014</v>
      </c>
      <c r="AA60" s="821">
        <f>L60-'Corrected and Updated TSF 3'!CL60</f>
        <v>0</v>
      </c>
      <c r="AB60" s="678">
        <f>N60-'Corrected and Updated TSF 3'!CN60</f>
        <v>0</v>
      </c>
      <c r="AC60" s="678">
        <f>Q60-'Corrected and Updated TSF 3'!CQ60</f>
        <v>0</v>
      </c>
      <c r="AD60" s="775"/>
      <c r="AE60" s="775"/>
      <c r="AF60" s="775"/>
      <c r="AG60" s="775"/>
      <c r="AH60" s="677"/>
      <c r="AI60" s="677"/>
      <c r="AJ60" s="677"/>
      <c r="AK60" s="677"/>
    </row>
    <row r="61" spans="1:37" s="119" customFormat="1" ht="12.75" hidden="1" customHeight="1">
      <c r="A61" s="631" t="str">
        <f t="shared" si="0"/>
        <v>E-4H</v>
      </c>
      <c r="B61" s="632" t="str">
        <f>'Corrected and Updated TSF 3'!EP61</f>
        <v>SOLD</v>
      </c>
      <c r="C61" s="820" t="str">
        <f>'Corrected and Updated TSF 3'!E61</f>
        <v>4th Floor</v>
      </c>
      <c r="D61" s="628">
        <f>'INTERNAL PRICELIST'!D61</f>
        <v>0</v>
      </c>
      <c r="E61" s="596" t="str">
        <f>'Corrected and Updated TSF 3'!G61</f>
        <v>E-4H</v>
      </c>
      <c r="F61" s="401" t="str">
        <f>'Corrected and Updated TSF 3'!I61</f>
        <v>Studio</v>
      </c>
      <c r="G61" s="633">
        <f>'Corrected and Updated TSF 3'!J61</f>
        <v>22</v>
      </c>
      <c r="H61" s="633">
        <f>'Corrected and Updated TSF 3'!CG61</f>
        <v>3785891.1813492263</v>
      </c>
      <c r="I61" s="633">
        <f>SUM('Corrected and Updated TSF 3'!CI61:CJ61)</f>
        <v>482701.12562202633</v>
      </c>
      <c r="J61" s="633">
        <f>'Corrected and Updated TSF 3'!CH61</f>
        <v>0</v>
      </c>
      <c r="K61" s="633">
        <f>'Corrected and Updated TSF 3'!CK61</f>
        <v>4268592.3069712529</v>
      </c>
      <c r="L61" s="634">
        <f>'Corrected and Updated TSF 3'!CL61</f>
        <v>0.125</v>
      </c>
      <c r="M61" s="633">
        <f>'Corrected and Updated TSF 3'!CM61</f>
        <v>533574.03837140661</v>
      </c>
      <c r="N61" s="633">
        <f>'Corrected and Updated TSF 3'!CN61</f>
        <v>30000</v>
      </c>
      <c r="O61" s="633">
        <f>'Corrected and Updated TSF 3'!CO61</f>
        <v>503574.03837140661</v>
      </c>
      <c r="P61" s="401">
        <f>'Corrected and Updated TSF 3'!CP61</f>
        <v>29</v>
      </c>
      <c r="Q61" s="633">
        <f>'Corrected and Updated TSF 3'!CQ61</f>
        <v>17364.622012807125</v>
      </c>
      <c r="R61" s="633">
        <f>'Corrected and Updated TSF 3'!CS61</f>
        <v>3735018.2685998464</v>
      </c>
      <c r="S61" s="633">
        <f>'Corrected and Updated TSF 3'!CT61</f>
        <v>28957.556881625129</v>
      </c>
      <c r="T61" s="635">
        <f>'Corrected and Updated TSF 3'!CU61</f>
        <v>33571.400119678256</v>
      </c>
      <c r="U61" s="636">
        <f>'Corrected and Updated TSF 3'!CV61</f>
        <v>43366.729102090649</v>
      </c>
      <c r="V61" s="636">
        <f>'Corrected and Updated TSF 3'!CW61</f>
        <v>73957.838288378131</v>
      </c>
      <c r="W61" s="1102">
        <f>'Corrected and Updated TSF 3'!CX61</f>
        <v>303407.40576728969</v>
      </c>
      <c r="X61" s="1102">
        <f>'Corrected and Updated TSF 3'!CY61</f>
        <v>120056.83247978757</v>
      </c>
      <c r="Y61" s="1102">
        <f>'Corrected and Updated TSF 3'!CZ61</f>
        <v>86715.349711868883</v>
      </c>
      <c r="Z61" s="1102">
        <f>'Corrected and Updated TSF 3'!DA61</f>
        <v>65994.373299246014</v>
      </c>
      <c r="AA61" s="821">
        <f>L61-'Corrected and Updated TSF 3'!CL61</f>
        <v>0</v>
      </c>
      <c r="AB61" s="678">
        <f>N61-'Corrected and Updated TSF 3'!CN61</f>
        <v>0</v>
      </c>
      <c r="AC61" s="678">
        <f>Q61-'Corrected and Updated TSF 3'!CQ61</f>
        <v>0</v>
      </c>
      <c r="AD61" s="775"/>
      <c r="AE61" s="775"/>
      <c r="AF61" s="775"/>
      <c r="AG61" s="775"/>
      <c r="AH61" s="677"/>
      <c r="AI61" s="677"/>
      <c r="AJ61" s="677"/>
      <c r="AK61" s="677"/>
    </row>
    <row r="62" spans="1:37" s="119" customFormat="1" ht="12.75" hidden="1" customHeight="1">
      <c r="A62" s="631" t="str">
        <f t="shared" si="0"/>
        <v>E-4I</v>
      </c>
      <c r="B62" s="632" t="str">
        <f>'Corrected and Updated TSF 3'!EP62</f>
        <v>SOLD</v>
      </c>
      <c r="C62" s="820" t="str">
        <f>'Corrected and Updated TSF 3'!E62</f>
        <v>4th Floor</v>
      </c>
      <c r="D62" s="628">
        <f>'INTERNAL PRICELIST'!D62</f>
        <v>0</v>
      </c>
      <c r="E62" s="596" t="str">
        <f>'Corrected and Updated TSF 3'!G62</f>
        <v>E-4I</v>
      </c>
      <c r="F62" s="401" t="str">
        <f>'Corrected and Updated TSF 3'!I62</f>
        <v>Studio</v>
      </c>
      <c r="G62" s="633">
        <f>'Corrected and Updated TSF 3'!J62</f>
        <v>22</v>
      </c>
      <c r="H62" s="633">
        <f>'Corrected and Updated TSF 3'!CG62</f>
        <v>3930557.8826128272</v>
      </c>
      <c r="I62" s="633">
        <f>SUM('Corrected and Updated TSF 3'!CI62:CJ62)</f>
        <v>501146.13003313547</v>
      </c>
      <c r="J62" s="633">
        <f>'Corrected and Updated TSF 3'!CH62</f>
        <v>0</v>
      </c>
      <c r="K62" s="633">
        <f>'Corrected and Updated TSF 3'!CK62</f>
        <v>4431704.0126459626</v>
      </c>
      <c r="L62" s="634">
        <f>'Corrected and Updated TSF 3'!CL62</f>
        <v>0.125</v>
      </c>
      <c r="M62" s="633">
        <f>'Corrected and Updated TSF 3'!CM62</f>
        <v>553963.00158074533</v>
      </c>
      <c r="N62" s="633">
        <f>'Corrected and Updated TSF 3'!CN62</f>
        <v>30000</v>
      </c>
      <c r="O62" s="633">
        <f>'Corrected and Updated TSF 3'!CO62</f>
        <v>523963.00158074533</v>
      </c>
      <c r="P62" s="401">
        <f>'Corrected and Updated TSF 3'!CP62</f>
        <v>29</v>
      </c>
      <c r="Q62" s="633">
        <f>'Corrected and Updated TSF 3'!CQ62</f>
        <v>18067.689709680875</v>
      </c>
      <c r="R62" s="633">
        <f>'Corrected and Updated TSF 3'!CS62</f>
        <v>3877741.0110652172</v>
      </c>
      <c r="S62" s="633">
        <f>'Corrected and Updated TSF 3'!CT62</f>
        <v>30064.084784845218</v>
      </c>
      <c r="T62" s="635">
        <f>'Corrected and Updated TSF 3'!CU62</f>
        <v>34854.232477892911</v>
      </c>
      <c r="U62" s="636">
        <f>'Corrected and Updated TSF 3'!CV62</f>
        <v>45023.861159847198</v>
      </c>
      <c r="V62" s="636">
        <f>'Corrected and Updated TSF 3'!CW62</f>
        <v>76783.919648158102</v>
      </c>
      <c r="W62" s="1102">
        <f>'Corrected and Updated TSF 3'!CX62</f>
        <v>315001.22778402758</v>
      </c>
      <c r="X62" s="1102">
        <f>'Corrected and Updated TSF 3'!CY62</f>
        <v>124644.45137506121</v>
      </c>
      <c r="Y62" s="1102">
        <f>'Corrected and Updated TSF 3'!CZ62</f>
        <v>90028.921864585864</v>
      </c>
      <c r="Z62" s="1102">
        <f>'Corrected and Updated TSF 3'!DA62</f>
        <v>68516.154256446709</v>
      </c>
      <c r="AA62" s="821">
        <f>L62-'Corrected and Updated TSF 3'!CL62</f>
        <v>0</v>
      </c>
      <c r="AB62" s="678">
        <f>N62-'Corrected and Updated TSF 3'!CN62</f>
        <v>0</v>
      </c>
      <c r="AC62" s="678">
        <f>Q62-'Corrected and Updated TSF 3'!CQ62</f>
        <v>0</v>
      </c>
      <c r="AD62" s="775"/>
      <c r="AE62" s="775"/>
      <c r="AF62" s="775"/>
      <c r="AG62" s="775"/>
      <c r="AH62" s="677"/>
      <c r="AI62" s="677"/>
      <c r="AJ62" s="677"/>
      <c r="AK62" s="677"/>
    </row>
    <row r="63" spans="1:37" s="119" customFormat="1" ht="12.75" hidden="1" customHeight="1">
      <c r="A63" s="631" t="str">
        <f t="shared" si="0"/>
        <v>E-4J</v>
      </c>
      <c r="B63" s="632" t="str">
        <f>'Corrected and Updated TSF 3'!EP63</f>
        <v>SOLD</v>
      </c>
      <c r="C63" s="820" t="str">
        <f>'Corrected and Updated TSF 3'!E63</f>
        <v>4th Floor</v>
      </c>
      <c r="D63" s="628">
        <f>'INTERNAL PRICELIST'!D63</f>
        <v>0</v>
      </c>
      <c r="E63" s="596" t="str">
        <f>'Corrected and Updated TSF 3'!G63</f>
        <v>E-4J</v>
      </c>
      <c r="F63" s="401" t="str">
        <f>'Corrected and Updated TSF 3'!I63</f>
        <v>Studio</v>
      </c>
      <c r="G63" s="633">
        <f>'Corrected and Updated TSF 3'!J63</f>
        <v>22</v>
      </c>
      <c r="H63" s="633">
        <f>'Corrected and Updated TSF 3'!CG63</f>
        <v>3877805.1648159334</v>
      </c>
      <c r="I63" s="633">
        <f>SUM('Corrected and Updated TSF 3'!CI63:CJ63)</f>
        <v>494420.15851403144</v>
      </c>
      <c r="J63" s="633">
        <f>'Corrected and Updated TSF 3'!CH63</f>
        <v>0</v>
      </c>
      <c r="K63" s="633">
        <f>'Corrected and Updated TSF 3'!CK63</f>
        <v>4372225.3233299647</v>
      </c>
      <c r="L63" s="634">
        <f>'Corrected and Updated TSF 3'!CL63</f>
        <v>0.125</v>
      </c>
      <c r="M63" s="633">
        <f>'Corrected and Updated TSF 3'!CM63</f>
        <v>546528.16541624558</v>
      </c>
      <c r="N63" s="633">
        <f>'Corrected and Updated TSF 3'!CN63</f>
        <v>30000</v>
      </c>
      <c r="O63" s="633">
        <f>'Corrected and Updated TSF 3'!CO63</f>
        <v>516528.16541624558</v>
      </c>
      <c r="P63" s="401">
        <f>'Corrected and Updated TSF 3'!CP63</f>
        <v>29</v>
      </c>
      <c r="Q63" s="633">
        <f>'Corrected and Updated TSF 3'!CQ63</f>
        <v>17811.316048836055</v>
      </c>
      <c r="R63" s="633">
        <f>'Corrected and Updated TSF 3'!CS63</f>
        <v>3825697.1579137193</v>
      </c>
      <c r="S63" s="633">
        <f>'Corrected and Updated TSF 3'!CT63</f>
        <v>29660.589345306602</v>
      </c>
      <c r="T63" s="635">
        <f>'Corrected and Updated TSF 3'!CU63</f>
        <v>34386.447612526325</v>
      </c>
      <c r="U63" s="636">
        <f>'Corrected and Updated TSF 3'!CV63</f>
        <v>44419.587895637422</v>
      </c>
      <c r="V63" s="636">
        <f>'Corrected and Updated TSF 3'!CW63</f>
        <v>75753.388979100506</v>
      </c>
      <c r="W63" s="1102">
        <f>'Corrected and Updated TSF 3'!CX63</f>
        <v>310773.54017040064</v>
      </c>
      <c r="X63" s="1102">
        <f>'Corrected and Updated TSF 3'!CY63</f>
        <v>122971.57598059779</v>
      </c>
      <c r="Y63" s="1102">
        <f>'Corrected and Updated TSF 3'!CZ63</f>
        <v>88820.627660424681</v>
      </c>
      <c r="Z63" s="1102">
        <f>'Corrected and Updated TSF 3'!DA63</f>
        <v>67596.586740087907</v>
      </c>
      <c r="AA63" s="821">
        <f>L63-'Corrected and Updated TSF 3'!CL63</f>
        <v>0</v>
      </c>
      <c r="AB63" s="678">
        <f>N63-'Corrected and Updated TSF 3'!CN63</f>
        <v>0</v>
      </c>
      <c r="AC63" s="678">
        <f>Q63-'Corrected and Updated TSF 3'!CQ63</f>
        <v>0</v>
      </c>
      <c r="AD63" s="775"/>
      <c r="AE63" s="775"/>
      <c r="AF63" s="775"/>
      <c r="AG63" s="775"/>
      <c r="AH63" s="677"/>
      <c r="AI63" s="677"/>
      <c r="AJ63" s="677"/>
      <c r="AK63" s="677"/>
    </row>
    <row r="64" spans="1:37" s="119" customFormat="1" ht="12.75" hidden="1" customHeight="1">
      <c r="A64" s="631" t="str">
        <f t="shared" si="0"/>
        <v>E-4K</v>
      </c>
      <c r="B64" s="632" t="str">
        <f>'Corrected and Updated TSF 3'!EP64</f>
        <v>SOLD</v>
      </c>
      <c r="C64" s="820" t="str">
        <f>'Corrected and Updated TSF 3'!E64</f>
        <v>4th Floor</v>
      </c>
      <c r="D64" s="628">
        <f>'INTERNAL PRICELIST'!D64</f>
        <v>0</v>
      </c>
      <c r="E64" s="596" t="str">
        <f>'Corrected and Updated TSF 3'!G64</f>
        <v>E-4K</v>
      </c>
      <c r="F64" s="401" t="str">
        <f>'Corrected and Updated TSF 3'!I64</f>
        <v>Studio</v>
      </c>
      <c r="G64" s="633">
        <f>'Corrected and Updated TSF 3'!J64</f>
        <v>22</v>
      </c>
      <c r="H64" s="633">
        <f>'Corrected and Updated TSF 3'!CG64</f>
        <v>3822128.7747359099</v>
      </c>
      <c r="I64" s="633">
        <f>SUM('Corrected and Updated TSF 3'!CI64:CJ64)</f>
        <v>487321.41877882846</v>
      </c>
      <c r="J64" s="633">
        <f>'Corrected and Updated TSF 3'!CH64</f>
        <v>0</v>
      </c>
      <c r="K64" s="633">
        <f>'Corrected and Updated TSF 3'!CK64</f>
        <v>4309450.1935147392</v>
      </c>
      <c r="L64" s="634">
        <f>'Corrected and Updated TSF 3'!CL64</f>
        <v>0.125</v>
      </c>
      <c r="M64" s="633">
        <f>'Corrected and Updated TSF 3'!CM64</f>
        <v>538681.2741893424</v>
      </c>
      <c r="N64" s="633">
        <f>'Corrected and Updated TSF 3'!CN64</f>
        <v>30000</v>
      </c>
      <c r="O64" s="633">
        <f>'Corrected and Updated TSF 3'!CO64</f>
        <v>508681.2741893424</v>
      </c>
      <c r="P64" s="401">
        <f>'Corrected and Updated TSF 3'!CP64</f>
        <v>29</v>
      </c>
      <c r="Q64" s="633">
        <f>'Corrected and Updated TSF 3'!CQ64</f>
        <v>17540.733592735945</v>
      </c>
      <c r="R64" s="633">
        <f>'Corrected and Updated TSF 3'!CS64</f>
        <v>3770768.9193253969</v>
      </c>
      <c r="S64" s="633">
        <f>'Corrected and Updated TSF 3'!CT64</f>
        <v>29234.731296177142</v>
      </c>
      <c r="T64" s="635">
        <f>'Corrected and Updated TSF 3'!CU64</f>
        <v>33892.737075413213</v>
      </c>
      <c r="U64" s="636">
        <f>'Corrected and Updated TSF 3'!CV64</f>
        <v>43781.824470772634</v>
      </c>
      <c r="V64" s="636">
        <f>'Corrected and Updated TSF 3'!CW64</f>
        <v>74665.744021341437</v>
      </c>
      <c r="W64" s="1102">
        <f>'Corrected and Updated TSF 3'!CX64</f>
        <v>306311.54475968023</v>
      </c>
      <c r="X64" s="1102">
        <f>'Corrected and Updated TSF 3'!CY64</f>
        <v>121205.98613220325</v>
      </c>
      <c r="Y64" s="1102">
        <f>'Corrected and Updated TSF 3'!CZ64</f>
        <v>87545.367119321934</v>
      </c>
      <c r="Z64" s="1102">
        <f>'Corrected and Updated TSF 3'!DA64</f>
        <v>66626.05475834565</v>
      </c>
      <c r="AA64" s="821">
        <f>L64-'Corrected and Updated TSF 3'!CL64</f>
        <v>0</v>
      </c>
      <c r="AB64" s="678">
        <f>N64-'Corrected and Updated TSF 3'!CN64</f>
        <v>0</v>
      </c>
      <c r="AC64" s="678">
        <f>Q64-'Corrected and Updated TSF 3'!CQ64</f>
        <v>0</v>
      </c>
      <c r="AD64" s="775"/>
      <c r="AE64" s="775"/>
      <c r="AF64" s="775"/>
      <c r="AG64" s="775"/>
      <c r="AH64" s="677"/>
      <c r="AI64" s="677"/>
      <c r="AJ64" s="677"/>
      <c r="AK64" s="677"/>
    </row>
    <row r="65" spans="1:37" s="119" customFormat="1" ht="12.75" hidden="1" customHeight="1">
      <c r="A65" s="631" t="str">
        <f t="shared" si="0"/>
        <v>E-4L</v>
      </c>
      <c r="B65" s="632" t="str">
        <f>'Corrected and Updated TSF 3'!EP65</f>
        <v>SOLD</v>
      </c>
      <c r="C65" s="820" t="str">
        <f>'Corrected and Updated TSF 3'!E65</f>
        <v>4th Floor</v>
      </c>
      <c r="D65" s="628">
        <f>'INTERNAL PRICELIST'!D65</f>
        <v>0</v>
      </c>
      <c r="E65" s="596" t="str">
        <f>'Corrected and Updated TSF 3'!G65</f>
        <v>E-4L</v>
      </c>
      <c r="F65" s="401" t="str">
        <f>'Corrected and Updated TSF 3'!I65</f>
        <v>Studio</v>
      </c>
      <c r="G65" s="633">
        <f>'Corrected and Updated TSF 3'!J65</f>
        <v>22</v>
      </c>
      <c r="H65" s="633">
        <f>'Corrected and Updated TSF 3'!CG65</f>
        <v>3822128.7747359099</v>
      </c>
      <c r="I65" s="633">
        <f>SUM('Corrected and Updated TSF 3'!CI65:CJ65)</f>
        <v>487321.41877882846</v>
      </c>
      <c r="J65" s="633">
        <f>'Corrected and Updated TSF 3'!CH65</f>
        <v>0</v>
      </c>
      <c r="K65" s="633">
        <f>'Corrected and Updated TSF 3'!CK65</f>
        <v>4309450.1935147392</v>
      </c>
      <c r="L65" s="634">
        <f>'Corrected and Updated TSF 3'!CL65</f>
        <v>0.125</v>
      </c>
      <c r="M65" s="633">
        <f>'Corrected and Updated TSF 3'!CM65</f>
        <v>538681.2741893424</v>
      </c>
      <c r="N65" s="633">
        <f>'Corrected and Updated TSF 3'!CN65</f>
        <v>30000</v>
      </c>
      <c r="O65" s="633">
        <f>'Corrected and Updated TSF 3'!CO65</f>
        <v>508681.2741893424</v>
      </c>
      <c r="P65" s="401">
        <f>'Corrected and Updated TSF 3'!CP65</f>
        <v>29</v>
      </c>
      <c r="Q65" s="633">
        <f>'Corrected and Updated TSF 3'!CQ65</f>
        <v>17540.733592735945</v>
      </c>
      <c r="R65" s="633">
        <f>'Corrected and Updated TSF 3'!CS65</f>
        <v>3770768.9193253969</v>
      </c>
      <c r="S65" s="633">
        <f>'Corrected and Updated TSF 3'!CT65</f>
        <v>29234.731296177142</v>
      </c>
      <c r="T65" s="635">
        <f>'Corrected and Updated TSF 3'!CU65</f>
        <v>33892.737075413213</v>
      </c>
      <c r="U65" s="636">
        <f>'Corrected and Updated TSF 3'!CV65</f>
        <v>43781.824470772634</v>
      </c>
      <c r="V65" s="636">
        <f>'Corrected and Updated TSF 3'!CW65</f>
        <v>74665.744021341437</v>
      </c>
      <c r="W65" s="1102">
        <f>'Corrected and Updated TSF 3'!CX65</f>
        <v>306311.54475968023</v>
      </c>
      <c r="X65" s="1102">
        <f>'Corrected and Updated TSF 3'!CY65</f>
        <v>121205.98613220325</v>
      </c>
      <c r="Y65" s="1102">
        <f>'Corrected and Updated TSF 3'!CZ65</f>
        <v>87545.367119321934</v>
      </c>
      <c r="Z65" s="1102">
        <f>'Corrected and Updated TSF 3'!DA65</f>
        <v>66626.05475834565</v>
      </c>
      <c r="AA65" s="821">
        <f>L65-'Corrected and Updated TSF 3'!CL65</f>
        <v>0</v>
      </c>
      <c r="AB65" s="678">
        <f>N65-'Corrected and Updated TSF 3'!CN65</f>
        <v>0</v>
      </c>
      <c r="AC65" s="678">
        <f>Q65-'Corrected and Updated TSF 3'!CQ65</f>
        <v>0</v>
      </c>
      <c r="AD65" s="775"/>
      <c r="AE65" s="775"/>
      <c r="AF65" s="775"/>
      <c r="AG65" s="775"/>
      <c r="AH65" s="677"/>
      <c r="AI65" s="677"/>
      <c r="AJ65" s="677"/>
      <c r="AK65" s="677"/>
    </row>
    <row r="66" spans="1:37" s="119" customFormat="1" ht="12.75" customHeight="1">
      <c r="A66" s="631" t="str">
        <f t="shared" si="0"/>
        <v>E-4M</v>
      </c>
      <c r="B66" s="632" t="str">
        <f>'Corrected and Updated TSF 3'!EP66</f>
        <v>UNSOLD</v>
      </c>
      <c r="C66" s="820" t="str">
        <f>'Corrected and Updated TSF 3'!E66</f>
        <v>4th Floor</v>
      </c>
      <c r="D66" s="628">
        <f>'INTERNAL PRICELIST'!D66</f>
        <v>0</v>
      </c>
      <c r="E66" s="596" t="str">
        <f>'Corrected and Updated TSF 3'!G66</f>
        <v>E-4M</v>
      </c>
      <c r="F66" s="401" t="str">
        <f>'Corrected and Updated TSF 3'!I66</f>
        <v>Studio</v>
      </c>
      <c r="G66" s="633">
        <f>'Corrected and Updated TSF 3'!J66</f>
        <v>22</v>
      </c>
      <c r="H66" s="633">
        <f>'Corrected and Updated TSF 3'!CG66</f>
        <v>3926058.8273568875</v>
      </c>
      <c r="I66" s="633">
        <f>SUM('Corrected and Updated TSF 3'!CI66:CJ66)</f>
        <v>500572.50048800313</v>
      </c>
      <c r="J66" s="633">
        <f>'Corrected and Updated TSF 3'!CH66</f>
        <v>0</v>
      </c>
      <c r="K66" s="633">
        <f>'Corrected and Updated TSF 3'!CK66</f>
        <v>4426631.3278448908</v>
      </c>
      <c r="L66" s="634">
        <f>'Corrected and Updated TSF 3'!CL66</f>
        <v>0.125</v>
      </c>
      <c r="M66" s="633">
        <f>'Corrected and Updated TSF 3'!CM66</f>
        <v>553328.91598061135</v>
      </c>
      <c r="N66" s="633">
        <f>'Corrected and Updated TSF 3'!CN66</f>
        <v>30000</v>
      </c>
      <c r="O66" s="633">
        <f>'Corrected and Updated TSF 3'!CO66</f>
        <v>523328.91598061135</v>
      </c>
      <c r="P66" s="401">
        <f>'Corrected and Updated TSF 3'!CP66</f>
        <v>29</v>
      </c>
      <c r="Q66" s="633">
        <f>'Corrected and Updated TSF 3'!CQ66</f>
        <v>18045.824688986599</v>
      </c>
      <c r="R66" s="633">
        <f>'Corrected and Updated TSF 3'!CS66</f>
        <v>3873302.4118642793</v>
      </c>
      <c r="S66" s="633">
        <f>'Corrected and Updated TSF 3'!CT66</f>
        <v>30029.672372483958</v>
      </c>
      <c r="T66" s="635">
        <f>'Corrected and Updated TSF 3'!CU66</f>
        <v>34814.337093445058</v>
      </c>
      <c r="U66" s="636">
        <f>'Corrected and Updated TSF 3'!CV66</f>
        <v>44972.325259539015</v>
      </c>
      <c r="V66" s="636">
        <f>'Corrected and Updated TSF 3'!CW66</f>
        <v>76696.030064139311</v>
      </c>
      <c r="W66" s="1102">
        <f>'Corrected and Updated TSF 3'!CX66</f>
        <v>314640.66626278439</v>
      </c>
      <c r="X66" s="1102">
        <f>'Corrected and Updated TSF 3'!CY66</f>
        <v>124501.77893750131</v>
      </c>
      <c r="Y66" s="1102">
        <f>'Corrected and Updated TSF 3'!CZ66</f>
        <v>89925.871583633838</v>
      </c>
      <c r="Z66" s="1102">
        <f>'Corrected and Updated TSF 3'!DA66</f>
        <v>68437.728248452317</v>
      </c>
      <c r="AA66" s="821">
        <f>L66-'Corrected and Updated TSF 3'!CL66</f>
        <v>0</v>
      </c>
      <c r="AB66" s="678">
        <f>N66-'Corrected and Updated TSF 3'!CN66</f>
        <v>0</v>
      </c>
      <c r="AC66" s="678">
        <f>Q66-'Corrected and Updated TSF 3'!CQ66</f>
        <v>0</v>
      </c>
      <c r="AD66" s="775"/>
      <c r="AE66" s="775"/>
      <c r="AF66" s="775"/>
      <c r="AG66" s="775"/>
      <c r="AH66" s="677"/>
      <c r="AI66" s="677"/>
      <c r="AJ66" s="677"/>
      <c r="AK66" s="677"/>
    </row>
    <row r="67" spans="1:37" s="119" customFormat="1" ht="12.75" hidden="1" customHeight="1">
      <c r="A67" s="631" t="str">
        <f t="shared" si="0"/>
        <v>E-4N</v>
      </c>
      <c r="B67" s="632" t="str">
        <f>'Corrected and Updated TSF 3'!EP67</f>
        <v>SOLD</v>
      </c>
      <c r="C67" s="820" t="str">
        <f>'Corrected and Updated TSF 3'!E67</f>
        <v>4th Floor</v>
      </c>
      <c r="D67" s="628">
        <f>'INTERNAL PRICELIST'!D67</f>
        <v>0</v>
      </c>
      <c r="E67" s="596" t="str">
        <f>'Corrected and Updated TSF 3'!G67</f>
        <v>E-4N</v>
      </c>
      <c r="F67" s="401" t="str">
        <f>'Corrected and Updated TSF 3'!I67</f>
        <v>Studio</v>
      </c>
      <c r="G67" s="633">
        <f>'Corrected and Updated TSF 3'!J67</f>
        <v>22</v>
      </c>
      <c r="H67" s="633">
        <f>'Corrected and Updated TSF 3'!CG67</f>
        <v>3785891.1813492263</v>
      </c>
      <c r="I67" s="633">
        <f>SUM('Corrected and Updated TSF 3'!CI67:CJ67)</f>
        <v>482701.12562202633</v>
      </c>
      <c r="J67" s="633">
        <f>'Corrected and Updated TSF 3'!CH67</f>
        <v>0</v>
      </c>
      <c r="K67" s="633">
        <f>'Corrected and Updated TSF 3'!CK67</f>
        <v>4268592.3069712529</v>
      </c>
      <c r="L67" s="634">
        <f>'Corrected and Updated TSF 3'!CL67</f>
        <v>0.125</v>
      </c>
      <c r="M67" s="633">
        <f>'Corrected and Updated TSF 3'!CM67</f>
        <v>533574.03837140661</v>
      </c>
      <c r="N67" s="633">
        <f>'Corrected and Updated TSF 3'!CN67</f>
        <v>30000</v>
      </c>
      <c r="O67" s="633">
        <f>'Corrected and Updated TSF 3'!CO67</f>
        <v>503574.03837140661</v>
      </c>
      <c r="P67" s="401">
        <f>'Corrected and Updated TSF 3'!CP67</f>
        <v>29</v>
      </c>
      <c r="Q67" s="633">
        <f>'Corrected and Updated TSF 3'!CQ67</f>
        <v>17364.622012807125</v>
      </c>
      <c r="R67" s="633">
        <f>'Corrected and Updated TSF 3'!CS67</f>
        <v>3735018.2685998464</v>
      </c>
      <c r="S67" s="633">
        <f>'Corrected and Updated TSF 3'!CT67</f>
        <v>28957.556881625129</v>
      </c>
      <c r="T67" s="635">
        <f>'Corrected and Updated TSF 3'!CU67</f>
        <v>33571.400119678256</v>
      </c>
      <c r="U67" s="636">
        <f>'Corrected and Updated TSF 3'!CV67</f>
        <v>43366.729102090649</v>
      </c>
      <c r="V67" s="636">
        <f>'Corrected and Updated TSF 3'!CW67</f>
        <v>73957.838288378131</v>
      </c>
      <c r="W67" s="1102">
        <f>'Corrected and Updated TSF 3'!CX67</f>
        <v>303407.40576728969</v>
      </c>
      <c r="X67" s="1102">
        <f>'Corrected and Updated TSF 3'!CY67</f>
        <v>120056.83247978757</v>
      </c>
      <c r="Y67" s="1102">
        <f>'Corrected and Updated TSF 3'!CZ67</f>
        <v>86715.349711868883</v>
      </c>
      <c r="Z67" s="1102">
        <f>'Corrected and Updated TSF 3'!DA67</f>
        <v>65994.373299246014</v>
      </c>
      <c r="AA67" s="821">
        <f>L67-'Corrected and Updated TSF 3'!CL67</f>
        <v>0</v>
      </c>
      <c r="AB67" s="678">
        <f>N67-'Corrected and Updated TSF 3'!CN67</f>
        <v>0</v>
      </c>
      <c r="AC67" s="678">
        <f>Q67-'Corrected and Updated TSF 3'!CQ67</f>
        <v>0</v>
      </c>
      <c r="AD67" s="775"/>
      <c r="AE67" s="775"/>
      <c r="AF67" s="775"/>
      <c r="AG67" s="775"/>
      <c r="AH67" s="677"/>
      <c r="AI67" s="677"/>
      <c r="AJ67" s="677"/>
      <c r="AK67" s="677"/>
    </row>
    <row r="68" spans="1:37" s="119" customFormat="1" ht="12.75" hidden="1" customHeight="1">
      <c r="A68" s="631" t="str">
        <f t="shared" si="0"/>
        <v>E-4O</v>
      </c>
      <c r="B68" s="632" t="str">
        <f>'Corrected and Updated TSF 3'!EP68</f>
        <v>SOLD</v>
      </c>
      <c r="C68" s="820" t="str">
        <f>'Corrected and Updated TSF 3'!E68</f>
        <v>4th Floor</v>
      </c>
      <c r="D68" s="628">
        <f>'INTERNAL PRICELIST'!D68</f>
        <v>0</v>
      </c>
      <c r="E68" s="596" t="str">
        <f>'Corrected and Updated TSF 3'!G68</f>
        <v>E-4O</v>
      </c>
      <c r="F68" s="401" t="str">
        <f>'Corrected and Updated TSF 3'!I68</f>
        <v>Studio</v>
      </c>
      <c r="G68" s="633">
        <f>'Corrected and Updated TSF 3'!J68</f>
        <v>22</v>
      </c>
      <c r="H68" s="633">
        <f>'Corrected and Updated TSF 3'!CG68</f>
        <v>3822128.7747359099</v>
      </c>
      <c r="I68" s="633">
        <f>SUM('Corrected and Updated TSF 3'!CI68:CJ68)</f>
        <v>487321.41877882846</v>
      </c>
      <c r="J68" s="633">
        <f>'Corrected and Updated TSF 3'!CH68</f>
        <v>0</v>
      </c>
      <c r="K68" s="633">
        <f>'Corrected and Updated TSF 3'!CK68</f>
        <v>4309450.1935147392</v>
      </c>
      <c r="L68" s="634">
        <f>'Corrected and Updated TSF 3'!CL68</f>
        <v>0.125</v>
      </c>
      <c r="M68" s="633">
        <f>'Corrected and Updated TSF 3'!CM68</f>
        <v>538681.2741893424</v>
      </c>
      <c r="N68" s="633">
        <f>'Corrected and Updated TSF 3'!CN68</f>
        <v>30000</v>
      </c>
      <c r="O68" s="633">
        <f>'Corrected and Updated TSF 3'!CO68</f>
        <v>508681.2741893424</v>
      </c>
      <c r="P68" s="401">
        <f>'Corrected and Updated TSF 3'!CP68</f>
        <v>29</v>
      </c>
      <c r="Q68" s="633">
        <f>'Corrected and Updated TSF 3'!CQ68</f>
        <v>17540.733592735945</v>
      </c>
      <c r="R68" s="633">
        <f>'Corrected and Updated TSF 3'!CS68</f>
        <v>3770768.9193253969</v>
      </c>
      <c r="S68" s="633">
        <f>'Corrected and Updated TSF 3'!CT68</f>
        <v>29234.731296177142</v>
      </c>
      <c r="T68" s="635">
        <f>'Corrected and Updated TSF 3'!CU68</f>
        <v>33892.737075413213</v>
      </c>
      <c r="U68" s="636">
        <f>'Corrected and Updated TSF 3'!CV68</f>
        <v>43781.824470772634</v>
      </c>
      <c r="V68" s="636">
        <f>'Corrected and Updated TSF 3'!CW68</f>
        <v>74665.744021341437</v>
      </c>
      <c r="W68" s="1102">
        <f>'Corrected and Updated TSF 3'!CX68</f>
        <v>306311.54475968023</v>
      </c>
      <c r="X68" s="1102">
        <f>'Corrected and Updated TSF 3'!CY68</f>
        <v>121205.98613220325</v>
      </c>
      <c r="Y68" s="1102">
        <f>'Corrected and Updated TSF 3'!CZ68</f>
        <v>87545.367119321934</v>
      </c>
      <c r="Z68" s="1102">
        <f>'Corrected and Updated TSF 3'!DA68</f>
        <v>66626.05475834565</v>
      </c>
      <c r="AA68" s="821">
        <f>L68-'Corrected and Updated TSF 3'!CL68</f>
        <v>0</v>
      </c>
      <c r="AB68" s="678">
        <f>N68-'Corrected and Updated TSF 3'!CN68</f>
        <v>0</v>
      </c>
      <c r="AC68" s="678">
        <f>Q68-'Corrected and Updated TSF 3'!CQ68</f>
        <v>0</v>
      </c>
      <c r="AD68" s="775"/>
      <c r="AE68" s="775"/>
      <c r="AF68" s="775"/>
      <c r="AG68" s="775"/>
      <c r="AH68" s="677"/>
      <c r="AI68" s="677"/>
      <c r="AJ68" s="677"/>
      <c r="AK68" s="677"/>
    </row>
    <row r="69" spans="1:37" s="119" customFormat="1" ht="12.75" customHeight="1">
      <c r="A69" s="631" t="str">
        <f t="shared" si="0"/>
        <v>W-5A</v>
      </c>
      <c r="B69" s="632" t="str">
        <f>'Corrected and Updated TSF 3'!EP69</f>
        <v>UNSOLD</v>
      </c>
      <c r="C69" s="820" t="str">
        <f>'Corrected and Updated TSF 3'!E69</f>
        <v>5th Floor</v>
      </c>
      <c r="D69" s="628">
        <f>'INTERNAL PRICELIST'!D69</f>
        <v>0</v>
      </c>
      <c r="E69" s="596" t="str">
        <f>'Corrected and Updated TSF 3'!G69</f>
        <v>W-5A</v>
      </c>
      <c r="F69" s="401" t="str">
        <f>'Corrected and Updated TSF 3'!I69</f>
        <v>Studio</v>
      </c>
      <c r="G69" s="633">
        <f>'Corrected and Updated TSF 3'!J69</f>
        <v>22</v>
      </c>
      <c r="H69" s="633">
        <f>'Corrected and Updated TSF 3'!CG69</f>
        <v>3951839.5100673786</v>
      </c>
      <c r="I69" s="633">
        <f>SUM('Corrected and Updated TSF 3'!CI69:CJ69)</f>
        <v>503859.5375335908</v>
      </c>
      <c r="J69" s="633">
        <f>'Corrected and Updated TSF 3'!CH69</f>
        <v>0</v>
      </c>
      <c r="K69" s="633">
        <f>'Corrected and Updated TSF 3'!CK69</f>
        <v>4455699.0476009687</v>
      </c>
      <c r="L69" s="634">
        <f>'Corrected and Updated TSF 3'!CL69</f>
        <v>0.125</v>
      </c>
      <c r="M69" s="633">
        <f>'Corrected and Updated TSF 3'!CM69</f>
        <v>556962.38095012109</v>
      </c>
      <c r="N69" s="633">
        <f>'Corrected and Updated TSF 3'!CN69</f>
        <v>30000</v>
      </c>
      <c r="O69" s="633">
        <f>'Corrected and Updated TSF 3'!CO69</f>
        <v>526962.38095012109</v>
      </c>
      <c r="P69" s="401">
        <f>'Corrected and Updated TSF 3'!CP69</f>
        <v>29</v>
      </c>
      <c r="Q69" s="633">
        <f>'Corrected and Updated TSF 3'!CQ69</f>
        <v>18171.116584486936</v>
      </c>
      <c r="R69" s="633">
        <f>'Corrected and Updated TSF 3'!CS69</f>
        <v>3898736.6666508475</v>
      </c>
      <c r="S69" s="633">
        <f>'Corrected and Updated TSF 3'!CT69</f>
        <v>30226.863879126813</v>
      </c>
      <c r="T69" s="635">
        <f>'Corrected and Updated TSF 3'!CU69</f>
        <v>35042.947365947366</v>
      </c>
      <c r="U69" s="636">
        <f>'Corrected and Updated TSF 3'!CV69</f>
        <v>45267.638523871756</v>
      </c>
      <c r="V69" s="636">
        <f>'Corrected and Updated TSF 3'!CW69</f>
        <v>77199.65879289397</v>
      </c>
      <c r="W69" s="1102">
        <f>'Corrected and Updated TSF 3'!CX69</f>
        <v>316706.77162223955</v>
      </c>
      <c r="X69" s="1102">
        <f>'Corrected and Updated TSF 3'!CY69</f>
        <v>125319.32676366066</v>
      </c>
      <c r="Y69" s="1102">
        <f>'Corrected and Updated TSF 3'!CZ69</f>
        <v>90516.374799379788</v>
      </c>
      <c r="Z69" s="1102">
        <f>'Corrected and Updated TSF 3'!DA69</f>
        <v>68887.128380998969</v>
      </c>
      <c r="AA69" s="821">
        <f>L69-'Corrected and Updated TSF 3'!CL69</f>
        <v>0</v>
      </c>
      <c r="AB69" s="678">
        <f>N69-'Corrected and Updated TSF 3'!CN69</f>
        <v>0</v>
      </c>
      <c r="AC69" s="678">
        <f>Q69-'Corrected and Updated TSF 3'!CQ69</f>
        <v>0</v>
      </c>
      <c r="AD69" s="775"/>
      <c r="AE69" s="775"/>
      <c r="AF69" s="775"/>
      <c r="AG69" s="775"/>
      <c r="AH69" s="677"/>
      <c r="AI69" s="677"/>
      <c r="AJ69" s="677"/>
      <c r="AK69" s="677"/>
    </row>
    <row r="70" spans="1:37" s="119" customFormat="1" ht="12.75" customHeight="1">
      <c r="A70" s="631" t="str">
        <f t="shared" si="0"/>
        <v>W-5B</v>
      </c>
      <c r="B70" s="632" t="str">
        <f>'Corrected and Updated TSF 3'!EP70</f>
        <v>UNSOLD</v>
      </c>
      <c r="C70" s="820" t="str">
        <f>'Corrected and Updated TSF 3'!E70</f>
        <v>5th Floor</v>
      </c>
      <c r="D70" s="628">
        <f>'INTERNAL PRICELIST'!D70</f>
        <v>0</v>
      </c>
      <c r="E70" s="596" t="str">
        <f>'Corrected and Updated TSF 3'!G70</f>
        <v>W-5B</v>
      </c>
      <c r="F70" s="401" t="str">
        <f>'Corrected and Updated TSF 3'!I70</f>
        <v>Studio</v>
      </c>
      <c r="G70" s="633">
        <f>'Corrected and Updated TSF 3'!J70</f>
        <v>22</v>
      </c>
      <c r="H70" s="633">
        <f>'Corrected and Updated TSF 3'!CG70</f>
        <v>3870708.0822031982</v>
      </c>
      <c r="I70" s="633">
        <f>SUM('Corrected and Updated TSF 3'!CI70:CJ70)</f>
        <v>493515.28048090776</v>
      </c>
      <c r="J70" s="633">
        <f>'Corrected and Updated TSF 3'!CH70</f>
        <v>0</v>
      </c>
      <c r="K70" s="633">
        <f>'Corrected and Updated TSF 3'!CK70</f>
        <v>4364223.3626841055</v>
      </c>
      <c r="L70" s="634">
        <f>'Corrected and Updated TSF 3'!CL70</f>
        <v>0.125</v>
      </c>
      <c r="M70" s="633">
        <f>'Corrected and Updated TSF 3'!CM70</f>
        <v>545527.92033551319</v>
      </c>
      <c r="N70" s="633">
        <f>'Corrected and Updated TSF 3'!CN70</f>
        <v>30000</v>
      </c>
      <c r="O70" s="633">
        <f>'Corrected and Updated TSF 3'!CO70</f>
        <v>515527.92033551319</v>
      </c>
      <c r="P70" s="401">
        <f>'Corrected and Updated TSF 3'!CP70</f>
        <v>29</v>
      </c>
      <c r="Q70" s="633">
        <f>'Corrected and Updated TSF 3'!CQ70</f>
        <v>17776.824839155626</v>
      </c>
      <c r="R70" s="633">
        <f>'Corrected and Updated TSF 3'!CS70</f>
        <v>3818695.4423485924</v>
      </c>
      <c r="S70" s="633">
        <f>'Corrected and Updated TSF 3'!CT70</f>
        <v>29606.305119055112</v>
      </c>
      <c r="T70" s="635">
        <f>'Corrected and Updated TSF 3'!CU70</f>
        <v>34323.51421358229</v>
      </c>
      <c r="U70" s="636">
        <f>'Corrected and Updated TSF 3'!CV70</f>
        <v>44338.292041018591</v>
      </c>
      <c r="V70" s="636">
        <f>'Corrected and Updated TSF 3'!CW70</f>
        <v>75614.746619072364</v>
      </c>
      <c r="W70" s="1102">
        <f>'Corrected and Updated TSF 3'!CX70</f>
        <v>310204.76855999243</v>
      </c>
      <c r="X70" s="1102">
        <f>'Corrected and Updated TSF 3'!CY70</f>
        <v>122746.51582500484</v>
      </c>
      <c r="Y70" s="1102">
        <f>'Corrected and Updated TSF 3'!CZ70</f>
        <v>88658.06989761068</v>
      </c>
      <c r="Z70" s="1102">
        <f>'Corrected and Updated TSF 3'!DA70</f>
        <v>67472.87279881358</v>
      </c>
      <c r="AA70" s="821">
        <f>L70-'Corrected and Updated TSF 3'!CL70</f>
        <v>0</v>
      </c>
      <c r="AB70" s="678">
        <f>N70-'Corrected and Updated TSF 3'!CN70</f>
        <v>0</v>
      </c>
      <c r="AC70" s="678">
        <f>Q70-'Corrected and Updated TSF 3'!CQ70</f>
        <v>0</v>
      </c>
      <c r="AD70" s="775"/>
      <c r="AE70" s="775"/>
      <c r="AF70" s="775"/>
      <c r="AG70" s="775"/>
      <c r="AH70" s="677"/>
      <c r="AI70" s="677"/>
      <c r="AJ70" s="677"/>
      <c r="AK70" s="677"/>
    </row>
    <row r="71" spans="1:37" s="119" customFormat="1" ht="12.75" hidden="1" customHeight="1">
      <c r="A71" s="631" t="str">
        <f t="shared" si="0"/>
        <v>W-5C</v>
      </c>
      <c r="B71" s="632" t="str">
        <f>'Corrected and Updated TSF 3'!EP71</f>
        <v>SOLD</v>
      </c>
      <c r="C71" s="820" t="str">
        <f>'Corrected and Updated TSF 3'!E71</f>
        <v>5th Floor</v>
      </c>
      <c r="D71" s="628">
        <f>'INTERNAL PRICELIST'!D71</f>
        <v>0</v>
      </c>
      <c r="E71" s="596" t="str">
        <f>'Corrected and Updated TSF 3'!G71</f>
        <v>W-5C</v>
      </c>
      <c r="F71" s="401" t="str">
        <f>'Corrected and Updated TSF 3'!I71</f>
        <v>Studio</v>
      </c>
      <c r="G71" s="633">
        <f>'Corrected and Updated TSF 3'!J71</f>
        <v>22</v>
      </c>
      <c r="H71" s="633">
        <f>'Corrected and Updated TSF 3'!CG71</f>
        <v>3819074.4480643929</v>
      </c>
      <c r="I71" s="633">
        <f>SUM('Corrected and Updated TSF 3'!CI71:CJ71)</f>
        <v>486931.99212821008</v>
      </c>
      <c r="J71" s="633">
        <f>'Corrected and Updated TSF 3'!CH71</f>
        <v>0</v>
      </c>
      <c r="K71" s="633">
        <f>'Corrected and Updated TSF 3'!CK71</f>
        <v>4306006.4401926026</v>
      </c>
      <c r="L71" s="634">
        <f>'Corrected and Updated TSF 3'!CL71</f>
        <v>0.125</v>
      </c>
      <c r="M71" s="633">
        <f>'Corrected and Updated TSF 3'!CM71</f>
        <v>538250.80502407532</v>
      </c>
      <c r="N71" s="633">
        <f>'Corrected and Updated TSF 3'!CN71</f>
        <v>30000</v>
      </c>
      <c r="O71" s="633">
        <f>'Corrected and Updated TSF 3'!CO71</f>
        <v>508250.80502407532</v>
      </c>
      <c r="P71" s="401">
        <f>'Corrected and Updated TSF 3'!CP71</f>
        <v>29</v>
      </c>
      <c r="Q71" s="633">
        <f>'Corrected and Updated TSF 3'!CQ71</f>
        <v>17525.889828416392</v>
      </c>
      <c r="R71" s="633">
        <f>'Corrected and Updated TSF 3'!CS71</f>
        <v>3767755.6351685273</v>
      </c>
      <c r="S71" s="633">
        <f>'Corrected and Updated TSF 3'!CT71</f>
        <v>29211.36933618176</v>
      </c>
      <c r="T71" s="635">
        <f>'Corrected and Updated TSF 3'!CU71</f>
        <v>33865.652825530153</v>
      </c>
      <c r="U71" s="636">
        <f>'Corrected and Updated TSF 3'!CV71</f>
        <v>43746.837686681865</v>
      </c>
      <c r="V71" s="636">
        <f>'Corrected and Updated TSF 3'!CW71</f>
        <v>74606.077383492782</v>
      </c>
      <c r="W71" s="1102">
        <f>'Corrected and Updated TSF 3'!CX71</f>
        <v>306066.76610985096</v>
      </c>
      <c r="X71" s="1102">
        <f>'Corrected and Updated TSF 3'!CY71</f>
        <v>121109.12841285109</v>
      </c>
      <c r="Y71" s="1102">
        <f>'Corrected and Updated TSF 3'!CZ71</f>
        <v>87475.408160448584</v>
      </c>
      <c r="Z71" s="1102">
        <f>'Corrected and Updated TSF 3'!DA71</f>
        <v>66572.812769898912</v>
      </c>
      <c r="AA71" s="821">
        <f>L71-'Corrected and Updated TSF 3'!CL71</f>
        <v>0</v>
      </c>
      <c r="AB71" s="678">
        <f>N71-'Corrected and Updated TSF 3'!CN71</f>
        <v>0</v>
      </c>
      <c r="AC71" s="678">
        <f>Q71-'Corrected and Updated TSF 3'!CQ71</f>
        <v>0</v>
      </c>
      <c r="AD71" s="775"/>
      <c r="AE71" s="775"/>
      <c r="AF71" s="775"/>
      <c r="AG71" s="775"/>
      <c r="AH71" s="677"/>
      <c r="AI71" s="677"/>
      <c r="AJ71" s="677"/>
      <c r="AK71" s="677"/>
    </row>
    <row r="72" spans="1:37" s="119" customFormat="1" ht="12.75" hidden="1" customHeight="1">
      <c r="A72" s="631" t="str">
        <f t="shared" ref="A72:A135" si="1">E72</f>
        <v>W-5D</v>
      </c>
      <c r="B72" s="632" t="str">
        <f>'Corrected and Updated TSF 3'!EP72</f>
        <v>SOLD</v>
      </c>
      <c r="C72" s="820" t="str">
        <f>'Corrected and Updated TSF 3'!E72</f>
        <v>5th Floor</v>
      </c>
      <c r="D72" s="628">
        <f>'INTERNAL PRICELIST'!D72</f>
        <v>0</v>
      </c>
      <c r="E72" s="596" t="str">
        <f>'Corrected and Updated TSF 3'!G72</f>
        <v>W-5D</v>
      </c>
      <c r="F72" s="401" t="str">
        <f>'Corrected and Updated TSF 3'!I72</f>
        <v>Studio</v>
      </c>
      <c r="G72" s="633">
        <f>'Corrected and Updated TSF 3'!J72</f>
        <v>22</v>
      </c>
      <c r="H72" s="633">
        <f>'Corrected and Updated TSF 3'!CG72</f>
        <v>3819074.4480643929</v>
      </c>
      <c r="I72" s="633">
        <f>SUM('Corrected and Updated TSF 3'!CI72:CJ72)</f>
        <v>486931.99212821008</v>
      </c>
      <c r="J72" s="633">
        <f>'Corrected and Updated TSF 3'!CH72</f>
        <v>0</v>
      </c>
      <c r="K72" s="633">
        <f>'Corrected and Updated TSF 3'!CK72</f>
        <v>4306006.4401926026</v>
      </c>
      <c r="L72" s="634">
        <f>'Corrected and Updated TSF 3'!CL72</f>
        <v>0.125</v>
      </c>
      <c r="M72" s="633">
        <f>'Corrected and Updated TSF 3'!CM72</f>
        <v>538250.80502407532</v>
      </c>
      <c r="N72" s="633">
        <f>'Corrected and Updated TSF 3'!CN72</f>
        <v>30000</v>
      </c>
      <c r="O72" s="633">
        <f>'Corrected and Updated TSF 3'!CO72</f>
        <v>508250.80502407532</v>
      </c>
      <c r="P72" s="401">
        <f>'Corrected and Updated TSF 3'!CP72</f>
        <v>29</v>
      </c>
      <c r="Q72" s="633">
        <f>'Corrected and Updated TSF 3'!CQ72</f>
        <v>17525.889828416392</v>
      </c>
      <c r="R72" s="633">
        <f>'Corrected and Updated TSF 3'!CS72</f>
        <v>3767755.6351685273</v>
      </c>
      <c r="S72" s="633">
        <f>'Corrected and Updated TSF 3'!CT72</f>
        <v>29211.36933618176</v>
      </c>
      <c r="T72" s="635">
        <f>'Corrected and Updated TSF 3'!CU72</f>
        <v>33865.652825530153</v>
      </c>
      <c r="U72" s="636">
        <f>'Corrected and Updated TSF 3'!CV72</f>
        <v>43746.837686681865</v>
      </c>
      <c r="V72" s="636">
        <f>'Corrected and Updated TSF 3'!CW72</f>
        <v>74606.077383492782</v>
      </c>
      <c r="W72" s="1102">
        <f>'Corrected and Updated TSF 3'!CX72</f>
        <v>306066.76610985096</v>
      </c>
      <c r="X72" s="1102">
        <f>'Corrected and Updated TSF 3'!CY72</f>
        <v>121109.12841285109</v>
      </c>
      <c r="Y72" s="1102">
        <f>'Corrected and Updated TSF 3'!CZ72</f>
        <v>87475.408160448584</v>
      </c>
      <c r="Z72" s="1102">
        <f>'Corrected and Updated TSF 3'!DA72</f>
        <v>66572.812769898912</v>
      </c>
      <c r="AA72" s="821">
        <f>L72-'Corrected and Updated TSF 3'!CL72</f>
        <v>0</v>
      </c>
      <c r="AB72" s="678">
        <f>N72-'Corrected and Updated TSF 3'!CN72</f>
        <v>0</v>
      </c>
      <c r="AC72" s="678">
        <f>Q72-'Corrected and Updated TSF 3'!CQ72</f>
        <v>0</v>
      </c>
      <c r="AD72" s="775"/>
      <c r="AE72" s="775"/>
      <c r="AF72" s="775"/>
      <c r="AG72" s="775"/>
      <c r="AH72" s="677"/>
      <c r="AI72" s="677"/>
      <c r="AJ72" s="677"/>
      <c r="AK72" s="677"/>
    </row>
    <row r="73" spans="1:37" s="119" customFormat="1" ht="12.75" hidden="1" customHeight="1">
      <c r="A73" s="631" t="str">
        <f t="shared" si="1"/>
        <v>W-5E</v>
      </c>
      <c r="B73" s="632" t="str">
        <f>'Corrected and Updated TSF 3'!EP73</f>
        <v>SOLD</v>
      </c>
      <c r="C73" s="820" t="str">
        <f>'Corrected and Updated TSF 3'!E73</f>
        <v>5th Floor</v>
      </c>
      <c r="D73" s="628">
        <f>'INTERNAL PRICELIST'!D73</f>
        <v>0</v>
      </c>
      <c r="E73" s="596" t="str">
        <f>'Corrected and Updated TSF 3'!G73</f>
        <v>W-5E</v>
      </c>
      <c r="F73" s="401" t="str">
        <f>'Corrected and Updated TSF 3'!I73</f>
        <v>Studio</v>
      </c>
      <c r="G73" s="633">
        <f>'Corrected and Updated TSF 3'!J73</f>
        <v>22</v>
      </c>
      <c r="H73" s="633">
        <f>'Corrected and Updated TSF 3'!CG73</f>
        <v>3819074.4480643929</v>
      </c>
      <c r="I73" s="633">
        <f>SUM('Corrected and Updated TSF 3'!CI73:CJ73)</f>
        <v>486931.99212821008</v>
      </c>
      <c r="J73" s="633">
        <f>'Corrected and Updated TSF 3'!CH73</f>
        <v>0</v>
      </c>
      <c r="K73" s="633">
        <f>'Corrected and Updated TSF 3'!CK73</f>
        <v>4306006.4401926026</v>
      </c>
      <c r="L73" s="634">
        <f>'Corrected and Updated TSF 3'!CL73</f>
        <v>0.125</v>
      </c>
      <c r="M73" s="633">
        <f>'Corrected and Updated TSF 3'!CM73</f>
        <v>538250.80502407532</v>
      </c>
      <c r="N73" s="633">
        <f>'Corrected and Updated TSF 3'!CN73</f>
        <v>30000</v>
      </c>
      <c r="O73" s="633">
        <f>'Corrected and Updated TSF 3'!CO73</f>
        <v>508250.80502407532</v>
      </c>
      <c r="P73" s="401">
        <f>'Corrected and Updated TSF 3'!CP73</f>
        <v>29</v>
      </c>
      <c r="Q73" s="633">
        <f>'Corrected and Updated TSF 3'!CQ73</f>
        <v>17525.889828416392</v>
      </c>
      <c r="R73" s="633">
        <f>'Corrected and Updated TSF 3'!CS73</f>
        <v>3767755.6351685273</v>
      </c>
      <c r="S73" s="633">
        <f>'Corrected and Updated TSF 3'!CT73</f>
        <v>29211.36933618176</v>
      </c>
      <c r="T73" s="635">
        <f>'Corrected and Updated TSF 3'!CU73</f>
        <v>33865.652825530153</v>
      </c>
      <c r="U73" s="636">
        <f>'Corrected and Updated TSF 3'!CV73</f>
        <v>43746.837686681865</v>
      </c>
      <c r="V73" s="636">
        <f>'Corrected and Updated TSF 3'!CW73</f>
        <v>74606.077383492782</v>
      </c>
      <c r="W73" s="1102">
        <f>'Corrected and Updated TSF 3'!CX73</f>
        <v>306066.76610985096</v>
      </c>
      <c r="X73" s="1102">
        <f>'Corrected and Updated TSF 3'!CY73</f>
        <v>121109.12841285109</v>
      </c>
      <c r="Y73" s="1102">
        <f>'Corrected and Updated TSF 3'!CZ73</f>
        <v>87475.408160448584</v>
      </c>
      <c r="Z73" s="1102">
        <f>'Corrected and Updated TSF 3'!DA73</f>
        <v>66572.812769898912</v>
      </c>
      <c r="AA73" s="821">
        <f>L73-'Corrected and Updated TSF 3'!CL73</f>
        <v>0</v>
      </c>
      <c r="AB73" s="678">
        <f>N73-'Corrected and Updated TSF 3'!CN73</f>
        <v>0</v>
      </c>
      <c r="AC73" s="678">
        <f>Q73-'Corrected and Updated TSF 3'!CQ73</f>
        <v>0</v>
      </c>
      <c r="AD73" s="775"/>
      <c r="AE73" s="775"/>
      <c r="AF73" s="775"/>
      <c r="AG73" s="775"/>
      <c r="AH73" s="677"/>
      <c r="AI73" s="677"/>
      <c r="AJ73" s="677"/>
      <c r="AK73" s="677"/>
    </row>
    <row r="74" spans="1:37" s="119" customFormat="1" ht="12.75" hidden="1" customHeight="1">
      <c r="A74" s="631" t="str">
        <f t="shared" si="1"/>
        <v>W-5F</v>
      </c>
      <c r="B74" s="632" t="str">
        <f>'Corrected and Updated TSF 3'!EP74</f>
        <v>SOLD</v>
      </c>
      <c r="C74" s="820" t="str">
        <f>'Corrected and Updated TSF 3'!E74</f>
        <v>5th Floor</v>
      </c>
      <c r="D74" s="628">
        <f>'INTERNAL PRICELIST'!D74</f>
        <v>0</v>
      </c>
      <c r="E74" s="596" t="str">
        <f>'Corrected and Updated TSF 3'!G74</f>
        <v>W-5F</v>
      </c>
      <c r="F74" s="401" t="str">
        <f>'Corrected and Updated TSF 3'!I74</f>
        <v>Studio</v>
      </c>
      <c r="G74" s="633">
        <f>'Corrected and Updated TSF 3'!J74</f>
        <v>22</v>
      </c>
      <c r="H74" s="633">
        <f>'Corrected and Updated TSF 3'!CG74</f>
        <v>3819074.4480643929</v>
      </c>
      <c r="I74" s="633">
        <f>SUM('Corrected and Updated TSF 3'!CI74:CJ74)</f>
        <v>486931.99212821008</v>
      </c>
      <c r="J74" s="633">
        <f>'Corrected and Updated TSF 3'!CH74</f>
        <v>0</v>
      </c>
      <c r="K74" s="633">
        <f>'Corrected and Updated TSF 3'!CK74</f>
        <v>4306006.4401926026</v>
      </c>
      <c r="L74" s="634">
        <f>'Corrected and Updated TSF 3'!CL74</f>
        <v>0.125</v>
      </c>
      <c r="M74" s="633">
        <f>'Corrected and Updated TSF 3'!CM74</f>
        <v>538250.80502407532</v>
      </c>
      <c r="N74" s="633">
        <f>'Corrected and Updated TSF 3'!CN74</f>
        <v>30000</v>
      </c>
      <c r="O74" s="633">
        <f>'Corrected and Updated TSF 3'!CO74</f>
        <v>508250.80502407532</v>
      </c>
      <c r="P74" s="401">
        <f>'Corrected and Updated TSF 3'!CP74</f>
        <v>29</v>
      </c>
      <c r="Q74" s="633">
        <f>'Corrected and Updated TSF 3'!CQ74</f>
        <v>17525.889828416392</v>
      </c>
      <c r="R74" s="633">
        <f>'Corrected and Updated TSF 3'!CS74</f>
        <v>3767755.6351685273</v>
      </c>
      <c r="S74" s="633">
        <f>'Corrected and Updated TSF 3'!CT74</f>
        <v>29211.36933618176</v>
      </c>
      <c r="T74" s="635">
        <f>'Corrected and Updated TSF 3'!CU74</f>
        <v>33865.652825530153</v>
      </c>
      <c r="U74" s="636">
        <f>'Corrected and Updated TSF 3'!CV74</f>
        <v>43746.837686681865</v>
      </c>
      <c r="V74" s="636">
        <f>'Corrected and Updated TSF 3'!CW74</f>
        <v>74606.077383492782</v>
      </c>
      <c r="W74" s="1102">
        <f>'Corrected and Updated TSF 3'!CX74</f>
        <v>306066.76610985096</v>
      </c>
      <c r="X74" s="1102">
        <f>'Corrected and Updated TSF 3'!CY74</f>
        <v>121109.12841285109</v>
      </c>
      <c r="Y74" s="1102">
        <f>'Corrected and Updated TSF 3'!CZ74</f>
        <v>87475.408160448584</v>
      </c>
      <c r="Z74" s="1102">
        <f>'Corrected and Updated TSF 3'!DA74</f>
        <v>66572.812769898912</v>
      </c>
      <c r="AA74" s="821">
        <f>L74-'Corrected and Updated TSF 3'!CL74</f>
        <v>0</v>
      </c>
      <c r="AB74" s="678">
        <f>N74-'Corrected and Updated TSF 3'!CN74</f>
        <v>0</v>
      </c>
      <c r="AC74" s="678">
        <f>Q74-'Corrected and Updated TSF 3'!CQ74</f>
        <v>0</v>
      </c>
      <c r="AD74" s="775"/>
      <c r="AE74" s="775"/>
      <c r="AF74" s="775"/>
      <c r="AG74" s="775"/>
      <c r="AH74" s="677"/>
      <c r="AI74" s="677"/>
      <c r="AJ74" s="677"/>
      <c r="AK74" s="677"/>
    </row>
    <row r="75" spans="1:37" s="119" customFormat="1" ht="12.75" hidden="1" customHeight="1">
      <c r="A75" s="631" t="str">
        <f t="shared" si="1"/>
        <v>W-5G</v>
      </c>
      <c r="B75" s="632" t="str">
        <f>'Corrected and Updated TSF 3'!EP75</f>
        <v>SOLD</v>
      </c>
      <c r="C75" s="820" t="str">
        <f>'Corrected and Updated TSF 3'!E75</f>
        <v>5th Floor</v>
      </c>
      <c r="D75" s="628">
        <f>'INTERNAL PRICELIST'!D75</f>
        <v>0</v>
      </c>
      <c r="E75" s="596" t="str">
        <f>'Corrected and Updated TSF 3'!G75</f>
        <v>W-5G</v>
      </c>
      <c r="F75" s="401" t="str">
        <f>'Corrected and Updated TSF 3'!I75</f>
        <v>Studio</v>
      </c>
      <c r="G75" s="633">
        <f>'Corrected and Updated TSF 3'!J75</f>
        <v>22</v>
      </c>
      <c r="H75" s="633">
        <f>'Corrected and Updated TSF 3'!CG75</f>
        <v>3819074.4480643929</v>
      </c>
      <c r="I75" s="633">
        <f>SUM('Corrected and Updated TSF 3'!CI75:CJ75)</f>
        <v>486931.99212821008</v>
      </c>
      <c r="J75" s="633">
        <f>'Corrected and Updated TSF 3'!CH75</f>
        <v>0</v>
      </c>
      <c r="K75" s="633">
        <f>'Corrected and Updated TSF 3'!CK75</f>
        <v>4306006.4401926026</v>
      </c>
      <c r="L75" s="634">
        <f>'Corrected and Updated TSF 3'!CL75</f>
        <v>0.125</v>
      </c>
      <c r="M75" s="633">
        <f>'Corrected and Updated TSF 3'!CM75</f>
        <v>538250.80502407532</v>
      </c>
      <c r="N75" s="633">
        <f>'Corrected and Updated TSF 3'!CN75</f>
        <v>30000</v>
      </c>
      <c r="O75" s="633">
        <f>'Corrected and Updated TSF 3'!CO75</f>
        <v>508250.80502407532</v>
      </c>
      <c r="P75" s="401">
        <f>'Corrected and Updated TSF 3'!CP75</f>
        <v>29</v>
      </c>
      <c r="Q75" s="633">
        <f>'Corrected and Updated TSF 3'!CQ75</f>
        <v>17525.889828416392</v>
      </c>
      <c r="R75" s="633">
        <f>'Corrected and Updated TSF 3'!CS75</f>
        <v>3767755.6351685273</v>
      </c>
      <c r="S75" s="633">
        <f>'Corrected and Updated TSF 3'!CT75</f>
        <v>29211.36933618176</v>
      </c>
      <c r="T75" s="635">
        <f>'Corrected and Updated TSF 3'!CU75</f>
        <v>33865.652825530153</v>
      </c>
      <c r="U75" s="636">
        <f>'Corrected and Updated TSF 3'!CV75</f>
        <v>43746.837686681865</v>
      </c>
      <c r="V75" s="636">
        <f>'Corrected and Updated TSF 3'!CW75</f>
        <v>74606.077383492782</v>
      </c>
      <c r="W75" s="1102">
        <f>'Corrected and Updated TSF 3'!CX75</f>
        <v>306066.76610985096</v>
      </c>
      <c r="X75" s="1102">
        <f>'Corrected and Updated TSF 3'!CY75</f>
        <v>121109.12841285109</v>
      </c>
      <c r="Y75" s="1102">
        <f>'Corrected and Updated TSF 3'!CZ75</f>
        <v>87475.408160448584</v>
      </c>
      <c r="Z75" s="1102">
        <f>'Corrected and Updated TSF 3'!DA75</f>
        <v>66572.812769898912</v>
      </c>
      <c r="AA75" s="821">
        <f>L75-'Corrected and Updated TSF 3'!CL75</f>
        <v>0</v>
      </c>
      <c r="AB75" s="678">
        <f>N75-'Corrected and Updated TSF 3'!CN75</f>
        <v>0</v>
      </c>
      <c r="AC75" s="678">
        <f>Q75-'Corrected and Updated TSF 3'!CQ75</f>
        <v>0</v>
      </c>
      <c r="AD75" s="775"/>
      <c r="AE75" s="775"/>
      <c r="AF75" s="775"/>
      <c r="AG75" s="775"/>
      <c r="AH75" s="677"/>
      <c r="AI75" s="677"/>
      <c r="AJ75" s="677"/>
      <c r="AK75" s="677"/>
    </row>
    <row r="76" spans="1:37" s="119" customFormat="1" hidden="1">
      <c r="A76" s="631" t="str">
        <f t="shared" si="1"/>
        <v>W-5H</v>
      </c>
      <c r="B76" s="632" t="str">
        <f>'Corrected and Updated TSF 3'!EP76</f>
        <v>SOLD</v>
      </c>
      <c r="C76" s="820" t="str">
        <f>'Corrected and Updated TSF 3'!E76</f>
        <v>5th Floor</v>
      </c>
      <c r="D76" s="628">
        <f>'INTERNAL PRICELIST'!D76</f>
        <v>0</v>
      </c>
      <c r="E76" s="596" t="str">
        <f>'Corrected and Updated TSF 3'!G76</f>
        <v>W-5H</v>
      </c>
      <c r="F76" s="401" t="str">
        <f>'Corrected and Updated TSF 3'!I76</f>
        <v>Studio</v>
      </c>
      <c r="G76" s="633">
        <f>'Corrected and Updated TSF 3'!J76</f>
        <v>22</v>
      </c>
      <c r="H76" s="633">
        <f>'Corrected and Updated TSF 3'!CG76</f>
        <v>3819074.4480643929</v>
      </c>
      <c r="I76" s="633">
        <f>SUM('Corrected and Updated TSF 3'!CI76:CJ76)</f>
        <v>486931.99212821008</v>
      </c>
      <c r="J76" s="633">
        <f>'Corrected and Updated TSF 3'!CH76</f>
        <v>0</v>
      </c>
      <c r="K76" s="633">
        <f>'Corrected and Updated TSF 3'!CK76</f>
        <v>4306006.4401926026</v>
      </c>
      <c r="L76" s="634">
        <f>'Corrected and Updated TSF 3'!CL76</f>
        <v>0.125</v>
      </c>
      <c r="M76" s="633">
        <f>'Corrected and Updated TSF 3'!CM76</f>
        <v>538250.80502407532</v>
      </c>
      <c r="N76" s="633">
        <f>'Corrected and Updated TSF 3'!CN76</f>
        <v>30000</v>
      </c>
      <c r="O76" s="633">
        <f>'Corrected and Updated TSF 3'!CO76</f>
        <v>508250.80502407532</v>
      </c>
      <c r="P76" s="401">
        <f>'Corrected and Updated TSF 3'!CP76</f>
        <v>29</v>
      </c>
      <c r="Q76" s="633">
        <f>'Corrected and Updated TSF 3'!CQ76</f>
        <v>17525.889828416392</v>
      </c>
      <c r="R76" s="633">
        <f>'Corrected and Updated TSF 3'!CS76</f>
        <v>3767755.6351685273</v>
      </c>
      <c r="S76" s="633">
        <f>'Corrected and Updated TSF 3'!CT76</f>
        <v>29211.36933618176</v>
      </c>
      <c r="T76" s="635">
        <f>'Corrected and Updated TSF 3'!CU76</f>
        <v>33865.652825530153</v>
      </c>
      <c r="U76" s="636">
        <f>'Corrected and Updated TSF 3'!CV76</f>
        <v>43746.837686681865</v>
      </c>
      <c r="V76" s="636">
        <f>'Corrected and Updated TSF 3'!CW76</f>
        <v>74606.077383492782</v>
      </c>
      <c r="W76" s="1102">
        <f>'Corrected and Updated TSF 3'!CX76</f>
        <v>306066.76610985096</v>
      </c>
      <c r="X76" s="1102">
        <f>'Corrected and Updated TSF 3'!CY76</f>
        <v>121109.12841285109</v>
      </c>
      <c r="Y76" s="1102">
        <f>'Corrected and Updated TSF 3'!CZ76</f>
        <v>87475.408160448584</v>
      </c>
      <c r="Z76" s="1102">
        <f>'Corrected and Updated TSF 3'!DA76</f>
        <v>66572.812769898912</v>
      </c>
      <c r="AA76" s="821">
        <f>L76-'Corrected and Updated TSF 3'!CL76</f>
        <v>0</v>
      </c>
      <c r="AB76" s="678">
        <f>N76-'Corrected and Updated TSF 3'!CN76</f>
        <v>0</v>
      </c>
      <c r="AC76" s="678">
        <f>Q76-'Corrected and Updated TSF 3'!CQ76</f>
        <v>0</v>
      </c>
      <c r="AD76" s="775"/>
      <c r="AE76" s="775"/>
      <c r="AF76" s="775"/>
      <c r="AG76" s="775"/>
      <c r="AH76" s="677"/>
      <c r="AI76" s="677"/>
      <c r="AJ76" s="677"/>
      <c r="AK76" s="677"/>
    </row>
    <row r="77" spans="1:37" s="119" customFormat="1" ht="12.75" hidden="1" customHeight="1">
      <c r="A77" s="631" t="str">
        <f t="shared" si="1"/>
        <v>W-5I</v>
      </c>
      <c r="B77" s="632" t="str">
        <f>'Corrected and Updated TSF 3'!EP77</f>
        <v>SOLD</v>
      </c>
      <c r="C77" s="820" t="str">
        <f>'Corrected and Updated TSF 3'!E77</f>
        <v>5th Floor</v>
      </c>
      <c r="D77" s="628">
        <f>'INTERNAL PRICELIST'!D77</f>
        <v>0</v>
      </c>
      <c r="E77" s="596" t="str">
        <f>'Corrected and Updated TSF 3'!G77</f>
        <v>W-5I</v>
      </c>
      <c r="F77" s="401" t="str">
        <f>'Corrected and Updated TSF 3'!I77</f>
        <v>Studio</v>
      </c>
      <c r="G77" s="633">
        <f>'Corrected and Updated TSF 3'!J77</f>
        <v>22</v>
      </c>
      <c r="H77" s="633">
        <f>'Corrected and Updated TSF 3'!CG77</f>
        <v>3819074.4480643929</v>
      </c>
      <c r="I77" s="633">
        <f>SUM('Corrected and Updated TSF 3'!CI77:CJ77)</f>
        <v>486931.99212821008</v>
      </c>
      <c r="J77" s="633">
        <f>'Corrected and Updated TSF 3'!CH77</f>
        <v>0</v>
      </c>
      <c r="K77" s="633">
        <f>'Corrected and Updated TSF 3'!CK77</f>
        <v>4306006.4401926026</v>
      </c>
      <c r="L77" s="634">
        <f>'Corrected and Updated TSF 3'!CL77</f>
        <v>0.125</v>
      </c>
      <c r="M77" s="633">
        <f>'Corrected and Updated TSF 3'!CM77</f>
        <v>538250.80502407532</v>
      </c>
      <c r="N77" s="633">
        <f>'Corrected and Updated TSF 3'!CN77</f>
        <v>30000</v>
      </c>
      <c r="O77" s="633">
        <f>'Corrected and Updated TSF 3'!CO77</f>
        <v>508250.80502407532</v>
      </c>
      <c r="P77" s="401">
        <f>'Corrected and Updated TSF 3'!CP77</f>
        <v>29</v>
      </c>
      <c r="Q77" s="633">
        <f>'Corrected and Updated TSF 3'!CQ77</f>
        <v>17525.889828416392</v>
      </c>
      <c r="R77" s="633">
        <f>'Corrected and Updated TSF 3'!CS77</f>
        <v>3767755.6351685273</v>
      </c>
      <c r="S77" s="633">
        <f>'Corrected and Updated TSF 3'!CT77</f>
        <v>29211.36933618176</v>
      </c>
      <c r="T77" s="635">
        <f>'Corrected and Updated TSF 3'!CU77</f>
        <v>33865.652825530153</v>
      </c>
      <c r="U77" s="636">
        <f>'Corrected and Updated TSF 3'!CV77</f>
        <v>43746.837686681865</v>
      </c>
      <c r="V77" s="636">
        <f>'Corrected and Updated TSF 3'!CW77</f>
        <v>74606.077383492782</v>
      </c>
      <c r="W77" s="1102">
        <f>'Corrected and Updated TSF 3'!CX77</f>
        <v>306066.76610985096</v>
      </c>
      <c r="X77" s="1102">
        <f>'Corrected and Updated TSF 3'!CY77</f>
        <v>121109.12841285109</v>
      </c>
      <c r="Y77" s="1102">
        <f>'Corrected and Updated TSF 3'!CZ77</f>
        <v>87475.408160448584</v>
      </c>
      <c r="Z77" s="1102">
        <f>'Corrected and Updated TSF 3'!DA77</f>
        <v>66572.812769898912</v>
      </c>
      <c r="AA77" s="821">
        <f>L77-'Corrected and Updated TSF 3'!CL77</f>
        <v>0</v>
      </c>
      <c r="AB77" s="678">
        <f>N77-'Corrected and Updated TSF 3'!CN77</f>
        <v>0</v>
      </c>
      <c r="AC77" s="678">
        <f>Q77-'Corrected and Updated TSF 3'!CQ77</f>
        <v>0</v>
      </c>
      <c r="AD77" s="775"/>
      <c r="AE77" s="775"/>
      <c r="AF77" s="775"/>
      <c r="AG77" s="775"/>
      <c r="AH77" s="677"/>
      <c r="AI77" s="677"/>
      <c r="AJ77" s="677"/>
      <c r="AK77" s="677"/>
    </row>
    <row r="78" spans="1:37" s="119" customFormat="1" hidden="1">
      <c r="A78" s="631" t="str">
        <f t="shared" si="1"/>
        <v>W-5J</v>
      </c>
      <c r="B78" s="632" t="str">
        <f>'Corrected and Updated TSF 3'!EP78</f>
        <v>SOLD</v>
      </c>
      <c r="C78" s="820" t="str">
        <f>'Corrected and Updated TSF 3'!E78</f>
        <v>5th Floor</v>
      </c>
      <c r="D78" s="628">
        <f>'INTERNAL PRICELIST'!D78</f>
        <v>0</v>
      </c>
      <c r="E78" s="596" t="str">
        <f>'Corrected and Updated TSF 3'!G78</f>
        <v>W-5J</v>
      </c>
      <c r="F78" s="401" t="str">
        <f>'Corrected and Updated TSF 3'!I78</f>
        <v>Studio</v>
      </c>
      <c r="G78" s="633">
        <f>'Corrected and Updated TSF 3'!J78</f>
        <v>22</v>
      </c>
      <c r="H78" s="633">
        <f>'Corrected and Updated TSF 3'!CG78</f>
        <v>3856632.0414510756</v>
      </c>
      <c r="I78" s="633">
        <f>SUM('Corrected and Updated TSF 3'!CI78:CJ78)</f>
        <v>491720.58528501214</v>
      </c>
      <c r="J78" s="633">
        <f>'Corrected and Updated TSF 3'!CH78</f>
        <v>0</v>
      </c>
      <c r="K78" s="633">
        <f>'Corrected and Updated TSF 3'!CK78</f>
        <v>4348352.6267360877</v>
      </c>
      <c r="L78" s="634">
        <f>'Corrected and Updated TSF 3'!CL78</f>
        <v>0.125</v>
      </c>
      <c r="M78" s="633">
        <f>'Corrected and Updated TSF 3'!CM78</f>
        <v>543544.07834201097</v>
      </c>
      <c r="N78" s="633">
        <f>'Corrected and Updated TSF 3'!CN78</f>
        <v>30000</v>
      </c>
      <c r="O78" s="633">
        <f>'Corrected and Updated TSF 3'!CO78</f>
        <v>513544.07834201097</v>
      </c>
      <c r="P78" s="401">
        <f>'Corrected and Updated TSF 3'!CP78</f>
        <v>29</v>
      </c>
      <c r="Q78" s="633">
        <f>'Corrected and Updated TSF 3'!CQ78</f>
        <v>17708.416494552101</v>
      </c>
      <c r="R78" s="633">
        <f>'Corrected and Updated TSF 3'!CS78</f>
        <v>3804808.5483940765</v>
      </c>
      <c r="S78" s="633">
        <f>'Corrected and Updated TSF 3'!CT78</f>
        <v>29498.640178035228</v>
      </c>
      <c r="T78" s="635">
        <f>'Corrected and Updated TSF 3'!CU78</f>
        <v>34198.69488477581</v>
      </c>
      <c r="U78" s="636">
        <f>'Corrected and Updated TSF 3'!CV78</f>
        <v>44177.053427205676</v>
      </c>
      <c r="V78" s="636">
        <f>'Corrected and Updated TSF 3'!CW78</f>
        <v>75339.769474770234</v>
      </c>
      <c r="W78" s="1102">
        <f>'Corrected and Updated TSF 3'!CX78</f>
        <v>309076.69202437636</v>
      </c>
      <c r="X78" s="1102">
        <f>'Corrected and Updated TSF 3'!CY78</f>
        <v>122300.14143503785</v>
      </c>
      <c r="Y78" s="1102">
        <f>'Corrected and Updated TSF 3'!CZ78</f>
        <v>88335.659997824871</v>
      </c>
      <c r="Z78" s="1102">
        <f>'Corrected and Updated TSF 3'!DA78</f>
        <v>67227.504022091394</v>
      </c>
      <c r="AA78" s="821">
        <f>L78-'Corrected and Updated TSF 3'!CL78</f>
        <v>0</v>
      </c>
      <c r="AB78" s="678">
        <f>N78-'Corrected and Updated TSF 3'!CN78</f>
        <v>0</v>
      </c>
      <c r="AC78" s="678">
        <f>Q78-'Corrected and Updated TSF 3'!CQ78</f>
        <v>0</v>
      </c>
      <c r="AD78" s="775"/>
      <c r="AE78" s="775"/>
      <c r="AF78" s="775"/>
      <c r="AG78" s="775"/>
      <c r="AH78" s="677"/>
      <c r="AI78" s="677"/>
      <c r="AJ78" s="677"/>
      <c r="AK78" s="677"/>
    </row>
    <row r="79" spans="1:37" s="119" customFormat="1" ht="12.75" hidden="1" customHeight="1">
      <c r="A79" s="631" t="str">
        <f t="shared" si="1"/>
        <v>W-5K</v>
      </c>
      <c r="B79" s="632" t="str">
        <f>'Corrected and Updated TSF 3'!EP79</f>
        <v>SOLD</v>
      </c>
      <c r="C79" s="820" t="str">
        <f>'Corrected and Updated TSF 3'!E79</f>
        <v>5th Floor</v>
      </c>
      <c r="D79" s="628">
        <f>'INTERNAL PRICELIST'!D79</f>
        <v>0</v>
      </c>
      <c r="E79" s="596" t="str">
        <f>'Corrected and Updated TSF 3'!G79</f>
        <v>W-5K</v>
      </c>
      <c r="F79" s="401" t="str">
        <f>'Corrected and Updated TSF 3'!I79</f>
        <v>Studio</v>
      </c>
      <c r="G79" s="633">
        <f>'Corrected and Updated TSF 3'!J79</f>
        <v>22</v>
      </c>
      <c r="H79" s="633">
        <f>'Corrected and Updated TSF 3'!CG79</f>
        <v>3819074.4480643929</v>
      </c>
      <c r="I79" s="633">
        <f>SUM('Corrected and Updated TSF 3'!CI79:CJ79)</f>
        <v>486931.99212821008</v>
      </c>
      <c r="J79" s="633">
        <f>'Corrected and Updated TSF 3'!CH79</f>
        <v>0</v>
      </c>
      <c r="K79" s="633">
        <f>'Corrected and Updated TSF 3'!CK79</f>
        <v>4306006.4401926026</v>
      </c>
      <c r="L79" s="634">
        <f>'Corrected and Updated TSF 3'!CL79</f>
        <v>0.125</v>
      </c>
      <c r="M79" s="633">
        <f>'Corrected and Updated TSF 3'!CM79</f>
        <v>538250.80502407532</v>
      </c>
      <c r="N79" s="633">
        <f>'Corrected and Updated TSF 3'!CN79</f>
        <v>30000</v>
      </c>
      <c r="O79" s="633">
        <f>'Corrected and Updated TSF 3'!CO79</f>
        <v>508250.80502407532</v>
      </c>
      <c r="P79" s="401">
        <f>'Corrected and Updated TSF 3'!CP79</f>
        <v>29</v>
      </c>
      <c r="Q79" s="633">
        <f>'Corrected and Updated TSF 3'!CQ79</f>
        <v>17525.889828416392</v>
      </c>
      <c r="R79" s="633">
        <f>'Corrected and Updated TSF 3'!CS79</f>
        <v>3767755.6351685273</v>
      </c>
      <c r="S79" s="633">
        <f>'Corrected and Updated TSF 3'!CT79</f>
        <v>29211.36933618176</v>
      </c>
      <c r="T79" s="635">
        <f>'Corrected and Updated TSF 3'!CU79</f>
        <v>33865.652825530153</v>
      </c>
      <c r="U79" s="636">
        <f>'Corrected and Updated TSF 3'!CV79</f>
        <v>43746.837686681865</v>
      </c>
      <c r="V79" s="636">
        <f>'Corrected and Updated TSF 3'!CW79</f>
        <v>74606.077383492782</v>
      </c>
      <c r="W79" s="1102">
        <f>'Corrected and Updated TSF 3'!CX79</f>
        <v>306066.76610985096</v>
      </c>
      <c r="X79" s="1102">
        <f>'Corrected and Updated TSF 3'!CY79</f>
        <v>121109.12841285109</v>
      </c>
      <c r="Y79" s="1102">
        <f>'Corrected and Updated TSF 3'!CZ79</f>
        <v>87475.408160448584</v>
      </c>
      <c r="Z79" s="1102">
        <f>'Corrected and Updated TSF 3'!DA79</f>
        <v>66572.812769898912</v>
      </c>
      <c r="AA79" s="821">
        <f>L79-'Corrected and Updated TSF 3'!CL79</f>
        <v>0</v>
      </c>
      <c r="AB79" s="678">
        <f>N79-'Corrected and Updated TSF 3'!CN79</f>
        <v>0</v>
      </c>
      <c r="AC79" s="678">
        <f>Q79-'Corrected and Updated TSF 3'!CQ79</f>
        <v>0</v>
      </c>
      <c r="AD79" s="775"/>
      <c r="AE79" s="775"/>
      <c r="AF79" s="775"/>
      <c r="AG79" s="775"/>
      <c r="AH79" s="677"/>
      <c r="AI79" s="677"/>
      <c r="AJ79" s="677"/>
      <c r="AK79" s="677"/>
    </row>
    <row r="80" spans="1:37" s="119" customFormat="1" ht="12.75" hidden="1" customHeight="1">
      <c r="A80" s="631" t="str">
        <f t="shared" si="1"/>
        <v>W-5L</v>
      </c>
      <c r="B80" s="632" t="str">
        <f>'Corrected and Updated TSF 3'!EP80</f>
        <v>SOLD</v>
      </c>
      <c r="C80" s="820" t="str">
        <f>'Corrected and Updated TSF 3'!E80</f>
        <v>5th Floor</v>
      </c>
      <c r="D80" s="628">
        <f>'INTERNAL PRICELIST'!D80</f>
        <v>0</v>
      </c>
      <c r="E80" s="596" t="str">
        <f>'Corrected and Updated TSF 3'!G80</f>
        <v>W-5L</v>
      </c>
      <c r="F80" s="401" t="str">
        <f>'Corrected and Updated TSF 3'!I80</f>
        <v>Studio</v>
      </c>
      <c r="G80" s="633">
        <f>'Corrected and Updated TSF 3'!J80</f>
        <v>22</v>
      </c>
      <c r="H80" s="633">
        <f>'Corrected and Updated TSF 3'!CG80</f>
        <v>3819074.4480643929</v>
      </c>
      <c r="I80" s="633">
        <f>SUM('Corrected and Updated TSF 3'!CI80:CJ80)</f>
        <v>486931.99212821008</v>
      </c>
      <c r="J80" s="633">
        <f>'Corrected and Updated TSF 3'!CH80</f>
        <v>0</v>
      </c>
      <c r="K80" s="633">
        <f>'Corrected and Updated TSF 3'!CK80</f>
        <v>4306006.4401926026</v>
      </c>
      <c r="L80" s="634">
        <f>'Corrected and Updated TSF 3'!CL80</f>
        <v>0.125</v>
      </c>
      <c r="M80" s="633">
        <f>'Corrected and Updated TSF 3'!CM80</f>
        <v>538250.80502407532</v>
      </c>
      <c r="N80" s="633">
        <f>'Corrected and Updated TSF 3'!CN80</f>
        <v>30000</v>
      </c>
      <c r="O80" s="633">
        <f>'Corrected and Updated TSF 3'!CO80</f>
        <v>508250.80502407532</v>
      </c>
      <c r="P80" s="401">
        <f>'Corrected and Updated TSF 3'!CP80</f>
        <v>29</v>
      </c>
      <c r="Q80" s="633">
        <f>'Corrected and Updated TSF 3'!CQ80</f>
        <v>17525.889828416392</v>
      </c>
      <c r="R80" s="633">
        <f>'Corrected and Updated TSF 3'!CS80</f>
        <v>3767755.6351685273</v>
      </c>
      <c r="S80" s="633">
        <f>'Corrected and Updated TSF 3'!CT80</f>
        <v>29211.36933618176</v>
      </c>
      <c r="T80" s="635">
        <f>'Corrected and Updated TSF 3'!CU80</f>
        <v>33865.652825530153</v>
      </c>
      <c r="U80" s="636">
        <f>'Corrected and Updated TSF 3'!CV80</f>
        <v>43746.837686681865</v>
      </c>
      <c r="V80" s="636">
        <f>'Corrected and Updated TSF 3'!CW80</f>
        <v>74606.077383492782</v>
      </c>
      <c r="W80" s="1102">
        <f>'Corrected and Updated TSF 3'!CX80</f>
        <v>306066.76610985096</v>
      </c>
      <c r="X80" s="1102">
        <f>'Corrected and Updated TSF 3'!CY80</f>
        <v>121109.12841285109</v>
      </c>
      <c r="Y80" s="1102">
        <f>'Corrected and Updated TSF 3'!CZ80</f>
        <v>87475.408160448584</v>
      </c>
      <c r="Z80" s="1102">
        <f>'Corrected and Updated TSF 3'!DA80</f>
        <v>66572.812769898912</v>
      </c>
      <c r="AA80" s="821">
        <f>L80-'Corrected and Updated TSF 3'!CL80</f>
        <v>0</v>
      </c>
      <c r="AB80" s="678">
        <f>N80-'Corrected and Updated TSF 3'!CN80</f>
        <v>0</v>
      </c>
      <c r="AC80" s="678">
        <f>Q80-'Corrected and Updated TSF 3'!CQ80</f>
        <v>0</v>
      </c>
      <c r="AD80" s="775"/>
      <c r="AE80" s="775"/>
      <c r="AF80" s="775"/>
      <c r="AG80" s="775"/>
      <c r="AH80" s="677"/>
      <c r="AI80" s="677"/>
      <c r="AJ80" s="677"/>
      <c r="AK80" s="677"/>
    </row>
    <row r="81" spans="1:37" s="119" customFormat="1" ht="12.75" hidden="1" customHeight="1">
      <c r="A81" s="631" t="str">
        <f t="shared" si="1"/>
        <v>W-5M</v>
      </c>
      <c r="B81" s="632" t="str">
        <f>'Corrected and Updated TSF 3'!EP81</f>
        <v>SOLD</v>
      </c>
      <c r="C81" s="820" t="str">
        <f>'Corrected and Updated TSF 3'!E81</f>
        <v>5th Floor</v>
      </c>
      <c r="D81" s="628">
        <f>'INTERNAL PRICELIST'!D81</f>
        <v>0</v>
      </c>
      <c r="E81" s="596" t="str">
        <f>'Corrected and Updated TSF 3'!G81</f>
        <v>W-5M</v>
      </c>
      <c r="F81" s="401" t="str">
        <f>'Corrected and Updated TSF 3'!I81</f>
        <v>Studio</v>
      </c>
      <c r="G81" s="633">
        <f>'Corrected and Updated TSF 3'!J81</f>
        <v>22</v>
      </c>
      <c r="H81" s="633">
        <f>'Corrected and Updated TSF 3'!CG81</f>
        <v>3819074.4480643929</v>
      </c>
      <c r="I81" s="633">
        <f>SUM('Corrected and Updated TSF 3'!CI81:CJ81)</f>
        <v>486931.99212821008</v>
      </c>
      <c r="J81" s="633">
        <f>'Corrected and Updated TSF 3'!CH81</f>
        <v>0</v>
      </c>
      <c r="K81" s="633">
        <f>'Corrected and Updated TSF 3'!CK81</f>
        <v>4306006.4401926026</v>
      </c>
      <c r="L81" s="634">
        <f>'Corrected and Updated TSF 3'!CL81</f>
        <v>0.125</v>
      </c>
      <c r="M81" s="633">
        <f>'Corrected and Updated TSF 3'!CM81</f>
        <v>538250.80502407532</v>
      </c>
      <c r="N81" s="633">
        <f>'Corrected and Updated TSF 3'!CN81</f>
        <v>30000</v>
      </c>
      <c r="O81" s="633">
        <f>'Corrected and Updated TSF 3'!CO81</f>
        <v>508250.80502407532</v>
      </c>
      <c r="P81" s="401">
        <f>'Corrected and Updated TSF 3'!CP81</f>
        <v>29</v>
      </c>
      <c r="Q81" s="633">
        <f>'Corrected and Updated TSF 3'!CQ81</f>
        <v>17525.889828416392</v>
      </c>
      <c r="R81" s="633">
        <f>'Corrected and Updated TSF 3'!CS81</f>
        <v>3767755.6351685273</v>
      </c>
      <c r="S81" s="633">
        <f>'Corrected and Updated TSF 3'!CT81</f>
        <v>29211.36933618176</v>
      </c>
      <c r="T81" s="635">
        <f>'Corrected and Updated TSF 3'!CU81</f>
        <v>33865.652825530153</v>
      </c>
      <c r="U81" s="636">
        <f>'Corrected and Updated TSF 3'!CV81</f>
        <v>43746.837686681865</v>
      </c>
      <c r="V81" s="636">
        <f>'Corrected and Updated TSF 3'!CW81</f>
        <v>74606.077383492782</v>
      </c>
      <c r="W81" s="1102">
        <f>'Corrected and Updated TSF 3'!CX81</f>
        <v>306066.76610985096</v>
      </c>
      <c r="X81" s="1102">
        <f>'Corrected and Updated TSF 3'!CY81</f>
        <v>121109.12841285109</v>
      </c>
      <c r="Y81" s="1102">
        <f>'Corrected and Updated TSF 3'!CZ81</f>
        <v>87475.408160448584</v>
      </c>
      <c r="Z81" s="1102">
        <f>'Corrected and Updated TSF 3'!DA81</f>
        <v>66572.812769898912</v>
      </c>
      <c r="AA81" s="821">
        <f>L81-'Corrected and Updated TSF 3'!CL81</f>
        <v>0</v>
      </c>
      <c r="AB81" s="678">
        <f>N81-'Corrected and Updated TSF 3'!CN81</f>
        <v>0</v>
      </c>
      <c r="AC81" s="678">
        <f>Q81-'Corrected and Updated TSF 3'!CQ81</f>
        <v>0</v>
      </c>
      <c r="AD81" s="775"/>
      <c r="AE81" s="775"/>
      <c r="AF81" s="775"/>
      <c r="AG81" s="775"/>
      <c r="AH81" s="677"/>
      <c r="AI81" s="677"/>
      <c r="AJ81" s="677"/>
      <c r="AK81" s="677"/>
    </row>
    <row r="82" spans="1:37" s="119" customFormat="1" ht="12.75" hidden="1" customHeight="1">
      <c r="A82" s="631" t="str">
        <f t="shared" si="1"/>
        <v>W-5N</v>
      </c>
      <c r="B82" s="632" t="str">
        <f>'Corrected and Updated TSF 3'!EP82</f>
        <v>SOLD</v>
      </c>
      <c r="C82" s="820" t="str">
        <f>'Corrected and Updated TSF 3'!E82</f>
        <v>5th Floor</v>
      </c>
      <c r="D82" s="628">
        <f>'INTERNAL PRICELIST'!D82</f>
        <v>0</v>
      </c>
      <c r="E82" s="596" t="str">
        <f>'Corrected and Updated TSF 3'!G82</f>
        <v>W-5N</v>
      </c>
      <c r="F82" s="401" t="str">
        <f>'Corrected and Updated TSF 3'!I82</f>
        <v>Studio</v>
      </c>
      <c r="G82" s="633">
        <f>'Corrected and Updated TSF 3'!J82</f>
        <v>22</v>
      </c>
      <c r="H82" s="633">
        <f>'Corrected and Updated TSF 3'!CG82</f>
        <v>3856632.0414510756</v>
      </c>
      <c r="I82" s="633">
        <f>SUM('Corrected and Updated TSF 3'!CI82:CJ82)</f>
        <v>491720.58528501214</v>
      </c>
      <c r="J82" s="633">
        <f>'Corrected and Updated TSF 3'!CH82</f>
        <v>0</v>
      </c>
      <c r="K82" s="633">
        <f>'Corrected and Updated TSF 3'!CK82</f>
        <v>4348352.6267360877</v>
      </c>
      <c r="L82" s="634">
        <f>'Corrected and Updated TSF 3'!CL82</f>
        <v>0.125</v>
      </c>
      <c r="M82" s="633">
        <f>'Corrected and Updated TSF 3'!CM82</f>
        <v>543544.07834201097</v>
      </c>
      <c r="N82" s="633">
        <f>'Corrected and Updated TSF 3'!CN82</f>
        <v>30000</v>
      </c>
      <c r="O82" s="633">
        <f>'Corrected and Updated TSF 3'!CO82</f>
        <v>513544.07834201097</v>
      </c>
      <c r="P82" s="401">
        <f>'Corrected and Updated TSF 3'!CP82</f>
        <v>29</v>
      </c>
      <c r="Q82" s="633">
        <f>'Corrected and Updated TSF 3'!CQ82</f>
        <v>17708.416494552101</v>
      </c>
      <c r="R82" s="633">
        <f>'Corrected and Updated TSF 3'!CS82</f>
        <v>3804808.5483940765</v>
      </c>
      <c r="S82" s="633">
        <f>'Corrected and Updated TSF 3'!CT82</f>
        <v>29498.640178035228</v>
      </c>
      <c r="T82" s="635">
        <f>'Corrected and Updated TSF 3'!CU82</f>
        <v>34198.69488477581</v>
      </c>
      <c r="U82" s="636">
        <f>'Corrected and Updated TSF 3'!CV82</f>
        <v>44177.053427205676</v>
      </c>
      <c r="V82" s="636">
        <f>'Corrected and Updated TSF 3'!CW82</f>
        <v>75339.769474770234</v>
      </c>
      <c r="W82" s="1102">
        <f>'Corrected and Updated TSF 3'!CX82</f>
        <v>309076.69202437636</v>
      </c>
      <c r="X82" s="1102">
        <f>'Corrected and Updated TSF 3'!CY82</f>
        <v>122300.14143503785</v>
      </c>
      <c r="Y82" s="1102">
        <f>'Corrected and Updated TSF 3'!CZ82</f>
        <v>88335.659997824871</v>
      </c>
      <c r="Z82" s="1102">
        <f>'Corrected and Updated TSF 3'!DA82</f>
        <v>67227.504022091394</v>
      </c>
      <c r="AA82" s="821">
        <f>L82-'Corrected and Updated TSF 3'!CL82</f>
        <v>0</v>
      </c>
      <c r="AB82" s="678">
        <f>N82-'Corrected and Updated TSF 3'!CN82</f>
        <v>0</v>
      </c>
      <c r="AC82" s="678">
        <f>Q82-'Corrected and Updated TSF 3'!CQ82</f>
        <v>0</v>
      </c>
      <c r="AD82" s="775"/>
      <c r="AE82" s="775"/>
      <c r="AF82" s="775"/>
      <c r="AG82" s="775"/>
      <c r="AH82" s="677"/>
      <c r="AI82" s="677"/>
      <c r="AJ82" s="677"/>
      <c r="AK82" s="677"/>
    </row>
    <row r="83" spans="1:37" s="119" customFormat="1" ht="12.75" hidden="1" customHeight="1">
      <c r="A83" s="631" t="str">
        <f t="shared" si="1"/>
        <v>W-5O</v>
      </c>
      <c r="B83" s="632" t="str">
        <f>'Corrected and Updated TSF 3'!EP83</f>
        <v>SOLD</v>
      </c>
      <c r="C83" s="820" t="str">
        <f>'Corrected and Updated TSF 3'!E83</f>
        <v>5th Floor</v>
      </c>
      <c r="D83" s="628">
        <f>'INTERNAL PRICELIST'!D83</f>
        <v>0</v>
      </c>
      <c r="E83" s="596" t="str">
        <f>'Corrected and Updated TSF 3'!G83</f>
        <v>W-5O</v>
      </c>
      <c r="F83" s="401" t="str">
        <f>'Corrected and Updated TSF 3'!I83</f>
        <v>Studio</v>
      </c>
      <c r="G83" s="633">
        <f>'Corrected and Updated TSF 3'!J83</f>
        <v>22</v>
      </c>
      <c r="H83" s="633">
        <f>'Corrected and Updated TSF 3'!CG83</f>
        <v>3856632.0414510756</v>
      </c>
      <c r="I83" s="633">
        <f>SUM('Corrected and Updated TSF 3'!CI83:CJ83)</f>
        <v>491720.58528501214</v>
      </c>
      <c r="J83" s="633">
        <f>'Corrected and Updated TSF 3'!CH83</f>
        <v>0</v>
      </c>
      <c r="K83" s="633">
        <f>'Corrected and Updated TSF 3'!CK83</f>
        <v>4348352.6267360877</v>
      </c>
      <c r="L83" s="634">
        <f>'Corrected and Updated TSF 3'!CL83</f>
        <v>0.125</v>
      </c>
      <c r="M83" s="633">
        <f>'Corrected and Updated TSF 3'!CM83</f>
        <v>543544.07834201097</v>
      </c>
      <c r="N83" s="633">
        <f>'Corrected and Updated TSF 3'!CN83</f>
        <v>30000</v>
      </c>
      <c r="O83" s="633">
        <f>'Corrected and Updated TSF 3'!CO83</f>
        <v>513544.07834201097</v>
      </c>
      <c r="P83" s="401">
        <f>'Corrected and Updated TSF 3'!CP83</f>
        <v>29</v>
      </c>
      <c r="Q83" s="633">
        <f>'Corrected and Updated TSF 3'!CQ83</f>
        <v>17708.416494552101</v>
      </c>
      <c r="R83" s="633">
        <f>'Corrected and Updated TSF 3'!CS83</f>
        <v>3804808.5483940765</v>
      </c>
      <c r="S83" s="633">
        <f>'Corrected and Updated TSF 3'!CT83</f>
        <v>29498.640178035228</v>
      </c>
      <c r="T83" s="635">
        <f>'Corrected and Updated TSF 3'!CU83</f>
        <v>34198.69488477581</v>
      </c>
      <c r="U83" s="636">
        <f>'Corrected and Updated TSF 3'!CV83</f>
        <v>44177.053427205676</v>
      </c>
      <c r="V83" s="636">
        <f>'Corrected and Updated TSF 3'!CW83</f>
        <v>75339.769474770234</v>
      </c>
      <c r="W83" s="1102">
        <f>'Corrected and Updated TSF 3'!CX83</f>
        <v>309076.69202437636</v>
      </c>
      <c r="X83" s="1102">
        <f>'Corrected and Updated TSF 3'!CY83</f>
        <v>122300.14143503785</v>
      </c>
      <c r="Y83" s="1102">
        <f>'Corrected and Updated TSF 3'!CZ83</f>
        <v>88335.659997824871</v>
      </c>
      <c r="Z83" s="1102">
        <f>'Corrected and Updated TSF 3'!DA83</f>
        <v>67227.504022091394</v>
      </c>
      <c r="AA83" s="821">
        <f>L83-'Corrected and Updated TSF 3'!CL83</f>
        <v>0</v>
      </c>
      <c r="AB83" s="678">
        <f>N83-'Corrected and Updated TSF 3'!CN83</f>
        <v>0</v>
      </c>
      <c r="AC83" s="678">
        <f>Q83-'Corrected and Updated TSF 3'!CQ83</f>
        <v>0</v>
      </c>
      <c r="AD83" s="775"/>
      <c r="AE83" s="775"/>
      <c r="AF83" s="775"/>
      <c r="AG83" s="775"/>
      <c r="AH83" s="677"/>
      <c r="AI83" s="677"/>
      <c r="AJ83" s="677"/>
      <c r="AK83" s="677"/>
    </row>
    <row r="84" spans="1:37" s="119" customFormat="1" ht="12.75" customHeight="1">
      <c r="A84" s="631" t="str">
        <f t="shared" si="1"/>
        <v>W-5P</v>
      </c>
      <c r="B84" s="632" t="str">
        <f>'Corrected and Updated TSF 3'!EP84</f>
        <v>UNSOLD</v>
      </c>
      <c r="C84" s="820" t="str">
        <f>'Corrected and Updated TSF 3'!E84</f>
        <v>5th Floor</v>
      </c>
      <c r="D84" s="628">
        <f>'INTERNAL PRICELIST'!D84</f>
        <v>0</v>
      </c>
      <c r="E84" s="596" t="str">
        <f>'Corrected and Updated TSF 3'!G84</f>
        <v>W-5P</v>
      </c>
      <c r="F84" s="401" t="str">
        <f>'Corrected and Updated TSF 3'!I84</f>
        <v>Studio</v>
      </c>
      <c r="G84" s="633">
        <f>'Corrected and Updated TSF 3'!J84</f>
        <v>22</v>
      </c>
      <c r="H84" s="633">
        <f>'Corrected and Updated TSF 3'!CG84</f>
        <v>3968216.0558238034</v>
      </c>
      <c r="I84" s="633">
        <f>SUM('Corrected and Updated TSF 3'!CI84:CJ84)</f>
        <v>505947.54711753491</v>
      </c>
      <c r="J84" s="633">
        <f>'Corrected and Updated TSF 3'!CH84</f>
        <v>0</v>
      </c>
      <c r="K84" s="633">
        <f>'Corrected and Updated TSF 3'!CK84</f>
        <v>4474163.602941338</v>
      </c>
      <c r="L84" s="634">
        <f>'Corrected and Updated TSF 3'!CL84</f>
        <v>0.125</v>
      </c>
      <c r="M84" s="633">
        <f>'Corrected and Updated TSF 3'!CM84</f>
        <v>559270.45036766725</v>
      </c>
      <c r="N84" s="633">
        <f>'Corrected and Updated TSF 3'!CN84</f>
        <v>30000</v>
      </c>
      <c r="O84" s="633">
        <f>'Corrected and Updated TSF 3'!CO84</f>
        <v>529270.45036766725</v>
      </c>
      <c r="P84" s="401">
        <f>'Corrected and Updated TSF 3'!CP84</f>
        <v>29</v>
      </c>
      <c r="Q84" s="633">
        <f>'Corrected and Updated TSF 3'!CQ84</f>
        <v>18250.705185091974</v>
      </c>
      <c r="R84" s="633">
        <f>'Corrected and Updated TSF 3'!CS84</f>
        <v>3914893.1525736707</v>
      </c>
      <c r="S84" s="633">
        <f>'Corrected and Updated TSF 3'!CT84</f>
        <v>30352.124942519877</v>
      </c>
      <c r="T84" s="635">
        <f>'Corrected and Updated TSF 3'!CU84</f>
        <v>35188.166428997989</v>
      </c>
      <c r="U84" s="636">
        <f>'Corrected and Updated TSF 3'!CV84</f>
        <v>45455.22902487337</v>
      </c>
      <c r="V84" s="636">
        <f>'Corrected and Updated TSF 3'!CW84</f>
        <v>77519.576578366148</v>
      </c>
      <c r="W84" s="1102">
        <f>'Corrected and Updated TSF 3'!CX84</f>
        <v>318019.2143273718</v>
      </c>
      <c r="X84" s="1102">
        <f>'Corrected and Updated TSF 3'!CY84</f>
        <v>125838.65394880601</v>
      </c>
      <c r="Y84" s="1102">
        <f>'Corrected and Updated TSF 3'!CZ84</f>
        <v>90891.477469878286</v>
      </c>
      <c r="Z84" s="1102">
        <f>'Corrected and Updated TSF 3'!DA84</f>
        <v>69172.598782083383</v>
      </c>
      <c r="AA84" s="821">
        <f>L84-'Corrected and Updated TSF 3'!CL84</f>
        <v>0</v>
      </c>
      <c r="AB84" s="678">
        <f>N84-'Corrected and Updated TSF 3'!CN84</f>
        <v>0</v>
      </c>
      <c r="AC84" s="678">
        <f>Q84-'Corrected and Updated TSF 3'!CQ84</f>
        <v>0</v>
      </c>
      <c r="AD84" s="775"/>
      <c r="AE84" s="775"/>
      <c r="AF84" s="775"/>
      <c r="AG84" s="775"/>
      <c r="AH84" s="677"/>
      <c r="AI84" s="677"/>
      <c r="AJ84" s="677"/>
      <c r="AK84" s="677"/>
    </row>
    <row r="85" spans="1:37" s="119" customFormat="1" ht="12.75" hidden="1" customHeight="1">
      <c r="A85" s="631" t="str">
        <f t="shared" si="1"/>
        <v>E-5A</v>
      </c>
      <c r="B85" s="632" t="str">
        <f>'Corrected and Updated TSF 3'!EP85</f>
        <v>SOLD</v>
      </c>
      <c r="C85" s="820" t="str">
        <f>'Corrected and Updated TSF 3'!E85</f>
        <v>5th Floor</v>
      </c>
      <c r="D85" s="628">
        <f>'INTERNAL PRICELIST'!D85</f>
        <v>0</v>
      </c>
      <c r="E85" s="596" t="str">
        <f>'Corrected and Updated TSF 3'!G85</f>
        <v>E-5A</v>
      </c>
      <c r="F85" s="401" t="str">
        <f>'Corrected and Updated TSF 3'!I85</f>
        <v>Studio</v>
      </c>
      <c r="G85" s="633">
        <f>'Corrected and Updated TSF 3'!J85</f>
        <v>22</v>
      </c>
      <c r="H85" s="633">
        <f>'Corrected and Updated TSF 3'!CG85</f>
        <v>3819074.4480643929</v>
      </c>
      <c r="I85" s="633">
        <f>SUM('Corrected and Updated TSF 3'!CI85:CJ85)</f>
        <v>486931.99212821008</v>
      </c>
      <c r="J85" s="633">
        <f>'Corrected and Updated TSF 3'!CH85</f>
        <v>0</v>
      </c>
      <c r="K85" s="633">
        <f>'Corrected and Updated TSF 3'!CK85</f>
        <v>4306006.4401926026</v>
      </c>
      <c r="L85" s="634">
        <f>'Corrected and Updated TSF 3'!CL85</f>
        <v>0.125</v>
      </c>
      <c r="M85" s="633">
        <f>'Corrected and Updated TSF 3'!CM85</f>
        <v>538250.80502407532</v>
      </c>
      <c r="N85" s="633">
        <f>'Corrected and Updated TSF 3'!CN85</f>
        <v>30000</v>
      </c>
      <c r="O85" s="633">
        <f>'Corrected and Updated TSF 3'!CO85</f>
        <v>508250.80502407532</v>
      </c>
      <c r="P85" s="401">
        <f>'Corrected and Updated TSF 3'!CP85</f>
        <v>29</v>
      </c>
      <c r="Q85" s="633">
        <f>'Corrected and Updated TSF 3'!CQ85</f>
        <v>17525.889828416392</v>
      </c>
      <c r="R85" s="633">
        <f>'Corrected and Updated TSF 3'!CS85</f>
        <v>3767755.6351685273</v>
      </c>
      <c r="S85" s="633">
        <f>'Corrected and Updated TSF 3'!CT85</f>
        <v>29211.36933618176</v>
      </c>
      <c r="T85" s="635">
        <f>'Corrected and Updated TSF 3'!CU85</f>
        <v>33865.652825530153</v>
      </c>
      <c r="U85" s="636">
        <f>'Corrected and Updated TSF 3'!CV85</f>
        <v>43746.837686681865</v>
      </c>
      <c r="V85" s="636">
        <f>'Corrected and Updated TSF 3'!CW85</f>
        <v>74606.077383492782</v>
      </c>
      <c r="W85" s="1102">
        <f>'Corrected and Updated TSF 3'!CX85</f>
        <v>306066.76610985096</v>
      </c>
      <c r="X85" s="1102">
        <f>'Corrected and Updated TSF 3'!CY85</f>
        <v>121109.12841285109</v>
      </c>
      <c r="Y85" s="1102">
        <f>'Corrected and Updated TSF 3'!CZ85</f>
        <v>87475.408160448584</v>
      </c>
      <c r="Z85" s="1102">
        <f>'Corrected and Updated TSF 3'!DA85</f>
        <v>66572.812769898912</v>
      </c>
      <c r="AA85" s="821">
        <f>L85-'Corrected and Updated TSF 3'!CL85</f>
        <v>0</v>
      </c>
      <c r="AB85" s="678">
        <f>N85-'Corrected and Updated TSF 3'!CN85</f>
        <v>0</v>
      </c>
      <c r="AC85" s="678">
        <f>Q85-'Corrected and Updated TSF 3'!CQ85</f>
        <v>0</v>
      </c>
      <c r="AD85" s="775"/>
      <c r="AE85" s="775"/>
      <c r="AF85" s="775"/>
      <c r="AG85" s="775"/>
      <c r="AH85" s="677"/>
      <c r="AI85" s="677"/>
      <c r="AJ85" s="677"/>
      <c r="AK85" s="677"/>
    </row>
    <row r="86" spans="1:37" s="119" customFormat="1" ht="12.75" hidden="1" customHeight="1">
      <c r="A86" s="631" t="str">
        <f t="shared" si="1"/>
        <v>E-5B</v>
      </c>
      <c r="B86" s="632" t="str">
        <f>'Corrected and Updated TSF 3'!EP86</f>
        <v>SOLD</v>
      </c>
      <c r="C86" s="820" t="str">
        <f>'Corrected and Updated TSF 3'!E86</f>
        <v>5th Floor</v>
      </c>
      <c r="D86" s="628">
        <f>'INTERNAL PRICELIST'!D86</f>
        <v>0</v>
      </c>
      <c r="E86" s="596" t="str">
        <f>'Corrected and Updated TSF 3'!G86</f>
        <v>E-5B</v>
      </c>
      <c r="F86" s="401" t="str">
        <f>'Corrected and Updated TSF 3'!I86</f>
        <v>Studio</v>
      </c>
      <c r="G86" s="633">
        <f>'Corrected and Updated TSF 3'!J86</f>
        <v>22</v>
      </c>
      <c r="H86" s="633">
        <f>'Corrected and Updated TSF 3'!CG86</f>
        <v>3819074.4480643929</v>
      </c>
      <c r="I86" s="633">
        <f>SUM('Corrected and Updated TSF 3'!CI86:CJ86)</f>
        <v>486931.99212821008</v>
      </c>
      <c r="J86" s="633">
        <f>'Corrected and Updated TSF 3'!CH86</f>
        <v>0</v>
      </c>
      <c r="K86" s="633">
        <f>'Corrected and Updated TSF 3'!CK86</f>
        <v>4306006.4401926026</v>
      </c>
      <c r="L86" s="634">
        <f>'Corrected and Updated TSF 3'!CL86</f>
        <v>0.125</v>
      </c>
      <c r="M86" s="633">
        <f>'Corrected and Updated TSF 3'!CM86</f>
        <v>538250.80502407532</v>
      </c>
      <c r="N86" s="633">
        <f>'Corrected and Updated TSF 3'!CN86</f>
        <v>30000</v>
      </c>
      <c r="O86" s="633">
        <f>'Corrected and Updated TSF 3'!CO86</f>
        <v>508250.80502407532</v>
      </c>
      <c r="P86" s="401">
        <f>'Corrected and Updated TSF 3'!CP86</f>
        <v>29</v>
      </c>
      <c r="Q86" s="633">
        <f>'Corrected and Updated TSF 3'!CQ86</f>
        <v>17525.889828416392</v>
      </c>
      <c r="R86" s="633">
        <f>'Corrected and Updated TSF 3'!CS86</f>
        <v>3767755.6351685273</v>
      </c>
      <c r="S86" s="633">
        <f>'Corrected and Updated TSF 3'!CT86</f>
        <v>29211.36933618176</v>
      </c>
      <c r="T86" s="635">
        <f>'Corrected and Updated TSF 3'!CU86</f>
        <v>33865.652825530153</v>
      </c>
      <c r="U86" s="636">
        <f>'Corrected and Updated TSF 3'!CV86</f>
        <v>43746.837686681865</v>
      </c>
      <c r="V86" s="636">
        <f>'Corrected and Updated TSF 3'!CW86</f>
        <v>74606.077383492782</v>
      </c>
      <c r="W86" s="1102">
        <f>'Corrected and Updated TSF 3'!CX86</f>
        <v>306066.76610985096</v>
      </c>
      <c r="X86" s="1102">
        <f>'Corrected and Updated TSF 3'!CY86</f>
        <v>121109.12841285109</v>
      </c>
      <c r="Y86" s="1102">
        <f>'Corrected and Updated TSF 3'!CZ86</f>
        <v>87475.408160448584</v>
      </c>
      <c r="Z86" s="1102">
        <f>'Corrected and Updated TSF 3'!DA86</f>
        <v>66572.812769898912</v>
      </c>
      <c r="AA86" s="821">
        <f>L86-'Corrected and Updated TSF 3'!CL86</f>
        <v>0</v>
      </c>
      <c r="AB86" s="678">
        <f>N86-'Corrected and Updated TSF 3'!CN86</f>
        <v>0</v>
      </c>
      <c r="AC86" s="678">
        <f>Q86-'Corrected and Updated TSF 3'!CQ86</f>
        <v>0</v>
      </c>
      <c r="AD86" s="775"/>
      <c r="AE86" s="775"/>
      <c r="AF86" s="775"/>
      <c r="AG86" s="775"/>
      <c r="AH86" s="677"/>
      <c r="AI86" s="677"/>
      <c r="AJ86" s="677"/>
      <c r="AK86" s="677"/>
    </row>
    <row r="87" spans="1:37" s="119" customFormat="1" ht="12.75" hidden="1" customHeight="1">
      <c r="A87" s="631" t="str">
        <f t="shared" si="1"/>
        <v>E-5C</v>
      </c>
      <c r="B87" s="632" t="str">
        <f>'Corrected and Updated TSF 3'!EP87</f>
        <v>SOLD</v>
      </c>
      <c r="C87" s="820" t="str">
        <f>'Corrected and Updated TSF 3'!E87</f>
        <v>5th Floor</v>
      </c>
      <c r="D87" s="628">
        <f>'INTERNAL PRICELIST'!D87</f>
        <v>0</v>
      </c>
      <c r="E87" s="596" t="str">
        <f>'Corrected and Updated TSF 3'!G87</f>
        <v>E-5C</v>
      </c>
      <c r="F87" s="401" t="str">
        <f>'Corrected and Updated TSF 3'!I87</f>
        <v>Studio</v>
      </c>
      <c r="G87" s="633">
        <f>'Corrected and Updated TSF 3'!J87</f>
        <v>22</v>
      </c>
      <c r="H87" s="633">
        <f>'Corrected and Updated TSF 3'!CG87</f>
        <v>3933665.9153681947</v>
      </c>
      <c r="I87" s="633">
        <f>SUM('Corrected and Updated TSF 3'!CI87:CJ87)</f>
        <v>501542.40420944482</v>
      </c>
      <c r="J87" s="633">
        <f>'Corrected and Updated TSF 3'!CH87</f>
        <v>0</v>
      </c>
      <c r="K87" s="633">
        <f>'Corrected and Updated TSF 3'!CK87</f>
        <v>4435208.3195776399</v>
      </c>
      <c r="L87" s="634">
        <f>'Corrected and Updated TSF 3'!CL87</f>
        <v>0.125</v>
      </c>
      <c r="M87" s="633">
        <f>'Corrected and Updated TSF 3'!CM87</f>
        <v>554401.03994720499</v>
      </c>
      <c r="N87" s="633">
        <f>'Corrected and Updated TSF 3'!CN87</f>
        <v>30000</v>
      </c>
      <c r="O87" s="633">
        <f>'Corrected and Updated TSF 3'!CO87</f>
        <v>524401.03994720499</v>
      </c>
      <c r="P87" s="401">
        <f>'Corrected and Updated TSF 3'!CP87</f>
        <v>29</v>
      </c>
      <c r="Q87" s="633">
        <f>'Corrected and Updated TSF 3'!CQ87</f>
        <v>18082.794480938104</v>
      </c>
      <c r="R87" s="633">
        <f>'Corrected and Updated TSF 3'!CS87</f>
        <v>3880807.2796304347</v>
      </c>
      <c r="S87" s="633">
        <f>'Corrected and Updated TSF 3'!CT87</f>
        <v>30087.857532394562</v>
      </c>
      <c r="T87" s="635">
        <f>'Corrected and Updated TSF 3'!CU87</f>
        <v>34881.792966617344</v>
      </c>
      <c r="U87" s="636">
        <f>'Corrected and Updated TSF 3'!CV87</f>
        <v>45059.463137845531</v>
      </c>
      <c r="V87" s="636">
        <f>'Corrected and Updated TSF 3'!CW87</f>
        <v>76844.635440796017</v>
      </c>
      <c r="W87" s="1102">
        <f>'Corrected and Updated TSF 3'!CX87</f>
        <v>315250.31052575866</v>
      </c>
      <c r="X87" s="1102">
        <f>'Corrected and Updated TSF 3'!CY87</f>
        <v>124743.0122026125</v>
      </c>
      <c r="Y87" s="1102">
        <f>'Corrected and Updated TSF 3'!CZ87</f>
        <v>90100.11095438998</v>
      </c>
      <c r="Z87" s="1102">
        <f>'Corrected and Updated TSF 3'!DA87</f>
        <v>68570.332431164061</v>
      </c>
      <c r="AA87" s="821">
        <f>L87-'Corrected and Updated TSF 3'!CL87</f>
        <v>0</v>
      </c>
      <c r="AB87" s="678">
        <f>N87-'Corrected and Updated TSF 3'!CN87</f>
        <v>0</v>
      </c>
      <c r="AC87" s="678">
        <f>Q87-'Corrected and Updated TSF 3'!CQ87</f>
        <v>0</v>
      </c>
      <c r="AD87" s="775"/>
      <c r="AE87" s="775"/>
      <c r="AF87" s="775"/>
      <c r="AG87" s="775"/>
      <c r="AH87" s="677"/>
      <c r="AI87" s="677"/>
      <c r="AJ87" s="677"/>
      <c r="AK87" s="677"/>
    </row>
    <row r="88" spans="1:37" s="119" customFormat="1" ht="12.75" hidden="1" customHeight="1">
      <c r="A88" s="631" t="str">
        <f t="shared" si="1"/>
        <v>E-5D</v>
      </c>
      <c r="B88" s="632" t="str">
        <f>'Corrected and Updated TSF 3'!EP88</f>
        <v>SOLD</v>
      </c>
      <c r="C88" s="820" t="str">
        <f>'Corrected and Updated TSF 3'!E88</f>
        <v>5th Floor</v>
      </c>
      <c r="D88" s="628">
        <f>'INTERNAL PRICELIST'!D88</f>
        <v>0</v>
      </c>
      <c r="E88" s="596" t="str">
        <f>'Corrected and Updated TSF 3'!G88</f>
        <v>E-5D</v>
      </c>
      <c r="F88" s="401" t="str">
        <f>'Corrected and Updated TSF 3'!I88</f>
        <v>Studio</v>
      </c>
      <c r="G88" s="633">
        <f>'Corrected and Updated TSF 3'!J88</f>
        <v>22</v>
      </c>
      <c r="H88" s="633">
        <f>'Corrected and Updated TSF 3'!CG88</f>
        <v>3819074.4480643929</v>
      </c>
      <c r="I88" s="633">
        <f>SUM('Corrected and Updated TSF 3'!CI88:CJ88)</f>
        <v>486931.99212821008</v>
      </c>
      <c r="J88" s="633">
        <f>'Corrected and Updated TSF 3'!CH88</f>
        <v>0</v>
      </c>
      <c r="K88" s="633">
        <f>'Corrected and Updated TSF 3'!CK88</f>
        <v>4306006.4401926026</v>
      </c>
      <c r="L88" s="634">
        <f>'Corrected and Updated TSF 3'!CL88</f>
        <v>0.125</v>
      </c>
      <c r="M88" s="633">
        <f>'Corrected and Updated TSF 3'!CM88</f>
        <v>538250.80502407532</v>
      </c>
      <c r="N88" s="633">
        <f>'Corrected and Updated TSF 3'!CN88</f>
        <v>30000</v>
      </c>
      <c r="O88" s="633">
        <f>'Corrected and Updated TSF 3'!CO88</f>
        <v>508250.80502407532</v>
      </c>
      <c r="P88" s="401">
        <f>'Corrected and Updated TSF 3'!CP88</f>
        <v>29</v>
      </c>
      <c r="Q88" s="633">
        <f>'Corrected and Updated TSF 3'!CQ88</f>
        <v>17525.889828416392</v>
      </c>
      <c r="R88" s="633">
        <f>'Corrected and Updated TSF 3'!CS88</f>
        <v>3767755.6351685273</v>
      </c>
      <c r="S88" s="633">
        <f>'Corrected and Updated TSF 3'!CT88</f>
        <v>29211.36933618176</v>
      </c>
      <c r="T88" s="635">
        <f>'Corrected and Updated TSF 3'!CU88</f>
        <v>33865.652825530153</v>
      </c>
      <c r="U88" s="636">
        <f>'Corrected and Updated TSF 3'!CV88</f>
        <v>43746.837686681865</v>
      </c>
      <c r="V88" s="636">
        <f>'Corrected and Updated TSF 3'!CW88</f>
        <v>74606.077383492782</v>
      </c>
      <c r="W88" s="1102">
        <f>'Corrected and Updated TSF 3'!CX88</f>
        <v>306066.76610985096</v>
      </c>
      <c r="X88" s="1102">
        <f>'Corrected and Updated TSF 3'!CY88</f>
        <v>121109.12841285109</v>
      </c>
      <c r="Y88" s="1102">
        <f>'Corrected and Updated TSF 3'!CZ88</f>
        <v>87475.408160448584</v>
      </c>
      <c r="Z88" s="1102">
        <f>'Corrected and Updated TSF 3'!DA88</f>
        <v>66572.812769898912</v>
      </c>
      <c r="AA88" s="821">
        <f>L88-'Corrected and Updated TSF 3'!CL88</f>
        <v>0</v>
      </c>
      <c r="AB88" s="678">
        <f>N88-'Corrected and Updated TSF 3'!CN88</f>
        <v>0</v>
      </c>
      <c r="AC88" s="678">
        <f>Q88-'Corrected and Updated TSF 3'!CQ88</f>
        <v>0</v>
      </c>
      <c r="AD88" s="775"/>
      <c r="AE88" s="775"/>
      <c r="AF88" s="775"/>
      <c r="AG88" s="775"/>
      <c r="AH88" s="677"/>
      <c r="AI88" s="677"/>
      <c r="AJ88" s="677"/>
      <c r="AK88" s="677"/>
    </row>
    <row r="89" spans="1:37" s="119" customFormat="1" ht="12.75" hidden="1" customHeight="1">
      <c r="A89" s="631" t="str">
        <f t="shared" si="1"/>
        <v>E-5E</v>
      </c>
      <c r="B89" s="632" t="str">
        <f>'Corrected and Updated TSF 3'!EP89</f>
        <v>SOLD</v>
      </c>
      <c r="C89" s="820" t="str">
        <f>'Corrected and Updated TSF 3'!E89</f>
        <v>5th Floor</v>
      </c>
      <c r="D89" s="628">
        <f>'INTERNAL PRICELIST'!D89</f>
        <v>0</v>
      </c>
      <c r="E89" s="596" t="str">
        <f>'Corrected and Updated TSF 3'!G89</f>
        <v>E-5E</v>
      </c>
      <c r="F89" s="401" t="str">
        <f>'Corrected and Updated TSF 3'!I89</f>
        <v>Studio</v>
      </c>
      <c r="G89" s="633">
        <f>'Corrected and Updated TSF 3'!J89</f>
        <v>22</v>
      </c>
      <c r="H89" s="633">
        <f>'Corrected and Updated TSF 3'!CG89</f>
        <v>3819074.4480643929</v>
      </c>
      <c r="I89" s="633">
        <f>SUM('Corrected and Updated TSF 3'!CI89:CJ89)</f>
        <v>486931.99212821008</v>
      </c>
      <c r="J89" s="633">
        <f>'Corrected and Updated TSF 3'!CH89</f>
        <v>0</v>
      </c>
      <c r="K89" s="633">
        <f>'Corrected and Updated TSF 3'!CK89</f>
        <v>4306006.4401926026</v>
      </c>
      <c r="L89" s="634">
        <f>'Corrected and Updated TSF 3'!CL89</f>
        <v>0.125</v>
      </c>
      <c r="M89" s="633">
        <f>'Corrected and Updated TSF 3'!CM89</f>
        <v>538250.80502407532</v>
      </c>
      <c r="N89" s="633">
        <f>'Corrected and Updated TSF 3'!CN89</f>
        <v>30000</v>
      </c>
      <c r="O89" s="633">
        <f>'Corrected and Updated TSF 3'!CO89</f>
        <v>508250.80502407532</v>
      </c>
      <c r="P89" s="401">
        <f>'Corrected and Updated TSF 3'!CP89</f>
        <v>29</v>
      </c>
      <c r="Q89" s="633">
        <f>'Corrected and Updated TSF 3'!CQ89</f>
        <v>17525.889828416392</v>
      </c>
      <c r="R89" s="633">
        <f>'Corrected and Updated TSF 3'!CS89</f>
        <v>3767755.6351685273</v>
      </c>
      <c r="S89" s="633">
        <f>'Corrected and Updated TSF 3'!CT89</f>
        <v>29211.36933618176</v>
      </c>
      <c r="T89" s="635">
        <f>'Corrected and Updated TSF 3'!CU89</f>
        <v>33865.652825530153</v>
      </c>
      <c r="U89" s="636">
        <f>'Corrected and Updated TSF 3'!CV89</f>
        <v>43746.837686681865</v>
      </c>
      <c r="V89" s="636">
        <f>'Corrected and Updated TSF 3'!CW89</f>
        <v>74606.077383492782</v>
      </c>
      <c r="W89" s="1102">
        <f>'Corrected and Updated TSF 3'!CX89</f>
        <v>306066.76610985096</v>
      </c>
      <c r="X89" s="1102">
        <f>'Corrected and Updated TSF 3'!CY89</f>
        <v>121109.12841285109</v>
      </c>
      <c r="Y89" s="1102">
        <f>'Corrected and Updated TSF 3'!CZ89</f>
        <v>87475.408160448584</v>
      </c>
      <c r="Z89" s="1102">
        <f>'Corrected and Updated TSF 3'!DA89</f>
        <v>66572.812769898912</v>
      </c>
      <c r="AA89" s="821">
        <f>L89-'Corrected and Updated TSF 3'!CL89</f>
        <v>0</v>
      </c>
      <c r="AB89" s="678">
        <f>N89-'Corrected and Updated TSF 3'!CN89</f>
        <v>0</v>
      </c>
      <c r="AC89" s="678">
        <f>Q89-'Corrected and Updated TSF 3'!CQ89</f>
        <v>0</v>
      </c>
      <c r="AD89" s="775"/>
      <c r="AE89" s="775"/>
      <c r="AF89" s="775"/>
      <c r="AG89" s="775"/>
      <c r="AH89" s="677"/>
      <c r="AI89" s="677"/>
      <c r="AJ89" s="677"/>
      <c r="AK89" s="677"/>
    </row>
    <row r="90" spans="1:37" s="119" customFormat="1" ht="12.75" hidden="1" customHeight="1">
      <c r="A90" s="631" t="str">
        <f t="shared" si="1"/>
        <v>E-5F</v>
      </c>
      <c r="B90" s="632" t="str">
        <f>'Corrected and Updated TSF 3'!EP90</f>
        <v>SOLD</v>
      </c>
      <c r="C90" s="973" t="str">
        <f>'Corrected and Updated TSF 3'!E90</f>
        <v>5th Floor</v>
      </c>
      <c r="D90" s="974">
        <f>'INTERNAL PRICELIST'!D90</f>
        <v>0</v>
      </c>
      <c r="E90" s="975" t="str">
        <f>'Corrected and Updated TSF 3'!G90</f>
        <v>E-5F</v>
      </c>
      <c r="F90" s="976" t="str">
        <f>'Corrected and Updated TSF 3'!I90</f>
        <v>Studio</v>
      </c>
      <c r="G90" s="977">
        <f>'Corrected and Updated TSF 3'!J90</f>
        <v>22</v>
      </c>
      <c r="H90" s="977">
        <f>'Corrected and Updated TSF 3'!CG90</f>
        <v>3819074.4480643929</v>
      </c>
      <c r="I90" s="977">
        <f>SUM('Corrected and Updated TSF 3'!CI90:CJ90)</f>
        <v>486931.99212821008</v>
      </c>
      <c r="J90" s="977">
        <f>'Corrected and Updated TSF 3'!CH90</f>
        <v>0</v>
      </c>
      <c r="K90" s="977">
        <f>'Corrected and Updated TSF 3'!CK90</f>
        <v>4306006.4401926026</v>
      </c>
      <c r="L90" s="978">
        <f>'Corrected and Updated TSF 3'!CL90</f>
        <v>0.125</v>
      </c>
      <c r="M90" s="977">
        <f>'Corrected and Updated TSF 3'!CM90</f>
        <v>538250.80502407532</v>
      </c>
      <c r="N90" s="977">
        <f>'Corrected and Updated TSF 3'!CN90</f>
        <v>30000</v>
      </c>
      <c r="O90" s="977">
        <f>'Corrected and Updated TSF 3'!CO90</f>
        <v>508250.80502407532</v>
      </c>
      <c r="P90" s="976">
        <f>'Corrected and Updated TSF 3'!CP90</f>
        <v>29</v>
      </c>
      <c r="Q90" s="977">
        <f>'Corrected and Updated TSF 3'!CQ90</f>
        <v>17525.889828416392</v>
      </c>
      <c r="R90" s="977">
        <f>'Corrected and Updated TSF 3'!CS90</f>
        <v>3767755.6351685273</v>
      </c>
      <c r="S90" s="977">
        <f>'Corrected and Updated TSF 3'!CT90</f>
        <v>29211.36933618176</v>
      </c>
      <c r="T90" s="636">
        <f>'Corrected and Updated TSF 3'!CU90</f>
        <v>33865.652825530153</v>
      </c>
      <c r="U90" s="636">
        <f>'Corrected and Updated TSF 3'!CV90</f>
        <v>43746.837686681865</v>
      </c>
      <c r="V90" s="636">
        <f>'Corrected and Updated TSF 3'!CW90</f>
        <v>74606.077383492782</v>
      </c>
      <c r="W90" s="1102">
        <f>'Corrected and Updated TSF 3'!CX90</f>
        <v>306066.76610985096</v>
      </c>
      <c r="X90" s="1102">
        <f>'Corrected and Updated TSF 3'!CY90</f>
        <v>121109.12841285109</v>
      </c>
      <c r="Y90" s="1102">
        <f>'Corrected and Updated TSF 3'!CZ90</f>
        <v>87475.408160448584</v>
      </c>
      <c r="Z90" s="1102">
        <f>'Corrected and Updated TSF 3'!DA90</f>
        <v>66572.812769898912</v>
      </c>
      <c r="AA90" s="821">
        <f>L90-'Corrected and Updated TSF 3'!CL90</f>
        <v>0</v>
      </c>
      <c r="AB90" s="678">
        <f>N90-'Corrected and Updated TSF 3'!CN90</f>
        <v>0</v>
      </c>
      <c r="AC90" s="678">
        <f>Q90-'Corrected and Updated TSF 3'!CQ90</f>
        <v>0</v>
      </c>
      <c r="AD90" s="775"/>
      <c r="AE90" s="775"/>
      <c r="AF90" s="775"/>
      <c r="AG90" s="775"/>
      <c r="AH90" s="677"/>
      <c r="AI90" s="677"/>
      <c r="AJ90" s="677"/>
      <c r="AK90" s="677"/>
    </row>
    <row r="91" spans="1:37" s="119" customFormat="1" ht="12.75" hidden="1" customHeight="1">
      <c r="A91" s="631" t="str">
        <f t="shared" si="1"/>
        <v>E-5G</v>
      </c>
      <c r="B91" s="632" t="str">
        <f>'Corrected and Updated TSF 3'!EP91</f>
        <v>SOLD</v>
      </c>
      <c r="C91" s="820" t="str">
        <f>'Corrected and Updated TSF 3'!E91</f>
        <v>5th Floor</v>
      </c>
      <c r="D91" s="628">
        <f>'INTERNAL PRICELIST'!D91</f>
        <v>0</v>
      </c>
      <c r="E91" s="596" t="str">
        <f>'Corrected and Updated TSF 3'!G91</f>
        <v>E-5G</v>
      </c>
      <c r="F91" s="401" t="str">
        <f>'Corrected and Updated TSF 3'!I91</f>
        <v>Studio</v>
      </c>
      <c r="G91" s="633">
        <f>'Corrected and Updated TSF 3'!J91</f>
        <v>22</v>
      </c>
      <c r="H91" s="633">
        <f>'Corrected and Updated TSF 3'!CG91</f>
        <v>3869187.1658612858</v>
      </c>
      <c r="I91" s="633">
        <f>SUM('Corrected and Updated TSF 3'!CI91:CJ91)</f>
        <v>493321.3636473139</v>
      </c>
      <c r="J91" s="633">
        <f>'Corrected and Updated TSF 3'!CH91</f>
        <v>0</v>
      </c>
      <c r="K91" s="633">
        <f>'Corrected and Updated TSF 3'!CK91</f>
        <v>4362508.5295085991</v>
      </c>
      <c r="L91" s="634">
        <f>'Corrected and Updated TSF 3'!CL91</f>
        <v>0.125</v>
      </c>
      <c r="M91" s="633">
        <f>'Corrected and Updated TSF 3'!CM91</f>
        <v>545313.56618857489</v>
      </c>
      <c r="N91" s="633">
        <f>'Corrected and Updated TSF 3'!CN91</f>
        <v>30000</v>
      </c>
      <c r="O91" s="633">
        <f>'Corrected and Updated TSF 3'!CO91</f>
        <v>515313.56618857489</v>
      </c>
      <c r="P91" s="401">
        <f>'Corrected and Updated TSF 3'!CP91</f>
        <v>29</v>
      </c>
      <c r="Q91" s="633">
        <f>'Corrected and Updated TSF 3'!CQ91</f>
        <v>17769.433316847411</v>
      </c>
      <c r="R91" s="633">
        <f>'Corrected and Updated TSF 3'!CS91</f>
        <v>3817194.9633200243</v>
      </c>
      <c r="S91" s="633">
        <f>'Corrected and Updated TSF 3'!CT91</f>
        <v>29594.671921117442</v>
      </c>
      <c r="T91" s="635">
        <f>'Corrected and Updated TSF 3'!CU91</f>
        <v>34310.02748387531</v>
      </c>
      <c r="U91" s="636">
        <f>'Corrected and Updated TSF 3'!CV91</f>
        <v>44320.870207207947</v>
      </c>
      <c r="V91" s="636">
        <f>'Corrected and Updated TSF 3'!CW91</f>
        <v>75585.035335922061</v>
      </c>
      <c r="W91" s="1102">
        <f>'Corrected and Updated TSF 3'!CX91</f>
        <v>310082.87987920782</v>
      </c>
      <c r="X91" s="1102">
        <f>'Corrected and Updated TSF 3'!CY91</f>
        <v>122698.28506777223</v>
      </c>
      <c r="Y91" s="1102">
        <f>'Corrected and Updated TSF 3'!CZ91</f>
        <v>88623.233504763164</v>
      </c>
      <c r="Z91" s="1102">
        <f>'Corrected and Updated TSF 3'!DA91</f>
        <v>67446.36070007192</v>
      </c>
      <c r="AA91" s="821">
        <f>L91-'Corrected and Updated TSF 3'!CL91</f>
        <v>0</v>
      </c>
      <c r="AB91" s="678">
        <f>N91-'Corrected and Updated TSF 3'!CN91</f>
        <v>0</v>
      </c>
      <c r="AC91" s="678">
        <f>Q91-'Corrected and Updated TSF 3'!CQ91</f>
        <v>0</v>
      </c>
      <c r="AD91" s="775"/>
      <c r="AE91" s="775"/>
      <c r="AF91" s="775"/>
      <c r="AG91" s="775"/>
      <c r="AH91" s="677"/>
      <c r="AI91" s="677"/>
      <c r="AJ91" s="677"/>
      <c r="AK91" s="677"/>
    </row>
    <row r="92" spans="1:37" s="119" customFormat="1" ht="12.75" hidden="1" customHeight="1">
      <c r="A92" s="631" t="str">
        <f t="shared" si="1"/>
        <v>E-5H</v>
      </c>
      <c r="B92" s="632" t="str">
        <f>'Corrected and Updated TSF 3'!EP92</f>
        <v>SOLD</v>
      </c>
      <c r="C92" s="820" t="str">
        <f>'Corrected and Updated TSF 3'!E92</f>
        <v>5th Floor</v>
      </c>
      <c r="D92" s="628">
        <f>'INTERNAL PRICELIST'!D92</f>
        <v>0</v>
      </c>
      <c r="E92" s="596" t="str">
        <f>'Corrected and Updated TSF 3'!G92</f>
        <v>E-5H</v>
      </c>
      <c r="F92" s="401" t="str">
        <f>'Corrected and Updated TSF 3'!I92</f>
        <v>Studio</v>
      </c>
      <c r="G92" s="633">
        <f>'Corrected and Updated TSF 3'!J92</f>
        <v>22</v>
      </c>
      <c r="H92" s="633">
        <f>'Corrected and Updated TSF 3'!CG92</f>
        <v>3819074.4480643929</v>
      </c>
      <c r="I92" s="633">
        <f>SUM('Corrected and Updated TSF 3'!CI92:CJ92)</f>
        <v>486931.99212821008</v>
      </c>
      <c r="J92" s="633">
        <f>'Corrected and Updated TSF 3'!CH92</f>
        <v>0</v>
      </c>
      <c r="K92" s="633">
        <f>'Corrected and Updated TSF 3'!CK92</f>
        <v>4306006.4401926026</v>
      </c>
      <c r="L92" s="634">
        <f>'Corrected and Updated TSF 3'!CL92</f>
        <v>0.125</v>
      </c>
      <c r="M92" s="633">
        <f>'Corrected and Updated TSF 3'!CM92</f>
        <v>538250.80502407532</v>
      </c>
      <c r="N92" s="633">
        <f>'Corrected and Updated TSF 3'!CN92</f>
        <v>30000</v>
      </c>
      <c r="O92" s="633">
        <f>'Corrected and Updated TSF 3'!CO92</f>
        <v>508250.80502407532</v>
      </c>
      <c r="P92" s="401">
        <f>'Corrected and Updated TSF 3'!CP92</f>
        <v>29</v>
      </c>
      <c r="Q92" s="633">
        <f>'Corrected and Updated TSF 3'!CQ92</f>
        <v>17525.889828416392</v>
      </c>
      <c r="R92" s="633">
        <f>'Corrected and Updated TSF 3'!CS92</f>
        <v>3767755.6351685273</v>
      </c>
      <c r="S92" s="633">
        <f>'Corrected and Updated TSF 3'!CT92</f>
        <v>29211.36933618176</v>
      </c>
      <c r="T92" s="635">
        <f>'Corrected and Updated TSF 3'!CU92</f>
        <v>33865.652825530153</v>
      </c>
      <c r="U92" s="636">
        <f>'Corrected and Updated TSF 3'!CV92</f>
        <v>43746.837686681865</v>
      </c>
      <c r="V92" s="636">
        <f>'Corrected and Updated TSF 3'!CW92</f>
        <v>74606.077383492782</v>
      </c>
      <c r="W92" s="1102">
        <f>'Corrected and Updated TSF 3'!CX92</f>
        <v>306066.76610985096</v>
      </c>
      <c r="X92" s="1102">
        <f>'Corrected and Updated TSF 3'!CY92</f>
        <v>121109.12841285109</v>
      </c>
      <c r="Y92" s="1102">
        <f>'Corrected and Updated TSF 3'!CZ92</f>
        <v>87475.408160448584</v>
      </c>
      <c r="Z92" s="1102">
        <f>'Corrected and Updated TSF 3'!DA92</f>
        <v>66572.812769898912</v>
      </c>
      <c r="AA92" s="821">
        <f>L92-'Corrected and Updated TSF 3'!CL92</f>
        <v>0</v>
      </c>
      <c r="AB92" s="678">
        <f>N92-'Corrected and Updated TSF 3'!CN92</f>
        <v>0</v>
      </c>
      <c r="AC92" s="678">
        <f>Q92-'Corrected and Updated TSF 3'!CQ92</f>
        <v>0</v>
      </c>
      <c r="AD92" s="775"/>
      <c r="AE92" s="775"/>
      <c r="AF92" s="775"/>
      <c r="AG92" s="775"/>
      <c r="AH92" s="677"/>
      <c r="AI92" s="677"/>
      <c r="AJ92" s="677"/>
      <c r="AK92" s="677"/>
    </row>
    <row r="93" spans="1:37" s="119" customFormat="1" ht="12.75" hidden="1" customHeight="1">
      <c r="A93" s="631" t="str">
        <f t="shared" si="1"/>
        <v>E-5I</v>
      </c>
      <c r="B93" s="632" t="str">
        <f>'Corrected and Updated TSF 3'!EP93</f>
        <v>SOLD</v>
      </c>
      <c r="C93" s="820" t="str">
        <f>'Corrected and Updated TSF 3'!E93</f>
        <v>5th Floor</v>
      </c>
      <c r="D93" s="628">
        <f>'INTERNAL PRICELIST'!D93</f>
        <v>0</v>
      </c>
      <c r="E93" s="596" t="str">
        <f>'Corrected and Updated TSF 3'!G93</f>
        <v>E-5I</v>
      </c>
      <c r="F93" s="401" t="str">
        <f>'Corrected and Updated TSF 3'!I93</f>
        <v>Studio</v>
      </c>
      <c r="G93" s="633">
        <f>'Corrected and Updated TSF 3'!J93</f>
        <v>22</v>
      </c>
      <c r="H93" s="633">
        <f>'Corrected and Updated TSF 3'!CG93</f>
        <v>3912308.4315311005</v>
      </c>
      <c r="I93" s="633">
        <f>SUM('Corrected and Updated TSF 3'!CI93:CJ93)</f>
        <v>498819.3250202153</v>
      </c>
      <c r="J93" s="633">
        <f>'Corrected and Updated TSF 3'!CH93</f>
        <v>0</v>
      </c>
      <c r="K93" s="633">
        <f>'Corrected and Updated TSF 3'!CK93</f>
        <v>4411127.756551316</v>
      </c>
      <c r="L93" s="634">
        <f>'Corrected and Updated TSF 3'!CL93</f>
        <v>0.125</v>
      </c>
      <c r="M93" s="633">
        <f>'Corrected and Updated TSF 3'!CM93</f>
        <v>551390.9695689145</v>
      </c>
      <c r="N93" s="633">
        <f>'Corrected and Updated TSF 3'!CN93</f>
        <v>30000</v>
      </c>
      <c r="O93" s="633">
        <f>'Corrected and Updated TSF 3'!CO93</f>
        <v>521390.9695689145</v>
      </c>
      <c r="P93" s="401">
        <f>'Corrected and Updated TSF 3'!CP93</f>
        <v>29</v>
      </c>
      <c r="Q93" s="633">
        <f>'Corrected and Updated TSF 3'!CQ93</f>
        <v>17978.998950652225</v>
      </c>
      <c r="R93" s="633">
        <f>'Corrected and Updated TSF 3'!CS93</f>
        <v>3859736.7869824013</v>
      </c>
      <c r="S93" s="633">
        <f>'Corrected and Updated TSF 3'!CT93</f>
        <v>29924.49822716471</v>
      </c>
      <c r="T93" s="635">
        <f>'Corrected and Updated TSF 3'!CU93</f>
        <v>34692.405421888943</v>
      </c>
      <c r="U93" s="636">
        <f>'Corrected and Updated TSF 3'!CV93</f>
        <v>44814.816852070493</v>
      </c>
      <c r="V93" s="636">
        <f>'Corrected and Updated TSF 3'!CW93</f>
        <v>76427.414432529331</v>
      </c>
      <c r="W93" s="1102">
        <f>'Corrected and Updated TSF 3'!CX93</f>
        <v>313538.687435097</v>
      </c>
      <c r="X93" s="1102">
        <f>'Corrected and Updated TSF 3'!CY93</f>
        <v>124065.73128343245</v>
      </c>
      <c r="Y93" s="1102">
        <f>'Corrected and Updated TSF 3'!CZ93</f>
        <v>89610.92053892769</v>
      </c>
      <c r="Z93" s="1102">
        <f>'Corrected and Updated TSF 3'!DA93</f>
        <v>68198.036003833709</v>
      </c>
      <c r="AA93" s="821">
        <f>L93-'Corrected and Updated TSF 3'!CL93</f>
        <v>0</v>
      </c>
      <c r="AB93" s="678">
        <f>N93-'Corrected and Updated TSF 3'!CN93</f>
        <v>0</v>
      </c>
      <c r="AC93" s="678">
        <f>Q93-'Corrected and Updated TSF 3'!CQ93</f>
        <v>0</v>
      </c>
      <c r="AD93" s="775"/>
      <c r="AE93" s="775"/>
      <c r="AF93" s="775"/>
      <c r="AG93" s="775"/>
      <c r="AH93" s="677"/>
      <c r="AI93" s="677"/>
      <c r="AJ93" s="677"/>
      <c r="AK93" s="677"/>
    </row>
    <row r="94" spans="1:37" s="119" customFormat="1" ht="12.75" hidden="1" customHeight="1">
      <c r="A94" s="631" t="str">
        <f t="shared" si="1"/>
        <v>E-5J</v>
      </c>
      <c r="B94" s="632" t="str">
        <f>'Corrected and Updated TSF 3'!EP94</f>
        <v>SOLD</v>
      </c>
      <c r="C94" s="820" t="str">
        <f>'Corrected and Updated TSF 3'!E94</f>
        <v>5th Floor</v>
      </c>
      <c r="D94" s="628">
        <f>'INTERNAL PRICELIST'!D94</f>
        <v>0</v>
      </c>
      <c r="E94" s="596" t="str">
        <f>'Corrected and Updated TSF 3'!G94</f>
        <v>E-5J</v>
      </c>
      <c r="F94" s="401" t="str">
        <f>'Corrected and Updated TSF 3'!I94</f>
        <v>Studio</v>
      </c>
      <c r="G94" s="633">
        <f>'Corrected and Updated TSF 3'!J94</f>
        <v>22</v>
      </c>
      <c r="H94" s="633">
        <f>'Corrected and Updated TSF 3'!CG94</f>
        <v>3912308.4315311005</v>
      </c>
      <c r="I94" s="633">
        <f>SUM('Corrected and Updated TSF 3'!CI94:CJ94)</f>
        <v>498819.3250202153</v>
      </c>
      <c r="J94" s="633">
        <f>'Corrected and Updated TSF 3'!CH94</f>
        <v>0</v>
      </c>
      <c r="K94" s="633">
        <f>'Corrected and Updated TSF 3'!CK94</f>
        <v>4411127.756551316</v>
      </c>
      <c r="L94" s="634">
        <f>'Corrected and Updated TSF 3'!CL94</f>
        <v>0.125</v>
      </c>
      <c r="M94" s="633">
        <f>'Corrected and Updated TSF 3'!CM94</f>
        <v>551390.9695689145</v>
      </c>
      <c r="N94" s="633">
        <f>'Corrected and Updated TSF 3'!CN94</f>
        <v>30000</v>
      </c>
      <c r="O94" s="633">
        <f>'Corrected and Updated TSF 3'!CO94</f>
        <v>521390.9695689145</v>
      </c>
      <c r="P94" s="401">
        <f>'Corrected and Updated TSF 3'!CP94</f>
        <v>29</v>
      </c>
      <c r="Q94" s="633">
        <f>'Corrected and Updated TSF 3'!CQ94</f>
        <v>17978.998950652225</v>
      </c>
      <c r="R94" s="633">
        <f>'Corrected and Updated TSF 3'!CS94</f>
        <v>3859736.7869824013</v>
      </c>
      <c r="S94" s="633">
        <f>'Corrected and Updated TSF 3'!CT94</f>
        <v>29924.49822716471</v>
      </c>
      <c r="T94" s="635">
        <f>'Corrected and Updated TSF 3'!CU94</f>
        <v>34692.405421888943</v>
      </c>
      <c r="U94" s="636">
        <f>'Corrected and Updated TSF 3'!CV94</f>
        <v>44814.816852070493</v>
      </c>
      <c r="V94" s="636">
        <f>'Corrected and Updated TSF 3'!CW94</f>
        <v>76427.414432529331</v>
      </c>
      <c r="W94" s="1102">
        <f>'Corrected and Updated TSF 3'!CX94</f>
        <v>313538.687435097</v>
      </c>
      <c r="X94" s="1102">
        <f>'Corrected and Updated TSF 3'!CY94</f>
        <v>124065.73128343245</v>
      </c>
      <c r="Y94" s="1102">
        <f>'Corrected and Updated TSF 3'!CZ94</f>
        <v>89610.92053892769</v>
      </c>
      <c r="Z94" s="1102">
        <f>'Corrected and Updated TSF 3'!DA94</f>
        <v>68198.036003833709</v>
      </c>
      <c r="AA94" s="821">
        <f>L94-'Corrected and Updated TSF 3'!CL94</f>
        <v>0</v>
      </c>
      <c r="AB94" s="678">
        <f>N94-'Corrected and Updated TSF 3'!CN94</f>
        <v>0</v>
      </c>
      <c r="AC94" s="678">
        <f>Q94-'Corrected and Updated TSF 3'!CQ94</f>
        <v>0</v>
      </c>
      <c r="AD94" s="775"/>
      <c r="AE94" s="775"/>
      <c r="AF94" s="775"/>
      <c r="AG94" s="775"/>
      <c r="AH94" s="677"/>
      <c r="AI94" s="677"/>
      <c r="AJ94" s="677"/>
      <c r="AK94" s="677"/>
    </row>
    <row r="95" spans="1:37" s="119" customFormat="1" ht="12.75" hidden="1" customHeight="1">
      <c r="A95" s="631" t="str">
        <f t="shared" si="1"/>
        <v>E-5K</v>
      </c>
      <c r="B95" s="632" t="str">
        <f>'Corrected and Updated TSF 3'!EP95</f>
        <v>SOLD</v>
      </c>
      <c r="C95" s="820" t="str">
        <f>'Corrected and Updated TSF 3'!E95</f>
        <v>5th Floor</v>
      </c>
      <c r="D95" s="628">
        <f>'INTERNAL PRICELIST'!D95</f>
        <v>0</v>
      </c>
      <c r="E95" s="596" t="str">
        <f>'Corrected and Updated TSF 3'!G95</f>
        <v>E-5K</v>
      </c>
      <c r="F95" s="401" t="str">
        <f>'Corrected and Updated TSF 3'!I95</f>
        <v>Studio</v>
      </c>
      <c r="G95" s="633">
        <f>'Corrected and Updated TSF 3'!J95</f>
        <v>22</v>
      </c>
      <c r="H95" s="633">
        <f>'Corrected and Updated TSF 3'!CG95</f>
        <v>3856632.0414510756</v>
      </c>
      <c r="I95" s="633">
        <f>SUM('Corrected and Updated TSF 3'!CI95:CJ95)</f>
        <v>491720.58528501214</v>
      </c>
      <c r="J95" s="633">
        <f>'Corrected and Updated TSF 3'!CH95</f>
        <v>0</v>
      </c>
      <c r="K95" s="633">
        <f>'Corrected and Updated TSF 3'!CK95</f>
        <v>4348352.6267360877</v>
      </c>
      <c r="L95" s="634">
        <f>'Corrected and Updated TSF 3'!CL95</f>
        <v>0.125</v>
      </c>
      <c r="M95" s="633">
        <f>'Corrected and Updated TSF 3'!CM95</f>
        <v>543544.07834201097</v>
      </c>
      <c r="N95" s="633">
        <f>'Corrected and Updated TSF 3'!CN95</f>
        <v>30000</v>
      </c>
      <c r="O95" s="633">
        <f>'Corrected and Updated TSF 3'!CO95</f>
        <v>513544.07834201097</v>
      </c>
      <c r="P95" s="401">
        <f>'Corrected and Updated TSF 3'!CP95</f>
        <v>29</v>
      </c>
      <c r="Q95" s="633">
        <f>'Corrected and Updated TSF 3'!CQ95</f>
        <v>17708.416494552101</v>
      </c>
      <c r="R95" s="633">
        <f>'Corrected and Updated TSF 3'!CS95</f>
        <v>3804808.5483940765</v>
      </c>
      <c r="S95" s="633">
        <f>'Corrected and Updated TSF 3'!CT95</f>
        <v>29498.640178035228</v>
      </c>
      <c r="T95" s="635">
        <f>'Corrected and Updated TSF 3'!CU95</f>
        <v>34198.69488477581</v>
      </c>
      <c r="U95" s="636">
        <f>'Corrected and Updated TSF 3'!CV95</f>
        <v>44177.053427205676</v>
      </c>
      <c r="V95" s="636">
        <f>'Corrected and Updated TSF 3'!CW95</f>
        <v>75339.769474770234</v>
      </c>
      <c r="W95" s="1102">
        <f>'Corrected and Updated TSF 3'!CX95</f>
        <v>309076.69202437636</v>
      </c>
      <c r="X95" s="1102">
        <f>'Corrected and Updated TSF 3'!CY95</f>
        <v>122300.14143503785</v>
      </c>
      <c r="Y95" s="1102">
        <f>'Corrected and Updated TSF 3'!CZ95</f>
        <v>88335.659997824871</v>
      </c>
      <c r="Z95" s="1102">
        <f>'Corrected and Updated TSF 3'!DA95</f>
        <v>67227.504022091394</v>
      </c>
      <c r="AA95" s="821">
        <f>L95-'Corrected and Updated TSF 3'!CL95</f>
        <v>0</v>
      </c>
      <c r="AB95" s="678">
        <f>N95-'Corrected and Updated TSF 3'!CN95</f>
        <v>0</v>
      </c>
      <c r="AC95" s="678">
        <f>Q95-'Corrected and Updated TSF 3'!CQ95</f>
        <v>0</v>
      </c>
      <c r="AD95" s="775"/>
      <c r="AE95" s="775"/>
      <c r="AF95" s="775"/>
      <c r="AG95" s="775"/>
      <c r="AH95" s="677"/>
      <c r="AI95" s="677"/>
      <c r="AJ95" s="677"/>
      <c r="AK95" s="677"/>
    </row>
    <row r="96" spans="1:37" s="119" customFormat="1" ht="12.75" hidden="1" customHeight="1">
      <c r="A96" s="631" t="str">
        <f t="shared" si="1"/>
        <v>E-5L</v>
      </c>
      <c r="B96" s="632" t="str">
        <f>'Corrected and Updated TSF 3'!EP96</f>
        <v>SOLD</v>
      </c>
      <c r="C96" s="820" t="str">
        <f>'Corrected and Updated TSF 3'!E96</f>
        <v>5th Floor</v>
      </c>
      <c r="D96" s="628">
        <f>'INTERNAL PRICELIST'!D96</f>
        <v>0</v>
      </c>
      <c r="E96" s="596" t="str">
        <f>'Corrected and Updated TSF 3'!G96</f>
        <v>E-5L</v>
      </c>
      <c r="F96" s="401" t="str">
        <f>'Corrected and Updated TSF 3'!I96</f>
        <v>Studio</v>
      </c>
      <c r="G96" s="633">
        <f>'Corrected and Updated TSF 3'!J96</f>
        <v>22</v>
      </c>
      <c r="H96" s="633">
        <f>'Corrected and Updated TSF 3'!CG96</f>
        <v>3856632.0414510756</v>
      </c>
      <c r="I96" s="633">
        <f>SUM('Corrected and Updated TSF 3'!CI96:CJ96)</f>
        <v>491720.58528501214</v>
      </c>
      <c r="J96" s="633">
        <f>'Corrected and Updated TSF 3'!CH96</f>
        <v>0</v>
      </c>
      <c r="K96" s="633">
        <f>'Corrected and Updated TSF 3'!CK96</f>
        <v>4348352.6267360877</v>
      </c>
      <c r="L96" s="634">
        <f>'Corrected and Updated TSF 3'!CL96</f>
        <v>0.125</v>
      </c>
      <c r="M96" s="633">
        <f>'Corrected and Updated TSF 3'!CM96</f>
        <v>543544.07834201097</v>
      </c>
      <c r="N96" s="633">
        <f>'Corrected and Updated TSF 3'!CN96</f>
        <v>30000</v>
      </c>
      <c r="O96" s="633">
        <f>'Corrected and Updated TSF 3'!CO96</f>
        <v>513544.07834201097</v>
      </c>
      <c r="P96" s="401">
        <f>'Corrected and Updated TSF 3'!CP96</f>
        <v>29</v>
      </c>
      <c r="Q96" s="633">
        <f>'Corrected and Updated TSF 3'!CQ96</f>
        <v>17708.416494552101</v>
      </c>
      <c r="R96" s="633">
        <f>'Corrected and Updated TSF 3'!CS96</f>
        <v>3804808.5483940765</v>
      </c>
      <c r="S96" s="633">
        <f>'Corrected and Updated TSF 3'!CT96</f>
        <v>29498.640178035228</v>
      </c>
      <c r="T96" s="635">
        <f>'Corrected and Updated TSF 3'!CU96</f>
        <v>34198.69488477581</v>
      </c>
      <c r="U96" s="636">
        <f>'Corrected and Updated TSF 3'!CV96</f>
        <v>44177.053427205676</v>
      </c>
      <c r="V96" s="636">
        <f>'Corrected and Updated TSF 3'!CW96</f>
        <v>75339.769474770234</v>
      </c>
      <c r="W96" s="1102">
        <f>'Corrected and Updated TSF 3'!CX96</f>
        <v>309076.69202437636</v>
      </c>
      <c r="X96" s="1102">
        <f>'Corrected and Updated TSF 3'!CY96</f>
        <v>122300.14143503785</v>
      </c>
      <c r="Y96" s="1102">
        <f>'Corrected and Updated TSF 3'!CZ96</f>
        <v>88335.659997824871</v>
      </c>
      <c r="Z96" s="1102">
        <f>'Corrected and Updated TSF 3'!DA96</f>
        <v>67227.504022091394</v>
      </c>
      <c r="AA96" s="821">
        <f>L96-'Corrected and Updated TSF 3'!CL96</f>
        <v>0</v>
      </c>
      <c r="AB96" s="678">
        <f>N96-'Corrected and Updated TSF 3'!CN96</f>
        <v>0</v>
      </c>
      <c r="AC96" s="678">
        <f>Q96-'Corrected and Updated TSF 3'!CQ96</f>
        <v>0</v>
      </c>
      <c r="AD96" s="775"/>
      <c r="AE96" s="775"/>
      <c r="AF96" s="775"/>
      <c r="AG96" s="775"/>
      <c r="AH96" s="677"/>
      <c r="AI96" s="677"/>
      <c r="AJ96" s="677"/>
      <c r="AK96" s="677"/>
    </row>
    <row r="97" spans="1:37" s="119" customFormat="1" ht="12.75" customHeight="1">
      <c r="A97" s="631" t="str">
        <f t="shared" si="1"/>
        <v>E-5M</v>
      </c>
      <c r="B97" s="632" t="str">
        <f>'Corrected and Updated TSF 3'!EP97</f>
        <v>UNSOLD</v>
      </c>
      <c r="C97" s="820" t="str">
        <f>'Corrected and Updated TSF 3'!E97</f>
        <v>5th Floor</v>
      </c>
      <c r="D97" s="628">
        <f>'INTERNAL PRICELIST'!D97</f>
        <v>0</v>
      </c>
      <c r="E97" s="596" t="str">
        <f>'Corrected and Updated TSF 3'!G97</f>
        <v>E-5M</v>
      </c>
      <c r="F97" s="401" t="str">
        <f>'Corrected and Updated TSF 3'!I97</f>
        <v>Studio</v>
      </c>
      <c r="G97" s="633">
        <f>'Corrected and Updated TSF 3'!J97</f>
        <v>22</v>
      </c>
      <c r="H97" s="633">
        <f>'Corrected and Updated TSF 3'!CG97</f>
        <v>3931066.0813078969</v>
      </c>
      <c r="I97" s="633">
        <f>SUM('Corrected and Updated TSF 3'!CI97:CJ97)</f>
        <v>501210.92536675686</v>
      </c>
      <c r="J97" s="633">
        <f>'Corrected and Updated TSF 3'!CH97</f>
        <v>0</v>
      </c>
      <c r="K97" s="633">
        <f>'Corrected and Updated TSF 3'!CK97</f>
        <v>4432277.0066746539</v>
      </c>
      <c r="L97" s="634">
        <f>'Corrected and Updated TSF 3'!CL97</f>
        <v>0.125</v>
      </c>
      <c r="M97" s="633">
        <f>'Corrected and Updated TSF 3'!CM97</f>
        <v>554034.62583433173</v>
      </c>
      <c r="N97" s="633">
        <f>'Corrected and Updated TSF 3'!CN97</f>
        <v>30000</v>
      </c>
      <c r="O97" s="633">
        <f>'Corrected and Updated TSF 3'!CO97</f>
        <v>524034.62583433173</v>
      </c>
      <c r="P97" s="401">
        <f>'Corrected and Updated TSF 3'!CP97</f>
        <v>29</v>
      </c>
      <c r="Q97" s="633">
        <f>'Corrected and Updated TSF 3'!CQ97</f>
        <v>18070.15951152868</v>
      </c>
      <c r="R97" s="633">
        <f>'Corrected and Updated TSF 3'!CS97</f>
        <v>3878242.380840322</v>
      </c>
      <c r="S97" s="633">
        <f>'Corrected and Updated TSF 3'!CT97</f>
        <v>30067.971899375116</v>
      </c>
      <c r="T97" s="635">
        <f>'Corrected and Updated TSF 3'!CU97</f>
        <v>34858.738931173066</v>
      </c>
      <c r="U97" s="636">
        <f>'Corrected and Updated TSF 3'!CV97</f>
        <v>45029.682488058563</v>
      </c>
      <c r="V97" s="636">
        <f>'Corrected and Updated TSF 3'!CW97</f>
        <v>76793.847370617092</v>
      </c>
      <c r="W97" s="1102">
        <f>'Corrected and Updated TSF 3'!CX97</f>
        <v>315041.95564447035</v>
      </c>
      <c r="X97" s="1102">
        <f>'Corrected and Updated TSF 3'!CY97</f>
        <v>124660.56719104161</v>
      </c>
      <c r="Y97" s="1102">
        <f>'Corrected and Updated TSF 3'!CZ97</f>
        <v>90040.562090217063</v>
      </c>
      <c r="Z97" s="1102">
        <f>'Corrected and Updated TSF 3'!DA97</f>
        <v>68525.013004040375</v>
      </c>
      <c r="AA97" s="821">
        <f>L97-'Corrected and Updated TSF 3'!CL97</f>
        <v>0</v>
      </c>
      <c r="AB97" s="678">
        <f>N97-'Corrected and Updated TSF 3'!CN97</f>
        <v>0</v>
      </c>
      <c r="AC97" s="678">
        <f>Q97-'Corrected and Updated TSF 3'!CQ97</f>
        <v>0</v>
      </c>
      <c r="AD97" s="775"/>
      <c r="AE97" s="775"/>
      <c r="AF97" s="775"/>
      <c r="AG97" s="775"/>
      <c r="AH97" s="677"/>
      <c r="AI97" s="677"/>
      <c r="AJ97" s="677"/>
      <c r="AK97" s="677"/>
    </row>
    <row r="98" spans="1:37" s="119" customFormat="1" ht="12.75" hidden="1" customHeight="1">
      <c r="A98" s="631" t="str">
        <f t="shared" si="1"/>
        <v>E-5N</v>
      </c>
      <c r="B98" s="632" t="str">
        <f>'Corrected and Updated TSF 3'!EP98</f>
        <v>SOLD</v>
      </c>
      <c r="C98" s="820" t="str">
        <f>'Corrected and Updated TSF 3'!E98</f>
        <v>5th Floor</v>
      </c>
      <c r="D98" s="628">
        <f>'INTERNAL PRICELIST'!D98</f>
        <v>0</v>
      </c>
      <c r="E98" s="596" t="str">
        <f>'Corrected and Updated TSF 3'!G98</f>
        <v>E-5N</v>
      </c>
      <c r="F98" s="401" t="str">
        <f>'Corrected and Updated TSF 3'!I98</f>
        <v>Studio</v>
      </c>
      <c r="G98" s="633">
        <f>'Corrected and Updated TSF 3'!J98</f>
        <v>22</v>
      </c>
      <c r="H98" s="633">
        <f>'Corrected and Updated TSF 3'!CG98</f>
        <v>3819074.4480643929</v>
      </c>
      <c r="I98" s="633">
        <f>SUM('Corrected and Updated TSF 3'!CI98:CJ98)</f>
        <v>486931.99212821008</v>
      </c>
      <c r="J98" s="633">
        <f>'Corrected and Updated TSF 3'!CH98</f>
        <v>0</v>
      </c>
      <c r="K98" s="633">
        <f>'Corrected and Updated TSF 3'!CK98</f>
        <v>4306006.4401926026</v>
      </c>
      <c r="L98" s="634">
        <f>'Corrected and Updated TSF 3'!CL98</f>
        <v>0.125</v>
      </c>
      <c r="M98" s="633">
        <f>'Corrected and Updated TSF 3'!CM98</f>
        <v>538250.80502407532</v>
      </c>
      <c r="N98" s="633">
        <f>'Corrected and Updated TSF 3'!CN98</f>
        <v>30000</v>
      </c>
      <c r="O98" s="633">
        <f>'Corrected and Updated TSF 3'!CO98</f>
        <v>508250.80502407532</v>
      </c>
      <c r="P98" s="401">
        <f>'Corrected and Updated TSF 3'!CP98</f>
        <v>29</v>
      </c>
      <c r="Q98" s="633">
        <f>'Corrected and Updated TSF 3'!CQ98</f>
        <v>17525.889828416392</v>
      </c>
      <c r="R98" s="633">
        <f>'Corrected and Updated TSF 3'!CS98</f>
        <v>3767755.6351685273</v>
      </c>
      <c r="S98" s="633">
        <f>'Corrected and Updated TSF 3'!CT98</f>
        <v>29211.36933618176</v>
      </c>
      <c r="T98" s="635">
        <f>'Corrected and Updated TSF 3'!CU98</f>
        <v>33865.652825530153</v>
      </c>
      <c r="U98" s="636">
        <f>'Corrected and Updated TSF 3'!CV98</f>
        <v>43746.837686681865</v>
      </c>
      <c r="V98" s="636">
        <f>'Corrected and Updated TSF 3'!CW98</f>
        <v>74606.077383492782</v>
      </c>
      <c r="W98" s="1102">
        <f>'Corrected and Updated TSF 3'!CX98</f>
        <v>306066.76610985096</v>
      </c>
      <c r="X98" s="1102">
        <f>'Corrected and Updated TSF 3'!CY98</f>
        <v>121109.12841285109</v>
      </c>
      <c r="Y98" s="1102">
        <f>'Corrected and Updated TSF 3'!CZ98</f>
        <v>87475.408160448584</v>
      </c>
      <c r="Z98" s="1102">
        <f>'Corrected and Updated TSF 3'!DA98</f>
        <v>66572.812769898912</v>
      </c>
      <c r="AA98" s="821">
        <f>L98-'Corrected and Updated TSF 3'!CL98</f>
        <v>0</v>
      </c>
      <c r="AB98" s="678">
        <f>N98-'Corrected and Updated TSF 3'!CN98</f>
        <v>0</v>
      </c>
      <c r="AC98" s="678">
        <f>Q98-'Corrected and Updated TSF 3'!CQ98</f>
        <v>0</v>
      </c>
      <c r="AD98" s="775"/>
      <c r="AE98" s="775"/>
      <c r="AF98" s="775"/>
      <c r="AG98" s="775"/>
      <c r="AH98" s="677"/>
      <c r="AI98" s="677"/>
      <c r="AJ98" s="677"/>
      <c r="AK98" s="677"/>
    </row>
    <row r="99" spans="1:37" s="119" customFormat="1" ht="12.75" hidden="1" customHeight="1">
      <c r="A99" s="631" t="str">
        <f t="shared" si="1"/>
        <v>E-5O</v>
      </c>
      <c r="B99" s="632" t="str">
        <f>'Corrected and Updated TSF 3'!EP99</f>
        <v>SOLD</v>
      </c>
      <c r="C99" s="820" t="str">
        <f>'Corrected and Updated TSF 3'!E99</f>
        <v>5th Floor</v>
      </c>
      <c r="D99" s="628">
        <f>'INTERNAL PRICELIST'!D99</f>
        <v>0</v>
      </c>
      <c r="E99" s="596" t="str">
        <f>'Corrected and Updated TSF 3'!G99</f>
        <v>E-5O</v>
      </c>
      <c r="F99" s="401" t="str">
        <f>'Corrected and Updated TSF 3'!I99</f>
        <v>Studio</v>
      </c>
      <c r="G99" s="633">
        <f>'Corrected and Updated TSF 3'!J99</f>
        <v>22</v>
      </c>
      <c r="H99" s="633">
        <f>'Corrected and Updated TSF 3'!CG99</f>
        <v>3856632.0414510756</v>
      </c>
      <c r="I99" s="633">
        <f>SUM('Corrected and Updated TSF 3'!CI99:CJ99)</f>
        <v>491720.58528501214</v>
      </c>
      <c r="J99" s="633">
        <f>'Corrected and Updated TSF 3'!CH99</f>
        <v>0</v>
      </c>
      <c r="K99" s="633">
        <f>'Corrected and Updated TSF 3'!CK99</f>
        <v>4348352.6267360877</v>
      </c>
      <c r="L99" s="634">
        <f>'Corrected and Updated TSF 3'!CL99</f>
        <v>0.125</v>
      </c>
      <c r="M99" s="633">
        <f>'Corrected and Updated TSF 3'!CM99</f>
        <v>543544.07834201097</v>
      </c>
      <c r="N99" s="633">
        <f>'Corrected and Updated TSF 3'!CN99</f>
        <v>30000</v>
      </c>
      <c r="O99" s="633">
        <f>'Corrected and Updated TSF 3'!CO99</f>
        <v>513544.07834201097</v>
      </c>
      <c r="P99" s="401">
        <f>'Corrected and Updated TSF 3'!CP99</f>
        <v>29</v>
      </c>
      <c r="Q99" s="633">
        <f>'Corrected and Updated TSF 3'!CQ99</f>
        <v>17708.416494552101</v>
      </c>
      <c r="R99" s="633">
        <f>'Corrected and Updated TSF 3'!CS99</f>
        <v>3804808.5483940765</v>
      </c>
      <c r="S99" s="633">
        <f>'Corrected and Updated TSF 3'!CT99</f>
        <v>29498.640178035228</v>
      </c>
      <c r="T99" s="635">
        <f>'Corrected and Updated TSF 3'!CU99</f>
        <v>34198.69488477581</v>
      </c>
      <c r="U99" s="636">
        <f>'Corrected and Updated TSF 3'!CV99</f>
        <v>44177.053427205676</v>
      </c>
      <c r="V99" s="636">
        <f>'Corrected and Updated TSF 3'!CW99</f>
        <v>75339.769474770234</v>
      </c>
      <c r="W99" s="1102">
        <f>'Corrected and Updated TSF 3'!CX99</f>
        <v>309076.69202437636</v>
      </c>
      <c r="X99" s="1102">
        <f>'Corrected and Updated TSF 3'!CY99</f>
        <v>122300.14143503785</v>
      </c>
      <c r="Y99" s="1102">
        <f>'Corrected and Updated TSF 3'!CZ99</f>
        <v>88335.659997824871</v>
      </c>
      <c r="Z99" s="1102">
        <f>'Corrected and Updated TSF 3'!DA99</f>
        <v>67227.504022091394</v>
      </c>
      <c r="AA99" s="821">
        <f>L99-'Corrected and Updated TSF 3'!CL99</f>
        <v>0</v>
      </c>
      <c r="AB99" s="678">
        <f>N99-'Corrected and Updated TSF 3'!CN99</f>
        <v>0</v>
      </c>
      <c r="AC99" s="678">
        <f>Q99-'Corrected and Updated TSF 3'!CQ99</f>
        <v>0</v>
      </c>
      <c r="AD99" s="775"/>
      <c r="AE99" s="775"/>
      <c r="AF99" s="775"/>
      <c r="AG99" s="775"/>
      <c r="AH99" s="677"/>
      <c r="AI99" s="677"/>
      <c r="AJ99" s="677"/>
      <c r="AK99" s="677"/>
    </row>
    <row r="100" spans="1:37" s="119" customFormat="1" ht="12.75" hidden="1" customHeight="1">
      <c r="A100" s="631" t="str">
        <f t="shared" si="1"/>
        <v>W-6A</v>
      </c>
      <c r="B100" s="632" t="str">
        <f>'Corrected and Updated TSF 3'!EP100</f>
        <v>SOLD</v>
      </c>
      <c r="C100" s="820" t="str">
        <f>'Corrected and Updated TSF 3'!E100</f>
        <v>6th Floor</v>
      </c>
      <c r="D100" s="628">
        <f>'INTERNAL PRICELIST'!D100</f>
        <v>0</v>
      </c>
      <c r="E100" s="596" t="str">
        <f>'Corrected and Updated TSF 3'!G100</f>
        <v>W-6A</v>
      </c>
      <c r="F100" s="401" t="str">
        <f>'Corrected and Updated TSF 3'!I100</f>
        <v>Studio</v>
      </c>
      <c r="G100" s="633">
        <f>'Corrected and Updated TSF 3'!J100</f>
        <v>22</v>
      </c>
      <c r="H100" s="633">
        <f>'Corrected and Updated TSF 3'!CG100</f>
        <v>3952156.7699214201</v>
      </c>
      <c r="I100" s="633">
        <f>SUM('Corrected and Updated TSF 3'!CI100:CJ100)</f>
        <v>503899.98816498107</v>
      </c>
      <c r="J100" s="633">
        <f>'Corrected and Updated TSF 3'!CH100</f>
        <v>0</v>
      </c>
      <c r="K100" s="633">
        <f>'Corrected and Updated TSF 3'!CK100</f>
        <v>4456056.758086401</v>
      </c>
      <c r="L100" s="634">
        <f>'Corrected and Updated TSF 3'!CL100</f>
        <v>0.125</v>
      </c>
      <c r="M100" s="633">
        <f>'Corrected and Updated TSF 3'!CM100</f>
        <v>557007.09476080013</v>
      </c>
      <c r="N100" s="633">
        <f>'Corrected and Updated TSF 3'!CN100</f>
        <v>30000</v>
      </c>
      <c r="O100" s="633">
        <f>'Corrected and Updated TSF 3'!CO100</f>
        <v>527007.09476080013</v>
      </c>
      <c r="P100" s="401">
        <f>'Corrected and Updated TSF 3'!CP100</f>
        <v>29</v>
      </c>
      <c r="Q100" s="633">
        <f>'Corrected and Updated TSF 3'!CQ100</f>
        <v>18172.65844002759</v>
      </c>
      <c r="R100" s="633">
        <f>'Corrected and Updated TSF 3'!CS100</f>
        <v>3899049.6633256008</v>
      </c>
      <c r="S100" s="633">
        <f>'Corrected and Updated TSF 3'!CT100</f>
        <v>30229.290539014699</v>
      </c>
      <c r="T100" s="635">
        <f>'Corrected and Updated TSF 3'!CU100</f>
        <v>35045.760668546878</v>
      </c>
      <c r="U100" s="636">
        <f>'Corrected and Updated TSF 3'!CV100</f>
        <v>45271.272680662369</v>
      </c>
      <c r="V100" s="636">
        <f>'Corrected and Updated TSF 3'!CW100</f>
        <v>77205.85650219323</v>
      </c>
      <c r="W100" s="1102">
        <f>'Corrected and Updated TSF 3'!CX100</f>
        <v>316732.19733699417</v>
      </c>
      <c r="X100" s="1102">
        <f>'Corrected and Updated TSF 3'!CY100</f>
        <v>125329.38759513329</v>
      </c>
      <c r="Y100" s="1102">
        <f>'Corrected and Updated TSF 3'!CZ100</f>
        <v>90523.641595458947</v>
      </c>
      <c r="Z100" s="1102">
        <f>'Corrected and Updated TSF 3'!DA100</f>
        <v>68892.658747361231</v>
      </c>
      <c r="AA100" s="821">
        <f>L100-'Corrected and Updated TSF 3'!CL100</f>
        <v>0</v>
      </c>
      <c r="AB100" s="678">
        <f>N100-'Corrected and Updated TSF 3'!CN100</f>
        <v>0</v>
      </c>
      <c r="AC100" s="678">
        <f>Q100-'Corrected and Updated TSF 3'!CQ100</f>
        <v>0</v>
      </c>
      <c r="AD100" s="775"/>
      <c r="AE100" s="775"/>
      <c r="AF100" s="775"/>
      <c r="AG100" s="775"/>
      <c r="AH100" s="677"/>
      <c r="AI100" s="677"/>
      <c r="AJ100" s="677"/>
      <c r="AK100" s="677"/>
    </row>
    <row r="101" spans="1:37" s="119" customFormat="1" ht="12.75" hidden="1" customHeight="1">
      <c r="A101" s="631" t="str">
        <f t="shared" si="1"/>
        <v>W-6B</v>
      </c>
      <c r="B101" s="632" t="str">
        <f>'Corrected and Updated TSF 3'!EP101</f>
        <v>SOLD</v>
      </c>
      <c r="C101" s="820" t="str">
        <f>'Corrected and Updated TSF 3'!E101</f>
        <v>6th Floor</v>
      </c>
      <c r="D101" s="628">
        <f>'INTERNAL PRICELIST'!D101</f>
        <v>0</v>
      </c>
      <c r="E101" s="596" t="str">
        <f>'Corrected and Updated TSF 3'!G101</f>
        <v>W-6B</v>
      </c>
      <c r="F101" s="401" t="str">
        <f>'Corrected and Updated TSF 3'!I101</f>
        <v>Studio</v>
      </c>
      <c r="G101" s="633">
        <f>'Corrected and Updated TSF 3'!J101</f>
        <v>22</v>
      </c>
      <c r="H101" s="633">
        <f>'Corrected and Updated TSF 3'!CG101</f>
        <v>3858922.786454713</v>
      </c>
      <c r="I101" s="633">
        <f>SUM('Corrected and Updated TSF 3'!CI101:CJ101)</f>
        <v>492012.65527297591</v>
      </c>
      <c r="J101" s="633">
        <f>'Corrected and Updated TSF 3'!CH101</f>
        <v>0</v>
      </c>
      <c r="K101" s="633">
        <f>'Corrected and Updated TSF 3'!CK101</f>
        <v>4350935.4417276885</v>
      </c>
      <c r="L101" s="634">
        <f>'Corrected and Updated TSF 3'!CL101</f>
        <v>0.125</v>
      </c>
      <c r="M101" s="633">
        <f>'Corrected and Updated TSF 3'!CM101</f>
        <v>543866.93021596107</v>
      </c>
      <c r="N101" s="633">
        <f>'Corrected and Updated TSF 3'!CN101</f>
        <v>30000</v>
      </c>
      <c r="O101" s="633">
        <f>'Corrected and Updated TSF 3'!CO101</f>
        <v>513866.93021596107</v>
      </c>
      <c r="P101" s="401">
        <f>'Corrected and Updated TSF 3'!CP101</f>
        <v>29</v>
      </c>
      <c r="Q101" s="633">
        <f>'Corrected and Updated TSF 3'!CQ101</f>
        <v>17719.54931779176</v>
      </c>
      <c r="R101" s="633">
        <f>'Corrected and Updated TSF 3'!CS101</f>
        <v>3807068.5115117272</v>
      </c>
      <c r="S101" s="633">
        <f>'Corrected and Updated TSF 3'!CT101</f>
        <v>29516.161648031753</v>
      </c>
      <c r="T101" s="635">
        <f>'Corrected and Updated TSF 3'!CU101</f>
        <v>34219.008072188088</v>
      </c>
      <c r="U101" s="636">
        <f>'Corrected and Updated TSF 3'!CV101</f>
        <v>44203.293515273741</v>
      </c>
      <c r="V101" s="636">
        <f>'Corrected and Updated TSF 3'!CW101</f>
        <v>75384.519453156696</v>
      </c>
      <c r="W101" s="1102">
        <f>'Corrected and Updated TSF 3'!CX101</f>
        <v>309260.27601174818</v>
      </c>
      <c r="X101" s="1102">
        <f>'Corrected and Updated TSF 3'!CY101</f>
        <v>122372.78472455194</v>
      </c>
      <c r="Y101" s="1102">
        <f>'Corrected and Updated TSF 3'!CZ101</f>
        <v>88388.129216979854</v>
      </c>
      <c r="Z101" s="1102">
        <f>'Corrected and Updated TSF 3'!DA101</f>
        <v>67267.435513426433</v>
      </c>
      <c r="AA101" s="821">
        <f>L101-'Corrected and Updated TSF 3'!CL101</f>
        <v>0</v>
      </c>
      <c r="AB101" s="678">
        <f>N101-'Corrected and Updated TSF 3'!CN101</f>
        <v>0</v>
      </c>
      <c r="AC101" s="678">
        <f>Q101-'Corrected and Updated TSF 3'!CQ101</f>
        <v>0</v>
      </c>
      <c r="AD101" s="775"/>
      <c r="AE101" s="775"/>
      <c r="AF101" s="775"/>
      <c r="AG101" s="775"/>
      <c r="AH101" s="677"/>
      <c r="AI101" s="677"/>
      <c r="AJ101" s="677"/>
      <c r="AK101" s="677"/>
    </row>
    <row r="102" spans="1:37" s="119" customFormat="1" ht="12.75" hidden="1" customHeight="1">
      <c r="A102" s="631" t="str">
        <f t="shared" si="1"/>
        <v>W-6C</v>
      </c>
      <c r="B102" s="632" t="str">
        <f>'Corrected and Updated TSF 3'!EP102</f>
        <v>SOLD</v>
      </c>
      <c r="C102" s="820" t="str">
        <f>'Corrected and Updated TSF 3'!E102</f>
        <v>6th Floor</v>
      </c>
      <c r="D102" s="628">
        <f>'INTERNAL PRICELIST'!D102</f>
        <v>0</v>
      </c>
      <c r="E102" s="596" t="str">
        <f>'Corrected and Updated TSF 3'!G102</f>
        <v>W-6C</v>
      </c>
      <c r="F102" s="401" t="str">
        <f>'Corrected and Updated TSF 3'!I102</f>
        <v>Studio</v>
      </c>
      <c r="G102" s="633">
        <f>'Corrected and Updated TSF 3'!J102</f>
        <v>22</v>
      </c>
      <c r="H102" s="633">
        <f>'Corrected and Updated TSF 3'!CG102</f>
        <v>3858922.786454713</v>
      </c>
      <c r="I102" s="633">
        <f>SUM('Corrected and Updated TSF 3'!CI102:CJ102)</f>
        <v>492012.65527297591</v>
      </c>
      <c r="J102" s="633">
        <f>'Corrected and Updated TSF 3'!CH102</f>
        <v>0</v>
      </c>
      <c r="K102" s="633">
        <f>'Corrected and Updated TSF 3'!CK102</f>
        <v>4350935.4417276885</v>
      </c>
      <c r="L102" s="634">
        <f>'Corrected and Updated TSF 3'!CL102</f>
        <v>0.125</v>
      </c>
      <c r="M102" s="633">
        <f>'Corrected and Updated TSF 3'!CM102</f>
        <v>543866.93021596107</v>
      </c>
      <c r="N102" s="633">
        <f>'Corrected and Updated TSF 3'!CN102</f>
        <v>30000</v>
      </c>
      <c r="O102" s="633">
        <f>'Corrected and Updated TSF 3'!CO102</f>
        <v>513866.93021596107</v>
      </c>
      <c r="P102" s="401">
        <f>'Corrected and Updated TSF 3'!CP102</f>
        <v>29</v>
      </c>
      <c r="Q102" s="633">
        <f>'Corrected and Updated TSF 3'!CQ102</f>
        <v>17719.54931779176</v>
      </c>
      <c r="R102" s="633">
        <f>'Corrected and Updated TSF 3'!CS102</f>
        <v>3807068.5115117272</v>
      </c>
      <c r="S102" s="633">
        <f>'Corrected and Updated TSF 3'!CT102</f>
        <v>29516.161648031753</v>
      </c>
      <c r="T102" s="635">
        <f>'Corrected and Updated TSF 3'!CU102</f>
        <v>34219.008072188088</v>
      </c>
      <c r="U102" s="636">
        <f>'Corrected and Updated TSF 3'!CV102</f>
        <v>44203.293515273741</v>
      </c>
      <c r="V102" s="636">
        <f>'Corrected and Updated TSF 3'!CW102</f>
        <v>75384.519453156696</v>
      </c>
      <c r="W102" s="1102">
        <f>'Corrected and Updated TSF 3'!CX102</f>
        <v>309260.27601174818</v>
      </c>
      <c r="X102" s="1102">
        <f>'Corrected and Updated TSF 3'!CY102</f>
        <v>122372.78472455194</v>
      </c>
      <c r="Y102" s="1102">
        <f>'Corrected and Updated TSF 3'!CZ102</f>
        <v>88388.129216979854</v>
      </c>
      <c r="Z102" s="1102">
        <f>'Corrected and Updated TSF 3'!DA102</f>
        <v>67267.435513426433</v>
      </c>
      <c r="AA102" s="821">
        <f>L102-'Corrected and Updated TSF 3'!CL102</f>
        <v>0</v>
      </c>
      <c r="AB102" s="678">
        <f>N102-'Corrected and Updated TSF 3'!CN102</f>
        <v>0</v>
      </c>
      <c r="AC102" s="678">
        <f>Q102-'Corrected and Updated TSF 3'!CQ102</f>
        <v>0</v>
      </c>
      <c r="AD102" s="775"/>
      <c r="AE102" s="775"/>
      <c r="AF102" s="775"/>
      <c r="AG102" s="775"/>
      <c r="AH102" s="677"/>
      <c r="AI102" s="677"/>
      <c r="AJ102" s="677"/>
      <c r="AK102" s="677"/>
    </row>
    <row r="103" spans="1:37" s="119" customFormat="1" ht="12.75" hidden="1" customHeight="1">
      <c r="A103" s="631" t="str">
        <f t="shared" si="1"/>
        <v>W-6D</v>
      </c>
      <c r="B103" s="632" t="str">
        <f>'Corrected and Updated TSF 3'!EP103</f>
        <v>SOLD</v>
      </c>
      <c r="C103" s="820" t="str">
        <f>'Corrected and Updated TSF 3'!E103</f>
        <v>6th Floor</v>
      </c>
      <c r="D103" s="628">
        <f>'INTERNAL PRICELIST'!D103</f>
        <v>0</v>
      </c>
      <c r="E103" s="596" t="str">
        <f>'Corrected and Updated TSF 3'!G103</f>
        <v>W-6D</v>
      </c>
      <c r="F103" s="401" t="str">
        <f>'Corrected and Updated TSF 3'!I103</f>
        <v>Studio</v>
      </c>
      <c r="G103" s="633">
        <f>'Corrected and Updated TSF 3'!J103</f>
        <v>22</v>
      </c>
      <c r="H103" s="633">
        <f>'Corrected and Updated TSF 3'!CG103</f>
        <v>3853577.7147795591</v>
      </c>
      <c r="I103" s="633">
        <f>SUM('Corrected and Updated TSF 3'!CI103:CJ103)</f>
        <v>491331.15863439377</v>
      </c>
      <c r="J103" s="633">
        <f>'Corrected and Updated TSF 3'!CH103</f>
        <v>0</v>
      </c>
      <c r="K103" s="633">
        <f>'Corrected and Updated TSF 3'!CK103</f>
        <v>4344908.873413953</v>
      </c>
      <c r="L103" s="634">
        <f>'Corrected and Updated TSF 3'!CL103</f>
        <v>0.125</v>
      </c>
      <c r="M103" s="633">
        <f>'Corrected and Updated TSF 3'!CM103</f>
        <v>543113.60917674412</v>
      </c>
      <c r="N103" s="633">
        <f>'Corrected and Updated TSF 3'!CN103</f>
        <v>30000</v>
      </c>
      <c r="O103" s="633">
        <f>'Corrected and Updated TSF 3'!CO103</f>
        <v>513113.60917674412</v>
      </c>
      <c r="P103" s="401">
        <f>'Corrected and Updated TSF 3'!CP103</f>
        <v>29</v>
      </c>
      <c r="Q103" s="633">
        <f>'Corrected and Updated TSF 3'!CQ103</f>
        <v>17693.572730232558</v>
      </c>
      <c r="R103" s="633">
        <f>'Corrected and Updated TSF 3'!CS103</f>
        <v>3801795.2642372088</v>
      </c>
      <c r="S103" s="633">
        <f>'Corrected and Updated TSF 3'!CT103</f>
        <v>29475.278218039861</v>
      </c>
      <c r="T103" s="635">
        <f>'Corrected and Updated TSF 3'!CU103</f>
        <v>34171.610634892764</v>
      </c>
      <c r="U103" s="636">
        <f>'Corrected and Updated TSF 3'!CV103</f>
        <v>44142.066643114937</v>
      </c>
      <c r="V103" s="636">
        <f>'Corrected and Updated TSF 3'!CW103</f>
        <v>75280.102836921593</v>
      </c>
      <c r="W103" s="1102">
        <f>'Corrected and Updated TSF 3'!CX103</f>
        <v>308831.91337454721</v>
      </c>
      <c r="X103" s="1102">
        <f>'Corrected and Updated TSF 3'!CY103</f>
        <v>122203.28371568573</v>
      </c>
      <c r="Y103" s="1102">
        <f>'Corrected and Updated TSF 3'!CZ103</f>
        <v>88265.701038951564</v>
      </c>
      <c r="Z103" s="1102">
        <f>'Corrected and Updated TSF 3'!DA103</f>
        <v>67174.262033644685</v>
      </c>
      <c r="AA103" s="821">
        <f>L103-'Corrected and Updated TSF 3'!CL103</f>
        <v>0</v>
      </c>
      <c r="AB103" s="678">
        <f>N103-'Corrected and Updated TSF 3'!CN103</f>
        <v>0</v>
      </c>
      <c r="AC103" s="678">
        <f>Q103-'Corrected and Updated TSF 3'!CQ103</f>
        <v>0</v>
      </c>
      <c r="AD103" s="775"/>
      <c r="AE103" s="775"/>
      <c r="AF103" s="775"/>
      <c r="AG103" s="775"/>
      <c r="AH103" s="677"/>
      <c r="AI103" s="677"/>
      <c r="AJ103" s="677"/>
      <c r="AK103" s="677"/>
    </row>
    <row r="104" spans="1:37" s="119" customFormat="1" ht="12.75" hidden="1" customHeight="1">
      <c r="A104" s="631" t="str">
        <f t="shared" si="1"/>
        <v>W-6E</v>
      </c>
      <c r="B104" s="632" t="str">
        <f>'Corrected and Updated TSF 3'!EP104</f>
        <v>SOLD</v>
      </c>
      <c r="C104" s="820" t="str">
        <f>'Corrected and Updated TSF 3'!E104</f>
        <v>6th Floor</v>
      </c>
      <c r="D104" s="628">
        <f>'INTERNAL PRICELIST'!D104</f>
        <v>0</v>
      </c>
      <c r="E104" s="596" t="str">
        <f>'Corrected and Updated TSF 3'!G104</f>
        <v>W-6E</v>
      </c>
      <c r="F104" s="401" t="str">
        <f>'Corrected and Updated TSF 3'!I104</f>
        <v>Studio</v>
      </c>
      <c r="G104" s="633">
        <f>'Corrected and Updated TSF 3'!J104</f>
        <v>22</v>
      </c>
      <c r="H104" s="633">
        <f>'Corrected and Updated TSF 3'!CG104</f>
        <v>3892882.8560686847</v>
      </c>
      <c r="I104" s="633">
        <f>SUM('Corrected and Updated TSF 3'!CI104:CJ104)</f>
        <v>496342.56414875732</v>
      </c>
      <c r="J104" s="633">
        <f>'Corrected and Updated TSF 3'!CH104</f>
        <v>0</v>
      </c>
      <c r="K104" s="633">
        <f>'Corrected and Updated TSF 3'!CK104</f>
        <v>4389225.4202174423</v>
      </c>
      <c r="L104" s="634">
        <f>'Corrected and Updated TSF 3'!CL104</f>
        <v>0.125</v>
      </c>
      <c r="M104" s="633">
        <f>'Corrected and Updated TSF 3'!CM104</f>
        <v>548653.17752718029</v>
      </c>
      <c r="N104" s="633">
        <f>'Corrected and Updated TSF 3'!CN104</f>
        <v>30000</v>
      </c>
      <c r="O104" s="633">
        <f>'Corrected and Updated TSF 3'!CO104</f>
        <v>518653.17752718029</v>
      </c>
      <c r="P104" s="401">
        <f>'Corrected and Updated TSF 3'!CP104</f>
        <v>29</v>
      </c>
      <c r="Q104" s="633">
        <f>'Corrected and Updated TSF 3'!CQ104</f>
        <v>17884.592328523457</v>
      </c>
      <c r="R104" s="633">
        <f>'Corrected and Updated TSF 3'!CS104</f>
        <v>3840572.2426902619</v>
      </c>
      <c r="S104" s="633">
        <f>'Corrected and Updated TSF 3'!CT104</f>
        <v>29775.915719251541</v>
      </c>
      <c r="T104" s="635">
        <f>'Corrected and Updated TSF 3'!CU104</f>
        <v>34520.149079811163</v>
      </c>
      <c r="U104" s="636">
        <f>'Corrected and Updated TSF 3'!CV104</f>
        <v>44592.300242802667</v>
      </c>
      <c r="V104" s="636">
        <f>'Corrected and Updated TSF 3'!CW104</f>
        <v>76047.933486065362</v>
      </c>
      <c r="W104" s="1102">
        <f>'Corrected and Updated TSF 3'!CX104</f>
        <v>311981.89058746869</v>
      </c>
      <c r="X104" s="1102">
        <f>'Corrected and Updated TSF 3'!CY104</f>
        <v>123449.71435441879</v>
      </c>
      <c r="Y104" s="1102">
        <f>'Corrected and Updated TSF 3'!CZ104</f>
        <v>89165.980235868759</v>
      </c>
      <c r="Z104" s="1102">
        <f>'Corrected and Updated TSF 3'!DA104</f>
        <v>67859.415949212271</v>
      </c>
      <c r="AA104" s="821">
        <f>L104-'Corrected and Updated TSF 3'!CL104</f>
        <v>0</v>
      </c>
      <c r="AB104" s="678">
        <f>N104-'Corrected and Updated TSF 3'!CN104</f>
        <v>0</v>
      </c>
      <c r="AC104" s="678">
        <f>Q104-'Corrected and Updated TSF 3'!CQ104</f>
        <v>0</v>
      </c>
      <c r="AD104" s="775"/>
      <c r="AE104" s="775"/>
      <c r="AF104" s="775"/>
      <c r="AG104" s="775"/>
      <c r="AH104" s="677"/>
      <c r="AI104" s="677"/>
      <c r="AJ104" s="677"/>
      <c r="AK104" s="677"/>
    </row>
    <row r="105" spans="1:37" s="119" customFormat="1" ht="12.75" hidden="1" customHeight="1">
      <c r="A105" s="631" t="str">
        <f t="shared" si="1"/>
        <v>W-6F</v>
      </c>
      <c r="B105" s="632" t="str">
        <f>'Corrected and Updated TSF 3'!EP105</f>
        <v>SOLD</v>
      </c>
      <c r="C105" s="820" t="str">
        <f>'Corrected and Updated TSF 3'!E105</f>
        <v>6th Floor</v>
      </c>
      <c r="D105" s="628">
        <f>'INTERNAL PRICELIST'!D105</f>
        <v>0</v>
      </c>
      <c r="E105" s="596" t="str">
        <f>'Corrected and Updated TSF 3'!G105</f>
        <v>W-6F</v>
      </c>
      <c r="F105" s="401" t="str">
        <f>'Corrected and Updated TSF 3'!I105</f>
        <v>Studio</v>
      </c>
      <c r="G105" s="633">
        <f>'Corrected and Updated TSF 3'!J105</f>
        <v>22</v>
      </c>
      <c r="H105" s="633">
        <f>'Corrected and Updated TSF 3'!CG105</f>
        <v>3853577.7147795591</v>
      </c>
      <c r="I105" s="633">
        <f>SUM('Corrected and Updated TSF 3'!CI105:CJ105)</f>
        <v>491331.15863439377</v>
      </c>
      <c r="J105" s="633">
        <f>'Corrected and Updated TSF 3'!CH105</f>
        <v>0</v>
      </c>
      <c r="K105" s="633">
        <f>'Corrected and Updated TSF 3'!CK105</f>
        <v>4344908.873413953</v>
      </c>
      <c r="L105" s="634">
        <f>'Corrected and Updated TSF 3'!CL105</f>
        <v>0.125</v>
      </c>
      <c r="M105" s="633">
        <f>'Corrected and Updated TSF 3'!CM105</f>
        <v>543113.60917674412</v>
      </c>
      <c r="N105" s="633">
        <f>'Corrected and Updated TSF 3'!CN105</f>
        <v>30000</v>
      </c>
      <c r="O105" s="633">
        <f>'Corrected and Updated TSF 3'!CO105</f>
        <v>513113.60917674412</v>
      </c>
      <c r="P105" s="401">
        <f>'Corrected and Updated TSF 3'!CP105</f>
        <v>29</v>
      </c>
      <c r="Q105" s="633">
        <f>'Corrected and Updated TSF 3'!CQ105</f>
        <v>17693.572730232558</v>
      </c>
      <c r="R105" s="633">
        <f>'Corrected and Updated TSF 3'!CS105</f>
        <v>3801795.2642372088</v>
      </c>
      <c r="S105" s="633">
        <f>'Corrected and Updated TSF 3'!CT105</f>
        <v>29475.278218039861</v>
      </c>
      <c r="T105" s="635">
        <f>'Corrected and Updated TSF 3'!CU105</f>
        <v>34171.610634892764</v>
      </c>
      <c r="U105" s="636">
        <f>'Corrected and Updated TSF 3'!CV105</f>
        <v>44142.066643114937</v>
      </c>
      <c r="V105" s="636">
        <f>'Corrected and Updated TSF 3'!CW105</f>
        <v>75280.102836921593</v>
      </c>
      <c r="W105" s="1102">
        <f>'Corrected and Updated TSF 3'!CX105</f>
        <v>308831.91337454721</v>
      </c>
      <c r="X105" s="1102">
        <f>'Corrected and Updated TSF 3'!CY105</f>
        <v>122203.28371568573</v>
      </c>
      <c r="Y105" s="1102">
        <f>'Corrected and Updated TSF 3'!CZ105</f>
        <v>88265.701038951564</v>
      </c>
      <c r="Z105" s="1102">
        <f>'Corrected and Updated TSF 3'!DA105</f>
        <v>67174.262033644685</v>
      </c>
      <c r="AA105" s="821">
        <f>L105-'Corrected and Updated TSF 3'!CL105</f>
        <v>0</v>
      </c>
      <c r="AB105" s="678">
        <f>N105-'Corrected and Updated TSF 3'!CN105</f>
        <v>0</v>
      </c>
      <c r="AC105" s="678">
        <f>Q105-'Corrected and Updated TSF 3'!CQ105</f>
        <v>0</v>
      </c>
      <c r="AD105" s="775"/>
      <c r="AE105" s="775"/>
      <c r="AF105" s="775"/>
      <c r="AG105" s="775"/>
      <c r="AH105" s="677"/>
      <c r="AI105" s="677"/>
      <c r="AJ105" s="677"/>
      <c r="AK105" s="677"/>
    </row>
    <row r="106" spans="1:37" s="119" customFormat="1" ht="12.75" hidden="1" customHeight="1">
      <c r="A106" s="631" t="str">
        <f t="shared" si="1"/>
        <v>W-6G</v>
      </c>
      <c r="B106" s="632" t="str">
        <f>'Corrected and Updated TSF 3'!EP106</f>
        <v>SOLD</v>
      </c>
      <c r="C106" s="820" t="str">
        <f>'Corrected and Updated TSF 3'!E106</f>
        <v>6th Floor</v>
      </c>
      <c r="D106" s="628">
        <f>'INTERNAL PRICELIST'!D106</f>
        <v>0</v>
      </c>
      <c r="E106" s="596" t="str">
        <f>'Corrected and Updated TSF 3'!G106</f>
        <v>W-6G</v>
      </c>
      <c r="F106" s="401" t="str">
        <f>'Corrected and Updated TSF 3'!I106</f>
        <v>Studio</v>
      </c>
      <c r="G106" s="633">
        <f>'Corrected and Updated TSF 3'!J106</f>
        <v>22</v>
      </c>
      <c r="H106" s="633">
        <f>'Corrected and Updated TSF 3'!CG106</f>
        <v>3853577.7147795591</v>
      </c>
      <c r="I106" s="633">
        <f>SUM('Corrected and Updated TSF 3'!CI106:CJ106)</f>
        <v>491331.15863439377</v>
      </c>
      <c r="J106" s="633">
        <f>'Corrected and Updated TSF 3'!CH106</f>
        <v>0</v>
      </c>
      <c r="K106" s="633">
        <f>'Corrected and Updated TSF 3'!CK106</f>
        <v>4344908.873413953</v>
      </c>
      <c r="L106" s="634">
        <f>'Corrected and Updated TSF 3'!CL106</f>
        <v>0.125</v>
      </c>
      <c r="M106" s="633">
        <f>'Corrected and Updated TSF 3'!CM106</f>
        <v>543113.60917674412</v>
      </c>
      <c r="N106" s="633">
        <f>'Corrected and Updated TSF 3'!CN106</f>
        <v>30000</v>
      </c>
      <c r="O106" s="633">
        <f>'Corrected and Updated TSF 3'!CO106</f>
        <v>513113.60917674412</v>
      </c>
      <c r="P106" s="401">
        <f>'Corrected and Updated TSF 3'!CP106</f>
        <v>29</v>
      </c>
      <c r="Q106" s="633">
        <f>'Corrected and Updated TSF 3'!CQ106</f>
        <v>17693.572730232558</v>
      </c>
      <c r="R106" s="633">
        <f>'Corrected and Updated TSF 3'!CS106</f>
        <v>3801795.2642372088</v>
      </c>
      <c r="S106" s="633">
        <f>'Corrected and Updated TSF 3'!CT106</f>
        <v>29475.278218039861</v>
      </c>
      <c r="T106" s="635">
        <f>'Corrected and Updated TSF 3'!CU106</f>
        <v>34171.610634892764</v>
      </c>
      <c r="U106" s="636">
        <f>'Corrected and Updated TSF 3'!CV106</f>
        <v>44142.066643114937</v>
      </c>
      <c r="V106" s="636">
        <f>'Corrected and Updated TSF 3'!CW106</f>
        <v>75280.102836921593</v>
      </c>
      <c r="W106" s="1102">
        <f>'Corrected and Updated TSF 3'!CX106</f>
        <v>308831.91337454721</v>
      </c>
      <c r="X106" s="1102">
        <f>'Corrected and Updated TSF 3'!CY106</f>
        <v>122203.28371568573</v>
      </c>
      <c r="Y106" s="1102">
        <f>'Corrected and Updated TSF 3'!CZ106</f>
        <v>88265.701038951564</v>
      </c>
      <c r="Z106" s="1102">
        <f>'Corrected and Updated TSF 3'!DA106</f>
        <v>67174.262033644685</v>
      </c>
      <c r="AA106" s="821">
        <f>L106-'Corrected and Updated TSF 3'!CL106</f>
        <v>0</v>
      </c>
      <c r="AB106" s="678">
        <f>N106-'Corrected and Updated TSF 3'!CN106</f>
        <v>0</v>
      </c>
      <c r="AC106" s="678">
        <f>Q106-'Corrected and Updated TSF 3'!CQ106</f>
        <v>0</v>
      </c>
      <c r="AD106" s="775"/>
      <c r="AE106" s="775"/>
      <c r="AF106" s="775"/>
      <c r="AG106" s="775"/>
      <c r="AH106" s="677"/>
      <c r="AI106" s="677"/>
      <c r="AJ106" s="677"/>
      <c r="AK106" s="677"/>
    </row>
    <row r="107" spans="1:37" s="119" customFormat="1" hidden="1">
      <c r="A107" s="631" t="str">
        <f t="shared" si="1"/>
        <v>W-6H</v>
      </c>
      <c r="B107" s="632" t="str">
        <f>'Corrected and Updated TSF 3'!EP107</f>
        <v>SOLD</v>
      </c>
      <c r="C107" s="820" t="str">
        <f>'Corrected and Updated TSF 3'!E107</f>
        <v>6th Floor</v>
      </c>
      <c r="D107" s="628">
        <f>'INTERNAL PRICELIST'!D107</f>
        <v>0</v>
      </c>
      <c r="E107" s="596" t="str">
        <f>'Corrected and Updated TSF 3'!G107</f>
        <v>W-6H</v>
      </c>
      <c r="F107" s="401" t="str">
        <f>'Corrected and Updated TSF 3'!I107</f>
        <v>Studio</v>
      </c>
      <c r="G107" s="633">
        <f>'Corrected and Updated TSF 3'!J107</f>
        <v>22</v>
      </c>
      <c r="H107" s="633">
        <f>'Corrected and Updated TSF 3'!CG107</f>
        <v>3853577.7147795591</v>
      </c>
      <c r="I107" s="633">
        <f>SUM('Corrected and Updated TSF 3'!CI107:CJ107)</f>
        <v>491331.15863439377</v>
      </c>
      <c r="J107" s="633">
        <f>'Corrected and Updated TSF 3'!CH107</f>
        <v>0</v>
      </c>
      <c r="K107" s="633">
        <f>'Corrected and Updated TSF 3'!CK107</f>
        <v>4344908.873413953</v>
      </c>
      <c r="L107" s="634">
        <f>'Corrected and Updated TSF 3'!CL107</f>
        <v>0.125</v>
      </c>
      <c r="M107" s="633">
        <f>'Corrected and Updated TSF 3'!CM107</f>
        <v>543113.60917674412</v>
      </c>
      <c r="N107" s="633">
        <f>'Corrected and Updated TSF 3'!CN107</f>
        <v>30000</v>
      </c>
      <c r="O107" s="633">
        <f>'Corrected and Updated TSF 3'!CO107</f>
        <v>513113.60917674412</v>
      </c>
      <c r="P107" s="401">
        <f>'Corrected and Updated TSF 3'!CP107</f>
        <v>29</v>
      </c>
      <c r="Q107" s="633">
        <f>'Corrected and Updated TSF 3'!CQ107</f>
        <v>17693.572730232558</v>
      </c>
      <c r="R107" s="633">
        <f>'Corrected and Updated TSF 3'!CS107</f>
        <v>3801795.2642372088</v>
      </c>
      <c r="S107" s="633">
        <f>'Corrected and Updated TSF 3'!CT107</f>
        <v>29475.278218039861</v>
      </c>
      <c r="T107" s="635">
        <f>'Corrected and Updated TSF 3'!CU107</f>
        <v>34171.610634892764</v>
      </c>
      <c r="U107" s="636">
        <f>'Corrected and Updated TSF 3'!CV107</f>
        <v>44142.066643114937</v>
      </c>
      <c r="V107" s="636">
        <f>'Corrected and Updated TSF 3'!CW107</f>
        <v>75280.102836921593</v>
      </c>
      <c r="W107" s="1102">
        <f>'Corrected and Updated TSF 3'!CX107</f>
        <v>308831.91337454721</v>
      </c>
      <c r="X107" s="1102">
        <f>'Corrected and Updated TSF 3'!CY107</f>
        <v>122203.28371568573</v>
      </c>
      <c r="Y107" s="1102">
        <f>'Corrected and Updated TSF 3'!CZ107</f>
        <v>88265.701038951564</v>
      </c>
      <c r="Z107" s="1102">
        <f>'Corrected and Updated TSF 3'!DA107</f>
        <v>67174.262033644685</v>
      </c>
      <c r="AA107" s="821">
        <f>L107-'Corrected and Updated TSF 3'!CL107</f>
        <v>0</v>
      </c>
      <c r="AB107" s="678">
        <f>N107-'Corrected and Updated TSF 3'!CN107</f>
        <v>0</v>
      </c>
      <c r="AC107" s="678">
        <f>Q107-'Corrected and Updated TSF 3'!CQ107</f>
        <v>0</v>
      </c>
      <c r="AD107" s="775"/>
      <c r="AE107" s="775"/>
      <c r="AF107" s="775"/>
      <c r="AG107" s="775"/>
      <c r="AH107" s="677"/>
      <c r="AI107" s="677"/>
      <c r="AJ107" s="677"/>
      <c r="AK107" s="677"/>
    </row>
    <row r="108" spans="1:37" s="119" customFormat="1" ht="12.75" hidden="1" customHeight="1">
      <c r="A108" s="631" t="str">
        <f t="shared" si="1"/>
        <v>W-6I</v>
      </c>
      <c r="B108" s="632" t="str">
        <f>'Corrected and Updated TSF 3'!EP108</f>
        <v>SOLD</v>
      </c>
      <c r="C108" s="820" t="str">
        <f>'Corrected and Updated TSF 3'!E108</f>
        <v>6th Floor</v>
      </c>
      <c r="D108" s="628">
        <f>'INTERNAL PRICELIST'!D108</f>
        <v>0</v>
      </c>
      <c r="E108" s="596" t="str">
        <f>'Corrected and Updated TSF 3'!G108</f>
        <v>W-6I</v>
      </c>
      <c r="F108" s="401" t="str">
        <f>'Corrected and Updated TSF 3'!I108</f>
        <v>Studio</v>
      </c>
      <c r="G108" s="633">
        <f>'Corrected and Updated TSF 3'!J108</f>
        <v>22</v>
      </c>
      <c r="H108" s="633">
        <f>'Corrected and Updated TSF 3'!CG108</f>
        <v>3853577.7147795591</v>
      </c>
      <c r="I108" s="633">
        <f>SUM('Corrected and Updated TSF 3'!CI108:CJ108)</f>
        <v>491331.15863439377</v>
      </c>
      <c r="J108" s="633">
        <f>'Corrected and Updated TSF 3'!CH108</f>
        <v>0</v>
      </c>
      <c r="K108" s="633">
        <f>'Corrected and Updated TSF 3'!CK108</f>
        <v>4344908.873413953</v>
      </c>
      <c r="L108" s="634">
        <f>'Corrected and Updated TSF 3'!CL108</f>
        <v>0.125</v>
      </c>
      <c r="M108" s="633">
        <f>'Corrected and Updated TSF 3'!CM108</f>
        <v>543113.60917674412</v>
      </c>
      <c r="N108" s="633">
        <f>'Corrected and Updated TSF 3'!CN108</f>
        <v>30000</v>
      </c>
      <c r="O108" s="633">
        <f>'Corrected and Updated TSF 3'!CO108</f>
        <v>513113.60917674412</v>
      </c>
      <c r="P108" s="401">
        <f>'Corrected and Updated TSF 3'!CP108</f>
        <v>29</v>
      </c>
      <c r="Q108" s="633">
        <f>'Corrected and Updated TSF 3'!CQ108</f>
        <v>17693.572730232558</v>
      </c>
      <c r="R108" s="633">
        <f>'Corrected and Updated TSF 3'!CS108</f>
        <v>3801795.2642372088</v>
      </c>
      <c r="S108" s="633">
        <f>'Corrected and Updated TSF 3'!CT108</f>
        <v>29475.278218039861</v>
      </c>
      <c r="T108" s="635">
        <f>'Corrected and Updated TSF 3'!CU108</f>
        <v>34171.610634892764</v>
      </c>
      <c r="U108" s="636">
        <f>'Corrected and Updated TSF 3'!CV108</f>
        <v>44142.066643114937</v>
      </c>
      <c r="V108" s="636">
        <f>'Corrected and Updated TSF 3'!CW108</f>
        <v>75280.102836921593</v>
      </c>
      <c r="W108" s="1102">
        <f>'Corrected and Updated TSF 3'!CX108</f>
        <v>308831.91337454721</v>
      </c>
      <c r="X108" s="1102">
        <f>'Corrected and Updated TSF 3'!CY108</f>
        <v>122203.28371568573</v>
      </c>
      <c r="Y108" s="1102">
        <f>'Corrected and Updated TSF 3'!CZ108</f>
        <v>88265.701038951564</v>
      </c>
      <c r="Z108" s="1102">
        <f>'Corrected and Updated TSF 3'!DA108</f>
        <v>67174.262033644685</v>
      </c>
      <c r="AA108" s="821">
        <f>L108-'Corrected and Updated TSF 3'!CL108</f>
        <v>0</v>
      </c>
      <c r="AB108" s="678">
        <f>N108-'Corrected and Updated TSF 3'!CN108</f>
        <v>0</v>
      </c>
      <c r="AC108" s="678">
        <f>Q108-'Corrected and Updated TSF 3'!CQ108</f>
        <v>0</v>
      </c>
      <c r="AD108" s="775"/>
      <c r="AE108" s="775"/>
      <c r="AF108" s="775"/>
      <c r="AG108" s="775"/>
      <c r="AH108" s="677"/>
      <c r="AI108" s="677"/>
      <c r="AJ108" s="677"/>
      <c r="AK108" s="677"/>
    </row>
    <row r="109" spans="1:37" s="119" customFormat="1" ht="12.75" customHeight="1">
      <c r="A109" s="631" t="str">
        <f t="shared" si="1"/>
        <v>W-6J</v>
      </c>
      <c r="B109" s="632" t="str">
        <f>'Corrected and Updated TSF 3'!EP109</f>
        <v>UNSOLD</v>
      </c>
      <c r="C109" s="820" t="str">
        <f>'Corrected and Updated TSF 3'!E109</f>
        <v>6th Floor</v>
      </c>
      <c r="D109" s="628">
        <f>'INTERNAL PRICELIST'!D109</f>
        <v>0</v>
      </c>
      <c r="E109" s="596" t="str">
        <f>'Corrected and Updated TSF 3'!G109</f>
        <v>W-6J</v>
      </c>
      <c r="F109" s="401" t="str">
        <f>'Corrected and Updated TSF 3'!I109</f>
        <v>Studio</v>
      </c>
      <c r="G109" s="633">
        <f>'Corrected and Updated TSF 3'!J109</f>
        <v>22</v>
      </c>
      <c r="H109" s="633">
        <f>'Corrected and Updated TSF 3'!CG109</f>
        <v>4020742.954173902</v>
      </c>
      <c r="I109" s="633">
        <f>SUM('Corrected and Updated TSF 3'!CI109:CJ109)</f>
        <v>512644.72665717249</v>
      </c>
      <c r="J109" s="633">
        <f>'Corrected and Updated TSF 3'!CH109</f>
        <v>0</v>
      </c>
      <c r="K109" s="633">
        <f>'Corrected and Updated TSF 3'!CK109</f>
        <v>4533387.6808310747</v>
      </c>
      <c r="L109" s="634">
        <f>'Corrected and Updated TSF 3'!CL109</f>
        <v>0.125</v>
      </c>
      <c r="M109" s="633">
        <f>'Corrected and Updated TSF 3'!CM109</f>
        <v>566673.46010388434</v>
      </c>
      <c r="N109" s="633">
        <f>'Corrected and Updated TSF 3'!CN109</f>
        <v>30000</v>
      </c>
      <c r="O109" s="633">
        <f>'Corrected and Updated TSF 3'!CO109</f>
        <v>536673.46010388434</v>
      </c>
      <c r="P109" s="401">
        <f>'Corrected and Updated TSF 3'!CP109</f>
        <v>29</v>
      </c>
      <c r="Q109" s="633">
        <f>'Corrected and Updated TSF 3'!CQ109</f>
        <v>18505.981382892562</v>
      </c>
      <c r="R109" s="633">
        <f>'Corrected and Updated TSF 3'!CS109</f>
        <v>3966714.2207271904</v>
      </c>
      <c r="S109" s="633">
        <f>'Corrected and Updated TSF 3'!CT109</f>
        <v>30753.893132340443</v>
      </c>
      <c r="T109" s="635">
        <f>'Corrected and Updated TSF 3'!CU109</f>
        <v>35653.948839819532</v>
      </c>
      <c r="U109" s="636">
        <f>'Corrected and Updated TSF 3'!CV109</f>
        <v>46056.915566352349</v>
      </c>
      <c r="V109" s="636">
        <f>'Corrected and Updated TSF 3'!CW109</f>
        <v>78545.695837446998</v>
      </c>
      <c r="W109" s="1102">
        <f>'Corrected and Updated TSF 3'!CX109</f>
        <v>322228.80440748762</v>
      </c>
      <c r="X109" s="1102">
        <f>'Corrected and Updated TSF 3'!CY109</f>
        <v>127504.36823741725</v>
      </c>
      <c r="Y109" s="1102">
        <f>'Corrected and Updated TSF 3'!CZ109</f>
        <v>92094.599308706558</v>
      </c>
      <c r="Z109" s="1102">
        <f>'Corrected and Updated TSF 3'!DA109</f>
        <v>70088.229890300441</v>
      </c>
      <c r="AA109" s="821">
        <f>L109-'Corrected and Updated TSF 3'!CL109</f>
        <v>0</v>
      </c>
      <c r="AB109" s="678">
        <f>N109-'Corrected and Updated TSF 3'!CN109</f>
        <v>0</v>
      </c>
      <c r="AC109" s="678">
        <f>Q109-'Corrected and Updated TSF 3'!CQ109</f>
        <v>0</v>
      </c>
      <c r="AD109" s="775"/>
      <c r="AE109" s="775"/>
      <c r="AF109" s="775"/>
      <c r="AG109" s="775"/>
      <c r="AH109" s="677"/>
      <c r="AI109" s="677"/>
      <c r="AJ109" s="677"/>
      <c r="AK109" s="677"/>
    </row>
    <row r="110" spans="1:37" s="119" customFormat="1" ht="12.75" customHeight="1">
      <c r="A110" s="631" t="str">
        <f t="shared" si="1"/>
        <v>W-6K</v>
      </c>
      <c r="B110" s="632" t="str">
        <f>'Corrected and Updated TSF 3'!EP110</f>
        <v>UNSOLD</v>
      </c>
      <c r="C110" s="820" t="str">
        <f>'Corrected and Updated TSF 3'!E110</f>
        <v>6th Floor</v>
      </c>
      <c r="D110" s="628">
        <f>'INTERNAL PRICELIST'!D110</f>
        <v>0</v>
      </c>
      <c r="E110" s="1146" t="str">
        <f>'Corrected and Updated TSF 3'!G110</f>
        <v>W-6K</v>
      </c>
      <c r="F110" s="401" t="str">
        <f>'Corrected and Updated TSF 3'!I110</f>
        <v>Studio</v>
      </c>
      <c r="G110" s="633">
        <f>'Corrected and Updated TSF 3'!J110</f>
        <v>22</v>
      </c>
      <c r="H110" s="633">
        <f>'Corrected and Updated TSF 3'!CG110</f>
        <v>3987145.3607872194</v>
      </c>
      <c r="I110" s="633">
        <f>SUM('Corrected and Updated TSF 3'!CI110:CJ110)</f>
        <v>508361.03350037045</v>
      </c>
      <c r="J110" s="633">
        <f>'Corrected and Updated TSF 3'!CH110</f>
        <v>0</v>
      </c>
      <c r="K110" s="633">
        <f>'Corrected and Updated TSF 3'!CK110</f>
        <v>4495506.3942875899</v>
      </c>
      <c r="L110" s="634">
        <f>'Corrected and Updated TSF 3'!CL110</f>
        <v>0.125</v>
      </c>
      <c r="M110" s="633">
        <f>'Corrected and Updated TSF 3'!CM110</f>
        <v>561938.29928594874</v>
      </c>
      <c r="N110" s="633">
        <f>'Corrected and Updated TSF 3'!CN110</f>
        <v>30000</v>
      </c>
      <c r="O110" s="633">
        <f>'Corrected and Updated TSF 3'!CO110</f>
        <v>531938.29928594874</v>
      </c>
      <c r="P110" s="401">
        <f>'Corrected and Updated TSF 3'!CP110</f>
        <v>29</v>
      </c>
      <c r="Q110" s="633">
        <f>'Corrected and Updated TSF 3'!CQ110</f>
        <v>18342.699975377542</v>
      </c>
      <c r="R110" s="633">
        <f>'Corrected and Updated TSF 3'!CS110</f>
        <v>3933568.0950016412</v>
      </c>
      <c r="S110" s="633">
        <f>'Corrected and Updated TSF 3'!CT110</f>
        <v>30496.911572391367</v>
      </c>
      <c r="T110" s="635">
        <f>'Corrected and Updated TSF 3'!CU110</f>
        <v>35356.022091106002</v>
      </c>
      <c r="U110" s="636">
        <f>'Corrected and Updated TSF 3'!CV110</f>
        <v>45672.060941354066</v>
      </c>
      <c r="V110" s="636">
        <f>'Corrected and Updated TSF 3'!CW110</f>
        <v>77889.362821111994</v>
      </c>
      <c r="W110" s="1102">
        <f>'Corrected and Updated TSF 3'!CX110</f>
        <v>319536.23925936711</v>
      </c>
      <c r="X110" s="1102">
        <f>'Corrected and Updated TSF 3'!CY110</f>
        <v>126438.93332454383</v>
      </c>
      <c r="Y110" s="1102">
        <f>'Corrected and Updated TSF 3'!CZ110</f>
        <v>91325.050761100109</v>
      </c>
      <c r="Z110" s="1102">
        <f>'Corrected and Updated TSF 3'!DA110</f>
        <v>69502.568017386584</v>
      </c>
      <c r="AA110" s="821">
        <f>L110-'Corrected and Updated TSF 3'!CL110</f>
        <v>0</v>
      </c>
      <c r="AB110" s="678">
        <f>N110-'Corrected and Updated TSF 3'!CN110</f>
        <v>0</v>
      </c>
      <c r="AC110" s="678">
        <f>Q110-'Corrected and Updated TSF 3'!CQ110</f>
        <v>0</v>
      </c>
      <c r="AD110" s="775"/>
      <c r="AE110" s="775"/>
      <c r="AF110" s="775"/>
      <c r="AG110" s="775"/>
      <c r="AH110" s="677"/>
      <c r="AI110" s="677"/>
      <c r="AJ110" s="677"/>
      <c r="AK110" s="677"/>
    </row>
    <row r="111" spans="1:37" s="119" customFormat="1" ht="12.75" hidden="1" customHeight="1">
      <c r="A111" s="631" t="str">
        <f t="shared" si="1"/>
        <v>W-6L</v>
      </c>
      <c r="B111" s="632" t="str">
        <f>'Corrected and Updated TSF 3'!EP111</f>
        <v>SOLD</v>
      </c>
      <c r="C111" s="820" t="str">
        <f>'Corrected and Updated TSF 3'!E111</f>
        <v>6th Floor</v>
      </c>
      <c r="D111" s="628">
        <f>'INTERNAL PRICELIST'!D111</f>
        <v>0</v>
      </c>
      <c r="E111" s="596" t="str">
        <f>'Corrected and Updated TSF 3'!G111</f>
        <v>W-6L</v>
      </c>
      <c r="F111" s="401" t="str">
        <f>'Corrected and Updated TSF 3'!I111</f>
        <v>Studio</v>
      </c>
      <c r="G111" s="633">
        <f>'Corrected and Updated TSF 3'!J111</f>
        <v>22</v>
      </c>
      <c r="H111" s="633">
        <f>'Corrected and Updated TSF 3'!CG111</f>
        <v>3853577.7147795591</v>
      </c>
      <c r="I111" s="633">
        <f>SUM('Corrected and Updated TSF 3'!CI111:CJ111)</f>
        <v>491331.15863439377</v>
      </c>
      <c r="J111" s="633">
        <f>'Corrected and Updated TSF 3'!CH111</f>
        <v>0</v>
      </c>
      <c r="K111" s="633">
        <f>'Corrected and Updated TSF 3'!CK111</f>
        <v>4344908.873413953</v>
      </c>
      <c r="L111" s="634">
        <f>'Corrected and Updated TSF 3'!CL111</f>
        <v>0.125</v>
      </c>
      <c r="M111" s="633">
        <f>'Corrected and Updated TSF 3'!CM111</f>
        <v>543113.60917674412</v>
      </c>
      <c r="N111" s="633">
        <f>'Corrected and Updated TSF 3'!CN111</f>
        <v>30000</v>
      </c>
      <c r="O111" s="633">
        <f>'Corrected and Updated TSF 3'!CO111</f>
        <v>513113.60917674412</v>
      </c>
      <c r="P111" s="401">
        <f>'Corrected and Updated TSF 3'!CP111</f>
        <v>29</v>
      </c>
      <c r="Q111" s="633">
        <f>'Corrected and Updated TSF 3'!CQ111</f>
        <v>17693.572730232558</v>
      </c>
      <c r="R111" s="633">
        <f>'Corrected and Updated TSF 3'!CS111</f>
        <v>3801795.2642372088</v>
      </c>
      <c r="S111" s="633">
        <f>'Corrected and Updated TSF 3'!CT111</f>
        <v>29475.278218039861</v>
      </c>
      <c r="T111" s="635">
        <f>'Corrected and Updated TSF 3'!CU111</f>
        <v>34171.610634892764</v>
      </c>
      <c r="U111" s="636">
        <f>'Corrected and Updated TSF 3'!CV111</f>
        <v>44142.066643114937</v>
      </c>
      <c r="V111" s="636">
        <f>'Corrected and Updated TSF 3'!CW111</f>
        <v>75280.102836921593</v>
      </c>
      <c r="W111" s="1102">
        <f>'Corrected and Updated TSF 3'!CX111</f>
        <v>308831.91337454721</v>
      </c>
      <c r="X111" s="1102">
        <f>'Corrected and Updated TSF 3'!CY111</f>
        <v>122203.28371568573</v>
      </c>
      <c r="Y111" s="1102">
        <f>'Corrected and Updated TSF 3'!CZ111</f>
        <v>88265.701038951564</v>
      </c>
      <c r="Z111" s="1102">
        <f>'Corrected and Updated TSF 3'!DA111</f>
        <v>67174.262033644685</v>
      </c>
      <c r="AA111" s="821">
        <f>L111-'Corrected and Updated TSF 3'!CL111</f>
        <v>0</v>
      </c>
      <c r="AB111" s="678">
        <f>N111-'Corrected and Updated TSF 3'!CN111</f>
        <v>0</v>
      </c>
      <c r="AC111" s="678">
        <f>Q111-'Corrected and Updated TSF 3'!CQ111</f>
        <v>0</v>
      </c>
      <c r="AD111" s="775"/>
      <c r="AE111" s="775"/>
      <c r="AF111" s="775"/>
      <c r="AG111" s="775"/>
      <c r="AH111" s="677"/>
      <c r="AI111" s="677"/>
      <c r="AJ111" s="677"/>
      <c r="AK111" s="677"/>
    </row>
    <row r="112" spans="1:37" s="119" customFormat="1" ht="12.75" hidden="1" customHeight="1">
      <c r="A112" s="631" t="str">
        <f t="shared" si="1"/>
        <v>W-6M</v>
      </c>
      <c r="B112" s="632" t="str">
        <f>'Corrected and Updated TSF 3'!EP112</f>
        <v>SOLD</v>
      </c>
      <c r="C112" s="973" t="str">
        <f>'Corrected and Updated TSF 3'!E112</f>
        <v>6th Floor</v>
      </c>
      <c r="D112" s="974">
        <f>'INTERNAL PRICELIST'!D112</f>
        <v>0</v>
      </c>
      <c r="E112" s="975" t="str">
        <f>'Corrected and Updated TSF 3'!G112</f>
        <v>W-6M</v>
      </c>
      <c r="F112" s="976" t="str">
        <f>'Corrected and Updated TSF 3'!I112</f>
        <v>Studio</v>
      </c>
      <c r="G112" s="977">
        <f>'Corrected and Updated TSF 3'!J112</f>
        <v>22</v>
      </c>
      <c r="H112" s="977">
        <f>'Corrected and Updated TSF 3'!CG112</f>
        <v>3853577.7147795591</v>
      </c>
      <c r="I112" s="977">
        <f>SUM('Corrected and Updated TSF 3'!CI112:CJ112)</f>
        <v>491331.15863439377</v>
      </c>
      <c r="J112" s="977">
        <f>'Corrected and Updated TSF 3'!CH112</f>
        <v>0</v>
      </c>
      <c r="K112" s="977">
        <f>'Corrected and Updated TSF 3'!CK112</f>
        <v>4344908.873413953</v>
      </c>
      <c r="L112" s="978">
        <f>'Corrected and Updated TSF 3'!CL112</f>
        <v>0.125</v>
      </c>
      <c r="M112" s="977">
        <f>'Corrected and Updated TSF 3'!CM112</f>
        <v>543113.60917674412</v>
      </c>
      <c r="N112" s="977">
        <f>'Corrected and Updated TSF 3'!CN112</f>
        <v>30000</v>
      </c>
      <c r="O112" s="977">
        <f>'Corrected and Updated TSF 3'!CO112</f>
        <v>513113.60917674412</v>
      </c>
      <c r="P112" s="976">
        <f>'Corrected and Updated TSF 3'!CP112</f>
        <v>29</v>
      </c>
      <c r="Q112" s="977">
        <f>'Corrected and Updated TSF 3'!CQ112</f>
        <v>17693.572730232558</v>
      </c>
      <c r="R112" s="977">
        <f>'Corrected and Updated TSF 3'!CS112</f>
        <v>3801795.2642372088</v>
      </c>
      <c r="S112" s="977">
        <f>'Corrected and Updated TSF 3'!CT112</f>
        <v>29475.278218039861</v>
      </c>
      <c r="T112" s="636">
        <f>'Corrected and Updated TSF 3'!CU112</f>
        <v>34171.610634892764</v>
      </c>
      <c r="U112" s="636">
        <f>'Corrected and Updated TSF 3'!CV112</f>
        <v>44142.066643114937</v>
      </c>
      <c r="V112" s="636">
        <f>'Corrected and Updated TSF 3'!CW112</f>
        <v>75280.102836921593</v>
      </c>
      <c r="W112" s="1102">
        <f>'Corrected and Updated TSF 3'!CX112</f>
        <v>308831.91337454721</v>
      </c>
      <c r="X112" s="1102">
        <f>'Corrected and Updated TSF 3'!CY112</f>
        <v>122203.28371568573</v>
      </c>
      <c r="Y112" s="1102">
        <f>'Corrected and Updated TSF 3'!CZ112</f>
        <v>88265.701038951564</v>
      </c>
      <c r="Z112" s="1102">
        <f>'Corrected and Updated TSF 3'!DA112</f>
        <v>67174.262033644685</v>
      </c>
      <c r="AA112" s="821">
        <f>L112-'Corrected and Updated TSF 3'!CL112</f>
        <v>0</v>
      </c>
      <c r="AB112" s="678">
        <f>N112-'Corrected and Updated TSF 3'!CN112</f>
        <v>0</v>
      </c>
      <c r="AC112" s="678">
        <f>Q112-'Corrected and Updated TSF 3'!CQ112</f>
        <v>0</v>
      </c>
      <c r="AD112" s="775"/>
      <c r="AE112" s="775"/>
      <c r="AF112" s="775"/>
      <c r="AG112" s="775"/>
      <c r="AH112" s="677"/>
      <c r="AI112" s="677"/>
      <c r="AJ112" s="677"/>
      <c r="AK112" s="677"/>
    </row>
    <row r="113" spans="1:37" s="119" customFormat="1" ht="12.75" hidden="1" customHeight="1">
      <c r="A113" s="631" t="str">
        <f t="shared" si="1"/>
        <v>W-6N</v>
      </c>
      <c r="B113" s="632" t="str">
        <f>'Corrected and Updated TSF 3'!EP113</f>
        <v>SOLD</v>
      </c>
      <c r="C113" s="973" t="str">
        <f>'Corrected and Updated TSF 3'!E113</f>
        <v>6th Floor</v>
      </c>
      <c r="D113" s="974">
        <f>'INTERNAL PRICELIST'!D113</f>
        <v>0</v>
      </c>
      <c r="E113" s="975" t="str">
        <f>'Corrected and Updated TSF 3'!G113</f>
        <v>W-6N</v>
      </c>
      <c r="F113" s="976" t="str">
        <f>'Corrected and Updated TSF 3'!I113</f>
        <v>Studio</v>
      </c>
      <c r="G113" s="977">
        <f>'Corrected and Updated TSF 3'!J113</f>
        <v>22</v>
      </c>
      <c r="H113" s="977">
        <f>'Corrected and Updated TSF 3'!CG113</f>
        <v>3891135.3081662422</v>
      </c>
      <c r="I113" s="977">
        <f>SUM('Corrected and Updated TSF 3'!CI113:CJ113)</f>
        <v>496119.75179119583</v>
      </c>
      <c r="J113" s="977">
        <f>'Corrected and Updated TSF 3'!CH113</f>
        <v>0</v>
      </c>
      <c r="K113" s="977">
        <f>'Corrected and Updated TSF 3'!CK113</f>
        <v>4387255.0599574381</v>
      </c>
      <c r="L113" s="978">
        <f>'Corrected and Updated TSF 3'!CL113</f>
        <v>0.125</v>
      </c>
      <c r="M113" s="977">
        <f>'Corrected and Updated TSF 3'!CM113</f>
        <v>548406.88249467977</v>
      </c>
      <c r="N113" s="977">
        <f>'Corrected and Updated TSF 3'!CN113</f>
        <v>30000</v>
      </c>
      <c r="O113" s="977">
        <f>'Corrected and Updated TSF 3'!CO113</f>
        <v>518406.88249467977</v>
      </c>
      <c r="P113" s="976">
        <f>'Corrected and Updated TSF 3'!CP113</f>
        <v>29</v>
      </c>
      <c r="Q113" s="977">
        <f>'Corrected and Updated TSF 3'!CQ113</f>
        <v>17876.099396368267</v>
      </c>
      <c r="R113" s="977">
        <f>'Corrected and Updated TSF 3'!CS113</f>
        <v>3838848.1774627585</v>
      </c>
      <c r="S113" s="977">
        <f>'Corrected and Updated TSF 3'!CT113</f>
        <v>29762.549059893336</v>
      </c>
      <c r="T113" s="636">
        <f>'Corrected and Updated TSF 3'!CU113</f>
        <v>34504.652694138422</v>
      </c>
      <c r="U113" s="636">
        <f>'Corrected and Updated TSF 3'!CV113</f>
        <v>44572.282383638754</v>
      </c>
      <c r="V113" s="636">
        <f>'Corrected and Updated TSF 3'!CW113</f>
        <v>76013.794928199044</v>
      </c>
      <c r="W113" s="1102">
        <f>'Corrected and Updated TSF 3'!CX113</f>
        <v>311841.83928907261</v>
      </c>
      <c r="X113" s="1102">
        <f>'Corrected and Updated TSF 3'!CY113</f>
        <v>123394.2967378725</v>
      </c>
      <c r="Y113" s="1102">
        <f>'Corrected and Updated TSF 3'!CZ113</f>
        <v>89125.952876327865</v>
      </c>
      <c r="Z113" s="1102">
        <f>'Corrected and Updated TSF 3'!DA113</f>
        <v>67828.953285837197</v>
      </c>
      <c r="AA113" s="821">
        <f>L113-'Corrected and Updated TSF 3'!CL113</f>
        <v>0</v>
      </c>
      <c r="AB113" s="678">
        <f>N113-'Corrected and Updated TSF 3'!CN113</f>
        <v>0</v>
      </c>
      <c r="AC113" s="678">
        <f>Q113-'Corrected and Updated TSF 3'!CQ113</f>
        <v>0</v>
      </c>
      <c r="AD113" s="775"/>
      <c r="AE113" s="775"/>
      <c r="AF113" s="775"/>
      <c r="AG113" s="775"/>
      <c r="AH113" s="677"/>
      <c r="AI113" s="677"/>
      <c r="AJ113" s="677"/>
      <c r="AK113" s="677"/>
    </row>
    <row r="114" spans="1:37" s="119" customFormat="1" ht="12.75" hidden="1" customHeight="1">
      <c r="A114" s="631" t="str">
        <f t="shared" si="1"/>
        <v>W-6O</v>
      </c>
      <c r="B114" s="632" t="str">
        <f>'Corrected and Updated TSF 3'!EP114</f>
        <v>SOLD</v>
      </c>
      <c r="C114" s="820" t="str">
        <f>'Corrected and Updated TSF 3'!E114</f>
        <v>6th Floor</v>
      </c>
      <c r="D114" s="628">
        <f>'INTERNAL PRICELIST'!D114</f>
        <v>0</v>
      </c>
      <c r="E114" s="596" t="str">
        <f>'Corrected and Updated TSF 3'!G114</f>
        <v>W-6O</v>
      </c>
      <c r="F114" s="401" t="str">
        <f>'Corrected and Updated TSF 3'!I114</f>
        <v>Studio</v>
      </c>
      <c r="G114" s="633">
        <f>'Corrected and Updated TSF 3'!J114</f>
        <v>22</v>
      </c>
      <c r="H114" s="633">
        <f>'Corrected and Updated TSF 3'!CG114</f>
        <v>3891135.3081662422</v>
      </c>
      <c r="I114" s="633">
        <f>SUM('Corrected and Updated TSF 3'!CI114:CJ114)</f>
        <v>496119.75179119583</v>
      </c>
      <c r="J114" s="633">
        <f>'Corrected and Updated TSF 3'!CH114</f>
        <v>0</v>
      </c>
      <c r="K114" s="633">
        <f>'Corrected and Updated TSF 3'!CK114</f>
        <v>4387255.0599574381</v>
      </c>
      <c r="L114" s="634">
        <f>'Corrected and Updated TSF 3'!CL114</f>
        <v>0.125</v>
      </c>
      <c r="M114" s="633">
        <f>'Corrected and Updated TSF 3'!CM114</f>
        <v>548406.88249467977</v>
      </c>
      <c r="N114" s="633">
        <f>'Corrected and Updated TSF 3'!CN114</f>
        <v>30000</v>
      </c>
      <c r="O114" s="633">
        <f>'Corrected and Updated TSF 3'!CO114</f>
        <v>518406.88249467977</v>
      </c>
      <c r="P114" s="401">
        <f>'Corrected and Updated TSF 3'!CP114</f>
        <v>29</v>
      </c>
      <c r="Q114" s="633">
        <f>'Corrected and Updated TSF 3'!CQ114</f>
        <v>17876.099396368267</v>
      </c>
      <c r="R114" s="633">
        <f>'Corrected and Updated TSF 3'!CS114</f>
        <v>3838848.1774627585</v>
      </c>
      <c r="S114" s="633">
        <f>'Corrected and Updated TSF 3'!CT114</f>
        <v>29762.549059893336</v>
      </c>
      <c r="T114" s="635">
        <f>'Corrected and Updated TSF 3'!CU114</f>
        <v>34504.652694138422</v>
      </c>
      <c r="U114" s="636">
        <f>'Corrected and Updated TSF 3'!CV114</f>
        <v>44572.282383638754</v>
      </c>
      <c r="V114" s="636">
        <f>'Corrected and Updated TSF 3'!CW114</f>
        <v>76013.794928199044</v>
      </c>
      <c r="W114" s="1102">
        <f>'Corrected and Updated TSF 3'!CX114</f>
        <v>311841.83928907261</v>
      </c>
      <c r="X114" s="1102">
        <f>'Corrected and Updated TSF 3'!CY114</f>
        <v>123394.2967378725</v>
      </c>
      <c r="Y114" s="1102">
        <f>'Corrected and Updated TSF 3'!CZ114</f>
        <v>89125.952876327865</v>
      </c>
      <c r="Z114" s="1102">
        <f>'Corrected and Updated TSF 3'!DA114</f>
        <v>67828.953285837197</v>
      </c>
      <c r="AA114" s="821">
        <f>L114-'Corrected and Updated TSF 3'!CL114</f>
        <v>0</v>
      </c>
      <c r="AB114" s="678">
        <f>N114-'Corrected and Updated TSF 3'!CN114</f>
        <v>0</v>
      </c>
      <c r="AC114" s="678">
        <f>Q114-'Corrected and Updated TSF 3'!CQ114</f>
        <v>0</v>
      </c>
      <c r="AD114" s="775"/>
      <c r="AE114" s="775"/>
      <c r="AF114" s="775"/>
      <c r="AG114" s="775"/>
      <c r="AH114" s="677"/>
      <c r="AI114" s="677"/>
      <c r="AJ114" s="677"/>
      <c r="AK114" s="677"/>
    </row>
    <row r="115" spans="1:37" s="119" customFormat="1" ht="12.75" hidden="1" customHeight="1">
      <c r="A115" s="631" t="str">
        <f t="shared" si="1"/>
        <v>W-6P</v>
      </c>
      <c r="B115" s="632" t="str">
        <f>'Corrected and Updated TSF 3'!EP115</f>
        <v>SOLD</v>
      </c>
      <c r="C115" s="820" t="str">
        <f>'Corrected and Updated TSF 3'!E115</f>
        <v>6th Floor</v>
      </c>
      <c r="D115" s="628">
        <f>'INTERNAL PRICELIST'!D115</f>
        <v>0</v>
      </c>
      <c r="E115" s="596" t="str">
        <f>'Corrected and Updated TSF 3'!G115</f>
        <v>W-6P</v>
      </c>
      <c r="F115" s="401" t="str">
        <f>'Corrected and Updated TSF 3'!I115</f>
        <v>Studio</v>
      </c>
      <c r="G115" s="633">
        <f>'Corrected and Updated TSF 3'!J115</f>
        <v>22</v>
      </c>
      <c r="H115" s="633">
        <f>'Corrected and Updated TSF 3'!CG115</f>
        <v>3945491.6982462667</v>
      </c>
      <c r="I115" s="633">
        <f>SUM('Corrected and Updated TSF 3'!CI115:CJ115)</f>
        <v>503050.19152639899</v>
      </c>
      <c r="J115" s="633">
        <f>'Corrected and Updated TSF 3'!CH115</f>
        <v>0</v>
      </c>
      <c r="K115" s="633">
        <f>'Corrected and Updated TSF 3'!CK115</f>
        <v>4448541.8897726657</v>
      </c>
      <c r="L115" s="634">
        <f>'Corrected and Updated TSF 3'!CL115</f>
        <v>0.125</v>
      </c>
      <c r="M115" s="633">
        <f>'Corrected and Updated TSF 3'!CM115</f>
        <v>556067.73622158321</v>
      </c>
      <c r="N115" s="633">
        <f>'Corrected and Updated TSF 3'!CN115</f>
        <v>30000</v>
      </c>
      <c r="O115" s="633">
        <f>'Corrected and Updated TSF 3'!CO115</f>
        <v>526067.73622158321</v>
      </c>
      <c r="P115" s="401">
        <f>'Corrected and Updated TSF 3'!CP115</f>
        <v>29</v>
      </c>
      <c r="Q115" s="633">
        <f>'Corrected and Updated TSF 3'!CQ115</f>
        <v>18140.266766261491</v>
      </c>
      <c r="R115" s="633">
        <f>'Corrected and Updated TSF 3'!CS115</f>
        <v>3892474.1535510826</v>
      </c>
      <c r="S115" s="633">
        <f>'Corrected and Updated TSF 3'!CT115</f>
        <v>30178.310681721341</v>
      </c>
      <c r="T115" s="635">
        <f>'Corrected and Updated TSF 3'!CU115</f>
        <v>34986.65812774084</v>
      </c>
      <c r="U115" s="636">
        <f>'Corrected and Updated TSF 3'!CV115</f>
        <v>45194.925436661717</v>
      </c>
      <c r="V115" s="636">
        <f>'Corrected and Updated TSF 3'!CW115</f>
        <v>77075.653527643983</v>
      </c>
      <c r="W115" s="1102">
        <f>'Corrected and Updated TSF 3'!CX115</f>
        <v>316198.04777765827</v>
      </c>
      <c r="X115" s="1102">
        <f>'Corrected and Updated TSF 3'!CY115</f>
        <v>125118.02721649598</v>
      </c>
      <c r="Y115" s="1102">
        <f>'Corrected and Updated TSF 3'!CZ115</f>
        <v>90370.978987507391</v>
      </c>
      <c r="Z115" s="1102">
        <f>'Corrected and Updated TSF 3'!DA115</f>
        <v>68776.475474486608</v>
      </c>
      <c r="AA115" s="821">
        <f>L115-'Corrected and Updated TSF 3'!CL115</f>
        <v>0</v>
      </c>
      <c r="AB115" s="678">
        <f>N115-'Corrected and Updated TSF 3'!CN115</f>
        <v>0</v>
      </c>
      <c r="AC115" s="678">
        <f>Q115-'Corrected and Updated TSF 3'!CQ115</f>
        <v>0</v>
      </c>
      <c r="AD115" s="775"/>
      <c r="AE115" s="775"/>
      <c r="AF115" s="775"/>
      <c r="AG115" s="775"/>
      <c r="AH115" s="677"/>
      <c r="AI115" s="677"/>
      <c r="AJ115" s="677"/>
      <c r="AK115" s="677"/>
    </row>
    <row r="116" spans="1:37" s="119" customFormat="1" ht="12.75" hidden="1" customHeight="1">
      <c r="A116" s="631" t="str">
        <f t="shared" si="1"/>
        <v>E-6A</v>
      </c>
      <c r="B116" s="632" t="str">
        <f>'Corrected and Updated TSF 3'!EP116</f>
        <v>SOLD</v>
      </c>
      <c r="C116" s="820" t="str">
        <f>'Corrected and Updated TSF 3'!E116</f>
        <v>6th Floor</v>
      </c>
      <c r="D116" s="628">
        <f>'INTERNAL PRICELIST'!D116</f>
        <v>0</v>
      </c>
      <c r="E116" s="596" t="str">
        <f>'Corrected and Updated TSF 3'!G116</f>
        <v>E-6A</v>
      </c>
      <c r="F116" s="401" t="str">
        <f>'Corrected and Updated TSF 3'!I116</f>
        <v>Studio</v>
      </c>
      <c r="G116" s="633">
        <f>'Corrected and Updated TSF 3'!J116</f>
        <v>22</v>
      </c>
      <c r="H116" s="633">
        <f>'Corrected and Updated TSF 3'!CG116</f>
        <v>3853577.7147795591</v>
      </c>
      <c r="I116" s="633">
        <f>SUM('Corrected and Updated TSF 3'!CI116:CJ116)</f>
        <v>491331.15863439377</v>
      </c>
      <c r="J116" s="633">
        <f>'Corrected and Updated TSF 3'!CH116</f>
        <v>0</v>
      </c>
      <c r="K116" s="633">
        <f>'Corrected and Updated TSF 3'!CK116</f>
        <v>4344908.873413953</v>
      </c>
      <c r="L116" s="634">
        <f>'Corrected and Updated TSF 3'!CL116</f>
        <v>0.125</v>
      </c>
      <c r="M116" s="633">
        <f>'Corrected and Updated TSF 3'!CM116</f>
        <v>543113.60917674412</v>
      </c>
      <c r="N116" s="633">
        <f>'Corrected and Updated TSF 3'!CN116</f>
        <v>30000</v>
      </c>
      <c r="O116" s="633">
        <f>'Corrected and Updated TSF 3'!CO116</f>
        <v>513113.60917674412</v>
      </c>
      <c r="P116" s="401">
        <f>'Corrected and Updated TSF 3'!CP116</f>
        <v>29</v>
      </c>
      <c r="Q116" s="633">
        <f>'Corrected and Updated TSF 3'!CQ116</f>
        <v>17693.572730232558</v>
      </c>
      <c r="R116" s="633">
        <f>'Corrected and Updated TSF 3'!CS116</f>
        <v>3801795.2642372088</v>
      </c>
      <c r="S116" s="633">
        <f>'Corrected and Updated TSF 3'!CT116</f>
        <v>29475.278218039861</v>
      </c>
      <c r="T116" s="635">
        <f>'Corrected and Updated TSF 3'!CU116</f>
        <v>34171.610634892764</v>
      </c>
      <c r="U116" s="636">
        <f>'Corrected and Updated TSF 3'!CV116</f>
        <v>44142.066643114937</v>
      </c>
      <c r="V116" s="636">
        <f>'Corrected and Updated TSF 3'!CW116</f>
        <v>75280.102836921593</v>
      </c>
      <c r="W116" s="1102">
        <f>'Corrected and Updated TSF 3'!CX116</f>
        <v>308831.91337454721</v>
      </c>
      <c r="X116" s="1102">
        <f>'Corrected and Updated TSF 3'!CY116</f>
        <v>122203.28371568573</v>
      </c>
      <c r="Y116" s="1102">
        <f>'Corrected and Updated TSF 3'!CZ116</f>
        <v>88265.701038951564</v>
      </c>
      <c r="Z116" s="1102">
        <f>'Corrected and Updated TSF 3'!DA116</f>
        <v>67174.262033644685</v>
      </c>
      <c r="AA116" s="821">
        <f>L116-'Corrected and Updated TSF 3'!CL116</f>
        <v>0</v>
      </c>
      <c r="AB116" s="678">
        <f>N116-'Corrected and Updated TSF 3'!CN116</f>
        <v>0</v>
      </c>
      <c r="AC116" s="678">
        <f>Q116-'Corrected and Updated TSF 3'!CQ116</f>
        <v>0</v>
      </c>
      <c r="AD116" s="775"/>
      <c r="AE116" s="775"/>
      <c r="AF116" s="775"/>
      <c r="AG116" s="775"/>
      <c r="AH116" s="677"/>
      <c r="AI116" s="677"/>
      <c r="AJ116" s="677"/>
      <c r="AK116" s="677"/>
    </row>
    <row r="117" spans="1:37" s="119" customFormat="1" ht="12.75" hidden="1" customHeight="1">
      <c r="A117" s="631" t="str">
        <f t="shared" si="1"/>
        <v>E-6B</v>
      </c>
      <c r="B117" s="632" t="str">
        <f>'Corrected and Updated TSF 3'!EP117</f>
        <v>SOLD</v>
      </c>
      <c r="C117" s="820" t="str">
        <f>'Corrected and Updated TSF 3'!E117</f>
        <v>6th Floor</v>
      </c>
      <c r="D117" s="628">
        <f>'INTERNAL PRICELIST'!D117</f>
        <v>0</v>
      </c>
      <c r="E117" s="596" t="str">
        <f>'Corrected and Updated TSF 3'!G117</f>
        <v>E-6B</v>
      </c>
      <c r="F117" s="401" t="str">
        <f>'Corrected and Updated TSF 3'!I117</f>
        <v>Studio</v>
      </c>
      <c r="G117" s="633">
        <f>'Corrected and Updated TSF 3'!J117</f>
        <v>22</v>
      </c>
      <c r="H117" s="633">
        <f>'Corrected and Updated TSF 3'!CG117</f>
        <v>3890866.5781776556</v>
      </c>
      <c r="I117" s="633">
        <f>SUM('Corrected and Updated TSF 3'!CI117:CJ117)</f>
        <v>496085.48871765105</v>
      </c>
      <c r="J117" s="633">
        <f>'Corrected and Updated TSF 3'!CH117</f>
        <v>0</v>
      </c>
      <c r="K117" s="633">
        <f>'Corrected and Updated TSF 3'!CK117</f>
        <v>4386952.066895307</v>
      </c>
      <c r="L117" s="634">
        <f>'Corrected and Updated TSF 3'!CL117</f>
        <v>0.125</v>
      </c>
      <c r="M117" s="633">
        <f>'Corrected and Updated TSF 3'!CM117</f>
        <v>548369.00836191338</v>
      </c>
      <c r="N117" s="633">
        <f>'Corrected and Updated TSF 3'!CN117</f>
        <v>30000</v>
      </c>
      <c r="O117" s="633">
        <f>'Corrected and Updated TSF 3'!CO117</f>
        <v>518369.00836191338</v>
      </c>
      <c r="P117" s="401">
        <f>'Corrected and Updated TSF 3'!CP117</f>
        <v>29</v>
      </c>
      <c r="Q117" s="633">
        <f>'Corrected and Updated TSF 3'!CQ117</f>
        <v>17874.793391790117</v>
      </c>
      <c r="R117" s="633">
        <f>'Corrected and Updated TSF 3'!CS117</f>
        <v>3838583.0585333938</v>
      </c>
      <c r="S117" s="633">
        <f>'Corrected and Updated TSF 3'!CT117</f>
        <v>29760.493595655844</v>
      </c>
      <c r="T117" s="635">
        <f>'Corrected and Updated TSF 3'!CU117</f>
        <v>34502.269730249907</v>
      </c>
      <c r="U117" s="636">
        <f>'Corrected and Updated TSF 3'!CV117</f>
        <v>44569.204128068697</v>
      </c>
      <c r="V117" s="636">
        <f>'Corrected and Updated TSF 3'!CW117</f>
        <v>76008.54525564189</v>
      </c>
      <c r="W117" s="1102">
        <f>'Corrected and Updated TSF 3'!CX117</f>
        <v>311820.30283575604</v>
      </c>
      <c r="X117" s="1102">
        <f>'Corrected and Updated TSF 3'!CY117</f>
        <v>123385.77486820522</v>
      </c>
      <c r="Y117" s="1102">
        <f>'Corrected and Updated TSF 3'!CZ117</f>
        <v>89119.797650564084</v>
      </c>
      <c r="Z117" s="1102">
        <f>'Corrected and Updated TSF 3'!DA117</f>
        <v>67824.268875658992</v>
      </c>
      <c r="AA117" s="821">
        <f>L117-'Corrected and Updated TSF 3'!CL117</f>
        <v>0</v>
      </c>
      <c r="AB117" s="678">
        <f>N117-'Corrected and Updated TSF 3'!CN117</f>
        <v>0</v>
      </c>
      <c r="AC117" s="678">
        <f>Q117-'Corrected and Updated TSF 3'!CQ117</f>
        <v>0</v>
      </c>
      <c r="AD117" s="775"/>
      <c r="AE117" s="775"/>
      <c r="AF117" s="775"/>
      <c r="AG117" s="775"/>
      <c r="AH117" s="677"/>
      <c r="AI117" s="677"/>
      <c r="AJ117" s="677"/>
      <c r="AK117" s="677"/>
    </row>
    <row r="118" spans="1:37" s="119" customFormat="1" ht="12.75" hidden="1" customHeight="1">
      <c r="A118" s="631" t="str">
        <f t="shared" si="1"/>
        <v>E-6C</v>
      </c>
      <c r="B118" s="632" t="str">
        <f>'Corrected and Updated TSF 3'!EP118</f>
        <v>SOLD</v>
      </c>
      <c r="C118" s="820" t="str">
        <f>'Corrected and Updated TSF 3'!E118</f>
        <v>6th Floor</v>
      </c>
      <c r="D118" s="628">
        <f>'INTERNAL PRICELIST'!D118</f>
        <v>0</v>
      </c>
      <c r="E118" s="596" t="str">
        <f>'Corrected and Updated TSF 3'!G118</f>
        <v>E-6C</v>
      </c>
      <c r="F118" s="401" t="str">
        <f>'Corrected and Updated TSF 3'!I118</f>
        <v>Studio</v>
      </c>
      <c r="G118" s="633">
        <f>'Corrected and Updated TSF 3'!J118</f>
        <v>22</v>
      </c>
      <c r="H118" s="633">
        <f>'Corrected and Updated TSF 3'!CG118</f>
        <v>3853577.7147795591</v>
      </c>
      <c r="I118" s="633">
        <f>SUM('Corrected and Updated TSF 3'!CI118:CJ118)</f>
        <v>491331.15863439377</v>
      </c>
      <c r="J118" s="633">
        <f>'Corrected and Updated TSF 3'!CH118</f>
        <v>0</v>
      </c>
      <c r="K118" s="633">
        <f>'Corrected and Updated TSF 3'!CK118</f>
        <v>4344908.873413953</v>
      </c>
      <c r="L118" s="634">
        <f>'Corrected and Updated TSF 3'!CL118</f>
        <v>0.125</v>
      </c>
      <c r="M118" s="633">
        <f>'Corrected and Updated TSF 3'!CM118</f>
        <v>543113.60917674412</v>
      </c>
      <c r="N118" s="633">
        <f>'Corrected and Updated TSF 3'!CN118</f>
        <v>30000</v>
      </c>
      <c r="O118" s="633">
        <f>'Corrected and Updated TSF 3'!CO118</f>
        <v>513113.60917674412</v>
      </c>
      <c r="P118" s="401">
        <f>'Corrected and Updated TSF 3'!CP118</f>
        <v>29</v>
      </c>
      <c r="Q118" s="633">
        <f>'Corrected and Updated TSF 3'!CQ118</f>
        <v>17693.572730232558</v>
      </c>
      <c r="R118" s="633">
        <f>'Corrected and Updated TSF 3'!CS118</f>
        <v>3801795.2642372088</v>
      </c>
      <c r="S118" s="633">
        <f>'Corrected and Updated TSF 3'!CT118</f>
        <v>29475.278218039861</v>
      </c>
      <c r="T118" s="635">
        <f>'Corrected and Updated TSF 3'!CU118</f>
        <v>34171.610634892764</v>
      </c>
      <c r="U118" s="636">
        <f>'Corrected and Updated TSF 3'!CV118</f>
        <v>44142.066643114937</v>
      </c>
      <c r="V118" s="636">
        <f>'Corrected and Updated TSF 3'!CW118</f>
        <v>75280.102836921593</v>
      </c>
      <c r="W118" s="1102">
        <f>'Corrected and Updated TSF 3'!CX118</f>
        <v>308831.91337454721</v>
      </c>
      <c r="X118" s="1102">
        <f>'Corrected and Updated TSF 3'!CY118</f>
        <v>122203.28371568573</v>
      </c>
      <c r="Y118" s="1102">
        <f>'Corrected and Updated TSF 3'!CZ118</f>
        <v>88265.701038951564</v>
      </c>
      <c r="Z118" s="1102">
        <f>'Corrected and Updated TSF 3'!DA118</f>
        <v>67174.262033644685</v>
      </c>
      <c r="AA118" s="821">
        <f>L118-'Corrected and Updated TSF 3'!CL118</f>
        <v>0</v>
      </c>
      <c r="AB118" s="678">
        <f>N118-'Corrected and Updated TSF 3'!CN118</f>
        <v>0</v>
      </c>
      <c r="AC118" s="678">
        <f>Q118-'Corrected and Updated TSF 3'!CQ118</f>
        <v>0</v>
      </c>
      <c r="AD118" s="775"/>
      <c r="AE118" s="775"/>
      <c r="AF118" s="775"/>
      <c r="AG118" s="775"/>
      <c r="AH118" s="677"/>
      <c r="AI118" s="677"/>
      <c r="AJ118" s="677"/>
      <c r="AK118" s="677"/>
    </row>
    <row r="119" spans="1:37" s="119" customFormat="1" ht="12.75" hidden="1" customHeight="1">
      <c r="A119" s="631" t="str">
        <f t="shared" si="1"/>
        <v>E-6D</v>
      </c>
      <c r="B119" s="632" t="str">
        <f>'Corrected and Updated TSF 3'!EP119</f>
        <v>SOLD</v>
      </c>
      <c r="C119" s="820" t="str">
        <f>'Corrected and Updated TSF 3'!E119</f>
        <v>6th Floor</v>
      </c>
      <c r="D119" s="628">
        <f>'INTERNAL PRICELIST'!D119</f>
        <v>0</v>
      </c>
      <c r="E119" s="596" t="str">
        <f>'Corrected and Updated TSF 3'!G119</f>
        <v>E-6D</v>
      </c>
      <c r="F119" s="401" t="str">
        <f>'Corrected and Updated TSF 3'!I119</f>
        <v>Studio</v>
      </c>
      <c r="G119" s="633">
        <f>'Corrected and Updated TSF 3'!J119</f>
        <v>22</v>
      </c>
      <c r="H119" s="633">
        <f>'Corrected and Updated TSF 3'!CG119</f>
        <v>3853577.7147795591</v>
      </c>
      <c r="I119" s="633">
        <f>SUM('Corrected and Updated TSF 3'!CI119:CJ119)</f>
        <v>491331.15863439377</v>
      </c>
      <c r="J119" s="633">
        <f>'Corrected and Updated TSF 3'!CH119</f>
        <v>0</v>
      </c>
      <c r="K119" s="633">
        <f>'Corrected and Updated TSF 3'!CK119</f>
        <v>4344908.873413953</v>
      </c>
      <c r="L119" s="634">
        <f>'Corrected and Updated TSF 3'!CL119</f>
        <v>0.125</v>
      </c>
      <c r="M119" s="633">
        <f>'Corrected and Updated TSF 3'!CM119</f>
        <v>543113.60917674412</v>
      </c>
      <c r="N119" s="633">
        <f>'Corrected and Updated TSF 3'!CN119</f>
        <v>30000</v>
      </c>
      <c r="O119" s="633">
        <f>'Corrected and Updated TSF 3'!CO119</f>
        <v>513113.60917674412</v>
      </c>
      <c r="P119" s="401">
        <f>'Corrected and Updated TSF 3'!CP119</f>
        <v>29</v>
      </c>
      <c r="Q119" s="633">
        <f>'Corrected and Updated TSF 3'!CQ119</f>
        <v>17693.572730232558</v>
      </c>
      <c r="R119" s="633">
        <f>'Corrected and Updated TSF 3'!CS119</f>
        <v>3801795.2642372088</v>
      </c>
      <c r="S119" s="633">
        <f>'Corrected and Updated TSF 3'!CT119</f>
        <v>29475.278218039861</v>
      </c>
      <c r="T119" s="635">
        <f>'Corrected and Updated TSF 3'!CU119</f>
        <v>34171.610634892764</v>
      </c>
      <c r="U119" s="636">
        <f>'Corrected and Updated TSF 3'!CV119</f>
        <v>44142.066643114937</v>
      </c>
      <c r="V119" s="636">
        <f>'Corrected and Updated TSF 3'!CW119</f>
        <v>75280.102836921593</v>
      </c>
      <c r="W119" s="1102">
        <f>'Corrected and Updated TSF 3'!CX119</f>
        <v>308831.91337454721</v>
      </c>
      <c r="X119" s="1102">
        <f>'Corrected and Updated TSF 3'!CY119</f>
        <v>122203.28371568573</v>
      </c>
      <c r="Y119" s="1102">
        <f>'Corrected and Updated TSF 3'!CZ119</f>
        <v>88265.701038951564</v>
      </c>
      <c r="Z119" s="1102">
        <f>'Corrected and Updated TSF 3'!DA119</f>
        <v>67174.262033644685</v>
      </c>
      <c r="AA119" s="821">
        <f>L119-'Corrected and Updated TSF 3'!CL119</f>
        <v>0</v>
      </c>
      <c r="AB119" s="678">
        <f>N119-'Corrected and Updated TSF 3'!CN119</f>
        <v>0</v>
      </c>
      <c r="AC119" s="678">
        <f>Q119-'Corrected and Updated TSF 3'!CQ119</f>
        <v>0</v>
      </c>
      <c r="AD119" s="775"/>
      <c r="AE119" s="775"/>
      <c r="AF119" s="775"/>
      <c r="AG119" s="775"/>
      <c r="AH119" s="677"/>
      <c r="AI119" s="677"/>
      <c r="AJ119" s="677"/>
      <c r="AK119" s="677"/>
    </row>
    <row r="120" spans="1:37" s="119" customFormat="1" hidden="1">
      <c r="A120" s="631" t="str">
        <f t="shared" si="1"/>
        <v>E-6E</v>
      </c>
      <c r="B120" s="632" t="str">
        <f>'Corrected and Updated TSF 3'!EP120</f>
        <v>SOLD</v>
      </c>
      <c r="C120" s="820" t="str">
        <f>'Corrected and Updated TSF 3'!E120</f>
        <v>6th Floor</v>
      </c>
      <c r="D120" s="628">
        <f>'INTERNAL PRICELIST'!D120</f>
        <v>0</v>
      </c>
      <c r="E120" s="596" t="str">
        <f>'Corrected and Updated TSF 3'!G120</f>
        <v>E-6E</v>
      </c>
      <c r="F120" s="401" t="str">
        <f>'Corrected and Updated TSF 3'!I120</f>
        <v>Studio</v>
      </c>
      <c r="G120" s="633">
        <f>'Corrected and Updated TSF 3'!J120</f>
        <v>22</v>
      </c>
      <c r="H120" s="633">
        <f>'Corrected and Updated TSF 3'!CG120</f>
        <v>3853577.7147795591</v>
      </c>
      <c r="I120" s="633">
        <f>SUM('Corrected and Updated TSF 3'!CI120:CJ120)</f>
        <v>491331.15863439377</v>
      </c>
      <c r="J120" s="633">
        <f>'Corrected and Updated TSF 3'!CH120</f>
        <v>0</v>
      </c>
      <c r="K120" s="633">
        <f>'Corrected and Updated TSF 3'!CK120</f>
        <v>4344908.873413953</v>
      </c>
      <c r="L120" s="634">
        <f>'Corrected and Updated TSF 3'!CL120</f>
        <v>0.125</v>
      </c>
      <c r="M120" s="633">
        <f>'Corrected and Updated TSF 3'!CM120</f>
        <v>543113.60917674412</v>
      </c>
      <c r="N120" s="633">
        <f>'Corrected and Updated TSF 3'!CN120</f>
        <v>30000</v>
      </c>
      <c r="O120" s="633">
        <f>'Corrected and Updated TSF 3'!CO120</f>
        <v>513113.60917674412</v>
      </c>
      <c r="P120" s="401">
        <f>'Corrected and Updated TSF 3'!CP120</f>
        <v>29</v>
      </c>
      <c r="Q120" s="633">
        <f>'Corrected and Updated TSF 3'!CQ120</f>
        <v>17693.572730232558</v>
      </c>
      <c r="R120" s="633">
        <f>'Corrected and Updated TSF 3'!CS120</f>
        <v>3801795.2642372088</v>
      </c>
      <c r="S120" s="633">
        <f>'Corrected and Updated TSF 3'!CT120</f>
        <v>29475.278218039861</v>
      </c>
      <c r="T120" s="635">
        <f>'Corrected and Updated TSF 3'!CU120</f>
        <v>34171.610634892764</v>
      </c>
      <c r="U120" s="636">
        <f>'Corrected and Updated TSF 3'!CV120</f>
        <v>44142.066643114937</v>
      </c>
      <c r="V120" s="636">
        <f>'Corrected and Updated TSF 3'!CW120</f>
        <v>75280.102836921593</v>
      </c>
      <c r="W120" s="1102">
        <f>'Corrected and Updated TSF 3'!CX120</f>
        <v>308831.91337454721</v>
      </c>
      <c r="X120" s="1102">
        <f>'Corrected and Updated TSF 3'!CY120</f>
        <v>122203.28371568573</v>
      </c>
      <c r="Y120" s="1102">
        <f>'Corrected and Updated TSF 3'!CZ120</f>
        <v>88265.701038951564</v>
      </c>
      <c r="Z120" s="1102">
        <f>'Corrected and Updated TSF 3'!DA120</f>
        <v>67174.262033644685</v>
      </c>
      <c r="AA120" s="821">
        <f>L120-'Corrected and Updated TSF 3'!CL120</f>
        <v>0</v>
      </c>
      <c r="AB120" s="678">
        <f>N120-'Corrected and Updated TSF 3'!CN120</f>
        <v>0</v>
      </c>
      <c r="AC120" s="678">
        <f>Q120-'Corrected and Updated TSF 3'!CQ120</f>
        <v>0</v>
      </c>
      <c r="AD120" s="775"/>
      <c r="AE120" s="775"/>
      <c r="AF120" s="775"/>
      <c r="AG120" s="775"/>
      <c r="AH120" s="677"/>
      <c r="AI120" s="677"/>
      <c r="AJ120" s="677"/>
      <c r="AK120" s="677"/>
    </row>
    <row r="121" spans="1:37" s="119" customFormat="1" ht="12.75" hidden="1" customHeight="1">
      <c r="A121" s="631" t="str">
        <f t="shared" si="1"/>
        <v>E-6F</v>
      </c>
      <c r="B121" s="632" t="str">
        <f>'Corrected and Updated TSF 3'!EP121</f>
        <v>SOLD</v>
      </c>
      <c r="C121" s="820" t="str">
        <f>'Corrected and Updated TSF 3'!E121</f>
        <v>6th Floor</v>
      </c>
      <c r="D121" s="628">
        <f>'INTERNAL PRICELIST'!D121</f>
        <v>0</v>
      </c>
      <c r="E121" s="596" t="str">
        <f>'Corrected and Updated TSF 3'!G121</f>
        <v>E-6F</v>
      </c>
      <c r="F121" s="401" t="str">
        <f>'Corrected and Updated TSF 3'!I121</f>
        <v>Studio</v>
      </c>
      <c r="G121" s="633">
        <f>'Corrected and Updated TSF 3'!J121</f>
        <v>22</v>
      </c>
      <c r="H121" s="633">
        <f>'Corrected and Updated TSF 3'!CG121</f>
        <v>3853577.7147795591</v>
      </c>
      <c r="I121" s="633">
        <f>SUM('Corrected and Updated TSF 3'!CI121:CJ121)</f>
        <v>491331.15863439377</v>
      </c>
      <c r="J121" s="633">
        <f>'Corrected and Updated TSF 3'!CH121</f>
        <v>0</v>
      </c>
      <c r="K121" s="633">
        <f>'Corrected and Updated TSF 3'!CK121</f>
        <v>4344908.873413953</v>
      </c>
      <c r="L121" s="634">
        <f>'Corrected and Updated TSF 3'!CL121</f>
        <v>0.125</v>
      </c>
      <c r="M121" s="633">
        <f>'Corrected and Updated TSF 3'!CM121</f>
        <v>543113.60917674412</v>
      </c>
      <c r="N121" s="633">
        <f>'Corrected and Updated TSF 3'!CN121</f>
        <v>30000</v>
      </c>
      <c r="O121" s="633">
        <f>'Corrected and Updated TSF 3'!CO121</f>
        <v>513113.60917674412</v>
      </c>
      <c r="P121" s="401">
        <f>'Corrected and Updated TSF 3'!CP121</f>
        <v>29</v>
      </c>
      <c r="Q121" s="633">
        <f>'Corrected and Updated TSF 3'!CQ121</f>
        <v>17693.572730232558</v>
      </c>
      <c r="R121" s="633">
        <f>'Corrected and Updated TSF 3'!CS121</f>
        <v>3801795.2642372088</v>
      </c>
      <c r="S121" s="633">
        <f>'Corrected and Updated TSF 3'!CT121</f>
        <v>29475.278218039861</v>
      </c>
      <c r="T121" s="635">
        <f>'Corrected and Updated TSF 3'!CU121</f>
        <v>34171.610634892764</v>
      </c>
      <c r="U121" s="636">
        <f>'Corrected and Updated TSF 3'!CV121</f>
        <v>44142.066643114937</v>
      </c>
      <c r="V121" s="636">
        <f>'Corrected and Updated TSF 3'!CW121</f>
        <v>75280.102836921593</v>
      </c>
      <c r="W121" s="1102">
        <f>'Corrected and Updated TSF 3'!CX121</f>
        <v>308831.91337454721</v>
      </c>
      <c r="X121" s="1102">
        <f>'Corrected and Updated TSF 3'!CY121</f>
        <v>122203.28371568573</v>
      </c>
      <c r="Y121" s="1102">
        <f>'Corrected and Updated TSF 3'!CZ121</f>
        <v>88265.701038951564</v>
      </c>
      <c r="Z121" s="1102">
        <f>'Corrected and Updated TSF 3'!DA121</f>
        <v>67174.262033644685</v>
      </c>
      <c r="AA121" s="821">
        <f>L121-'Corrected and Updated TSF 3'!CL121</f>
        <v>0</v>
      </c>
      <c r="AB121" s="678">
        <f>N121-'Corrected and Updated TSF 3'!CN121</f>
        <v>0</v>
      </c>
      <c r="AC121" s="678">
        <f>Q121-'Corrected and Updated TSF 3'!CQ121</f>
        <v>0</v>
      </c>
      <c r="AD121" s="775"/>
      <c r="AE121" s="775"/>
      <c r="AF121" s="775"/>
      <c r="AG121" s="775"/>
      <c r="AH121" s="677"/>
      <c r="AI121" s="677"/>
      <c r="AJ121" s="677"/>
      <c r="AK121" s="677"/>
    </row>
    <row r="122" spans="1:37" s="119" customFormat="1" ht="12.75" hidden="1" customHeight="1">
      <c r="A122" s="631" t="str">
        <f t="shared" si="1"/>
        <v>E-6G</v>
      </c>
      <c r="B122" s="632" t="str">
        <f>'Corrected and Updated TSF 3'!EP122</f>
        <v>SOLD</v>
      </c>
      <c r="C122" s="820" t="str">
        <f>'Corrected and Updated TSF 3'!E122</f>
        <v>6th Floor</v>
      </c>
      <c r="D122" s="628">
        <f>'INTERNAL PRICELIST'!D122</f>
        <v>0</v>
      </c>
      <c r="E122" s="596" t="str">
        <f>'Corrected and Updated TSF 3'!G122</f>
        <v>E-6G</v>
      </c>
      <c r="F122" s="401" t="str">
        <f>'Corrected and Updated TSF 3'!I122</f>
        <v>Studio</v>
      </c>
      <c r="G122" s="633">
        <f>'Corrected and Updated TSF 3'!J122</f>
        <v>22</v>
      </c>
      <c r="H122" s="633">
        <f>'Corrected and Updated TSF 3'!CG122</f>
        <v>3853577.7147795591</v>
      </c>
      <c r="I122" s="633">
        <f>SUM('Corrected and Updated TSF 3'!CI122:CJ122)</f>
        <v>491331.15863439377</v>
      </c>
      <c r="J122" s="633">
        <f>'Corrected and Updated TSF 3'!CH122</f>
        <v>0</v>
      </c>
      <c r="K122" s="633">
        <f>'Corrected and Updated TSF 3'!CK122</f>
        <v>4344908.873413953</v>
      </c>
      <c r="L122" s="634">
        <f>'Corrected and Updated TSF 3'!CL122</f>
        <v>0.125</v>
      </c>
      <c r="M122" s="633">
        <f>'Corrected and Updated TSF 3'!CM122</f>
        <v>543113.60917674412</v>
      </c>
      <c r="N122" s="633">
        <f>'Corrected and Updated TSF 3'!CN122</f>
        <v>30000</v>
      </c>
      <c r="O122" s="633">
        <f>'Corrected and Updated TSF 3'!CO122</f>
        <v>513113.60917674412</v>
      </c>
      <c r="P122" s="401">
        <f>'Corrected and Updated TSF 3'!CP122</f>
        <v>29</v>
      </c>
      <c r="Q122" s="633">
        <f>'Corrected and Updated TSF 3'!CQ122</f>
        <v>17693.572730232558</v>
      </c>
      <c r="R122" s="633">
        <f>'Corrected and Updated TSF 3'!CS122</f>
        <v>3801795.2642372088</v>
      </c>
      <c r="S122" s="633">
        <f>'Corrected and Updated TSF 3'!CT122</f>
        <v>29475.278218039861</v>
      </c>
      <c r="T122" s="635">
        <f>'Corrected and Updated TSF 3'!CU122</f>
        <v>34171.610634892764</v>
      </c>
      <c r="U122" s="636">
        <f>'Corrected and Updated TSF 3'!CV122</f>
        <v>44142.066643114937</v>
      </c>
      <c r="V122" s="636">
        <f>'Corrected and Updated TSF 3'!CW122</f>
        <v>75280.102836921593</v>
      </c>
      <c r="W122" s="1102">
        <f>'Corrected and Updated TSF 3'!CX122</f>
        <v>308831.91337454721</v>
      </c>
      <c r="X122" s="1102">
        <f>'Corrected and Updated TSF 3'!CY122</f>
        <v>122203.28371568573</v>
      </c>
      <c r="Y122" s="1102">
        <f>'Corrected and Updated TSF 3'!CZ122</f>
        <v>88265.701038951564</v>
      </c>
      <c r="Z122" s="1102">
        <f>'Corrected and Updated TSF 3'!DA122</f>
        <v>67174.262033644685</v>
      </c>
      <c r="AA122" s="821">
        <f>L122-'Corrected and Updated TSF 3'!CL122</f>
        <v>0</v>
      </c>
      <c r="AB122" s="678">
        <f>N122-'Corrected and Updated TSF 3'!CN122</f>
        <v>0</v>
      </c>
      <c r="AC122" s="678">
        <f>Q122-'Corrected and Updated TSF 3'!CQ122</f>
        <v>0</v>
      </c>
      <c r="AD122" s="775"/>
      <c r="AE122" s="775"/>
      <c r="AF122" s="775"/>
      <c r="AG122" s="775"/>
      <c r="AH122" s="677"/>
      <c r="AI122" s="677"/>
      <c r="AJ122" s="677"/>
      <c r="AK122" s="677"/>
    </row>
    <row r="123" spans="1:37" s="119" customFormat="1" ht="12.75" hidden="1" customHeight="1">
      <c r="A123" s="631" t="str">
        <f t="shared" si="1"/>
        <v>E-6H</v>
      </c>
      <c r="B123" s="632" t="str">
        <f>'Corrected and Updated TSF 3'!EP123</f>
        <v>SOLD</v>
      </c>
      <c r="C123" s="820" t="str">
        <f>'Corrected and Updated TSF 3'!E123</f>
        <v>6th Floor</v>
      </c>
      <c r="D123" s="628">
        <f>'INTERNAL PRICELIST'!D123</f>
        <v>0</v>
      </c>
      <c r="E123" s="596" t="str">
        <f>'Corrected and Updated TSF 3'!G123</f>
        <v>E-6H</v>
      </c>
      <c r="F123" s="401" t="str">
        <f>'Corrected and Updated TSF 3'!I123</f>
        <v>Studio</v>
      </c>
      <c r="G123" s="633">
        <f>'Corrected and Updated TSF 3'!J123</f>
        <v>22</v>
      </c>
      <c r="H123" s="633">
        <f>'Corrected and Updated TSF 3'!CG123</f>
        <v>3853577.7147795591</v>
      </c>
      <c r="I123" s="633">
        <f>SUM('Corrected and Updated TSF 3'!CI123:CJ123)</f>
        <v>491331.15863439377</v>
      </c>
      <c r="J123" s="633">
        <f>'Corrected and Updated TSF 3'!CH123</f>
        <v>0</v>
      </c>
      <c r="K123" s="633">
        <f>'Corrected and Updated TSF 3'!CK123</f>
        <v>4344908.873413953</v>
      </c>
      <c r="L123" s="634">
        <f>'Corrected and Updated TSF 3'!CL123</f>
        <v>0.125</v>
      </c>
      <c r="M123" s="633">
        <f>'Corrected and Updated TSF 3'!CM123</f>
        <v>543113.60917674412</v>
      </c>
      <c r="N123" s="633">
        <f>'Corrected and Updated TSF 3'!CN123</f>
        <v>30000</v>
      </c>
      <c r="O123" s="633">
        <f>'Corrected and Updated TSF 3'!CO123</f>
        <v>513113.60917674412</v>
      </c>
      <c r="P123" s="401">
        <f>'Corrected and Updated TSF 3'!CP123</f>
        <v>29</v>
      </c>
      <c r="Q123" s="633">
        <f>'Corrected and Updated TSF 3'!CQ123</f>
        <v>17693.572730232558</v>
      </c>
      <c r="R123" s="633">
        <f>'Corrected and Updated TSF 3'!CS123</f>
        <v>3801795.2642372088</v>
      </c>
      <c r="S123" s="633">
        <f>'Corrected and Updated TSF 3'!CT123</f>
        <v>29475.278218039861</v>
      </c>
      <c r="T123" s="635">
        <f>'Corrected and Updated TSF 3'!CU123</f>
        <v>34171.610634892764</v>
      </c>
      <c r="U123" s="636">
        <f>'Corrected and Updated TSF 3'!CV123</f>
        <v>44142.066643114937</v>
      </c>
      <c r="V123" s="636">
        <f>'Corrected and Updated TSF 3'!CW123</f>
        <v>75280.102836921593</v>
      </c>
      <c r="W123" s="1102">
        <f>'Corrected and Updated TSF 3'!CX123</f>
        <v>308831.91337454721</v>
      </c>
      <c r="X123" s="1102">
        <f>'Corrected and Updated TSF 3'!CY123</f>
        <v>122203.28371568573</v>
      </c>
      <c r="Y123" s="1102">
        <f>'Corrected and Updated TSF 3'!CZ123</f>
        <v>88265.701038951564</v>
      </c>
      <c r="Z123" s="1102">
        <f>'Corrected and Updated TSF 3'!DA123</f>
        <v>67174.262033644685</v>
      </c>
      <c r="AA123" s="821">
        <f>L123-'Corrected and Updated TSF 3'!CL123</f>
        <v>0</v>
      </c>
      <c r="AB123" s="678">
        <f>N123-'Corrected and Updated TSF 3'!CN123</f>
        <v>0</v>
      </c>
      <c r="AC123" s="678">
        <f>Q123-'Corrected and Updated TSF 3'!CQ123</f>
        <v>0</v>
      </c>
      <c r="AD123" s="775"/>
      <c r="AE123" s="775"/>
      <c r="AF123" s="775"/>
      <c r="AG123" s="775"/>
      <c r="AH123" s="677"/>
      <c r="AI123" s="677"/>
      <c r="AJ123" s="677"/>
      <c r="AK123" s="677"/>
    </row>
    <row r="124" spans="1:37" s="119" customFormat="1" ht="12.75" hidden="1" customHeight="1">
      <c r="A124" s="631" t="str">
        <f t="shared" si="1"/>
        <v>E-6I</v>
      </c>
      <c r="B124" s="632" t="str">
        <f>'Corrected and Updated TSF 3'!EP124</f>
        <v>SOLD</v>
      </c>
      <c r="C124" s="820" t="str">
        <f>'Corrected and Updated TSF 3'!E124</f>
        <v>6th Floor</v>
      </c>
      <c r="D124" s="628">
        <f>'INTERNAL PRICELIST'!D124</f>
        <v>0</v>
      </c>
      <c r="E124" s="596" t="str">
        <f>'Corrected and Updated TSF 3'!G124</f>
        <v>E-6I</v>
      </c>
      <c r="F124" s="401" t="str">
        <f>'Corrected and Updated TSF 3'!I124</f>
        <v>Studio</v>
      </c>
      <c r="G124" s="633">
        <f>'Corrected and Updated TSF 3'!J124</f>
        <v>22</v>
      </c>
      <c r="H124" s="633">
        <f>'Corrected and Updated TSF 3'!CG124</f>
        <v>3945491.6982462667</v>
      </c>
      <c r="I124" s="633">
        <f>SUM('Corrected and Updated TSF 3'!CI124:CJ124)</f>
        <v>503050.19152639899</v>
      </c>
      <c r="J124" s="633">
        <f>'Corrected and Updated TSF 3'!CH124</f>
        <v>0</v>
      </c>
      <c r="K124" s="633">
        <f>'Corrected and Updated TSF 3'!CK124</f>
        <v>4448541.8897726657</v>
      </c>
      <c r="L124" s="634">
        <f>'Corrected and Updated TSF 3'!CL124</f>
        <v>0.125</v>
      </c>
      <c r="M124" s="633">
        <f>'Corrected and Updated TSF 3'!CM124</f>
        <v>556067.73622158321</v>
      </c>
      <c r="N124" s="633">
        <f>'Corrected and Updated TSF 3'!CN124</f>
        <v>30000</v>
      </c>
      <c r="O124" s="633">
        <f>'Corrected and Updated TSF 3'!CO124</f>
        <v>526067.73622158321</v>
      </c>
      <c r="P124" s="401">
        <f>'Corrected and Updated TSF 3'!CP124</f>
        <v>29</v>
      </c>
      <c r="Q124" s="633">
        <f>'Corrected and Updated TSF 3'!CQ124</f>
        <v>18140.266766261491</v>
      </c>
      <c r="R124" s="633">
        <f>'Corrected and Updated TSF 3'!CS124</f>
        <v>3892474.1535510826</v>
      </c>
      <c r="S124" s="633">
        <f>'Corrected and Updated TSF 3'!CT124</f>
        <v>30178.310681721341</v>
      </c>
      <c r="T124" s="635">
        <f>'Corrected and Updated TSF 3'!CU124</f>
        <v>34986.65812774084</v>
      </c>
      <c r="U124" s="636">
        <f>'Corrected and Updated TSF 3'!CV124</f>
        <v>45194.925436661717</v>
      </c>
      <c r="V124" s="636">
        <f>'Corrected and Updated TSF 3'!CW124</f>
        <v>77075.653527643983</v>
      </c>
      <c r="W124" s="1102">
        <f>'Corrected and Updated TSF 3'!CX124</f>
        <v>316198.04777765827</v>
      </c>
      <c r="X124" s="1102">
        <f>'Corrected and Updated TSF 3'!CY124</f>
        <v>125118.02721649598</v>
      </c>
      <c r="Y124" s="1102">
        <f>'Corrected and Updated TSF 3'!CZ124</f>
        <v>90370.978987507391</v>
      </c>
      <c r="Z124" s="1102">
        <f>'Corrected and Updated TSF 3'!DA124</f>
        <v>68776.475474486608</v>
      </c>
      <c r="AA124" s="821">
        <f>L124-'Corrected and Updated TSF 3'!CL124</f>
        <v>0</v>
      </c>
      <c r="AB124" s="678">
        <f>N124-'Corrected and Updated TSF 3'!CN124</f>
        <v>0</v>
      </c>
      <c r="AC124" s="678">
        <f>Q124-'Corrected and Updated TSF 3'!CQ124</f>
        <v>0</v>
      </c>
      <c r="AD124" s="775"/>
      <c r="AE124" s="775"/>
      <c r="AF124" s="775"/>
      <c r="AG124" s="775"/>
      <c r="AH124" s="677"/>
      <c r="AI124" s="677"/>
      <c r="AJ124" s="677"/>
      <c r="AK124" s="677"/>
    </row>
    <row r="125" spans="1:37" s="119" customFormat="1" ht="12.75" hidden="1" customHeight="1">
      <c r="A125" s="631" t="str">
        <f t="shared" si="1"/>
        <v>E-6J</v>
      </c>
      <c r="B125" s="632" t="str">
        <f>'Corrected and Updated TSF 3'!EP125</f>
        <v>SOLD</v>
      </c>
      <c r="C125" s="820" t="str">
        <f>'Corrected and Updated TSF 3'!E125</f>
        <v>6th Floor</v>
      </c>
      <c r="D125" s="628">
        <f>'INTERNAL PRICELIST'!D125</f>
        <v>0</v>
      </c>
      <c r="E125" s="596" t="str">
        <f>'Corrected and Updated TSF 3'!G125</f>
        <v>E-6J</v>
      </c>
      <c r="F125" s="401" t="str">
        <f>'Corrected and Updated TSF 3'!I125</f>
        <v>Studio</v>
      </c>
      <c r="G125" s="633">
        <f>'Corrected and Updated TSF 3'!J125</f>
        <v>22</v>
      </c>
      <c r="H125" s="633">
        <f>'Corrected and Updated TSF 3'!CG125</f>
        <v>3948568.1860511447</v>
      </c>
      <c r="I125" s="633">
        <f>SUM('Corrected and Updated TSF 3'!CI125:CJ125)</f>
        <v>503442.44372152095</v>
      </c>
      <c r="J125" s="633">
        <f>'Corrected and Updated TSF 3'!CH125</f>
        <v>0</v>
      </c>
      <c r="K125" s="633">
        <f>'Corrected and Updated TSF 3'!CK125</f>
        <v>4452010.6297726659</v>
      </c>
      <c r="L125" s="634">
        <f>'Corrected and Updated TSF 3'!CL125</f>
        <v>0.125</v>
      </c>
      <c r="M125" s="633">
        <f>'Corrected and Updated TSF 3'!CM125</f>
        <v>556501.32872158324</v>
      </c>
      <c r="N125" s="633">
        <f>'Corrected and Updated TSF 3'!CN125</f>
        <v>30000</v>
      </c>
      <c r="O125" s="633">
        <f>'Corrected and Updated TSF 3'!CO125</f>
        <v>526501.32872158324</v>
      </c>
      <c r="P125" s="401">
        <f>'Corrected and Updated TSF 3'!CP125</f>
        <v>29</v>
      </c>
      <c r="Q125" s="633">
        <f>'Corrected and Updated TSF 3'!CQ125</f>
        <v>18155.218231778734</v>
      </c>
      <c r="R125" s="633">
        <f>'Corrected and Updated TSF 3'!CS125</f>
        <v>3895509.3010510826</v>
      </c>
      <c r="S125" s="633">
        <f>'Corrected and Updated TSF 3'!CT125</f>
        <v>30201.842147983305</v>
      </c>
      <c r="T125" s="635">
        <f>'Corrected and Updated TSF 3'!CU125</f>
        <v>35013.938891532911</v>
      </c>
      <c r="U125" s="636">
        <f>'Corrected and Updated TSF 3'!CV125</f>
        <v>45230.166072704633</v>
      </c>
      <c r="V125" s="636">
        <f>'Corrected and Updated TSF 3'!CW125</f>
        <v>77135.753085890741</v>
      </c>
      <c r="W125" s="1102">
        <f>'Corrected and Updated TSF 3'!CX125</f>
        <v>316444.60245634295</v>
      </c>
      <c r="X125" s="1102">
        <f>'Corrected and Updated TSF 3'!CY125</f>
        <v>125215.58770181471</v>
      </c>
      <c r="Y125" s="1102">
        <f>'Corrected and Updated TSF 3'!CZ125</f>
        <v>90441.445544284972</v>
      </c>
      <c r="Z125" s="1102">
        <f>'Corrected and Updated TSF 3'!DA125</f>
        <v>68830.103768307075</v>
      </c>
      <c r="AA125" s="821">
        <f>L125-'Corrected and Updated TSF 3'!CL125</f>
        <v>0</v>
      </c>
      <c r="AB125" s="678">
        <f>N125-'Corrected and Updated TSF 3'!CN125</f>
        <v>0</v>
      </c>
      <c r="AC125" s="678">
        <f>Q125-'Corrected and Updated TSF 3'!CQ125</f>
        <v>0</v>
      </c>
      <c r="AD125" s="775"/>
      <c r="AE125" s="775"/>
      <c r="AF125" s="775"/>
      <c r="AG125" s="775"/>
      <c r="AH125" s="677"/>
      <c r="AI125" s="677"/>
      <c r="AJ125" s="677"/>
      <c r="AK125" s="677"/>
    </row>
    <row r="126" spans="1:37" s="119" customFormat="1">
      <c r="A126" s="631" t="str">
        <f t="shared" si="1"/>
        <v>E-6K</v>
      </c>
      <c r="B126" s="632" t="str">
        <f>'Corrected and Updated TSF 3'!EP126</f>
        <v>UNSOLD</v>
      </c>
      <c r="C126" s="973" t="str">
        <f>'Corrected and Updated TSF 3'!E126</f>
        <v>6th Floor</v>
      </c>
      <c r="D126" s="974">
        <f>'INTERNAL PRICELIST'!D126</f>
        <v>0</v>
      </c>
      <c r="E126" s="975" t="str">
        <f>'Corrected and Updated TSF 3'!G126</f>
        <v>E-6K</v>
      </c>
      <c r="F126" s="976" t="str">
        <f>'Corrected and Updated TSF 3'!I126</f>
        <v>Studio</v>
      </c>
      <c r="G126" s="977">
        <f>'Corrected and Updated TSF 3'!J126</f>
        <v>22</v>
      </c>
      <c r="H126" s="977">
        <f>'Corrected and Updated TSF 3'!CG126</f>
        <v>3947644.4934345549</v>
      </c>
      <c r="I126" s="977">
        <f>SUM('Corrected and Updated TSF 3'!CI126:CJ126)</f>
        <v>503324.67291290575</v>
      </c>
      <c r="J126" s="977">
        <f>'Corrected and Updated TSF 3'!CH126</f>
        <v>0</v>
      </c>
      <c r="K126" s="977">
        <f>'Corrected and Updated TSF 3'!CK126</f>
        <v>4450969.1663474599</v>
      </c>
      <c r="L126" s="978">
        <f>'Corrected and Updated TSF 3'!CL126</f>
        <v>0.125</v>
      </c>
      <c r="M126" s="977">
        <f>'Corrected and Updated TSF 3'!CM126</f>
        <v>556371.14579343249</v>
      </c>
      <c r="N126" s="977">
        <f>'Corrected and Updated TSF 3'!CN126</f>
        <v>30000</v>
      </c>
      <c r="O126" s="977">
        <f>'Corrected and Updated TSF 3'!CO126</f>
        <v>526371.14579343249</v>
      </c>
      <c r="P126" s="976">
        <f>'Corrected and Updated TSF 3'!CP126</f>
        <v>29</v>
      </c>
      <c r="Q126" s="977">
        <f>'Corrected and Updated TSF 3'!CQ126</f>
        <v>18150.729165290777</v>
      </c>
      <c r="R126" s="977">
        <f>'Corrected and Updated TSF 3'!CS126</f>
        <v>3894598.0205540275</v>
      </c>
      <c r="S126" s="977">
        <f>'Corrected and Updated TSF 3'!CT126</f>
        <v>30194.776999989135</v>
      </c>
      <c r="T126" s="636">
        <f>'Corrected and Updated TSF 3'!CU126</f>
        <v>35005.748044798616</v>
      </c>
      <c r="U126" s="636">
        <f>'Corrected and Updated TSF 3'!CV126</f>
        <v>45219.585333439172</v>
      </c>
      <c r="V126" s="636">
        <f>'Corrected and Updated TSF 3'!CW126</f>
        <v>77117.708639842589</v>
      </c>
      <c r="W126" s="1102">
        <f>'Corrected and Updated TSF 3'!CX126</f>
        <v>316370.57624504907</v>
      </c>
      <c r="X126" s="1102">
        <f>'Corrected and Updated TSF 3'!CY126</f>
        <v>125186.2958906081</v>
      </c>
      <c r="Y126" s="1102">
        <f>'Corrected and Updated TSF 3'!CZ126</f>
        <v>90420.288483916069</v>
      </c>
      <c r="Z126" s="1102">
        <f>'Corrected and Updated TSF 3'!DA126</f>
        <v>68814.002271345584</v>
      </c>
      <c r="AA126" s="821">
        <f>L126-'Corrected and Updated TSF 3'!CL126</f>
        <v>0</v>
      </c>
      <c r="AB126" s="678">
        <f>N126-'Corrected and Updated TSF 3'!CN126</f>
        <v>0</v>
      </c>
      <c r="AC126" s="678">
        <f>Q126-'Corrected and Updated TSF 3'!CQ126</f>
        <v>0</v>
      </c>
      <c r="AD126" s="775"/>
      <c r="AE126" s="775"/>
      <c r="AF126" s="775"/>
      <c r="AG126" s="775"/>
      <c r="AH126" s="677"/>
      <c r="AI126" s="677"/>
      <c r="AJ126" s="677"/>
      <c r="AK126" s="677"/>
    </row>
    <row r="127" spans="1:37" s="119" customFormat="1" ht="12.75" hidden="1" customHeight="1">
      <c r="A127" s="631" t="str">
        <f t="shared" si="1"/>
        <v>E-6L</v>
      </c>
      <c r="B127" s="632" t="str">
        <f>'Corrected and Updated TSF 3'!EP127</f>
        <v>SOLD</v>
      </c>
      <c r="C127" s="820" t="str">
        <f>'Corrected and Updated TSF 3'!E127</f>
        <v>6th Floor</v>
      </c>
      <c r="D127" s="628">
        <f>'INTERNAL PRICELIST'!D127</f>
        <v>0</v>
      </c>
      <c r="E127" s="596" t="str">
        <f>'Corrected and Updated TSF 3'!G127</f>
        <v>E-6L</v>
      </c>
      <c r="F127" s="401" t="str">
        <f>'Corrected and Updated TSF 3'!I127</f>
        <v>Studio</v>
      </c>
      <c r="G127" s="633">
        <f>'Corrected and Updated TSF 3'!J127</f>
        <v>22</v>
      </c>
      <c r="H127" s="633">
        <f>'Corrected and Updated TSF 3'!CG127</f>
        <v>3891135.3081662422</v>
      </c>
      <c r="I127" s="633">
        <f>SUM('Corrected and Updated TSF 3'!CI127:CJ127)</f>
        <v>496119.75179119583</v>
      </c>
      <c r="J127" s="633">
        <f>'Corrected and Updated TSF 3'!CH127</f>
        <v>0</v>
      </c>
      <c r="K127" s="633">
        <f>'Corrected and Updated TSF 3'!CK127</f>
        <v>4387255.0599574381</v>
      </c>
      <c r="L127" s="634">
        <f>'Corrected and Updated TSF 3'!CL127</f>
        <v>0.125</v>
      </c>
      <c r="M127" s="633">
        <f>'Corrected and Updated TSF 3'!CM127</f>
        <v>548406.88249467977</v>
      </c>
      <c r="N127" s="633">
        <f>'Corrected and Updated TSF 3'!CN127</f>
        <v>30000</v>
      </c>
      <c r="O127" s="633">
        <f>'Corrected and Updated TSF 3'!CO127</f>
        <v>518406.88249467977</v>
      </c>
      <c r="P127" s="401">
        <f>'Corrected and Updated TSF 3'!CP127</f>
        <v>29</v>
      </c>
      <c r="Q127" s="633">
        <f>'Corrected and Updated TSF 3'!CQ127</f>
        <v>17876.099396368267</v>
      </c>
      <c r="R127" s="633">
        <f>'Corrected and Updated TSF 3'!CS127</f>
        <v>3838848.1774627585</v>
      </c>
      <c r="S127" s="633">
        <f>'Corrected and Updated TSF 3'!CT127</f>
        <v>29762.549059893336</v>
      </c>
      <c r="T127" s="635">
        <f>'Corrected and Updated TSF 3'!CU127</f>
        <v>34504.652694138422</v>
      </c>
      <c r="U127" s="636">
        <f>'Corrected and Updated TSF 3'!CV127</f>
        <v>44572.282383638754</v>
      </c>
      <c r="V127" s="636">
        <f>'Corrected and Updated TSF 3'!CW127</f>
        <v>76013.794928199044</v>
      </c>
      <c r="W127" s="1102">
        <f>'Corrected and Updated TSF 3'!CX127</f>
        <v>311841.83928907261</v>
      </c>
      <c r="X127" s="1102">
        <f>'Corrected and Updated TSF 3'!CY127</f>
        <v>123394.2967378725</v>
      </c>
      <c r="Y127" s="1102">
        <f>'Corrected and Updated TSF 3'!CZ127</f>
        <v>89125.952876327865</v>
      </c>
      <c r="Z127" s="1102">
        <f>'Corrected and Updated TSF 3'!DA127</f>
        <v>67828.953285837197</v>
      </c>
      <c r="AA127" s="821">
        <f>L127-'Corrected and Updated TSF 3'!CL127</f>
        <v>0</v>
      </c>
      <c r="AB127" s="678">
        <f>N127-'Corrected and Updated TSF 3'!CN127</f>
        <v>0</v>
      </c>
      <c r="AC127" s="678">
        <f>Q127-'Corrected and Updated TSF 3'!CQ127</f>
        <v>0</v>
      </c>
      <c r="AD127" s="775"/>
      <c r="AE127" s="775"/>
      <c r="AF127" s="775"/>
      <c r="AG127" s="775"/>
      <c r="AH127" s="677"/>
      <c r="AI127" s="677"/>
      <c r="AJ127" s="677"/>
      <c r="AK127" s="677"/>
    </row>
    <row r="128" spans="1:37" s="119" customFormat="1" ht="12.75" hidden="1" customHeight="1">
      <c r="A128" s="631" t="str">
        <f t="shared" si="1"/>
        <v>E-6M</v>
      </c>
      <c r="B128" s="632" t="str">
        <f>'Corrected and Updated TSF 3'!EP128</f>
        <v>SOLD</v>
      </c>
      <c r="C128" s="820" t="str">
        <f>'Corrected and Updated TSF 3'!E128</f>
        <v>6th Floor</v>
      </c>
      <c r="D128" s="628">
        <f>'INTERNAL PRICELIST'!D128</f>
        <v>0</v>
      </c>
      <c r="E128" s="596" t="str">
        <f>'Corrected and Updated TSF 3'!G128</f>
        <v>E-6M</v>
      </c>
      <c r="F128" s="401" t="str">
        <f>'Corrected and Updated TSF 3'!I128</f>
        <v>Studio</v>
      </c>
      <c r="G128" s="633">
        <f>'Corrected and Updated TSF 3'!J128</f>
        <v>22</v>
      </c>
      <c r="H128" s="633">
        <f>'Corrected and Updated TSF 3'!CG128</f>
        <v>3853577.7147795591</v>
      </c>
      <c r="I128" s="633">
        <f>SUM('Corrected and Updated TSF 3'!CI128:CJ128)</f>
        <v>491331.15863439377</v>
      </c>
      <c r="J128" s="633">
        <f>'Corrected and Updated TSF 3'!CH128</f>
        <v>0</v>
      </c>
      <c r="K128" s="633">
        <f>'Corrected and Updated TSF 3'!CK128</f>
        <v>4344908.873413953</v>
      </c>
      <c r="L128" s="634">
        <f>'Corrected and Updated TSF 3'!CL128</f>
        <v>0.125</v>
      </c>
      <c r="M128" s="633">
        <f>'Corrected and Updated TSF 3'!CM128</f>
        <v>543113.60917674412</v>
      </c>
      <c r="N128" s="633">
        <f>'Corrected and Updated TSF 3'!CN128</f>
        <v>30000</v>
      </c>
      <c r="O128" s="633">
        <f>'Corrected and Updated TSF 3'!CO128</f>
        <v>513113.60917674412</v>
      </c>
      <c r="P128" s="401">
        <f>'Corrected and Updated TSF 3'!CP128</f>
        <v>29</v>
      </c>
      <c r="Q128" s="633">
        <f>'Corrected and Updated TSF 3'!CQ128</f>
        <v>17693.572730232558</v>
      </c>
      <c r="R128" s="633">
        <f>'Corrected and Updated TSF 3'!CS128</f>
        <v>3801795.2642372088</v>
      </c>
      <c r="S128" s="633">
        <f>'Corrected and Updated TSF 3'!CT128</f>
        <v>29475.278218039861</v>
      </c>
      <c r="T128" s="635">
        <f>'Corrected and Updated TSF 3'!CU128</f>
        <v>34171.610634892764</v>
      </c>
      <c r="U128" s="636">
        <f>'Corrected and Updated TSF 3'!CV128</f>
        <v>44142.066643114937</v>
      </c>
      <c r="V128" s="636">
        <f>'Corrected and Updated TSF 3'!CW128</f>
        <v>75280.102836921593</v>
      </c>
      <c r="W128" s="1102">
        <f>'Corrected and Updated TSF 3'!CX128</f>
        <v>308831.91337454721</v>
      </c>
      <c r="X128" s="1102">
        <f>'Corrected and Updated TSF 3'!CY128</f>
        <v>122203.28371568573</v>
      </c>
      <c r="Y128" s="1102">
        <f>'Corrected and Updated TSF 3'!CZ128</f>
        <v>88265.701038951564</v>
      </c>
      <c r="Z128" s="1102">
        <f>'Corrected and Updated TSF 3'!DA128</f>
        <v>67174.262033644685</v>
      </c>
      <c r="AA128" s="821">
        <f>L128-'Corrected and Updated TSF 3'!CL128</f>
        <v>0</v>
      </c>
      <c r="AB128" s="678">
        <f>N128-'Corrected and Updated TSF 3'!CN128</f>
        <v>0</v>
      </c>
      <c r="AC128" s="678">
        <f>Q128-'Corrected and Updated TSF 3'!CQ128</f>
        <v>0</v>
      </c>
      <c r="AD128" s="775"/>
      <c r="AE128" s="775"/>
      <c r="AF128" s="775"/>
      <c r="AG128" s="775"/>
      <c r="AH128" s="677"/>
      <c r="AI128" s="677"/>
      <c r="AJ128" s="677"/>
      <c r="AK128" s="677"/>
    </row>
    <row r="129" spans="1:37" s="119" customFormat="1" ht="12.75" customHeight="1">
      <c r="A129" s="631" t="str">
        <f t="shared" si="1"/>
        <v>E-6N</v>
      </c>
      <c r="B129" s="632" t="str">
        <f>'Corrected and Updated TSF 3'!EP129</f>
        <v>UNSOLD</v>
      </c>
      <c r="C129" s="820" t="str">
        <f>'Corrected and Updated TSF 3'!E129</f>
        <v>6th Floor</v>
      </c>
      <c r="D129" s="628">
        <f>'INTERNAL PRICELIST'!D129</f>
        <v>0</v>
      </c>
      <c r="E129" s="596" t="str">
        <f>'Corrected and Updated TSF 3'!G129</f>
        <v>E-6N</v>
      </c>
      <c r="F129" s="401" t="str">
        <f>'Corrected and Updated TSF 3'!I129</f>
        <v>Studio</v>
      </c>
      <c r="G129" s="633">
        <f>'Corrected and Updated TSF 3'!J129</f>
        <v>22</v>
      </c>
      <c r="H129" s="633">
        <f>'Corrected and Updated TSF 3'!CG129</f>
        <v>3987145.3607872194</v>
      </c>
      <c r="I129" s="633">
        <f>SUM('Corrected and Updated TSF 3'!CI129:CJ129)</f>
        <v>508361.03350037045</v>
      </c>
      <c r="J129" s="633">
        <f>'Corrected and Updated TSF 3'!CH129</f>
        <v>0</v>
      </c>
      <c r="K129" s="633">
        <f>'Corrected and Updated TSF 3'!CK129</f>
        <v>4495506.3942875899</v>
      </c>
      <c r="L129" s="634">
        <f>'Corrected and Updated TSF 3'!CL129</f>
        <v>0.125</v>
      </c>
      <c r="M129" s="633">
        <f>'Corrected and Updated TSF 3'!CM129</f>
        <v>561938.29928594874</v>
      </c>
      <c r="N129" s="633">
        <f>'Corrected and Updated TSF 3'!CN129</f>
        <v>30000</v>
      </c>
      <c r="O129" s="633">
        <f>'Corrected and Updated TSF 3'!CO129</f>
        <v>531938.29928594874</v>
      </c>
      <c r="P129" s="401">
        <f>'Corrected and Updated TSF 3'!CP129</f>
        <v>29</v>
      </c>
      <c r="Q129" s="633">
        <f>'Corrected and Updated TSF 3'!CQ129</f>
        <v>18342.699975377542</v>
      </c>
      <c r="R129" s="633">
        <f>'Corrected and Updated TSF 3'!CS129</f>
        <v>3933568.0950016412</v>
      </c>
      <c r="S129" s="633">
        <f>'Corrected and Updated TSF 3'!CT129</f>
        <v>30496.911572391367</v>
      </c>
      <c r="T129" s="635">
        <f>'Corrected and Updated TSF 3'!CU129</f>
        <v>35356.022091106002</v>
      </c>
      <c r="U129" s="636">
        <f>'Corrected and Updated TSF 3'!CV129</f>
        <v>45672.060941354066</v>
      </c>
      <c r="V129" s="636">
        <f>'Corrected and Updated TSF 3'!CW129</f>
        <v>77889.362821111994</v>
      </c>
      <c r="W129" s="1102">
        <f>'Corrected and Updated TSF 3'!CX129</f>
        <v>319536.23925936711</v>
      </c>
      <c r="X129" s="1102">
        <f>'Corrected and Updated TSF 3'!CY129</f>
        <v>126438.93332454383</v>
      </c>
      <c r="Y129" s="1102">
        <f>'Corrected and Updated TSF 3'!CZ129</f>
        <v>91325.050761100109</v>
      </c>
      <c r="Z129" s="1102">
        <f>'Corrected and Updated TSF 3'!DA129</f>
        <v>69502.568017386584</v>
      </c>
      <c r="AA129" s="821">
        <f>L129-'Corrected and Updated TSF 3'!CL129</f>
        <v>0</v>
      </c>
      <c r="AB129" s="678">
        <f>N129-'Corrected and Updated TSF 3'!CN129</f>
        <v>0</v>
      </c>
      <c r="AC129" s="678">
        <f>Q129-'Corrected and Updated TSF 3'!CQ129</f>
        <v>0</v>
      </c>
      <c r="AD129" s="775"/>
      <c r="AE129" s="775"/>
      <c r="AF129" s="775"/>
      <c r="AG129" s="775"/>
      <c r="AH129" s="677"/>
      <c r="AI129" s="677"/>
      <c r="AJ129" s="677"/>
      <c r="AK129" s="677"/>
    </row>
    <row r="130" spans="1:37" s="119" customFormat="1" ht="12.75" hidden="1" customHeight="1">
      <c r="A130" s="631" t="str">
        <f t="shared" si="1"/>
        <v>E-6O</v>
      </c>
      <c r="B130" s="632" t="str">
        <f>'Corrected and Updated TSF 3'!EP130</f>
        <v>SOLD</v>
      </c>
      <c r="C130" s="820" t="str">
        <f>'Corrected and Updated TSF 3'!E130</f>
        <v>6th Floor</v>
      </c>
      <c r="D130" s="628">
        <f>'INTERNAL PRICELIST'!D130</f>
        <v>0</v>
      </c>
      <c r="E130" s="596" t="str">
        <f>'Corrected and Updated TSF 3'!G130</f>
        <v>E-6O</v>
      </c>
      <c r="F130" s="401" t="str">
        <f>'Corrected and Updated TSF 3'!I130</f>
        <v>Studio</v>
      </c>
      <c r="G130" s="633">
        <f>'Corrected and Updated TSF 3'!J130</f>
        <v>22</v>
      </c>
      <c r="H130" s="633">
        <f>'Corrected and Updated TSF 3'!CG130</f>
        <v>3812069.2270866008</v>
      </c>
      <c r="I130" s="633">
        <f>SUM('Corrected and Updated TSF 3'!CI130:CJ130)</f>
        <v>486038.82645354158</v>
      </c>
      <c r="J130" s="633">
        <f>'Corrected and Updated TSF 3'!CH130</f>
        <v>0</v>
      </c>
      <c r="K130" s="633">
        <f>'Corrected and Updated TSF 3'!CK130</f>
        <v>4298108.0535401423</v>
      </c>
      <c r="L130" s="634">
        <f>'Corrected and Updated TSF 3'!CL130</f>
        <v>0.125</v>
      </c>
      <c r="M130" s="633">
        <f>'Corrected and Updated TSF 3'!CM130</f>
        <v>537263.50669251778</v>
      </c>
      <c r="N130" s="633">
        <f>'Corrected and Updated TSF 3'!CN130</f>
        <v>30000</v>
      </c>
      <c r="O130" s="633">
        <f>'Corrected and Updated TSF 3'!CO130</f>
        <v>507263.50669251778</v>
      </c>
      <c r="P130" s="401">
        <f>'Corrected and Updated TSF 3'!CP130</f>
        <v>29</v>
      </c>
      <c r="Q130" s="633">
        <f>'Corrected and Updated TSF 3'!CQ130</f>
        <v>17491.845058362684</v>
      </c>
      <c r="R130" s="633">
        <f>'Corrected and Updated TSF 3'!CS130</f>
        <v>3760844.5468476247</v>
      </c>
      <c r="S130" s="633">
        <f>'Corrected and Updated TSF 3'!CT130</f>
        <v>29157.787741990123</v>
      </c>
      <c r="T130" s="635">
        <f>'Corrected and Updated TSF 3'!CU130</f>
        <v>33803.534009878298</v>
      </c>
      <c r="U130" s="636">
        <f>'Corrected and Updated TSF 3'!CV130</f>
        <v>43666.594091213301</v>
      </c>
      <c r="V130" s="636">
        <f>'Corrected and Updated TSF 3'!CW130</f>
        <v>74469.229551520693</v>
      </c>
      <c r="W130" s="1102">
        <f>'Corrected and Updated TSF 3'!CX130</f>
        <v>305505.35643855104</v>
      </c>
      <c r="X130" s="1102">
        <f>'Corrected and Updated TSF 3'!CY130</f>
        <v>120886.98134070124</v>
      </c>
      <c r="Y130" s="1102">
        <f>'Corrected and Updated TSF 3'!CZ130</f>
        <v>87314.954476546962</v>
      </c>
      <c r="Z130" s="1102">
        <f>'Corrected and Updated TSF 3'!DA130</f>
        <v>66450.700129543693</v>
      </c>
      <c r="AA130" s="821">
        <f>L130-'Corrected and Updated TSF 3'!CL130</f>
        <v>0</v>
      </c>
      <c r="AB130" s="678">
        <f>N130-'Corrected and Updated TSF 3'!CN130</f>
        <v>0</v>
      </c>
      <c r="AC130" s="678">
        <f>Q130-'Corrected and Updated TSF 3'!CQ130</f>
        <v>0</v>
      </c>
      <c r="AD130" s="775"/>
      <c r="AE130" s="775"/>
      <c r="AF130" s="775"/>
      <c r="AG130" s="775"/>
      <c r="AH130" s="677"/>
      <c r="AI130" s="677"/>
      <c r="AJ130" s="677"/>
      <c r="AK130" s="677"/>
    </row>
    <row r="131" spans="1:37" s="119" customFormat="1" ht="12.75" hidden="1" customHeight="1">
      <c r="A131" s="631" t="str">
        <f t="shared" si="1"/>
        <v>W-7A</v>
      </c>
      <c r="B131" s="632" t="str">
        <f>'Corrected and Updated TSF 3'!EP131</f>
        <v>SOLD</v>
      </c>
      <c r="C131" s="820" t="str">
        <f>'Corrected and Updated TSF 3'!E131</f>
        <v>7th Floor</v>
      </c>
      <c r="D131" s="628">
        <f>'INTERNAL PRICELIST'!D131</f>
        <v>0</v>
      </c>
      <c r="E131" s="596" t="str">
        <f>'Corrected and Updated TSF 3'!G131</f>
        <v>W-7A</v>
      </c>
      <c r="F131" s="401" t="str">
        <f>'Corrected and Updated TSF 3'!I131</f>
        <v>Studio</v>
      </c>
      <c r="G131" s="633">
        <f>'Corrected and Updated TSF 3'!J131</f>
        <v>22</v>
      </c>
      <c r="H131" s="633">
        <f>'Corrected and Updated TSF 3'!CG131</f>
        <v>3902248.883881792</v>
      </c>
      <c r="I131" s="633">
        <f>SUM('Corrected and Updated TSF 3'!CI131:CJ131)</f>
        <v>497536.73269492848</v>
      </c>
      <c r="J131" s="633">
        <f>'Corrected and Updated TSF 3'!CH131</f>
        <v>0</v>
      </c>
      <c r="K131" s="633">
        <f>'Corrected and Updated TSF 3'!CK131</f>
        <v>4399785.61657672</v>
      </c>
      <c r="L131" s="634">
        <f>'Corrected and Updated TSF 3'!CL131</f>
        <v>0.125</v>
      </c>
      <c r="M131" s="633">
        <f>'Corrected and Updated TSF 3'!CM131</f>
        <v>549973.20207209</v>
      </c>
      <c r="N131" s="633">
        <f>'Corrected and Updated TSF 3'!CN131</f>
        <v>30000</v>
      </c>
      <c r="O131" s="633">
        <f>'Corrected and Updated TSF 3'!CO131</f>
        <v>519973.20207209</v>
      </c>
      <c r="P131" s="401">
        <f>'Corrected and Updated TSF 3'!CP131</f>
        <v>29</v>
      </c>
      <c r="Q131" s="633">
        <f>'Corrected and Updated TSF 3'!CQ131</f>
        <v>17930.110416278967</v>
      </c>
      <c r="R131" s="633">
        <f>'Corrected and Updated TSF 3'!CS131</f>
        <v>3849812.41450463</v>
      </c>
      <c r="S131" s="633">
        <f>'Corrected and Updated TSF 3'!CT131</f>
        <v>29847.554672977694</v>
      </c>
      <c r="T131" s="635">
        <f>'Corrected and Updated TSF 3'!CU131</f>
        <v>34603.202356354035</v>
      </c>
      <c r="U131" s="636">
        <f>'Corrected and Updated TSF 3'!CV131</f>
        <v>44699.586472511175</v>
      </c>
      <c r="V131" s="636">
        <f>'Corrected and Updated TSF 3'!CW131</f>
        <v>76230.899962708601</v>
      </c>
      <c r="W131" s="1102">
        <f>'Corrected and Updated TSF 3'!CX131</f>
        <v>312732.49911396793</v>
      </c>
      <c r="X131" s="1102">
        <f>'Corrected and Updated TSF 3'!CY131</f>
        <v>123746.72649193047</v>
      </c>
      <c r="Y131" s="1102">
        <f>'Corrected and Updated TSF 3'!CZ131</f>
        <v>89380.507896152747</v>
      </c>
      <c r="Z131" s="1102">
        <f>'Corrected and Updated TSF 3'!DA131</f>
        <v>68022.681375031767</v>
      </c>
      <c r="AA131" s="821">
        <f>L131-'Corrected and Updated TSF 3'!CL131</f>
        <v>0</v>
      </c>
      <c r="AB131" s="678">
        <f>N131-'Corrected and Updated TSF 3'!CN131</f>
        <v>0</v>
      </c>
      <c r="AC131" s="678">
        <f>Q131-'Corrected and Updated TSF 3'!CQ131</f>
        <v>0</v>
      </c>
      <c r="AD131" s="775"/>
      <c r="AE131" s="775"/>
      <c r="AF131" s="775"/>
      <c r="AG131" s="775"/>
      <c r="AH131" s="677"/>
      <c r="AI131" s="677"/>
      <c r="AJ131" s="677"/>
      <c r="AK131" s="677"/>
    </row>
    <row r="132" spans="1:37" s="119" customFormat="1" ht="12.75" hidden="1" customHeight="1">
      <c r="A132" s="631" t="str">
        <f t="shared" si="1"/>
        <v>W-7B</v>
      </c>
      <c r="B132" s="632" t="str">
        <f>'Corrected and Updated TSF 3'!EP132</f>
        <v>SOLD</v>
      </c>
      <c r="C132" s="820" t="str">
        <f>'Corrected and Updated TSF 3'!E132</f>
        <v>7th Floor</v>
      </c>
      <c r="D132" s="628">
        <f>'INTERNAL PRICELIST'!D132</f>
        <v>0</v>
      </c>
      <c r="E132" s="596" t="str">
        <f>'Corrected and Updated TSF 3'!G132</f>
        <v>W-7B</v>
      </c>
      <c r="F132" s="401" t="str">
        <f>'Corrected and Updated TSF 3'!I132</f>
        <v>Studio</v>
      </c>
      <c r="G132" s="633">
        <f>'Corrected and Updated TSF 3'!J132</f>
        <v>22</v>
      </c>
      <c r="H132" s="633">
        <f>'Corrected and Updated TSF 3'!CG132</f>
        <v>3809014.9004150839</v>
      </c>
      <c r="I132" s="633">
        <f>SUM('Corrected and Updated TSF 3'!CI132:CJ132)</f>
        <v>485649.39980292314</v>
      </c>
      <c r="J132" s="633">
        <f>'Corrected and Updated TSF 3'!CH132</f>
        <v>0</v>
      </c>
      <c r="K132" s="633">
        <f>'Corrected and Updated TSF 3'!CK132</f>
        <v>4294664.3002180075</v>
      </c>
      <c r="L132" s="634">
        <f>'Corrected and Updated TSF 3'!CL132</f>
        <v>0.125</v>
      </c>
      <c r="M132" s="633">
        <f>'Corrected and Updated TSF 3'!CM132</f>
        <v>536833.03752725094</v>
      </c>
      <c r="N132" s="633">
        <f>'Corrected and Updated TSF 3'!CN132</f>
        <v>30000</v>
      </c>
      <c r="O132" s="633">
        <f>'Corrected and Updated TSF 3'!CO132</f>
        <v>506833.03752725094</v>
      </c>
      <c r="P132" s="401">
        <f>'Corrected and Updated TSF 3'!CP132</f>
        <v>29</v>
      </c>
      <c r="Q132" s="633">
        <f>'Corrected and Updated TSF 3'!CQ132</f>
        <v>17477.001294043137</v>
      </c>
      <c r="R132" s="633">
        <f>'Corrected and Updated TSF 3'!CS132</f>
        <v>3757831.2626907565</v>
      </c>
      <c r="S132" s="633">
        <f>'Corrected and Updated TSF 3'!CT132</f>
        <v>29134.425781994749</v>
      </c>
      <c r="T132" s="635">
        <f>'Corrected and Updated TSF 3'!CU132</f>
        <v>33776.449759995252</v>
      </c>
      <c r="U132" s="636">
        <f>'Corrected and Updated TSF 3'!CV132</f>
        <v>43631.607307122547</v>
      </c>
      <c r="V132" s="636">
        <f>'Corrected and Updated TSF 3'!CW132</f>
        <v>74409.562913672053</v>
      </c>
      <c r="W132" s="1102">
        <f>'Corrected and Updated TSF 3'!CX132</f>
        <v>305260.57778872194</v>
      </c>
      <c r="X132" s="1102">
        <f>'Corrected and Updated TSF 3'!CY132</f>
        <v>120790.12362134912</v>
      </c>
      <c r="Y132" s="1102">
        <f>'Corrected and Updated TSF 3'!CZ132</f>
        <v>87244.995517673655</v>
      </c>
      <c r="Z132" s="1102">
        <f>'Corrected and Updated TSF 3'!DA132</f>
        <v>66397.458141096984</v>
      </c>
      <c r="AA132" s="821">
        <f>L132-'Corrected and Updated TSF 3'!CL132</f>
        <v>0</v>
      </c>
      <c r="AB132" s="678">
        <f>N132-'Corrected and Updated TSF 3'!CN132</f>
        <v>0</v>
      </c>
      <c r="AC132" s="678">
        <f>Q132-'Corrected and Updated TSF 3'!CQ132</f>
        <v>0</v>
      </c>
      <c r="AD132" s="775"/>
      <c r="AE132" s="775"/>
      <c r="AF132" s="775"/>
      <c r="AG132" s="775"/>
      <c r="AH132" s="677"/>
      <c r="AI132" s="677"/>
      <c r="AJ132" s="677"/>
      <c r="AK132" s="677"/>
    </row>
    <row r="133" spans="1:37" s="119" customFormat="1" ht="12.75" hidden="1" customHeight="1">
      <c r="A133" s="631" t="str">
        <f t="shared" si="1"/>
        <v>W-7C</v>
      </c>
      <c r="B133" s="632" t="str">
        <f>'Corrected and Updated TSF 3'!EP133</f>
        <v>SOLD</v>
      </c>
      <c r="C133" s="820" t="str">
        <f>'Corrected and Updated TSF 3'!E133</f>
        <v>7th Floor</v>
      </c>
      <c r="D133" s="628">
        <f>'INTERNAL PRICELIST'!D133</f>
        <v>0</v>
      </c>
      <c r="E133" s="596" t="str">
        <f>'Corrected and Updated TSF 3'!G133</f>
        <v>W-7C</v>
      </c>
      <c r="F133" s="401" t="str">
        <f>'Corrected and Updated TSF 3'!I133</f>
        <v>Studio</v>
      </c>
      <c r="G133" s="633">
        <f>'Corrected and Updated TSF 3'!J133</f>
        <v>22</v>
      </c>
      <c r="H133" s="633">
        <f>'Corrected and Updated TSF 3'!CG133</f>
        <v>3809014.9004150839</v>
      </c>
      <c r="I133" s="633">
        <f>SUM('Corrected and Updated TSF 3'!CI133:CJ133)</f>
        <v>485649.39980292314</v>
      </c>
      <c r="J133" s="633">
        <f>'Corrected and Updated TSF 3'!CH133</f>
        <v>0</v>
      </c>
      <c r="K133" s="633">
        <f>'Corrected and Updated TSF 3'!CK133</f>
        <v>4294664.3002180075</v>
      </c>
      <c r="L133" s="634">
        <f>'Corrected and Updated TSF 3'!CL133</f>
        <v>0.125</v>
      </c>
      <c r="M133" s="633">
        <f>'Corrected and Updated TSF 3'!CM133</f>
        <v>536833.03752725094</v>
      </c>
      <c r="N133" s="633">
        <f>'Corrected and Updated TSF 3'!CN133</f>
        <v>30000</v>
      </c>
      <c r="O133" s="633">
        <f>'Corrected and Updated TSF 3'!CO133</f>
        <v>506833.03752725094</v>
      </c>
      <c r="P133" s="401">
        <f>'Corrected and Updated TSF 3'!CP133</f>
        <v>29</v>
      </c>
      <c r="Q133" s="633">
        <f>'Corrected and Updated TSF 3'!CQ133</f>
        <v>17477.001294043137</v>
      </c>
      <c r="R133" s="633">
        <f>'Corrected and Updated TSF 3'!CS133</f>
        <v>3757831.2626907565</v>
      </c>
      <c r="S133" s="633">
        <f>'Corrected and Updated TSF 3'!CT133</f>
        <v>29134.425781994749</v>
      </c>
      <c r="T133" s="635">
        <f>'Corrected and Updated TSF 3'!CU133</f>
        <v>33776.449759995252</v>
      </c>
      <c r="U133" s="636">
        <f>'Corrected and Updated TSF 3'!CV133</f>
        <v>43631.607307122547</v>
      </c>
      <c r="V133" s="636">
        <f>'Corrected and Updated TSF 3'!CW133</f>
        <v>74409.562913672053</v>
      </c>
      <c r="W133" s="1102">
        <f>'Corrected and Updated TSF 3'!CX133</f>
        <v>305260.57778872194</v>
      </c>
      <c r="X133" s="1102">
        <f>'Corrected and Updated TSF 3'!CY133</f>
        <v>120790.12362134912</v>
      </c>
      <c r="Y133" s="1102">
        <f>'Corrected and Updated TSF 3'!CZ133</f>
        <v>87244.995517673655</v>
      </c>
      <c r="Z133" s="1102">
        <f>'Corrected and Updated TSF 3'!DA133</f>
        <v>66397.458141096984</v>
      </c>
      <c r="AA133" s="821">
        <f>L133-'Corrected and Updated TSF 3'!CL133</f>
        <v>0</v>
      </c>
      <c r="AB133" s="678">
        <f>N133-'Corrected and Updated TSF 3'!CN133</f>
        <v>0</v>
      </c>
      <c r="AC133" s="678">
        <f>Q133-'Corrected and Updated TSF 3'!CQ133</f>
        <v>0</v>
      </c>
      <c r="AD133" s="775"/>
      <c r="AE133" s="775"/>
      <c r="AF133" s="775"/>
      <c r="AG133" s="775"/>
      <c r="AH133" s="677"/>
      <c r="AI133" s="677"/>
      <c r="AJ133" s="677"/>
      <c r="AK133" s="677"/>
    </row>
    <row r="134" spans="1:37" s="119" customFormat="1" ht="12.75" hidden="1" customHeight="1">
      <c r="A134" s="631" t="str">
        <f t="shared" si="1"/>
        <v>W-7D</v>
      </c>
      <c r="B134" s="632" t="str">
        <f>'Corrected and Updated TSF 3'!EP134</f>
        <v>SOLD</v>
      </c>
      <c r="C134" s="820" t="str">
        <f>'Corrected and Updated TSF 3'!E134</f>
        <v>7th Floor</v>
      </c>
      <c r="D134" s="628">
        <f>'INTERNAL PRICELIST'!D134</f>
        <v>0</v>
      </c>
      <c r="E134" s="596" t="str">
        <f>'Corrected and Updated TSF 3'!G134</f>
        <v>W-7D</v>
      </c>
      <c r="F134" s="401" t="str">
        <f>'Corrected and Updated TSF 3'!I134</f>
        <v>Studio</v>
      </c>
      <c r="G134" s="633">
        <f>'Corrected and Updated TSF 3'!J134</f>
        <v>22</v>
      </c>
      <c r="H134" s="633">
        <f>'Corrected and Updated TSF 3'!CG134</f>
        <v>3809014.9004150839</v>
      </c>
      <c r="I134" s="633">
        <f>SUM('Corrected and Updated TSF 3'!CI134:CJ134)</f>
        <v>485649.39980292314</v>
      </c>
      <c r="J134" s="633">
        <f>'Corrected and Updated TSF 3'!CH134</f>
        <v>0</v>
      </c>
      <c r="K134" s="633">
        <f>'Corrected and Updated TSF 3'!CK134</f>
        <v>4294664.3002180075</v>
      </c>
      <c r="L134" s="634">
        <f>'Corrected and Updated TSF 3'!CL134</f>
        <v>0.125</v>
      </c>
      <c r="M134" s="633">
        <f>'Corrected and Updated TSF 3'!CM134</f>
        <v>536833.03752725094</v>
      </c>
      <c r="N134" s="633">
        <f>'Corrected and Updated TSF 3'!CN134</f>
        <v>30000</v>
      </c>
      <c r="O134" s="633">
        <f>'Corrected and Updated TSF 3'!CO134</f>
        <v>506833.03752725094</v>
      </c>
      <c r="P134" s="401">
        <f>'Corrected and Updated TSF 3'!CP134</f>
        <v>29</v>
      </c>
      <c r="Q134" s="633">
        <f>'Corrected and Updated TSF 3'!CQ134</f>
        <v>17477.001294043137</v>
      </c>
      <c r="R134" s="633">
        <f>'Corrected and Updated TSF 3'!CS134</f>
        <v>3757831.2626907565</v>
      </c>
      <c r="S134" s="633">
        <f>'Corrected and Updated TSF 3'!CT134</f>
        <v>29134.425781994749</v>
      </c>
      <c r="T134" s="635">
        <f>'Corrected and Updated TSF 3'!CU134</f>
        <v>33776.449759995252</v>
      </c>
      <c r="U134" s="636">
        <f>'Corrected and Updated TSF 3'!CV134</f>
        <v>43631.607307122547</v>
      </c>
      <c r="V134" s="636">
        <f>'Corrected and Updated TSF 3'!CW134</f>
        <v>74409.562913672053</v>
      </c>
      <c r="W134" s="1102">
        <f>'Corrected and Updated TSF 3'!CX134</f>
        <v>305260.57778872194</v>
      </c>
      <c r="X134" s="1102">
        <f>'Corrected and Updated TSF 3'!CY134</f>
        <v>120790.12362134912</v>
      </c>
      <c r="Y134" s="1102">
        <f>'Corrected and Updated TSF 3'!CZ134</f>
        <v>87244.995517673655</v>
      </c>
      <c r="Z134" s="1102">
        <f>'Corrected and Updated TSF 3'!DA134</f>
        <v>66397.458141096984</v>
      </c>
      <c r="AA134" s="821">
        <f>L134-'Corrected and Updated TSF 3'!CL134</f>
        <v>0</v>
      </c>
      <c r="AB134" s="678">
        <f>N134-'Corrected and Updated TSF 3'!CN134</f>
        <v>0</v>
      </c>
      <c r="AC134" s="678">
        <f>Q134-'Corrected and Updated TSF 3'!CQ134</f>
        <v>0</v>
      </c>
      <c r="AD134" s="775"/>
      <c r="AE134" s="775"/>
      <c r="AF134" s="775"/>
      <c r="AG134" s="775"/>
      <c r="AH134" s="677"/>
      <c r="AI134" s="677"/>
      <c r="AJ134" s="677"/>
      <c r="AK134" s="677"/>
    </row>
    <row r="135" spans="1:37" s="119" customFormat="1" ht="12.75" customHeight="1">
      <c r="A135" s="631" t="str">
        <f t="shared" si="1"/>
        <v>W-7E</v>
      </c>
      <c r="B135" s="632" t="str">
        <f>'Corrected and Updated TSF 3'!EP135</f>
        <v>UNSOLD</v>
      </c>
      <c r="C135" s="820" t="str">
        <f>'Corrected and Updated TSF 3'!E135</f>
        <v>7th Floor</v>
      </c>
      <c r="D135" s="628">
        <f>'INTERNAL PRICELIST'!D135</f>
        <v>0</v>
      </c>
      <c r="E135" s="596" t="str">
        <f>'Corrected and Updated TSF 3'!G135</f>
        <v>W-7E</v>
      </c>
      <c r="F135" s="401" t="str">
        <f>'Corrected and Updated TSF 3'!I135</f>
        <v>Studio</v>
      </c>
      <c r="G135" s="633">
        <f>'Corrected and Updated TSF 3'!J135</f>
        <v>22</v>
      </c>
      <c r="H135" s="633">
        <f>'Corrected and Updated TSF 3'!CG135</f>
        <v>3866436.958753889</v>
      </c>
      <c r="I135" s="633">
        <f>SUM('Corrected and Updated TSF 3'!CI135:CJ135)</f>
        <v>492970.71224112087</v>
      </c>
      <c r="J135" s="633">
        <f>'Corrected and Updated TSF 3'!CH135</f>
        <v>0</v>
      </c>
      <c r="K135" s="633">
        <f>'Corrected and Updated TSF 3'!CK135</f>
        <v>4359407.6709950091</v>
      </c>
      <c r="L135" s="634">
        <f>'Corrected and Updated TSF 3'!CL135</f>
        <v>0.125</v>
      </c>
      <c r="M135" s="633">
        <f>'Corrected and Updated TSF 3'!CM135</f>
        <v>544925.95887437614</v>
      </c>
      <c r="N135" s="633">
        <f>'Corrected and Updated TSF 3'!CN135</f>
        <v>30000</v>
      </c>
      <c r="O135" s="633">
        <f>'Corrected and Updated TSF 3'!CO135</f>
        <v>514925.95887437614</v>
      </c>
      <c r="P135" s="401">
        <f>'Corrected and Updated TSF 3'!CP135</f>
        <v>29</v>
      </c>
      <c r="Q135" s="633">
        <f>'Corrected and Updated TSF 3'!CQ135</f>
        <v>17756.067547392282</v>
      </c>
      <c r="R135" s="633">
        <f>'Corrected and Updated TSF 3'!CS135</f>
        <v>3814481.7121206331</v>
      </c>
      <c r="S135" s="633">
        <f>'Corrected and Updated TSF 3'!CT135</f>
        <v>29573.63611344789</v>
      </c>
      <c r="T135" s="635">
        <f>'Corrected and Updated TSF 3'!CU135</f>
        <v>34285.64001503594</v>
      </c>
      <c r="U135" s="636">
        <f>'Corrected and Updated TSF 3'!CV135</f>
        <v>44289.367060158009</v>
      </c>
      <c r="V135" s="636">
        <f>'Corrected and Updated TSF 3'!CW135</f>
        <v>75531.309710233079</v>
      </c>
      <c r="W135" s="1102">
        <f>'Corrected and Updated TSF 3'!CX135</f>
        <v>309862.4738601736</v>
      </c>
      <c r="X135" s="1102">
        <f>'Corrected and Updated TSF 3'!CY135</f>
        <v>122611.07147969973</v>
      </c>
      <c r="Y135" s="1102">
        <f>'Corrected and Updated TSF 3'!CZ135</f>
        <v>88560.240365321428</v>
      </c>
      <c r="Z135" s="1102">
        <f>'Corrected and Updated TSF 3'!DA135</f>
        <v>67398.420020902398</v>
      </c>
      <c r="AA135" s="821">
        <f>L135-'Corrected and Updated TSF 3'!CL135</f>
        <v>0</v>
      </c>
      <c r="AB135" s="678">
        <f>N135-'Corrected and Updated TSF 3'!CN135</f>
        <v>0</v>
      </c>
      <c r="AC135" s="678">
        <f>Q135-'Corrected and Updated TSF 3'!CQ135</f>
        <v>0</v>
      </c>
      <c r="AD135" s="775"/>
      <c r="AE135" s="775"/>
      <c r="AF135" s="775"/>
      <c r="AG135" s="775"/>
      <c r="AH135" s="677"/>
      <c r="AI135" s="677"/>
      <c r="AJ135" s="677"/>
      <c r="AK135" s="677"/>
    </row>
    <row r="136" spans="1:37" s="119" customFormat="1" ht="12.75" hidden="1" customHeight="1">
      <c r="A136" s="631" t="str">
        <f t="shared" ref="A136:A199" si="2">E136</f>
        <v>W-7F</v>
      </c>
      <c r="B136" s="632" t="str">
        <f>'Corrected and Updated TSF 3'!EP136</f>
        <v>SOLD</v>
      </c>
      <c r="C136" s="820" t="str">
        <f>'Corrected and Updated TSF 3'!E136</f>
        <v>7th Floor</v>
      </c>
      <c r="D136" s="628">
        <f>'INTERNAL PRICELIST'!D136</f>
        <v>0</v>
      </c>
      <c r="E136" s="596" t="str">
        <f>'Corrected and Updated TSF 3'!G136</f>
        <v>W-7F</v>
      </c>
      <c r="F136" s="401" t="str">
        <f>'Corrected and Updated TSF 3'!I136</f>
        <v>Studio</v>
      </c>
      <c r="G136" s="633">
        <f>'Corrected and Updated TSF 3'!J136</f>
        <v>22</v>
      </c>
      <c r="H136" s="633">
        <f>'Corrected and Updated TSF 3'!CG136</f>
        <v>3809014.9004150839</v>
      </c>
      <c r="I136" s="633">
        <f>SUM('Corrected and Updated TSF 3'!CI136:CJ136)</f>
        <v>485649.39980292314</v>
      </c>
      <c r="J136" s="633">
        <f>'Corrected and Updated TSF 3'!CH136</f>
        <v>0</v>
      </c>
      <c r="K136" s="633">
        <f>'Corrected and Updated TSF 3'!CK136</f>
        <v>4294664.3002180075</v>
      </c>
      <c r="L136" s="634">
        <f>'Corrected and Updated TSF 3'!CL136</f>
        <v>0.125</v>
      </c>
      <c r="M136" s="633">
        <f>'Corrected and Updated TSF 3'!CM136</f>
        <v>536833.03752725094</v>
      </c>
      <c r="N136" s="633">
        <f>'Corrected and Updated TSF 3'!CN136</f>
        <v>30000</v>
      </c>
      <c r="O136" s="633">
        <f>'Corrected and Updated TSF 3'!CO136</f>
        <v>506833.03752725094</v>
      </c>
      <c r="P136" s="401">
        <f>'Corrected and Updated TSF 3'!CP136</f>
        <v>29</v>
      </c>
      <c r="Q136" s="633">
        <f>'Corrected and Updated TSF 3'!CQ136</f>
        <v>17477.001294043137</v>
      </c>
      <c r="R136" s="633">
        <f>'Corrected and Updated TSF 3'!CS136</f>
        <v>3757831.2626907565</v>
      </c>
      <c r="S136" s="633">
        <f>'Corrected and Updated TSF 3'!CT136</f>
        <v>29134.425781994749</v>
      </c>
      <c r="T136" s="635">
        <f>'Corrected and Updated TSF 3'!CU136</f>
        <v>33776.449759995252</v>
      </c>
      <c r="U136" s="636">
        <f>'Corrected and Updated TSF 3'!CV136</f>
        <v>43631.607307122547</v>
      </c>
      <c r="V136" s="636">
        <f>'Corrected and Updated TSF 3'!CW136</f>
        <v>74409.562913672053</v>
      </c>
      <c r="W136" s="1102">
        <f>'Corrected and Updated TSF 3'!CX136</f>
        <v>305260.57778872194</v>
      </c>
      <c r="X136" s="1102">
        <f>'Corrected and Updated TSF 3'!CY136</f>
        <v>120790.12362134912</v>
      </c>
      <c r="Y136" s="1102">
        <f>'Corrected and Updated TSF 3'!CZ136</f>
        <v>87244.995517673655</v>
      </c>
      <c r="Z136" s="1102">
        <f>'Corrected and Updated TSF 3'!DA136</f>
        <v>66397.458141096984</v>
      </c>
      <c r="AA136" s="821">
        <f>L136-'Corrected and Updated TSF 3'!CL136</f>
        <v>0</v>
      </c>
      <c r="AB136" s="678">
        <f>N136-'Corrected and Updated TSF 3'!CN136</f>
        <v>0</v>
      </c>
      <c r="AC136" s="678">
        <f>Q136-'Corrected and Updated TSF 3'!CQ136</f>
        <v>0</v>
      </c>
      <c r="AD136" s="775"/>
      <c r="AE136" s="775"/>
      <c r="AF136" s="775"/>
      <c r="AG136" s="775"/>
      <c r="AH136" s="677"/>
      <c r="AI136" s="677"/>
      <c r="AJ136" s="677"/>
      <c r="AK136" s="677"/>
    </row>
    <row r="137" spans="1:37" s="119" customFormat="1" ht="12.75" hidden="1" customHeight="1">
      <c r="A137" s="631" t="str">
        <f t="shared" si="2"/>
        <v>W-7G</v>
      </c>
      <c r="B137" s="632" t="str">
        <f>'Corrected and Updated TSF 3'!EP137</f>
        <v>SOLD</v>
      </c>
      <c r="C137" s="820" t="str">
        <f>'Corrected and Updated TSF 3'!E137</f>
        <v>7th Floor</v>
      </c>
      <c r="D137" s="628">
        <f>'INTERNAL PRICELIST'!D137</f>
        <v>0</v>
      </c>
      <c r="E137" s="596" t="str">
        <f>'Corrected and Updated TSF 3'!G137</f>
        <v>W-7G</v>
      </c>
      <c r="F137" s="401" t="str">
        <f>'Corrected and Updated TSF 3'!I137</f>
        <v>Studio</v>
      </c>
      <c r="G137" s="633">
        <f>'Corrected and Updated TSF 3'!J137</f>
        <v>22</v>
      </c>
      <c r="H137" s="633">
        <f>'Corrected and Updated TSF 3'!CG137</f>
        <v>3809014.9004150839</v>
      </c>
      <c r="I137" s="633">
        <f>SUM('Corrected and Updated TSF 3'!CI137:CJ137)</f>
        <v>485649.39980292314</v>
      </c>
      <c r="J137" s="633">
        <f>'Corrected and Updated TSF 3'!CH137</f>
        <v>0</v>
      </c>
      <c r="K137" s="633">
        <f>'Corrected and Updated TSF 3'!CK137</f>
        <v>4294664.3002180075</v>
      </c>
      <c r="L137" s="634">
        <f>'Corrected and Updated TSF 3'!CL137</f>
        <v>0.125</v>
      </c>
      <c r="M137" s="633">
        <f>'Corrected and Updated TSF 3'!CM137</f>
        <v>536833.03752725094</v>
      </c>
      <c r="N137" s="633">
        <f>'Corrected and Updated TSF 3'!CN137</f>
        <v>30000</v>
      </c>
      <c r="O137" s="633">
        <f>'Corrected and Updated TSF 3'!CO137</f>
        <v>506833.03752725094</v>
      </c>
      <c r="P137" s="401">
        <f>'Corrected and Updated TSF 3'!CP137</f>
        <v>29</v>
      </c>
      <c r="Q137" s="633">
        <f>'Corrected and Updated TSF 3'!CQ137</f>
        <v>17477.001294043137</v>
      </c>
      <c r="R137" s="633">
        <f>'Corrected and Updated TSF 3'!CS137</f>
        <v>3757831.2626907565</v>
      </c>
      <c r="S137" s="633">
        <f>'Corrected and Updated TSF 3'!CT137</f>
        <v>29134.425781994749</v>
      </c>
      <c r="T137" s="635">
        <f>'Corrected and Updated TSF 3'!CU137</f>
        <v>33776.449759995252</v>
      </c>
      <c r="U137" s="636">
        <f>'Corrected and Updated TSF 3'!CV137</f>
        <v>43631.607307122547</v>
      </c>
      <c r="V137" s="636">
        <f>'Corrected and Updated TSF 3'!CW137</f>
        <v>74409.562913672053</v>
      </c>
      <c r="W137" s="1102">
        <f>'Corrected and Updated TSF 3'!CX137</f>
        <v>305260.57778872194</v>
      </c>
      <c r="X137" s="1102">
        <f>'Corrected and Updated TSF 3'!CY137</f>
        <v>120790.12362134912</v>
      </c>
      <c r="Y137" s="1102">
        <f>'Corrected and Updated TSF 3'!CZ137</f>
        <v>87244.995517673655</v>
      </c>
      <c r="Z137" s="1102">
        <f>'Corrected and Updated TSF 3'!DA137</f>
        <v>66397.458141096984</v>
      </c>
      <c r="AA137" s="821">
        <f>L137-'Corrected and Updated TSF 3'!CL137</f>
        <v>0</v>
      </c>
      <c r="AB137" s="678">
        <f>N137-'Corrected and Updated TSF 3'!CN137</f>
        <v>0</v>
      </c>
      <c r="AC137" s="678">
        <f>Q137-'Corrected and Updated TSF 3'!CQ137</f>
        <v>0</v>
      </c>
      <c r="AD137" s="775"/>
      <c r="AE137" s="775"/>
      <c r="AF137" s="775"/>
      <c r="AG137" s="775"/>
      <c r="AH137" s="677"/>
      <c r="AI137" s="677"/>
      <c r="AJ137" s="677"/>
      <c r="AK137" s="677"/>
    </row>
    <row r="138" spans="1:37" s="119" customFormat="1" ht="12.75" hidden="1" customHeight="1">
      <c r="A138" s="631" t="str">
        <f t="shared" si="2"/>
        <v>W-7H</v>
      </c>
      <c r="B138" s="632" t="str">
        <f>'Corrected and Updated TSF 3'!EP138</f>
        <v>SOLD</v>
      </c>
      <c r="C138" s="820" t="str">
        <f>'Corrected and Updated TSF 3'!E138</f>
        <v>7th Floor</v>
      </c>
      <c r="D138" s="628">
        <f>'INTERNAL PRICELIST'!D138</f>
        <v>0</v>
      </c>
      <c r="E138" s="596" t="str">
        <f>'Corrected and Updated TSF 3'!G138</f>
        <v>W-7H</v>
      </c>
      <c r="F138" s="401" t="str">
        <f>'Corrected and Updated TSF 3'!I138</f>
        <v>Studio</v>
      </c>
      <c r="G138" s="633">
        <f>'Corrected and Updated TSF 3'!J138</f>
        <v>22</v>
      </c>
      <c r="H138" s="633">
        <f>'Corrected and Updated TSF 3'!CG138</f>
        <v>3809014.9004150839</v>
      </c>
      <c r="I138" s="633">
        <f>SUM('Corrected and Updated TSF 3'!CI138:CJ138)</f>
        <v>485649.39980292314</v>
      </c>
      <c r="J138" s="633">
        <f>'Corrected and Updated TSF 3'!CH138</f>
        <v>0</v>
      </c>
      <c r="K138" s="633">
        <f>'Corrected and Updated TSF 3'!CK138</f>
        <v>4294664.3002180075</v>
      </c>
      <c r="L138" s="634">
        <f>'Corrected and Updated TSF 3'!CL138</f>
        <v>0.125</v>
      </c>
      <c r="M138" s="633">
        <f>'Corrected and Updated TSF 3'!CM138</f>
        <v>536833.03752725094</v>
      </c>
      <c r="N138" s="633">
        <f>'Corrected and Updated TSF 3'!CN138</f>
        <v>30000</v>
      </c>
      <c r="O138" s="633">
        <f>'Corrected and Updated TSF 3'!CO138</f>
        <v>506833.03752725094</v>
      </c>
      <c r="P138" s="401">
        <f>'Corrected and Updated TSF 3'!CP138</f>
        <v>29</v>
      </c>
      <c r="Q138" s="633">
        <f>'Corrected and Updated TSF 3'!CQ138</f>
        <v>17477.001294043137</v>
      </c>
      <c r="R138" s="633">
        <f>'Corrected and Updated TSF 3'!CS138</f>
        <v>3757831.2626907565</v>
      </c>
      <c r="S138" s="633">
        <f>'Corrected and Updated TSF 3'!CT138</f>
        <v>29134.425781994749</v>
      </c>
      <c r="T138" s="635">
        <f>'Corrected and Updated TSF 3'!CU138</f>
        <v>33776.449759995252</v>
      </c>
      <c r="U138" s="636">
        <f>'Corrected and Updated TSF 3'!CV138</f>
        <v>43631.607307122547</v>
      </c>
      <c r="V138" s="636">
        <f>'Corrected and Updated TSF 3'!CW138</f>
        <v>74409.562913672053</v>
      </c>
      <c r="W138" s="1102">
        <f>'Corrected and Updated TSF 3'!CX138</f>
        <v>305260.57778872194</v>
      </c>
      <c r="X138" s="1102">
        <f>'Corrected and Updated TSF 3'!CY138</f>
        <v>120790.12362134912</v>
      </c>
      <c r="Y138" s="1102">
        <f>'Corrected and Updated TSF 3'!CZ138</f>
        <v>87244.995517673655</v>
      </c>
      <c r="Z138" s="1102">
        <f>'Corrected and Updated TSF 3'!DA138</f>
        <v>66397.458141096984</v>
      </c>
      <c r="AA138" s="821">
        <f>L138-'Corrected and Updated TSF 3'!CL138</f>
        <v>0</v>
      </c>
      <c r="AB138" s="678">
        <f>N138-'Corrected and Updated TSF 3'!CN138</f>
        <v>0</v>
      </c>
      <c r="AC138" s="678">
        <f>Q138-'Corrected and Updated TSF 3'!CQ138</f>
        <v>0</v>
      </c>
      <c r="AD138" s="775"/>
      <c r="AE138" s="775"/>
      <c r="AF138" s="775"/>
      <c r="AG138" s="775"/>
      <c r="AH138" s="677"/>
      <c r="AI138" s="677"/>
      <c r="AJ138" s="677"/>
      <c r="AK138" s="677"/>
    </row>
    <row r="139" spans="1:37" s="119" customFormat="1" ht="12.75" hidden="1" customHeight="1">
      <c r="A139" s="631" t="str">
        <f t="shared" si="2"/>
        <v>W-7I</v>
      </c>
      <c r="B139" s="632" t="str">
        <f>'Corrected and Updated TSF 3'!EP139</f>
        <v>SOLD</v>
      </c>
      <c r="C139" s="820" t="str">
        <f>'Corrected and Updated TSF 3'!E139</f>
        <v>7th Floor</v>
      </c>
      <c r="D139" s="628">
        <f>'INTERNAL PRICELIST'!D139</f>
        <v>0</v>
      </c>
      <c r="E139" s="596" t="str">
        <f>'Corrected and Updated TSF 3'!G139</f>
        <v>W-7I</v>
      </c>
      <c r="F139" s="401" t="str">
        <f>'Corrected and Updated TSF 3'!I139</f>
        <v>Studio</v>
      </c>
      <c r="G139" s="633">
        <f>'Corrected and Updated TSF 3'!J139</f>
        <v>22</v>
      </c>
      <c r="H139" s="633">
        <f>'Corrected and Updated TSF 3'!CG139</f>
        <v>3809014.9004150839</v>
      </c>
      <c r="I139" s="633">
        <f>SUM('Corrected and Updated TSF 3'!CI139:CJ139)</f>
        <v>485649.39980292314</v>
      </c>
      <c r="J139" s="633">
        <f>'Corrected and Updated TSF 3'!CH139</f>
        <v>0</v>
      </c>
      <c r="K139" s="633">
        <f>'Corrected and Updated TSF 3'!CK139</f>
        <v>4294664.3002180075</v>
      </c>
      <c r="L139" s="634">
        <f>'Corrected and Updated TSF 3'!CL139</f>
        <v>0.125</v>
      </c>
      <c r="M139" s="633">
        <f>'Corrected and Updated TSF 3'!CM139</f>
        <v>536833.03752725094</v>
      </c>
      <c r="N139" s="633">
        <f>'Corrected and Updated TSF 3'!CN139</f>
        <v>30000</v>
      </c>
      <c r="O139" s="633">
        <f>'Corrected and Updated TSF 3'!CO139</f>
        <v>506833.03752725094</v>
      </c>
      <c r="P139" s="401">
        <f>'Corrected and Updated TSF 3'!CP139</f>
        <v>29</v>
      </c>
      <c r="Q139" s="633">
        <f>'Corrected and Updated TSF 3'!CQ139</f>
        <v>17477.001294043137</v>
      </c>
      <c r="R139" s="633">
        <f>'Corrected and Updated TSF 3'!CS139</f>
        <v>3757831.2626907565</v>
      </c>
      <c r="S139" s="633">
        <f>'Corrected and Updated TSF 3'!CT139</f>
        <v>29134.425781994749</v>
      </c>
      <c r="T139" s="635">
        <f>'Corrected and Updated TSF 3'!CU139</f>
        <v>33776.449759995252</v>
      </c>
      <c r="U139" s="636">
        <f>'Corrected and Updated TSF 3'!CV139</f>
        <v>43631.607307122547</v>
      </c>
      <c r="V139" s="636">
        <f>'Corrected and Updated TSF 3'!CW139</f>
        <v>74409.562913672053</v>
      </c>
      <c r="W139" s="1102">
        <f>'Corrected and Updated TSF 3'!CX139</f>
        <v>305260.57778872194</v>
      </c>
      <c r="X139" s="1102">
        <f>'Corrected and Updated TSF 3'!CY139</f>
        <v>120790.12362134912</v>
      </c>
      <c r="Y139" s="1102">
        <f>'Corrected and Updated TSF 3'!CZ139</f>
        <v>87244.995517673655</v>
      </c>
      <c r="Z139" s="1102">
        <f>'Corrected and Updated TSF 3'!DA139</f>
        <v>66397.458141096984</v>
      </c>
      <c r="AA139" s="821">
        <f>L139-'Corrected and Updated TSF 3'!CL139</f>
        <v>0</v>
      </c>
      <c r="AB139" s="678">
        <f>N139-'Corrected and Updated TSF 3'!CN139</f>
        <v>0</v>
      </c>
      <c r="AC139" s="678">
        <f>Q139-'Corrected and Updated TSF 3'!CQ139</f>
        <v>0</v>
      </c>
      <c r="AD139" s="775"/>
      <c r="AE139" s="775"/>
      <c r="AF139" s="775"/>
      <c r="AG139" s="775"/>
      <c r="AH139" s="677"/>
      <c r="AI139" s="677"/>
      <c r="AJ139" s="677"/>
      <c r="AK139" s="677"/>
    </row>
    <row r="140" spans="1:37" s="119" customFormat="1" ht="12.75" hidden="1" customHeight="1">
      <c r="A140" s="631" t="str">
        <f t="shared" si="2"/>
        <v>W-7J</v>
      </c>
      <c r="B140" s="632" t="str">
        <f>'Corrected and Updated TSF 3'!EP140</f>
        <v>SOLD</v>
      </c>
      <c r="C140" s="820" t="str">
        <f>'Corrected and Updated TSF 3'!E140</f>
        <v>7th Floor</v>
      </c>
      <c r="D140" s="628">
        <f>'INTERNAL PRICELIST'!D140</f>
        <v>0</v>
      </c>
      <c r="E140" s="596" t="str">
        <f>'Corrected and Updated TSF 3'!G140</f>
        <v>W-7J</v>
      </c>
      <c r="F140" s="401" t="str">
        <f>'Corrected and Updated TSF 3'!I140</f>
        <v>Studio</v>
      </c>
      <c r="G140" s="633">
        <f>'Corrected and Updated TSF 3'!J140</f>
        <v>22</v>
      </c>
      <c r="H140" s="633">
        <f>'Corrected and Updated TSF 3'!CG140</f>
        <v>3847892.493801767</v>
      </c>
      <c r="I140" s="633">
        <f>SUM('Corrected and Updated TSF 3'!CI140:CJ140)</f>
        <v>490606.29295972525</v>
      </c>
      <c r="J140" s="633">
        <f>'Corrected and Updated TSF 3'!CH140</f>
        <v>0</v>
      </c>
      <c r="K140" s="633">
        <f>'Corrected and Updated TSF 3'!CK140</f>
        <v>4338498.7867614916</v>
      </c>
      <c r="L140" s="634">
        <f>'Corrected and Updated TSF 3'!CL140</f>
        <v>0.125</v>
      </c>
      <c r="M140" s="633">
        <f>'Corrected and Updated TSF 3'!CM140</f>
        <v>542312.34834518644</v>
      </c>
      <c r="N140" s="633">
        <f>'Corrected and Updated TSF 3'!CN140</f>
        <v>30000</v>
      </c>
      <c r="O140" s="633">
        <f>'Corrected and Updated TSF 3'!CO140</f>
        <v>512312.34834518644</v>
      </c>
      <c r="P140" s="401">
        <f>'Corrected and Updated TSF 3'!CP140</f>
        <v>29</v>
      </c>
      <c r="Q140" s="633">
        <f>'Corrected and Updated TSF 3'!CQ140</f>
        <v>17665.943046385739</v>
      </c>
      <c r="R140" s="633">
        <f>'Corrected and Updated TSF 3'!CS140</f>
        <v>3796186.438416305</v>
      </c>
      <c r="S140" s="633">
        <f>'Corrected and Updated TSF 3'!CT140</f>
        <v>29431.793051149678</v>
      </c>
      <c r="T140" s="635">
        <f>'Corrected and Updated TSF 3'!CU140</f>
        <v>34121.196922751609</v>
      </c>
      <c r="U140" s="636">
        <f>'Corrected and Updated TSF 3'!CV140</f>
        <v>44076.943419488205</v>
      </c>
      <c r="V140" s="636">
        <f>'Corrected and Updated TSF 3'!CW140</f>
        <v>75169.041363263648</v>
      </c>
      <c r="W140" s="1102">
        <f>'Corrected and Updated TSF 3'!CX140</f>
        <v>308376.29062538221</v>
      </c>
      <c r="X140" s="1102">
        <f>'Corrected and Updated TSF 3'!CY140</f>
        <v>122022.99601330697</v>
      </c>
      <c r="Y140" s="1102">
        <f>'Corrected and Updated TSF 3'!CZ140</f>
        <v>88135.481784973206</v>
      </c>
      <c r="Z140" s="1102">
        <f>'Corrected and Updated TSF 3'!DA140</f>
        <v>67075.159186382327</v>
      </c>
      <c r="AA140" s="821">
        <f>L140-'Corrected and Updated TSF 3'!CL140</f>
        <v>0</v>
      </c>
      <c r="AB140" s="678">
        <f>N140-'Corrected and Updated TSF 3'!CN140</f>
        <v>0</v>
      </c>
      <c r="AC140" s="678">
        <f>Q140-'Corrected and Updated TSF 3'!CQ140</f>
        <v>0</v>
      </c>
      <c r="AD140" s="775"/>
      <c r="AE140" s="775"/>
      <c r="AF140" s="775"/>
      <c r="AG140" s="775"/>
      <c r="AH140" s="677"/>
      <c r="AI140" s="677"/>
      <c r="AJ140" s="677"/>
      <c r="AK140" s="677"/>
    </row>
    <row r="141" spans="1:37" s="119" customFormat="1" ht="12.75" customHeight="1">
      <c r="A141" s="631" t="str">
        <f t="shared" si="2"/>
        <v>W-7K</v>
      </c>
      <c r="B141" s="632" t="str">
        <f>'Corrected and Updated TSF 3'!EP141</f>
        <v>UNSOLD</v>
      </c>
      <c r="C141" s="973" t="str">
        <f>'Corrected and Updated TSF 3'!E141</f>
        <v>7th Floor</v>
      </c>
      <c r="D141" s="974">
        <f>'INTERNAL PRICELIST'!D141</f>
        <v>0</v>
      </c>
      <c r="E141" s="975" t="str">
        <f>'Corrected and Updated TSF 3'!G141</f>
        <v>W-7K</v>
      </c>
      <c r="F141" s="976" t="str">
        <f>'Corrected and Updated TSF 3'!I141</f>
        <v>Studio</v>
      </c>
      <c r="G141" s="977">
        <f>'Corrected and Updated TSF 3'!J141</f>
        <v>22</v>
      </c>
      <c r="H141" s="977">
        <f>'Corrected and Updated TSF 3'!CG141</f>
        <v>3875482.5247077867</v>
      </c>
      <c r="I141" s="977">
        <f>SUM('Corrected and Updated TSF 3'!CI141:CJ141)</f>
        <v>494124.02190024283</v>
      </c>
      <c r="J141" s="977">
        <f>'Corrected and Updated TSF 3'!CH141</f>
        <v>0</v>
      </c>
      <c r="K141" s="977">
        <f>'Corrected and Updated TSF 3'!CK141</f>
        <v>4369606.5466080299</v>
      </c>
      <c r="L141" s="978">
        <f>'Corrected and Updated TSF 3'!CL141</f>
        <v>0.125</v>
      </c>
      <c r="M141" s="977">
        <f>'Corrected and Updated TSF 3'!CM141</f>
        <v>546200.81832600373</v>
      </c>
      <c r="N141" s="977">
        <f>'Corrected and Updated TSF 3'!CN141</f>
        <v>30000</v>
      </c>
      <c r="O141" s="977">
        <f>'Corrected and Updated TSF 3'!CO141</f>
        <v>516200.81832600373</v>
      </c>
      <c r="P141" s="976">
        <f>'Corrected and Updated TSF 3'!CP141</f>
        <v>29</v>
      </c>
      <c r="Q141" s="977">
        <f>'Corrected and Updated TSF 3'!CQ141</f>
        <v>17800.028218138061</v>
      </c>
      <c r="R141" s="977">
        <f>'Corrected and Updated TSF 3'!CS141</f>
        <v>3823405.728282026</v>
      </c>
      <c r="S141" s="977">
        <f>'Corrected and Updated TSF 3'!CT141</f>
        <v>29642.82391576163</v>
      </c>
      <c r="T141" s="636">
        <f>'Corrected and Updated TSF 3'!CU141</f>
        <v>34365.851595189983</v>
      </c>
      <c r="U141" s="636">
        <f>'Corrected and Updated TSF 3'!CV141</f>
        <v>44392.982454660181</v>
      </c>
      <c r="V141" s="636">
        <f>'Corrected and Updated TSF 3'!CW141</f>
        <v>75708.015926022112</v>
      </c>
      <c r="W141" s="1102">
        <f>'Corrected and Updated TSF 3'!CX141</f>
        <v>310587.40005807643</v>
      </c>
      <c r="X141" s="1102">
        <f>'Corrected and Updated TSF 3'!CY141</f>
        <v>122897.92124489164</v>
      </c>
      <c r="Y141" s="1102">
        <f>'Corrected and Updated TSF 3'!CZ141</f>
        <v>88767.427888010498</v>
      </c>
      <c r="Z141" s="1102">
        <f>'Corrected and Updated TSF 3'!DA141</f>
        <v>67556.099264089687</v>
      </c>
      <c r="AA141" s="821">
        <f>L141-'Corrected and Updated TSF 3'!CL141</f>
        <v>0</v>
      </c>
      <c r="AB141" s="678">
        <f>N141-'Corrected and Updated TSF 3'!CN141</f>
        <v>0</v>
      </c>
      <c r="AC141" s="678">
        <f>Q141-'Corrected and Updated TSF 3'!CQ141</f>
        <v>0</v>
      </c>
      <c r="AD141" s="775"/>
      <c r="AE141" s="775"/>
      <c r="AF141" s="775"/>
      <c r="AG141" s="775"/>
      <c r="AH141" s="677"/>
      <c r="AI141" s="677"/>
      <c r="AJ141" s="677"/>
      <c r="AK141" s="677"/>
    </row>
    <row r="142" spans="1:37" s="119" customFormat="1" ht="12.75" hidden="1" customHeight="1">
      <c r="A142" s="631" t="str">
        <f t="shared" si="2"/>
        <v>W-7L</v>
      </c>
      <c r="B142" s="632" t="str">
        <f>'Corrected and Updated TSF 3'!EP142</f>
        <v>SOLD</v>
      </c>
      <c r="C142" s="973" t="str">
        <f>'Corrected and Updated TSF 3'!E142</f>
        <v>7th Floor</v>
      </c>
      <c r="D142" s="974">
        <f>'INTERNAL PRICELIST'!D142</f>
        <v>0</v>
      </c>
      <c r="E142" s="975" t="str">
        <f>'Corrected and Updated TSF 3'!G142</f>
        <v>W-7L</v>
      </c>
      <c r="F142" s="976" t="str">
        <f>'Corrected and Updated TSF 3'!I142</f>
        <v>Studio</v>
      </c>
      <c r="G142" s="977">
        <f>'Corrected and Updated TSF 3'!J142</f>
        <v>22</v>
      </c>
      <c r="H142" s="977">
        <f>'Corrected and Updated TSF 3'!CG142</f>
        <v>3809014.9004150839</v>
      </c>
      <c r="I142" s="977">
        <f>SUM('Corrected and Updated TSF 3'!CI142:CJ142)</f>
        <v>485649.39980292314</v>
      </c>
      <c r="J142" s="977">
        <f>'Corrected and Updated TSF 3'!CH142</f>
        <v>0</v>
      </c>
      <c r="K142" s="977">
        <f>'Corrected and Updated TSF 3'!CK142</f>
        <v>4294664.3002180075</v>
      </c>
      <c r="L142" s="978">
        <f>'Corrected and Updated TSF 3'!CL142</f>
        <v>0.125</v>
      </c>
      <c r="M142" s="977">
        <f>'Corrected and Updated TSF 3'!CM142</f>
        <v>536833.03752725094</v>
      </c>
      <c r="N142" s="977">
        <f>'Corrected and Updated TSF 3'!CN142</f>
        <v>30000</v>
      </c>
      <c r="O142" s="977">
        <f>'Corrected and Updated TSF 3'!CO142</f>
        <v>506833.03752725094</v>
      </c>
      <c r="P142" s="976">
        <f>'Corrected and Updated TSF 3'!CP142</f>
        <v>29</v>
      </c>
      <c r="Q142" s="977">
        <f>'Corrected and Updated TSF 3'!CQ142</f>
        <v>17477.001294043137</v>
      </c>
      <c r="R142" s="977">
        <f>'Corrected and Updated TSF 3'!CS142</f>
        <v>3757831.2626907565</v>
      </c>
      <c r="S142" s="977">
        <f>'Corrected and Updated TSF 3'!CT142</f>
        <v>29134.425781994749</v>
      </c>
      <c r="T142" s="636">
        <f>'Corrected and Updated TSF 3'!CU142</f>
        <v>33776.449759995252</v>
      </c>
      <c r="U142" s="636">
        <f>'Corrected and Updated TSF 3'!CV142</f>
        <v>43631.607307122547</v>
      </c>
      <c r="V142" s="636">
        <f>'Corrected and Updated TSF 3'!CW142</f>
        <v>74409.562913672053</v>
      </c>
      <c r="W142" s="1102">
        <f>'Corrected and Updated TSF 3'!CX142</f>
        <v>305260.57778872194</v>
      </c>
      <c r="X142" s="1102">
        <f>'Corrected and Updated TSF 3'!CY142</f>
        <v>120790.12362134912</v>
      </c>
      <c r="Y142" s="1102">
        <f>'Corrected and Updated TSF 3'!CZ142</f>
        <v>87244.995517673655</v>
      </c>
      <c r="Z142" s="1102">
        <f>'Corrected and Updated TSF 3'!DA142</f>
        <v>66397.458141096984</v>
      </c>
      <c r="AA142" s="821">
        <f>L142-'Corrected and Updated TSF 3'!CL142</f>
        <v>0</v>
      </c>
      <c r="AB142" s="678">
        <f>N142-'Corrected and Updated TSF 3'!CN142</f>
        <v>0</v>
      </c>
      <c r="AC142" s="678">
        <f>Q142-'Corrected and Updated TSF 3'!CQ142</f>
        <v>0</v>
      </c>
      <c r="AD142" s="775"/>
      <c r="AE142" s="775"/>
      <c r="AF142" s="775"/>
      <c r="AG142" s="775"/>
      <c r="AH142" s="677"/>
      <c r="AI142" s="677"/>
      <c r="AJ142" s="677"/>
      <c r="AK142" s="677"/>
    </row>
    <row r="143" spans="1:37" s="119" customFormat="1" ht="12.75" customHeight="1">
      <c r="A143" s="631" t="str">
        <f t="shared" si="2"/>
        <v>W-7M</v>
      </c>
      <c r="B143" s="632" t="str">
        <f>'Corrected and Updated TSF 3'!EP143</f>
        <v>UNSOLD</v>
      </c>
      <c r="C143" s="820" t="str">
        <f>'Corrected and Updated TSF 3'!E143</f>
        <v>7th Floor</v>
      </c>
      <c r="D143" s="628">
        <f>'INTERNAL PRICELIST'!D143</f>
        <v>0</v>
      </c>
      <c r="E143" s="596" t="str">
        <f>'Corrected and Updated TSF 3'!G143</f>
        <v>W-7M</v>
      </c>
      <c r="F143" s="401" t="str">
        <f>'Corrected and Updated TSF 3'!I143</f>
        <v>Studio</v>
      </c>
      <c r="G143" s="633">
        <f>'Corrected and Updated TSF 3'!J143</f>
        <v>22</v>
      </c>
      <c r="H143" s="633">
        <f>'Corrected and Updated TSF 3'!CG143</f>
        <v>3861968.5345538892</v>
      </c>
      <c r="I143" s="633">
        <f>SUM('Corrected and Updated TSF 3'!CI143:CJ143)</f>
        <v>492400.98815562087</v>
      </c>
      <c r="J143" s="633">
        <f>'Corrected and Updated TSF 3'!CH143</f>
        <v>0</v>
      </c>
      <c r="K143" s="633">
        <f>'Corrected and Updated TSF 3'!CK143</f>
        <v>4354369.5227095094</v>
      </c>
      <c r="L143" s="634">
        <f>'Corrected and Updated TSF 3'!CL143</f>
        <v>0.125</v>
      </c>
      <c r="M143" s="633">
        <f>'Corrected and Updated TSF 3'!CM143</f>
        <v>544296.19033868867</v>
      </c>
      <c r="N143" s="633">
        <f>'Corrected and Updated TSF 3'!CN143</f>
        <v>30000</v>
      </c>
      <c r="O143" s="633">
        <f>'Corrected and Updated TSF 3'!CO143</f>
        <v>514296.19033868867</v>
      </c>
      <c r="P143" s="401">
        <f>'Corrected and Updated TSF 3'!CP143</f>
        <v>29</v>
      </c>
      <c r="Q143" s="633">
        <f>'Corrected and Updated TSF 3'!CQ143</f>
        <v>17734.351390989264</v>
      </c>
      <c r="R143" s="633">
        <f>'Corrected and Updated TSF 3'!CS143</f>
        <v>3810073.3323708205</v>
      </c>
      <c r="S143" s="633">
        <f>'Corrected and Updated TSF 3'!CT143</f>
        <v>29539.457992169559</v>
      </c>
      <c r="T143" s="635">
        <f>'Corrected and Updated TSF 3'!CU143</f>
        <v>34246.016251558089</v>
      </c>
      <c r="U143" s="636">
        <f>'Corrected and Updated TSF 3'!CV143</f>
        <v>44238.182033301113</v>
      </c>
      <c r="V143" s="636">
        <f>'Corrected and Updated TSF 3'!CW143</f>
        <v>75444.018507565779</v>
      </c>
      <c r="W143" s="1102">
        <f>'Corrected and Updated TSF 3'!CX143</f>
        <v>309504.36716099834</v>
      </c>
      <c r="X143" s="1102">
        <f>'Corrected and Updated TSF 3'!CY143</f>
        <v>122469.37040327396</v>
      </c>
      <c r="Y143" s="1102">
        <f>'Corrected and Updated TSF 3'!CZ143</f>
        <v>88457.891684759015</v>
      </c>
      <c r="Z143" s="1102">
        <f>'Corrected and Updated TSF 3'!DA143</f>
        <v>67320.527963104512</v>
      </c>
      <c r="AA143" s="821">
        <f>L143-'Corrected and Updated TSF 3'!CL143</f>
        <v>0</v>
      </c>
      <c r="AB143" s="678">
        <f>N143-'Corrected and Updated TSF 3'!CN143</f>
        <v>0</v>
      </c>
      <c r="AC143" s="678">
        <f>Q143-'Corrected and Updated TSF 3'!CQ143</f>
        <v>0</v>
      </c>
      <c r="AD143" s="775"/>
      <c r="AE143" s="775"/>
      <c r="AF143" s="775"/>
      <c r="AG143" s="775"/>
      <c r="AH143" s="677"/>
      <c r="AI143" s="677"/>
      <c r="AJ143" s="677"/>
      <c r="AK143" s="677"/>
    </row>
    <row r="144" spans="1:37" s="119" customFormat="1" ht="12.75" customHeight="1">
      <c r="A144" s="631" t="str">
        <f t="shared" si="2"/>
        <v>W-7N</v>
      </c>
      <c r="B144" s="632" t="str">
        <f>'Corrected and Updated TSF 3'!EP144</f>
        <v>UNSOLD</v>
      </c>
      <c r="C144" s="820" t="str">
        <f>'Corrected and Updated TSF 3'!E144</f>
        <v>7th Floor</v>
      </c>
      <c r="D144" s="628">
        <f>'INTERNAL PRICELIST'!D144</f>
        <v>0</v>
      </c>
      <c r="E144" s="596" t="str">
        <f>'Corrected and Updated TSF 3'!G144</f>
        <v>W-7N</v>
      </c>
      <c r="F144" s="401" t="str">
        <f>'Corrected and Updated TSF 3'!I144</f>
        <v>Studio</v>
      </c>
      <c r="G144" s="633">
        <f>'Corrected and Updated TSF 3'!J144</f>
        <v>22</v>
      </c>
      <c r="H144" s="633">
        <f>'Corrected and Updated TSF 3'!CG144</f>
        <v>3895566.1279405723</v>
      </c>
      <c r="I144" s="633">
        <f>SUM('Corrected and Updated TSF 3'!CI144:CJ144)</f>
        <v>496684.68131242297</v>
      </c>
      <c r="J144" s="633">
        <f>'Corrected and Updated TSF 3'!CH144</f>
        <v>0</v>
      </c>
      <c r="K144" s="633">
        <f>'Corrected and Updated TSF 3'!CK144</f>
        <v>4392250.8092529951</v>
      </c>
      <c r="L144" s="634">
        <f>'Corrected and Updated TSF 3'!CL144</f>
        <v>0.125</v>
      </c>
      <c r="M144" s="633">
        <f>'Corrected and Updated TSF 3'!CM144</f>
        <v>549031.35115662438</v>
      </c>
      <c r="N144" s="633">
        <f>'Corrected and Updated TSF 3'!CN144</f>
        <v>30000</v>
      </c>
      <c r="O144" s="633">
        <f>'Corrected and Updated TSF 3'!CO144</f>
        <v>519031.35115662438</v>
      </c>
      <c r="P144" s="401">
        <f>'Corrected and Updated TSF 3'!CP144</f>
        <v>29</v>
      </c>
      <c r="Q144" s="633">
        <f>'Corrected and Updated TSF 3'!CQ144</f>
        <v>17897.632798504288</v>
      </c>
      <c r="R144" s="633">
        <f>'Corrected and Updated TSF 3'!CS144</f>
        <v>3843219.4580963706</v>
      </c>
      <c r="S144" s="633">
        <f>'Corrected and Updated TSF 3'!CT144</f>
        <v>29796.439552118642</v>
      </c>
      <c r="T144" s="635">
        <f>'Corrected and Updated TSF 3'!CU144</f>
        <v>34543.943000271625</v>
      </c>
      <c r="U144" s="636">
        <f>'Corrected and Updated TSF 3'!CV144</f>
        <v>44623.036658299403</v>
      </c>
      <c r="V144" s="636">
        <f>'Corrected and Updated TSF 3'!CW144</f>
        <v>76100.351523900783</v>
      </c>
      <c r="W144" s="1102">
        <f>'Corrected and Updated TSF 3'!CX144</f>
        <v>312196.93230911891</v>
      </c>
      <c r="X144" s="1102">
        <f>'Corrected and Updated TSF 3'!CY144</f>
        <v>123534.80531614741</v>
      </c>
      <c r="Y144" s="1102">
        <f>'Corrected and Updated TSF 3'!CZ144</f>
        <v>89227.440232365494</v>
      </c>
      <c r="Z144" s="1102">
        <f>'Corrected and Updated TSF 3'!DA144</f>
        <v>67906.189836018384</v>
      </c>
      <c r="AA144" s="821">
        <f>L144-'Corrected and Updated TSF 3'!CL144</f>
        <v>0</v>
      </c>
      <c r="AB144" s="678">
        <f>N144-'Corrected and Updated TSF 3'!CN144</f>
        <v>0</v>
      </c>
      <c r="AC144" s="678">
        <f>Q144-'Corrected and Updated TSF 3'!CQ144</f>
        <v>0</v>
      </c>
      <c r="AD144" s="775"/>
      <c r="AE144" s="775"/>
      <c r="AF144" s="775"/>
      <c r="AG144" s="775"/>
      <c r="AH144" s="677"/>
      <c r="AI144" s="677"/>
      <c r="AJ144" s="677"/>
      <c r="AK144" s="677"/>
    </row>
    <row r="145" spans="1:37" s="119" customFormat="1" ht="12.75" hidden="1" customHeight="1">
      <c r="A145" s="631" t="str">
        <f t="shared" si="2"/>
        <v>W-7O</v>
      </c>
      <c r="B145" s="632" t="str">
        <f>'Corrected and Updated TSF 3'!EP145</f>
        <v>SOLD</v>
      </c>
      <c r="C145" s="973" t="str">
        <f>'Corrected and Updated TSF 3'!E145</f>
        <v>7th Floor</v>
      </c>
      <c r="D145" s="974">
        <f>'INTERNAL PRICELIST'!D145</f>
        <v>0</v>
      </c>
      <c r="E145" s="975" t="str">
        <f>'Corrected and Updated TSF 3'!G145</f>
        <v>W-7O</v>
      </c>
      <c r="F145" s="976" t="str">
        <f>'Corrected and Updated TSF 3'!I145</f>
        <v>Studio</v>
      </c>
      <c r="G145" s="977">
        <f>'Corrected and Updated TSF 3'!J145</f>
        <v>22</v>
      </c>
      <c r="H145" s="977">
        <f>'Corrected and Updated TSF 3'!CG145</f>
        <v>3847892.493801767</v>
      </c>
      <c r="I145" s="977">
        <f>SUM('Corrected and Updated TSF 3'!CI145:CJ145)</f>
        <v>490606.29295972525</v>
      </c>
      <c r="J145" s="977">
        <f>'Corrected and Updated TSF 3'!CH145</f>
        <v>0</v>
      </c>
      <c r="K145" s="977">
        <f>'Corrected and Updated TSF 3'!CK145</f>
        <v>4338498.7867614916</v>
      </c>
      <c r="L145" s="978">
        <f>'Corrected and Updated TSF 3'!CL145</f>
        <v>0.125</v>
      </c>
      <c r="M145" s="977">
        <f>'Corrected and Updated TSF 3'!CM145</f>
        <v>542312.34834518644</v>
      </c>
      <c r="N145" s="977">
        <f>'Corrected and Updated TSF 3'!CN145</f>
        <v>30000</v>
      </c>
      <c r="O145" s="977">
        <f>'Corrected and Updated TSF 3'!CO145</f>
        <v>512312.34834518644</v>
      </c>
      <c r="P145" s="976">
        <f>'Corrected and Updated TSF 3'!CP145</f>
        <v>29</v>
      </c>
      <c r="Q145" s="977">
        <f>'Corrected and Updated TSF 3'!CQ145</f>
        <v>17665.943046385739</v>
      </c>
      <c r="R145" s="977">
        <f>'Corrected and Updated TSF 3'!CS145</f>
        <v>3796186.438416305</v>
      </c>
      <c r="S145" s="977">
        <f>'Corrected and Updated TSF 3'!CT145</f>
        <v>29431.793051149678</v>
      </c>
      <c r="T145" s="636">
        <f>'Corrected and Updated TSF 3'!CU145</f>
        <v>34121.196922751609</v>
      </c>
      <c r="U145" s="636">
        <f>'Corrected and Updated TSF 3'!CV145</f>
        <v>44076.943419488205</v>
      </c>
      <c r="V145" s="636">
        <f>'Corrected and Updated TSF 3'!CW145</f>
        <v>75169.041363263648</v>
      </c>
      <c r="W145" s="1102">
        <f>'Corrected and Updated TSF 3'!CX145</f>
        <v>308376.29062538221</v>
      </c>
      <c r="X145" s="1102">
        <f>'Corrected and Updated TSF 3'!CY145</f>
        <v>122022.99601330697</v>
      </c>
      <c r="Y145" s="1102">
        <f>'Corrected and Updated TSF 3'!CZ145</f>
        <v>88135.481784973206</v>
      </c>
      <c r="Z145" s="1102">
        <f>'Corrected and Updated TSF 3'!DA145</f>
        <v>67075.159186382327</v>
      </c>
      <c r="AA145" s="821">
        <f>L145-'Corrected and Updated TSF 3'!CL145</f>
        <v>0</v>
      </c>
      <c r="AB145" s="678">
        <f>N145-'Corrected and Updated TSF 3'!CN145</f>
        <v>0</v>
      </c>
      <c r="AC145" s="678">
        <f>Q145-'Corrected and Updated TSF 3'!CQ145</f>
        <v>0</v>
      </c>
      <c r="AD145" s="775"/>
      <c r="AE145" s="775"/>
      <c r="AF145" s="775"/>
      <c r="AG145" s="775"/>
      <c r="AH145" s="677"/>
      <c r="AI145" s="677"/>
      <c r="AJ145" s="677"/>
      <c r="AK145" s="677"/>
    </row>
    <row r="146" spans="1:37" s="119" customFormat="1" ht="12.75" hidden="1" customHeight="1">
      <c r="A146" s="631" t="str">
        <f t="shared" si="2"/>
        <v>W-7P</v>
      </c>
      <c r="B146" s="632" t="str">
        <f>'Corrected and Updated TSF 3'!EP146</f>
        <v>SOLD</v>
      </c>
      <c r="C146" s="973" t="str">
        <f>'Corrected and Updated TSF 3'!E146</f>
        <v>7th Floor</v>
      </c>
      <c r="D146" s="974">
        <f>'INTERNAL PRICELIST'!D146</f>
        <v>0</v>
      </c>
      <c r="E146" s="975" t="str">
        <f>'Corrected and Updated TSF 3'!G146</f>
        <v>W-7P</v>
      </c>
      <c r="F146" s="976" t="str">
        <f>'Corrected and Updated TSF 3'!I146</f>
        <v>Studio</v>
      </c>
      <c r="G146" s="977">
        <f>'Corrected and Updated TSF 3'!J146</f>
        <v>22</v>
      </c>
      <c r="H146" s="977">
        <f>'Corrected and Updated TSF 3'!CG146</f>
        <v>3902248.883881792</v>
      </c>
      <c r="I146" s="977">
        <f>SUM('Corrected and Updated TSF 3'!CI146:CJ146)</f>
        <v>497536.73269492848</v>
      </c>
      <c r="J146" s="977">
        <f>'Corrected and Updated TSF 3'!CH146</f>
        <v>0</v>
      </c>
      <c r="K146" s="977">
        <f>'Corrected and Updated TSF 3'!CK146</f>
        <v>4399785.61657672</v>
      </c>
      <c r="L146" s="978">
        <f>'Corrected and Updated TSF 3'!CL146</f>
        <v>0.125</v>
      </c>
      <c r="M146" s="977">
        <f>'Corrected and Updated TSF 3'!CM146</f>
        <v>549973.20207209</v>
      </c>
      <c r="N146" s="977">
        <f>'Corrected and Updated TSF 3'!CN146</f>
        <v>30000</v>
      </c>
      <c r="O146" s="977">
        <f>'Corrected and Updated TSF 3'!CO146</f>
        <v>519973.20207209</v>
      </c>
      <c r="P146" s="976">
        <f>'Corrected and Updated TSF 3'!CP146</f>
        <v>29</v>
      </c>
      <c r="Q146" s="977">
        <f>'Corrected and Updated TSF 3'!CQ146</f>
        <v>17930.110416278967</v>
      </c>
      <c r="R146" s="977">
        <f>'Corrected and Updated TSF 3'!CS146</f>
        <v>3849812.41450463</v>
      </c>
      <c r="S146" s="977">
        <f>'Corrected and Updated TSF 3'!CT146</f>
        <v>29847.554672977694</v>
      </c>
      <c r="T146" s="636">
        <f>'Corrected and Updated TSF 3'!CU146</f>
        <v>34603.202356354035</v>
      </c>
      <c r="U146" s="636">
        <f>'Corrected and Updated TSF 3'!CV146</f>
        <v>44699.586472511175</v>
      </c>
      <c r="V146" s="636">
        <f>'Corrected and Updated TSF 3'!CW146</f>
        <v>76230.899962708601</v>
      </c>
      <c r="W146" s="1102">
        <f>'Corrected and Updated TSF 3'!CX146</f>
        <v>312732.49911396793</v>
      </c>
      <c r="X146" s="1102">
        <f>'Corrected and Updated TSF 3'!CY146</f>
        <v>123746.72649193047</v>
      </c>
      <c r="Y146" s="1102">
        <f>'Corrected and Updated TSF 3'!CZ146</f>
        <v>89380.507896152747</v>
      </c>
      <c r="Z146" s="1102">
        <f>'Corrected and Updated TSF 3'!DA146</f>
        <v>68022.681375031767</v>
      </c>
      <c r="AA146" s="821">
        <f>L146-'Corrected and Updated TSF 3'!CL146</f>
        <v>0</v>
      </c>
      <c r="AB146" s="678">
        <f>N146-'Corrected and Updated TSF 3'!CN146</f>
        <v>0</v>
      </c>
      <c r="AC146" s="678">
        <f>Q146-'Corrected and Updated TSF 3'!CQ146</f>
        <v>0</v>
      </c>
      <c r="AD146" s="775"/>
      <c r="AE146" s="775"/>
      <c r="AF146" s="775"/>
      <c r="AG146" s="775"/>
      <c r="AH146" s="677"/>
      <c r="AI146" s="677"/>
      <c r="AJ146" s="677"/>
      <c r="AK146" s="677"/>
    </row>
    <row r="147" spans="1:37" s="119" customFormat="1" ht="12.75" hidden="1" customHeight="1">
      <c r="A147" s="631" t="str">
        <f t="shared" si="2"/>
        <v>E-7A</v>
      </c>
      <c r="B147" s="632" t="str">
        <f>'Corrected and Updated TSF 3'!EP147</f>
        <v>SOLD</v>
      </c>
      <c r="C147" s="820" t="str">
        <f>'Corrected and Updated TSF 3'!E147</f>
        <v>7th Floor</v>
      </c>
      <c r="D147" s="628">
        <f>'INTERNAL PRICELIST'!D147</f>
        <v>0</v>
      </c>
      <c r="E147" s="596" t="str">
        <f>'Corrected and Updated TSF 3'!G147</f>
        <v>E-7A</v>
      </c>
      <c r="F147" s="401" t="str">
        <f>'Corrected and Updated TSF 3'!I147</f>
        <v>Studio</v>
      </c>
      <c r="G147" s="633">
        <f>'Corrected and Updated TSF 3'!J147</f>
        <v>22</v>
      </c>
      <c r="H147" s="633">
        <f>'Corrected and Updated TSF 3'!CG147</f>
        <v>3809014.9004150839</v>
      </c>
      <c r="I147" s="633">
        <f>SUM('Corrected and Updated TSF 3'!CI147:CJ147)</f>
        <v>485649.39980292314</v>
      </c>
      <c r="J147" s="633">
        <f>'Corrected and Updated TSF 3'!CH147</f>
        <v>0</v>
      </c>
      <c r="K147" s="633">
        <f>'Corrected and Updated TSF 3'!CK147</f>
        <v>4294664.3002180075</v>
      </c>
      <c r="L147" s="634">
        <f>'Corrected and Updated TSF 3'!CL147</f>
        <v>0.125</v>
      </c>
      <c r="M147" s="633">
        <f>'Corrected and Updated TSF 3'!CM147</f>
        <v>536833.03752725094</v>
      </c>
      <c r="N147" s="633">
        <f>'Corrected and Updated TSF 3'!CN147</f>
        <v>30000</v>
      </c>
      <c r="O147" s="633">
        <f>'Corrected and Updated TSF 3'!CO147</f>
        <v>506833.03752725094</v>
      </c>
      <c r="P147" s="401">
        <f>'Corrected and Updated TSF 3'!CP147</f>
        <v>29</v>
      </c>
      <c r="Q147" s="633">
        <f>'Corrected and Updated TSF 3'!CQ147</f>
        <v>17477.001294043137</v>
      </c>
      <c r="R147" s="633">
        <f>'Corrected and Updated TSF 3'!CS147</f>
        <v>3757831.2626907565</v>
      </c>
      <c r="S147" s="633">
        <f>'Corrected and Updated TSF 3'!CT147</f>
        <v>29134.425781994749</v>
      </c>
      <c r="T147" s="635">
        <f>'Corrected and Updated TSF 3'!CU147</f>
        <v>33776.449759995252</v>
      </c>
      <c r="U147" s="636">
        <f>'Corrected and Updated TSF 3'!CV147</f>
        <v>43631.607307122547</v>
      </c>
      <c r="V147" s="636">
        <f>'Corrected and Updated TSF 3'!CW147</f>
        <v>74409.562913672053</v>
      </c>
      <c r="W147" s="1102">
        <f>'Corrected and Updated TSF 3'!CX147</f>
        <v>305260.57778872194</v>
      </c>
      <c r="X147" s="1102">
        <f>'Corrected and Updated TSF 3'!CY147</f>
        <v>120790.12362134912</v>
      </c>
      <c r="Y147" s="1102">
        <f>'Corrected and Updated TSF 3'!CZ147</f>
        <v>87244.995517673655</v>
      </c>
      <c r="Z147" s="1102">
        <f>'Corrected and Updated TSF 3'!DA147</f>
        <v>66397.458141096984</v>
      </c>
      <c r="AA147" s="821">
        <f>L147-'Corrected and Updated TSF 3'!CL147</f>
        <v>0</v>
      </c>
      <c r="AB147" s="678">
        <f>N147-'Corrected and Updated TSF 3'!CN147</f>
        <v>0</v>
      </c>
      <c r="AC147" s="678">
        <f>Q147-'Corrected and Updated TSF 3'!CQ147</f>
        <v>0</v>
      </c>
      <c r="AD147" s="775"/>
      <c r="AE147" s="775"/>
      <c r="AF147" s="775"/>
      <c r="AG147" s="775"/>
      <c r="AH147" s="677"/>
      <c r="AI147" s="677"/>
      <c r="AJ147" s="677"/>
      <c r="AK147" s="677"/>
    </row>
    <row r="148" spans="1:37" s="119" customFormat="1" hidden="1">
      <c r="A148" s="631" t="str">
        <f t="shared" si="2"/>
        <v>E-7B</v>
      </c>
      <c r="B148" s="632" t="str">
        <f>'Corrected and Updated TSF 3'!EP148</f>
        <v>SOLD</v>
      </c>
      <c r="C148" s="820" t="str">
        <f>'Corrected and Updated TSF 3'!E148</f>
        <v>7th Floor</v>
      </c>
      <c r="D148" s="628">
        <f>'INTERNAL PRICELIST'!D148</f>
        <v>0</v>
      </c>
      <c r="E148" s="596" t="str">
        <f>'Corrected and Updated TSF 3'!G148</f>
        <v>E-7B</v>
      </c>
      <c r="F148" s="401" t="str">
        <f>'Corrected and Updated TSF 3'!I148</f>
        <v>Studio</v>
      </c>
      <c r="G148" s="633">
        <f>'Corrected and Updated TSF 3'!J148</f>
        <v>22</v>
      </c>
      <c r="H148" s="633">
        <f>'Corrected and Updated TSF 3'!CG148</f>
        <v>3809014.9004150839</v>
      </c>
      <c r="I148" s="633">
        <f>SUM('Corrected and Updated TSF 3'!CI148:CJ148)</f>
        <v>485649.39980292314</v>
      </c>
      <c r="J148" s="633">
        <f>'Corrected and Updated TSF 3'!CH148</f>
        <v>0</v>
      </c>
      <c r="K148" s="633">
        <f>'Corrected and Updated TSF 3'!CK148</f>
        <v>4294664.3002180075</v>
      </c>
      <c r="L148" s="634">
        <f>'Corrected and Updated TSF 3'!CL148</f>
        <v>0.125</v>
      </c>
      <c r="M148" s="633">
        <f>'Corrected and Updated TSF 3'!CM148</f>
        <v>536833.03752725094</v>
      </c>
      <c r="N148" s="633">
        <f>'Corrected and Updated TSF 3'!CN148</f>
        <v>30000</v>
      </c>
      <c r="O148" s="633">
        <f>'Corrected and Updated TSF 3'!CO148</f>
        <v>506833.03752725094</v>
      </c>
      <c r="P148" s="401">
        <f>'Corrected and Updated TSF 3'!CP148</f>
        <v>29</v>
      </c>
      <c r="Q148" s="633">
        <f>'Corrected and Updated TSF 3'!CQ148</f>
        <v>17477.001294043137</v>
      </c>
      <c r="R148" s="633">
        <f>'Corrected and Updated TSF 3'!CS148</f>
        <v>3757831.2626907565</v>
      </c>
      <c r="S148" s="633">
        <f>'Corrected and Updated TSF 3'!CT148</f>
        <v>29134.425781994749</v>
      </c>
      <c r="T148" s="635">
        <f>'Corrected and Updated TSF 3'!CU148</f>
        <v>33776.449759995252</v>
      </c>
      <c r="U148" s="636">
        <f>'Corrected and Updated TSF 3'!CV148</f>
        <v>43631.607307122547</v>
      </c>
      <c r="V148" s="636">
        <f>'Corrected and Updated TSF 3'!CW148</f>
        <v>74409.562913672053</v>
      </c>
      <c r="W148" s="1102">
        <f>'Corrected and Updated TSF 3'!CX148</f>
        <v>305260.57778872194</v>
      </c>
      <c r="X148" s="1102">
        <f>'Corrected and Updated TSF 3'!CY148</f>
        <v>120790.12362134912</v>
      </c>
      <c r="Y148" s="1102">
        <f>'Corrected and Updated TSF 3'!CZ148</f>
        <v>87244.995517673655</v>
      </c>
      <c r="Z148" s="1102">
        <f>'Corrected and Updated TSF 3'!DA148</f>
        <v>66397.458141096984</v>
      </c>
      <c r="AA148" s="821">
        <f>L148-'Corrected and Updated TSF 3'!CL148</f>
        <v>0</v>
      </c>
      <c r="AB148" s="678">
        <f>N148-'Corrected and Updated TSF 3'!CN148</f>
        <v>0</v>
      </c>
      <c r="AC148" s="678">
        <f>Q148-'Corrected and Updated TSF 3'!CQ148</f>
        <v>0</v>
      </c>
      <c r="AD148" s="775"/>
      <c r="AE148" s="775"/>
      <c r="AF148" s="775"/>
      <c r="AG148" s="775"/>
      <c r="AH148" s="677"/>
      <c r="AI148" s="677"/>
      <c r="AJ148" s="677"/>
      <c r="AK148" s="677"/>
    </row>
    <row r="149" spans="1:37" s="119" customFormat="1" ht="12.75" hidden="1" customHeight="1">
      <c r="A149" s="631" t="str">
        <f t="shared" si="2"/>
        <v>E-7C</v>
      </c>
      <c r="B149" s="632" t="str">
        <f>'Corrected and Updated TSF 3'!EP149</f>
        <v>SOLD</v>
      </c>
      <c r="C149" s="820" t="str">
        <f>'Corrected and Updated TSF 3'!E149</f>
        <v>7th Floor</v>
      </c>
      <c r="D149" s="628">
        <f>'INTERNAL PRICELIST'!D149</f>
        <v>0</v>
      </c>
      <c r="E149" s="596" t="str">
        <f>'Corrected and Updated TSF 3'!G149</f>
        <v>E-7C</v>
      </c>
      <c r="F149" s="401" t="str">
        <f>'Corrected and Updated TSF 3'!I149</f>
        <v>Studio</v>
      </c>
      <c r="G149" s="633">
        <f>'Corrected and Updated TSF 3'!J149</f>
        <v>22</v>
      </c>
      <c r="H149" s="633">
        <f>'Corrected and Updated TSF 3'!CG149</f>
        <v>3809014.9004150839</v>
      </c>
      <c r="I149" s="633">
        <f>SUM('Corrected and Updated TSF 3'!CI149:CJ149)</f>
        <v>485649.39980292314</v>
      </c>
      <c r="J149" s="633">
        <f>'Corrected and Updated TSF 3'!CH149</f>
        <v>0</v>
      </c>
      <c r="K149" s="633">
        <f>'Corrected and Updated TSF 3'!CK149</f>
        <v>4294664.3002180075</v>
      </c>
      <c r="L149" s="634">
        <f>'Corrected and Updated TSF 3'!CL149</f>
        <v>0.125</v>
      </c>
      <c r="M149" s="633">
        <f>'Corrected and Updated TSF 3'!CM149</f>
        <v>536833.03752725094</v>
      </c>
      <c r="N149" s="633">
        <f>'Corrected and Updated TSF 3'!CN149</f>
        <v>30000</v>
      </c>
      <c r="O149" s="633">
        <f>'Corrected and Updated TSF 3'!CO149</f>
        <v>506833.03752725094</v>
      </c>
      <c r="P149" s="401">
        <f>'Corrected and Updated TSF 3'!CP149</f>
        <v>29</v>
      </c>
      <c r="Q149" s="633">
        <f>'Corrected and Updated TSF 3'!CQ149</f>
        <v>17477.001294043137</v>
      </c>
      <c r="R149" s="633">
        <f>'Corrected and Updated TSF 3'!CS149</f>
        <v>3757831.2626907565</v>
      </c>
      <c r="S149" s="633">
        <f>'Corrected and Updated TSF 3'!CT149</f>
        <v>29134.425781994749</v>
      </c>
      <c r="T149" s="635">
        <f>'Corrected and Updated TSF 3'!CU149</f>
        <v>33776.449759995252</v>
      </c>
      <c r="U149" s="636">
        <f>'Corrected and Updated TSF 3'!CV149</f>
        <v>43631.607307122547</v>
      </c>
      <c r="V149" s="636">
        <f>'Corrected and Updated TSF 3'!CW149</f>
        <v>74409.562913672053</v>
      </c>
      <c r="W149" s="1102">
        <f>'Corrected and Updated TSF 3'!CX149</f>
        <v>305260.57778872194</v>
      </c>
      <c r="X149" s="1102">
        <f>'Corrected and Updated TSF 3'!CY149</f>
        <v>120790.12362134912</v>
      </c>
      <c r="Y149" s="1102">
        <f>'Corrected and Updated TSF 3'!CZ149</f>
        <v>87244.995517673655</v>
      </c>
      <c r="Z149" s="1102">
        <f>'Corrected and Updated TSF 3'!DA149</f>
        <v>66397.458141096984</v>
      </c>
      <c r="AA149" s="821">
        <f>L149-'Corrected and Updated TSF 3'!CL149</f>
        <v>0</v>
      </c>
      <c r="AB149" s="678">
        <f>N149-'Corrected and Updated TSF 3'!CN149</f>
        <v>0</v>
      </c>
      <c r="AC149" s="678">
        <f>Q149-'Corrected and Updated TSF 3'!CQ149</f>
        <v>0</v>
      </c>
      <c r="AD149" s="775"/>
      <c r="AE149" s="775"/>
      <c r="AF149" s="775"/>
      <c r="AG149" s="775"/>
      <c r="AH149" s="677"/>
      <c r="AI149" s="677"/>
      <c r="AJ149" s="677"/>
      <c r="AK149" s="677"/>
    </row>
    <row r="150" spans="1:37" s="119" customFormat="1" ht="12.75" hidden="1" customHeight="1">
      <c r="A150" s="631" t="str">
        <f t="shared" si="2"/>
        <v>E-7D</v>
      </c>
      <c r="B150" s="632" t="str">
        <f>'Corrected and Updated TSF 3'!EP150</f>
        <v>SOLD</v>
      </c>
      <c r="C150" s="820" t="str">
        <f>'Corrected and Updated TSF 3'!E150</f>
        <v>7th Floor</v>
      </c>
      <c r="D150" s="628">
        <f>'INTERNAL PRICELIST'!D150</f>
        <v>0</v>
      </c>
      <c r="E150" s="596" t="str">
        <f>'Corrected and Updated TSF 3'!G150</f>
        <v>E-7D</v>
      </c>
      <c r="F150" s="401" t="str">
        <f>'Corrected and Updated TSF 3'!I150</f>
        <v>Studio</v>
      </c>
      <c r="G150" s="633">
        <f>'Corrected and Updated TSF 3'!J150</f>
        <v>22</v>
      </c>
      <c r="H150" s="633">
        <f>'Corrected and Updated TSF 3'!CG150</f>
        <v>3809014.9004150839</v>
      </c>
      <c r="I150" s="633">
        <f>SUM('Corrected and Updated TSF 3'!CI150:CJ150)</f>
        <v>485649.39980292314</v>
      </c>
      <c r="J150" s="633">
        <f>'Corrected and Updated TSF 3'!CH150</f>
        <v>0</v>
      </c>
      <c r="K150" s="633">
        <f>'Corrected and Updated TSF 3'!CK150</f>
        <v>4294664.3002180075</v>
      </c>
      <c r="L150" s="634">
        <f>'Corrected and Updated TSF 3'!CL150</f>
        <v>0.125</v>
      </c>
      <c r="M150" s="633">
        <f>'Corrected and Updated TSF 3'!CM150</f>
        <v>536833.03752725094</v>
      </c>
      <c r="N150" s="633">
        <f>'Corrected and Updated TSF 3'!CN150</f>
        <v>30000</v>
      </c>
      <c r="O150" s="633">
        <f>'Corrected and Updated TSF 3'!CO150</f>
        <v>506833.03752725094</v>
      </c>
      <c r="P150" s="401">
        <f>'Corrected and Updated TSF 3'!CP150</f>
        <v>29</v>
      </c>
      <c r="Q150" s="633">
        <f>'Corrected and Updated TSF 3'!CQ150</f>
        <v>17477.001294043137</v>
      </c>
      <c r="R150" s="633">
        <f>'Corrected and Updated TSF 3'!CS150</f>
        <v>3757831.2626907565</v>
      </c>
      <c r="S150" s="633">
        <f>'Corrected and Updated TSF 3'!CT150</f>
        <v>29134.425781994749</v>
      </c>
      <c r="T150" s="635">
        <f>'Corrected and Updated TSF 3'!CU150</f>
        <v>33776.449759995252</v>
      </c>
      <c r="U150" s="636">
        <f>'Corrected and Updated TSF 3'!CV150</f>
        <v>43631.607307122547</v>
      </c>
      <c r="V150" s="636">
        <f>'Corrected and Updated TSF 3'!CW150</f>
        <v>74409.562913672053</v>
      </c>
      <c r="W150" s="1102">
        <f>'Corrected and Updated TSF 3'!CX150</f>
        <v>305260.57778872194</v>
      </c>
      <c r="X150" s="1102">
        <f>'Corrected and Updated TSF 3'!CY150</f>
        <v>120790.12362134912</v>
      </c>
      <c r="Y150" s="1102">
        <f>'Corrected and Updated TSF 3'!CZ150</f>
        <v>87244.995517673655</v>
      </c>
      <c r="Z150" s="1102">
        <f>'Corrected and Updated TSF 3'!DA150</f>
        <v>66397.458141096984</v>
      </c>
      <c r="AA150" s="821">
        <f>L150-'Corrected and Updated TSF 3'!CL150</f>
        <v>0</v>
      </c>
      <c r="AB150" s="678">
        <f>N150-'Corrected and Updated TSF 3'!CN150</f>
        <v>0</v>
      </c>
      <c r="AC150" s="678">
        <f>Q150-'Corrected and Updated TSF 3'!CQ150</f>
        <v>0</v>
      </c>
      <c r="AD150" s="775"/>
      <c r="AE150" s="775"/>
      <c r="AF150" s="775"/>
      <c r="AG150" s="775"/>
      <c r="AH150" s="677"/>
      <c r="AI150" s="677"/>
      <c r="AJ150" s="677"/>
      <c r="AK150" s="677"/>
    </row>
    <row r="151" spans="1:37" s="119" customFormat="1" ht="12.75" hidden="1" customHeight="1">
      <c r="A151" s="631" t="str">
        <f t="shared" si="2"/>
        <v>E-7E</v>
      </c>
      <c r="B151" s="632" t="str">
        <f>'Corrected and Updated TSF 3'!EP151</f>
        <v>SOLD</v>
      </c>
      <c r="C151" s="820" t="str">
        <f>'Corrected and Updated TSF 3'!E151</f>
        <v>7th Floor</v>
      </c>
      <c r="D151" s="628">
        <f>'INTERNAL PRICELIST'!D151</f>
        <v>0</v>
      </c>
      <c r="E151" s="596" t="str">
        <f>'Corrected and Updated TSF 3'!G151</f>
        <v>E-7E</v>
      </c>
      <c r="F151" s="401" t="str">
        <f>'Corrected and Updated TSF 3'!I151</f>
        <v>Studio</v>
      </c>
      <c r="G151" s="633">
        <f>'Corrected and Updated TSF 3'!J151</f>
        <v>22</v>
      </c>
      <c r="H151" s="633">
        <f>'Corrected and Updated TSF 3'!CG151</f>
        <v>3809014.9004150839</v>
      </c>
      <c r="I151" s="633">
        <f>SUM('Corrected and Updated TSF 3'!CI151:CJ151)</f>
        <v>485649.39980292314</v>
      </c>
      <c r="J151" s="633">
        <f>'Corrected and Updated TSF 3'!CH151</f>
        <v>0</v>
      </c>
      <c r="K151" s="633">
        <f>'Corrected and Updated TSF 3'!CK151</f>
        <v>4294664.3002180075</v>
      </c>
      <c r="L151" s="634">
        <f>'Corrected and Updated TSF 3'!CL151</f>
        <v>0.125</v>
      </c>
      <c r="M151" s="633">
        <f>'Corrected and Updated TSF 3'!CM151</f>
        <v>536833.03752725094</v>
      </c>
      <c r="N151" s="633">
        <f>'Corrected and Updated TSF 3'!CN151</f>
        <v>30000</v>
      </c>
      <c r="O151" s="633">
        <f>'Corrected and Updated TSF 3'!CO151</f>
        <v>506833.03752725094</v>
      </c>
      <c r="P151" s="401">
        <f>'Corrected and Updated TSF 3'!CP151</f>
        <v>29</v>
      </c>
      <c r="Q151" s="633">
        <f>'Corrected and Updated TSF 3'!CQ151</f>
        <v>17477.001294043137</v>
      </c>
      <c r="R151" s="633">
        <f>'Corrected and Updated TSF 3'!CS151</f>
        <v>3757831.2626907565</v>
      </c>
      <c r="S151" s="633">
        <f>'Corrected and Updated TSF 3'!CT151</f>
        <v>29134.425781994749</v>
      </c>
      <c r="T151" s="635">
        <f>'Corrected and Updated TSF 3'!CU151</f>
        <v>33776.449759995252</v>
      </c>
      <c r="U151" s="636">
        <f>'Corrected and Updated TSF 3'!CV151</f>
        <v>43631.607307122547</v>
      </c>
      <c r="V151" s="636">
        <f>'Corrected and Updated TSF 3'!CW151</f>
        <v>74409.562913672053</v>
      </c>
      <c r="W151" s="1102">
        <f>'Corrected and Updated TSF 3'!CX151</f>
        <v>305260.57778872194</v>
      </c>
      <c r="X151" s="1102">
        <f>'Corrected and Updated TSF 3'!CY151</f>
        <v>120790.12362134912</v>
      </c>
      <c r="Y151" s="1102">
        <f>'Corrected and Updated TSF 3'!CZ151</f>
        <v>87244.995517673655</v>
      </c>
      <c r="Z151" s="1102">
        <f>'Corrected and Updated TSF 3'!DA151</f>
        <v>66397.458141096984</v>
      </c>
      <c r="AA151" s="821">
        <f>L151-'Corrected and Updated TSF 3'!CL151</f>
        <v>0</v>
      </c>
      <c r="AB151" s="678">
        <f>N151-'Corrected and Updated TSF 3'!CN151</f>
        <v>0</v>
      </c>
      <c r="AC151" s="678">
        <f>Q151-'Corrected and Updated TSF 3'!CQ151</f>
        <v>0</v>
      </c>
      <c r="AD151" s="775"/>
      <c r="AE151" s="775"/>
      <c r="AF151" s="775"/>
      <c r="AG151" s="775"/>
      <c r="AH151" s="677"/>
      <c r="AI151" s="677"/>
      <c r="AJ151" s="677"/>
      <c r="AK151" s="677"/>
    </row>
    <row r="152" spans="1:37" s="119" customFormat="1" ht="12.75" hidden="1" customHeight="1">
      <c r="A152" s="631" t="str">
        <f t="shared" si="2"/>
        <v>E-7F</v>
      </c>
      <c r="B152" s="632" t="str">
        <f>'Corrected and Updated TSF 3'!EP152</f>
        <v>SOLD</v>
      </c>
      <c r="C152" s="820" t="str">
        <f>'Corrected and Updated TSF 3'!E152</f>
        <v>7th Floor</v>
      </c>
      <c r="D152" s="628">
        <f>'INTERNAL PRICELIST'!D152</f>
        <v>0</v>
      </c>
      <c r="E152" s="596" t="str">
        <f>'Corrected and Updated TSF 3'!G152</f>
        <v>E-7F</v>
      </c>
      <c r="F152" s="401" t="str">
        <f>'Corrected and Updated TSF 3'!I152</f>
        <v>Studio</v>
      </c>
      <c r="G152" s="633">
        <f>'Corrected and Updated TSF 3'!J152</f>
        <v>22</v>
      </c>
      <c r="H152" s="633">
        <f>'Corrected and Updated TSF 3'!CG152</f>
        <v>3809014.9004150839</v>
      </c>
      <c r="I152" s="633">
        <f>SUM('Corrected and Updated TSF 3'!CI152:CJ152)</f>
        <v>485649.39980292314</v>
      </c>
      <c r="J152" s="633">
        <f>'Corrected and Updated TSF 3'!CH152</f>
        <v>0</v>
      </c>
      <c r="K152" s="633">
        <f>'Corrected and Updated TSF 3'!CK152</f>
        <v>4294664.3002180075</v>
      </c>
      <c r="L152" s="634">
        <f>'Corrected and Updated TSF 3'!CL152</f>
        <v>0.125</v>
      </c>
      <c r="M152" s="633">
        <f>'Corrected and Updated TSF 3'!CM152</f>
        <v>536833.03752725094</v>
      </c>
      <c r="N152" s="633">
        <f>'Corrected and Updated TSF 3'!CN152</f>
        <v>30000</v>
      </c>
      <c r="O152" s="633">
        <f>'Corrected and Updated TSF 3'!CO152</f>
        <v>506833.03752725094</v>
      </c>
      <c r="P152" s="401">
        <f>'Corrected and Updated TSF 3'!CP152</f>
        <v>29</v>
      </c>
      <c r="Q152" s="633">
        <f>'Corrected and Updated TSF 3'!CQ152</f>
        <v>17477.001294043137</v>
      </c>
      <c r="R152" s="633">
        <f>'Corrected and Updated TSF 3'!CS152</f>
        <v>3757831.2626907565</v>
      </c>
      <c r="S152" s="633">
        <f>'Corrected and Updated TSF 3'!CT152</f>
        <v>29134.425781994749</v>
      </c>
      <c r="T152" s="635">
        <f>'Corrected and Updated TSF 3'!CU152</f>
        <v>33776.449759995252</v>
      </c>
      <c r="U152" s="636">
        <f>'Corrected and Updated TSF 3'!CV152</f>
        <v>43631.607307122547</v>
      </c>
      <c r="V152" s="636">
        <f>'Corrected and Updated TSF 3'!CW152</f>
        <v>74409.562913672053</v>
      </c>
      <c r="W152" s="1102">
        <f>'Corrected and Updated TSF 3'!CX152</f>
        <v>305260.57778872194</v>
      </c>
      <c r="X152" s="1102">
        <f>'Corrected and Updated TSF 3'!CY152</f>
        <v>120790.12362134912</v>
      </c>
      <c r="Y152" s="1102">
        <f>'Corrected and Updated TSF 3'!CZ152</f>
        <v>87244.995517673655</v>
      </c>
      <c r="Z152" s="1102">
        <f>'Corrected and Updated TSF 3'!DA152</f>
        <v>66397.458141096984</v>
      </c>
      <c r="AA152" s="821">
        <f>L152-'Corrected and Updated TSF 3'!CL152</f>
        <v>0</v>
      </c>
      <c r="AB152" s="678">
        <f>N152-'Corrected and Updated TSF 3'!CN152</f>
        <v>0</v>
      </c>
      <c r="AC152" s="678">
        <f>Q152-'Corrected and Updated TSF 3'!CQ152</f>
        <v>0</v>
      </c>
      <c r="AD152" s="775"/>
      <c r="AE152" s="775"/>
      <c r="AF152" s="775"/>
      <c r="AG152" s="775"/>
      <c r="AH152" s="677"/>
      <c r="AI152" s="677"/>
      <c r="AJ152" s="677"/>
      <c r="AK152" s="677"/>
    </row>
    <row r="153" spans="1:37" s="119" customFormat="1">
      <c r="A153" s="631" t="str">
        <f t="shared" si="2"/>
        <v>E-7G</v>
      </c>
      <c r="B153" s="632" t="str">
        <f>'Corrected and Updated TSF 3'!EP153</f>
        <v>UNSOLD</v>
      </c>
      <c r="C153" s="820" t="str">
        <f>'Corrected and Updated TSF 3'!E153</f>
        <v>7th Floor</v>
      </c>
      <c r="D153" s="628">
        <f>'INTERNAL PRICELIST'!D153</f>
        <v>0</v>
      </c>
      <c r="E153" s="596" t="str">
        <f>'Corrected and Updated TSF 3'!G153</f>
        <v>E-7G</v>
      </c>
      <c r="F153" s="401" t="str">
        <f>'Corrected and Updated TSF 3'!I153</f>
        <v>Studio</v>
      </c>
      <c r="G153" s="633">
        <f>'Corrected and Updated TSF 3'!J153</f>
        <v>22</v>
      </c>
      <c r="H153" s="633">
        <f>'Corrected and Updated TSF 3'!CG153</f>
        <v>3874764.0856833966</v>
      </c>
      <c r="I153" s="633">
        <f>SUM('Corrected and Updated TSF 3'!CI153:CJ153)</f>
        <v>494032.42092463304</v>
      </c>
      <c r="J153" s="633">
        <f>'Corrected and Updated TSF 3'!CH153</f>
        <v>0</v>
      </c>
      <c r="K153" s="633">
        <f>'Corrected and Updated TSF 3'!CK153</f>
        <v>4368796.5066080298</v>
      </c>
      <c r="L153" s="634">
        <f>'Corrected and Updated TSF 3'!CL153</f>
        <v>0.125</v>
      </c>
      <c r="M153" s="633">
        <f>'Corrected and Updated TSF 3'!CM153</f>
        <v>546099.56332600373</v>
      </c>
      <c r="N153" s="633">
        <f>'Corrected and Updated TSF 3'!CN153</f>
        <v>30000</v>
      </c>
      <c r="O153" s="633">
        <f>'Corrected and Updated TSF 3'!CO153</f>
        <v>516099.56332600373</v>
      </c>
      <c r="P153" s="401">
        <f>'Corrected and Updated TSF 3'!CP153</f>
        <v>29</v>
      </c>
      <c r="Q153" s="633">
        <f>'Corrected and Updated TSF 3'!CQ153</f>
        <v>17796.536666413922</v>
      </c>
      <c r="R153" s="633">
        <f>'Corrected and Updated TSF 3'!CS153</f>
        <v>3822696.9432820259</v>
      </c>
      <c r="S153" s="633">
        <f>'Corrected and Updated TSF 3'!CT153</f>
        <v>29637.328713200804</v>
      </c>
      <c r="T153" s="635">
        <f>'Corrected and Updated TSF 3'!CU153</f>
        <v>34359.48083523041</v>
      </c>
      <c r="U153" s="636">
        <f>'Corrected and Updated TSF 3'!CV153</f>
        <v>44384.752859815882</v>
      </c>
      <c r="V153" s="636">
        <f>'Corrected and Updated TSF 3'!CW153</f>
        <v>75693.981133514681</v>
      </c>
      <c r="W153" s="1102">
        <f>'Corrected and Updated TSF 3'!CX153</f>
        <v>310529.82319964317</v>
      </c>
      <c r="X153" s="1102">
        <f>'Corrected and Updated TSF 3'!CY153</f>
        <v>122875.13836248258</v>
      </c>
      <c r="Y153" s="1102">
        <f>'Corrected and Updated TSF 3'!CZ153</f>
        <v>88750.972134724827</v>
      </c>
      <c r="Z153" s="1102">
        <f>'Corrected and Updated TSF 3'!DA153</f>
        <v>67543.57567825554</v>
      </c>
      <c r="AA153" s="821">
        <f>L153-'Corrected and Updated TSF 3'!CL153</f>
        <v>0</v>
      </c>
      <c r="AB153" s="678">
        <f>N153-'Corrected and Updated TSF 3'!CN153</f>
        <v>0</v>
      </c>
      <c r="AC153" s="678">
        <f>Q153-'Corrected and Updated TSF 3'!CQ153</f>
        <v>0</v>
      </c>
      <c r="AD153" s="775"/>
      <c r="AE153" s="775"/>
      <c r="AF153" s="775"/>
      <c r="AG153" s="775"/>
      <c r="AH153" s="677"/>
      <c r="AI153" s="677"/>
      <c r="AJ153" s="677"/>
      <c r="AK153" s="677"/>
    </row>
    <row r="154" spans="1:37" s="119" customFormat="1" ht="12.75" hidden="1" customHeight="1">
      <c r="A154" s="631" t="str">
        <f t="shared" si="2"/>
        <v>E-7H</v>
      </c>
      <c r="B154" s="632" t="str">
        <f>'Corrected and Updated TSF 3'!EP154</f>
        <v>SOLD</v>
      </c>
      <c r="C154" s="820" t="str">
        <f>'Corrected and Updated TSF 3'!E154</f>
        <v>7th Floor</v>
      </c>
      <c r="D154" s="628">
        <f>'INTERNAL PRICELIST'!D154</f>
        <v>0</v>
      </c>
      <c r="E154" s="596" t="str">
        <f>'Corrected and Updated TSF 3'!G154</f>
        <v>E-7H</v>
      </c>
      <c r="F154" s="401" t="str">
        <f>'Corrected and Updated TSF 3'!I154</f>
        <v>Studio</v>
      </c>
      <c r="G154" s="633">
        <f>'Corrected and Updated TSF 3'!J154</f>
        <v>22</v>
      </c>
      <c r="H154" s="633">
        <f>'Corrected and Updated TSF 3'!CG154</f>
        <v>3809014.9004150839</v>
      </c>
      <c r="I154" s="633">
        <f>SUM('Corrected and Updated TSF 3'!CI154:CJ154)</f>
        <v>485649.39980292314</v>
      </c>
      <c r="J154" s="633">
        <f>'Corrected and Updated TSF 3'!CH154</f>
        <v>0</v>
      </c>
      <c r="K154" s="633">
        <f>'Corrected and Updated TSF 3'!CK154</f>
        <v>4294664.3002180075</v>
      </c>
      <c r="L154" s="634">
        <f>'Corrected and Updated TSF 3'!CL154</f>
        <v>0.125</v>
      </c>
      <c r="M154" s="633">
        <f>'Corrected and Updated TSF 3'!CM154</f>
        <v>536833.03752725094</v>
      </c>
      <c r="N154" s="633">
        <f>'Corrected and Updated TSF 3'!CN154</f>
        <v>30000</v>
      </c>
      <c r="O154" s="633">
        <f>'Corrected and Updated TSF 3'!CO154</f>
        <v>506833.03752725094</v>
      </c>
      <c r="P154" s="401">
        <f>'Corrected and Updated TSF 3'!CP154</f>
        <v>29</v>
      </c>
      <c r="Q154" s="633">
        <f>'Corrected and Updated TSF 3'!CQ154</f>
        <v>17477.001294043137</v>
      </c>
      <c r="R154" s="633">
        <f>'Corrected and Updated TSF 3'!CS154</f>
        <v>3757831.2626907565</v>
      </c>
      <c r="S154" s="633">
        <f>'Corrected and Updated TSF 3'!CT154</f>
        <v>29134.425781994749</v>
      </c>
      <c r="T154" s="635">
        <f>'Corrected and Updated TSF 3'!CU154</f>
        <v>33776.449759995252</v>
      </c>
      <c r="U154" s="636">
        <f>'Corrected and Updated TSF 3'!CV154</f>
        <v>43631.607307122547</v>
      </c>
      <c r="V154" s="636">
        <f>'Corrected and Updated TSF 3'!CW154</f>
        <v>74409.562913672053</v>
      </c>
      <c r="W154" s="1102">
        <f>'Corrected and Updated TSF 3'!CX154</f>
        <v>305260.57778872194</v>
      </c>
      <c r="X154" s="1102">
        <f>'Corrected and Updated TSF 3'!CY154</f>
        <v>120790.12362134912</v>
      </c>
      <c r="Y154" s="1102">
        <f>'Corrected and Updated TSF 3'!CZ154</f>
        <v>87244.995517673655</v>
      </c>
      <c r="Z154" s="1102">
        <f>'Corrected and Updated TSF 3'!DA154</f>
        <v>66397.458141096984</v>
      </c>
      <c r="AA154" s="821">
        <f>L154-'Corrected and Updated TSF 3'!CL154</f>
        <v>0</v>
      </c>
      <c r="AB154" s="678">
        <f>N154-'Corrected and Updated TSF 3'!CN154</f>
        <v>0</v>
      </c>
      <c r="AC154" s="678">
        <f>Q154-'Corrected and Updated TSF 3'!CQ154</f>
        <v>0</v>
      </c>
      <c r="AD154" s="775"/>
      <c r="AE154" s="775"/>
      <c r="AF154" s="775"/>
      <c r="AG154" s="775"/>
      <c r="AH154" s="677"/>
      <c r="AI154" s="677"/>
      <c r="AJ154" s="677"/>
      <c r="AK154" s="677"/>
    </row>
    <row r="155" spans="1:37" s="119" customFormat="1" ht="12.75" hidden="1" customHeight="1">
      <c r="A155" s="631" t="str">
        <f t="shared" si="2"/>
        <v>E-7I</v>
      </c>
      <c r="B155" s="632" t="str">
        <f>'Corrected and Updated TSF 3'!EP155</f>
        <v>SOLD</v>
      </c>
      <c r="C155" s="820" t="str">
        <f>'Corrected and Updated TSF 3'!E155</f>
        <v>7th Floor</v>
      </c>
      <c r="D155" s="628">
        <f>'INTERNAL PRICELIST'!D155</f>
        <v>0</v>
      </c>
      <c r="E155" s="596" t="str">
        <f>'Corrected and Updated TSF 3'!G155</f>
        <v>E-7I</v>
      </c>
      <c r="F155" s="401" t="str">
        <f>'Corrected and Updated TSF 3'!I155</f>
        <v>Studio</v>
      </c>
      <c r="G155" s="633">
        <f>'Corrected and Updated TSF 3'!J155</f>
        <v>22</v>
      </c>
      <c r="H155" s="633">
        <f>'Corrected and Updated TSF 3'!CG155</f>
        <v>3902248.883881792</v>
      </c>
      <c r="I155" s="633">
        <f>SUM('Corrected and Updated TSF 3'!CI155:CJ155)</f>
        <v>497536.73269492848</v>
      </c>
      <c r="J155" s="633">
        <f>'Corrected and Updated TSF 3'!CH155</f>
        <v>0</v>
      </c>
      <c r="K155" s="633">
        <f>'Corrected and Updated TSF 3'!CK155</f>
        <v>4399785.61657672</v>
      </c>
      <c r="L155" s="634">
        <f>'Corrected and Updated TSF 3'!CL155</f>
        <v>0.125</v>
      </c>
      <c r="M155" s="633">
        <f>'Corrected and Updated TSF 3'!CM155</f>
        <v>549973.20207209</v>
      </c>
      <c r="N155" s="633">
        <f>'Corrected and Updated TSF 3'!CN155</f>
        <v>30000</v>
      </c>
      <c r="O155" s="633">
        <f>'Corrected and Updated TSF 3'!CO155</f>
        <v>519973.20207209</v>
      </c>
      <c r="P155" s="401">
        <f>'Corrected and Updated TSF 3'!CP155</f>
        <v>29</v>
      </c>
      <c r="Q155" s="633">
        <f>'Corrected and Updated TSF 3'!CQ155</f>
        <v>17930.110416278967</v>
      </c>
      <c r="R155" s="633">
        <f>'Corrected and Updated TSF 3'!CS155</f>
        <v>3849812.41450463</v>
      </c>
      <c r="S155" s="633">
        <f>'Corrected and Updated TSF 3'!CT155</f>
        <v>29847.554672977694</v>
      </c>
      <c r="T155" s="635">
        <f>'Corrected and Updated TSF 3'!CU155</f>
        <v>34603.202356354035</v>
      </c>
      <c r="U155" s="636">
        <f>'Corrected and Updated TSF 3'!CV155</f>
        <v>44699.586472511175</v>
      </c>
      <c r="V155" s="636">
        <f>'Corrected and Updated TSF 3'!CW155</f>
        <v>76230.899962708601</v>
      </c>
      <c r="W155" s="1102">
        <f>'Corrected and Updated TSF 3'!CX155</f>
        <v>312732.49911396793</v>
      </c>
      <c r="X155" s="1102">
        <f>'Corrected and Updated TSF 3'!CY155</f>
        <v>123746.72649193047</v>
      </c>
      <c r="Y155" s="1102">
        <f>'Corrected and Updated TSF 3'!CZ155</f>
        <v>89380.507896152747</v>
      </c>
      <c r="Z155" s="1102">
        <f>'Corrected and Updated TSF 3'!DA155</f>
        <v>68022.681375031767</v>
      </c>
      <c r="AA155" s="821">
        <f>L155-'Corrected and Updated TSF 3'!CL155</f>
        <v>0</v>
      </c>
      <c r="AB155" s="678">
        <f>N155-'Corrected and Updated TSF 3'!CN155</f>
        <v>0</v>
      </c>
      <c r="AC155" s="678">
        <f>Q155-'Corrected and Updated TSF 3'!CQ155</f>
        <v>0</v>
      </c>
      <c r="AD155" s="775"/>
      <c r="AE155" s="775"/>
      <c r="AF155" s="775"/>
      <c r="AG155" s="775"/>
      <c r="AH155" s="677"/>
      <c r="AI155" s="677"/>
      <c r="AJ155" s="677"/>
      <c r="AK155" s="677"/>
    </row>
    <row r="156" spans="1:37" s="119" customFormat="1" ht="12.75" customHeight="1">
      <c r="A156" s="631" t="str">
        <f t="shared" si="2"/>
        <v>E-7J</v>
      </c>
      <c r="B156" s="632" t="str">
        <f>'Corrected and Updated TSF 3'!EP156</f>
        <v>UNSOLD</v>
      </c>
      <c r="C156" s="973" t="str">
        <f>'Corrected and Updated TSF 3'!E156</f>
        <v>7th Floor</v>
      </c>
      <c r="D156" s="974">
        <f>'INTERNAL PRICELIST'!D156</f>
        <v>0</v>
      </c>
      <c r="E156" s="975" t="str">
        <f>'Corrected and Updated TSF 3'!G156</f>
        <v>E-7J</v>
      </c>
      <c r="F156" s="976" t="str">
        <f>'Corrected and Updated TSF 3'!I156</f>
        <v>Studio</v>
      </c>
      <c r="G156" s="977">
        <f>'Corrected and Updated TSF 3'!J156</f>
        <v>22</v>
      </c>
      <c r="H156" s="977">
        <f>'Corrected and Updated TSF 3'!CG156</f>
        <v>3957720.0203696168</v>
      </c>
      <c r="I156" s="977">
        <f>SUM('Corrected and Updated TSF 3'!CI156:CJ156)</f>
        <v>504609.30259712611</v>
      </c>
      <c r="J156" s="977">
        <f>'Corrected and Updated TSF 3'!CH156</f>
        <v>0</v>
      </c>
      <c r="K156" s="977">
        <f>'Corrected and Updated TSF 3'!CK156</f>
        <v>4462329.3229667433</v>
      </c>
      <c r="L156" s="978">
        <f>'Corrected and Updated TSF 3'!CL156</f>
        <v>0.125</v>
      </c>
      <c r="M156" s="977">
        <f>'Corrected and Updated TSF 3'!CM156</f>
        <v>557791.16537084291</v>
      </c>
      <c r="N156" s="977">
        <f>'Corrected and Updated TSF 3'!CN156</f>
        <v>30000</v>
      </c>
      <c r="O156" s="977">
        <f>'Corrected and Updated TSF 3'!CO156</f>
        <v>527791.16537084291</v>
      </c>
      <c r="P156" s="976">
        <f>'Corrected and Updated TSF 3'!CP156</f>
        <v>29</v>
      </c>
      <c r="Q156" s="977">
        <f>'Corrected and Updated TSF 3'!CQ156</f>
        <v>18199.695357615274</v>
      </c>
      <c r="R156" s="977">
        <f>'Corrected and Updated TSF 3'!CS156</f>
        <v>3904538.1575959004</v>
      </c>
      <c r="S156" s="977">
        <f>'Corrected and Updated TSF 3'!CT156</f>
        <v>30271.842776673831</v>
      </c>
      <c r="T156" s="636">
        <f>'Corrected and Updated TSF 3'!CU156</f>
        <v>35095.092806692439</v>
      </c>
      <c r="U156" s="636">
        <f>'Corrected and Updated TSF 3'!CV156</f>
        <v>45334.998752954823</v>
      </c>
      <c r="V156" s="636">
        <f>'Corrected and Updated TSF 3'!CW156</f>
        <v>77314.535266927007</v>
      </c>
      <c r="W156" s="1102">
        <f>'Corrected and Updated TSF 3'!CX156</f>
        <v>317178.04517182801</v>
      </c>
      <c r="X156" s="1102">
        <f>'Corrected and Updated TSF 3'!CY156</f>
        <v>125505.80741152755</v>
      </c>
      <c r="Y156" s="1102">
        <f>'Corrected and Updated TSF 3'!CZ156</f>
        <v>90651.067130172334</v>
      </c>
      <c r="Z156" s="1102">
        <f>'Corrected and Updated TSF 3'!DA156</f>
        <v>68989.635445646752</v>
      </c>
      <c r="AA156" s="821">
        <f>L156-'Corrected and Updated TSF 3'!CL156</f>
        <v>0</v>
      </c>
      <c r="AB156" s="678">
        <f>N156-'Corrected and Updated TSF 3'!CN156</f>
        <v>0</v>
      </c>
      <c r="AC156" s="678">
        <f>Q156-'Corrected and Updated TSF 3'!CQ156</f>
        <v>0</v>
      </c>
      <c r="AD156" s="775"/>
      <c r="AE156" s="775"/>
      <c r="AF156" s="775"/>
      <c r="AG156" s="775"/>
      <c r="AH156" s="677"/>
      <c r="AI156" s="677"/>
      <c r="AJ156" s="677"/>
      <c r="AK156" s="677"/>
    </row>
    <row r="157" spans="1:37" s="119" customFormat="1" ht="12.75" hidden="1" customHeight="1">
      <c r="A157" s="631" t="str">
        <f t="shared" si="2"/>
        <v>E-7K</v>
      </c>
      <c r="B157" s="632" t="str">
        <f>'Corrected and Updated TSF 3'!EP157</f>
        <v>SOLD</v>
      </c>
      <c r="C157" s="973" t="str">
        <f>'Corrected and Updated TSF 3'!E157</f>
        <v>7th Floor</v>
      </c>
      <c r="D157" s="974">
        <f>'INTERNAL PRICELIST'!D157</f>
        <v>0</v>
      </c>
      <c r="E157" s="975" t="str">
        <f>'Corrected and Updated TSF 3'!G157</f>
        <v>E-7K</v>
      </c>
      <c r="F157" s="976" t="str">
        <f>'Corrected and Updated TSF 3'!I157</f>
        <v>Studio</v>
      </c>
      <c r="G157" s="977">
        <f>'Corrected and Updated TSF 3'!J157</f>
        <v>22</v>
      </c>
      <c r="H157" s="977">
        <f>'Corrected and Updated TSF 3'!CG157</f>
        <v>3847892.493801767</v>
      </c>
      <c r="I157" s="977">
        <f>SUM('Corrected and Updated TSF 3'!CI157:CJ157)</f>
        <v>490606.29295972525</v>
      </c>
      <c r="J157" s="977">
        <f>'Corrected and Updated TSF 3'!CH157</f>
        <v>0</v>
      </c>
      <c r="K157" s="977">
        <f>'Corrected and Updated TSF 3'!CK157</f>
        <v>4338498.7867614916</v>
      </c>
      <c r="L157" s="978">
        <f>'Corrected and Updated TSF 3'!CL157</f>
        <v>0.125</v>
      </c>
      <c r="M157" s="977">
        <f>'Corrected and Updated TSF 3'!CM157</f>
        <v>542312.34834518644</v>
      </c>
      <c r="N157" s="977">
        <f>'Corrected and Updated TSF 3'!CN157</f>
        <v>30000</v>
      </c>
      <c r="O157" s="977">
        <f>'Corrected and Updated TSF 3'!CO157</f>
        <v>512312.34834518644</v>
      </c>
      <c r="P157" s="976">
        <f>'Corrected and Updated TSF 3'!CP157</f>
        <v>29</v>
      </c>
      <c r="Q157" s="977">
        <f>'Corrected and Updated TSF 3'!CQ157</f>
        <v>17665.943046385739</v>
      </c>
      <c r="R157" s="977">
        <f>'Corrected and Updated TSF 3'!CS157</f>
        <v>3796186.438416305</v>
      </c>
      <c r="S157" s="977">
        <f>'Corrected and Updated TSF 3'!CT157</f>
        <v>29431.793051149678</v>
      </c>
      <c r="T157" s="636">
        <f>'Corrected and Updated TSF 3'!CU157</f>
        <v>34121.196922751609</v>
      </c>
      <c r="U157" s="636">
        <f>'Corrected and Updated TSF 3'!CV157</f>
        <v>44076.943419488205</v>
      </c>
      <c r="V157" s="636">
        <f>'Corrected and Updated TSF 3'!CW157</f>
        <v>75169.041363263648</v>
      </c>
      <c r="W157" s="1102">
        <f>'Corrected and Updated TSF 3'!CX157</f>
        <v>308376.29062538221</v>
      </c>
      <c r="X157" s="1102">
        <f>'Corrected and Updated TSF 3'!CY157</f>
        <v>122022.99601330697</v>
      </c>
      <c r="Y157" s="1102">
        <f>'Corrected and Updated TSF 3'!CZ157</f>
        <v>88135.481784973206</v>
      </c>
      <c r="Z157" s="1102">
        <f>'Corrected and Updated TSF 3'!DA157</f>
        <v>67075.159186382327</v>
      </c>
      <c r="AA157" s="821">
        <f>L157-'Corrected and Updated TSF 3'!CL157</f>
        <v>0</v>
      </c>
      <c r="AB157" s="678">
        <f>N157-'Corrected and Updated TSF 3'!CN157</f>
        <v>0</v>
      </c>
      <c r="AC157" s="678">
        <f>Q157-'Corrected and Updated TSF 3'!CQ157</f>
        <v>0</v>
      </c>
      <c r="AD157" s="775"/>
      <c r="AE157" s="775"/>
      <c r="AF157" s="775"/>
      <c r="AG157" s="775"/>
      <c r="AH157" s="677"/>
      <c r="AI157" s="677"/>
      <c r="AJ157" s="677"/>
      <c r="AK157" s="677"/>
    </row>
    <row r="158" spans="1:37" s="119" customFormat="1" ht="12.75" hidden="1" customHeight="1">
      <c r="A158" s="631" t="str">
        <f t="shared" si="2"/>
        <v>E-7L</v>
      </c>
      <c r="B158" s="632" t="str">
        <f>'Corrected and Updated TSF 3'!EP158</f>
        <v>SOLD</v>
      </c>
      <c r="C158" s="820" t="str">
        <f>'Corrected and Updated TSF 3'!E158</f>
        <v>7th Floor</v>
      </c>
      <c r="D158" s="628">
        <f>'INTERNAL PRICELIST'!D158</f>
        <v>0</v>
      </c>
      <c r="E158" s="596" t="str">
        <f>'Corrected and Updated TSF 3'!G158</f>
        <v>E-7L</v>
      </c>
      <c r="F158" s="401" t="str">
        <f>'Corrected and Updated TSF 3'!I158</f>
        <v>Studio</v>
      </c>
      <c r="G158" s="633">
        <f>'Corrected and Updated TSF 3'!J158</f>
        <v>22</v>
      </c>
      <c r="H158" s="633">
        <f>'Corrected and Updated TSF 3'!CG158</f>
        <v>3847892.493801767</v>
      </c>
      <c r="I158" s="633">
        <f>SUM('Corrected and Updated TSF 3'!CI158:CJ158)</f>
        <v>490606.29295972525</v>
      </c>
      <c r="J158" s="633">
        <f>'Corrected and Updated TSF 3'!CH158</f>
        <v>0</v>
      </c>
      <c r="K158" s="633">
        <f>'Corrected and Updated TSF 3'!CK158</f>
        <v>4338498.7867614916</v>
      </c>
      <c r="L158" s="634">
        <f>'Corrected and Updated TSF 3'!CL158</f>
        <v>0.125</v>
      </c>
      <c r="M158" s="633">
        <f>'Corrected and Updated TSF 3'!CM158</f>
        <v>542312.34834518644</v>
      </c>
      <c r="N158" s="633">
        <f>'Corrected and Updated TSF 3'!CN158</f>
        <v>30000</v>
      </c>
      <c r="O158" s="633">
        <f>'Corrected and Updated TSF 3'!CO158</f>
        <v>512312.34834518644</v>
      </c>
      <c r="P158" s="401">
        <f>'Corrected and Updated TSF 3'!CP158</f>
        <v>29</v>
      </c>
      <c r="Q158" s="633">
        <f>'Corrected and Updated TSF 3'!CQ158</f>
        <v>17665.943046385739</v>
      </c>
      <c r="R158" s="633">
        <f>'Corrected and Updated TSF 3'!CS158</f>
        <v>3796186.438416305</v>
      </c>
      <c r="S158" s="633">
        <f>'Corrected and Updated TSF 3'!CT158</f>
        <v>29431.793051149678</v>
      </c>
      <c r="T158" s="635">
        <f>'Corrected and Updated TSF 3'!CU158</f>
        <v>34121.196922751609</v>
      </c>
      <c r="U158" s="636">
        <f>'Corrected and Updated TSF 3'!CV158</f>
        <v>44076.943419488205</v>
      </c>
      <c r="V158" s="636">
        <f>'Corrected and Updated TSF 3'!CW158</f>
        <v>75169.041363263648</v>
      </c>
      <c r="W158" s="1102">
        <f>'Corrected and Updated TSF 3'!CX158</f>
        <v>308376.29062538221</v>
      </c>
      <c r="X158" s="1102">
        <f>'Corrected and Updated TSF 3'!CY158</f>
        <v>122022.99601330697</v>
      </c>
      <c r="Y158" s="1102">
        <f>'Corrected and Updated TSF 3'!CZ158</f>
        <v>88135.481784973206</v>
      </c>
      <c r="Z158" s="1102">
        <f>'Corrected and Updated TSF 3'!DA158</f>
        <v>67075.159186382327</v>
      </c>
      <c r="AA158" s="821">
        <f>L158-'Corrected and Updated TSF 3'!CL158</f>
        <v>0</v>
      </c>
      <c r="AB158" s="678">
        <f>N158-'Corrected and Updated TSF 3'!CN158</f>
        <v>0</v>
      </c>
      <c r="AC158" s="678">
        <f>Q158-'Corrected and Updated TSF 3'!CQ158</f>
        <v>0</v>
      </c>
      <c r="AD158" s="775"/>
      <c r="AE158" s="775"/>
      <c r="AF158" s="775"/>
      <c r="AG158" s="775"/>
      <c r="AH158" s="677"/>
      <c r="AI158" s="677"/>
      <c r="AJ158" s="677"/>
      <c r="AK158" s="677"/>
    </row>
    <row r="159" spans="1:37" s="119" customFormat="1" ht="12.75" hidden="1" customHeight="1">
      <c r="A159" s="631" t="str">
        <f t="shared" si="2"/>
        <v>E-7M</v>
      </c>
      <c r="B159" s="632" t="str">
        <f>'Corrected and Updated TSF 3'!EP159</f>
        <v>SOLD</v>
      </c>
      <c r="C159" s="820" t="str">
        <f>'Corrected and Updated TSF 3'!E159</f>
        <v>7th Floor</v>
      </c>
      <c r="D159" s="628">
        <f>'INTERNAL PRICELIST'!D159</f>
        <v>0</v>
      </c>
      <c r="E159" s="596" t="str">
        <f>'Corrected and Updated TSF 3'!G159</f>
        <v>E-7M</v>
      </c>
      <c r="F159" s="401" t="str">
        <f>'Corrected and Updated TSF 3'!I159</f>
        <v>Studio</v>
      </c>
      <c r="G159" s="633">
        <f>'Corrected and Updated TSF 3'!J159</f>
        <v>22</v>
      </c>
      <c r="H159" s="633">
        <f>'Corrected and Updated TSF 3'!CG159</f>
        <v>3809014.9004150839</v>
      </c>
      <c r="I159" s="633">
        <f>SUM('Corrected and Updated TSF 3'!CI159:CJ159)</f>
        <v>485649.39980292314</v>
      </c>
      <c r="J159" s="633">
        <f>'Corrected and Updated TSF 3'!CH159</f>
        <v>0</v>
      </c>
      <c r="K159" s="633">
        <f>'Corrected and Updated TSF 3'!CK159</f>
        <v>4294664.3002180075</v>
      </c>
      <c r="L159" s="634">
        <f>'Corrected and Updated TSF 3'!CL159</f>
        <v>0.125</v>
      </c>
      <c r="M159" s="633">
        <f>'Corrected and Updated TSF 3'!CM159</f>
        <v>536833.03752725094</v>
      </c>
      <c r="N159" s="633">
        <f>'Corrected and Updated TSF 3'!CN159</f>
        <v>30000</v>
      </c>
      <c r="O159" s="633">
        <f>'Corrected and Updated TSF 3'!CO159</f>
        <v>506833.03752725094</v>
      </c>
      <c r="P159" s="401">
        <f>'Corrected and Updated TSF 3'!CP159</f>
        <v>29</v>
      </c>
      <c r="Q159" s="633">
        <f>'Corrected and Updated TSF 3'!CQ159</f>
        <v>17477.001294043137</v>
      </c>
      <c r="R159" s="633">
        <f>'Corrected and Updated TSF 3'!CS159</f>
        <v>3757831.2626907565</v>
      </c>
      <c r="S159" s="633">
        <f>'Corrected and Updated TSF 3'!CT159</f>
        <v>29134.425781994749</v>
      </c>
      <c r="T159" s="635">
        <f>'Corrected and Updated TSF 3'!CU159</f>
        <v>33776.449759995252</v>
      </c>
      <c r="U159" s="636">
        <f>'Corrected and Updated TSF 3'!CV159</f>
        <v>43631.607307122547</v>
      </c>
      <c r="V159" s="636">
        <f>'Corrected and Updated TSF 3'!CW159</f>
        <v>74409.562913672053</v>
      </c>
      <c r="W159" s="1102">
        <f>'Corrected and Updated TSF 3'!CX159</f>
        <v>305260.57778872194</v>
      </c>
      <c r="X159" s="1102">
        <f>'Corrected and Updated TSF 3'!CY159</f>
        <v>120790.12362134912</v>
      </c>
      <c r="Y159" s="1102">
        <f>'Corrected and Updated TSF 3'!CZ159</f>
        <v>87244.995517673655</v>
      </c>
      <c r="Z159" s="1102">
        <f>'Corrected and Updated TSF 3'!DA159</f>
        <v>66397.458141096984</v>
      </c>
      <c r="AA159" s="821">
        <f>L159-'Corrected and Updated TSF 3'!CL159</f>
        <v>0</v>
      </c>
      <c r="AB159" s="678">
        <f>N159-'Corrected and Updated TSF 3'!CN159</f>
        <v>0</v>
      </c>
      <c r="AC159" s="678">
        <f>Q159-'Corrected and Updated TSF 3'!CQ159</f>
        <v>0</v>
      </c>
      <c r="AD159" s="775"/>
      <c r="AE159" s="775"/>
      <c r="AF159" s="775"/>
      <c r="AG159" s="775"/>
      <c r="AH159" s="677"/>
      <c r="AI159" s="677"/>
      <c r="AJ159" s="677"/>
      <c r="AK159" s="677"/>
    </row>
    <row r="160" spans="1:37" s="119" customFormat="1" ht="12.75" hidden="1" customHeight="1">
      <c r="A160" s="631" t="str">
        <f t="shared" si="2"/>
        <v>E-7N</v>
      </c>
      <c r="B160" s="632" t="str">
        <f>'Corrected and Updated TSF 3'!EP160</f>
        <v>SOLD</v>
      </c>
      <c r="C160" s="973" t="str">
        <f>'Corrected and Updated TSF 3'!E160</f>
        <v>7th Floor</v>
      </c>
      <c r="D160" s="974">
        <f>'INTERNAL PRICELIST'!D160</f>
        <v>0</v>
      </c>
      <c r="E160" s="975" t="str">
        <f>'Corrected and Updated TSF 3'!G160</f>
        <v>E-7N</v>
      </c>
      <c r="F160" s="976" t="str">
        <f>'Corrected and Updated TSF 3'!I160</f>
        <v>Studio</v>
      </c>
      <c r="G160" s="977">
        <f>'Corrected and Updated TSF 3'!J160</f>
        <v>22</v>
      </c>
      <c r="H160" s="977">
        <f>'Corrected and Updated TSF 3'!CG160</f>
        <v>3809014.9004150839</v>
      </c>
      <c r="I160" s="977">
        <f>SUM('Corrected and Updated TSF 3'!CI160:CJ160)</f>
        <v>485649.39980292314</v>
      </c>
      <c r="J160" s="977">
        <f>'Corrected and Updated TSF 3'!CH160</f>
        <v>0</v>
      </c>
      <c r="K160" s="977">
        <f>'Corrected and Updated TSF 3'!CK160</f>
        <v>4294664.3002180075</v>
      </c>
      <c r="L160" s="978">
        <f>'Corrected and Updated TSF 3'!CL160</f>
        <v>0.125</v>
      </c>
      <c r="M160" s="977">
        <f>'Corrected and Updated TSF 3'!CM160</f>
        <v>536833.03752725094</v>
      </c>
      <c r="N160" s="977">
        <f>'Corrected and Updated TSF 3'!CN160</f>
        <v>30000</v>
      </c>
      <c r="O160" s="977">
        <f>'Corrected and Updated TSF 3'!CO160</f>
        <v>506833.03752725094</v>
      </c>
      <c r="P160" s="976">
        <f>'Corrected and Updated TSF 3'!CP160</f>
        <v>29</v>
      </c>
      <c r="Q160" s="977">
        <f>'Corrected and Updated TSF 3'!CQ160</f>
        <v>17477.001294043137</v>
      </c>
      <c r="R160" s="977">
        <f>'Corrected and Updated TSF 3'!CS160</f>
        <v>3757831.2626907565</v>
      </c>
      <c r="S160" s="977">
        <f>'Corrected and Updated TSF 3'!CT160</f>
        <v>29134.425781994749</v>
      </c>
      <c r="T160" s="636">
        <f>'Corrected and Updated TSF 3'!CU160</f>
        <v>33776.449759995252</v>
      </c>
      <c r="U160" s="636">
        <f>'Corrected and Updated TSF 3'!CV160</f>
        <v>43631.607307122547</v>
      </c>
      <c r="V160" s="636">
        <f>'Corrected and Updated TSF 3'!CW160</f>
        <v>74409.562913672053</v>
      </c>
      <c r="W160" s="1102">
        <f>'Corrected and Updated TSF 3'!CX160</f>
        <v>305260.57778872194</v>
      </c>
      <c r="X160" s="1102">
        <f>'Corrected and Updated TSF 3'!CY160</f>
        <v>120790.12362134912</v>
      </c>
      <c r="Y160" s="1102">
        <f>'Corrected and Updated TSF 3'!CZ160</f>
        <v>87244.995517673655</v>
      </c>
      <c r="Z160" s="1102">
        <f>'Corrected and Updated TSF 3'!DA160</f>
        <v>66397.458141096984</v>
      </c>
      <c r="AA160" s="821">
        <f>L160-'Corrected and Updated TSF 3'!CL160</f>
        <v>0</v>
      </c>
      <c r="AB160" s="678">
        <f>N160-'Corrected and Updated TSF 3'!CN160</f>
        <v>0</v>
      </c>
      <c r="AC160" s="678">
        <f>Q160-'Corrected and Updated TSF 3'!CQ160</f>
        <v>0</v>
      </c>
      <c r="AD160" s="775"/>
      <c r="AE160" s="775"/>
      <c r="AF160" s="775"/>
      <c r="AG160" s="775"/>
      <c r="AH160" s="677"/>
      <c r="AI160" s="677"/>
      <c r="AJ160" s="677"/>
      <c r="AK160" s="677"/>
    </row>
    <row r="161" spans="1:47" ht="12.75" customHeight="1">
      <c r="A161" s="631" t="str">
        <f t="shared" si="2"/>
        <v>E-7O</v>
      </c>
      <c r="B161" s="632" t="str">
        <f>'Corrected and Updated TSF 3'!EP161</f>
        <v>UNSOLD</v>
      </c>
      <c r="C161" s="973" t="str">
        <f>'Corrected and Updated TSF 3'!E161</f>
        <v>7th Floor</v>
      </c>
      <c r="D161" s="974">
        <f>'INTERNAL PRICELIST'!D161</f>
        <v>0</v>
      </c>
      <c r="E161" s="975" t="str">
        <f>'Corrected and Updated TSF 3'!G161</f>
        <v>E-7O</v>
      </c>
      <c r="F161" s="976" t="str">
        <f>'Corrected and Updated TSF 3'!I161</f>
        <v>Studio</v>
      </c>
      <c r="G161" s="977">
        <f>'Corrected and Updated TSF 3'!J161</f>
        <v>22</v>
      </c>
      <c r="H161" s="977">
        <f>'Corrected and Updated TSF 3'!CG161</f>
        <v>3927447.9490105989</v>
      </c>
      <c r="I161" s="977">
        <f>SUM('Corrected and Updated TSF 3'!CI161:CJ161)</f>
        <v>500749.61349885137</v>
      </c>
      <c r="J161" s="977">
        <f>'Corrected and Updated TSF 3'!CH161</f>
        <v>0</v>
      </c>
      <c r="K161" s="977">
        <f>'Corrected and Updated TSF 3'!CK161</f>
        <v>4428197.5625094511</v>
      </c>
      <c r="L161" s="978">
        <f>'Corrected and Updated TSF 3'!CL161</f>
        <v>0.125</v>
      </c>
      <c r="M161" s="977">
        <f>'Corrected and Updated TSF 3'!CM161</f>
        <v>553524.69531368138</v>
      </c>
      <c r="N161" s="977">
        <f>'Corrected and Updated TSF 3'!CN161</f>
        <v>30000</v>
      </c>
      <c r="O161" s="977">
        <f>'Corrected and Updated TSF 3'!CO161</f>
        <v>523524.69531368138</v>
      </c>
      <c r="P161" s="976">
        <f>'Corrected and Updated TSF 3'!CP161</f>
        <v>29</v>
      </c>
      <c r="Q161" s="977">
        <f>'Corrected and Updated TSF 3'!CQ161</f>
        <v>18052.575700471771</v>
      </c>
      <c r="R161" s="977">
        <f>'Corrected and Updated TSF 3'!CS161</f>
        <v>3874672.8671957697</v>
      </c>
      <c r="S161" s="977">
        <f>'Corrected and Updated TSF 3'!CT161</f>
        <v>30040.297498082131</v>
      </c>
      <c r="T161" s="636">
        <f>'Corrected and Updated TSF 3'!CU161</f>
        <v>34826.655133403889</v>
      </c>
      <c r="U161" s="636">
        <f>'Corrected and Updated TSF 3'!CV161</f>
        <v>44988.237407976652</v>
      </c>
      <c r="V161" s="636">
        <f>'Corrected and Updated TSF 3'!CW161</f>
        <v>76723.166722248832</v>
      </c>
      <c r="W161" s="1102">
        <f>'Corrected and Updated TSF 3'!CX161</f>
        <v>314751.99270537327</v>
      </c>
      <c r="X161" s="1102">
        <f>'Corrected and Updated TSF 3'!CY161</f>
        <v>124545.83026853147</v>
      </c>
      <c r="Y161" s="1102">
        <f>'Corrected and Updated TSF 3'!CZ161</f>
        <v>89957.689236129358</v>
      </c>
      <c r="Z161" s="1102">
        <f>'Corrected and Updated TSF 3'!DA161</f>
        <v>68461.942946810464</v>
      </c>
      <c r="AA161" s="821">
        <f>L161-'Corrected and Updated TSF 3'!CL161</f>
        <v>0</v>
      </c>
      <c r="AB161" s="678">
        <f>N161-'Corrected and Updated TSF 3'!CN161</f>
        <v>0</v>
      </c>
      <c r="AC161" s="678">
        <f>Q161-'Corrected and Updated TSF 3'!CQ161</f>
        <v>0</v>
      </c>
      <c r="AD161" s="775"/>
      <c r="AE161" s="775"/>
      <c r="AF161" s="775"/>
      <c r="AG161" s="775"/>
      <c r="AL161" s="119"/>
      <c r="AM161" s="119"/>
      <c r="AN161" s="119"/>
      <c r="AO161" s="119"/>
      <c r="AP161" s="119"/>
      <c r="AQ161" s="119"/>
      <c r="AR161" s="119"/>
      <c r="AS161" s="119"/>
    </row>
    <row r="162" spans="1:47" ht="12.75" customHeight="1">
      <c r="A162" s="631" t="str">
        <f t="shared" si="2"/>
        <v>W-8A</v>
      </c>
      <c r="B162" s="632" t="str">
        <f>'Corrected and Updated TSF 3'!EP162</f>
        <v>UNSOLD</v>
      </c>
      <c r="C162" s="820" t="str">
        <f>'Corrected and Updated TSF 3'!E162</f>
        <v>8th Floor</v>
      </c>
      <c r="D162" s="628">
        <f>'INTERNAL PRICELIST'!D162</f>
        <v>0</v>
      </c>
      <c r="E162" s="596" t="str">
        <f>'Corrected and Updated TSF 3'!G162</f>
        <v>W-8A</v>
      </c>
      <c r="F162" s="401" t="str">
        <f>'Corrected and Updated TSF 3'!I162</f>
        <v>Studio</v>
      </c>
      <c r="G162" s="633">
        <f>'Corrected and Updated TSF 3'!J162</f>
        <v>22</v>
      </c>
      <c r="H162" s="633">
        <f>'Corrected and Updated TSF 3'!CG162</f>
        <v>4089056.0672448324</v>
      </c>
      <c r="I162" s="633">
        <f>SUM('Corrected and Updated TSF 3'!CI162:CJ162)</f>
        <v>521354.64857371611</v>
      </c>
      <c r="J162" s="633">
        <f>'Corrected and Updated TSF 3'!CH162</f>
        <v>0</v>
      </c>
      <c r="K162" s="633">
        <f>'Corrected and Updated TSF 3'!CK162</f>
        <v>4610410.7158185486</v>
      </c>
      <c r="L162" s="634">
        <f>'Corrected and Updated TSF 3'!CL162</f>
        <v>0.125</v>
      </c>
      <c r="M162" s="633">
        <f>'Corrected and Updated TSF 3'!CM162</f>
        <v>576301.33947731857</v>
      </c>
      <c r="N162" s="633">
        <f>'Corrected and Updated TSF 3'!CN162</f>
        <v>30000</v>
      </c>
      <c r="O162" s="633">
        <f>'Corrected and Updated TSF 3'!CO162</f>
        <v>546301.33947731857</v>
      </c>
      <c r="P162" s="401">
        <f>'Corrected and Updated TSF 3'!CP162</f>
        <v>29</v>
      </c>
      <c r="Q162" s="633">
        <f>'Corrected and Updated TSF 3'!CQ162</f>
        <v>18837.977223355814</v>
      </c>
      <c r="R162" s="633">
        <f>'Corrected and Updated TSF 3'!CS162</f>
        <v>4034109.3763412302</v>
      </c>
      <c r="S162" s="633">
        <f>'Corrected and Updated TSF 3'!CT162</f>
        <v>31276.407056474778</v>
      </c>
      <c r="T162" s="635">
        <f>'Corrected and Updated TSF 3'!CU162</f>
        <v>36259.715551663503</v>
      </c>
      <c r="U162" s="636">
        <f>'Corrected and Updated TSF 3'!CV162</f>
        <v>46839.430468857216</v>
      </c>
      <c r="V162" s="636">
        <f>'Corrected and Updated TSF 3'!CW162</f>
        <v>79880.200694418338</v>
      </c>
      <c r="W162" s="1102">
        <f>'Corrected and Updated TSF 3'!CX162</f>
        <v>327703.52711448097</v>
      </c>
      <c r="X162" s="1102">
        <f>'Corrected and Updated TSF 3'!CY162</f>
        <v>129670.68934366907</v>
      </c>
      <c r="Y162" s="1102">
        <f>'Corrected and Updated TSF 3'!CZ162</f>
        <v>93659.302361724855</v>
      </c>
      <c r="Z162" s="1102">
        <f>'Corrected and Updated TSF 3'!DA162</f>
        <v>71279.040948855458</v>
      </c>
      <c r="AA162" s="821">
        <f>L162-'Corrected and Updated TSF 3'!CL162</f>
        <v>0</v>
      </c>
      <c r="AB162" s="678">
        <f>N162-'Corrected and Updated TSF 3'!CN162</f>
        <v>0</v>
      </c>
      <c r="AC162" s="678">
        <f>Q162-'Corrected and Updated TSF 3'!CQ162</f>
        <v>0</v>
      </c>
      <c r="AD162" s="775"/>
      <c r="AE162" s="775"/>
      <c r="AF162" s="775"/>
      <c r="AG162" s="775"/>
      <c r="AL162" s="119"/>
      <c r="AM162" s="119"/>
      <c r="AN162" s="119"/>
      <c r="AO162" s="119"/>
      <c r="AP162" s="119"/>
      <c r="AQ162" s="119"/>
      <c r="AR162" s="119"/>
      <c r="AS162" s="119"/>
    </row>
    <row r="163" spans="1:47" ht="12.75" customHeight="1">
      <c r="A163" s="631" t="str">
        <f t="shared" si="2"/>
        <v>W-8B</v>
      </c>
      <c r="B163" s="632" t="str">
        <f>'Corrected and Updated TSF 3'!EP163</f>
        <v>UNSOLD</v>
      </c>
      <c r="C163" s="820" t="str">
        <f>'Corrected and Updated TSF 3'!E163</f>
        <v>8th Floor</v>
      </c>
      <c r="D163" s="628">
        <f>'INTERNAL PRICELIST'!D163</f>
        <v>0</v>
      </c>
      <c r="E163" s="596" t="str">
        <f>'Corrected and Updated TSF 3'!G163</f>
        <v>W-8B</v>
      </c>
      <c r="F163" s="401" t="str">
        <f>'Corrected and Updated TSF 3'!I163</f>
        <v>Studio</v>
      </c>
      <c r="G163" s="633">
        <f>'Corrected and Updated TSF 3'!J163</f>
        <v>22</v>
      </c>
      <c r="H163" s="633">
        <f>'Corrected and Updated TSF 3'!CG163</f>
        <v>3997773.0056291046</v>
      </c>
      <c r="I163" s="633">
        <f>SUM('Corrected and Updated TSF 3'!CI163:CJ163)</f>
        <v>509716.05821771082</v>
      </c>
      <c r="J163" s="633">
        <f>'Corrected and Updated TSF 3'!CH163</f>
        <v>0</v>
      </c>
      <c r="K163" s="633">
        <f>'Corrected and Updated TSF 3'!CK163</f>
        <v>4507489.0638468154</v>
      </c>
      <c r="L163" s="634">
        <f>'Corrected and Updated TSF 3'!CL163</f>
        <v>0.125</v>
      </c>
      <c r="M163" s="633">
        <f>'Corrected and Updated TSF 3'!CM163</f>
        <v>563436.13298085192</v>
      </c>
      <c r="N163" s="633">
        <f>'Corrected and Updated TSF 3'!CN163</f>
        <v>30000</v>
      </c>
      <c r="O163" s="633">
        <f>'Corrected and Updated TSF 3'!CO163</f>
        <v>533436.13298085192</v>
      </c>
      <c r="P163" s="401">
        <f>'Corrected and Updated TSF 3'!CP163</f>
        <v>29</v>
      </c>
      <c r="Q163" s="633">
        <f>'Corrected and Updated TSF 3'!CQ163</f>
        <v>18394.349413132826</v>
      </c>
      <c r="R163" s="633">
        <f>'Corrected and Updated TSF 3'!CS163</f>
        <v>3944052.9308659635</v>
      </c>
      <c r="S163" s="633">
        <f>'Corrected and Updated TSF 3'!CT163</f>
        <v>30578.200393248844</v>
      </c>
      <c r="T163" s="635">
        <f>'Corrected and Updated TSF 3'!CU163</f>
        <v>35450.262760007012</v>
      </c>
      <c r="U163" s="636">
        <f>'Corrected and Updated TSF 3'!CV163</f>
        <v>45793.798776060408</v>
      </c>
      <c r="V163" s="636">
        <f>'Corrected and Updated TSF 3'!CW163</f>
        <v>78096.975137724425</v>
      </c>
      <c r="W163" s="1102">
        <f>'Corrected and Updated TSF 3'!CX163</f>
        <v>320387.95580282662</v>
      </c>
      <c r="X163" s="1102">
        <f>'Corrected and Updated TSF 3'!CY163</f>
        <v>126775.95341184128</v>
      </c>
      <c r="Y163" s="1102">
        <f>'Corrected and Updated TSF 3'!CZ163</f>
        <v>91568.475596873963</v>
      </c>
      <c r="Z163" s="1102">
        <f>'Corrected and Updated TSF 3'!DA163</f>
        <v>69687.825524111133</v>
      </c>
      <c r="AA163" s="821">
        <f>L163-'Corrected and Updated TSF 3'!CL163</f>
        <v>0</v>
      </c>
      <c r="AB163" s="678">
        <f>N163-'Corrected and Updated TSF 3'!CN163</f>
        <v>0</v>
      </c>
      <c r="AC163" s="678">
        <f>Q163-'Corrected and Updated TSF 3'!CQ163</f>
        <v>0</v>
      </c>
      <c r="AD163" s="775"/>
      <c r="AE163" s="775"/>
      <c r="AF163" s="775"/>
      <c r="AG163" s="775"/>
      <c r="AL163" s="119"/>
      <c r="AM163" s="119"/>
      <c r="AN163" s="119"/>
      <c r="AO163" s="119"/>
      <c r="AP163" s="119"/>
      <c r="AQ163" s="119"/>
      <c r="AR163" s="119"/>
      <c r="AS163" s="119"/>
    </row>
    <row r="164" spans="1:47" ht="12.75" hidden="1" customHeight="1">
      <c r="A164" s="631" t="str">
        <f t="shared" si="2"/>
        <v>W-8C</v>
      </c>
      <c r="B164" s="632" t="str">
        <f>'Corrected and Updated TSF 3'!EP164</f>
        <v>SOLD</v>
      </c>
      <c r="C164" s="820" t="str">
        <f>'Corrected and Updated TSF 3'!E164</f>
        <v>8th Floor</v>
      </c>
      <c r="D164" s="628">
        <f>'INTERNAL PRICELIST'!D164</f>
        <v>0</v>
      </c>
      <c r="E164" s="596" t="str">
        <f>'Corrected and Updated TSF 3'!G164</f>
        <v>W-8C</v>
      </c>
      <c r="F164" s="401" t="str">
        <f>'Corrected and Updated TSF 3'!I164</f>
        <v>Studio</v>
      </c>
      <c r="G164" s="633">
        <f>'Corrected and Updated TSF 3'!J164</f>
        <v>22</v>
      </c>
      <c r="H164" s="633">
        <f>'Corrected and Updated TSF 3'!CG164</f>
        <v>3954870.9472902995</v>
      </c>
      <c r="I164" s="633">
        <f>SUM('Corrected and Updated TSF 3'!CI164:CJ164)</f>
        <v>504246.0457795132</v>
      </c>
      <c r="J164" s="633">
        <f>'Corrected and Updated TSF 3'!CH164</f>
        <v>0</v>
      </c>
      <c r="K164" s="633">
        <f>'Corrected and Updated TSF 3'!CK164</f>
        <v>4459116.9930698127</v>
      </c>
      <c r="L164" s="634">
        <f>'Corrected and Updated TSF 3'!CL164</f>
        <v>0.125</v>
      </c>
      <c r="M164" s="633">
        <f>'Corrected and Updated TSF 3'!CM164</f>
        <v>557389.62413372658</v>
      </c>
      <c r="N164" s="633">
        <f>'Corrected and Updated TSF 3'!CN164</f>
        <v>30000</v>
      </c>
      <c r="O164" s="633">
        <f>'Corrected and Updated TSF 3'!CO164</f>
        <v>527389.62413372658</v>
      </c>
      <c r="P164" s="401">
        <f>'Corrected and Updated TSF 3'!CP164</f>
        <v>29</v>
      </c>
      <c r="Q164" s="633">
        <f>'Corrected and Updated TSF 3'!CQ164</f>
        <v>18185.849108059538</v>
      </c>
      <c r="R164" s="633">
        <f>'Corrected and Updated TSF 3'!CS164</f>
        <v>3901727.3689360861</v>
      </c>
      <c r="S164" s="633">
        <f>'Corrected and Updated TSF 3'!CT164</f>
        <v>30250.050762111794</v>
      </c>
      <c r="T164" s="635">
        <f>'Corrected and Updated TSF 3'!CU164</f>
        <v>35069.828643584122</v>
      </c>
      <c r="U164" s="636">
        <f>'Corrected and Updated TSF 3'!CV164</f>
        <v>45302.363113285224</v>
      </c>
      <c r="V164" s="636">
        <f>'Corrected and Updated TSF 3'!CW164</f>
        <v>77258.878282619058</v>
      </c>
      <c r="W164" s="1102">
        <f>'Corrected and Updated TSF 3'!CX164</f>
        <v>316949.71587485942</v>
      </c>
      <c r="X164" s="1102">
        <f>'Corrected and Updated TSF 3'!CY164</f>
        <v>125415.45862097293</v>
      </c>
      <c r="Y164" s="1102">
        <f>'Corrected and Updated TSF 3'!CZ164</f>
        <v>90585.809478382245</v>
      </c>
      <c r="Z164" s="1102">
        <f>'Corrected and Updated TSF 3'!DA164</f>
        <v>68939.971368327359</v>
      </c>
      <c r="AA164" s="821">
        <f>L164-'Corrected and Updated TSF 3'!CL164</f>
        <v>0</v>
      </c>
      <c r="AB164" s="678">
        <f>N164-'Corrected and Updated TSF 3'!CN164</f>
        <v>0</v>
      </c>
      <c r="AC164" s="678">
        <f>Q164-'Corrected and Updated TSF 3'!CQ164</f>
        <v>0</v>
      </c>
      <c r="AD164" s="775"/>
      <c r="AE164" s="775"/>
      <c r="AF164" s="775"/>
      <c r="AG164" s="775"/>
      <c r="AL164" s="119"/>
      <c r="AM164" s="119"/>
      <c r="AN164" s="119"/>
      <c r="AO164" s="119"/>
      <c r="AP164" s="119"/>
      <c r="AQ164" s="119"/>
      <c r="AR164" s="119"/>
      <c r="AS164" s="119"/>
    </row>
    <row r="165" spans="1:47" hidden="1">
      <c r="A165" s="631" t="str">
        <f t="shared" si="2"/>
        <v>W-8D</v>
      </c>
      <c r="B165" s="632" t="str">
        <f>'Corrected and Updated TSF 3'!EP165</f>
        <v>SOLD</v>
      </c>
      <c r="C165" s="820" t="str">
        <f>'Corrected and Updated TSF 3'!E165</f>
        <v>8th Floor</v>
      </c>
      <c r="D165" s="628">
        <f>'INTERNAL PRICELIST'!D165</f>
        <v>0</v>
      </c>
      <c r="E165" s="596" t="str">
        <f>'Corrected and Updated TSF 3'!G165</f>
        <v>W-8D</v>
      </c>
      <c r="F165" s="401" t="str">
        <f>'Corrected and Updated TSF 3'!I165</f>
        <v>Studio</v>
      </c>
      <c r="G165" s="633">
        <f>'Corrected and Updated TSF 3'!J165</f>
        <v>22</v>
      </c>
      <c r="H165" s="633">
        <f>'Corrected and Updated TSF 3'!CG165</f>
        <v>3954870.9472902995</v>
      </c>
      <c r="I165" s="633">
        <f>SUM('Corrected and Updated TSF 3'!CI165:CJ165)</f>
        <v>504246.0457795132</v>
      </c>
      <c r="J165" s="633">
        <f>'Corrected and Updated TSF 3'!CH165</f>
        <v>0</v>
      </c>
      <c r="K165" s="633">
        <f>'Corrected and Updated TSF 3'!CK165</f>
        <v>4459116.9930698127</v>
      </c>
      <c r="L165" s="634">
        <f>'Corrected and Updated TSF 3'!CL165</f>
        <v>0.125</v>
      </c>
      <c r="M165" s="633">
        <f>'Corrected and Updated TSF 3'!CM165</f>
        <v>557389.62413372658</v>
      </c>
      <c r="N165" s="633">
        <f>'Corrected and Updated TSF 3'!CN165</f>
        <v>30000</v>
      </c>
      <c r="O165" s="633">
        <f>'Corrected and Updated TSF 3'!CO165</f>
        <v>527389.62413372658</v>
      </c>
      <c r="P165" s="401">
        <f>'Corrected and Updated TSF 3'!CP165</f>
        <v>29</v>
      </c>
      <c r="Q165" s="633">
        <f>'Corrected and Updated TSF 3'!CQ165</f>
        <v>18185.849108059538</v>
      </c>
      <c r="R165" s="633">
        <f>'Corrected and Updated TSF 3'!CS165</f>
        <v>3901727.3689360861</v>
      </c>
      <c r="S165" s="633">
        <f>'Corrected and Updated TSF 3'!CT165</f>
        <v>30250.050762111794</v>
      </c>
      <c r="T165" s="635">
        <f>'Corrected and Updated TSF 3'!CU165</f>
        <v>35069.828643584122</v>
      </c>
      <c r="U165" s="636">
        <f>'Corrected and Updated TSF 3'!CV165</f>
        <v>45302.363113285224</v>
      </c>
      <c r="V165" s="636">
        <f>'Corrected and Updated TSF 3'!CW165</f>
        <v>77258.878282619058</v>
      </c>
      <c r="W165" s="1102">
        <f>'Corrected and Updated TSF 3'!CX165</f>
        <v>316949.71587485942</v>
      </c>
      <c r="X165" s="1102">
        <f>'Corrected and Updated TSF 3'!CY165</f>
        <v>125415.45862097293</v>
      </c>
      <c r="Y165" s="1102">
        <f>'Corrected and Updated TSF 3'!CZ165</f>
        <v>90585.809478382245</v>
      </c>
      <c r="Z165" s="1102">
        <f>'Corrected and Updated TSF 3'!DA165</f>
        <v>68939.971368327359</v>
      </c>
      <c r="AA165" s="821">
        <f>L165-'Corrected and Updated TSF 3'!CL165</f>
        <v>0</v>
      </c>
      <c r="AB165" s="678">
        <f>N165-'Corrected and Updated TSF 3'!CN165</f>
        <v>0</v>
      </c>
      <c r="AC165" s="678">
        <f>Q165-'Corrected and Updated TSF 3'!CQ165</f>
        <v>0</v>
      </c>
      <c r="AD165" s="775"/>
      <c r="AE165" s="775"/>
      <c r="AF165" s="775"/>
      <c r="AG165" s="775"/>
      <c r="AL165" s="119"/>
      <c r="AM165" s="119"/>
      <c r="AN165" s="119"/>
      <c r="AO165" s="119"/>
      <c r="AP165" s="119"/>
      <c r="AQ165" s="119"/>
      <c r="AR165" s="119"/>
      <c r="AS165" s="119"/>
    </row>
    <row r="166" spans="1:47" ht="12.75" customHeight="1">
      <c r="A166" s="631" t="str">
        <f t="shared" si="2"/>
        <v>W-8E</v>
      </c>
      <c r="B166" s="632" t="str">
        <f>'Corrected and Updated TSF 3'!EP166</f>
        <v>UNSOLD</v>
      </c>
      <c r="C166" s="820" t="str">
        <f>'Corrected and Updated TSF 3'!E166</f>
        <v>8th Floor</v>
      </c>
      <c r="D166" s="628">
        <f>'INTERNAL PRICELIST'!D166</f>
        <v>0</v>
      </c>
      <c r="E166" s="596" t="str">
        <f>'Corrected and Updated TSF 3'!G166</f>
        <v>W-8E</v>
      </c>
      <c r="F166" s="401" t="str">
        <f>'Corrected and Updated TSF 3'!I166</f>
        <v>Studio</v>
      </c>
      <c r="G166" s="633">
        <f>'Corrected and Updated TSF 3'!J166</f>
        <v>22</v>
      </c>
      <c r="H166" s="633">
        <f>'Corrected and Updated TSF 3'!CG166</f>
        <v>4006818.5715830023</v>
      </c>
      <c r="I166" s="633">
        <f>SUM('Corrected and Updated TSF 3'!CI166:CJ166)</f>
        <v>510869.36787683278</v>
      </c>
      <c r="J166" s="633">
        <f>'Corrected and Updated TSF 3'!CH166</f>
        <v>0</v>
      </c>
      <c r="K166" s="633">
        <f>'Corrected and Updated TSF 3'!CK166</f>
        <v>4517687.9394598352</v>
      </c>
      <c r="L166" s="634">
        <f>'Corrected and Updated TSF 3'!CL166</f>
        <v>0.125</v>
      </c>
      <c r="M166" s="633">
        <f>'Corrected and Updated TSF 3'!CM166</f>
        <v>564710.9924324794</v>
      </c>
      <c r="N166" s="633">
        <f>'Corrected and Updated TSF 3'!CN166</f>
        <v>30000</v>
      </c>
      <c r="O166" s="633">
        <f>'Corrected and Updated TSF 3'!CO166</f>
        <v>534710.9924324794</v>
      </c>
      <c r="P166" s="401">
        <f>'Corrected and Updated TSF 3'!CP166</f>
        <v>29</v>
      </c>
      <c r="Q166" s="633">
        <f>'Corrected and Updated TSF 3'!CQ166</f>
        <v>18438.310083878601</v>
      </c>
      <c r="R166" s="633">
        <f>'Corrected and Updated TSF 3'!CS166</f>
        <v>3952976.9470273559</v>
      </c>
      <c r="S166" s="633">
        <f>'Corrected and Updated TSF 3'!CT166</f>
        <v>30647.388195562577</v>
      </c>
      <c r="T166" s="635">
        <f>'Corrected and Updated TSF 3'!CU166</f>
        <v>35530.474340161047</v>
      </c>
      <c r="U166" s="636">
        <f>'Corrected and Updated TSF 3'!CV166</f>
        <v>45897.414170562573</v>
      </c>
      <c r="V166" s="636">
        <f>'Corrected and Updated TSF 3'!CW166</f>
        <v>78273.681353513442</v>
      </c>
      <c r="W166" s="1102">
        <f>'Corrected and Updated TSF 3'!CX166</f>
        <v>321112.88200072933</v>
      </c>
      <c r="X166" s="1102">
        <f>'Corrected and Updated TSF 3'!CY166</f>
        <v>127062.80317703313</v>
      </c>
      <c r="Y166" s="1102">
        <f>'Corrected and Updated TSF 3'!CZ166</f>
        <v>91775.663119562989</v>
      </c>
      <c r="Z166" s="1102">
        <f>'Corrected and Updated TSF 3'!DA166</f>
        <v>69845.504767298378</v>
      </c>
      <c r="AA166" s="821">
        <f>L166-'Corrected and Updated TSF 3'!CL166</f>
        <v>0</v>
      </c>
      <c r="AB166" s="678">
        <f>N166-'Corrected and Updated TSF 3'!CN166</f>
        <v>0</v>
      </c>
      <c r="AC166" s="678">
        <f>Q166-'Corrected and Updated TSF 3'!CQ166</f>
        <v>0</v>
      </c>
      <c r="AD166" s="775"/>
      <c r="AE166" s="775"/>
      <c r="AF166" s="775"/>
      <c r="AG166" s="775"/>
      <c r="AL166" s="119"/>
      <c r="AM166" s="119"/>
      <c r="AN166" s="119"/>
      <c r="AO166" s="119"/>
      <c r="AP166" s="119"/>
      <c r="AQ166" s="119"/>
      <c r="AR166" s="119"/>
      <c r="AS166" s="119"/>
    </row>
    <row r="167" spans="1:47" ht="12.75" customHeight="1">
      <c r="A167" s="631" t="str">
        <f t="shared" si="2"/>
        <v>W-8F</v>
      </c>
      <c r="B167" s="632" t="str">
        <f>'Corrected and Updated TSF 3'!EP167</f>
        <v>UNSOLD</v>
      </c>
      <c r="C167" s="820" t="str">
        <f>'Corrected and Updated TSF 3'!E167</f>
        <v>8th Floor</v>
      </c>
      <c r="D167" s="628">
        <f>'INTERNAL PRICELIST'!D167</f>
        <v>0</v>
      </c>
      <c r="E167" s="596" t="str">
        <f>'Corrected and Updated TSF 3'!G167</f>
        <v>W-8F</v>
      </c>
      <c r="F167" s="401" t="str">
        <f>'Corrected and Updated TSF 3'!I167</f>
        <v>Studio</v>
      </c>
      <c r="G167" s="633">
        <f>'Corrected and Updated TSF 3'!J167</f>
        <v>22</v>
      </c>
      <c r="H167" s="633">
        <f>'Corrected and Updated TSF 3'!CG167</f>
        <v>4006818.5715830023</v>
      </c>
      <c r="I167" s="633">
        <f>SUM('Corrected and Updated TSF 3'!CI167:CJ167)</f>
        <v>510869.36787683278</v>
      </c>
      <c r="J167" s="633">
        <f>'Corrected and Updated TSF 3'!CH167</f>
        <v>0</v>
      </c>
      <c r="K167" s="633">
        <f>'Corrected and Updated TSF 3'!CK167</f>
        <v>4517687.9394598352</v>
      </c>
      <c r="L167" s="634">
        <f>'Corrected and Updated TSF 3'!CL167</f>
        <v>0.125</v>
      </c>
      <c r="M167" s="633">
        <f>'Corrected and Updated TSF 3'!CM167</f>
        <v>564710.9924324794</v>
      </c>
      <c r="N167" s="633">
        <f>'Corrected and Updated TSF 3'!CN167</f>
        <v>30000</v>
      </c>
      <c r="O167" s="633">
        <f>'Corrected and Updated TSF 3'!CO167</f>
        <v>534710.9924324794</v>
      </c>
      <c r="P167" s="401">
        <f>'Corrected and Updated TSF 3'!CP167</f>
        <v>29</v>
      </c>
      <c r="Q167" s="633">
        <f>'Corrected and Updated TSF 3'!CQ167</f>
        <v>18438.310083878601</v>
      </c>
      <c r="R167" s="633">
        <f>'Corrected and Updated TSF 3'!CS167</f>
        <v>3952976.9470273559</v>
      </c>
      <c r="S167" s="633">
        <f>'Corrected and Updated TSF 3'!CT167</f>
        <v>30647.388195562577</v>
      </c>
      <c r="T167" s="635">
        <f>'Corrected and Updated TSF 3'!CU167</f>
        <v>35530.474340161047</v>
      </c>
      <c r="U167" s="636">
        <f>'Corrected and Updated TSF 3'!CV167</f>
        <v>45897.414170562573</v>
      </c>
      <c r="V167" s="636">
        <f>'Corrected and Updated TSF 3'!CW167</f>
        <v>78273.681353513442</v>
      </c>
      <c r="W167" s="1102">
        <f>'Corrected and Updated TSF 3'!CX167</f>
        <v>321112.88200072933</v>
      </c>
      <c r="X167" s="1102">
        <f>'Corrected and Updated TSF 3'!CY167</f>
        <v>127062.80317703313</v>
      </c>
      <c r="Y167" s="1102">
        <f>'Corrected and Updated TSF 3'!CZ167</f>
        <v>91775.663119562989</v>
      </c>
      <c r="Z167" s="1102">
        <f>'Corrected and Updated TSF 3'!DA167</f>
        <v>69845.504767298378</v>
      </c>
      <c r="AA167" s="821">
        <f>L167-'Corrected and Updated TSF 3'!CL167</f>
        <v>0</v>
      </c>
      <c r="AB167" s="678">
        <f>N167-'Corrected and Updated TSF 3'!CN167</f>
        <v>0</v>
      </c>
      <c r="AC167" s="678">
        <f>Q167-'Corrected and Updated TSF 3'!CQ167</f>
        <v>0</v>
      </c>
      <c r="AD167" s="775"/>
      <c r="AE167" s="775"/>
      <c r="AF167" s="775"/>
      <c r="AG167" s="775"/>
      <c r="AL167" s="119"/>
      <c r="AM167" s="119"/>
      <c r="AN167" s="119"/>
      <c r="AO167" s="119"/>
      <c r="AP167" s="119"/>
      <c r="AQ167" s="119"/>
      <c r="AR167" s="119"/>
      <c r="AS167" s="119"/>
    </row>
    <row r="168" spans="1:47" ht="12.75" hidden="1" customHeight="1">
      <c r="A168" s="631" t="str">
        <f t="shared" si="2"/>
        <v>W-8G</v>
      </c>
      <c r="B168" s="632" t="str">
        <f>'Corrected and Updated TSF 3'!EP168</f>
        <v>SOLD</v>
      </c>
      <c r="C168" s="820" t="str">
        <f>'Corrected and Updated TSF 3'!E168</f>
        <v>8th Floor</v>
      </c>
      <c r="D168" s="628">
        <f>'INTERNAL PRICELIST'!D168</f>
        <v>0</v>
      </c>
      <c r="E168" s="596" t="str">
        <f>'Corrected and Updated TSF 3'!G168</f>
        <v>W-8G</v>
      </c>
      <c r="F168" s="401" t="str">
        <f>'Corrected and Updated TSF 3'!I168</f>
        <v>Studio</v>
      </c>
      <c r="G168" s="633">
        <f>'Corrected and Updated TSF 3'!J168</f>
        <v>22</v>
      </c>
      <c r="H168" s="633">
        <f>'Corrected and Updated TSF 3'!CG168</f>
        <v>3954870.9472902995</v>
      </c>
      <c r="I168" s="633">
        <f>SUM('Corrected and Updated TSF 3'!CI168:CJ168)</f>
        <v>504246.0457795132</v>
      </c>
      <c r="J168" s="633">
        <f>'Corrected and Updated TSF 3'!CH168</f>
        <v>0</v>
      </c>
      <c r="K168" s="633">
        <f>'Corrected and Updated TSF 3'!CK168</f>
        <v>4459116.9930698127</v>
      </c>
      <c r="L168" s="634">
        <f>'Corrected and Updated TSF 3'!CL168</f>
        <v>0.125</v>
      </c>
      <c r="M168" s="633">
        <f>'Corrected and Updated TSF 3'!CM168</f>
        <v>557389.62413372658</v>
      </c>
      <c r="N168" s="633">
        <f>'Corrected and Updated TSF 3'!CN168</f>
        <v>30000</v>
      </c>
      <c r="O168" s="633">
        <f>'Corrected and Updated TSF 3'!CO168</f>
        <v>527389.62413372658</v>
      </c>
      <c r="P168" s="401">
        <f>'Corrected and Updated TSF 3'!CP168</f>
        <v>29</v>
      </c>
      <c r="Q168" s="633">
        <f>'Corrected and Updated TSF 3'!CQ168</f>
        <v>18185.849108059538</v>
      </c>
      <c r="R168" s="633">
        <f>'Corrected and Updated TSF 3'!CS168</f>
        <v>3901727.3689360861</v>
      </c>
      <c r="S168" s="633">
        <f>'Corrected and Updated TSF 3'!CT168</f>
        <v>30250.050762111794</v>
      </c>
      <c r="T168" s="635">
        <f>'Corrected and Updated TSF 3'!CU168</f>
        <v>35069.828643584122</v>
      </c>
      <c r="U168" s="636">
        <f>'Corrected and Updated TSF 3'!CV168</f>
        <v>45302.363113285224</v>
      </c>
      <c r="V168" s="636">
        <f>'Corrected and Updated TSF 3'!CW168</f>
        <v>77258.878282619058</v>
      </c>
      <c r="W168" s="1102">
        <f>'Corrected and Updated TSF 3'!CX168</f>
        <v>316949.71587485942</v>
      </c>
      <c r="X168" s="1102">
        <f>'Corrected and Updated TSF 3'!CY168</f>
        <v>125415.45862097293</v>
      </c>
      <c r="Y168" s="1102">
        <f>'Corrected and Updated TSF 3'!CZ168</f>
        <v>90585.809478382245</v>
      </c>
      <c r="Z168" s="1102">
        <f>'Corrected and Updated TSF 3'!DA168</f>
        <v>68939.971368327359</v>
      </c>
      <c r="AA168" s="821">
        <f>L168-'Corrected and Updated TSF 3'!CL168</f>
        <v>0</v>
      </c>
      <c r="AB168" s="678">
        <f>N168-'Corrected and Updated TSF 3'!CN168</f>
        <v>0</v>
      </c>
      <c r="AC168" s="678">
        <f>Q168-'Corrected and Updated TSF 3'!CQ168</f>
        <v>0</v>
      </c>
      <c r="AD168" s="775"/>
      <c r="AE168" s="775"/>
      <c r="AF168" s="775"/>
      <c r="AG168" s="775"/>
      <c r="AL168" s="119"/>
      <c r="AM168" s="119"/>
      <c r="AN168" s="119"/>
      <c r="AO168" s="119"/>
      <c r="AP168" s="119"/>
      <c r="AQ168" s="119"/>
      <c r="AR168" s="119"/>
      <c r="AS168" s="119"/>
    </row>
    <row r="169" spans="1:47" s="1148" customFormat="1" ht="12.75" hidden="1" customHeight="1">
      <c r="A169" s="631" t="str">
        <f t="shared" si="2"/>
        <v>W-8H</v>
      </c>
      <c r="B169" s="632" t="str">
        <f>'Corrected and Updated TSF 3'!EP169</f>
        <v>SOLD</v>
      </c>
      <c r="C169" s="1161" t="str">
        <f>'Corrected and Updated TSF 3'!E169</f>
        <v>8th Floor</v>
      </c>
      <c r="D169" s="628">
        <f>'INTERNAL PRICELIST'!D169</f>
        <v>0</v>
      </c>
      <c r="E169" s="1146" t="str">
        <f>'Corrected and Updated TSF 3'!G169</f>
        <v>W-8H</v>
      </c>
      <c r="F169" s="1162" t="str">
        <f>'Corrected and Updated TSF 3'!I169</f>
        <v>Studio</v>
      </c>
      <c r="G169" s="1163">
        <f>'Corrected and Updated TSF 3'!J169</f>
        <v>22</v>
      </c>
      <c r="H169" s="1163">
        <f>'Corrected and Updated TSF 3'!CG169</f>
        <v>3954870.9472902995</v>
      </c>
      <c r="I169" s="1163">
        <f>SUM('Corrected and Updated TSF 3'!CI169:CJ169)</f>
        <v>504246.0457795132</v>
      </c>
      <c r="J169" s="633">
        <f>'Corrected and Updated TSF 3'!CH169</f>
        <v>0</v>
      </c>
      <c r="K169" s="1163">
        <f>'Corrected and Updated TSF 3'!CK169</f>
        <v>4459116.9930698127</v>
      </c>
      <c r="L169" s="1164">
        <f>'Corrected and Updated TSF 3'!CL169</f>
        <v>0.125</v>
      </c>
      <c r="M169" s="1163">
        <f>'Corrected and Updated TSF 3'!CM169</f>
        <v>557389.62413372658</v>
      </c>
      <c r="N169" s="1163">
        <f>'Corrected and Updated TSF 3'!CN169</f>
        <v>30000</v>
      </c>
      <c r="O169" s="1163">
        <f>'Corrected and Updated TSF 3'!CO169</f>
        <v>527389.62413372658</v>
      </c>
      <c r="P169" s="1162">
        <f>'Corrected and Updated TSF 3'!CP169</f>
        <v>29</v>
      </c>
      <c r="Q169" s="1163">
        <f>'Corrected and Updated TSF 3'!CQ169</f>
        <v>18185.849108059538</v>
      </c>
      <c r="R169" s="1163">
        <f>'Corrected and Updated TSF 3'!CS169</f>
        <v>3901727.3689360861</v>
      </c>
      <c r="S169" s="1163">
        <f>'Corrected and Updated TSF 3'!CT169</f>
        <v>30250.050762111794</v>
      </c>
      <c r="T169" s="1165">
        <f>'Corrected and Updated TSF 3'!CU169</f>
        <v>35069.828643584122</v>
      </c>
      <c r="U169" s="1166">
        <f>'Corrected and Updated TSF 3'!CV169</f>
        <v>45302.363113285224</v>
      </c>
      <c r="V169" s="1166">
        <f>'Corrected and Updated TSF 3'!CW169</f>
        <v>77258.878282619058</v>
      </c>
      <c r="W169" s="1102">
        <f>'Corrected and Updated TSF 3'!CX169</f>
        <v>316949.71587485942</v>
      </c>
      <c r="X169" s="1102">
        <f>'Corrected and Updated TSF 3'!CY169</f>
        <v>125415.45862097293</v>
      </c>
      <c r="Y169" s="1102">
        <f>'Corrected and Updated TSF 3'!CZ169</f>
        <v>90585.809478382245</v>
      </c>
      <c r="Z169" s="1102">
        <f>'Corrected and Updated TSF 3'!DA169</f>
        <v>68939.971368327359</v>
      </c>
      <c r="AA169" s="821">
        <f>L169-'Corrected and Updated TSF 3'!CL169</f>
        <v>0</v>
      </c>
      <c r="AB169" s="678">
        <f>N169-'Corrected and Updated TSF 3'!CN169</f>
        <v>0</v>
      </c>
      <c r="AC169" s="678">
        <f>Q169-'Corrected and Updated TSF 3'!CQ169</f>
        <v>0</v>
      </c>
      <c r="AD169" s="775"/>
      <c r="AE169" s="775"/>
      <c r="AF169" s="775"/>
      <c r="AG169" s="775"/>
      <c r="AH169" s="677"/>
      <c r="AI169" s="677"/>
      <c r="AJ169" s="677"/>
      <c r="AK169" s="677"/>
      <c r="AL169" s="521"/>
      <c r="AM169" s="521"/>
      <c r="AN169" s="521"/>
      <c r="AO169" s="521"/>
      <c r="AP169" s="521"/>
      <c r="AQ169" s="521"/>
      <c r="AR169" s="521"/>
      <c r="AS169" s="521"/>
      <c r="AT169" s="521"/>
      <c r="AU169" s="521"/>
    </row>
    <row r="170" spans="1:47" ht="12.75" hidden="1" customHeight="1">
      <c r="A170" s="631" t="str">
        <f t="shared" si="2"/>
        <v>W-8I</v>
      </c>
      <c r="B170" s="632" t="str">
        <f>'Corrected and Updated TSF 3'!EP170</f>
        <v>SOLD</v>
      </c>
      <c r="C170" s="1161" t="str">
        <f>'Corrected and Updated TSF 3'!E170</f>
        <v>8th Floor</v>
      </c>
      <c r="D170" s="628">
        <f>'INTERNAL PRICELIST'!D170</f>
        <v>0</v>
      </c>
      <c r="E170" s="1146" t="str">
        <f>'Corrected and Updated TSF 3'!G170</f>
        <v>W-8I</v>
      </c>
      <c r="F170" s="1162" t="str">
        <f>'Corrected and Updated TSF 3'!I170</f>
        <v>Studio</v>
      </c>
      <c r="G170" s="1163">
        <f>'Corrected and Updated TSF 3'!J170</f>
        <v>22</v>
      </c>
      <c r="H170" s="1163">
        <f>'Corrected and Updated TSF 3'!CG170</f>
        <v>3954870.9472902995</v>
      </c>
      <c r="I170" s="1163">
        <f>SUM('Corrected and Updated TSF 3'!CI170:CJ170)</f>
        <v>504246.0457795132</v>
      </c>
      <c r="J170" s="633">
        <f>'Corrected and Updated TSF 3'!CH170</f>
        <v>0</v>
      </c>
      <c r="K170" s="1163">
        <f>'Corrected and Updated TSF 3'!CK170</f>
        <v>4459116.9930698127</v>
      </c>
      <c r="L170" s="1164">
        <f>'Corrected and Updated TSF 3'!CL170</f>
        <v>0.125</v>
      </c>
      <c r="M170" s="1163">
        <f>'Corrected and Updated TSF 3'!CM170</f>
        <v>557389.62413372658</v>
      </c>
      <c r="N170" s="1163">
        <f>'Corrected and Updated TSF 3'!CN170</f>
        <v>30000</v>
      </c>
      <c r="O170" s="1163">
        <f>'Corrected and Updated TSF 3'!CO170</f>
        <v>527389.62413372658</v>
      </c>
      <c r="P170" s="1162">
        <f>'Corrected and Updated TSF 3'!CP170</f>
        <v>29</v>
      </c>
      <c r="Q170" s="1163">
        <f>'Corrected and Updated TSF 3'!CQ170</f>
        <v>18185.849108059538</v>
      </c>
      <c r="R170" s="1163">
        <f>'Corrected and Updated TSF 3'!CS170</f>
        <v>3901727.3689360861</v>
      </c>
      <c r="S170" s="1163">
        <f>'Corrected and Updated TSF 3'!CT170</f>
        <v>30250.050762111794</v>
      </c>
      <c r="T170" s="1165">
        <f>'Corrected and Updated TSF 3'!CU170</f>
        <v>35069.828643584122</v>
      </c>
      <c r="U170" s="1166">
        <f>'Corrected and Updated TSF 3'!CV170</f>
        <v>45302.363113285224</v>
      </c>
      <c r="V170" s="1166">
        <f>'Corrected and Updated TSF 3'!CW170</f>
        <v>77258.878282619058</v>
      </c>
      <c r="W170" s="1102">
        <f>'Corrected and Updated TSF 3'!CX170</f>
        <v>316949.71587485942</v>
      </c>
      <c r="X170" s="1102">
        <f>'Corrected and Updated TSF 3'!CY170</f>
        <v>125415.45862097293</v>
      </c>
      <c r="Y170" s="1102">
        <f>'Corrected and Updated TSF 3'!CZ170</f>
        <v>90585.809478382245</v>
      </c>
      <c r="Z170" s="1102">
        <f>'Corrected and Updated TSF 3'!DA170</f>
        <v>68939.971368327359</v>
      </c>
      <c r="AA170" s="821">
        <f>L170-'Corrected and Updated TSF 3'!CL170</f>
        <v>0</v>
      </c>
      <c r="AB170" s="678">
        <f>N170-'Corrected and Updated TSF 3'!CN170</f>
        <v>0</v>
      </c>
      <c r="AC170" s="678">
        <f>Q170-'Corrected and Updated TSF 3'!CQ170</f>
        <v>0</v>
      </c>
      <c r="AD170" s="775"/>
      <c r="AE170" s="775"/>
      <c r="AF170" s="775"/>
      <c r="AG170" s="775"/>
      <c r="AT170" s="521"/>
      <c r="AU170" s="521"/>
    </row>
    <row r="171" spans="1:47" hidden="1">
      <c r="A171" s="631" t="str">
        <f t="shared" si="2"/>
        <v>W-8J</v>
      </c>
      <c r="B171" s="632" t="str">
        <f>'Corrected and Updated TSF 3'!EP171</f>
        <v>SOLD</v>
      </c>
      <c r="C171" s="973" t="str">
        <f>'Corrected and Updated TSF 3'!E171</f>
        <v>8th Floor</v>
      </c>
      <c r="D171" s="974">
        <f>'INTERNAL PRICELIST'!D171</f>
        <v>0</v>
      </c>
      <c r="E171" s="975" t="str">
        <f>'Corrected and Updated TSF 3'!G171</f>
        <v>W-8J</v>
      </c>
      <c r="F171" s="976" t="str">
        <f>'Corrected and Updated TSF 3'!I171</f>
        <v>Studio</v>
      </c>
      <c r="G171" s="977">
        <f>'Corrected and Updated TSF 3'!J171</f>
        <v>22</v>
      </c>
      <c r="H171" s="977">
        <f>'Corrected and Updated TSF 3'!CG171</f>
        <v>3996388.5406769831</v>
      </c>
      <c r="I171" s="977">
        <f>SUM('Corrected and Updated TSF 3'!CI171:CJ171)</f>
        <v>509539.53893631534</v>
      </c>
      <c r="J171" s="977">
        <f>'Corrected and Updated TSF 3'!CH171</f>
        <v>0</v>
      </c>
      <c r="K171" s="977">
        <f>'Corrected and Updated TSF 3'!CK171</f>
        <v>4505928.0796132982</v>
      </c>
      <c r="L171" s="978">
        <f>'Corrected and Updated TSF 3'!CL171</f>
        <v>0.125</v>
      </c>
      <c r="M171" s="977">
        <f>'Corrected and Updated TSF 3'!CM171</f>
        <v>563241.00995166227</v>
      </c>
      <c r="N171" s="977">
        <f>'Corrected and Updated TSF 3'!CN171</f>
        <v>30000</v>
      </c>
      <c r="O171" s="977">
        <f>'Corrected and Updated TSF 3'!CO171</f>
        <v>533241.00995166227</v>
      </c>
      <c r="P171" s="976">
        <f>'Corrected and Updated TSF 3'!CP171</f>
        <v>29</v>
      </c>
      <c r="Q171" s="977">
        <f>'Corrected and Updated TSF 3'!CQ171</f>
        <v>18387.62103281594</v>
      </c>
      <c r="R171" s="977">
        <f>'Corrected and Updated TSF 3'!CS171</f>
        <v>3942687.0696616359</v>
      </c>
      <c r="S171" s="977">
        <f>'Corrected and Updated TSF 3'!CT171</f>
        <v>30567.610885869661</v>
      </c>
      <c r="T171" s="636">
        <f>'Corrected and Updated TSF 3'!CU171</f>
        <v>35437.986013361908</v>
      </c>
      <c r="U171" s="636">
        <f>'Corrected and Updated TSF 3'!CV171</f>
        <v>45777.939969334584</v>
      </c>
      <c r="V171" s="636">
        <f>'Corrected and Updated TSF 3'!CW171</f>
        <v>78069.929448838971</v>
      </c>
      <c r="W171" s="1102">
        <f>'Corrected and Updated TSF 3'!CX171</f>
        <v>320277.00255578972</v>
      </c>
      <c r="X171" s="1102">
        <f>'Corrected and Updated TSF 3'!CY171</f>
        <v>126732.04975247307</v>
      </c>
      <c r="Y171" s="1102">
        <f>'Corrected and Updated TSF 3'!CZ171</f>
        <v>91536.764605528384</v>
      </c>
      <c r="Z171" s="1102">
        <f>'Corrected and Updated TSF 3'!DA171</f>
        <v>69663.691999798495</v>
      </c>
      <c r="AA171" s="821">
        <f>L171-'Corrected and Updated TSF 3'!CL171</f>
        <v>0</v>
      </c>
      <c r="AB171" s="678">
        <f>N171-'Corrected and Updated TSF 3'!CN171</f>
        <v>0</v>
      </c>
      <c r="AC171" s="678">
        <f>Q171-'Corrected and Updated TSF 3'!CQ171</f>
        <v>0</v>
      </c>
      <c r="AD171" s="775"/>
      <c r="AE171" s="775"/>
      <c r="AF171" s="775"/>
      <c r="AG171" s="775"/>
      <c r="AL171" s="119"/>
      <c r="AM171" s="119"/>
      <c r="AN171" s="119"/>
      <c r="AO171" s="119"/>
      <c r="AP171" s="119"/>
      <c r="AQ171" s="119"/>
      <c r="AR171" s="119"/>
      <c r="AS171" s="119"/>
    </row>
    <row r="172" spans="1:47" ht="12.75" customHeight="1">
      <c r="A172" s="631" t="str">
        <f t="shared" si="2"/>
        <v>W-8K</v>
      </c>
      <c r="B172" s="632" t="str">
        <f>'Corrected and Updated TSF 3'!EP172</f>
        <v>UNSOLD</v>
      </c>
      <c r="C172" s="973" t="str">
        <f>'Corrected and Updated TSF 3'!E172</f>
        <v>8th Floor</v>
      </c>
      <c r="D172" s="974">
        <f>'INTERNAL PRICELIST'!D172</f>
        <v>0</v>
      </c>
      <c r="E172" s="975" t="str">
        <f>'Corrected and Updated TSF 3'!G172</f>
        <v>W-8K</v>
      </c>
      <c r="F172" s="976" t="str">
        <f>'Corrected and Updated TSF 3'!I172</f>
        <v>Studio</v>
      </c>
      <c r="G172" s="977">
        <f>'Corrected and Updated TSF 3'!J172</f>
        <v>22</v>
      </c>
      <c r="H172" s="977">
        <f>'Corrected and Updated TSF 3'!CG172</f>
        <v>4006818.5715830023</v>
      </c>
      <c r="I172" s="977">
        <f>SUM('Corrected and Updated TSF 3'!CI172:CJ172)</f>
        <v>510869.36787683278</v>
      </c>
      <c r="J172" s="977">
        <f>'Corrected and Updated TSF 3'!CH172</f>
        <v>0</v>
      </c>
      <c r="K172" s="977">
        <f>'Corrected and Updated TSF 3'!CK172</f>
        <v>4517687.9394598352</v>
      </c>
      <c r="L172" s="978">
        <f>'Corrected and Updated TSF 3'!CL172</f>
        <v>0.125</v>
      </c>
      <c r="M172" s="977">
        <f>'Corrected and Updated TSF 3'!CM172</f>
        <v>564710.9924324794</v>
      </c>
      <c r="N172" s="977">
        <f>'Corrected and Updated TSF 3'!CN172</f>
        <v>30000</v>
      </c>
      <c r="O172" s="977">
        <f>'Corrected and Updated TSF 3'!CO172</f>
        <v>534710.9924324794</v>
      </c>
      <c r="P172" s="976">
        <f>'Corrected and Updated TSF 3'!CP172</f>
        <v>29</v>
      </c>
      <c r="Q172" s="977">
        <f>'Corrected and Updated TSF 3'!CQ172</f>
        <v>18438.310083878601</v>
      </c>
      <c r="R172" s="977">
        <f>'Corrected and Updated TSF 3'!CS172</f>
        <v>3952976.9470273559</v>
      </c>
      <c r="S172" s="977">
        <f>'Corrected and Updated TSF 3'!CT172</f>
        <v>30647.388195562577</v>
      </c>
      <c r="T172" s="636">
        <f>'Corrected and Updated TSF 3'!CU172</f>
        <v>35530.474340161047</v>
      </c>
      <c r="U172" s="636">
        <f>'Corrected and Updated TSF 3'!CV172</f>
        <v>45897.414170562573</v>
      </c>
      <c r="V172" s="636">
        <f>'Corrected and Updated TSF 3'!CW172</f>
        <v>78273.681353513442</v>
      </c>
      <c r="W172" s="1102">
        <f>'Corrected and Updated TSF 3'!CX172</f>
        <v>321112.88200072933</v>
      </c>
      <c r="X172" s="1102">
        <f>'Corrected and Updated TSF 3'!CY172</f>
        <v>127062.80317703313</v>
      </c>
      <c r="Y172" s="1102">
        <f>'Corrected and Updated TSF 3'!CZ172</f>
        <v>91775.663119562989</v>
      </c>
      <c r="Z172" s="1102">
        <f>'Corrected and Updated TSF 3'!DA172</f>
        <v>69845.504767298378</v>
      </c>
      <c r="AA172" s="821">
        <f>L172-'Corrected and Updated TSF 3'!CL172</f>
        <v>0</v>
      </c>
      <c r="AB172" s="678">
        <f>N172-'Corrected and Updated TSF 3'!CN172</f>
        <v>0</v>
      </c>
      <c r="AC172" s="678">
        <f>Q172-'Corrected and Updated TSF 3'!CQ172</f>
        <v>0</v>
      </c>
      <c r="AD172" s="775"/>
      <c r="AE172" s="775"/>
      <c r="AF172" s="775"/>
      <c r="AG172" s="775"/>
      <c r="AL172" s="119"/>
      <c r="AM172" s="119"/>
      <c r="AN172" s="119"/>
      <c r="AO172" s="119"/>
      <c r="AP172" s="119"/>
      <c r="AQ172" s="119"/>
      <c r="AR172" s="119"/>
      <c r="AS172" s="119"/>
    </row>
    <row r="173" spans="1:47" hidden="1">
      <c r="A173" s="631" t="str">
        <f t="shared" si="2"/>
        <v>W-8L</v>
      </c>
      <c r="B173" s="632" t="str">
        <f>'Corrected and Updated TSF 3'!EP173</f>
        <v>SOLD</v>
      </c>
      <c r="C173" s="973" t="str">
        <f>'Corrected and Updated TSF 3'!E173</f>
        <v>8th Floor</v>
      </c>
      <c r="D173" s="974">
        <f>'INTERNAL PRICELIST'!D173</f>
        <v>0</v>
      </c>
      <c r="E173" s="975" t="str">
        <f>'Corrected and Updated TSF 3'!G173</f>
        <v>W-8L</v>
      </c>
      <c r="F173" s="976" t="str">
        <f>'Corrected and Updated TSF 3'!I173</f>
        <v>Studio</v>
      </c>
      <c r="G173" s="977">
        <f>'Corrected and Updated TSF 3'!J173</f>
        <v>22</v>
      </c>
      <c r="H173" s="977">
        <f>'Corrected and Updated TSF 3'!CG173</f>
        <v>3954870.9472902995</v>
      </c>
      <c r="I173" s="977">
        <f>SUM('Corrected and Updated TSF 3'!CI173:CJ173)</f>
        <v>504246.0457795132</v>
      </c>
      <c r="J173" s="977">
        <f>'Corrected and Updated TSF 3'!CH173</f>
        <v>0</v>
      </c>
      <c r="K173" s="977">
        <f>'Corrected and Updated TSF 3'!CK173</f>
        <v>4459116.9930698127</v>
      </c>
      <c r="L173" s="978">
        <f>'Corrected and Updated TSF 3'!CL173</f>
        <v>0.125</v>
      </c>
      <c r="M173" s="977">
        <f>'Corrected and Updated TSF 3'!CM173</f>
        <v>557389.62413372658</v>
      </c>
      <c r="N173" s="977">
        <f>'Corrected and Updated TSF 3'!CN173</f>
        <v>30000</v>
      </c>
      <c r="O173" s="977">
        <f>'Corrected and Updated TSF 3'!CO173</f>
        <v>527389.62413372658</v>
      </c>
      <c r="P173" s="976">
        <f>'Corrected and Updated TSF 3'!CP173</f>
        <v>29</v>
      </c>
      <c r="Q173" s="977">
        <f>'Corrected and Updated TSF 3'!CQ173</f>
        <v>18185.849108059538</v>
      </c>
      <c r="R173" s="977">
        <f>'Corrected and Updated TSF 3'!CS173</f>
        <v>3901727.3689360861</v>
      </c>
      <c r="S173" s="977">
        <f>'Corrected and Updated TSF 3'!CT173</f>
        <v>30250.050762111794</v>
      </c>
      <c r="T173" s="636">
        <f>'Corrected and Updated TSF 3'!CU173</f>
        <v>35069.828643584122</v>
      </c>
      <c r="U173" s="636">
        <f>'Corrected and Updated TSF 3'!CV173</f>
        <v>45302.363113285224</v>
      </c>
      <c r="V173" s="636">
        <f>'Corrected and Updated TSF 3'!CW173</f>
        <v>77258.878282619058</v>
      </c>
      <c r="W173" s="1102">
        <f>'Corrected and Updated TSF 3'!CX173</f>
        <v>316949.71587485942</v>
      </c>
      <c r="X173" s="1102">
        <f>'Corrected and Updated TSF 3'!CY173</f>
        <v>125415.45862097293</v>
      </c>
      <c r="Y173" s="1102">
        <f>'Corrected and Updated TSF 3'!CZ173</f>
        <v>90585.809478382245</v>
      </c>
      <c r="Z173" s="1102">
        <f>'Corrected and Updated TSF 3'!DA173</f>
        <v>68939.971368327359</v>
      </c>
      <c r="AA173" s="821">
        <f>L173-'Corrected and Updated TSF 3'!CL173</f>
        <v>0</v>
      </c>
      <c r="AB173" s="678">
        <f>N173-'Corrected and Updated TSF 3'!CN173</f>
        <v>0</v>
      </c>
      <c r="AC173" s="678">
        <f>Q173-'Corrected and Updated TSF 3'!CQ173</f>
        <v>0</v>
      </c>
      <c r="AD173" s="775"/>
      <c r="AE173" s="775"/>
      <c r="AF173" s="775"/>
      <c r="AG173" s="775"/>
      <c r="AL173" s="119"/>
      <c r="AM173" s="119"/>
      <c r="AN173" s="119"/>
      <c r="AO173" s="119"/>
      <c r="AP173" s="119"/>
      <c r="AQ173" s="119"/>
      <c r="AR173" s="119"/>
      <c r="AS173" s="119"/>
    </row>
    <row r="174" spans="1:47" ht="12.75" hidden="1" customHeight="1">
      <c r="A174" s="631" t="str">
        <f t="shared" si="2"/>
        <v>W-8M</v>
      </c>
      <c r="B174" s="632" t="str">
        <f>'Corrected and Updated TSF 3'!EP174</f>
        <v>SOLD</v>
      </c>
      <c r="C174" s="973" t="str">
        <f>'Corrected and Updated TSF 3'!E174</f>
        <v>8th Floor</v>
      </c>
      <c r="D174" s="974">
        <f>'INTERNAL PRICELIST'!D174</f>
        <v>0</v>
      </c>
      <c r="E174" s="975" t="str">
        <f>'Corrected and Updated TSF 3'!G174</f>
        <v>W-8M</v>
      </c>
      <c r="F174" s="976" t="str">
        <f>'Corrected and Updated TSF 3'!I174</f>
        <v>Studio</v>
      </c>
      <c r="G174" s="977">
        <f>'Corrected and Updated TSF 3'!J174</f>
        <v>22</v>
      </c>
      <c r="H174" s="977">
        <f>'Corrected and Updated TSF 3'!CG174</f>
        <v>3954870.9472902995</v>
      </c>
      <c r="I174" s="977">
        <f>SUM('Corrected and Updated TSF 3'!CI174:CJ174)</f>
        <v>504246.0457795132</v>
      </c>
      <c r="J174" s="977">
        <f>'Corrected and Updated TSF 3'!CH174</f>
        <v>0</v>
      </c>
      <c r="K174" s="977">
        <f>'Corrected and Updated TSF 3'!CK174</f>
        <v>4459116.9930698127</v>
      </c>
      <c r="L174" s="978">
        <f>'Corrected and Updated TSF 3'!CL174</f>
        <v>0.125</v>
      </c>
      <c r="M174" s="977">
        <f>'Corrected and Updated TSF 3'!CM174</f>
        <v>557389.62413372658</v>
      </c>
      <c r="N174" s="977">
        <f>'Corrected and Updated TSF 3'!CN174</f>
        <v>30000</v>
      </c>
      <c r="O174" s="977">
        <f>'Corrected and Updated TSF 3'!CO174</f>
        <v>527389.62413372658</v>
      </c>
      <c r="P174" s="976">
        <f>'Corrected and Updated TSF 3'!CP174</f>
        <v>29</v>
      </c>
      <c r="Q174" s="977">
        <f>'Corrected and Updated TSF 3'!CQ174</f>
        <v>18185.849108059538</v>
      </c>
      <c r="R174" s="977">
        <f>'Corrected and Updated TSF 3'!CS174</f>
        <v>3901727.3689360861</v>
      </c>
      <c r="S174" s="977">
        <f>'Corrected and Updated TSF 3'!CT174</f>
        <v>30250.050762111794</v>
      </c>
      <c r="T174" s="636">
        <f>'Corrected and Updated TSF 3'!CU174</f>
        <v>35069.828643584122</v>
      </c>
      <c r="U174" s="636">
        <f>'Corrected and Updated TSF 3'!CV174</f>
        <v>45302.363113285224</v>
      </c>
      <c r="V174" s="636">
        <f>'Corrected and Updated TSF 3'!CW174</f>
        <v>77258.878282619058</v>
      </c>
      <c r="W174" s="1102">
        <f>'Corrected and Updated TSF 3'!CX174</f>
        <v>316949.71587485942</v>
      </c>
      <c r="X174" s="1102">
        <f>'Corrected and Updated TSF 3'!CY174</f>
        <v>125415.45862097293</v>
      </c>
      <c r="Y174" s="1102">
        <f>'Corrected and Updated TSF 3'!CZ174</f>
        <v>90585.809478382245</v>
      </c>
      <c r="Z174" s="1102">
        <f>'Corrected and Updated TSF 3'!DA174</f>
        <v>68939.971368327359</v>
      </c>
      <c r="AA174" s="821">
        <f>L174-'Corrected and Updated TSF 3'!CL174</f>
        <v>0</v>
      </c>
      <c r="AB174" s="678">
        <f>N174-'Corrected and Updated TSF 3'!CN174</f>
        <v>0</v>
      </c>
      <c r="AC174" s="678">
        <f>Q174-'Corrected and Updated TSF 3'!CQ174</f>
        <v>0</v>
      </c>
      <c r="AD174" s="775"/>
      <c r="AE174" s="775"/>
      <c r="AF174" s="775"/>
      <c r="AG174" s="775"/>
      <c r="AL174" s="119"/>
      <c r="AM174" s="119"/>
      <c r="AN174" s="119"/>
      <c r="AO174" s="119"/>
      <c r="AP174" s="119"/>
      <c r="AQ174" s="119"/>
      <c r="AR174" s="119"/>
      <c r="AS174" s="119"/>
    </row>
    <row r="175" spans="1:47">
      <c r="A175" s="631" t="str">
        <f t="shared" si="2"/>
        <v>W-8N</v>
      </c>
      <c r="B175" s="632" t="str">
        <f>'Corrected and Updated TSF 3'!EP175</f>
        <v>UNSOLD</v>
      </c>
      <c r="C175" s="973" t="str">
        <f>'Corrected and Updated TSF 3'!E175</f>
        <v>8th Floor</v>
      </c>
      <c r="D175" s="974">
        <f>'INTERNAL PRICELIST'!D175</f>
        <v>0</v>
      </c>
      <c r="E175" s="975" t="str">
        <f>'Corrected and Updated TSF 3'!G175</f>
        <v>W-8N</v>
      </c>
      <c r="F175" s="976" t="str">
        <f>'Corrected and Updated TSF 3'!I175</f>
        <v>Studio</v>
      </c>
      <c r="G175" s="977">
        <f>'Corrected and Updated TSF 3'!J175</f>
        <v>22</v>
      </c>
      <c r="H175" s="977">
        <f>'Corrected and Updated TSF 3'!CG175</f>
        <v>4031370.5990157882</v>
      </c>
      <c r="I175" s="977">
        <f>SUM('Corrected and Updated TSF 3'!CI175:CJ175)</f>
        <v>513999.75137451297</v>
      </c>
      <c r="J175" s="977">
        <f>'Corrected and Updated TSF 3'!CH175</f>
        <v>0</v>
      </c>
      <c r="K175" s="977">
        <f>'Corrected and Updated TSF 3'!CK175</f>
        <v>4545370.3503903011</v>
      </c>
      <c r="L175" s="978">
        <f>'Corrected and Updated TSF 3'!CL175</f>
        <v>0.125</v>
      </c>
      <c r="M175" s="977">
        <f>'Corrected and Updated TSF 3'!CM175</f>
        <v>568171.29379878764</v>
      </c>
      <c r="N175" s="977">
        <f>'Corrected and Updated TSF 3'!CN175</f>
        <v>30000</v>
      </c>
      <c r="O175" s="977">
        <f>'Corrected and Updated TSF 3'!CO175</f>
        <v>538171.29379878764</v>
      </c>
      <c r="P175" s="976">
        <f>'Corrected and Updated TSF 3'!CP175</f>
        <v>29</v>
      </c>
      <c r="Q175" s="977">
        <f>'Corrected and Updated TSF 3'!CQ175</f>
        <v>18557.63082064785</v>
      </c>
      <c r="R175" s="977">
        <f>'Corrected and Updated TSF 3'!CS175</f>
        <v>3977199.0565915136</v>
      </c>
      <c r="S175" s="977">
        <f>'Corrected and Updated TSF 3'!CT175</f>
        <v>30835.181953197927</v>
      </c>
      <c r="T175" s="636">
        <f>'Corrected and Updated TSF 3'!CU175</f>
        <v>35748.189508720541</v>
      </c>
      <c r="U175" s="636">
        <f>'Corrected and Updated TSF 3'!CV175</f>
        <v>46178.653401058698</v>
      </c>
      <c r="V175" s="636">
        <f>'Corrected and Updated TSF 3'!CW175</f>
        <v>78753.308154059428</v>
      </c>
      <c r="W175" s="1102">
        <f>'Corrected and Updated TSF 3'!CX175</f>
        <v>323080.52095094713</v>
      </c>
      <c r="X175" s="1102">
        <f>'Corrected and Updated TSF 3'!CY175</f>
        <v>127841.3883247147</v>
      </c>
      <c r="Y175" s="1102">
        <f>'Corrected and Updated TSF 3'!CZ175</f>
        <v>92338.024144480427</v>
      </c>
      <c r="Z175" s="1102">
        <f>'Corrected and Updated TSF 3'!DA175</f>
        <v>70273.48739702499</v>
      </c>
      <c r="AA175" s="821">
        <f>L175-'Corrected and Updated TSF 3'!CL175</f>
        <v>0</v>
      </c>
      <c r="AB175" s="678">
        <f>N175-'Corrected and Updated TSF 3'!CN175</f>
        <v>0</v>
      </c>
      <c r="AC175" s="678">
        <f>Q175-'Corrected and Updated TSF 3'!CQ175</f>
        <v>0</v>
      </c>
      <c r="AD175" s="775"/>
      <c r="AE175" s="775"/>
      <c r="AF175" s="775"/>
      <c r="AG175" s="775"/>
      <c r="AL175" s="119"/>
      <c r="AM175" s="119"/>
      <c r="AN175" s="119"/>
      <c r="AO175" s="119"/>
      <c r="AP175" s="119"/>
      <c r="AQ175" s="119"/>
      <c r="AR175" s="119"/>
      <c r="AS175" s="119"/>
    </row>
    <row r="176" spans="1:47" ht="12.75" hidden="1" customHeight="1">
      <c r="A176" s="631" t="str">
        <f t="shared" si="2"/>
        <v>W-8O</v>
      </c>
      <c r="B176" s="632" t="str">
        <f>'Corrected and Updated TSF 3'!EP176</f>
        <v>SOLD</v>
      </c>
      <c r="C176" s="973" t="str">
        <f>'Corrected and Updated TSF 3'!E176</f>
        <v>8th Floor</v>
      </c>
      <c r="D176" s="974">
        <f>'INTERNAL PRICELIST'!D176</f>
        <v>0</v>
      </c>
      <c r="E176" s="975" t="str">
        <f>'Corrected and Updated TSF 3'!G176</f>
        <v>W-8O</v>
      </c>
      <c r="F176" s="976" t="str">
        <f>'Corrected and Updated TSF 3'!I176</f>
        <v>Studio</v>
      </c>
      <c r="G176" s="977">
        <f>'Corrected and Updated TSF 3'!J176</f>
        <v>22</v>
      </c>
      <c r="H176" s="977">
        <f>'Corrected and Updated TSF 3'!CG176</f>
        <v>3996388.5406769831</v>
      </c>
      <c r="I176" s="977">
        <f>SUM('Corrected and Updated TSF 3'!CI176:CJ176)</f>
        <v>509539.53893631534</v>
      </c>
      <c r="J176" s="977">
        <f>'Corrected and Updated TSF 3'!CH176</f>
        <v>0</v>
      </c>
      <c r="K176" s="977">
        <f>'Corrected and Updated TSF 3'!CK176</f>
        <v>4505928.0796132982</v>
      </c>
      <c r="L176" s="978">
        <f>'Corrected and Updated TSF 3'!CL176</f>
        <v>0.125</v>
      </c>
      <c r="M176" s="977">
        <f>'Corrected and Updated TSF 3'!CM176</f>
        <v>563241.00995166227</v>
      </c>
      <c r="N176" s="977">
        <f>'Corrected and Updated TSF 3'!CN176</f>
        <v>30000</v>
      </c>
      <c r="O176" s="977">
        <f>'Corrected and Updated TSF 3'!CO176</f>
        <v>533241.00995166227</v>
      </c>
      <c r="P176" s="976">
        <f>'Corrected and Updated TSF 3'!CP176</f>
        <v>29</v>
      </c>
      <c r="Q176" s="977">
        <f>'Corrected and Updated TSF 3'!CQ176</f>
        <v>18387.62103281594</v>
      </c>
      <c r="R176" s="977">
        <f>'Corrected and Updated TSF 3'!CS176</f>
        <v>3942687.0696616359</v>
      </c>
      <c r="S176" s="977">
        <f>'Corrected and Updated TSF 3'!CT176</f>
        <v>30567.610885869661</v>
      </c>
      <c r="T176" s="636">
        <f>'Corrected and Updated TSF 3'!CU176</f>
        <v>35437.986013361908</v>
      </c>
      <c r="U176" s="636">
        <f>'Corrected and Updated TSF 3'!CV176</f>
        <v>45777.939969334584</v>
      </c>
      <c r="V176" s="636">
        <f>'Corrected and Updated TSF 3'!CW176</f>
        <v>78069.929448838971</v>
      </c>
      <c r="W176" s="1102">
        <f>'Corrected and Updated TSF 3'!CX176</f>
        <v>320277.00255578972</v>
      </c>
      <c r="X176" s="1102">
        <f>'Corrected and Updated TSF 3'!CY176</f>
        <v>126732.04975247307</v>
      </c>
      <c r="Y176" s="1102">
        <f>'Corrected and Updated TSF 3'!CZ176</f>
        <v>91536.764605528384</v>
      </c>
      <c r="Z176" s="1102">
        <f>'Corrected and Updated TSF 3'!DA176</f>
        <v>69663.691999798495</v>
      </c>
      <c r="AA176" s="821">
        <f>L176-'Corrected and Updated TSF 3'!CL176</f>
        <v>0</v>
      </c>
      <c r="AB176" s="678">
        <f>N176-'Corrected and Updated TSF 3'!CN176</f>
        <v>0</v>
      </c>
      <c r="AC176" s="678">
        <f>Q176-'Corrected and Updated TSF 3'!CQ176</f>
        <v>0</v>
      </c>
      <c r="AD176" s="775"/>
      <c r="AE176" s="775"/>
      <c r="AF176" s="775"/>
      <c r="AG176" s="775"/>
      <c r="AL176" s="119"/>
      <c r="AM176" s="119"/>
      <c r="AN176" s="119"/>
      <c r="AO176" s="119"/>
      <c r="AP176" s="119"/>
      <c r="AQ176" s="119"/>
      <c r="AR176" s="119"/>
      <c r="AS176" s="119"/>
    </row>
    <row r="177" spans="1:37" s="119" customFormat="1" ht="12.75" hidden="1" customHeight="1">
      <c r="A177" s="631" t="str">
        <f t="shared" si="2"/>
        <v>W-8P</v>
      </c>
      <c r="B177" s="632" t="str">
        <f>'Corrected and Updated TSF 3'!EP177</f>
        <v>SOLD</v>
      </c>
      <c r="C177" s="973" t="str">
        <f>'Corrected and Updated TSF 3'!E177</f>
        <v>8th Floor</v>
      </c>
      <c r="D177" s="974">
        <f>'INTERNAL PRICELIST'!D177</f>
        <v>0</v>
      </c>
      <c r="E177" s="975" t="str">
        <f>'Corrected and Updated TSF 3'!G177</f>
        <v>W-8P</v>
      </c>
      <c r="F177" s="976" t="str">
        <f>'Corrected and Updated TSF 3'!I177</f>
        <v>Studio</v>
      </c>
      <c r="G177" s="977">
        <f>'Corrected and Updated TSF 3'!J177</f>
        <v>22</v>
      </c>
      <c r="H177" s="977">
        <f>'Corrected and Updated TSF 3'!CG177</f>
        <v>4049424.9307570076</v>
      </c>
      <c r="I177" s="977">
        <f>SUM('Corrected and Updated TSF 3'!CI177:CJ177)</f>
        <v>516301.6786715184</v>
      </c>
      <c r="J177" s="977">
        <f>'Corrected and Updated TSF 3'!CH177</f>
        <v>0</v>
      </c>
      <c r="K177" s="977">
        <f>'Corrected and Updated TSF 3'!CK177</f>
        <v>4565726.6094285259</v>
      </c>
      <c r="L177" s="978">
        <f>'Corrected and Updated TSF 3'!CL177</f>
        <v>0.125</v>
      </c>
      <c r="M177" s="977">
        <f>'Corrected and Updated TSF 3'!CM177</f>
        <v>570715.82617856574</v>
      </c>
      <c r="N177" s="977">
        <f>'Corrected and Updated TSF 3'!CN177</f>
        <v>30000</v>
      </c>
      <c r="O177" s="977">
        <f>'Corrected and Updated TSF 3'!CO177</f>
        <v>540715.82617856574</v>
      </c>
      <c r="P177" s="976">
        <f>'Corrected and Updated TSF 3'!CP177</f>
        <v>29</v>
      </c>
      <c r="Q177" s="977">
        <f>'Corrected and Updated TSF 3'!CQ177</f>
        <v>18645.373316502268</v>
      </c>
      <c r="R177" s="977">
        <f>'Corrected and Updated TSF 3'!CS177</f>
        <v>3995010.7832499603</v>
      </c>
      <c r="S177" s="977">
        <f>'Corrected and Updated TSF 3'!CT177</f>
        <v>30973.276080396208</v>
      </c>
      <c r="T177" s="636">
        <f>'Corrected and Updated TSF 3'!CU177</f>
        <v>35908.286343453619</v>
      </c>
      <c r="U177" s="636">
        <f>'Corrected and Updated TSF 3'!CV177</f>
        <v>46385.462650515707</v>
      </c>
      <c r="V177" s="636">
        <f>'Corrected and Updated TSF 3'!CW177</f>
        <v>79106.001689969766</v>
      </c>
      <c r="W177" s="1102">
        <f>'Corrected and Updated TSF 3'!CX177</f>
        <v>324527.42412224039</v>
      </c>
      <c r="X177" s="1102">
        <f>'Corrected and Updated TSF 3'!CY177</f>
        <v>128413.92086132543</v>
      </c>
      <c r="Y177" s="1102">
        <f>'Corrected and Updated TSF 3'!CZ177</f>
        <v>92751.556286784631</v>
      </c>
      <c r="Z177" s="1102">
        <f>'Corrected and Updated TSF 3'!DA177</f>
        <v>70588.204395355046</v>
      </c>
      <c r="AA177" s="821">
        <f>L177-'Corrected and Updated TSF 3'!CL177</f>
        <v>0</v>
      </c>
      <c r="AB177" s="678">
        <f>N177-'Corrected and Updated TSF 3'!CN177</f>
        <v>0</v>
      </c>
      <c r="AC177" s="678">
        <f>Q177-'Corrected and Updated TSF 3'!CQ177</f>
        <v>0</v>
      </c>
      <c r="AD177" s="775"/>
      <c r="AE177" s="775"/>
      <c r="AF177" s="775"/>
      <c r="AG177" s="775"/>
      <c r="AH177" s="677"/>
      <c r="AI177" s="677"/>
      <c r="AJ177" s="677"/>
      <c r="AK177" s="677"/>
    </row>
    <row r="178" spans="1:37" s="119" customFormat="1" ht="12.75" hidden="1" customHeight="1">
      <c r="A178" s="631" t="str">
        <f t="shared" si="2"/>
        <v>E-8A</v>
      </c>
      <c r="B178" s="632" t="str">
        <f>'Corrected and Updated TSF 3'!EP178</f>
        <v>SOLD</v>
      </c>
      <c r="C178" s="820" t="str">
        <f>'Corrected and Updated TSF 3'!E178</f>
        <v>8th Floor</v>
      </c>
      <c r="D178" s="628">
        <f>'INTERNAL PRICELIST'!D178</f>
        <v>0</v>
      </c>
      <c r="E178" s="596" t="str">
        <f>'Corrected and Updated TSF 3'!G178</f>
        <v>E-8A</v>
      </c>
      <c r="F178" s="401" t="str">
        <f>'Corrected and Updated TSF 3'!I178</f>
        <v>Studio</v>
      </c>
      <c r="G178" s="633">
        <f>'Corrected and Updated TSF 3'!J178</f>
        <v>22</v>
      </c>
      <c r="H178" s="633">
        <f>'Corrected and Updated TSF 3'!CG178</f>
        <v>3954870.9472902995</v>
      </c>
      <c r="I178" s="633">
        <f>SUM('Corrected and Updated TSF 3'!CI178:CJ178)</f>
        <v>504246.0457795132</v>
      </c>
      <c r="J178" s="633">
        <f>'Corrected and Updated TSF 3'!CH178</f>
        <v>0</v>
      </c>
      <c r="K178" s="633">
        <f>'Corrected and Updated TSF 3'!CK178</f>
        <v>4459116.9930698127</v>
      </c>
      <c r="L178" s="634">
        <f>'Corrected and Updated TSF 3'!CL178</f>
        <v>0.125</v>
      </c>
      <c r="M178" s="633">
        <f>'Corrected and Updated TSF 3'!CM178</f>
        <v>557389.62413372658</v>
      </c>
      <c r="N178" s="633">
        <f>'Corrected and Updated TSF 3'!CN178</f>
        <v>30000</v>
      </c>
      <c r="O178" s="633">
        <f>'Corrected and Updated TSF 3'!CO178</f>
        <v>527389.62413372658</v>
      </c>
      <c r="P178" s="401">
        <f>'Corrected and Updated TSF 3'!CP178</f>
        <v>29</v>
      </c>
      <c r="Q178" s="633">
        <f>'Corrected and Updated TSF 3'!CQ178</f>
        <v>18185.849108059538</v>
      </c>
      <c r="R178" s="633">
        <f>'Corrected and Updated TSF 3'!CS178</f>
        <v>3901727.3689360861</v>
      </c>
      <c r="S178" s="633">
        <f>'Corrected and Updated TSF 3'!CT178</f>
        <v>30250.050762111794</v>
      </c>
      <c r="T178" s="635">
        <f>'Corrected and Updated TSF 3'!CU178</f>
        <v>35069.828643584122</v>
      </c>
      <c r="U178" s="636">
        <f>'Corrected and Updated TSF 3'!CV178</f>
        <v>45302.363113285224</v>
      </c>
      <c r="V178" s="636">
        <f>'Corrected and Updated TSF 3'!CW178</f>
        <v>77258.878282619058</v>
      </c>
      <c r="W178" s="1102">
        <f>'Corrected and Updated TSF 3'!CX178</f>
        <v>316949.71587485942</v>
      </c>
      <c r="X178" s="1102">
        <f>'Corrected and Updated TSF 3'!CY178</f>
        <v>125415.45862097293</v>
      </c>
      <c r="Y178" s="1102">
        <f>'Corrected and Updated TSF 3'!CZ178</f>
        <v>90585.809478382245</v>
      </c>
      <c r="Z178" s="1102">
        <f>'Corrected and Updated TSF 3'!DA178</f>
        <v>68939.971368327359</v>
      </c>
      <c r="AA178" s="821">
        <f>L178-'Corrected and Updated TSF 3'!CL178</f>
        <v>0</v>
      </c>
      <c r="AB178" s="678">
        <f>N178-'Corrected and Updated TSF 3'!CN178</f>
        <v>0</v>
      </c>
      <c r="AC178" s="678">
        <f>Q178-'Corrected and Updated TSF 3'!CQ178</f>
        <v>0</v>
      </c>
      <c r="AD178" s="775"/>
      <c r="AE178" s="775"/>
      <c r="AF178" s="775"/>
      <c r="AG178" s="775"/>
      <c r="AH178" s="677"/>
      <c r="AI178" s="677"/>
      <c r="AJ178" s="677"/>
      <c r="AK178" s="677"/>
    </row>
    <row r="179" spans="1:37" s="119" customFormat="1" ht="12.75" hidden="1" customHeight="1">
      <c r="A179" s="631" t="str">
        <f t="shared" si="2"/>
        <v>E-8B</v>
      </c>
      <c r="B179" s="632" t="str">
        <f>'Corrected and Updated TSF 3'!EP179</f>
        <v>SOLD</v>
      </c>
      <c r="C179" s="820" t="str">
        <f>'Corrected and Updated TSF 3'!E179</f>
        <v>8th Floor</v>
      </c>
      <c r="D179" s="628">
        <f>'INTERNAL PRICELIST'!D179</f>
        <v>0</v>
      </c>
      <c r="E179" s="596" t="str">
        <f>'Corrected and Updated TSF 3'!G179</f>
        <v>E-8B</v>
      </c>
      <c r="F179" s="401" t="str">
        <f>'Corrected and Updated TSF 3'!I179</f>
        <v>Studio</v>
      </c>
      <c r="G179" s="633">
        <f>'Corrected and Updated TSF 3'!J179</f>
        <v>22</v>
      </c>
      <c r="H179" s="633">
        <f>'Corrected and Updated TSF 3'!CG179</f>
        <v>3954870.9472902995</v>
      </c>
      <c r="I179" s="633">
        <f>SUM('Corrected and Updated TSF 3'!CI179:CJ179)</f>
        <v>504246.0457795132</v>
      </c>
      <c r="J179" s="633">
        <f>'Corrected and Updated TSF 3'!CH179</f>
        <v>0</v>
      </c>
      <c r="K179" s="633">
        <f>'Corrected and Updated TSF 3'!CK179</f>
        <v>4459116.9930698127</v>
      </c>
      <c r="L179" s="634">
        <f>'Corrected and Updated TSF 3'!CL179</f>
        <v>0.125</v>
      </c>
      <c r="M179" s="633">
        <f>'Corrected and Updated TSF 3'!CM179</f>
        <v>557389.62413372658</v>
      </c>
      <c r="N179" s="633">
        <f>'Corrected and Updated TSF 3'!CN179</f>
        <v>30000</v>
      </c>
      <c r="O179" s="633">
        <f>'Corrected and Updated TSF 3'!CO179</f>
        <v>527389.62413372658</v>
      </c>
      <c r="P179" s="401">
        <f>'Corrected and Updated TSF 3'!CP179</f>
        <v>29</v>
      </c>
      <c r="Q179" s="633">
        <f>'Corrected and Updated TSF 3'!CQ179</f>
        <v>18185.849108059538</v>
      </c>
      <c r="R179" s="633">
        <f>'Corrected and Updated TSF 3'!CS179</f>
        <v>3901727.3689360861</v>
      </c>
      <c r="S179" s="633">
        <f>'Corrected and Updated TSF 3'!CT179</f>
        <v>30250.050762111794</v>
      </c>
      <c r="T179" s="635">
        <f>'Corrected and Updated TSF 3'!CU179</f>
        <v>35069.828643584122</v>
      </c>
      <c r="U179" s="636">
        <f>'Corrected and Updated TSF 3'!CV179</f>
        <v>45302.363113285224</v>
      </c>
      <c r="V179" s="636">
        <f>'Corrected and Updated TSF 3'!CW179</f>
        <v>77258.878282619058</v>
      </c>
      <c r="W179" s="1102">
        <f>'Corrected and Updated TSF 3'!CX179</f>
        <v>316949.71587485942</v>
      </c>
      <c r="X179" s="1102">
        <f>'Corrected and Updated TSF 3'!CY179</f>
        <v>125415.45862097293</v>
      </c>
      <c r="Y179" s="1102">
        <f>'Corrected and Updated TSF 3'!CZ179</f>
        <v>90585.809478382245</v>
      </c>
      <c r="Z179" s="1102">
        <f>'Corrected and Updated TSF 3'!DA179</f>
        <v>68939.971368327359</v>
      </c>
      <c r="AA179" s="821">
        <f>L179-'Corrected and Updated TSF 3'!CL179</f>
        <v>0</v>
      </c>
      <c r="AB179" s="678">
        <f>N179-'Corrected and Updated TSF 3'!CN179</f>
        <v>0</v>
      </c>
      <c r="AC179" s="678">
        <f>Q179-'Corrected and Updated TSF 3'!CQ179</f>
        <v>0</v>
      </c>
      <c r="AD179" s="775"/>
      <c r="AE179" s="775"/>
      <c r="AF179" s="775"/>
      <c r="AG179" s="775"/>
      <c r="AH179" s="677"/>
      <c r="AI179" s="677"/>
      <c r="AJ179" s="677"/>
      <c r="AK179" s="677"/>
    </row>
    <row r="180" spans="1:37" s="119" customFormat="1" ht="12.75" hidden="1" customHeight="1">
      <c r="A180" s="631" t="str">
        <f t="shared" si="2"/>
        <v>E-8C</v>
      </c>
      <c r="B180" s="632" t="str">
        <f>'Corrected and Updated TSF 3'!EP180</f>
        <v>SOLD</v>
      </c>
      <c r="C180" s="820" t="str">
        <f>'Corrected and Updated TSF 3'!E180</f>
        <v>8th Floor</v>
      </c>
      <c r="D180" s="628">
        <f>'INTERNAL PRICELIST'!D180</f>
        <v>0</v>
      </c>
      <c r="E180" s="596" t="str">
        <f>'Corrected and Updated TSF 3'!G180</f>
        <v>E-8C</v>
      </c>
      <c r="F180" s="401" t="str">
        <f>'Corrected and Updated TSF 3'!I180</f>
        <v>Studio</v>
      </c>
      <c r="G180" s="633">
        <f>'Corrected and Updated TSF 3'!J180</f>
        <v>22</v>
      </c>
      <c r="H180" s="633">
        <f>'Corrected and Updated TSF 3'!CG180</f>
        <v>3954870.9472902995</v>
      </c>
      <c r="I180" s="633">
        <f>SUM('Corrected and Updated TSF 3'!CI180:CJ180)</f>
        <v>504246.0457795132</v>
      </c>
      <c r="J180" s="633">
        <f>'Corrected and Updated TSF 3'!CH180</f>
        <v>0</v>
      </c>
      <c r="K180" s="633">
        <f>'Corrected and Updated TSF 3'!CK180</f>
        <v>4459116.9930698127</v>
      </c>
      <c r="L180" s="634">
        <f>'Corrected and Updated TSF 3'!CL180</f>
        <v>0.125</v>
      </c>
      <c r="M180" s="633">
        <f>'Corrected and Updated TSF 3'!CM180</f>
        <v>557389.62413372658</v>
      </c>
      <c r="N180" s="633">
        <f>'Corrected and Updated TSF 3'!CN180</f>
        <v>30000</v>
      </c>
      <c r="O180" s="633">
        <f>'Corrected and Updated TSF 3'!CO180</f>
        <v>527389.62413372658</v>
      </c>
      <c r="P180" s="401">
        <f>'Corrected and Updated TSF 3'!CP180</f>
        <v>29</v>
      </c>
      <c r="Q180" s="633">
        <f>'Corrected and Updated TSF 3'!CQ180</f>
        <v>18185.849108059538</v>
      </c>
      <c r="R180" s="633">
        <f>'Corrected and Updated TSF 3'!CS180</f>
        <v>3901727.3689360861</v>
      </c>
      <c r="S180" s="633">
        <f>'Corrected and Updated TSF 3'!CT180</f>
        <v>30250.050762111794</v>
      </c>
      <c r="T180" s="635">
        <f>'Corrected and Updated TSF 3'!CU180</f>
        <v>35069.828643584122</v>
      </c>
      <c r="U180" s="636">
        <f>'Corrected and Updated TSF 3'!CV180</f>
        <v>45302.363113285224</v>
      </c>
      <c r="V180" s="636">
        <f>'Corrected and Updated TSF 3'!CW180</f>
        <v>77258.878282619058</v>
      </c>
      <c r="W180" s="1102">
        <f>'Corrected and Updated TSF 3'!CX180</f>
        <v>316949.71587485942</v>
      </c>
      <c r="X180" s="1102">
        <f>'Corrected and Updated TSF 3'!CY180</f>
        <v>125415.45862097293</v>
      </c>
      <c r="Y180" s="1102">
        <f>'Corrected and Updated TSF 3'!CZ180</f>
        <v>90585.809478382245</v>
      </c>
      <c r="Z180" s="1102">
        <f>'Corrected and Updated TSF 3'!DA180</f>
        <v>68939.971368327359</v>
      </c>
      <c r="AA180" s="821">
        <f>L180-'Corrected and Updated TSF 3'!CL180</f>
        <v>0</v>
      </c>
      <c r="AB180" s="678">
        <f>N180-'Corrected and Updated TSF 3'!CN180</f>
        <v>0</v>
      </c>
      <c r="AC180" s="678">
        <f>Q180-'Corrected and Updated TSF 3'!CQ180</f>
        <v>0</v>
      </c>
      <c r="AD180" s="775"/>
      <c r="AE180" s="775"/>
      <c r="AF180" s="775"/>
      <c r="AG180" s="775"/>
      <c r="AH180" s="677"/>
      <c r="AI180" s="677"/>
      <c r="AJ180" s="677"/>
      <c r="AK180" s="677"/>
    </row>
    <row r="181" spans="1:37" s="119" customFormat="1" ht="12.75" hidden="1" customHeight="1">
      <c r="A181" s="631" t="str">
        <f t="shared" si="2"/>
        <v>E-8D</v>
      </c>
      <c r="B181" s="632" t="str">
        <f>'Corrected and Updated TSF 3'!EP181</f>
        <v>SOLD</v>
      </c>
      <c r="C181" s="820" t="str">
        <f>'Corrected and Updated TSF 3'!E181</f>
        <v>8th Floor</v>
      </c>
      <c r="D181" s="628">
        <f>'INTERNAL PRICELIST'!D181</f>
        <v>0</v>
      </c>
      <c r="E181" s="596" t="str">
        <f>'Corrected and Updated TSF 3'!G181</f>
        <v>E-8D</v>
      </c>
      <c r="F181" s="401" t="str">
        <f>'Corrected and Updated TSF 3'!I181</f>
        <v>Studio</v>
      </c>
      <c r="G181" s="633">
        <f>'Corrected and Updated TSF 3'!J181</f>
        <v>22</v>
      </c>
      <c r="H181" s="633">
        <f>'Corrected and Updated TSF 3'!CG181</f>
        <v>3955589.3863146896</v>
      </c>
      <c r="I181" s="633">
        <f>SUM('Corrected and Updated TSF 3'!CI181:CJ181)</f>
        <v>504337.64675512287</v>
      </c>
      <c r="J181" s="633">
        <f>'Corrected and Updated TSF 3'!CH181</f>
        <v>0</v>
      </c>
      <c r="K181" s="633">
        <f>'Corrected and Updated TSF 3'!CK181</f>
        <v>4459927.0330698118</v>
      </c>
      <c r="L181" s="634">
        <f>'Corrected and Updated TSF 3'!CL181</f>
        <v>0.125</v>
      </c>
      <c r="M181" s="633">
        <f>'Corrected and Updated TSF 3'!CM181</f>
        <v>557490.87913372647</v>
      </c>
      <c r="N181" s="633">
        <f>'Corrected and Updated TSF 3'!CN181</f>
        <v>30000</v>
      </c>
      <c r="O181" s="633">
        <f>'Corrected and Updated TSF 3'!CO181</f>
        <v>527490.87913372647</v>
      </c>
      <c r="P181" s="401">
        <f>'Corrected and Updated TSF 3'!CP181</f>
        <v>29</v>
      </c>
      <c r="Q181" s="633">
        <f>'Corrected and Updated TSF 3'!CQ181</f>
        <v>18189.340659783673</v>
      </c>
      <c r="R181" s="633">
        <f>'Corrected and Updated TSF 3'!CS181</f>
        <v>3902436.1539360853</v>
      </c>
      <c r="S181" s="633">
        <f>'Corrected and Updated TSF 3'!CT181</f>
        <v>30255.545964672616</v>
      </c>
      <c r="T181" s="635">
        <f>'Corrected and Updated TSF 3'!CU181</f>
        <v>35076.199403543673</v>
      </c>
      <c r="U181" s="636">
        <f>'Corrected and Updated TSF 3'!CV181</f>
        <v>45310.592708129516</v>
      </c>
      <c r="V181" s="636">
        <f>'Corrected and Updated TSF 3'!CW181</f>
        <v>77272.913075126475</v>
      </c>
      <c r="W181" s="1102">
        <f>'Corrected and Updated TSF 3'!CX181</f>
        <v>317007.29273329256</v>
      </c>
      <c r="X181" s="1102">
        <f>'Corrected and Updated TSF 3'!CY181</f>
        <v>125438.24150338197</v>
      </c>
      <c r="Y181" s="1102">
        <f>'Corrected and Updated TSF 3'!CZ181</f>
        <v>90602.265231667887</v>
      </c>
      <c r="Z181" s="1102">
        <f>'Corrected and Updated TSF 3'!DA181</f>
        <v>68952.494954161491</v>
      </c>
      <c r="AA181" s="821">
        <f>L181-'Corrected and Updated TSF 3'!CL181</f>
        <v>0</v>
      </c>
      <c r="AB181" s="678">
        <f>N181-'Corrected and Updated TSF 3'!CN181</f>
        <v>0</v>
      </c>
      <c r="AC181" s="678">
        <f>Q181-'Corrected and Updated TSF 3'!CQ181</f>
        <v>0</v>
      </c>
      <c r="AD181" s="775"/>
      <c r="AE181" s="775"/>
      <c r="AF181" s="775"/>
      <c r="AG181" s="775"/>
      <c r="AH181" s="677"/>
      <c r="AI181" s="677"/>
      <c r="AJ181" s="677"/>
      <c r="AK181" s="677"/>
    </row>
    <row r="182" spans="1:37" s="119" customFormat="1" ht="12.75" hidden="1" customHeight="1">
      <c r="A182" s="631" t="str">
        <f t="shared" si="2"/>
        <v>E-8E</v>
      </c>
      <c r="B182" s="632" t="str">
        <f>'Corrected and Updated TSF 3'!EP182</f>
        <v>SOLD</v>
      </c>
      <c r="C182" s="820" t="str">
        <f>'Corrected and Updated TSF 3'!E182</f>
        <v>8th Floor</v>
      </c>
      <c r="D182" s="628">
        <f>'INTERNAL PRICELIST'!D182</f>
        <v>0</v>
      </c>
      <c r="E182" s="596" t="str">
        <f>'Corrected and Updated TSF 3'!G182</f>
        <v>E-8E</v>
      </c>
      <c r="F182" s="401" t="str">
        <f>'Corrected and Updated TSF 3'!I182</f>
        <v>Studio</v>
      </c>
      <c r="G182" s="633">
        <f>'Corrected and Updated TSF 3'!J182</f>
        <v>22</v>
      </c>
      <c r="H182" s="633">
        <f>'Corrected and Updated TSF 3'!CG182</f>
        <v>3954870.9472902995</v>
      </c>
      <c r="I182" s="633">
        <f>SUM('Corrected and Updated TSF 3'!CI182:CJ182)</f>
        <v>504246.0457795132</v>
      </c>
      <c r="J182" s="633">
        <f>'Corrected and Updated TSF 3'!CH182</f>
        <v>0</v>
      </c>
      <c r="K182" s="633">
        <f>'Corrected and Updated TSF 3'!CK182</f>
        <v>4459116.9930698127</v>
      </c>
      <c r="L182" s="634">
        <f>'Corrected and Updated TSF 3'!CL182</f>
        <v>0.125</v>
      </c>
      <c r="M182" s="633">
        <f>'Corrected and Updated TSF 3'!CM182</f>
        <v>557389.62413372658</v>
      </c>
      <c r="N182" s="633">
        <f>'Corrected and Updated TSF 3'!CN182</f>
        <v>30000</v>
      </c>
      <c r="O182" s="633">
        <f>'Corrected and Updated TSF 3'!CO182</f>
        <v>527389.62413372658</v>
      </c>
      <c r="P182" s="401">
        <f>'Corrected and Updated TSF 3'!CP182</f>
        <v>29</v>
      </c>
      <c r="Q182" s="633">
        <f>'Corrected and Updated TSF 3'!CQ182</f>
        <v>18185.849108059538</v>
      </c>
      <c r="R182" s="633">
        <f>'Corrected and Updated TSF 3'!CS182</f>
        <v>3901727.3689360861</v>
      </c>
      <c r="S182" s="633">
        <f>'Corrected and Updated TSF 3'!CT182</f>
        <v>30250.050762111794</v>
      </c>
      <c r="T182" s="635">
        <f>'Corrected and Updated TSF 3'!CU182</f>
        <v>35069.828643584122</v>
      </c>
      <c r="U182" s="636">
        <f>'Corrected and Updated TSF 3'!CV182</f>
        <v>45302.363113285224</v>
      </c>
      <c r="V182" s="636">
        <f>'Corrected and Updated TSF 3'!CW182</f>
        <v>77258.878282619058</v>
      </c>
      <c r="W182" s="1102">
        <f>'Corrected and Updated TSF 3'!CX182</f>
        <v>316949.71587485942</v>
      </c>
      <c r="X182" s="1102">
        <f>'Corrected and Updated TSF 3'!CY182</f>
        <v>125415.45862097293</v>
      </c>
      <c r="Y182" s="1102">
        <f>'Corrected and Updated TSF 3'!CZ182</f>
        <v>90585.809478382245</v>
      </c>
      <c r="Z182" s="1102">
        <f>'Corrected and Updated TSF 3'!DA182</f>
        <v>68939.971368327359</v>
      </c>
      <c r="AA182" s="821">
        <f>L182-'Corrected and Updated TSF 3'!CL182</f>
        <v>0</v>
      </c>
      <c r="AB182" s="678">
        <f>N182-'Corrected and Updated TSF 3'!CN182</f>
        <v>0</v>
      </c>
      <c r="AC182" s="678">
        <f>Q182-'Corrected and Updated TSF 3'!CQ182</f>
        <v>0</v>
      </c>
      <c r="AD182" s="775"/>
      <c r="AE182" s="775"/>
      <c r="AF182" s="775"/>
      <c r="AG182" s="775"/>
      <c r="AH182" s="677"/>
      <c r="AI182" s="677"/>
      <c r="AJ182" s="677"/>
      <c r="AK182" s="677"/>
    </row>
    <row r="183" spans="1:37" s="119" customFormat="1" ht="12.75" hidden="1" customHeight="1">
      <c r="A183" s="631" t="str">
        <f t="shared" si="2"/>
        <v>E-8F</v>
      </c>
      <c r="B183" s="632" t="str">
        <f>'Corrected and Updated TSF 3'!EP183</f>
        <v>SOLD</v>
      </c>
      <c r="C183" s="820" t="str">
        <f>'Corrected and Updated TSF 3'!E183</f>
        <v>8th Floor</v>
      </c>
      <c r="D183" s="628">
        <f>'INTERNAL PRICELIST'!D183</f>
        <v>0</v>
      </c>
      <c r="E183" s="596" t="str">
        <f>'Corrected and Updated TSF 3'!G183</f>
        <v>E-8F</v>
      </c>
      <c r="F183" s="401" t="str">
        <f>'Corrected and Updated TSF 3'!I183</f>
        <v>Studio</v>
      </c>
      <c r="G183" s="633">
        <f>'Corrected and Updated TSF 3'!J183</f>
        <v>22</v>
      </c>
      <c r="H183" s="633">
        <f>'Corrected and Updated TSF 3'!CG183</f>
        <v>3954870.9472902995</v>
      </c>
      <c r="I183" s="633">
        <f>SUM('Corrected and Updated TSF 3'!CI183:CJ183)</f>
        <v>504246.0457795132</v>
      </c>
      <c r="J183" s="633">
        <f>'Corrected and Updated TSF 3'!CH183</f>
        <v>0</v>
      </c>
      <c r="K183" s="633">
        <f>'Corrected and Updated TSF 3'!CK183</f>
        <v>4459116.9930698127</v>
      </c>
      <c r="L183" s="634">
        <f>'Corrected and Updated TSF 3'!CL183</f>
        <v>0.125</v>
      </c>
      <c r="M183" s="633">
        <f>'Corrected and Updated TSF 3'!CM183</f>
        <v>557389.62413372658</v>
      </c>
      <c r="N183" s="633">
        <f>'Corrected and Updated TSF 3'!CN183</f>
        <v>30000</v>
      </c>
      <c r="O183" s="633">
        <f>'Corrected and Updated TSF 3'!CO183</f>
        <v>527389.62413372658</v>
      </c>
      <c r="P183" s="401">
        <f>'Corrected and Updated TSF 3'!CP183</f>
        <v>29</v>
      </c>
      <c r="Q183" s="633">
        <f>'Corrected and Updated TSF 3'!CQ183</f>
        <v>18185.849108059538</v>
      </c>
      <c r="R183" s="633">
        <f>'Corrected and Updated TSF 3'!CS183</f>
        <v>3901727.3689360861</v>
      </c>
      <c r="S183" s="633">
        <f>'Corrected and Updated TSF 3'!CT183</f>
        <v>30250.050762111794</v>
      </c>
      <c r="T183" s="635">
        <f>'Corrected and Updated TSF 3'!CU183</f>
        <v>35069.828643584122</v>
      </c>
      <c r="U183" s="636">
        <f>'Corrected and Updated TSF 3'!CV183</f>
        <v>45302.363113285224</v>
      </c>
      <c r="V183" s="636">
        <f>'Corrected and Updated TSF 3'!CW183</f>
        <v>77258.878282619058</v>
      </c>
      <c r="W183" s="1102">
        <f>'Corrected and Updated TSF 3'!CX183</f>
        <v>316949.71587485942</v>
      </c>
      <c r="X183" s="1102">
        <f>'Corrected and Updated TSF 3'!CY183</f>
        <v>125415.45862097293</v>
      </c>
      <c r="Y183" s="1102">
        <f>'Corrected and Updated TSF 3'!CZ183</f>
        <v>90585.809478382245</v>
      </c>
      <c r="Z183" s="1102">
        <f>'Corrected and Updated TSF 3'!DA183</f>
        <v>68939.971368327359</v>
      </c>
      <c r="AA183" s="821">
        <f>L183-'Corrected and Updated TSF 3'!CL183</f>
        <v>0</v>
      </c>
      <c r="AB183" s="678">
        <f>N183-'Corrected and Updated TSF 3'!CN183</f>
        <v>0</v>
      </c>
      <c r="AC183" s="678">
        <f>Q183-'Corrected and Updated TSF 3'!CQ183</f>
        <v>0</v>
      </c>
      <c r="AD183" s="775"/>
      <c r="AE183" s="775"/>
      <c r="AF183" s="775"/>
      <c r="AG183" s="775"/>
      <c r="AH183" s="677"/>
      <c r="AI183" s="677"/>
      <c r="AJ183" s="677"/>
      <c r="AK183" s="677"/>
    </row>
    <row r="184" spans="1:37" s="119" customFormat="1" hidden="1">
      <c r="A184" s="631" t="str">
        <f t="shared" si="2"/>
        <v>E-8G</v>
      </c>
      <c r="B184" s="632" t="str">
        <f>'Corrected and Updated TSF 3'!EP184</f>
        <v>SOLD</v>
      </c>
      <c r="C184" s="820" t="str">
        <f>'Corrected and Updated TSF 3'!E184</f>
        <v>8th Floor</v>
      </c>
      <c r="D184" s="628">
        <f>'INTERNAL PRICELIST'!D184</f>
        <v>0</v>
      </c>
      <c r="E184" s="596" t="str">
        <f>'Corrected and Updated TSF 3'!G184</f>
        <v>E-8G</v>
      </c>
      <c r="F184" s="401" t="str">
        <f>'Corrected and Updated TSF 3'!I184</f>
        <v>Studio</v>
      </c>
      <c r="G184" s="633">
        <f>'Corrected and Updated TSF 3'!J184</f>
        <v>22</v>
      </c>
      <c r="H184" s="633">
        <f>'Corrected and Updated TSF 3'!CG184</f>
        <v>3954870.9472902995</v>
      </c>
      <c r="I184" s="633">
        <f>SUM('Corrected and Updated TSF 3'!CI184:CJ184)</f>
        <v>504246.0457795132</v>
      </c>
      <c r="J184" s="633">
        <f>'Corrected and Updated TSF 3'!CH184</f>
        <v>0</v>
      </c>
      <c r="K184" s="633">
        <f>'Corrected and Updated TSF 3'!CK184</f>
        <v>4459116.9930698127</v>
      </c>
      <c r="L184" s="634">
        <f>'Corrected and Updated TSF 3'!CL184</f>
        <v>0.125</v>
      </c>
      <c r="M184" s="633">
        <f>'Corrected and Updated TSF 3'!CM184</f>
        <v>557389.62413372658</v>
      </c>
      <c r="N184" s="633">
        <f>'Corrected and Updated TSF 3'!CN184</f>
        <v>30000</v>
      </c>
      <c r="O184" s="633">
        <f>'Corrected and Updated TSF 3'!CO184</f>
        <v>527389.62413372658</v>
      </c>
      <c r="P184" s="401">
        <f>'Corrected and Updated TSF 3'!CP184</f>
        <v>29</v>
      </c>
      <c r="Q184" s="633">
        <f>'Corrected and Updated TSF 3'!CQ184</f>
        <v>18185.849108059538</v>
      </c>
      <c r="R184" s="633">
        <f>'Corrected and Updated TSF 3'!CS184</f>
        <v>3901727.3689360861</v>
      </c>
      <c r="S184" s="633">
        <f>'Corrected and Updated TSF 3'!CT184</f>
        <v>30250.050762111794</v>
      </c>
      <c r="T184" s="635">
        <f>'Corrected and Updated TSF 3'!CU184</f>
        <v>35069.828643584122</v>
      </c>
      <c r="U184" s="636">
        <f>'Corrected and Updated TSF 3'!CV184</f>
        <v>45302.363113285224</v>
      </c>
      <c r="V184" s="636">
        <f>'Corrected and Updated TSF 3'!CW184</f>
        <v>77258.878282619058</v>
      </c>
      <c r="W184" s="1102">
        <f>'Corrected and Updated TSF 3'!CX184</f>
        <v>316949.71587485942</v>
      </c>
      <c r="X184" s="1102">
        <f>'Corrected and Updated TSF 3'!CY184</f>
        <v>125415.45862097293</v>
      </c>
      <c r="Y184" s="1102">
        <f>'Corrected and Updated TSF 3'!CZ184</f>
        <v>90585.809478382245</v>
      </c>
      <c r="Z184" s="1102">
        <f>'Corrected and Updated TSF 3'!DA184</f>
        <v>68939.971368327359</v>
      </c>
      <c r="AA184" s="821">
        <f>L184-'Corrected and Updated TSF 3'!CL184</f>
        <v>0</v>
      </c>
      <c r="AB184" s="678">
        <f>N184-'Corrected and Updated TSF 3'!CN184</f>
        <v>0</v>
      </c>
      <c r="AC184" s="678">
        <f>Q184-'Corrected and Updated TSF 3'!CQ184</f>
        <v>0</v>
      </c>
      <c r="AD184" s="775"/>
      <c r="AE184" s="775"/>
      <c r="AF184" s="775"/>
      <c r="AG184" s="775"/>
      <c r="AH184" s="677"/>
      <c r="AI184" s="677"/>
      <c r="AJ184" s="677"/>
      <c r="AK184" s="677"/>
    </row>
    <row r="185" spans="1:37" s="119" customFormat="1" ht="12.75" hidden="1" customHeight="1">
      <c r="A185" s="631" t="str">
        <f t="shared" si="2"/>
        <v>E-8H</v>
      </c>
      <c r="B185" s="632" t="str">
        <f>'Corrected and Updated TSF 3'!EP185</f>
        <v>SOLD</v>
      </c>
      <c r="C185" s="820" t="str">
        <f>'Corrected and Updated TSF 3'!E185</f>
        <v>8th Floor</v>
      </c>
      <c r="D185" s="628">
        <f>'INTERNAL PRICELIST'!D185</f>
        <v>0</v>
      </c>
      <c r="E185" s="596" t="str">
        <f>'Corrected and Updated TSF 3'!G185</f>
        <v>E-8H</v>
      </c>
      <c r="F185" s="401" t="str">
        <f>'Corrected and Updated TSF 3'!I185</f>
        <v>Studio</v>
      </c>
      <c r="G185" s="633">
        <f>'Corrected and Updated TSF 3'!J185</f>
        <v>22</v>
      </c>
      <c r="H185" s="633">
        <f>'Corrected and Updated TSF 3'!CG185</f>
        <v>3954870.9472902995</v>
      </c>
      <c r="I185" s="633">
        <f>SUM('Corrected and Updated TSF 3'!CI185:CJ185)</f>
        <v>504246.0457795132</v>
      </c>
      <c r="J185" s="633">
        <f>'Corrected and Updated TSF 3'!CH185</f>
        <v>0</v>
      </c>
      <c r="K185" s="633">
        <f>'Corrected and Updated TSF 3'!CK185</f>
        <v>4459116.9930698127</v>
      </c>
      <c r="L185" s="634">
        <f>'Corrected and Updated TSF 3'!CL185</f>
        <v>0.125</v>
      </c>
      <c r="M185" s="633">
        <f>'Corrected and Updated TSF 3'!CM185</f>
        <v>557389.62413372658</v>
      </c>
      <c r="N185" s="633">
        <f>'Corrected and Updated TSF 3'!CN185</f>
        <v>30000</v>
      </c>
      <c r="O185" s="633">
        <f>'Corrected and Updated TSF 3'!CO185</f>
        <v>527389.62413372658</v>
      </c>
      <c r="P185" s="401">
        <f>'Corrected and Updated TSF 3'!CP185</f>
        <v>29</v>
      </c>
      <c r="Q185" s="633">
        <f>'Corrected and Updated TSF 3'!CQ185</f>
        <v>18185.849108059538</v>
      </c>
      <c r="R185" s="633">
        <f>'Corrected and Updated TSF 3'!CS185</f>
        <v>3901727.3689360861</v>
      </c>
      <c r="S185" s="633">
        <f>'Corrected and Updated TSF 3'!CT185</f>
        <v>30250.050762111794</v>
      </c>
      <c r="T185" s="635">
        <f>'Corrected and Updated TSF 3'!CU185</f>
        <v>35069.828643584122</v>
      </c>
      <c r="U185" s="636">
        <f>'Corrected and Updated TSF 3'!CV185</f>
        <v>45302.363113285224</v>
      </c>
      <c r="V185" s="636">
        <f>'Corrected and Updated TSF 3'!CW185</f>
        <v>77258.878282619058</v>
      </c>
      <c r="W185" s="1102">
        <f>'Corrected and Updated TSF 3'!CX185</f>
        <v>316949.71587485942</v>
      </c>
      <c r="X185" s="1102">
        <f>'Corrected and Updated TSF 3'!CY185</f>
        <v>125415.45862097293</v>
      </c>
      <c r="Y185" s="1102">
        <f>'Corrected and Updated TSF 3'!CZ185</f>
        <v>90585.809478382245</v>
      </c>
      <c r="Z185" s="1102">
        <f>'Corrected and Updated TSF 3'!DA185</f>
        <v>68939.971368327359</v>
      </c>
      <c r="AA185" s="821">
        <f>L185-'Corrected and Updated TSF 3'!CL185</f>
        <v>0</v>
      </c>
      <c r="AB185" s="678">
        <f>N185-'Corrected and Updated TSF 3'!CN185</f>
        <v>0</v>
      </c>
      <c r="AC185" s="678">
        <f>Q185-'Corrected and Updated TSF 3'!CQ185</f>
        <v>0</v>
      </c>
      <c r="AD185" s="775"/>
      <c r="AE185" s="775"/>
      <c r="AF185" s="775"/>
      <c r="AG185" s="775"/>
      <c r="AH185" s="677"/>
      <c r="AI185" s="677"/>
      <c r="AJ185" s="677"/>
      <c r="AK185" s="677"/>
    </row>
    <row r="186" spans="1:37" s="119" customFormat="1" hidden="1">
      <c r="A186" s="631" t="str">
        <f t="shared" si="2"/>
        <v>E-8I</v>
      </c>
      <c r="B186" s="632" t="str">
        <f>'Corrected and Updated TSF 3'!EP186</f>
        <v>SOLD</v>
      </c>
      <c r="C186" s="820" t="str">
        <f>'Corrected and Updated TSF 3'!E186</f>
        <v>8th Floor</v>
      </c>
      <c r="D186" s="628">
        <f>'INTERNAL PRICELIST'!D186</f>
        <v>0</v>
      </c>
      <c r="E186" s="596" t="str">
        <f>'Corrected and Updated TSF 3'!G186</f>
        <v>E-8I</v>
      </c>
      <c r="F186" s="401" t="str">
        <f>'Corrected and Updated TSF 3'!I186</f>
        <v>Studio</v>
      </c>
      <c r="G186" s="633">
        <f>'Corrected and Updated TSF 3'!J186</f>
        <v>22</v>
      </c>
      <c r="H186" s="633">
        <f>'Corrected and Updated TSF 3'!CG186</f>
        <v>4049424.9307570076</v>
      </c>
      <c r="I186" s="633">
        <f>SUM('Corrected and Updated TSF 3'!CI186:CJ186)</f>
        <v>516301.6786715184</v>
      </c>
      <c r="J186" s="633">
        <f>'Corrected and Updated TSF 3'!CH186</f>
        <v>0</v>
      </c>
      <c r="K186" s="633">
        <f>'Corrected and Updated TSF 3'!CK186</f>
        <v>4565726.6094285259</v>
      </c>
      <c r="L186" s="634">
        <f>'Corrected and Updated TSF 3'!CL186</f>
        <v>0.125</v>
      </c>
      <c r="M186" s="633">
        <f>'Corrected and Updated TSF 3'!CM186</f>
        <v>570715.82617856574</v>
      </c>
      <c r="N186" s="633">
        <f>'Corrected and Updated TSF 3'!CN186</f>
        <v>30000</v>
      </c>
      <c r="O186" s="633">
        <f>'Corrected and Updated TSF 3'!CO186</f>
        <v>540715.82617856574</v>
      </c>
      <c r="P186" s="401">
        <f>'Corrected and Updated TSF 3'!CP186</f>
        <v>29</v>
      </c>
      <c r="Q186" s="633">
        <f>'Corrected and Updated TSF 3'!CQ186</f>
        <v>18645.373316502268</v>
      </c>
      <c r="R186" s="633">
        <f>'Corrected and Updated TSF 3'!CS186</f>
        <v>3995010.7832499603</v>
      </c>
      <c r="S186" s="633">
        <f>'Corrected and Updated TSF 3'!CT186</f>
        <v>30973.276080396208</v>
      </c>
      <c r="T186" s="635">
        <f>'Corrected and Updated TSF 3'!CU186</f>
        <v>35908.286343453619</v>
      </c>
      <c r="U186" s="636">
        <f>'Corrected and Updated TSF 3'!CV186</f>
        <v>46385.462650515707</v>
      </c>
      <c r="V186" s="636">
        <f>'Corrected and Updated TSF 3'!CW186</f>
        <v>79106.001689969766</v>
      </c>
      <c r="W186" s="1102">
        <f>'Corrected and Updated TSF 3'!CX186</f>
        <v>324527.42412224039</v>
      </c>
      <c r="X186" s="1102">
        <f>'Corrected and Updated TSF 3'!CY186</f>
        <v>128413.92086132543</v>
      </c>
      <c r="Y186" s="1102">
        <f>'Corrected and Updated TSF 3'!CZ186</f>
        <v>92751.556286784631</v>
      </c>
      <c r="Z186" s="1102">
        <f>'Corrected and Updated TSF 3'!DA186</f>
        <v>70588.204395355046</v>
      </c>
      <c r="AA186" s="821">
        <f>L186-'Corrected and Updated TSF 3'!CL186</f>
        <v>0</v>
      </c>
      <c r="AB186" s="678">
        <f>N186-'Corrected and Updated TSF 3'!CN186</f>
        <v>0</v>
      </c>
      <c r="AC186" s="678">
        <f>Q186-'Corrected and Updated TSF 3'!CQ186</f>
        <v>0</v>
      </c>
      <c r="AD186" s="775"/>
      <c r="AE186" s="775"/>
      <c r="AF186" s="775"/>
      <c r="AG186" s="775"/>
      <c r="AH186" s="677"/>
      <c r="AI186" s="677"/>
      <c r="AJ186" s="677"/>
      <c r="AK186" s="677"/>
    </row>
    <row r="187" spans="1:37" s="119" customFormat="1" ht="12.75" hidden="1" customHeight="1">
      <c r="A187" s="631" t="str">
        <f t="shared" si="2"/>
        <v>E-8J</v>
      </c>
      <c r="B187" s="632" t="str">
        <f>'Corrected and Updated TSF 3'!EP187</f>
        <v>SOLD</v>
      </c>
      <c r="C187" s="820" t="str">
        <f>'Corrected and Updated TSF 3'!E187</f>
        <v>8th Floor</v>
      </c>
      <c r="D187" s="628">
        <f>'INTERNAL PRICELIST'!D187</f>
        <v>0</v>
      </c>
      <c r="E187" s="596" t="str">
        <f>'Corrected and Updated TSF 3'!G187</f>
        <v>E-8J</v>
      </c>
      <c r="F187" s="401" t="str">
        <f>'Corrected and Updated TSF 3'!I187</f>
        <v>Studio</v>
      </c>
      <c r="G187" s="633">
        <f>'Corrected and Updated TSF 3'!J187</f>
        <v>22</v>
      </c>
      <c r="H187" s="633">
        <f>'Corrected and Updated TSF 3'!CG187</f>
        <v>4049424.9307570076</v>
      </c>
      <c r="I187" s="633">
        <f>SUM('Corrected and Updated TSF 3'!CI187:CJ187)</f>
        <v>516301.6786715184</v>
      </c>
      <c r="J187" s="633">
        <f>'Corrected and Updated TSF 3'!CH187</f>
        <v>0</v>
      </c>
      <c r="K187" s="633">
        <f>'Corrected and Updated TSF 3'!CK187</f>
        <v>4565726.6094285259</v>
      </c>
      <c r="L187" s="634">
        <f>'Corrected and Updated TSF 3'!CL187</f>
        <v>0.125</v>
      </c>
      <c r="M187" s="633">
        <f>'Corrected and Updated TSF 3'!CM187</f>
        <v>570715.82617856574</v>
      </c>
      <c r="N187" s="633">
        <f>'Corrected and Updated TSF 3'!CN187</f>
        <v>30000</v>
      </c>
      <c r="O187" s="633">
        <f>'Corrected and Updated TSF 3'!CO187</f>
        <v>540715.82617856574</v>
      </c>
      <c r="P187" s="401">
        <f>'Corrected and Updated TSF 3'!CP187</f>
        <v>29</v>
      </c>
      <c r="Q187" s="633">
        <f>'Corrected and Updated TSF 3'!CQ187</f>
        <v>18645.373316502268</v>
      </c>
      <c r="R187" s="633">
        <f>'Corrected and Updated TSF 3'!CS187</f>
        <v>3995010.7832499603</v>
      </c>
      <c r="S187" s="633">
        <f>'Corrected and Updated TSF 3'!CT187</f>
        <v>30973.276080396208</v>
      </c>
      <c r="T187" s="635">
        <f>'Corrected and Updated TSF 3'!CU187</f>
        <v>35908.286343453619</v>
      </c>
      <c r="U187" s="636">
        <f>'Corrected and Updated TSF 3'!CV187</f>
        <v>46385.462650515707</v>
      </c>
      <c r="V187" s="636">
        <f>'Corrected and Updated TSF 3'!CW187</f>
        <v>79106.001689969766</v>
      </c>
      <c r="W187" s="1102">
        <f>'Corrected and Updated TSF 3'!CX187</f>
        <v>324527.42412224039</v>
      </c>
      <c r="X187" s="1102">
        <f>'Corrected and Updated TSF 3'!CY187</f>
        <v>128413.92086132543</v>
      </c>
      <c r="Y187" s="1102">
        <f>'Corrected and Updated TSF 3'!CZ187</f>
        <v>92751.556286784631</v>
      </c>
      <c r="Z187" s="1102">
        <f>'Corrected and Updated TSF 3'!DA187</f>
        <v>70588.204395355046</v>
      </c>
      <c r="AA187" s="821">
        <f>L187-'Corrected and Updated TSF 3'!CL187</f>
        <v>0</v>
      </c>
      <c r="AB187" s="678">
        <f>N187-'Corrected and Updated TSF 3'!CN187</f>
        <v>0</v>
      </c>
      <c r="AC187" s="678">
        <f>Q187-'Corrected and Updated TSF 3'!CQ187</f>
        <v>0</v>
      </c>
      <c r="AD187" s="775"/>
      <c r="AE187" s="775"/>
      <c r="AF187" s="775"/>
      <c r="AG187" s="775"/>
      <c r="AH187" s="677"/>
      <c r="AI187" s="677"/>
      <c r="AJ187" s="677"/>
      <c r="AK187" s="677"/>
    </row>
    <row r="188" spans="1:37" s="119" customFormat="1" hidden="1">
      <c r="A188" s="631" t="str">
        <f t="shared" si="2"/>
        <v>E-8K</v>
      </c>
      <c r="B188" s="632" t="str">
        <f>'Corrected and Updated TSF 3'!EP188</f>
        <v>SOLD</v>
      </c>
      <c r="C188" s="973" t="str">
        <f>'Corrected and Updated TSF 3'!E188</f>
        <v>8th Floor</v>
      </c>
      <c r="D188" s="974">
        <f>'INTERNAL PRICELIST'!D188</f>
        <v>0</v>
      </c>
      <c r="E188" s="975" t="str">
        <f>'Corrected and Updated TSF 3'!G188</f>
        <v>E-8K</v>
      </c>
      <c r="F188" s="976" t="str">
        <f>'Corrected and Updated TSF 3'!I188</f>
        <v>Studio</v>
      </c>
      <c r="G188" s="977">
        <f>'Corrected and Updated TSF 3'!J188</f>
        <v>22</v>
      </c>
      <c r="H188" s="977">
        <f>'Corrected and Updated TSF 3'!CG188</f>
        <v>3996388.5406769831</v>
      </c>
      <c r="I188" s="977">
        <f>SUM('Corrected and Updated TSF 3'!CI188:CJ188)</f>
        <v>509539.53893631534</v>
      </c>
      <c r="J188" s="977">
        <f>'Corrected and Updated TSF 3'!CH188</f>
        <v>0</v>
      </c>
      <c r="K188" s="977">
        <f>'Corrected and Updated TSF 3'!CK188</f>
        <v>4505928.0796132982</v>
      </c>
      <c r="L188" s="978">
        <f>'Corrected and Updated TSF 3'!CL188</f>
        <v>0.125</v>
      </c>
      <c r="M188" s="977">
        <f>'Corrected and Updated TSF 3'!CM188</f>
        <v>563241.00995166227</v>
      </c>
      <c r="N188" s="977">
        <f>'Corrected and Updated TSF 3'!CN188</f>
        <v>30000</v>
      </c>
      <c r="O188" s="977">
        <f>'Corrected and Updated TSF 3'!CO188</f>
        <v>533241.00995166227</v>
      </c>
      <c r="P188" s="976">
        <f>'Corrected and Updated TSF 3'!CP188</f>
        <v>29</v>
      </c>
      <c r="Q188" s="977">
        <f>'Corrected and Updated TSF 3'!CQ188</f>
        <v>18387.62103281594</v>
      </c>
      <c r="R188" s="977">
        <f>'Corrected and Updated TSF 3'!CS188</f>
        <v>3942687.0696616359</v>
      </c>
      <c r="S188" s="977">
        <f>'Corrected and Updated TSF 3'!CT188</f>
        <v>30567.610885869661</v>
      </c>
      <c r="T188" s="636">
        <f>'Corrected and Updated TSF 3'!CU188</f>
        <v>35437.986013361908</v>
      </c>
      <c r="U188" s="636">
        <f>'Corrected and Updated TSF 3'!CV188</f>
        <v>45777.939969334584</v>
      </c>
      <c r="V188" s="636">
        <f>'Corrected and Updated TSF 3'!CW188</f>
        <v>78069.929448838971</v>
      </c>
      <c r="W188" s="1102">
        <f>'Corrected and Updated TSF 3'!CX188</f>
        <v>320277.00255578972</v>
      </c>
      <c r="X188" s="1102">
        <f>'Corrected and Updated TSF 3'!CY188</f>
        <v>126732.04975247307</v>
      </c>
      <c r="Y188" s="1102">
        <f>'Corrected and Updated TSF 3'!CZ188</f>
        <v>91536.764605528384</v>
      </c>
      <c r="Z188" s="1102">
        <f>'Corrected and Updated TSF 3'!DA188</f>
        <v>69663.691999798495</v>
      </c>
      <c r="AA188" s="821">
        <f>L188-'Corrected and Updated TSF 3'!CL188</f>
        <v>0</v>
      </c>
      <c r="AB188" s="678">
        <f>N188-'Corrected and Updated TSF 3'!CN188</f>
        <v>0</v>
      </c>
      <c r="AC188" s="678">
        <f>Q188-'Corrected and Updated TSF 3'!CQ188</f>
        <v>0</v>
      </c>
      <c r="AD188" s="775"/>
      <c r="AE188" s="775"/>
      <c r="AF188" s="775"/>
      <c r="AG188" s="775"/>
      <c r="AH188" s="677"/>
      <c r="AI188" s="677"/>
      <c r="AJ188" s="677"/>
      <c r="AK188" s="677"/>
    </row>
    <row r="189" spans="1:37" s="119" customFormat="1" ht="12.75" hidden="1" customHeight="1">
      <c r="A189" s="631" t="str">
        <f t="shared" si="2"/>
        <v>E-8L</v>
      </c>
      <c r="B189" s="632" t="str">
        <f>'Corrected and Updated TSF 3'!EP189</f>
        <v>SOLD</v>
      </c>
      <c r="C189" s="820" t="str">
        <f>'Corrected and Updated TSF 3'!E189</f>
        <v>8th Floor</v>
      </c>
      <c r="D189" s="628">
        <f>'INTERNAL PRICELIST'!D189</f>
        <v>0</v>
      </c>
      <c r="E189" s="596" t="str">
        <f>'Corrected and Updated TSF 3'!G189</f>
        <v>E-8L</v>
      </c>
      <c r="F189" s="401" t="str">
        <f>'Corrected and Updated TSF 3'!I189</f>
        <v>Studio</v>
      </c>
      <c r="G189" s="633">
        <f>'Corrected and Updated TSF 3'!J189</f>
        <v>22</v>
      </c>
      <c r="H189" s="633">
        <f>'Corrected and Updated TSF 3'!CG189</f>
        <v>3996388.5406769831</v>
      </c>
      <c r="I189" s="633">
        <f>SUM('Corrected and Updated TSF 3'!CI189:CJ189)</f>
        <v>509539.53893631534</v>
      </c>
      <c r="J189" s="633">
        <f>'Corrected and Updated TSF 3'!CH189</f>
        <v>0</v>
      </c>
      <c r="K189" s="633">
        <f>'Corrected and Updated TSF 3'!CK189</f>
        <v>4505928.0796132982</v>
      </c>
      <c r="L189" s="634">
        <f>'Corrected and Updated TSF 3'!CL189</f>
        <v>0.125</v>
      </c>
      <c r="M189" s="633">
        <f>'Corrected and Updated TSF 3'!CM189</f>
        <v>563241.00995166227</v>
      </c>
      <c r="N189" s="633">
        <f>'Corrected and Updated TSF 3'!CN189</f>
        <v>30000</v>
      </c>
      <c r="O189" s="633">
        <f>'Corrected and Updated TSF 3'!CO189</f>
        <v>533241.00995166227</v>
      </c>
      <c r="P189" s="401">
        <f>'Corrected and Updated TSF 3'!CP189</f>
        <v>29</v>
      </c>
      <c r="Q189" s="633">
        <f>'Corrected and Updated TSF 3'!CQ189</f>
        <v>18387.62103281594</v>
      </c>
      <c r="R189" s="633">
        <f>'Corrected and Updated TSF 3'!CS189</f>
        <v>3942687.0696616359</v>
      </c>
      <c r="S189" s="633">
        <f>'Corrected and Updated TSF 3'!CT189</f>
        <v>30567.610885869661</v>
      </c>
      <c r="T189" s="635">
        <f>'Corrected and Updated TSF 3'!CU189</f>
        <v>35437.986013361908</v>
      </c>
      <c r="U189" s="636">
        <f>'Corrected and Updated TSF 3'!CV189</f>
        <v>45777.939969334584</v>
      </c>
      <c r="V189" s="636">
        <f>'Corrected and Updated TSF 3'!CW189</f>
        <v>78069.929448838971</v>
      </c>
      <c r="W189" s="1102">
        <f>'Corrected and Updated TSF 3'!CX189</f>
        <v>320277.00255578972</v>
      </c>
      <c r="X189" s="1102">
        <f>'Corrected and Updated TSF 3'!CY189</f>
        <v>126732.04975247307</v>
      </c>
      <c r="Y189" s="1102">
        <f>'Corrected and Updated TSF 3'!CZ189</f>
        <v>91536.764605528384</v>
      </c>
      <c r="Z189" s="1102">
        <f>'Corrected and Updated TSF 3'!DA189</f>
        <v>69663.691999798495</v>
      </c>
      <c r="AA189" s="821">
        <f>L189-'Corrected and Updated TSF 3'!CL189</f>
        <v>0</v>
      </c>
      <c r="AB189" s="678">
        <f>N189-'Corrected and Updated TSF 3'!CN189</f>
        <v>0</v>
      </c>
      <c r="AC189" s="678">
        <f>Q189-'Corrected and Updated TSF 3'!CQ189</f>
        <v>0</v>
      </c>
      <c r="AD189" s="775"/>
      <c r="AE189" s="775"/>
      <c r="AF189" s="775"/>
      <c r="AG189" s="775"/>
      <c r="AH189" s="677"/>
      <c r="AI189" s="677"/>
      <c r="AJ189" s="677"/>
      <c r="AK189" s="677"/>
    </row>
    <row r="190" spans="1:37" s="119" customFormat="1" ht="12.75" hidden="1" customHeight="1">
      <c r="A190" s="631" t="str">
        <f t="shared" si="2"/>
        <v>E-8M</v>
      </c>
      <c r="B190" s="632" t="str">
        <f>'Corrected and Updated TSF 3'!EP190</f>
        <v>SOLD</v>
      </c>
      <c r="C190" s="973" t="str">
        <f>'Corrected and Updated TSF 3'!E190</f>
        <v>8th Floor</v>
      </c>
      <c r="D190" s="974">
        <f>'INTERNAL PRICELIST'!D190</f>
        <v>0</v>
      </c>
      <c r="E190" s="975" t="str">
        <f>'Corrected and Updated TSF 3'!G190</f>
        <v>E-8M</v>
      </c>
      <c r="F190" s="976" t="str">
        <f>'Corrected and Updated TSF 3'!I190</f>
        <v>Studio</v>
      </c>
      <c r="G190" s="977">
        <f>'Corrected and Updated TSF 3'!J190</f>
        <v>22</v>
      </c>
      <c r="H190" s="977">
        <f>'Corrected and Updated TSF 3'!CG190</f>
        <v>3954870.9472902995</v>
      </c>
      <c r="I190" s="977">
        <f>SUM('Corrected and Updated TSF 3'!CI190:CJ190)</f>
        <v>504246.0457795132</v>
      </c>
      <c r="J190" s="977">
        <f>'Corrected and Updated TSF 3'!CH190</f>
        <v>0</v>
      </c>
      <c r="K190" s="977">
        <f>'Corrected and Updated TSF 3'!CK190</f>
        <v>4459116.9930698127</v>
      </c>
      <c r="L190" s="978">
        <f>'Corrected and Updated TSF 3'!CL190</f>
        <v>0.125</v>
      </c>
      <c r="M190" s="977">
        <f>'Corrected and Updated TSF 3'!CM190</f>
        <v>557389.62413372658</v>
      </c>
      <c r="N190" s="977">
        <f>'Corrected and Updated TSF 3'!CN190</f>
        <v>30000</v>
      </c>
      <c r="O190" s="977">
        <f>'Corrected and Updated TSF 3'!CO190</f>
        <v>527389.62413372658</v>
      </c>
      <c r="P190" s="976">
        <f>'Corrected and Updated TSF 3'!CP190</f>
        <v>29</v>
      </c>
      <c r="Q190" s="977">
        <f>'Corrected and Updated TSF 3'!CQ190</f>
        <v>18185.849108059538</v>
      </c>
      <c r="R190" s="977">
        <f>'Corrected and Updated TSF 3'!CS190</f>
        <v>3901727.3689360861</v>
      </c>
      <c r="S190" s="977">
        <f>'Corrected and Updated TSF 3'!CT190</f>
        <v>30250.050762111794</v>
      </c>
      <c r="T190" s="636">
        <f>'Corrected and Updated TSF 3'!CU190</f>
        <v>35069.828643584122</v>
      </c>
      <c r="U190" s="636">
        <f>'Corrected and Updated TSF 3'!CV190</f>
        <v>45302.363113285224</v>
      </c>
      <c r="V190" s="636">
        <f>'Corrected and Updated TSF 3'!CW190</f>
        <v>77258.878282619058</v>
      </c>
      <c r="W190" s="1102">
        <f>'Corrected and Updated TSF 3'!CX190</f>
        <v>316949.71587485942</v>
      </c>
      <c r="X190" s="1102">
        <f>'Corrected and Updated TSF 3'!CY190</f>
        <v>125415.45862097293</v>
      </c>
      <c r="Y190" s="1102">
        <f>'Corrected and Updated TSF 3'!CZ190</f>
        <v>90585.809478382245</v>
      </c>
      <c r="Z190" s="1102">
        <f>'Corrected and Updated TSF 3'!DA190</f>
        <v>68939.971368327359</v>
      </c>
      <c r="AA190" s="821">
        <f>L190-'Corrected and Updated TSF 3'!CL190</f>
        <v>0</v>
      </c>
      <c r="AB190" s="678">
        <f>N190-'Corrected and Updated TSF 3'!CN190</f>
        <v>0</v>
      </c>
      <c r="AC190" s="678">
        <f>Q190-'Corrected and Updated TSF 3'!CQ190</f>
        <v>0</v>
      </c>
      <c r="AD190" s="775"/>
      <c r="AE190" s="775"/>
      <c r="AF190" s="775"/>
      <c r="AG190" s="775"/>
      <c r="AH190" s="677"/>
      <c r="AI190" s="677"/>
      <c r="AJ190" s="677"/>
      <c r="AK190" s="677"/>
    </row>
    <row r="191" spans="1:37" s="119" customFormat="1" ht="12.75" hidden="1" customHeight="1">
      <c r="A191" s="631" t="str">
        <f t="shared" si="2"/>
        <v>E-8N</v>
      </c>
      <c r="B191" s="632" t="str">
        <f>'Corrected and Updated TSF 3'!EP191</f>
        <v>SOLD</v>
      </c>
      <c r="C191" s="973" t="str">
        <f>'Corrected and Updated TSF 3'!E191</f>
        <v>8th Floor</v>
      </c>
      <c r="D191" s="974">
        <f>'INTERNAL PRICELIST'!D191</f>
        <v>0</v>
      </c>
      <c r="E191" s="975" t="str">
        <f>'Corrected and Updated TSF 3'!G191</f>
        <v>E-8N</v>
      </c>
      <c r="F191" s="976" t="str">
        <f>'Corrected and Updated TSF 3'!I191</f>
        <v>Studio</v>
      </c>
      <c r="G191" s="977">
        <f>'Corrected and Updated TSF 3'!J191</f>
        <v>22</v>
      </c>
      <c r="H191" s="977">
        <f>'Corrected and Updated TSF 3'!CG191</f>
        <v>3954870.9472902995</v>
      </c>
      <c r="I191" s="977">
        <f>SUM('Corrected and Updated TSF 3'!CI191:CJ191)</f>
        <v>504246.0457795132</v>
      </c>
      <c r="J191" s="977">
        <f>'Corrected and Updated TSF 3'!CH191</f>
        <v>0</v>
      </c>
      <c r="K191" s="977">
        <f>'Corrected and Updated TSF 3'!CK191</f>
        <v>4459116.9930698127</v>
      </c>
      <c r="L191" s="978">
        <f>'Corrected and Updated TSF 3'!CL191</f>
        <v>0.125</v>
      </c>
      <c r="M191" s="977">
        <f>'Corrected and Updated TSF 3'!CM191</f>
        <v>557389.62413372658</v>
      </c>
      <c r="N191" s="977">
        <f>'Corrected and Updated TSF 3'!CN191</f>
        <v>30000</v>
      </c>
      <c r="O191" s="977">
        <f>'Corrected and Updated TSF 3'!CO191</f>
        <v>527389.62413372658</v>
      </c>
      <c r="P191" s="976">
        <f>'Corrected and Updated TSF 3'!CP191</f>
        <v>29</v>
      </c>
      <c r="Q191" s="977">
        <f>'Corrected and Updated TSF 3'!CQ191</f>
        <v>18185.849108059538</v>
      </c>
      <c r="R191" s="977">
        <f>'Corrected and Updated TSF 3'!CS191</f>
        <v>3901727.3689360861</v>
      </c>
      <c r="S191" s="977">
        <f>'Corrected and Updated TSF 3'!CT191</f>
        <v>30250.050762111794</v>
      </c>
      <c r="T191" s="636">
        <f>'Corrected and Updated TSF 3'!CU191</f>
        <v>35069.828643584122</v>
      </c>
      <c r="U191" s="636">
        <f>'Corrected and Updated TSF 3'!CV191</f>
        <v>45302.363113285224</v>
      </c>
      <c r="V191" s="636">
        <f>'Corrected and Updated TSF 3'!CW191</f>
        <v>77258.878282619058</v>
      </c>
      <c r="W191" s="1102">
        <f>'Corrected and Updated TSF 3'!CX191</f>
        <v>316949.71587485942</v>
      </c>
      <c r="X191" s="1102">
        <f>'Corrected and Updated TSF 3'!CY191</f>
        <v>125415.45862097293</v>
      </c>
      <c r="Y191" s="1102">
        <f>'Corrected and Updated TSF 3'!CZ191</f>
        <v>90585.809478382245</v>
      </c>
      <c r="Z191" s="1102">
        <f>'Corrected and Updated TSF 3'!DA191</f>
        <v>68939.971368327359</v>
      </c>
      <c r="AA191" s="821">
        <f>L191-'Corrected and Updated TSF 3'!CL191</f>
        <v>0</v>
      </c>
      <c r="AB191" s="678">
        <f>N191-'Corrected and Updated TSF 3'!CN191</f>
        <v>0</v>
      </c>
      <c r="AC191" s="678">
        <f>Q191-'Corrected and Updated TSF 3'!CQ191</f>
        <v>0</v>
      </c>
      <c r="AD191" s="775"/>
      <c r="AE191" s="775"/>
      <c r="AF191" s="775"/>
      <c r="AG191" s="775"/>
      <c r="AH191" s="677"/>
      <c r="AI191" s="677"/>
      <c r="AJ191" s="677"/>
      <c r="AK191" s="677"/>
    </row>
    <row r="192" spans="1:37" s="119" customFormat="1" ht="12.75" hidden="1" customHeight="1">
      <c r="A192" s="631" t="str">
        <f t="shared" si="2"/>
        <v>E-8O</v>
      </c>
      <c r="B192" s="632" t="str">
        <f>'Corrected and Updated TSF 3'!EP192</f>
        <v>SOLD</v>
      </c>
      <c r="C192" s="973" t="str">
        <f>'Corrected and Updated TSF 3'!E192</f>
        <v>8th Floor</v>
      </c>
      <c r="D192" s="974">
        <f>'INTERNAL PRICELIST'!D192</f>
        <v>0</v>
      </c>
      <c r="E192" s="975" t="str">
        <f>'Corrected and Updated TSF 3'!G192</f>
        <v>E-8O</v>
      </c>
      <c r="F192" s="976" t="str">
        <f>'Corrected and Updated TSF 3'!I192</f>
        <v>Studio</v>
      </c>
      <c r="G192" s="977">
        <f>'Corrected and Updated TSF 3'!J192</f>
        <v>22</v>
      </c>
      <c r="H192" s="977">
        <f>'Corrected and Updated TSF 3'!CG192</f>
        <v>3996388.5406769831</v>
      </c>
      <c r="I192" s="977">
        <f>SUM('Corrected and Updated TSF 3'!CI192:CJ192)</f>
        <v>509539.53893631534</v>
      </c>
      <c r="J192" s="977">
        <f>'Corrected and Updated TSF 3'!CH192</f>
        <v>0</v>
      </c>
      <c r="K192" s="977">
        <f>'Corrected and Updated TSF 3'!CK192</f>
        <v>4505928.0796132982</v>
      </c>
      <c r="L192" s="978">
        <f>'Corrected and Updated TSF 3'!CL192</f>
        <v>0.125</v>
      </c>
      <c r="M192" s="977">
        <f>'Corrected and Updated TSF 3'!CM192</f>
        <v>563241.00995166227</v>
      </c>
      <c r="N192" s="977">
        <f>'Corrected and Updated TSF 3'!CN192</f>
        <v>30000</v>
      </c>
      <c r="O192" s="977">
        <f>'Corrected and Updated TSF 3'!CO192</f>
        <v>533241.00995166227</v>
      </c>
      <c r="P192" s="976">
        <f>'Corrected and Updated TSF 3'!CP192</f>
        <v>29</v>
      </c>
      <c r="Q192" s="977">
        <f>'Corrected and Updated TSF 3'!CQ192</f>
        <v>18387.62103281594</v>
      </c>
      <c r="R192" s="977">
        <f>'Corrected and Updated TSF 3'!CS192</f>
        <v>3942687.0696616359</v>
      </c>
      <c r="S192" s="977">
        <f>'Corrected and Updated TSF 3'!CT192</f>
        <v>30567.610885869661</v>
      </c>
      <c r="T192" s="636">
        <f>'Corrected and Updated TSF 3'!CU192</f>
        <v>35437.986013361908</v>
      </c>
      <c r="U192" s="636">
        <f>'Corrected and Updated TSF 3'!CV192</f>
        <v>45777.939969334584</v>
      </c>
      <c r="V192" s="636">
        <f>'Corrected and Updated TSF 3'!CW192</f>
        <v>78069.929448838971</v>
      </c>
      <c r="W192" s="1102">
        <f>'Corrected and Updated TSF 3'!CX192</f>
        <v>320277.00255578972</v>
      </c>
      <c r="X192" s="1102">
        <f>'Corrected and Updated TSF 3'!CY192</f>
        <v>126732.04975247307</v>
      </c>
      <c r="Y192" s="1102">
        <f>'Corrected and Updated TSF 3'!CZ192</f>
        <v>91536.764605528384</v>
      </c>
      <c r="Z192" s="1102">
        <f>'Corrected and Updated TSF 3'!DA192</f>
        <v>69663.691999798495</v>
      </c>
      <c r="AA192" s="821">
        <f>L192-'Corrected and Updated TSF 3'!CL192</f>
        <v>0</v>
      </c>
      <c r="AB192" s="678">
        <f>N192-'Corrected and Updated TSF 3'!CN192</f>
        <v>0</v>
      </c>
      <c r="AC192" s="678">
        <f>Q192-'Corrected and Updated TSF 3'!CQ192</f>
        <v>0</v>
      </c>
      <c r="AD192" s="775"/>
      <c r="AE192" s="775"/>
      <c r="AF192" s="775"/>
      <c r="AG192" s="775"/>
      <c r="AH192" s="677"/>
      <c r="AI192" s="677"/>
      <c r="AJ192" s="677"/>
      <c r="AK192" s="677"/>
    </row>
    <row r="193" spans="1:47" ht="12.75" hidden="1" customHeight="1">
      <c r="A193" s="631" t="str">
        <f t="shared" si="2"/>
        <v>W-9A</v>
      </c>
      <c r="B193" s="632" t="str">
        <f>'Corrected and Updated TSF 3'!EP193</f>
        <v>SOLD</v>
      </c>
      <c r="C193" s="1161" t="str">
        <f>'Corrected and Updated TSF 3'!E193</f>
        <v>9th Floor</v>
      </c>
      <c r="D193" s="628">
        <f>'INTERNAL PRICELIST'!D193</f>
        <v>0</v>
      </c>
      <c r="E193" s="1146" t="str">
        <f>'Corrected and Updated TSF 3'!G193</f>
        <v>W-9A</v>
      </c>
      <c r="F193" s="1162" t="str">
        <f>'Corrected and Updated TSF 3'!I193</f>
        <v>Studio</v>
      </c>
      <c r="G193" s="1163">
        <f>'Corrected and Updated TSF 3'!J193</f>
        <v>22</v>
      </c>
      <c r="H193" s="1163">
        <f>'Corrected and Updated TSF 3'!CG193</f>
        <v>3971255.4173121247</v>
      </c>
      <c r="I193" s="1163">
        <f>SUM('Corrected and Updated TSF 3'!CI193:CJ193)</f>
        <v>506335.0657072959</v>
      </c>
      <c r="J193" s="633">
        <f>'Corrected and Updated TSF 3'!CH193</f>
        <v>0</v>
      </c>
      <c r="K193" s="1163">
        <f>'Corrected and Updated TSF 3'!CK193</f>
        <v>4477590.4830194209</v>
      </c>
      <c r="L193" s="1164">
        <f>'Corrected and Updated TSF 3'!CL193</f>
        <v>0.125</v>
      </c>
      <c r="M193" s="1163">
        <f>'Corrected and Updated TSF 3'!CM193</f>
        <v>559698.81037742761</v>
      </c>
      <c r="N193" s="1163">
        <f>'Corrected and Updated TSF 3'!CN193</f>
        <v>30000</v>
      </c>
      <c r="O193" s="1163">
        <f>'Corrected and Updated TSF 3'!CO193</f>
        <v>529698.81037742761</v>
      </c>
      <c r="P193" s="1162">
        <f>'Corrected and Updated TSF 3'!CP193</f>
        <v>29</v>
      </c>
      <c r="Q193" s="1163">
        <f>'Corrected and Updated TSF 3'!CQ193</f>
        <v>18265.476219911296</v>
      </c>
      <c r="R193" s="1163">
        <f>'Corrected and Updated TSF 3'!CS193</f>
        <v>3917891.6726419935</v>
      </c>
      <c r="S193" s="1163">
        <f>'Corrected and Updated TSF 3'!CT193</f>
        <v>30375.372436693899</v>
      </c>
      <c r="T193" s="1165">
        <f>'Corrected and Updated TSF 3'!CU193</f>
        <v>35215.117975079258</v>
      </c>
      <c r="U193" s="1166">
        <f>'Corrected and Updated TSF 3'!CV193</f>
        <v>45490.044385377318</v>
      </c>
      <c r="V193" s="1166">
        <f>'Corrected and Updated TSF 3'!CW193</f>
        <v>77578.950869566252</v>
      </c>
      <c r="W193" s="1102">
        <f>'Corrected and Updated TSF 3'!CX193</f>
        <v>318262.79364336049</v>
      </c>
      <c r="X193" s="1102">
        <f>'Corrected and Updated TSF 3'!CY193</f>
        <v>125935.03709759978</v>
      </c>
      <c r="Y193" s="1102">
        <f>'Corrected and Updated TSF 3'!CZ193</f>
        <v>90961.093653158736</v>
      </c>
      <c r="Z193" s="1102">
        <f>'Corrected and Updated TSF 3'!DA193</f>
        <v>69225.579902523343</v>
      </c>
      <c r="AA193" s="821">
        <f>L193-'Corrected and Updated TSF 3'!CL193</f>
        <v>0</v>
      </c>
      <c r="AB193" s="678">
        <f>N193-'Corrected and Updated TSF 3'!CN193</f>
        <v>0</v>
      </c>
      <c r="AC193" s="678">
        <f>Q193-'Corrected and Updated TSF 3'!CQ193</f>
        <v>0</v>
      </c>
      <c r="AD193" s="775"/>
      <c r="AE193" s="775"/>
      <c r="AF193" s="775"/>
      <c r="AG193" s="775"/>
      <c r="AT193" s="521"/>
      <c r="AU193" s="521"/>
    </row>
    <row r="194" spans="1:47" ht="12.75" hidden="1" customHeight="1">
      <c r="A194" s="631" t="str">
        <f t="shared" si="2"/>
        <v>W-9B</v>
      </c>
      <c r="B194" s="632" t="str">
        <f>'Corrected and Updated TSF 3'!EP194</f>
        <v>SOLD</v>
      </c>
      <c r="C194" s="1161" t="str">
        <f>'Corrected and Updated TSF 3'!E194</f>
        <v>9th Floor</v>
      </c>
      <c r="D194" s="628">
        <f>'INTERNAL PRICELIST'!D194</f>
        <v>0</v>
      </c>
      <c r="E194" s="1146" t="str">
        <f>'Corrected and Updated TSF 3'!G194</f>
        <v>W-9B</v>
      </c>
      <c r="F194" s="1162" t="str">
        <f>'Corrected and Updated TSF 3'!I194</f>
        <v>Studio</v>
      </c>
      <c r="G194" s="1163">
        <f>'Corrected and Updated TSF 3'!J194</f>
        <v>22</v>
      </c>
      <c r="H194" s="1163">
        <f>'Corrected and Updated TSF 3'!CG194</f>
        <v>3876701.4338454176</v>
      </c>
      <c r="I194" s="1163">
        <f>SUM('Corrected and Updated TSF 3'!CI194:CJ194)</f>
        <v>494279.43281529075</v>
      </c>
      <c r="J194" s="633">
        <f>'Corrected and Updated TSF 3'!CH194</f>
        <v>0</v>
      </c>
      <c r="K194" s="1163">
        <f>'Corrected and Updated TSF 3'!CK194</f>
        <v>4370980.8666607086</v>
      </c>
      <c r="L194" s="1164">
        <f>'Corrected and Updated TSF 3'!CL194</f>
        <v>0.125</v>
      </c>
      <c r="M194" s="1163">
        <f>'Corrected and Updated TSF 3'!CM194</f>
        <v>546372.60833258857</v>
      </c>
      <c r="N194" s="1163">
        <f>'Corrected and Updated TSF 3'!CN194</f>
        <v>30000</v>
      </c>
      <c r="O194" s="1163">
        <f>'Corrected and Updated TSF 3'!CO194</f>
        <v>516372.60833258857</v>
      </c>
      <c r="P194" s="1162">
        <f>'Corrected and Updated TSF 3'!CP194</f>
        <v>29</v>
      </c>
      <c r="Q194" s="1163">
        <f>'Corrected and Updated TSF 3'!CQ194</f>
        <v>17805.952011468573</v>
      </c>
      <c r="R194" s="1163">
        <f>'Corrected and Updated TSF 3'!CS194</f>
        <v>3824608.2583281202</v>
      </c>
      <c r="S194" s="1163">
        <f>'Corrected and Updated TSF 3'!CT194</f>
        <v>29652.147118409492</v>
      </c>
      <c r="T194" s="1165">
        <f>'Corrected and Updated TSF 3'!CU194</f>
        <v>34376.660275209768</v>
      </c>
      <c r="U194" s="1166">
        <f>'Corrected and Updated TSF 3'!CV194</f>
        <v>44406.94484814685</v>
      </c>
      <c r="V194" s="1166">
        <f>'Corrected and Updated TSF 3'!CW194</f>
        <v>75731.827462215559</v>
      </c>
      <c r="W194" s="1102">
        <f>'Corrected and Updated TSF 3'!CX194</f>
        <v>310685.08539597952</v>
      </c>
      <c r="X194" s="1102">
        <f>'Corrected and Updated TSF 3'!CY194</f>
        <v>122936.57485724729</v>
      </c>
      <c r="Y194" s="1102">
        <f>'Corrected and Updated TSF 3'!CZ194</f>
        <v>88795.34684475635</v>
      </c>
      <c r="Z194" s="1102">
        <f>'Corrected and Updated TSF 3'!DA194</f>
        <v>67577.34687549567</v>
      </c>
      <c r="AA194" s="821">
        <f>L194-'Corrected and Updated TSF 3'!CL194</f>
        <v>0</v>
      </c>
      <c r="AB194" s="678">
        <f>N194-'Corrected and Updated TSF 3'!CN194</f>
        <v>0</v>
      </c>
      <c r="AC194" s="678">
        <f>Q194-'Corrected and Updated TSF 3'!CQ194</f>
        <v>0</v>
      </c>
      <c r="AD194" s="775"/>
      <c r="AE194" s="775"/>
      <c r="AF194" s="775"/>
      <c r="AG194" s="775"/>
      <c r="AT194" s="521"/>
      <c r="AU194" s="521"/>
    </row>
    <row r="195" spans="1:47" ht="12.75" hidden="1" customHeight="1">
      <c r="A195" s="631" t="str">
        <f t="shared" si="2"/>
        <v>W-9C</v>
      </c>
      <c r="B195" s="632" t="str">
        <f>'Corrected and Updated TSF 3'!EP195</f>
        <v>SOLD</v>
      </c>
      <c r="C195" s="820" t="str">
        <f>'Corrected and Updated TSF 3'!E195</f>
        <v>9th Floor</v>
      </c>
      <c r="D195" s="628">
        <f>'INTERNAL PRICELIST'!D195</f>
        <v>0</v>
      </c>
      <c r="E195" s="596" t="str">
        <f>'Corrected and Updated TSF 3'!G195</f>
        <v>W-9C</v>
      </c>
      <c r="F195" s="401" t="str">
        <f>'Corrected and Updated TSF 3'!I195</f>
        <v>Studio</v>
      </c>
      <c r="G195" s="633">
        <f>'Corrected and Updated TSF 3'!J195</f>
        <v>22</v>
      </c>
      <c r="H195" s="633">
        <f>'Corrected and Updated TSF 3'!CG195</f>
        <v>3876701.4338454176</v>
      </c>
      <c r="I195" s="633">
        <f>SUM('Corrected and Updated TSF 3'!CI195:CJ195)</f>
        <v>494279.43281529075</v>
      </c>
      <c r="J195" s="633">
        <f>'Corrected and Updated TSF 3'!CH195</f>
        <v>0</v>
      </c>
      <c r="K195" s="633">
        <f>'Corrected and Updated TSF 3'!CK195</f>
        <v>4370980.8666607086</v>
      </c>
      <c r="L195" s="634">
        <f>'Corrected and Updated TSF 3'!CL195</f>
        <v>0.125</v>
      </c>
      <c r="M195" s="633">
        <f>'Corrected and Updated TSF 3'!CM195</f>
        <v>546372.60833258857</v>
      </c>
      <c r="N195" s="633">
        <f>'Corrected and Updated TSF 3'!CN195</f>
        <v>30000</v>
      </c>
      <c r="O195" s="633">
        <f>'Corrected and Updated TSF 3'!CO195</f>
        <v>516372.60833258857</v>
      </c>
      <c r="P195" s="401">
        <f>'Corrected and Updated TSF 3'!CP195</f>
        <v>29</v>
      </c>
      <c r="Q195" s="633">
        <f>'Corrected and Updated TSF 3'!CQ195</f>
        <v>17805.952011468573</v>
      </c>
      <c r="R195" s="633">
        <f>'Corrected and Updated TSF 3'!CS195</f>
        <v>3824608.2583281202</v>
      </c>
      <c r="S195" s="633">
        <f>'Corrected and Updated TSF 3'!CT195</f>
        <v>29652.147118409492</v>
      </c>
      <c r="T195" s="635">
        <f>'Corrected and Updated TSF 3'!CU195</f>
        <v>34376.660275209768</v>
      </c>
      <c r="U195" s="636">
        <f>'Corrected and Updated TSF 3'!CV195</f>
        <v>44406.94484814685</v>
      </c>
      <c r="V195" s="636">
        <f>'Corrected and Updated TSF 3'!CW195</f>
        <v>75731.827462215559</v>
      </c>
      <c r="W195" s="1102">
        <f>'Corrected and Updated TSF 3'!CX195</f>
        <v>310685.08539597952</v>
      </c>
      <c r="X195" s="1102">
        <f>'Corrected and Updated TSF 3'!CY195</f>
        <v>122936.57485724729</v>
      </c>
      <c r="Y195" s="1102">
        <f>'Corrected and Updated TSF 3'!CZ195</f>
        <v>88795.34684475635</v>
      </c>
      <c r="Z195" s="1102">
        <f>'Corrected and Updated TSF 3'!DA195</f>
        <v>67577.34687549567</v>
      </c>
      <c r="AA195" s="821">
        <f>L195-'Corrected and Updated TSF 3'!CL195</f>
        <v>0</v>
      </c>
      <c r="AB195" s="678">
        <f>N195-'Corrected and Updated TSF 3'!CN195</f>
        <v>0</v>
      </c>
      <c r="AC195" s="678">
        <f>Q195-'Corrected and Updated TSF 3'!CQ195</f>
        <v>0</v>
      </c>
      <c r="AD195" s="775"/>
      <c r="AE195" s="775"/>
      <c r="AF195" s="775"/>
      <c r="AG195" s="775"/>
      <c r="AL195" s="119"/>
      <c r="AM195" s="119"/>
      <c r="AN195" s="119"/>
      <c r="AO195" s="119"/>
      <c r="AP195" s="119"/>
      <c r="AQ195" s="119"/>
      <c r="AR195" s="119"/>
      <c r="AS195" s="119"/>
    </row>
    <row r="196" spans="1:47" ht="12.75" hidden="1" customHeight="1">
      <c r="A196" s="631" t="str">
        <f t="shared" si="2"/>
        <v>W-9D</v>
      </c>
      <c r="B196" s="632" t="str">
        <f>'Corrected and Updated TSF 3'!EP196</f>
        <v>SOLD</v>
      </c>
      <c r="C196" s="820" t="str">
        <f>'Corrected and Updated TSF 3'!E196</f>
        <v>9th Floor</v>
      </c>
      <c r="D196" s="628">
        <f>'INTERNAL PRICELIST'!D196</f>
        <v>0</v>
      </c>
      <c r="E196" s="596" t="str">
        <f>'Corrected and Updated TSF 3'!G196</f>
        <v>W-9D</v>
      </c>
      <c r="F196" s="401" t="str">
        <f>'Corrected and Updated TSF 3'!I196</f>
        <v>Studio</v>
      </c>
      <c r="G196" s="633">
        <f>'Corrected and Updated TSF 3'!J196</f>
        <v>22</v>
      </c>
      <c r="H196" s="633">
        <f>'Corrected and Updated TSF 3'!CG196</f>
        <v>3876701.4338454176</v>
      </c>
      <c r="I196" s="633">
        <f>SUM('Corrected and Updated TSF 3'!CI196:CJ196)</f>
        <v>494279.43281529075</v>
      </c>
      <c r="J196" s="633">
        <f>'Corrected and Updated TSF 3'!CH196</f>
        <v>0</v>
      </c>
      <c r="K196" s="633">
        <f>'Corrected and Updated TSF 3'!CK196</f>
        <v>4370980.8666607086</v>
      </c>
      <c r="L196" s="634">
        <f>'Corrected and Updated TSF 3'!CL196</f>
        <v>0.125</v>
      </c>
      <c r="M196" s="633">
        <f>'Corrected and Updated TSF 3'!CM196</f>
        <v>546372.60833258857</v>
      </c>
      <c r="N196" s="633">
        <f>'Corrected and Updated TSF 3'!CN196</f>
        <v>30000</v>
      </c>
      <c r="O196" s="633">
        <f>'Corrected and Updated TSF 3'!CO196</f>
        <v>516372.60833258857</v>
      </c>
      <c r="P196" s="401">
        <f>'Corrected and Updated TSF 3'!CP196</f>
        <v>29</v>
      </c>
      <c r="Q196" s="633">
        <f>'Corrected and Updated TSF 3'!CQ196</f>
        <v>17805.952011468573</v>
      </c>
      <c r="R196" s="633">
        <f>'Corrected and Updated TSF 3'!CS196</f>
        <v>3824608.2583281202</v>
      </c>
      <c r="S196" s="633">
        <f>'Corrected and Updated TSF 3'!CT196</f>
        <v>29652.147118409492</v>
      </c>
      <c r="T196" s="635">
        <f>'Corrected and Updated TSF 3'!CU196</f>
        <v>34376.660275209768</v>
      </c>
      <c r="U196" s="636">
        <f>'Corrected and Updated TSF 3'!CV196</f>
        <v>44406.94484814685</v>
      </c>
      <c r="V196" s="636">
        <f>'Corrected and Updated TSF 3'!CW196</f>
        <v>75731.827462215559</v>
      </c>
      <c r="W196" s="1102">
        <f>'Corrected and Updated TSF 3'!CX196</f>
        <v>310685.08539597952</v>
      </c>
      <c r="X196" s="1102">
        <f>'Corrected and Updated TSF 3'!CY196</f>
        <v>122936.57485724729</v>
      </c>
      <c r="Y196" s="1102">
        <f>'Corrected and Updated TSF 3'!CZ196</f>
        <v>88795.34684475635</v>
      </c>
      <c r="Z196" s="1102">
        <f>'Corrected and Updated TSF 3'!DA196</f>
        <v>67577.34687549567</v>
      </c>
      <c r="AA196" s="821">
        <f>L196-'Corrected and Updated TSF 3'!CL196</f>
        <v>0</v>
      </c>
      <c r="AB196" s="678">
        <f>N196-'Corrected and Updated TSF 3'!CN196</f>
        <v>0</v>
      </c>
      <c r="AC196" s="678">
        <f>Q196-'Corrected and Updated TSF 3'!CQ196</f>
        <v>0</v>
      </c>
      <c r="AD196" s="775"/>
      <c r="AE196" s="775"/>
      <c r="AF196" s="775"/>
      <c r="AG196" s="775"/>
      <c r="AL196" s="119"/>
      <c r="AM196" s="119"/>
      <c r="AN196" s="119"/>
      <c r="AO196" s="119"/>
      <c r="AP196" s="119"/>
      <c r="AQ196" s="119"/>
      <c r="AR196" s="119"/>
      <c r="AS196" s="119"/>
    </row>
    <row r="197" spans="1:47" ht="12.75" hidden="1" customHeight="1">
      <c r="A197" s="631" t="str">
        <f t="shared" si="2"/>
        <v>W-9E</v>
      </c>
      <c r="B197" s="632" t="str">
        <f>'Corrected and Updated TSF 3'!EP197</f>
        <v>SOLD</v>
      </c>
      <c r="C197" s="820" t="str">
        <f>'Corrected and Updated TSF 3'!E197</f>
        <v>9th Floor</v>
      </c>
      <c r="D197" s="628">
        <f>'INTERNAL PRICELIST'!D197</f>
        <v>0</v>
      </c>
      <c r="E197" s="596" t="str">
        <f>'Corrected and Updated TSF 3'!G197</f>
        <v>W-9E</v>
      </c>
      <c r="F197" s="401" t="str">
        <f>'Corrected and Updated TSF 3'!I197</f>
        <v>Studio</v>
      </c>
      <c r="G197" s="633">
        <f>'Corrected and Updated TSF 3'!J197</f>
        <v>22</v>
      </c>
      <c r="H197" s="633">
        <f>'Corrected and Updated TSF 3'!CG197</f>
        <v>3876701.4338454176</v>
      </c>
      <c r="I197" s="633">
        <f>SUM('Corrected and Updated TSF 3'!CI197:CJ197)</f>
        <v>494279.43281529075</v>
      </c>
      <c r="J197" s="633">
        <f>'Corrected and Updated TSF 3'!CH197</f>
        <v>0</v>
      </c>
      <c r="K197" s="633">
        <f>'Corrected and Updated TSF 3'!CK197</f>
        <v>4370980.8666607086</v>
      </c>
      <c r="L197" s="634">
        <f>'Corrected and Updated TSF 3'!CL197</f>
        <v>0.125</v>
      </c>
      <c r="M197" s="633">
        <f>'Corrected and Updated TSF 3'!CM197</f>
        <v>546372.60833258857</v>
      </c>
      <c r="N197" s="633">
        <f>'Corrected and Updated TSF 3'!CN197</f>
        <v>30000</v>
      </c>
      <c r="O197" s="633">
        <f>'Corrected and Updated TSF 3'!CO197</f>
        <v>516372.60833258857</v>
      </c>
      <c r="P197" s="401">
        <f>'Corrected and Updated TSF 3'!CP197</f>
        <v>29</v>
      </c>
      <c r="Q197" s="633">
        <f>'Corrected and Updated TSF 3'!CQ197</f>
        <v>17805.952011468573</v>
      </c>
      <c r="R197" s="633">
        <f>'Corrected and Updated TSF 3'!CS197</f>
        <v>3824608.2583281202</v>
      </c>
      <c r="S197" s="633">
        <f>'Corrected and Updated TSF 3'!CT197</f>
        <v>29652.147118409492</v>
      </c>
      <c r="T197" s="635">
        <f>'Corrected and Updated TSF 3'!CU197</f>
        <v>34376.660275209768</v>
      </c>
      <c r="U197" s="636">
        <f>'Corrected and Updated TSF 3'!CV197</f>
        <v>44406.94484814685</v>
      </c>
      <c r="V197" s="636">
        <f>'Corrected and Updated TSF 3'!CW197</f>
        <v>75731.827462215559</v>
      </c>
      <c r="W197" s="1102">
        <f>'Corrected and Updated TSF 3'!CX197</f>
        <v>310685.08539597952</v>
      </c>
      <c r="X197" s="1102">
        <f>'Corrected and Updated TSF 3'!CY197</f>
        <v>122936.57485724729</v>
      </c>
      <c r="Y197" s="1102">
        <f>'Corrected and Updated TSF 3'!CZ197</f>
        <v>88795.34684475635</v>
      </c>
      <c r="Z197" s="1102">
        <f>'Corrected and Updated TSF 3'!DA197</f>
        <v>67577.34687549567</v>
      </c>
      <c r="AA197" s="821">
        <f>L197-'Corrected and Updated TSF 3'!CL197</f>
        <v>0</v>
      </c>
      <c r="AB197" s="678">
        <f>N197-'Corrected and Updated TSF 3'!CN197</f>
        <v>0</v>
      </c>
      <c r="AC197" s="678">
        <f>Q197-'Corrected and Updated TSF 3'!CQ197</f>
        <v>0</v>
      </c>
      <c r="AD197" s="775"/>
      <c r="AE197" s="775"/>
      <c r="AF197" s="775"/>
      <c r="AG197" s="775"/>
      <c r="AL197" s="119"/>
      <c r="AM197" s="119"/>
      <c r="AN197" s="119"/>
      <c r="AO197" s="119"/>
      <c r="AP197" s="119"/>
      <c r="AQ197" s="119"/>
      <c r="AR197" s="119"/>
      <c r="AS197" s="119"/>
    </row>
    <row r="198" spans="1:47" ht="12.75" hidden="1" customHeight="1">
      <c r="A198" s="631" t="str">
        <f t="shared" si="2"/>
        <v>W-9F</v>
      </c>
      <c r="B198" s="632" t="str">
        <f>'Corrected and Updated TSF 3'!EP198</f>
        <v>SOLD</v>
      </c>
      <c r="C198" s="820" t="str">
        <f>'Corrected and Updated TSF 3'!E198</f>
        <v>9th Floor</v>
      </c>
      <c r="D198" s="628">
        <f>'INTERNAL PRICELIST'!D198</f>
        <v>0</v>
      </c>
      <c r="E198" s="596" t="str">
        <f>'Corrected and Updated TSF 3'!G198</f>
        <v>W-9F</v>
      </c>
      <c r="F198" s="401" t="str">
        <f>'Corrected and Updated TSF 3'!I198</f>
        <v>Studio</v>
      </c>
      <c r="G198" s="633">
        <f>'Corrected and Updated TSF 3'!J198</f>
        <v>22</v>
      </c>
      <c r="H198" s="633">
        <f>'Corrected and Updated TSF 3'!CG198</f>
        <v>3876701.4338454176</v>
      </c>
      <c r="I198" s="633">
        <f>SUM('Corrected and Updated TSF 3'!CI198:CJ198)</f>
        <v>494279.43281529075</v>
      </c>
      <c r="J198" s="633">
        <f>'Corrected and Updated TSF 3'!CH198</f>
        <v>0</v>
      </c>
      <c r="K198" s="633">
        <f>'Corrected and Updated TSF 3'!CK198</f>
        <v>4370980.8666607086</v>
      </c>
      <c r="L198" s="634">
        <f>'Corrected and Updated TSF 3'!CL198</f>
        <v>0.125</v>
      </c>
      <c r="M198" s="633">
        <f>'Corrected and Updated TSF 3'!CM198</f>
        <v>546372.60833258857</v>
      </c>
      <c r="N198" s="633">
        <f>'Corrected and Updated TSF 3'!CN198</f>
        <v>30000</v>
      </c>
      <c r="O198" s="633">
        <f>'Corrected and Updated TSF 3'!CO198</f>
        <v>516372.60833258857</v>
      </c>
      <c r="P198" s="401">
        <f>'Corrected and Updated TSF 3'!CP198</f>
        <v>29</v>
      </c>
      <c r="Q198" s="633">
        <f>'Corrected and Updated TSF 3'!CQ198</f>
        <v>17805.952011468573</v>
      </c>
      <c r="R198" s="633">
        <f>'Corrected and Updated TSF 3'!CS198</f>
        <v>3824608.2583281202</v>
      </c>
      <c r="S198" s="633">
        <f>'Corrected and Updated TSF 3'!CT198</f>
        <v>29652.147118409492</v>
      </c>
      <c r="T198" s="635">
        <f>'Corrected and Updated TSF 3'!CU198</f>
        <v>34376.660275209768</v>
      </c>
      <c r="U198" s="636">
        <f>'Corrected and Updated TSF 3'!CV198</f>
        <v>44406.94484814685</v>
      </c>
      <c r="V198" s="636">
        <f>'Corrected and Updated TSF 3'!CW198</f>
        <v>75731.827462215559</v>
      </c>
      <c r="W198" s="1102">
        <f>'Corrected and Updated TSF 3'!CX198</f>
        <v>310685.08539597952</v>
      </c>
      <c r="X198" s="1102">
        <f>'Corrected and Updated TSF 3'!CY198</f>
        <v>122936.57485724729</v>
      </c>
      <c r="Y198" s="1102">
        <f>'Corrected and Updated TSF 3'!CZ198</f>
        <v>88795.34684475635</v>
      </c>
      <c r="Z198" s="1102">
        <f>'Corrected and Updated TSF 3'!DA198</f>
        <v>67577.34687549567</v>
      </c>
      <c r="AA198" s="821">
        <f>L198-'Corrected and Updated TSF 3'!CL198</f>
        <v>0</v>
      </c>
      <c r="AB198" s="678">
        <f>N198-'Corrected and Updated TSF 3'!CN198</f>
        <v>0</v>
      </c>
      <c r="AC198" s="678">
        <f>Q198-'Corrected and Updated TSF 3'!CQ198</f>
        <v>0</v>
      </c>
      <c r="AD198" s="775"/>
      <c r="AE198" s="775"/>
      <c r="AF198" s="775"/>
      <c r="AG198" s="775"/>
      <c r="AL198" s="119"/>
      <c r="AM198" s="119"/>
      <c r="AN198" s="119"/>
      <c r="AO198" s="119"/>
      <c r="AP198" s="119"/>
      <c r="AQ198" s="119"/>
      <c r="AR198" s="119"/>
      <c r="AS198" s="119"/>
    </row>
    <row r="199" spans="1:47" ht="12.75" hidden="1" customHeight="1">
      <c r="A199" s="631" t="str">
        <f t="shared" si="2"/>
        <v>W-9G</v>
      </c>
      <c r="B199" s="632" t="str">
        <f>'Corrected and Updated TSF 3'!EP199</f>
        <v>SOLD</v>
      </c>
      <c r="C199" s="820" t="str">
        <f>'Corrected and Updated TSF 3'!E199</f>
        <v>9th Floor</v>
      </c>
      <c r="D199" s="628">
        <f>'INTERNAL PRICELIST'!D199</f>
        <v>0</v>
      </c>
      <c r="E199" s="596" t="str">
        <f>'Corrected and Updated TSF 3'!G199</f>
        <v>W-9G</v>
      </c>
      <c r="F199" s="401" t="str">
        <f>'Corrected and Updated TSF 3'!I199</f>
        <v>Studio</v>
      </c>
      <c r="G199" s="633">
        <f>'Corrected and Updated TSF 3'!J199</f>
        <v>22</v>
      </c>
      <c r="H199" s="633">
        <f>'Corrected and Updated TSF 3'!CG199</f>
        <v>3876701.4338454176</v>
      </c>
      <c r="I199" s="633">
        <f>SUM('Corrected and Updated TSF 3'!CI199:CJ199)</f>
        <v>494279.43281529075</v>
      </c>
      <c r="J199" s="633">
        <f>'Corrected and Updated TSF 3'!CH199</f>
        <v>0</v>
      </c>
      <c r="K199" s="633">
        <f>'Corrected and Updated TSF 3'!CK199</f>
        <v>4370980.8666607086</v>
      </c>
      <c r="L199" s="634">
        <f>'Corrected and Updated TSF 3'!CL199</f>
        <v>0.125</v>
      </c>
      <c r="M199" s="633">
        <f>'Corrected and Updated TSF 3'!CM199</f>
        <v>546372.60833258857</v>
      </c>
      <c r="N199" s="633">
        <f>'Corrected and Updated TSF 3'!CN199</f>
        <v>30000</v>
      </c>
      <c r="O199" s="633">
        <f>'Corrected and Updated TSF 3'!CO199</f>
        <v>516372.60833258857</v>
      </c>
      <c r="P199" s="401">
        <f>'Corrected and Updated TSF 3'!CP199</f>
        <v>29</v>
      </c>
      <c r="Q199" s="633">
        <f>'Corrected and Updated TSF 3'!CQ199</f>
        <v>17805.952011468573</v>
      </c>
      <c r="R199" s="633">
        <f>'Corrected and Updated TSF 3'!CS199</f>
        <v>3824608.2583281202</v>
      </c>
      <c r="S199" s="633">
        <f>'Corrected and Updated TSF 3'!CT199</f>
        <v>29652.147118409492</v>
      </c>
      <c r="T199" s="635">
        <f>'Corrected and Updated TSF 3'!CU199</f>
        <v>34376.660275209768</v>
      </c>
      <c r="U199" s="636">
        <f>'Corrected and Updated TSF 3'!CV199</f>
        <v>44406.94484814685</v>
      </c>
      <c r="V199" s="636">
        <f>'Corrected and Updated TSF 3'!CW199</f>
        <v>75731.827462215559</v>
      </c>
      <c r="W199" s="1102">
        <f>'Corrected and Updated TSF 3'!CX199</f>
        <v>310685.08539597952</v>
      </c>
      <c r="X199" s="1102">
        <f>'Corrected and Updated TSF 3'!CY199</f>
        <v>122936.57485724729</v>
      </c>
      <c r="Y199" s="1102">
        <f>'Corrected and Updated TSF 3'!CZ199</f>
        <v>88795.34684475635</v>
      </c>
      <c r="Z199" s="1102">
        <f>'Corrected and Updated TSF 3'!DA199</f>
        <v>67577.34687549567</v>
      </c>
      <c r="AA199" s="821">
        <f>L199-'Corrected and Updated TSF 3'!CL199</f>
        <v>0</v>
      </c>
      <c r="AB199" s="678">
        <f>N199-'Corrected and Updated TSF 3'!CN199</f>
        <v>0</v>
      </c>
      <c r="AC199" s="678">
        <f>Q199-'Corrected and Updated TSF 3'!CQ199</f>
        <v>0</v>
      </c>
      <c r="AD199" s="775"/>
      <c r="AE199" s="775"/>
      <c r="AF199" s="775"/>
      <c r="AG199" s="775"/>
      <c r="AL199" s="119"/>
      <c r="AM199" s="119"/>
      <c r="AN199" s="119"/>
      <c r="AO199" s="119"/>
      <c r="AP199" s="119"/>
      <c r="AQ199" s="119"/>
      <c r="AR199" s="119"/>
      <c r="AS199" s="119"/>
    </row>
    <row r="200" spans="1:47" ht="12.75" hidden="1" customHeight="1">
      <c r="A200" s="631" t="str">
        <f t="shared" ref="A200:A263" si="3">E200</f>
        <v>W-9H</v>
      </c>
      <c r="B200" s="632" t="str">
        <f>'Corrected and Updated TSF 3'!EP200</f>
        <v>SOLD</v>
      </c>
      <c r="C200" s="820" t="str">
        <f>'Corrected and Updated TSF 3'!E200</f>
        <v>9th Floor</v>
      </c>
      <c r="D200" s="628">
        <f>'INTERNAL PRICELIST'!D200</f>
        <v>0</v>
      </c>
      <c r="E200" s="596" t="str">
        <f>'Corrected and Updated TSF 3'!G200</f>
        <v>W-9H</v>
      </c>
      <c r="F200" s="401" t="str">
        <f>'Corrected and Updated TSF 3'!I200</f>
        <v>Studio</v>
      </c>
      <c r="G200" s="633">
        <f>'Corrected and Updated TSF 3'!J200</f>
        <v>22</v>
      </c>
      <c r="H200" s="633">
        <f>'Corrected and Updated TSF 3'!CG200</f>
        <v>3876701.4338454176</v>
      </c>
      <c r="I200" s="633">
        <f>SUM('Corrected and Updated TSF 3'!CI200:CJ200)</f>
        <v>494279.43281529075</v>
      </c>
      <c r="J200" s="633">
        <f>'Corrected and Updated TSF 3'!CH200</f>
        <v>0</v>
      </c>
      <c r="K200" s="633">
        <f>'Corrected and Updated TSF 3'!CK200</f>
        <v>4370980.8666607086</v>
      </c>
      <c r="L200" s="634">
        <f>'Corrected and Updated TSF 3'!CL200</f>
        <v>0.125</v>
      </c>
      <c r="M200" s="633">
        <f>'Corrected and Updated TSF 3'!CM200</f>
        <v>546372.60833258857</v>
      </c>
      <c r="N200" s="633">
        <f>'Corrected and Updated TSF 3'!CN200</f>
        <v>30000</v>
      </c>
      <c r="O200" s="633">
        <f>'Corrected and Updated TSF 3'!CO200</f>
        <v>516372.60833258857</v>
      </c>
      <c r="P200" s="401">
        <f>'Corrected and Updated TSF 3'!CP200</f>
        <v>29</v>
      </c>
      <c r="Q200" s="633">
        <f>'Corrected and Updated TSF 3'!CQ200</f>
        <v>17805.952011468573</v>
      </c>
      <c r="R200" s="633">
        <f>'Corrected and Updated TSF 3'!CS200</f>
        <v>3824608.2583281202</v>
      </c>
      <c r="S200" s="633">
        <f>'Corrected and Updated TSF 3'!CT200</f>
        <v>29652.147118409492</v>
      </c>
      <c r="T200" s="635">
        <f>'Corrected and Updated TSF 3'!CU200</f>
        <v>34376.660275209768</v>
      </c>
      <c r="U200" s="636">
        <f>'Corrected and Updated TSF 3'!CV200</f>
        <v>44406.94484814685</v>
      </c>
      <c r="V200" s="636">
        <f>'Corrected and Updated TSF 3'!CW200</f>
        <v>75731.827462215559</v>
      </c>
      <c r="W200" s="1102">
        <f>'Corrected and Updated TSF 3'!CX200</f>
        <v>310685.08539597952</v>
      </c>
      <c r="X200" s="1102">
        <f>'Corrected and Updated TSF 3'!CY200</f>
        <v>122936.57485724729</v>
      </c>
      <c r="Y200" s="1102">
        <f>'Corrected and Updated TSF 3'!CZ200</f>
        <v>88795.34684475635</v>
      </c>
      <c r="Z200" s="1102">
        <f>'Corrected and Updated TSF 3'!DA200</f>
        <v>67577.34687549567</v>
      </c>
      <c r="AA200" s="821">
        <f>L200-'Corrected and Updated TSF 3'!CL200</f>
        <v>0</v>
      </c>
      <c r="AB200" s="678">
        <f>N200-'Corrected and Updated TSF 3'!CN200</f>
        <v>0</v>
      </c>
      <c r="AC200" s="678">
        <f>Q200-'Corrected and Updated TSF 3'!CQ200</f>
        <v>0</v>
      </c>
      <c r="AD200" s="775"/>
      <c r="AE200" s="775"/>
      <c r="AF200" s="775"/>
      <c r="AG200" s="775"/>
      <c r="AL200" s="119"/>
      <c r="AM200" s="119"/>
      <c r="AN200" s="119"/>
      <c r="AO200" s="119"/>
      <c r="AP200" s="119"/>
      <c r="AQ200" s="119"/>
      <c r="AR200" s="119"/>
      <c r="AS200" s="119"/>
    </row>
    <row r="201" spans="1:47" ht="12.75" hidden="1" customHeight="1">
      <c r="A201" s="631" t="str">
        <f t="shared" si="3"/>
        <v>W-9I</v>
      </c>
      <c r="B201" s="632" t="str">
        <f>'Corrected and Updated TSF 3'!EP201</f>
        <v>SOLD</v>
      </c>
      <c r="C201" s="820" t="str">
        <f>'Corrected and Updated TSF 3'!E201</f>
        <v>9th Floor</v>
      </c>
      <c r="D201" s="628">
        <f>'INTERNAL PRICELIST'!D201</f>
        <v>0</v>
      </c>
      <c r="E201" s="596" t="str">
        <f>'Corrected and Updated TSF 3'!G201</f>
        <v>W-9I</v>
      </c>
      <c r="F201" s="401" t="str">
        <f>'Corrected and Updated TSF 3'!I201</f>
        <v>Studio</v>
      </c>
      <c r="G201" s="633">
        <f>'Corrected and Updated TSF 3'!J201</f>
        <v>22</v>
      </c>
      <c r="H201" s="633">
        <f>'Corrected and Updated TSF 3'!CG201</f>
        <v>3876701.4338454176</v>
      </c>
      <c r="I201" s="633">
        <f>SUM('Corrected and Updated TSF 3'!CI201:CJ201)</f>
        <v>494279.43281529075</v>
      </c>
      <c r="J201" s="633">
        <f>'Corrected and Updated TSF 3'!CH201</f>
        <v>0</v>
      </c>
      <c r="K201" s="633">
        <f>'Corrected and Updated TSF 3'!CK201</f>
        <v>4370980.8666607086</v>
      </c>
      <c r="L201" s="634">
        <f>'Corrected and Updated TSF 3'!CL201</f>
        <v>0.125</v>
      </c>
      <c r="M201" s="633">
        <f>'Corrected and Updated TSF 3'!CM201</f>
        <v>546372.60833258857</v>
      </c>
      <c r="N201" s="633">
        <f>'Corrected and Updated TSF 3'!CN201</f>
        <v>30000</v>
      </c>
      <c r="O201" s="633">
        <f>'Corrected and Updated TSF 3'!CO201</f>
        <v>516372.60833258857</v>
      </c>
      <c r="P201" s="401">
        <f>'Corrected and Updated TSF 3'!CP201</f>
        <v>29</v>
      </c>
      <c r="Q201" s="633">
        <f>'Corrected and Updated TSF 3'!CQ201</f>
        <v>17805.952011468573</v>
      </c>
      <c r="R201" s="633">
        <f>'Corrected and Updated TSF 3'!CS201</f>
        <v>3824608.2583281202</v>
      </c>
      <c r="S201" s="633">
        <f>'Corrected and Updated TSF 3'!CT201</f>
        <v>29652.147118409492</v>
      </c>
      <c r="T201" s="635">
        <f>'Corrected and Updated TSF 3'!CU201</f>
        <v>34376.660275209768</v>
      </c>
      <c r="U201" s="636">
        <f>'Corrected and Updated TSF 3'!CV201</f>
        <v>44406.94484814685</v>
      </c>
      <c r="V201" s="636">
        <f>'Corrected and Updated TSF 3'!CW201</f>
        <v>75731.827462215559</v>
      </c>
      <c r="W201" s="1102">
        <f>'Corrected and Updated TSF 3'!CX201</f>
        <v>310685.08539597952</v>
      </c>
      <c r="X201" s="1102">
        <f>'Corrected and Updated TSF 3'!CY201</f>
        <v>122936.57485724729</v>
      </c>
      <c r="Y201" s="1102">
        <f>'Corrected and Updated TSF 3'!CZ201</f>
        <v>88795.34684475635</v>
      </c>
      <c r="Z201" s="1102">
        <f>'Corrected and Updated TSF 3'!DA201</f>
        <v>67577.34687549567</v>
      </c>
      <c r="AA201" s="821">
        <f>L201-'Corrected and Updated TSF 3'!CL201</f>
        <v>0</v>
      </c>
      <c r="AB201" s="678">
        <f>N201-'Corrected and Updated TSF 3'!CN201</f>
        <v>0</v>
      </c>
      <c r="AC201" s="678">
        <f>Q201-'Corrected and Updated TSF 3'!CQ201</f>
        <v>0</v>
      </c>
      <c r="AD201" s="775"/>
      <c r="AE201" s="775"/>
      <c r="AF201" s="775"/>
      <c r="AG201" s="775"/>
      <c r="AL201" s="119"/>
      <c r="AM201" s="119"/>
      <c r="AN201" s="119"/>
      <c r="AO201" s="119"/>
      <c r="AP201" s="119"/>
      <c r="AQ201" s="119"/>
      <c r="AR201" s="119"/>
      <c r="AS201" s="119"/>
    </row>
    <row r="202" spans="1:47" s="1148" customFormat="1" ht="12.75" hidden="1" customHeight="1">
      <c r="A202" s="631" t="str">
        <f t="shared" si="3"/>
        <v>W-9J</v>
      </c>
      <c r="B202" s="632" t="str">
        <f>'Corrected and Updated TSF 3'!EP202</f>
        <v>SOLD</v>
      </c>
      <c r="C202" s="1167" t="str">
        <f>'Corrected and Updated TSF 3'!E202</f>
        <v>9th Floor</v>
      </c>
      <c r="D202" s="974">
        <f>'INTERNAL PRICELIST'!D202</f>
        <v>0</v>
      </c>
      <c r="E202" s="1134" t="str">
        <f>'Corrected and Updated TSF 3'!G202</f>
        <v>W-9J</v>
      </c>
      <c r="F202" s="1168" t="str">
        <f>'Corrected and Updated TSF 3'!I202</f>
        <v>Studio</v>
      </c>
      <c r="G202" s="1169">
        <f>'Corrected and Updated TSF 3'!J202</f>
        <v>22</v>
      </c>
      <c r="H202" s="1169">
        <f>'Corrected and Updated TSF 3'!CG202</f>
        <v>3914259.0272321003</v>
      </c>
      <c r="I202" s="1169">
        <f>SUM('Corrected and Updated TSF 3'!CI202:CJ202)</f>
        <v>499068.02597209276</v>
      </c>
      <c r="J202" s="977">
        <f>'Corrected and Updated TSF 3'!CH202</f>
        <v>0</v>
      </c>
      <c r="K202" s="1169">
        <f>'Corrected and Updated TSF 3'!CK202</f>
        <v>4413327.0532041937</v>
      </c>
      <c r="L202" s="1170">
        <f>'Corrected and Updated TSF 3'!CL202</f>
        <v>0.125</v>
      </c>
      <c r="M202" s="1169">
        <f>'Corrected and Updated TSF 3'!CM202</f>
        <v>551665.88165052421</v>
      </c>
      <c r="N202" s="1169">
        <f>'Corrected and Updated TSF 3'!CN202</f>
        <v>30000</v>
      </c>
      <c r="O202" s="1169">
        <f>'Corrected and Updated TSF 3'!CO202</f>
        <v>521665.88165052421</v>
      </c>
      <c r="P202" s="1168">
        <f>'Corrected and Updated TSF 3'!CP202</f>
        <v>29</v>
      </c>
      <c r="Q202" s="1169">
        <f>'Corrected and Updated TSF 3'!CQ202</f>
        <v>17988.478677604282</v>
      </c>
      <c r="R202" s="1169">
        <f>'Corrected and Updated TSF 3'!CS202</f>
        <v>3861661.1715536695</v>
      </c>
      <c r="S202" s="1169">
        <f>'Corrected and Updated TSF 3'!CT202</f>
        <v>29939.417960262963</v>
      </c>
      <c r="T202" s="1166">
        <f>'Corrected and Updated TSF 3'!CU202</f>
        <v>34709.702334455425</v>
      </c>
      <c r="U202" s="1166">
        <f>'Corrected and Updated TSF 3'!CV202</f>
        <v>44837.160588670667</v>
      </c>
      <c r="V202" s="1166">
        <f>'Corrected and Updated TSF 3'!CW202</f>
        <v>76465.519553492995</v>
      </c>
      <c r="W202" s="1102">
        <f>'Corrected and Updated TSF 3'!CX202</f>
        <v>313695.01131050492</v>
      </c>
      <c r="X202" s="1102">
        <f>'Corrected and Updated TSF 3'!CY202</f>
        <v>124127.58787943407</v>
      </c>
      <c r="Y202" s="1102">
        <f>'Corrected and Updated TSF 3'!CZ202</f>
        <v>89655.598682132651</v>
      </c>
      <c r="Z202" s="1102">
        <f>'Corrected and Updated TSF 3'!DA202</f>
        <v>68232.038127688167</v>
      </c>
      <c r="AA202" s="821">
        <f>L202-'Corrected and Updated TSF 3'!CL202</f>
        <v>0</v>
      </c>
      <c r="AB202" s="678">
        <f>N202-'Corrected and Updated TSF 3'!CN202</f>
        <v>0</v>
      </c>
      <c r="AC202" s="678">
        <f>Q202-'Corrected and Updated TSF 3'!CQ202</f>
        <v>0</v>
      </c>
      <c r="AD202" s="775"/>
      <c r="AE202" s="775"/>
      <c r="AF202" s="775"/>
      <c r="AG202" s="775"/>
      <c r="AH202" s="677"/>
      <c r="AI202" s="677"/>
      <c r="AJ202" s="677"/>
      <c r="AK202" s="677"/>
      <c r="AL202" s="521"/>
      <c r="AM202" s="521"/>
      <c r="AN202" s="521"/>
      <c r="AO202" s="521"/>
      <c r="AP202" s="521"/>
      <c r="AQ202" s="521"/>
      <c r="AR202" s="521"/>
      <c r="AS202" s="521"/>
      <c r="AT202" s="521"/>
      <c r="AU202" s="521"/>
    </row>
    <row r="203" spans="1:47" ht="12.75" hidden="1" customHeight="1">
      <c r="A203" s="631" t="str">
        <f t="shared" si="3"/>
        <v>W-9K</v>
      </c>
      <c r="B203" s="632" t="str">
        <f>'Corrected and Updated TSF 3'!EP203</f>
        <v>SOLD</v>
      </c>
      <c r="C203" s="973" t="str">
        <f>'Corrected and Updated TSF 3'!E203</f>
        <v>9th Floor</v>
      </c>
      <c r="D203" s="974">
        <f>'INTERNAL PRICELIST'!D203</f>
        <v>0</v>
      </c>
      <c r="E203" s="975" t="str">
        <f>'Corrected and Updated TSF 3'!G203</f>
        <v>W-9K</v>
      </c>
      <c r="F203" s="976" t="str">
        <f>'Corrected and Updated TSF 3'!I203</f>
        <v>Studio</v>
      </c>
      <c r="G203" s="977">
        <f>'Corrected and Updated TSF 3'!J203</f>
        <v>22</v>
      </c>
      <c r="H203" s="977">
        <f>'Corrected and Updated TSF 3'!CG203</f>
        <v>3876701.4338454176</v>
      </c>
      <c r="I203" s="977">
        <f>SUM('Corrected and Updated TSF 3'!CI203:CJ203)</f>
        <v>494279.43281529075</v>
      </c>
      <c r="J203" s="977">
        <f>'Corrected and Updated TSF 3'!CH203</f>
        <v>0</v>
      </c>
      <c r="K203" s="977">
        <f>'Corrected and Updated TSF 3'!CK203</f>
        <v>4370980.8666607086</v>
      </c>
      <c r="L203" s="978">
        <f>'Corrected and Updated TSF 3'!CL203</f>
        <v>0.125</v>
      </c>
      <c r="M203" s="977">
        <f>'Corrected and Updated TSF 3'!CM203</f>
        <v>546372.60833258857</v>
      </c>
      <c r="N203" s="977">
        <f>'Corrected and Updated TSF 3'!CN203</f>
        <v>30000</v>
      </c>
      <c r="O203" s="977">
        <f>'Corrected and Updated TSF 3'!CO203</f>
        <v>516372.60833258857</v>
      </c>
      <c r="P203" s="976">
        <f>'Corrected and Updated TSF 3'!CP203</f>
        <v>29</v>
      </c>
      <c r="Q203" s="977">
        <f>'Corrected and Updated TSF 3'!CQ203</f>
        <v>17805.952011468573</v>
      </c>
      <c r="R203" s="977">
        <f>'Corrected and Updated TSF 3'!CS203</f>
        <v>3824608.2583281202</v>
      </c>
      <c r="S203" s="977">
        <f>'Corrected and Updated TSF 3'!CT203</f>
        <v>29652.147118409492</v>
      </c>
      <c r="T203" s="636">
        <f>'Corrected and Updated TSF 3'!CU203</f>
        <v>34376.660275209768</v>
      </c>
      <c r="U203" s="636">
        <f>'Corrected and Updated TSF 3'!CV203</f>
        <v>44406.94484814685</v>
      </c>
      <c r="V203" s="636">
        <f>'Corrected and Updated TSF 3'!CW203</f>
        <v>75731.827462215559</v>
      </c>
      <c r="W203" s="1102">
        <f>'Corrected and Updated TSF 3'!CX203</f>
        <v>310685.08539597952</v>
      </c>
      <c r="X203" s="1102">
        <f>'Corrected and Updated TSF 3'!CY203</f>
        <v>122936.57485724729</v>
      </c>
      <c r="Y203" s="1102">
        <f>'Corrected and Updated TSF 3'!CZ203</f>
        <v>88795.34684475635</v>
      </c>
      <c r="Z203" s="1102">
        <f>'Corrected and Updated TSF 3'!DA203</f>
        <v>67577.34687549567</v>
      </c>
      <c r="AA203" s="821">
        <f>L203-'Corrected and Updated TSF 3'!CL203</f>
        <v>0</v>
      </c>
      <c r="AB203" s="678">
        <f>N203-'Corrected and Updated TSF 3'!CN203</f>
        <v>0</v>
      </c>
      <c r="AC203" s="678">
        <f>Q203-'Corrected and Updated TSF 3'!CQ203</f>
        <v>0</v>
      </c>
      <c r="AD203" s="775"/>
      <c r="AE203" s="775"/>
      <c r="AF203" s="775"/>
      <c r="AG203" s="775"/>
      <c r="AL203" s="119"/>
      <c r="AM203" s="119"/>
      <c r="AN203" s="119"/>
      <c r="AO203" s="119"/>
      <c r="AP203" s="119"/>
      <c r="AQ203" s="119"/>
      <c r="AR203" s="119"/>
      <c r="AS203" s="119"/>
    </row>
    <row r="204" spans="1:47" ht="12.75" hidden="1" customHeight="1">
      <c r="A204" s="631" t="str">
        <f t="shared" si="3"/>
        <v>W-9L</v>
      </c>
      <c r="B204" s="632" t="str">
        <f>'Corrected and Updated TSF 3'!EP204</f>
        <v>SOLD</v>
      </c>
      <c r="C204" s="973" t="str">
        <f>'Corrected and Updated TSF 3'!E204</f>
        <v>9th Floor</v>
      </c>
      <c r="D204" s="974">
        <f>'INTERNAL PRICELIST'!D204</f>
        <v>0</v>
      </c>
      <c r="E204" s="975" t="str">
        <f>'Corrected and Updated TSF 3'!G204</f>
        <v>W-9L</v>
      </c>
      <c r="F204" s="976" t="str">
        <f>'Corrected and Updated TSF 3'!I204</f>
        <v>Studio</v>
      </c>
      <c r="G204" s="977">
        <f>'Corrected and Updated TSF 3'!J204</f>
        <v>22</v>
      </c>
      <c r="H204" s="977">
        <f>'Corrected and Updated TSF 3'!CG204</f>
        <v>3876701.4338454176</v>
      </c>
      <c r="I204" s="977">
        <f>SUM('Corrected and Updated TSF 3'!CI204:CJ204)</f>
        <v>494279.43281529075</v>
      </c>
      <c r="J204" s="977">
        <f>'Corrected and Updated TSF 3'!CH204</f>
        <v>0</v>
      </c>
      <c r="K204" s="977">
        <f>'Corrected and Updated TSF 3'!CK204</f>
        <v>4370980.8666607086</v>
      </c>
      <c r="L204" s="978">
        <f>'Corrected and Updated TSF 3'!CL204</f>
        <v>0.125</v>
      </c>
      <c r="M204" s="977">
        <f>'Corrected and Updated TSF 3'!CM204</f>
        <v>546372.60833258857</v>
      </c>
      <c r="N204" s="977">
        <f>'Corrected and Updated TSF 3'!CN204</f>
        <v>30000</v>
      </c>
      <c r="O204" s="977">
        <f>'Corrected and Updated TSF 3'!CO204</f>
        <v>516372.60833258857</v>
      </c>
      <c r="P204" s="976">
        <f>'Corrected and Updated TSF 3'!CP204</f>
        <v>29</v>
      </c>
      <c r="Q204" s="977">
        <f>'Corrected and Updated TSF 3'!CQ204</f>
        <v>17805.952011468573</v>
      </c>
      <c r="R204" s="977">
        <f>'Corrected and Updated TSF 3'!CS204</f>
        <v>3824608.2583281202</v>
      </c>
      <c r="S204" s="977">
        <f>'Corrected and Updated TSF 3'!CT204</f>
        <v>29652.147118409492</v>
      </c>
      <c r="T204" s="636">
        <f>'Corrected and Updated TSF 3'!CU204</f>
        <v>34376.660275209768</v>
      </c>
      <c r="U204" s="636">
        <f>'Corrected and Updated TSF 3'!CV204</f>
        <v>44406.94484814685</v>
      </c>
      <c r="V204" s="636">
        <f>'Corrected and Updated TSF 3'!CW204</f>
        <v>75731.827462215559</v>
      </c>
      <c r="W204" s="1102">
        <f>'Corrected and Updated TSF 3'!CX204</f>
        <v>310685.08539597952</v>
      </c>
      <c r="X204" s="1102">
        <f>'Corrected and Updated TSF 3'!CY204</f>
        <v>122936.57485724729</v>
      </c>
      <c r="Y204" s="1102">
        <f>'Corrected and Updated TSF 3'!CZ204</f>
        <v>88795.34684475635</v>
      </c>
      <c r="Z204" s="1102">
        <f>'Corrected and Updated TSF 3'!DA204</f>
        <v>67577.34687549567</v>
      </c>
      <c r="AA204" s="821">
        <f>L204-'Corrected and Updated TSF 3'!CL204</f>
        <v>0</v>
      </c>
      <c r="AB204" s="678">
        <f>N204-'Corrected and Updated TSF 3'!CN204</f>
        <v>0</v>
      </c>
      <c r="AC204" s="678">
        <f>Q204-'Corrected and Updated TSF 3'!CQ204</f>
        <v>0</v>
      </c>
      <c r="AD204" s="775"/>
      <c r="AE204" s="775"/>
      <c r="AF204" s="775"/>
      <c r="AG204" s="775"/>
      <c r="AL204" s="119"/>
      <c r="AM204" s="119"/>
      <c r="AN204" s="119"/>
      <c r="AO204" s="119"/>
      <c r="AP204" s="119"/>
      <c r="AQ204" s="119"/>
      <c r="AR204" s="119"/>
      <c r="AS204" s="119"/>
    </row>
    <row r="205" spans="1:47" ht="12.75" customHeight="1">
      <c r="A205" s="631" t="str">
        <f t="shared" si="3"/>
        <v>W-9M</v>
      </c>
      <c r="B205" s="632" t="str">
        <f>'Corrected and Updated TSF 3'!EP205</f>
        <v>UNSOLD</v>
      </c>
      <c r="C205" s="973" t="str">
        <f>'Corrected and Updated TSF 3'!E205</f>
        <v>9th Floor</v>
      </c>
      <c r="D205" s="974">
        <f>'INTERNAL PRICELIST'!D205</f>
        <v>0</v>
      </c>
      <c r="E205" s="975" t="str">
        <f>'Corrected and Updated TSF 3'!G205</f>
        <v>W-9M</v>
      </c>
      <c r="F205" s="976" t="str">
        <f>'Corrected and Updated TSF 3'!I205</f>
        <v>Studio</v>
      </c>
      <c r="G205" s="977">
        <f>'Corrected and Updated TSF 3'!J205</f>
        <v>22</v>
      </c>
      <c r="H205" s="977">
        <f>'Corrected and Updated TSF 3'!CG205</f>
        <v>3951297.0581381205</v>
      </c>
      <c r="I205" s="977">
        <f>SUM('Corrected and Updated TSF 3'!CI205:CJ205)</f>
        <v>503790.37491261034</v>
      </c>
      <c r="J205" s="977">
        <f>'Corrected and Updated TSF 3'!CH205</f>
        <v>0</v>
      </c>
      <c r="K205" s="977">
        <f>'Corrected and Updated TSF 3'!CK205</f>
        <v>4455087.4330507312</v>
      </c>
      <c r="L205" s="978">
        <f>'Corrected and Updated TSF 3'!CL205</f>
        <v>0.125</v>
      </c>
      <c r="M205" s="977">
        <f>'Corrected and Updated TSF 3'!CM205</f>
        <v>556885.9291313414</v>
      </c>
      <c r="N205" s="977">
        <f>'Corrected and Updated TSF 3'!CN205</f>
        <v>30000</v>
      </c>
      <c r="O205" s="977">
        <f>'Corrected and Updated TSF 3'!CO205</f>
        <v>526885.9291313414</v>
      </c>
      <c r="P205" s="976">
        <f>'Corrected and Updated TSF 3'!CP205</f>
        <v>29</v>
      </c>
      <c r="Q205" s="977">
        <f>'Corrected and Updated TSF 3'!CQ205</f>
        <v>18168.480314873843</v>
      </c>
      <c r="R205" s="977">
        <f>'Corrected and Updated TSF 3'!CS205</f>
        <v>3898201.50391939</v>
      </c>
      <c r="S205" s="977">
        <f>'Corrected and Updated TSF 3'!CT205</f>
        <v>30222.714768165995</v>
      </c>
      <c r="T205" s="636">
        <f>'Corrected and Updated TSF 3'!CU205</f>
        <v>35038.137172021961</v>
      </c>
      <c r="U205" s="636">
        <f>'Corrected and Updated TSF 3'!CV205</f>
        <v>45261.424830783355</v>
      </c>
      <c r="V205" s="636">
        <f>'Corrected and Updated TSF 3'!CW205</f>
        <v>77189.061929396994</v>
      </c>
      <c r="W205" s="1102">
        <f>'Corrected and Updated TSF 3'!CX205</f>
        <v>316663.29865254083</v>
      </c>
      <c r="X205" s="1102">
        <f>'Corrected and Updated TSF 3'!CY205</f>
        <v>125302.12472131987</v>
      </c>
      <c r="Y205" s="1102">
        <f>'Corrected and Updated TSF 3'!CZ205</f>
        <v>90503.9500078329</v>
      </c>
      <c r="Z205" s="1102">
        <f>'Corrected and Updated TSF 3'!DA205</f>
        <v>68877.672542623928</v>
      </c>
      <c r="AA205" s="821">
        <f>L205-'Corrected and Updated TSF 3'!CL205</f>
        <v>0</v>
      </c>
      <c r="AB205" s="678">
        <f>N205-'Corrected and Updated TSF 3'!CN205</f>
        <v>0</v>
      </c>
      <c r="AC205" s="678">
        <f>Q205-'Corrected and Updated TSF 3'!CQ205</f>
        <v>0</v>
      </c>
      <c r="AD205" s="775"/>
      <c r="AE205" s="775"/>
      <c r="AF205" s="775"/>
      <c r="AG205" s="775"/>
      <c r="AL205" s="119"/>
      <c r="AM205" s="119"/>
      <c r="AN205" s="119"/>
      <c r="AO205" s="119"/>
      <c r="AP205" s="119"/>
      <c r="AQ205" s="119"/>
      <c r="AR205" s="119"/>
      <c r="AS205" s="119"/>
    </row>
    <row r="206" spans="1:47" ht="12.75" hidden="1" customHeight="1">
      <c r="A206" s="631" t="str">
        <f t="shared" si="3"/>
        <v>W-9N</v>
      </c>
      <c r="B206" s="632" t="str">
        <f>'Corrected and Updated TSF 3'!EP206</f>
        <v>SOLD</v>
      </c>
      <c r="C206" s="973" t="str">
        <f>'Corrected and Updated TSF 3'!E206</f>
        <v>9th Floor</v>
      </c>
      <c r="D206" s="974">
        <f>'INTERNAL PRICELIST'!D206</f>
        <v>0</v>
      </c>
      <c r="E206" s="975" t="str">
        <f>'Corrected and Updated TSF 3'!G206</f>
        <v>W-9N</v>
      </c>
      <c r="F206" s="976" t="str">
        <f>'Corrected and Updated TSF 3'!I206</f>
        <v>Studio</v>
      </c>
      <c r="G206" s="977">
        <f>'Corrected and Updated TSF 3'!J206</f>
        <v>22</v>
      </c>
      <c r="H206" s="977">
        <f>'Corrected and Updated TSF 3'!CG206</f>
        <v>3914259.0272321003</v>
      </c>
      <c r="I206" s="977">
        <f>SUM('Corrected and Updated TSF 3'!CI206:CJ206)</f>
        <v>499068.02597209276</v>
      </c>
      <c r="J206" s="977">
        <f>'Corrected and Updated TSF 3'!CH206</f>
        <v>0</v>
      </c>
      <c r="K206" s="977">
        <f>'Corrected and Updated TSF 3'!CK206</f>
        <v>4413327.0532041937</v>
      </c>
      <c r="L206" s="978">
        <f>'Corrected and Updated TSF 3'!CL206</f>
        <v>0.125</v>
      </c>
      <c r="M206" s="977">
        <f>'Corrected and Updated TSF 3'!CM206</f>
        <v>551665.88165052421</v>
      </c>
      <c r="N206" s="977">
        <f>'Corrected and Updated TSF 3'!CN206</f>
        <v>30000</v>
      </c>
      <c r="O206" s="977">
        <f>'Corrected and Updated TSF 3'!CO206</f>
        <v>521665.88165052421</v>
      </c>
      <c r="P206" s="976">
        <f>'Corrected and Updated TSF 3'!CP206</f>
        <v>29</v>
      </c>
      <c r="Q206" s="977">
        <f>'Corrected and Updated TSF 3'!CQ206</f>
        <v>17988.478677604282</v>
      </c>
      <c r="R206" s="977">
        <f>'Corrected and Updated TSF 3'!CS206</f>
        <v>3861661.1715536695</v>
      </c>
      <c r="S206" s="977">
        <f>'Corrected and Updated TSF 3'!CT206</f>
        <v>29939.417960262963</v>
      </c>
      <c r="T206" s="636">
        <f>'Corrected and Updated TSF 3'!CU206</f>
        <v>34709.702334455425</v>
      </c>
      <c r="U206" s="636">
        <f>'Corrected and Updated TSF 3'!CV206</f>
        <v>44837.160588670667</v>
      </c>
      <c r="V206" s="636">
        <f>'Corrected and Updated TSF 3'!CW206</f>
        <v>76465.519553492995</v>
      </c>
      <c r="W206" s="1102">
        <f>'Corrected and Updated TSF 3'!CX206</f>
        <v>313695.01131050492</v>
      </c>
      <c r="X206" s="1102">
        <f>'Corrected and Updated TSF 3'!CY206</f>
        <v>124127.58787943407</v>
      </c>
      <c r="Y206" s="1102">
        <f>'Corrected and Updated TSF 3'!CZ206</f>
        <v>89655.598682132651</v>
      </c>
      <c r="Z206" s="1102">
        <f>'Corrected and Updated TSF 3'!DA206</f>
        <v>68232.038127688167</v>
      </c>
      <c r="AA206" s="821">
        <f>L206-'Corrected and Updated TSF 3'!CL206</f>
        <v>0</v>
      </c>
      <c r="AB206" s="678">
        <f>N206-'Corrected and Updated TSF 3'!CN206</f>
        <v>0</v>
      </c>
      <c r="AC206" s="678">
        <f>Q206-'Corrected and Updated TSF 3'!CQ206</f>
        <v>0</v>
      </c>
      <c r="AD206" s="775"/>
      <c r="AE206" s="775"/>
      <c r="AF206" s="775"/>
      <c r="AG206" s="775"/>
      <c r="AL206" s="119"/>
      <c r="AM206" s="119"/>
      <c r="AN206" s="119"/>
      <c r="AO206" s="119"/>
      <c r="AP206" s="119"/>
      <c r="AQ206" s="119"/>
      <c r="AR206" s="119"/>
      <c r="AS206" s="119"/>
    </row>
    <row r="207" spans="1:47" ht="12.75" hidden="1" customHeight="1">
      <c r="A207" s="631" t="str">
        <f t="shared" si="3"/>
        <v>W-9O</v>
      </c>
      <c r="B207" s="632" t="str">
        <f>'Corrected and Updated TSF 3'!EP207</f>
        <v>SOLD</v>
      </c>
      <c r="C207" s="973" t="str">
        <f>'Corrected and Updated TSF 3'!E207</f>
        <v>9th Floor</v>
      </c>
      <c r="D207" s="974">
        <f>'INTERNAL PRICELIST'!D207</f>
        <v>0</v>
      </c>
      <c r="E207" s="975" t="str">
        <f>'Corrected and Updated TSF 3'!G207</f>
        <v>W-9O</v>
      </c>
      <c r="F207" s="976" t="str">
        <f>'Corrected and Updated TSF 3'!I207</f>
        <v>Studio</v>
      </c>
      <c r="G207" s="977">
        <f>'Corrected and Updated TSF 3'!J207</f>
        <v>22</v>
      </c>
      <c r="H207" s="977">
        <f>'Corrected and Updated TSF 3'!CG207</f>
        <v>3914259.0272321003</v>
      </c>
      <c r="I207" s="977">
        <f>SUM('Corrected and Updated TSF 3'!CI207:CJ207)</f>
        <v>499068.02597209276</v>
      </c>
      <c r="J207" s="977">
        <f>'Corrected and Updated TSF 3'!CH207</f>
        <v>0</v>
      </c>
      <c r="K207" s="977">
        <f>'Corrected and Updated TSF 3'!CK207</f>
        <v>4413327.0532041937</v>
      </c>
      <c r="L207" s="978">
        <f>'Corrected and Updated TSF 3'!CL207</f>
        <v>0.125</v>
      </c>
      <c r="M207" s="977">
        <f>'Corrected and Updated TSF 3'!CM207</f>
        <v>551665.88165052421</v>
      </c>
      <c r="N207" s="977">
        <f>'Corrected and Updated TSF 3'!CN207</f>
        <v>30000</v>
      </c>
      <c r="O207" s="977">
        <f>'Corrected and Updated TSF 3'!CO207</f>
        <v>521665.88165052421</v>
      </c>
      <c r="P207" s="976">
        <f>'Corrected and Updated TSF 3'!CP207</f>
        <v>29</v>
      </c>
      <c r="Q207" s="977">
        <f>'Corrected and Updated TSF 3'!CQ207</f>
        <v>17988.478677604282</v>
      </c>
      <c r="R207" s="977">
        <f>'Corrected and Updated TSF 3'!CS207</f>
        <v>3861661.1715536695</v>
      </c>
      <c r="S207" s="977">
        <f>'Corrected and Updated TSF 3'!CT207</f>
        <v>29939.417960262963</v>
      </c>
      <c r="T207" s="636">
        <f>'Corrected and Updated TSF 3'!CU207</f>
        <v>34709.702334455425</v>
      </c>
      <c r="U207" s="636">
        <f>'Corrected and Updated TSF 3'!CV207</f>
        <v>44837.160588670667</v>
      </c>
      <c r="V207" s="636">
        <f>'Corrected and Updated TSF 3'!CW207</f>
        <v>76465.519553492995</v>
      </c>
      <c r="W207" s="1102">
        <f>'Corrected and Updated TSF 3'!CX207</f>
        <v>313695.01131050492</v>
      </c>
      <c r="X207" s="1102">
        <f>'Corrected and Updated TSF 3'!CY207</f>
        <v>124127.58787943407</v>
      </c>
      <c r="Y207" s="1102">
        <f>'Corrected and Updated TSF 3'!CZ207</f>
        <v>89655.598682132651</v>
      </c>
      <c r="Z207" s="1102">
        <f>'Corrected and Updated TSF 3'!DA207</f>
        <v>68232.038127688167</v>
      </c>
      <c r="AA207" s="821">
        <f>L207-'Corrected and Updated TSF 3'!CL207</f>
        <v>0</v>
      </c>
      <c r="AB207" s="678">
        <f>N207-'Corrected and Updated TSF 3'!CN207</f>
        <v>0</v>
      </c>
      <c r="AC207" s="678">
        <f>Q207-'Corrected and Updated TSF 3'!CQ207</f>
        <v>0</v>
      </c>
      <c r="AD207" s="775"/>
      <c r="AE207" s="775"/>
      <c r="AF207" s="775"/>
      <c r="AG207" s="775"/>
      <c r="AL207" s="119"/>
      <c r="AM207" s="119"/>
      <c r="AN207" s="119"/>
      <c r="AO207" s="119"/>
      <c r="AP207" s="119"/>
      <c r="AQ207" s="119"/>
      <c r="AR207" s="119"/>
      <c r="AS207" s="119"/>
    </row>
    <row r="208" spans="1:47" ht="12.75" hidden="1" customHeight="1">
      <c r="A208" s="631" t="str">
        <f t="shared" si="3"/>
        <v>W-9P</v>
      </c>
      <c r="B208" s="632" t="str">
        <f>'Corrected and Updated TSF 3'!EP208</f>
        <v>SOLD</v>
      </c>
      <c r="C208" s="973" t="str">
        <f>'Corrected and Updated TSF 3'!E208</f>
        <v>9th Floor</v>
      </c>
      <c r="D208" s="974">
        <f>'INTERNAL PRICELIST'!D208</f>
        <v>0</v>
      </c>
      <c r="E208" s="975" t="str">
        <f>'Corrected and Updated TSF 3'!G208</f>
        <v>W-9P</v>
      </c>
      <c r="F208" s="976" t="str">
        <f>'Corrected and Updated TSF 3'!I208</f>
        <v>Studio</v>
      </c>
      <c r="G208" s="977">
        <f>'Corrected and Updated TSF 3'!J208</f>
        <v>22</v>
      </c>
      <c r="H208" s="977">
        <f>'Corrected and Updated TSF 3'!CG208</f>
        <v>3971255.4173121247</v>
      </c>
      <c r="I208" s="977">
        <f>SUM('Corrected and Updated TSF 3'!CI208:CJ208)</f>
        <v>506335.0657072959</v>
      </c>
      <c r="J208" s="977">
        <f>'Corrected and Updated TSF 3'!CH208</f>
        <v>0</v>
      </c>
      <c r="K208" s="977">
        <f>'Corrected and Updated TSF 3'!CK208</f>
        <v>4477590.4830194209</v>
      </c>
      <c r="L208" s="978">
        <f>'Corrected and Updated TSF 3'!CL208</f>
        <v>0.125</v>
      </c>
      <c r="M208" s="977">
        <f>'Corrected and Updated TSF 3'!CM208</f>
        <v>559698.81037742761</v>
      </c>
      <c r="N208" s="977">
        <f>'Corrected and Updated TSF 3'!CN208</f>
        <v>30000</v>
      </c>
      <c r="O208" s="977">
        <f>'Corrected and Updated TSF 3'!CO208</f>
        <v>529698.81037742761</v>
      </c>
      <c r="P208" s="976">
        <f>'Corrected and Updated TSF 3'!CP208</f>
        <v>29</v>
      </c>
      <c r="Q208" s="977">
        <f>'Corrected and Updated TSF 3'!CQ208</f>
        <v>18265.476219911296</v>
      </c>
      <c r="R208" s="977">
        <f>'Corrected and Updated TSF 3'!CS208</f>
        <v>3917891.6726419935</v>
      </c>
      <c r="S208" s="977">
        <f>'Corrected and Updated TSF 3'!CT208</f>
        <v>30375.372436693899</v>
      </c>
      <c r="T208" s="636">
        <f>'Corrected and Updated TSF 3'!CU208</f>
        <v>35215.117975079258</v>
      </c>
      <c r="U208" s="636">
        <f>'Corrected and Updated TSF 3'!CV208</f>
        <v>45490.044385377318</v>
      </c>
      <c r="V208" s="636">
        <f>'Corrected and Updated TSF 3'!CW208</f>
        <v>77578.950869566252</v>
      </c>
      <c r="W208" s="1102">
        <f>'Corrected and Updated TSF 3'!CX208</f>
        <v>318262.79364336049</v>
      </c>
      <c r="X208" s="1102">
        <f>'Corrected and Updated TSF 3'!CY208</f>
        <v>125935.03709759978</v>
      </c>
      <c r="Y208" s="1102">
        <f>'Corrected and Updated TSF 3'!CZ208</f>
        <v>90961.093653158736</v>
      </c>
      <c r="Z208" s="1102">
        <f>'Corrected and Updated TSF 3'!DA208</f>
        <v>69225.579902523343</v>
      </c>
      <c r="AA208" s="821">
        <f>L208-'Corrected and Updated TSF 3'!CL208</f>
        <v>0</v>
      </c>
      <c r="AB208" s="678">
        <f>N208-'Corrected and Updated TSF 3'!CN208</f>
        <v>0</v>
      </c>
      <c r="AC208" s="678">
        <f>Q208-'Corrected and Updated TSF 3'!CQ208</f>
        <v>0</v>
      </c>
      <c r="AD208" s="775"/>
      <c r="AE208" s="775"/>
      <c r="AF208" s="775"/>
      <c r="AG208" s="775"/>
      <c r="AL208" s="119"/>
      <c r="AM208" s="119"/>
      <c r="AN208" s="119"/>
      <c r="AO208" s="119"/>
      <c r="AP208" s="119"/>
      <c r="AQ208" s="119"/>
      <c r="AR208" s="119"/>
      <c r="AS208" s="119"/>
    </row>
    <row r="209" spans="1:47" ht="12.75" hidden="1" customHeight="1">
      <c r="A209" s="631" t="str">
        <f t="shared" si="3"/>
        <v>E-9A</v>
      </c>
      <c r="B209" s="632" t="str">
        <f>'Corrected and Updated TSF 3'!EP209</f>
        <v>SOLD</v>
      </c>
      <c r="C209" s="820" t="str">
        <f>'Corrected and Updated TSF 3'!E209</f>
        <v>9th Floor</v>
      </c>
      <c r="D209" s="628">
        <f>'INTERNAL PRICELIST'!D209</f>
        <v>0</v>
      </c>
      <c r="E209" s="596" t="str">
        <f>'Corrected and Updated TSF 3'!G209</f>
        <v>E-9A</v>
      </c>
      <c r="F209" s="401" t="str">
        <f>'Corrected and Updated TSF 3'!I209</f>
        <v>Studio</v>
      </c>
      <c r="G209" s="633">
        <f>'Corrected and Updated TSF 3'!J209</f>
        <v>22</v>
      </c>
      <c r="H209" s="633">
        <f>'Corrected and Updated TSF 3'!CG209</f>
        <v>3876701.4338454176</v>
      </c>
      <c r="I209" s="633">
        <f>SUM('Corrected and Updated TSF 3'!CI209:CJ209)</f>
        <v>494279.43281529075</v>
      </c>
      <c r="J209" s="633">
        <f>'Corrected and Updated TSF 3'!CH209</f>
        <v>0</v>
      </c>
      <c r="K209" s="633">
        <f>'Corrected and Updated TSF 3'!CK209</f>
        <v>4370980.8666607086</v>
      </c>
      <c r="L209" s="634">
        <f>'Corrected and Updated TSF 3'!CL209</f>
        <v>0.125</v>
      </c>
      <c r="M209" s="633">
        <f>'Corrected and Updated TSF 3'!CM209</f>
        <v>546372.60833258857</v>
      </c>
      <c r="N209" s="633">
        <f>'Corrected and Updated TSF 3'!CN209</f>
        <v>30000</v>
      </c>
      <c r="O209" s="633">
        <f>'Corrected and Updated TSF 3'!CO209</f>
        <v>516372.60833258857</v>
      </c>
      <c r="P209" s="401">
        <f>'Corrected and Updated TSF 3'!CP209</f>
        <v>29</v>
      </c>
      <c r="Q209" s="633">
        <f>'Corrected and Updated TSF 3'!CQ209</f>
        <v>17805.952011468573</v>
      </c>
      <c r="R209" s="633">
        <f>'Corrected and Updated TSF 3'!CS209</f>
        <v>3824608.2583281202</v>
      </c>
      <c r="S209" s="633">
        <f>'Corrected and Updated TSF 3'!CT209</f>
        <v>29652.147118409492</v>
      </c>
      <c r="T209" s="635">
        <f>'Corrected and Updated TSF 3'!CU209</f>
        <v>34376.660275209768</v>
      </c>
      <c r="U209" s="636">
        <f>'Corrected and Updated TSF 3'!CV209</f>
        <v>44406.94484814685</v>
      </c>
      <c r="V209" s="636">
        <f>'Corrected and Updated TSF 3'!CW209</f>
        <v>75731.827462215559</v>
      </c>
      <c r="W209" s="1102">
        <f>'Corrected and Updated TSF 3'!CX209</f>
        <v>310685.08539597952</v>
      </c>
      <c r="X209" s="1102">
        <f>'Corrected and Updated TSF 3'!CY209</f>
        <v>122936.57485724729</v>
      </c>
      <c r="Y209" s="1102">
        <f>'Corrected and Updated TSF 3'!CZ209</f>
        <v>88795.34684475635</v>
      </c>
      <c r="Z209" s="1102">
        <f>'Corrected and Updated TSF 3'!DA209</f>
        <v>67577.34687549567</v>
      </c>
      <c r="AA209" s="821">
        <f>L209-'Corrected and Updated TSF 3'!CL209</f>
        <v>0</v>
      </c>
      <c r="AB209" s="678">
        <f>N209-'Corrected and Updated TSF 3'!CN209</f>
        <v>0</v>
      </c>
      <c r="AC209" s="678">
        <f>Q209-'Corrected and Updated TSF 3'!CQ209</f>
        <v>0</v>
      </c>
      <c r="AD209" s="775"/>
      <c r="AE209" s="775"/>
      <c r="AF209" s="775"/>
      <c r="AG209" s="775"/>
      <c r="AL209" s="119"/>
      <c r="AM209" s="119"/>
      <c r="AN209" s="119"/>
      <c r="AO209" s="119"/>
      <c r="AP209" s="119"/>
      <c r="AQ209" s="119"/>
      <c r="AR209" s="119"/>
      <c r="AS209" s="119"/>
    </row>
    <row r="210" spans="1:47" ht="12.75" hidden="1" customHeight="1">
      <c r="A210" s="631" t="str">
        <f t="shared" si="3"/>
        <v>E-9B</v>
      </c>
      <c r="B210" s="632" t="str">
        <f>'Corrected and Updated TSF 3'!EP210</f>
        <v>SOLD</v>
      </c>
      <c r="C210" s="820" t="str">
        <f>'Corrected and Updated TSF 3'!E210</f>
        <v>9th Floor</v>
      </c>
      <c r="D210" s="628">
        <f>'INTERNAL PRICELIST'!D210</f>
        <v>0</v>
      </c>
      <c r="E210" s="596" t="str">
        <f>'Corrected and Updated TSF 3'!G210</f>
        <v>E-9B</v>
      </c>
      <c r="F210" s="401" t="str">
        <f>'Corrected and Updated TSF 3'!I210</f>
        <v>Studio</v>
      </c>
      <c r="G210" s="633">
        <f>'Corrected and Updated TSF 3'!J210</f>
        <v>22</v>
      </c>
      <c r="H210" s="633">
        <f>'Corrected and Updated TSF 3'!CG210</f>
        <v>3876701.4338454176</v>
      </c>
      <c r="I210" s="633">
        <f>SUM('Corrected and Updated TSF 3'!CI210:CJ210)</f>
        <v>494279.43281529075</v>
      </c>
      <c r="J210" s="633">
        <f>'Corrected and Updated TSF 3'!CH210</f>
        <v>0</v>
      </c>
      <c r="K210" s="633">
        <f>'Corrected and Updated TSF 3'!CK210</f>
        <v>4370980.8666607086</v>
      </c>
      <c r="L210" s="634">
        <f>'Corrected and Updated TSF 3'!CL210</f>
        <v>0.125</v>
      </c>
      <c r="M210" s="633">
        <f>'Corrected and Updated TSF 3'!CM210</f>
        <v>546372.60833258857</v>
      </c>
      <c r="N210" s="633">
        <f>'Corrected and Updated TSF 3'!CN210</f>
        <v>30000</v>
      </c>
      <c r="O210" s="633">
        <f>'Corrected and Updated TSF 3'!CO210</f>
        <v>516372.60833258857</v>
      </c>
      <c r="P210" s="401">
        <f>'Corrected and Updated TSF 3'!CP210</f>
        <v>29</v>
      </c>
      <c r="Q210" s="633">
        <f>'Corrected and Updated TSF 3'!CQ210</f>
        <v>17805.952011468573</v>
      </c>
      <c r="R210" s="633">
        <f>'Corrected and Updated TSF 3'!CS210</f>
        <v>3824608.2583281202</v>
      </c>
      <c r="S210" s="633">
        <f>'Corrected and Updated TSF 3'!CT210</f>
        <v>29652.147118409492</v>
      </c>
      <c r="T210" s="635">
        <f>'Corrected and Updated TSF 3'!CU210</f>
        <v>34376.660275209768</v>
      </c>
      <c r="U210" s="636">
        <f>'Corrected and Updated TSF 3'!CV210</f>
        <v>44406.94484814685</v>
      </c>
      <c r="V210" s="636">
        <f>'Corrected and Updated TSF 3'!CW210</f>
        <v>75731.827462215559</v>
      </c>
      <c r="W210" s="1102">
        <f>'Corrected and Updated TSF 3'!CX210</f>
        <v>310685.08539597952</v>
      </c>
      <c r="X210" s="1102">
        <f>'Corrected and Updated TSF 3'!CY210</f>
        <v>122936.57485724729</v>
      </c>
      <c r="Y210" s="1102">
        <f>'Corrected and Updated TSF 3'!CZ210</f>
        <v>88795.34684475635</v>
      </c>
      <c r="Z210" s="1102">
        <f>'Corrected and Updated TSF 3'!DA210</f>
        <v>67577.34687549567</v>
      </c>
      <c r="AA210" s="821">
        <f>L210-'Corrected and Updated TSF 3'!CL210</f>
        <v>0</v>
      </c>
      <c r="AB210" s="678">
        <f>N210-'Corrected and Updated TSF 3'!CN210</f>
        <v>0</v>
      </c>
      <c r="AC210" s="678">
        <f>Q210-'Corrected and Updated TSF 3'!CQ210</f>
        <v>0</v>
      </c>
      <c r="AD210" s="775"/>
      <c r="AE210" s="775"/>
      <c r="AF210" s="775"/>
      <c r="AG210" s="775"/>
      <c r="AL210" s="119"/>
      <c r="AM210" s="119"/>
      <c r="AN210" s="119"/>
      <c r="AO210" s="119"/>
      <c r="AP210" s="119"/>
      <c r="AQ210" s="119"/>
      <c r="AR210" s="119"/>
      <c r="AS210" s="119"/>
    </row>
    <row r="211" spans="1:47" ht="12.75" hidden="1" customHeight="1">
      <c r="A211" s="631" t="str">
        <f t="shared" si="3"/>
        <v>E-9C</v>
      </c>
      <c r="B211" s="632" t="str">
        <f>'Corrected and Updated TSF 3'!EP211</f>
        <v>SOLD</v>
      </c>
      <c r="C211" s="820" t="str">
        <f>'Corrected and Updated TSF 3'!E211</f>
        <v>9th Floor</v>
      </c>
      <c r="D211" s="628">
        <f>'INTERNAL PRICELIST'!D211</f>
        <v>0</v>
      </c>
      <c r="E211" s="596" t="str">
        <f>'Corrected and Updated TSF 3'!G211</f>
        <v>E-9C</v>
      </c>
      <c r="F211" s="401" t="str">
        <f>'Corrected and Updated TSF 3'!I211</f>
        <v>Studio</v>
      </c>
      <c r="G211" s="633">
        <f>'Corrected and Updated TSF 3'!J211</f>
        <v>22</v>
      </c>
      <c r="H211" s="633">
        <f>'Corrected and Updated TSF 3'!CG211</f>
        <v>3876701.4338454176</v>
      </c>
      <c r="I211" s="633">
        <f>SUM('Corrected and Updated TSF 3'!CI211:CJ211)</f>
        <v>494279.43281529075</v>
      </c>
      <c r="J211" s="633">
        <f>'Corrected and Updated TSF 3'!CH211</f>
        <v>0</v>
      </c>
      <c r="K211" s="633">
        <f>'Corrected and Updated TSF 3'!CK211</f>
        <v>4370980.8666607086</v>
      </c>
      <c r="L211" s="634">
        <f>'Corrected and Updated TSF 3'!CL211</f>
        <v>0.125</v>
      </c>
      <c r="M211" s="633">
        <f>'Corrected and Updated TSF 3'!CM211</f>
        <v>546372.60833258857</v>
      </c>
      <c r="N211" s="633">
        <f>'Corrected and Updated TSF 3'!CN211</f>
        <v>30000</v>
      </c>
      <c r="O211" s="633">
        <f>'Corrected and Updated TSF 3'!CO211</f>
        <v>516372.60833258857</v>
      </c>
      <c r="P211" s="401">
        <f>'Corrected and Updated TSF 3'!CP211</f>
        <v>29</v>
      </c>
      <c r="Q211" s="633">
        <f>'Corrected and Updated TSF 3'!CQ211</f>
        <v>17805.952011468573</v>
      </c>
      <c r="R211" s="633">
        <f>'Corrected and Updated TSF 3'!CS211</f>
        <v>3824608.2583281202</v>
      </c>
      <c r="S211" s="633">
        <f>'Corrected and Updated TSF 3'!CT211</f>
        <v>29652.147118409492</v>
      </c>
      <c r="T211" s="635">
        <f>'Corrected and Updated TSF 3'!CU211</f>
        <v>34376.660275209768</v>
      </c>
      <c r="U211" s="636">
        <f>'Corrected and Updated TSF 3'!CV211</f>
        <v>44406.94484814685</v>
      </c>
      <c r="V211" s="636">
        <f>'Corrected and Updated TSF 3'!CW211</f>
        <v>75731.827462215559</v>
      </c>
      <c r="W211" s="1102">
        <f>'Corrected and Updated TSF 3'!CX211</f>
        <v>310685.08539597952</v>
      </c>
      <c r="X211" s="1102">
        <f>'Corrected and Updated TSF 3'!CY211</f>
        <v>122936.57485724729</v>
      </c>
      <c r="Y211" s="1102">
        <f>'Corrected and Updated TSF 3'!CZ211</f>
        <v>88795.34684475635</v>
      </c>
      <c r="Z211" s="1102">
        <f>'Corrected and Updated TSF 3'!DA211</f>
        <v>67577.34687549567</v>
      </c>
      <c r="AA211" s="821">
        <f>L211-'Corrected and Updated TSF 3'!CL211</f>
        <v>0</v>
      </c>
      <c r="AB211" s="678">
        <f>N211-'Corrected and Updated TSF 3'!CN211</f>
        <v>0</v>
      </c>
      <c r="AC211" s="678">
        <f>Q211-'Corrected and Updated TSF 3'!CQ211</f>
        <v>0</v>
      </c>
      <c r="AD211" s="775"/>
      <c r="AE211" s="775"/>
      <c r="AF211" s="775"/>
      <c r="AG211" s="775"/>
      <c r="AL211" s="119"/>
      <c r="AM211" s="119"/>
      <c r="AN211" s="119"/>
      <c r="AO211" s="119"/>
      <c r="AP211" s="119"/>
      <c r="AQ211" s="119"/>
      <c r="AR211" s="119"/>
      <c r="AS211" s="119"/>
    </row>
    <row r="212" spans="1:47" ht="12.75" hidden="1" customHeight="1">
      <c r="A212" s="631" t="str">
        <f t="shared" si="3"/>
        <v>E-9D</v>
      </c>
      <c r="B212" s="632" t="str">
        <f>'Corrected and Updated TSF 3'!EP212</f>
        <v>SOLD</v>
      </c>
      <c r="C212" s="820" t="str">
        <f>'Corrected and Updated TSF 3'!E212</f>
        <v>9th Floor</v>
      </c>
      <c r="D212" s="628">
        <f>'INTERNAL PRICELIST'!D212</f>
        <v>0</v>
      </c>
      <c r="E212" s="596" t="str">
        <f>'Corrected and Updated TSF 3'!G212</f>
        <v>E-9D</v>
      </c>
      <c r="F212" s="401" t="str">
        <f>'Corrected and Updated TSF 3'!I212</f>
        <v>Studio</v>
      </c>
      <c r="G212" s="633">
        <f>'Corrected and Updated TSF 3'!J212</f>
        <v>22</v>
      </c>
      <c r="H212" s="633">
        <f>'Corrected and Updated TSF 3'!CG212</f>
        <v>3876701.4338454176</v>
      </c>
      <c r="I212" s="633">
        <f>SUM('Corrected and Updated TSF 3'!CI212:CJ212)</f>
        <v>494279.43281529075</v>
      </c>
      <c r="J212" s="633">
        <f>'Corrected and Updated TSF 3'!CH212</f>
        <v>0</v>
      </c>
      <c r="K212" s="633">
        <f>'Corrected and Updated TSF 3'!CK212</f>
        <v>4370980.8666607086</v>
      </c>
      <c r="L212" s="634">
        <f>'Corrected and Updated TSF 3'!CL212</f>
        <v>0.125</v>
      </c>
      <c r="M212" s="633">
        <f>'Corrected and Updated TSF 3'!CM212</f>
        <v>546372.60833258857</v>
      </c>
      <c r="N212" s="633">
        <f>'Corrected and Updated TSF 3'!CN212</f>
        <v>30000</v>
      </c>
      <c r="O212" s="633">
        <f>'Corrected and Updated TSF 3'!CO212</f>
        <v>516372.60833258857</v>
      </c>
      <c r="P212" s="401">
        <f>'Corrected and Updated TSF 3'!CP212</f>
        <v>29</v>
      </c>
      <c r="Q212" s="633">
        <f>'Corrected and Updated TSF 3'!CQ212</f>
        <v>17805.952011468573</v>
      </c>
      <c r="R212" s="633">
        <f>'Corrected and Updated TSF 3'!CS212</f>
        <v>3824608.2583281202</v>
      </c>
      <c r="S212" s="633">
        <f>'Corrected and Updated TSF 3'!CT212</f>
        <v>29652.147118409492</v>
      </c>
      <c r="T212" s="635">
        <f>'Corrected and Updated TSF 3'!CU212</f>
        <v>34376.660275209768</v>
      </c>
      <c r="U212" s="636">
        <f>'Corrected and Updated TSF 3'!CV212</f>
        <v>44406.94484814685</v>
      </c>
      <c r="V212" s="636">
        <f>'Corrected and Updated TSF 3'!CW212</f>
        <v>75731.827462215559</v>
      </c>
      <c r="W212" s="1102">
        <f>'Corrected and Updated TSF 3'!CX212</f>
        <v>310685.08539597952</v>
      </c>
      <c r="X212" s="1102">
        <f>'Corrected and Updated TSF 3'!CY212</f>
        <v>122936.57485724729</v>
      </c>
      <c r="Y212" s="1102">
        <f>'Corrected and Updated TSF 3'!CZ212</f>
        <v>88795.34684475635</v>
      </c>
      <c r="Z212" s="1102">
        <f>'Corrected and Updated TSF 3'!DA212</f>
        <v>67577.34687549567</v>
      </c>
      <c r="AA212" s="821">
        <f>L212-'Corrected and Updated TSF 3'!CL212</f>
        <v>0</v>
      </c>
      <c r="AB212" s="678">
        <f>N212-'Corrected and Updated TSF 3'!CN212</f>
        <v>0</v>
      </c>
      <c r="AC212" s="678">
        <f>Q212-'Corrected and Updated TSF 3'!CQ212</f>
        <v>0</v>
      </c>
      <c r="AD212" s="775"/>
      <c r="AE212" s="775"/>
      <c r="AF212" s="775"/>
      <c r="AG212" s="775"/>
      <c r="AL212" s="119"/>
      <c r="AM212" s="119"/>
      <c r="AN212" s="119"/>
      <c r="AO212" s="119"/>
      <c r="AP212" s="119"/>
      <c r="AQ212" s="119"/>
      <c r="AR212" s="119"/>
      <c r="AS212" s="119"/>
    </row>
    <row r="213" spans="1:47" ht="12.75" hidden="1" customHeight="1">
      <c r="A213" s="631" t="str">
        <f t="shared" si="3"/>
        <v>E-9E</v>
      </c>
      <c r="B213" s="632" t="str">
        <f>'Corrected and Updated TSF 3'!EP213</f>
        <v>SOLD</v>
      </c>
      <c r="C213" s="820" t="str">
        <f>'Corrected and Updated TSF 3'!E213</f>
        <v>9th Floor</v>
      </c>
      <c r="D213" s="628">
        <f>'INTERNAL PRICELIST'!D213</f>
        <v>0</v>
      </c>
      <c r="E213" s="596" t="str">
        <f>'Corrected and Updated TSF 3'!G213</f>
        <v>E-9E</v>
      </c>
      <c r="F213" s="401" t="str">
        <f>'Corrected and Updated TSF 3'!I213</f>
        <v>Studio</v>
      </c>
      <c r="G213" s="633">
        <f>'Corrected and Updated TSF 3'!J213</f>
        <v>22</v>
      </c>
      <c r="H213" s="633">
        <f>'Corrected and Updated TSF 3'!CG213</f>
        <v>3876701.4338454176</v>
      </c>
      <c r="I213" s="633">
        <f>SUM('Corrected and Updated TSF 3'!CI213:CJ213)</f>
        <v>494279.43281529075</v>
      </c>
      <c r="J213" s="633">
        <f>'Corrected and Updated TSF 3'!CH213</f>
        <v>0</v>
      </c>
      <c r="K213" s="633">
        <f>'Corrected and Updated TSF 3'!CK213</f>
        <v>4370980.8666607086</v>
      </c>
      <c r="L213" s="634">
        <f>'Corrected and Updated TSF 3'!CL213</f>
        <v>0.125</v>
      </c>
      <c r="M213" s="633">
        <f>'Corrected and Updated TSF 3'!CM213</f>
        <v>546372.60833258857</v>
      </c>
      <c r="N213" s="633">
        <f>'Corrected and Updated TSF 3'!CN213</f>
        <v>30000</v>
      </c>
      <c r="O213" s="633">
        <f>'Corrected and Updated TSF 3'!CO213</f>
        <v>516372.60833258857</v>
      </c>
      <c r="P213" s="401">
        <f>'Corrected and Updated TSF 3'!CP213</f>
        <v>29</v>
      </c>
      <c r="Q213" s="633">
        <f>'Corrected and Updated TSF 3'!CQ213</f>
        <v>17805.952011468573</v>
      </c>
      <c r="R213" s="633">
        <f>'Corrected and Updated TSF 3'!CS213</f>
        <v>3824608.2583281202</v>
      </c>
      <c r="S213" s="633">
        <f>'Corrected and Updated TSF 3'!CT213</f>
        <v>29652.147118409492</v>
      </c>
      <c r="T213" s="635">
        <f>'Corrected and Updated TSF 3'!CU213</f>
        <v>34376.660275209768</v>
      </c>
      <c r="U213" s="636">
        <f>'Corrected and Updated TSF 3'!CV213</f>
        <v>44406.94484814685</v>
      </c>
      <c r="V213" s="636">
        <f>'Corrected and Updated TSF 3'!CW213</f>
        <v>75731.827462215559</v>
      </c>
      <c r="W213" s="1102">
        <f>'Corrected and Updated TSF 3'!CX213</f>
        <v>310685.08539597952</v>
      </c>
      <c r="X213" s="1102">
        <f>'Corrected and Updated TSF 3'!CY213</f>
        <v>122936.57485724729</v>
      </c>
      <c r="Y213" s="1102">
        <f>'Corrected and Updated TSF 3'!CZ213</f>
        <v>88795.34684475635</v>
      </c>
      <c r="Z213" s="1102">
        <f>'Corrected and Updated TSF 3'!DA213</f>
        <v>67577.34687549567</v>
      </c>
      <c r="AA213" s="821">
        <f>L213-'Corrected and Updated TSF 3'!CL213</f>
        <v>0</v>
      </c>
      <c r="AB213" s="678">
        <f>N213-'Corrected and Updated TSF 3'!CN213</f>
        <v>0</v>
      </c>
      <c r="AC213" s="678">
        <f>Q213-'Corrected and Updated TSF 3'!CQ213</f>
        <v>0</v>
      </c>
      <c r="AD213" s="775"/>
      <c r="AE213" s="775"/>
      <c r="AF213" s="775"/>
      <c r="AG213" s="775"/>
      <c r="AL213" s="119"/>
      <c r="AM213" s="119"/>
      <c r="AN213" s="119"/>
      <c r="AO213" s="119"/>
      <c r="AP213" s="119"/>
      <c r="AQ213" s="119"/>
      <c r="AR213" s="119"/>
      <c r="AS213" s="119"/>
    </row>
    <row r="214" spans="1:47" ht="12.75" hidden="1" customHeight="1">
      <c r="A214" s="631" t="str">
        <f t="shared" si="3"/>
        <v>E-9F</v>
      </c>
      <c r="B214" s="632" t="str">
        <f>'Corrected and Updated TSF 3'!EP214</f>
        <v>SOLD</v>
      </c>
      <c r="C214" s="820" t="str">
        <f>'Corrected and Updated TSF 3'!E214</f>
        <v>9th Floor</v>
      </c>
      <c r="D214" s="628">
        <f>'INTERNAL PRICELIST'!D214</f>
        <v>0</v>
      </c>
      <c r="E214" s="596" t="str">
        <f>'Corrected and Updated TSF 3'!G214</f>
        <v>E-9F</v>
      </c>
      <c r="F214" s="401" t="str">
        <f>'Corrected and Updated TSF 3'!I214</f>
        <v>Studio</v>
      </c>
      <c r="G214" s="633">
        <f>'Corrected and Updated TSF 3'!J214</f>
        <v>22</v>
      </c>
      <c r="H214" s="633">
        <f>'Corrected and Updated TSF 3'!CG214</f>
        <v>3876701.4338454176</v>
      </c>
      <c r="I214" s="633">
        <f>SUM('Corrected and Updated TSF 3'!CI214:CJ214)</f>
        <v>494279.43281529075</v>
      </c>
      <c r="J214" s="633">
        <f>'Corrected and Updated TSF 3'!CH214</f>
        <v>0</v>
      </c>
      <c r="K214" s="633">
        <f>'Corrected and Updated TSF 3'!CK214</f>
        <v>4370980.8666607086</v>
      </c>
      <c r="L214" s="634">
        <f>'Corrected and Updated TSF 3'!CL214</f>
        <v>0.125</v>
      </c>
      <c r="M214" s="633">
        <f>'Corrected and Updated TSF 3'!CM214</f>
        <v>546372.60833258857</v>
      </c>
      <c r="N214" s="633">
        <f>'Corrected and Updated TSF 3'!CN214</f>
        <v>30000</v>
      </c>
      <c r="O214" s="633">
        <f>'Corrected and Updated TSF 3'!CO214</f>
        <v>516372.60833258857</v>
      </c>
      <c r="P214" s="401">
        <f>'Corrected and Updated TSF 3'!CP214</f>
        <v>29</v>
      </c>
      <c r="Q214" s="633">
        <f>'Corrected and Updated TSF 3'!CQ214</f>
        <v>17805.952011468573</v>
      </c>
      <c r="R214" s="633">
        <f>'Corrected and Updated TSF 3'!CS214</f>
        <v>3824608.2583281202</v>
      </c>
      <c r="S214" s="633">
        <f>'Corrected and Updated TSF 3'!CT214</f>
        <v>29652.147118409492</v>
      </c>
      <c r="T214" s="635">
        <f>'Corrected and Updated TSF 3'!CU214</f>
        <v>34376.660275209768</v>
      </c>
      <c r="U214" s="636">
        <f>'Corrected and Updated TSF 3'!CV214</f>
        <v>44406.94484814685</v>
      </c>
      <c r="V214" s="636">
        <f>'Corrected and Updated TSF 3'!CW214</f>
        <v>75731.827462215559</v>
      </c>
      <c r="W214" s="1102">
        <f>'Corrected and Updated TSF 3'!CX214</f>
        <v>310685.08539597952</v>
      </c>
      <c r="X214" s="1102">
        <f>'Corrected and Updated TSF 3'!CY214</f>
        <v>122936.57485724729</v>
      </c>
      <c r="Y214" s="1102">
        <f>'Corrected and Updated TSF 3'!CZ214</f>
        <v>88795.34684475635</v>
      </c>
      <c r="Z214" s="1102">
        <f>'Corrected and Updated TSF 3'!DA214</f>
        <v>67577.34687549567</v>
      </c>
      <c r="AA214" s="821">
        <f>L214-'Corrected and Updated TSF 3'!CL214</f>
        <v>0</v>
      </c>
      <c r="AB214" s="678">
        <f>N214-'Corrected and Updated TSF 3'!CN214</f>
        <v>0</v>
      </c>
      <c r="AC214" s="678">
        <f>Q214-'Corrected and Updated TSF 3'!CQ214</f>
        <v>0</v>
      </c>
      <c r="AD214" s="775"/>
      <c r="AE214" s="775"/>
      <c r="AF214" s="775"/>
      <c r="AG214" s="775"/>
      <c r="AL214" s="119"/>
      <c r="AM214" s="119"/>
      <c r="AN214" s="119"/>
      <c r="AO214" s="119"/>
      <c r="AP214" s="119"/>
      <c r="AQ214" s="119"/>
      <c r="AR214" s="119"/>
      <c r="AS214" s="119"/>
    </row>
    <row r="215" spans="1:47" hidden="1">
      <c r="A215" s="631" t="str">
        <f t="shared" si="3"/>
        <v>E-9G</v>
      </c>
      <c r="B215" s="632" t="str">
        <f>'Corrected and Updated TSF 3'!EP215</f>
        <v>SOLD</v>
      </c>
      <c r="C215" s="820" t="str">
        <f>'Corrected and Updated TSF 3'!E215</f>
        <v>9th Floor</v>
      </c>
      <c r="D215" s="628">
        <f>'INTERNAL PRICELIST'!D215</f>
        <v>0</v>
      </c>
      <c r="E215" s="596" t="str">
        <f>'Corrected and Updated TSF 3'!G215</f>
        <v>E-9G</v>
      </c>
      <c r="F215" s="401" t="str">
        <f>'Corrected and Updated TSF 3'!I215</f>
        <v>Studio</v>
      </c>
      <c r="G215" s="633">
        <f>'Corrected and Updated TSF 3'!J215</f>
        <v>22</v>
      </c>
      <c r="H215" s="633">
        <f>'Corrected and Updated TSF 3'!CG215</f>
        <v>3876701.4338454176</v>
      </c>
      <c r="I215" s="633">
        <f>SUM('Corrected and Updated TSF 3'!CI215:CJ215)</f>
        <v>494279.43281529075</v>
      </c>
      <c r="J215" s="633">
        <f>'Corrected and Updated TSF 3'!CH215</f>
        <v>0</v>
      </c>
      <c r="K215" s="633">
        <f>'Corrected and Updated TSF 3'!CK215</f>
        <v>4370980.8666607086</v>
      </c>
      <c r="L215" s="634">
        <f>'Corrected and Updated TSF 3'!CL215</f>
        <v>0.125</v>
      </c>
      <c r="M215" s="633">
        <f>'Corrected and Updated TSF 3'!CM215</f>
        <v>546372.60833258857</v>
      </c>
      <c r="N215" s="633">
        <f>'Corrected and Updated TSF 3'!CN215</f>
        <v>30000</v>
      </c>
      <c r="O215" s="633">
        <f>'Corrected and Updated TSF 3'!CO215</f>
        <v>516372.60833258857</v>
      </c>
      <c r="P215" s="401">
        <f>'Corrected and Updated TSF 3'!CP215</f>
        <v>29</v>
      </c>
      <c r="Q215" s="633">
        <f>'Corrected and Updated TSF 3'!CQ215</f>
        <v>17805.952011468573</v>
      </c>
      <c r="R215" s="633">
        <f>'Corrected and Updated TSF 3'!CS215</f>
        <v>3824608.2583281202</v>
      </c>
      <c r="S215" s="633">
        <f>'Corrected and Updated TSF 3'!CT215</f>
        <v>29652.147118409492</v>
      </c>
      <c r="T215" s="635">
        <f>'Corrected and Updated TSF 3'!CU215</f>
        <v>34376.660275209768</v>
      </c>
      <c r="U215" s="636">
        <f>'Corrected and Updated TSF 3'!CV215</f>
        <v>44406.94484814685</v>
      </c>
      <c r="V215" s="636">
        <f>'Corrected and Updated TSF 3'!CW215</f>
        <v>75731.827462215559</v>
      </c>
      <c r="W215" s="1102">
        <f>'Corrected and Updated TSF 3'!CX215</f>
        <v>310685.08539597952</v>
      </c>
      <c r="X215" s="1102">
        <f>'Corrected and Updated TSF 3'!CY215</f>
        <v>122936.57485724729</v>
      </c>
      <c r="Y215" s="1102">
        <f>'Corrected and Updated TSF 3'!CZ215</f>
        <v>88795.34684475635</v>
      </c>
      <c r="Z215" s="1102">
        <f>'Corrected and Updated TSF 3'!DA215</f>
        <v>67577.34687549567</v>
      </c>
      <c r="AA215" s="821">
        <f>L215-'Corrected and Updated TSF 3'!CL215</f>
        <v>0</v>
      </c>
      <c r="AB215" s="678">
        <f>N215-'Corrected and Updated TSF 3'!CN215</f>
        <v>0</v>
      </c>
      <c r="AC215" s="678">
        <f>Q215-'Corrected and Updated TSF 3'!CQ215</f>
        <v>0</v>
      </c>
      <c r="AD215" s="775"/>
      <c r="AE215" s="775"/>
      <c r="AF215" s="775"/>
      <c r="AG215" s="775"/>
      <c r="AL215" s="119"/>
      <c r="AM215" s="119"/>
      <c r="AN215" s="119"/>
      <c r="AO215" s="119"/>
      <c r="AP215" s="119"/>
      <c r="AQ215" s="119"/>
      <c r="AR215" s="119"/>
      <c r="AS215" s="119"/>
    </row>
    <row r="216" spans="1:47" s="1148" customFormat="1" hidden="1">
      <c r="A216" s="631" t="str">
        <f t="shared" si="3"/>
        <v>E-9H</v>
      </c>
      <c r="B216" s="632" t="str">
        <f>'Corrected and Updated TSF 3'!EP216</f>
        <v>SOLD</v>
      </c>
      <c r="C216" s="1161" t="str">
        <f>'Corrected and Updated TSF 3'!E216</f>
        <v>9th Floor</v>
      </c>
      <c r="D216" s="1146">
        <f>'INTERNAL PRICELIST'!D216</f>
        <v>0</v>
      </c>
      <c r="E216" s="1146" t="str">
        <f>'Corrected and Updated TSF 3'!G216</f>
        <v>E-9H</v>
      </c>
      <c r="F216" s="1162" t="str">
        <f>'Corrected and Updated TSF 3'!I216</f>
        <v>Studio</v>
      </c>
      <c r="G216" s="1163">
        <f>'Corrected and Updated TSF 3'!J216</f>
        <v>22</v>
      </c>
      <c r="H216" s="1163">
        <f>'Corrected and Updated TSF 3'!CG216</f>
        <v>3876701.4338454176</v>
      </c>
      <c r="I216" s="1163">
        <f>SUM('Corrected and Updated TSF 3'!CI216:CJ216)</f>
        <v>494279.43281529075</v>
      </c>
      <c r="J216" s="1163">
        <f>'Corrected and Updated TSF 3'!CH216</f>
        <v>0</v>
      </c>
      <c r="K216" s="1163">
        <f>'Corrected and Updated TSF 3'!CK216</f>
        <v>4370980.8666607086</v>
      </c>
      <c r="L216" s="1164">
        <f>'Corrected and Updated TSF 3'!CL216</f>
        <v>0.125</v>
      </c>
      <c r="M216" s="1163">
        <f>'Corrected and Updated TSF 3'!CM216</f>
        <v>546372.60833258857</v>
      </c>
      <c r="N216" s="1163">
        <f>'Corrected and Updated TSF 3'!CN216</f>
        <v>30000</v>
      </c>
      <c r="O216" s="1163">
        <f>'Corrected and Updated TSF 3'!CO216</f>
        <v>516372.60833258857</v>
      </c>
      <c r="P216" s="1162">
        <f>'Corrected and Updated TSF 3'!CP216</f>
        <v>29</v>
      </c>
      <c r="Q216" s="1163">
        <f>'Corrected and Updated TSF 3'!CQ216</f>
        <v>17805.952011468573</v>
      </c>
      <c r="R216" s="1163">
        <f>'Corrected and Updated TSF 3'!CS216</f>
        <v>3824608.2583281202</v>
      </c>
      <c r="S216" s="1163">
        <f>'Corrected and Updated TSF 3'!CT216</f>
        <v>29652.147118409492</v>
      </c>
      <c r="T216" s="1165">
        <f>'Corrected and Updated TSF 3'!CU216</f>
        <v>34376.660275209768</v>
      </c>
      <c r="U216" s="1166">
        <f>'Corrected and Updated TSF 3'!CV216</f>
        <v>44406.94484814685</v>
      </c>
      <c r="V216" s="1166">
        <f>'Corrected and Updated TSF 3'!CW216</f>
        <v>75731.827462215559</v>
      </c>
      <c r="W216" s="1102">
        <f>'Corrected and Updated TSF 3'!CX216</f>
        <v>310685.08539597952</v>
      </c>
      <c r="X216" s="1102">
        <f>'Corrected and Updated TSF 3'!CY216</f>
        <v>122936.57485724729</v>
      </c>
      <c r="Y216" s="1102">
        <f>'Corrected and Updated TSF 3'!CZ216</f>
        <v>88795.34684475635</v>
      </c>
      <c r="Z216" s="1102">
        <f>'Corrected and Updated TSF 3'!DA216</f>
        <v>67577.34687549567</v>
      </c>
      <c r="AA216" s="821">
        <f>L216-'Corrected and Updated TSF 3'!CL216</f>
        <v>0</v>
      </c>
      <c r="AB216" s="678">
        <f>N216-'Corrected and Updated TSF 3'!CN216</f>
        <v>0</v>
      </c>
      <c r="AC216" s="678">
        <f>Q216-'Corrected and Updated TSF 3'!CQ216</f>
        <v>0</v>
      </c>
      <c r="AD216" s="775"/>
      <c r="AE216" s="775"/>
      <c r="AF216" s="775"/>
      <c r="AG216" s="775"/>
      <c r="AH216" s="677"/>
      <c r="AI216" s="677"/>
      <c r="AJ216" s="677"/>
      <c r="AK216" s="677"/>
      <c r="AL216" s="521"/>
      <c r="AM216" s="521"/>
      <c r="AN216" s="521"/>
      <c r="AO216" s="521"/>
      <c r="AP216" s="521"/>
      <c r="AQ216" s="521"/>
    </row>
    <row r="217" spans="1:47" ht="12.75" hidden="1" customHeight="1">
      <c r="A217" s="631" t="str">
        <f t="shared" si="3"/>
        <v>E-9I</v>
      </c>
      <c r="B217" s="632" t="str">
        <f>'Corrected and Updated TSF 3'!EP217</f>
        <v>SOLD</v>
      </c>
      <c r="C217" s="1161" t="str">
        <f>'Corrected and Updated TSF 3'!E217</f>
        <v>9th Floor</v>
      </c>
      <c r="D217" s="1146">
        <f>'INTERNAL PRICELIST'!D217</f>
        <v>0</v>
      </c>
      <c r="E217" s="1146" t="str">
        <f>'Corrected and Updated TSF 3'!G217</f>
        <v>E-9I</v>
      </c>
      <c r="F217" s="1162" t="str">
        <f>'Corrected and Updated TSF 3'!I217</f>
        <v>Studio</v>
      </c>
      <c r="G217" s="1163">
        <f>'Corrected and Updated TSF 3'!J217</f>
        <v>22</v>
      </c>
      <c r="H217" s="1163">
        <f>'Corrected and Updated TSF 3'!CG217</f>
        <v>3971255.4173121247</v>
      </c>
      <c r="I217" s="1163">
        <f>SUM('Corrected and Updated TSF 3'!CI217:CJ217)</f>
        <v>506335.0657072959</v>
      </c>
      <c r="J217" s="1163">
        <f>'Corrected and Updated TSF 3'!CH217</f>
        <v>0</v>
      </c>
      <c r="K217" s="1163">
        <f>'Corrected and Updated TSF 3'!CK217</f>
        <v>4477590.4830194209</v>
      </c>
      <c r="L217" s="1164">
        <f>'Corrected and Updated TSF 3'!CL217</f>
        <v>0.125</v>
      </c>
      <c r="M217" s="1163">
        <f>'Corrected and Updated TSF 3'!CM217</f>
        <v>559698.81037742761</v>
      </c>
      <c r="N217" s="1163">
        <f>'Corrected and Updated TSF 3'!CN217</f>
        <v>30000</v>
      </c>
      <c r="O217" s="1163">
        <f>'Corrected and Updated TSF 3'!CO217</f>
        <v>529698.81037742761</v>
      </c>
      <c r="P217" s="1162">
        <f>'Corrected and Updated TSF 3'!CP217</f>
        <v>29</v>
      </c>
      <c r="Q217" s="1163">
        <f>'Corrected and Updated TSF 3'!CQ217</f>
        <v>18265.476219911296</v>
      </c>
      <c r="R217" s="1163">
        <f>'Corrected and Updated TSF 3'!CS217</f>
        <v>3917891.6726419935</v>
      </c>
      <c r="S217" s="1163">
        <f>'Corrected and Updated TSF 3'!CT217</f>
        <v>30375.372436693899</v>
      </c>
      <c r="T217" s="1165">
        <f>'Corrected and Updated TSF 3'!CU217</f>
        <v>35215.117975079258</v>
      </c>
      <c r="U217" s="1166">
        <f>'Corrected and Updated TSF 3'!CV217</f>
        <v>45490.044385377318</v>
      </c>
      <c r="V217" s="1166">
        <f>'Corrected and Updated TSF 3'!CW217</f>
        <v>77578.950869566252</v>
      </c>
      <c r="W217" s="1102">
        <f>'Corrected and Updated TSF 3'!CX217</f>
        <v>318262.79364336049</v>
      </c>
      <c r="X217" s="1102">
        <f>'Corrected and Updated TSF 3'!CY217</f>
        <v>125935.03709759978</v>
      </c>
      <c r="Y217" s="1102">
        <f>'Corrected and Updated TSF 3'!CZ217</f>
        <v>90961.093653158736</v>
      </c>
      <c r="Z217" s="1102">
        <f>'Corrected and Updated TSF 3'!DA217</f>
        <v>69225.579902523343</v>
      </c>
      <c r="AA217" s="821">
        <f>L217-'Corrected and Updated TSF 3'!CL217</f>
        <v>0</v>
      </c>
      <c r="AB217" s="678">
        <f>N217-'Corrected and Updated TSF 3'!CN217</f>
        <v>0</v>
      </c>
      <c r="AC217" s="678">
        <f>Q217-'Corrected and Updated TSF 3'!CQ217</f>
        <v>0</v>
      </c>
      <c r="AD217" s="775"/>
      <c r="AE217" s="775"/>
      <c r="AF217" s="775"/>
      <c r="AG217" s="775"/>
      <c r="AR217" s="119"/>
      <c r="AS217" s="119"/>
    </row>
    <row r="218" spans="1:47" ht="12.75" hidden="1" customHeight="1">
      <c r="A218" s="631" t="str">
        <f t="shared" si="3"/>
        <v>E-9J</v>
      </c>
      <c r="B218" s="632" t="str">
        <f>'Corrected and Updated TSF 3'!EP218</f>
        <v>SOLD</v>
      </c>
      <c r="C218" s="1167" t="str">
        <f>'Corrected and Updated TSF 3'!E218</f>
        <v>9th Floor</v>
      </c>
      <c r="D218" s="1134">
        <f>'INTERNAL PRICELIST'!D218</f>
        <v>0</v>
      </c>
      <c r="E218" s="1134" t="str">
        <f>'Corrected and Updated TSF 3'!G218</f>
        <v>E-9J</v>
      </c>
      <c r="F218" s="1168" t="str">
        <f>'Corrected and Updated TSF 3'!I218</f>
        <v>Studio</v>
      </c>
      <c r="G218" s="1169">
        <f>'Corrected and Updated TSF 3'!J218</f>
        <v>22</v>
      </c>
      <c r="H218" s="1169">
        <f>'Corrected and Updated TSF 3'!CG218</f>
        <v>3971255.4173121247</v>
      </c>
      <c r="I218" s="1169">
        <f>SUM('Corrected and Updated TSF 3'!CI218:CJ218)</f>
        <v>506335.0657072959</v>
      </c>
      <c r="J218" s="1169">
        <f>'Corrected and Updated TSF 3'!CH218</f>
        <v>0</v>
      </c>
      <c r="K218" s="1169">
        <f>'Corrected and Updated TSF 3'!CK218</f>
        <v>4477590.4830194209</v>
      </c>
      <c r="L218" s="1170">
        <f>'Corrected and Updated TSF 3'!CL218</f>
        <v>0.125</v>
      </c>
      <c r="M218" s="1169">
        <f>'Corrected and Updated TSF 3'!CM218</f>
        <v>559698.81037742761</v>
      </c>
      <c r="N218" s="1169">
        <f>'Corrected and Updated TSF 3'!CN218</f>
        <v>30000</v>
      </c>
      <c r="O218" s="1169">
        <f>'Corrected and Updated TSF 3'!CO218</f>
        <v>529698.81037742761</v>
      </c>
      <c r="P218" s="1168">
        <f>'Corrected and Updated TSF 3'!CP218</f>
        <v>29</v>
      </c>
      <c r="Q218" s="1169">
        <f>'Corrected and Updated TSF 3'!CQ218</f>
        <v>18265.476219911296</v>
      </c>
      <c r="R218" s="1169">
        <f>'Corrected and Updated TSF 3'!CS218</f>
        <v>3917891.6726419935</v>
      </c>
      <c r="S218" s="1169">
        <f>'Corrected and Updated TSF 3'!CT218</f>
        <v>30375.372436693899</v>
      </c>
      <c r="T218" s="1166">
        <f>'Corrected and Updated TSF 3'!CU218</f>
        <v>35215.117975079258</v>
      </c>
      <c r="U218" s="1166">
        <f>'Corrected and Updated TSF 3'!CV218</f>
        <v>45490.044385377318</v>
      </c>
      <c r="V218" s="1166">
        <f>'Corrected and Updated TSF 3'!CW218</f>
        <v>77578.950869566252</v>
      </c>
      <c r="W218" s="1102">
        <f>'Corrected and Updated TSF 3'!CX218</f>
        <v>318262.79364336049</v>
      </c>
      <c r="X218" s="1102">
        <f>'Corrected and Updated TSF 3'!CY218</f>
        <v>125935.03709759978</v>
      </c>
      <c r="Y218" s="1102">
        <f>'Corrected and Updated TSF 3'!CZ218</f>
        <v>90961.093653158736</v>
      </c>
      <c r="Z218" s="1102">
        <f>'Corrected and Updated TSF 3'!DA218</f>
        <v>69225.579902523343</v>
      </c>
      <c r="AA218" s="821">
        <f>L218-'Corrected and Updated TSF 3'!CL218</f>
        <v>0</v>
      </c>
      <c r="AB218" s="678">
        <f>N218-'Corrected and Updated TSF 3'!CN218</f>
        <v>0</v>
      </c>
      <c r="AC218" s="678">
        <f>Q218-'Corrected and Updated TSF 3'!CQ218</f>
        <v>0</v>
      </c>
      <c r="AD218" s="775"/>
      <c r="AE218" s="775"/>
      <c r="AF218" s="775"/>
      <c r="AG218" s="775"/>
      <c r="AR218" s="119"/>
      <c r="AS218" s="119"/>
    </row>
    <row r="219" spans="1:47" ht="12.75" hidden="1" customHeight="1">
      <c r="A219" s="631" t="str">
        <f t="shared" si="3"/>
        <v>E-9K</v>
      </c>
      <c r="B219" s="632" t="str">
        <f>'Corrected and Updated TSF 3'!EP219</f>
        <v>SOLD</v>
      </c>
      <c r="C219" s="1167" t="str">
        <f>'Corrected and Updated TSF 3'!E219</f>
        <v>9th Floor</v>
      </c>
      <c r="D219" s="1134">
        <f>'INTERNAL PRICELIST'!D219</f>
        <v>0</v>
      </c>
      <c r="E219" s="1134" t="str">
        <f>'Corrected and Updated TSF 3'!G219</f>
        <v>E-9K</v>
      </c>
      <c r="F219" s="1168" t="str">
        <f>'Corrected and Updated TSF 3'!I219</f>
        <v>Studio</v>
      </c>
      <c r="G219" s="1169">
        <f>'Corrected and Updated TSF 3'!J219</f>
        <v>22</v>
      </c>
      <c r="H219" s="1169">
        <f>'Corrected and Updated TSF 3'!CG219</f>
        <v>3914259.0272321003</v>
      </c>
      <c r="I219" s="1169">
        <f>SUM('Corrected and Updated TSF 3'!CI219:CJ219)</f>
        <v>499068.02597209276</v>
      </c>
      <c r="J219" s="1169">
        <f>'Corrected and Updated TSF 3'!CH219</f>
        <v>0</v>
      </c>
      <c r="K219" s="1169">
        <f>'Corrected and Updated TSF 3'!CK219</f>
        <v>4413327.0532041937</v>
      </c>
      <c r="L219" s="1170">
        <f>'Corrected and Updated TSF 3'!CL219</f>
        <v>0.125</v>
      </c>
      <c r="M219" s="1169">
        <f>'Corrected and Updated TSF 3'!CM219</f>
        <v>551665.88165052421</v>
      </c>
      <c r="N219" s="1169">
        <f>'Corrected and Updated TSF 3'!CN219</f>
        <v>30000</v>
      </c>
      <c r="O219" s="1169">
        <f>'Corrected and Updated TSF 3'!CO219</f>
        <v>521665.88165052421</v>
      </c>
      <c r="P219" s="1168">
        <f>'Corrected and Updated TSF 3'!CP219</f>
        <v>29</v>
      </c>
      <c r="Q219" s="1169">
        <f>'Corrected and Updated TSF 3'!CQ219</f>
        <v>17988.478677604282</v>
      </c>
      <c r="R219" s="1169">
        <f>'Corrected and Updated TSF 3'!CS219</f>
        <v>3861661.1715536695</v>
      </c>
      <c r="S219" s="1169">
        <f>'Corrected and Updated TSF 3'!CT219</f>
        <v>29939.417960262963</v>
      </c>
      <c r="T219" s="1166">
        <f>'Corrected and Updated TSF 3'!CU219</f>
        <v>34709.702334455425</v>
      </c>
      <c r="U219" s="1166">
        <f>'Corrected and Updated TSF 3'!CV219</f>
        <v>44837.160588670667</v>
      </c>
      <c r="V219" s="1166">
        <f>'Corrected and Updated TSF 3'!CW219</f>
        <v>76465.519553492995</v>
      </c>
      <c r="W219" s="1102">
        <f>'Corrected and Updated TSF 3'!CX219</f>
        <v>313695.01131050492</v>
      </c>
      <c r="X219" s="1102">
        <f>'Corrected and Updated TSF 3'!CY219</f>
        <v>124127.58787943407</v>
      </c>
      <c r="Y219" s="1102">
        <f>'Corrected and Updated TSF 3'!CZ219</f>
        <v>89655.598682132651</v>
      </c>
      <c r="Z219" s="1102">
        <f>'Corrected and Updated TSF 3'!DA219</f>
        <v>68232.038127688167</v>
      </c>
      <c r="AA219" s="821">
        <f>L219-'Corrected and Updated TSF 3'!CL219</f>
        <v>0</v>
      </c>
      <c r="AB219" s="678">
        <f>N219-'Corrected and Updated TSF 3'!CN219</f>
        <v>0</v>
      </c>
      <c r="AC219" s="678">
        <f>Q219-'Corrected and Updated TSF 3'!CQ219</f>
        <v>0</v>
      </c>
      <c r="AD219" s="775"/>
      <c r="AE219" s="775"/>
      <c r="AF219" s="775"/>
      <c r="AG219" s="775"/>
      <c r="AR219" s="119"/>
      <c r="AS219" s="119"/>
    </row>
    <row r="220" spans="1:47" s="1148" customFormat="1" ht="12.75" customHeight="1">
      <c r="A220" s="631" t="str">
        <f t="shared" si="3"/>
        <v>E-9L</v>
      </c>
      <c r="B220" s="632" t="str">
        <f>'Corrected and Updated TSF 3'!EP220</f>
        <v>UNSOLD</v>
      </c>
      <c r="C220" s="1167" t="str">
        <f>'Corrected and Updated TSF 3'!E220</f>
        <v>9th Floor</v>
      </c>
      <c r="D220" s="1134">
        <f>'INTERNAL PRICELIST'!D220</f>
        <v>0</v>
      </c>
      <c r="E220" s="1134" t="str">
        <f>'Corrected and Updated TSF 3'!G220</f>
        <v>E-9L</v>
      </c>
      <c r="F220" s="1168" t="str">
        <f>'Corrected and Updated TSF 3'!I220</f>
        <v>Studio</v>
      </c>
      <c r="G220" s="1169">
        <f>'Corrected and Updated TSF 3'!J220</f>
        <v>22</v>
      </c>
      <c r="H220" s="1169">
        <f>'Corrected and Updated TSF 3'!CG220</f>
        <v>3968410.1637199251</v>
      </c>
      <c r="I220" s="1169">
        <f>SUM('Corrected and Updated TSF 3'!CI220:CJ220)</f>
        <v>505972.2958742904</v>
      </c>
      <c r="J220" s="1169">
        <f>'Corrected and Updated TSF 3'!CH220</f>
        <v>0</v>
      </c>
      <c r="K220" s="1169">
        <f>'Corrected and Updated TSF 3'!CK220</f>
        <v>4474382.4595942153</v>
      </c>
      <c r="L220" s="1170">
        <f>'Corrected and Updated TSF 3'!CL220</f>
        <v>0.125</v>
      </c>
      <c r="M220" s="1169">
        <f>'Corrected and Updated TSF 3'!CM220</f>
        <v>559297.80744927691</v>
      </c>
      <c r="N220" s="1169">
        <f>'Corrected and Updated TSF 3'!CN220</f>
        <v>30000</v>
      </c>
      <c r="O220" s="1169">
        <f>'Corrected and Updated TSF 3'!CO220</f>
        <v>529297.80744927691</v>
      </c>
      <c r="P220" s="1168">
        <f>'Corrected and Updated TSF 3'!CP220</f>
        <v>29</v>
      </c>
      <c r="Q220" s="1169">
        <f>'Corrected and Updated TSF 3'!CQ220</f>
        <v>18251.648532733685</v>
      </c>
      <c r="R220" s="1169">
        <f>'Corrected and Updated TSF 3'!CS220</f>
        <v>3915084.6521449382</v>
      </c>
      <c r="S220" s="1169">
        <f>'Corrected and Updated TSF 3'!CT220</f>
        <v>30353.609636657624</v>
      </c>
      <c r="T220" s="1166">
        <f>'Corrected and Updated TSF 3'!CU220</f>
        <v>35189.887681283108</v>
      </c>
      <c r="U220" s="1166">
        <f>'Corrected and Updated TSF 3'!CV220</f>
        <v>45457.452497272461</v>
      </c>
      <c r="V220" s="1166">
        <f>'Corrected and Updated TSF 3'!CW220</f>
        <v>77523.368499397227</v>
      </c>
      <c r="W220" s="1102">
        <f>'Corrected and Updated TSF 3'!CX220</f>
        <v>318034.77044622996</v>
      </c>
      <c r="X220" s="1102">
        <f>'Corrected and Updated TSF 3'!CY220</f>
        <v>125844.80942926</v>
      </c>
      <c r="Y220" s="1102">
        <f>'Corrected and Updated TSF 3'!CZ220</f>
        <v>90895.92348622893</v>
      </c>
      <c r="Z220" s="1102">
        <f>'Corrected and Updated TSF 3'!DA220</f>
        <v>69175.982405210234</v>
      </c>
      <c r="AA220" s="821">
        <f>L220-'Corrected and Updated TSF 3'!CL220</f>
        <v>0</v>
      </c>
      <c r="AB220" s="678">
        <f>N220-'Corrected and Updated TSF 3'!CN220</f>
        <v>0</v>
      </c>
      <c r="AC220" s="678">
        <f>Q220-'Corrected and Updated TSF 3'!CQ220</f>
        <v>0</v>
      </c>
      <c r="AD220" s="775"/>
      <c r="AE220" s="775"/>
      <c r="AF220" s="775"/>
      <c r="AG220" s="775"/>
      <c r="AH220" s="677"/>
      <c r="AI220" s="677"/>
      <c r="AJ220" s="677"/>
      <c r="AK220" s="677"/>
      <c r="AL220" s="521"/>
      <c r="AM220" s="521"/>
      <c r="AN220" s="521"/>
      <c r="AO220" s="521"/>
      <c r="AP220" s="521"/>
      <c r="AQ220" s="521"/>
      <c r="AR220" s="521"/>
      <c r="AS220" s="521"/>
      <c r="AT220" s="521"/>
      <c r="AU220" s="521"/>
    </row>
    <row r="221" spans="1:47" ht="12.75" hidden="1" customHeight="1">
      <c r="A221" s="631" t="str">
        <f t="shared" si="3"/>
        <v>E-9M</v>
      </c>
      <c r="B221" s="632" t="str">
        <f>'Corrected and Updated TSF 3'!EP221</f>
        <v>SOLD</v>
      </c>
      <c r="C221" s="973" t="str">
        <f>'Corrected and Updated TSF 3'!E221</f>
        <v>9th Floor</v>
      </c>
      <c r="D221" s="974">
        <f>'INTERNAL PRICELIST'!D221</f>
        <v>0</v>
      </c>
      <c r="E221" s="975" t="str">
        <f>'Corrected and Updated TSF 3'!G221</f>
        <v>E-9M</v>
      </c>
      <c r="F221" s="976" t="str">
        <f>'Corrected and Updated TSF 3'!I221</f>
        <v>Studio</v>
      </c>
      <c r="G221" s="977">
        <f>'Corrected and Updated TSF 3'!J221</f>
        <v>22</v>
      </c>
      <c r="H221" s="977">
        <f>'Corrected and Updated TSF 3'!CG221</f>
        <v>3876701.4338454176</v>
      </c>
      <c r="I221" s="977">
        <f>SUM('Corrected and Updated TSF 3'!CI221:CJ221)</f>
        <v>494279.43281529075</v>
      </c>
      <c r="J221" s="977">
        <f>'Corrected and Updated TSF 3'!CH221</f>
        <v>0</v>
      </c>
      <c r="K221" s="977">
        <f>'Corrected and Updated TSF 3'!CK221</f>
        <v>4370980.8666607086</v>
      </c>
      <c r="L221" s="978">
        <f>'Corrected and Updated TSF 3'!CL221</f>
        <v>0.125</v>
      </c>
      <c r="M221" s="977">
        <f>'Corrected and Updated TSF 3'!CM221</f>
        <v>546372.60833258857</v>
      </c>
      <c r="N221" s="977">
        <f>'Corrected and Updated TSF 3'!CN221</f>
        <v>30000</v>
      </c>
      <c r="O221" s="977">
        <f>'Corrected and Updated TSF 3'!CO221</f>
        <v>516372.60833258857</v>
      </c>
      <c r="P221" s="976">
        <f>'Corrected and Updated TSF 3'!CP221</f>
        <v>29</v>
      </c>
      <c r="Q221" s="977">
        <f>'Corrected and Updated TSF 3'!CQ221</f>
        <v>17805.952011468573</v>
      </c>
      <c r="R221" s="977">
        <f>'Corrected and Updated TSF 3'!CS221</f>
        <v>3824608.2583281202</v>
      </c>
      <c r="S221" s="977">
        <f>'Corrected and Updated TSF 3'!CT221</f>
        <v>29652.147118409492</v>
      </c>
      <c r="T221" s="636">
        <f>'Corrected and Updated TSF 3'!CU221</f>
        <v>34376.660275209768</v>
      </c>
      <c r="U221" s="636">
        <f>'Corrected and Updated TSF 3'!CV221</f>
        <v>44406.94484814685</v>
      </c>
      <c r="V221" s="636">
        <f>'Corrected and Updated TSF 3'!CW221</f>
        <v>75731.827462215559</v>
      </c>
      <c r="W221" s="1102">
        <f>'Corrected and Updated TSF 3'!CX221</f>
        <v>310685.08539597952</v>
      </c>
      <c r="X221" s="1102">
        <f>'Corrected and Updated TSF 3'!CY221</f>
        <v>122936.57485724729</v>
      </c>
      <c r="Y221" s="1102">
        <f>'Corrected and Updated TSF 3'!CZ221</f>
        <v>88795.34684475635</v>
      </c>
      <c r="Z221" s="1102">
        <f>'Corrected and Updated TSF 3'!DA221</f>
        <v>67577.34687549567</v>
      </c>
      <c r="AA221" s="821">
        <f>L221-'Corrected and Updated TSF 3'!CL221</f>
        <v>0</v>
      </c>
      <c r="AB221" s="678">
        <f>N221-'Corrected and Updated TSF 3'!CN221</f>
        <v>0</v>
      </c>
      <c r="AC221" s="678">
        <f>Q221-'Corrected and Updated TSF 3'!CQ221</f>
        <v>0</v>
      </c>
      <c r="AD221" s="775"/>
      <c r="AE221" s="775"/>
      <c r="AF221" s="775"/>
      <c r="AG221" s="775"/>
      <c r="AL221" s="119"/>
      <c r="AM221" s="119"/>
      <c r="AN221" s="119"/>
      <c r="AO221" s="119"/>
      <c r="AP221" s="119"/>
      <c r="AQ221" s="119"/>
      <c r="AR221" s="119"/>
      <c r="AS221" s="119"/>
    </row>
    <row r="222" spans="1:47" hidden="1">
      <c r="A222" s="631" t="str">
        <f t="shared" si="3"/>
        <v>E-9N</v>
      </c>
      <c r="B222" s="632" t="str">
        <f>'Corrected and Updated TSF 3'!EP222</f>
        <v>SOLD</v>
      </c>
      <c r="C222" s="973" t="str">
        <f>'Corrected and Updated TSF 3'!E222</f>
        <v>9th Floor</v>
      </c>
      <c r="D222" s="974">
        <f>'INTERNAL PRICELIST'!D222</f>
        <v>0</v>
      </c>
      <c r="E222" s="975" t="str">
        <f>'Corrected and Updated TSF 3'!G222</f>
        <v>E-9N</v>
      </c>
      <c r="F222" s="976" t="str">
        <f>'Corrected and Updated TSF 3'!I222</f>
        <v>Studio</v>
      </c>
      <c r="G222" s="977">
        <f>'Corrected and Updated TSF 3'!J222</f>
        <v>22</v>
      </c>
      <c r="H222" s="977">
        <f>'Corrected and Updated TSF 3'!CG222</f>
        <v>3876701.4338454176</v>
      </c>
      <c r="I222" s="977">
        <f>SUM('Corrected and Updated TSF 3'!CI222:CJ222)</f>
        <v>494279.43281529075</v>
      </c>
      <c r="J222" s="977">
        <f>'Corrected and Updated TSF 3'!CH222</f>
        <v>0</v>
      </c>
      <c r="K222" s="977">
        <f>'Corrected and Updated TSF 3'!CK222</f>
        <v>4370980.8666607086</v>
      </c>
      <c r="L222" s="978">
        <f>'Corrected and Updated TSF 3'!CL222</f>
        <v>0.125</v>
      </c>
      <c r="M222" s="977">
        <f>'Corrected and Updated TSF 3'!CM222</f>
        <v>546372.60833258857</v>
      </c>
      <c r="N222" s="977">
        <f>'Corrected and Updated TSF 3'!CN222</f>
        <v>30000</v>
      </c>
      <c r="O222" s="977">
        <f>'Corrected and Updated TSF 3'!CO222</f>
        <v>516372.60833258857</v>
      </c>
      <c r="P222" s="976">
        <f>'Corrected and Updated TSF 3'!CP222</f>
        <v>29</v>
      </c>
      <c r="Q222" s="977">
        <f>'Corrected and Updated TSF 3'!CQ222</f>
        <v>17805.952011468573</v>
      </c>
      <c r="R222" s="977">
        <f>'Corrected and Updated TSF 3'!CS222</f>
        <v>3824608.2583281202</v>
      </c>
      <c r="S222" s="977">
        <f>'Corrected and Updated TSF 3'!CT222</f>
        <v>29652.147118409492</v>
      </c>
      <c r="T222" s="636">
        <f>'Corrected and Updated TSF 3'!CU222</f>
        <v>34376.660275209768</v>
      </c>
      <c r="U222" s="636">
        <f>'Corrected and Updated TSF 3'!CV222</f>
        <v>44406.94484814685</v>
      </c>
      <c r="V222" s="636">
        <f>'Corrected and Updated TSF 3'!CW222</f>
        <v>75731.827462215559</v>
      </c>
      <c r="W222" s="1102">
        <f>'Corrected and Updated TSF 3'!CX222</f>
        <v>310685.08539597952</v>
      </c>
      <c r="X222" s="1102">
        <f>'Corrected and Updated TSF 3'!CY222</f>
        <v>122936.57485724729</v>
      </c>
      <c r="Y222" s="1102">
        <f>'Corrected and Updated TSF 3'!CZ222</f>
        <v>88795.34684475635</v>
      </c>
      <c r="Z222" s="1102">
        <f>'Corrected and Updated TSF 3'!DA222</f>
        <v>67577.34687549567</v>
      </c>
      <c r="AA222" s="821">
        <f>L222-'Corrected and Updated TSF 3'!CL222</f>
        <v>0</v>
      </c>
      <c r="AB222" s="678">
        <f>N222-'Corrected and Updated TSF 3'!CN222</f>
        <v>0</v>
      </c>
      <c r="AC222" s="678">
        <f>Q222-'Corrected and Updated TSF 3'!CQ222</f>
        <v>0</v>
      </c>
      <c r="AD222" s="775"/>
      <c r="AE222" s="775"/>
      <c r="AF222" s="775"/>
      <c r="AG222" s="775"/>
      <c r="AL222" s="119"/>
      <c r="AM222" s="119"/>
      <c r="AN222" s="119"/>
      <c r="AO222" s="119"/>
      <c r="AP222" s="119"/>
      <c r="AQ222" s="119"/>
      <c r="AR222" s="119"/>
      <c r="AS222" s="119"/>
    </row>
    <row r="223" spans="1:47" ht="12.75" hidden="1" customHeight="1">
      <c r="A223" s="631" t="str">
        <f t="shared" si="3"/>
        <v>E-9O</v>
      </c>
      <c r="B223" s="632" t="str">
        <f>'Corrected and Updated TSF 3'!EP223</f>
        <v>SOLD</v>
      </c>
      <c r="C223" s="973" t="str">
        <f>'Corrected and Updated TSF 3'!E223</f>
        <v>9th Floor</v>
      </c>
      <c r="D223" s="974">
        <f>'INTERNAL PRICELIST'!D223</f>
        <v>0</v>
      </c>
      <c r="E223" s="975" t="str">
        <f>'Corrected and Updated TSF 3'!G223</f>
        <v>E-9O</v>
      </c>
      <c r="F223" s="976" t="str">
        <f>'Corrected and Updated TSF 3'!I223</f>
        <v>Studio</v>
      </c>
      <c r="G223" s="977">
        <f>'Corrected and Updated TSF 3'!J223</f>
        <v>22</v>
      </c>
      <c r="H223" s="977">
        <f>'Corrected and Updated TSF 3'!CG223</f>
        <v>3914259.0272321003</v>
      </c>
      <c r="I223" s="977">
        <f>SUM('Corrected and Updated TSF 3'!CI223:CJ223)</f>
        <v>499068.02597209276</v>
      </c>
      <c r="J223" s="977">
        <f>'Corrected and Updated TSF 3'!CH223</f>
        <v>0</v>
      </c>
      <c r="K223" s="977">
        <f>'Corrected and Updated TSF 3'!CK223</f>
        <v>4413327.0532041937</v>
      </c>
      <c r="L223" s="978">
        <f>'Corrected and Updated TSF 3'!CL223</f>
        <v>0.125</v>
      </c>
      <c r="M223" s="977">
        <f>'Corrected and Updated TSF 3'!CM223</f>
        <v>551665.88165052421</v>
      </c>
      <c r="N223" s="977">
        <f>'Corrected and Updated TSF 3'!CN223</f>
        <v>30000</v>
      </c>
      <c r="O223" s="977">
        <f>'Corrected and Updated TSF 3'!CO223</f>
        <v>521665.88165052421</v>
      </c>
      <c r="P223" s="976">
        <f>'Corrected and Updated TSF 3'!CP223</f>
        <v>29</v>
      </c>
      <c r="Q223" s="977">
        <f>'Corrected and Updated TSF 3'!CQ223</f>
        <v>17988.478677604282</v>
      </c>
      <c r="R223" s="977">
        <f>'Corrected and Updated TSF 3'!CS223</f>
        <v>3861661.1715536695</v>
      </c>
      <c r="S223" s="977">
        <f>'Corrected and Updated TSF 3'!CT223</f>
        <v>29939.417960262963</v>
      </c>
      <c r="T223" s="636">
        <f>'Corrected and Updated TSF 3'!CU223</f>
        <v>34709.702334455425</v>
      </c>
      <c r="U223" s="636">
        <f>'Corrected and Updated TSF 3'!CV223</f>
        <v>44837.160588670667</v>
      </c>
      <c r="V223" s="636">
        <f>'Corrected and Updated TSF 3'!CW223</f>
        <v>76465.519553492995</v>
      </c>
      <c r="W223" s="1102">
        <f>'Corrected and Updated TSF 3'!CX223</f>
        <v>313695.01131050492</v>
      </c>
      <c r="X223" s="1102">
        <f>'Corrected and Updated TSF 3'!CY223</f>
        <v>124127.58787943407</v>
      </c>
      <c r="Y223" s="1102">
        <f>'Corrected and Updated TSF 3'!CZ223</f>
        <v>89655.598682132651</v>
      </c>
      <c r="Z223" s="1102">
        <f>'Corrected and Updated TSF 3'!DA223</f>
        <v>68232.038127688167</v>
      </c>
      <c r="AA223" s="821">
        <f>L223-'Corrected and Updated TSF 3'!CL223</f>
        <v>0</v>
      </c>
      <c r="AB223" s="678">
        <f>N223-'Corrected and Updated TSF 3'!CN223</f>
        <v>0</v>
      </c>
      <c r="AC223" s="678">
        <f>Q223-'Corrected and Updated TSF 3'!CQ223</f>
        <v>0</v>
      </c>
      <c r="AD223" s="775"/>
      <c r="AE223" s="775"/>
      <c r="AF223" s="775"/>
      <c r="AG223" s="775"/>
      <c r="AL223" s="119"/>
      <c r="AM223" s="119"/>
      <c r="AN223" s="119"/>
      <c r="AO223" s="119"/>
      <c r="AP223" s="119"/>
      <c r="AQ223" s="119"/>
      <c r="AR223" s="119"/>
      <c r="AS223" s="119"/>
    </row>
    <row r="224" spans="1:47" ht="12.75" hidden="1" customHeight="1">
      <c r="A224" s="631" t="str">
        <f t="shared" si="3"/>
        <v>W-10A</v>
      </c>
      <c r="B224" s="632" t="str">
        <f>'Corrected and Updated TSF 3'!EP224</f>
        <v>SOLD</v>
      </c>
      <c r="C224" s="973" t="str">
        <f>'Corrected and Updated TSF 3'!E224</f>
        <v>10th Floor</v>
      </c>
      <c r="D224" s="974">
        <f>'INTERNAL PRICELIST'!D224</f>
        <v>0</v>
      </c>
      <c r="E224" s="975" t="str">
        <f>'Corrected and Updated TSF 3'!G224</f>
        <v>W-10A</v>
      </c>
      <c r="F224" s="976" t="str">
        <f>'Corrected and Updated TSF 3'!I224</f>
        <v>Studio</v>
      </c>
      <c r="G224" s="977">
        <f>'Corrected and Updated TSF 3'!J224</f>
        <v>22</v>
      </c>
      <c r="H224" s="977">
        <f>'Corrected and Updated TSF 3'!CG224</f>
        <v>4007078.6840272914</v>
      </c>
      <c r="I224" s="977">
        <f>SUM('Corrected and Updated TSF 3'!CI224:CJ224)</f>
        <v>510902.53221347963</v>
      </c>
      <c r="J224" s="977">
        <f>'Corrected and Updated TSF 3'!CH224</f>
        <v>0</v>
      </c>
      <c r="K224" s="977">
        <f>'Corrected and Updated TSF 3'!CK224</f>
        <v>4517981.2162407711</v>
      </c>
      <c r="L224" s="978">
        <f>'Corrected and Updated TSF 3'!CL224</f>
        <v>0.125</v>
      </c>
      <c r="M224" s="977">
        <f>'Corrected and Updated TSF 3'!CM224</f>
        <v>564747.65203009639</v>
      </c>
      <c r="N224" s="977">
        <f>'Corrected and Updated TSF 3'!CN224</f>
        <v>30000</v>
      </c>
      <c r="O224" s="977">
        <f>'Corrected and Updated TSF 3'!CO224</f>
        <v>534747.65203009639</v>
      </c>
      <c r="P224" s="976">
        <f>'Corrected and Updated TSF 3'!CP224</f>
        <v>29</v>
      </c>
      <c r="Q224" s="977">
        <f>'Corrected and Updated TSF 3'!CQ224</f>
        <v>18439.574207934358</v>
      </c>
      <c r="R224" s="977">
        <f>'Corrected and Updated TSF 3'!CS224</f>
        <v>3953233.5642106747</v>
      </c>
      <c r="S224" s="977">
        <f>'Corrected and Updated TSF 3'!CT224</f>
        <v>30649.377745853461</v>
      </c>
      <c r="T224" s="636">
        <f>'Corrected and Updated TSF 3'!CU224</f>
        <v>35532.780887952576</v>
      </c>
      <c r="U224" s="636">
        <f>'Corrected and Updated TSF 3'!CV224</f>
        <v>45900.393713652222</v>
      </c>
      <c r="V224" s="636">
        <f>'Corrected and Updated TSF 3'!CW224</f>
        <v>78278.762681309207</v>
      </c>
      <c r="W224" s="1102">
        <f>'Corrected and Updated TSF 3'!CX224</f>
        <v>321133.72783019172</v>
      </c>
      <c r="X224" s="1102">
        <f>'Corrected and Updated TSF 3'!CY224</f>
        <v>127071.05177020554</v>
      </c>
      <c r="Y224" s="1102">
        <f>'Corrected and Updated TSF 3'!CZ224</f>
        <v>91781.620961584995</v>
      </c>
      <c r="Z224" s="1102">
        <f>'Corrected and Updated TSF 3'!DA224</f>
        <v>69850.038959362006</v>
      </c>
      <c r="AA224" s="821">
        <f>L224-'Corrected and Updated TSF 3'!CL224</f>
        <v>0</v>
      </c>
      <c r="AB224" s="678">
        <f>N224-'Corrected and Updated TSF 3'!CN224</f>
        <v>0</v>
      </c>
      <c r="AC224" s="678">
        <f>Q224-'Corrected and Updated TSF 3'!CQ224</f>
        <v>0</v>
      </c>
      <c r="AD224" s="775"/>
      <c r="AE224" s="775"/>
      <c r="AF224" s="775"/>
      <c r="AG224" s="775"/>
      <c r="AL224" s="119"/>
      <c r="AM224" s="119"/>
      <c r="AN224" s="119"/>
      <c r="AO224" s="119"/>
      <c r="AP224" s="119"/>
      <c r="AQ224" s="119"/>
      <c r="AR224" s="119"/>
      <c r="AS224" s="119"/>
    </row>
    <row r="225" spans="1:47" ht="12.75" hidden="1" customHeight="1">
      <c r="A225" s="631" t="str">
        <f t="shared" si="3"/>
        <v>W-10B</v>
      </c>
      <c r="B225" s="632" t="str">
        <f>'Corrected and Updated TSF 3'!EP225</f>
        <v>SOLD</v>
      </c>
      <c r="C225" s="973" t="str">
        <f>'Corrected and Updated TSF 3'!E225</f>
        <v>10th Floor</v>
      </c>
      <c r="D225" s="974">
        <f>'INTERNAL PRICELIST'!D225</f>
        <v>0</v>
      </c>
      <c r="E225" s="975" t="str">
        <f>'Corrected and Updated TSF 3'!G225</f>
        <v>W-10B</v>
      </c>
      <c r="F225" s="976" t="str">
        <f>'Corrected and Updated TSF 3'!I225</f>
        <v>Studio</v>
      </c>
      <c r="G225" s="977">
        <f>'Corrected and Updated TSF 3'!J225</f>
        <v>22</v>
      </c>
      <c r="H225" s="977">
        <f>'Corrected and Updated TSF 3'!CG225</f>
        <v>3911204.7005605833</v>
      </c>
      <c r="I225" s="977">
        <f>SUM('Corrected and Updated TSF 3'!CI225:CJ225)</f>
        <v>498678.59932147438</v>
      </c>
      <c r="J225" s="977">
        <f>'Corrected and Updated TSF 3'!CH225</f>
        <v>0</v>
      </c>
      <c r="K225" s="977">
        <f>'Corrected and Updated TSF 3'!CK225</f>
        <v>4409883.2998820571</v>
      </c>
      <c r="L225" s="978">
        <f>'Corrected and Updated TSF 3'!CL225</f>
        <v>0.125</v>
      </c>
      <c r="M225" s="977">
        <f>'Corrected and Updated TSF 3'!CM225</f>
        <v>551235.41248525714</v>
      </c>
      <c r="N225" s="977">
        <f>'Corrected and Updated TSF 3'!CN225</f>
        <v>30000</v>
      </c>
      <c r="O225" s="977">
        <f>'Corrected and Updated TSF 3'!CO225</f>
        <v>521235.41248525714</v>
      </c>
      <c r="P225" s="976">
        <f>'Corrected and Updated TSF 3'!CP225</f>
        <v>29</v>
      </c>
      <c r="Q225" s="977">
        <f>'Corrected and Updated TSF 3'!CQ225</f>
        <v>17973.634913284728</v>
      </c>
      <c r="R225" s="977">
        <f>'Corrected and Updated TSF 3'!CS225</f>
        <v>3858647.8873967999</v>
      </c>
      <c r="S225" s="977">
        <f>'Corrected and Updated TSF 3'!CT225</f>
        <v>29916.056000267581</v>
      </c>
      <c r="T225" s="636">
        <f>'Corrected and Updated TSF 3'!CU225</f>
        <v>34682.618084572365</v>
      </c>
      <c r="U225" s="636">
        <f>'Corrected and Updated TSF 3'!CV225</f>
        <v>44802.173804579899</v>
      </c>
      <c r="V225" s="636">
        <f>'Corrected and Updated TSF 3'!CW225</f>
        <v>76405.852915644326</v>
      </c>
      <c r="W225" s="1102">
        <f>'Corrected and Updated TSF 3'!CX225</f>
        <v>313450.23266067571</v>
      </c>
      <c r="X225" s="1102">
        <f>'Corrected and Updated TSF 3'!CY225</f>
        <v>124030.7301600819</v>
      </c>
      <c r="Y225" s="1102">
        <f>'Corrected and Updated TSF 3'!CZ225</f>
        <v>89585.639723259301</v>
      </c>
      <c r="Z225" s="1102">
        <f>'Corrected and Updated TSF 3'!DA225</f>
        <v>68178.796139241429</v>
      </c>
      <c r="AA225" s="821">
        <f>L225-'Corrected and Updated TSF 3'!CL225</f>
        <v>0</v>
      </c>
      <c r="AB225" s="678">
        <f>N225-'Corrected and Updated TSF 3'!CN225</f>
        <v>0</v>
      </c>
      <c r="AC225" s="678">
        <f>Q225-'Corrected and Updated TSF 3'!CQ225</f>
        <v>0</v>
      </c>
      <c r="AD225" s="775"/>
      <c r="AE225" s="775"/>
      <c r="AF225" s="775"/>
      <c r="AG225" s="775"/>
      <c r="AL225" s="119"/>
      <c r="AM225" s="119"/>
      <c r="AN225" s="119"/>
      <c r="AO225" s="119"/>
      <c r="AP225" s="119"/>
      <c r="AQ225" s="119"/>
      <c r="AR225" s="119"/>
      <c r="AS225" s="119"/>
    </row>
    <row r="226" spans="1:47" ht="12.75" hidden="1" customHeight="1">
      <c r="A226" s="631" t="str">
        <f t="shared" si="3"/>
        <v>W-10C</v>
      </c>
      <c r="B226" s="632" t="str">
        <f>'Corrected and Updated TSF 3'!EP226</f>
        <v>SOLD</v>
      </c>
      <c r="C226" s="820" t="str">
        <f>'Corrected and Updated TSF 3'!E226</f>
        <v>10th Floor</v>
      </c>
      <c r="D226" s="628">
        <f>'INTERNAL PRICELIST'!D226</f>
        <v>0</v>
      </c>
      <c r="E226" s="596" t="str">
        <f>'Corrected and Updated TSF 3'!G226</f>
        <v>W-10C</v>
      </c>
      <c r="F226" s="401" t="str">
        <f>'Corrected and Updated TSF 3'!I226</f>
        <v>Studio</v>
      </c>
      <c r="G226" s="633">
        <f>'Corrected and Updated TSF 3'!J226</f>
        <v>22</v>
      </c>
      <c r="H226" s="633">
        <f>'Corrected and Updated TSF 3'!CG226</f>
        <v>3911204.7005605833</v>
      </c>
      <c r="I226" s="633">
        <f>SUM('Corrected and Updated TSF 3'!CI226:CJ226)</f>
        <v>498678.59932147438</v>
      </c>
      <c r="J226" s="633">
        <f>'Corrected and Updated TSF 3'!CH226</f>
        <v>0</v>
      </c>
      <c r="K226" s="633">
        <f>'Corrected and Updated TSF 3'!CK226</f>
        <v>4409883.2998820571</v>
      </c>
      <c r="L226" s="634">
        <f>'Corrected and Updated TSF 3'!CL226</f>
        <v>0.125</v>
      </c>
      <c r="M226" s="633">
        <f>'Corrected and Updated TSF 3'!CM226</f>
        <v>551235.41248525714</v>
      </c>
      <c r="N226" s="633">
        <f>'Corrected and Updated TSF 3'!CN226</f>
        <v>30000</v>
      </c>
      <c r="O226" s="633">
        <f>'Corrected and Updated TSF 3'!CO226</f>
        <v>521235.41248525714</v>
      </c>
      <c r="P226" s="401">
        <f>'Corrected and Updated TSF 3'!CP226</f>
        <v>29</v>
      </c>
      <c r="Q226" s="633">
        <f>'Corrected and Updated TSF 3'!CQ226</f>
        <v>17973.634913284728</v>
      </c>
      <c r="R226" s="633">
        <f>'Corrected and Updated TSF 3'!CS226</f>
        <v>3858647.8873967999</v>
      </c>
      <c r="S226" s="633">
        <f>'Corrected and Updated TSF 3'!CT226</f>
        <v>29916.056000267581</v>
      </c>
      <c r="T226" s="635">
        <f>'Corrected and Updated TSF 3'!CU226</f>
        <v>34682.618084572365</v>
      </c>
      <c r="U226" s="636">
        <f>'Corrected and Updated TSF 3'!CV226</f>
        <v>44802.173804579899</v>
      </c>
      <c r="V226" s="636">
        <f>'Corrected and Updated TSF 3'!CW226</f>
        <v>76405.852915644326</v>
      </c>
      <c r="W226" s="1102">
        <f>'Corrected and Updated TSF 3'!CX226</f>
        <v>313450.23266067571</v>
      </c>
      <c r="X226" s="1102">
        <f>'Corrected and Updated TSF 3'!CY226</f>
        <v>124030.7301600819</v>
      </c>
      <c r="Y226" s="1102">
        <f>'Corrected and Updated TSF 3'!CZ226</f>
        <v>89585.639723259301</v>
      </c>
      <c r="Z226" s="1102">
        <f>'Corrected and Updated TSF 3'!DA226</f>
        <v>68178.796139241429</v>
      </c>
      <c r="AA226" s="821">
        <f>L226-'Corrected and Updated TSF 3'!CL226</f>
        <v>0</v>
      </c>
      <c r="AB226" s="678">
        <f>N226-'Corrected and Updated TSF 3'!CN226</f>
        <v>0</v>
      </c>
      <c r="AC226" s="678">
        <f>Q226-'Corrected and Updated TSF 3'!CQ226</f>
        <v>0</v>
      </c>
      <c r="AD226" s="775"/>
      <c r="AE226" s="775"/>
      <c r="AF226" s="775"/>
      <c r="AG226" s="775"/>
      <c r="AL226" s="119"/>
      <c r="AM226" s="119"/>
      <c r="AN226" s="119"/>
      <c r="AO226" s="119"/>
      <c r="AP226" s="119"/>
      <c r="AQ226" s="119"/>
      <c r="AR226" s="119"/>
      <c r="AS226" s="119"/>
    </row>
    <row r="227" spans="1:47" ht="12.75" hidden="1" customHeight="1">
      <c r="A227" s="631" t="str">
        <f t="shared" si="3"/>
        <v>W-10D</v>
      </c>
      <c r="B227" s="632" t="str">
        <f>'Corrected and Updated TSF 3'!EP227</f>
        <v>SOLD</v>
      </c>
      <c r="C227" s="973" t="str">
        <f>'Corrected and Updated TSF 3'!E227</f>
        <v>10th Floor</v>
      </c>
      <c r="D227" s="974">
        <f>'INTERNAL PRICELIST'!D227</f>
        <v>0</v>
      </c>
      <c r="E227" s="975" t="str">
        <f>'Corrected and Updated TSF 3'!G227</f>
        <v>W-10D</v>
      </c>
      <c r="F227" s="976" t="str">
        <f>'Corrected and Updated TSF 3'!I227</f>
        <v>Studio</v>
      </c>
      <c r="G227" s="977">
        <f>'Corrected and Updated TSF 3'!J227</f>
        <v>22</v>
      </c>
      <c r="H227" s="977">
        <f>'Corrected and Updated TSF 3'!CG227</f>
        <v>3911204.7005605833</v>
      </c>
      <c r="I227" s="977">
        <f>SUM('Corrected and Updated TSF 3'!CI227:CJ227)</f>
        <v>498678.59932147438</v>
      </c>
      <c r="J227" s="977">
        <f>'Corrected and Updated TSF 3'!CH227</f>
        <v>0</v>
      </c>
      <c r="K227" s="977">
        <f>'Corrected and Updated TSF 3'!CK227</f>
        <v>4409883.2998820571</v>
      </c>
      <c r="L227" s="978">
        <f>'Corrected and Updated TSF 3'!CL227</f>
        <v>0.125</v>
      </c>
      <c r="M227" s="977">
        <f>'Corrected and Updated TSF 3'!CM227</f>
        <v>551235.41248525714</v>
      </c>
      <c r="N227" s="977">
        <f>'Corrected and Updated TSF 3'!CN227</f>
        <v>30000</v>
      </c>
      <c r="O227" s="977">
        <f>'Corrected and Updated TSF 3'!CO227</f>
        <v>521235.41248525714</v>
      </c>
      <c r="P227" s="976">
        <f>'Corrected and Updated TSF 3'!CP227</f>
        <v>29</v>
      </c>
      <c r="Q227" s="977">
        <f>'Corrected and Updated TSF 3'!CQ227</f>
        <v>17973.634913284728</v>
      </c>
      <c r="R227" s="977">
        <f>'Corrected and Updated TSF 3'!CS227</f>
        <v>3858647.8873967999</v>
      </c>
      <c r="S227" s="977">
        <f>'Corrected and Updated TSF 3'!CT227</f>
        <v>29916.056000267581</v>
      </c>
      <c r="T227" s="636">
        <f>'Corrected and Updated TSF 3'!CU227</f>
        <v>34682.618084572365</v>
      </c>
      <c r="U227" s="636">
        <f>'Corrected and Updated TSF 3'!CV227</f>
        <v>44802.173804579899</v>
      </c>
      <c r="V227" s="636">
        <f>'Corrected and Updated TSF 3'!CW227</f>
        <v>76405.852915644326</v>
      </c>
      <c r="W227" s="1102">
        <f>'Corrected and Updated TSF 3'!CX227</f>
        <v>313450.23266067571</v>
      </c>
      <c r="X227" s="1102">
        <f>'Corrected and Updated TSF 3'!CY227</f>
        <v>124030.7301600819</v>
      </c>
      <c r="Y227" s="1102">
        <f>'Corrected and Updated TSF 3'!CZ227</f>
        <v>89585.639723259301</v>
      </c>
      <c r="Z227" s="1102">
        <f>'Corrected and Updated TSF 3'!DA227</f>
        <v>68178.796139241429</v>
      </c>
      <c r="AA227" s="821">
        <f>L227-'Corrected and Updated TSF 3'!CL227</f>
        <v>0</v>
      </c>
      <c r="AB227" s="678">
        <f>N227-'Corrected and Updated TSF 3'!CN227</f>
        <v>0</v>
      </c>
      <c r="AC227" s="678">
        <f>Q227-'Corrected and Updated TSF 3'!CQ227</f>
        <v>0</v>
      </c>
      <c r="AD227" s="775"/>
      <c r="AE227" s="775"/>
      <c r="AF227" s="775"/>
      <c r="AG227" s="775"/>
      <c r="AL227" s="119"/>
      <c r="AM227" s="119"/>
      <c r="AN227" s="119"/>
      <c r="AO227" s="119"/>
      <c r="AP227" s="119"/>
      <c r="AQ227" s="119"/>
      <c r="AR227" s="119"/>
      <c r="AS227" s="119"/>
    </row>
    <row r="228" spans="1:47" hidden="1">
      <c r="A228" s="631" t="str">
        <f t="shared" si="3"/>
        <v>W-10E</v>
      </c>
      <c r="B228" s="632" t="str">
        <f>'Corrected and Updated TSF 3'!EP228</f>
        <v>SOLD</v>
      </c>
      <c r="C228" s="820" t="str">
        <f>'Corrected and Updated TSF 3'!E228</f>
        <v>10th Floor</v>
      </c>
      <c r="D228" s="628">
        <f>'INTERNAL PRICELIST'!D228</f>
        <v>0</v>
      </c>
      <c r="E228" s="596" t="str">
        <f>'Corrected and Updated TSF 3'!G228</f>
        <v>W-10E</v>
      </c>
      <c r="F228" s="401" t="str">
        <f>'Corrected and Updated TSF 3'!I228</f>
        <v>Studio</v>
      </c>
      <c r="G228" s="633">
        <f>'Corrected and Updated TSF 3'!J228</f>
        <v>22</v>
      </c>
      <c r="H228" s="633">
        <f>'Corrected and Updated TSF 3'!CG228</f>
        <v>3911204.7005605833</v>
      </c>
      <c r="I228" s="633">
        <f>SUM('Corrected and Updated TSF 3'!CI228:CJ228)</f>
        <v>498678.59932147438</v>
      </c>
      <c r="J228" s="633">
        <f>'Corrected and Updated TSF 3'!CH228</f>
        <v>0</v>
      </c>
      <c r="K228" s="633">
        <f>'Corrected and Updated TSF 3'!CK228</f>
        <v>4409883.2998820571</v>
      </c>
      <c r="L228" s="634">
        <f>'Corrected and Updated TSF 3'!CL228</f>
        <v>0.125</v>
      </c>
      <c r="M228" s="633">
        <f>'Corrected and Updated TSF 3'!CM228</f>
        <v>551235.41248525714</v>
      </c>
      <c r="N228" s="633">
        <f>'Corrected and Updated TSF 3'!CN228</f>
        <v>30000</v>
      </c>
      <c r="O228" s="633">
        <f>'Corrected and Updated TSF 3'!CO228</f>
        <v>521235.41248525714</v>
      </c>
      <c r="P228" s="401">
        <f>'Corrected and Updated TSF 3'!CP228</f>
        <v>29</v>
      </c>
      <c r="Q228" s="633">
        <f>'Corrected and Updated TSF 3'!CQ228</f>
        <v>17973.634913284728</v>
      </c>
      <c r="R228" s="633">
        <f>'Corrected and Updated TSF 3'!CS228</f>
        <v>3858647.8873967999</v>
      </c>
      <c r="S228" s="633">
        <f>'Corrected and Updated TSF 3'!CT228</f>
        <v>29916.056000267581</v>
      </c>
      <c r="T228" s="635">
        <f>'Corrected and Updated TSF 3'!CU228</f>
        <v>34682.618084572365</v>
      </c>
      <c r="U228" s="636">
        <f>'Corrected and Updated TSF 3'!CV228</f>
        <v>44802.173804579899</v>
      </c>
      <c r="V228" s="636">
        <f>'Corrected and Updated TSF 3'!CW228</f>
        <v>76405.852915644326</v>
      </c>
      <c r="W228" s="1102">
        <f>'Corrected and Updated TSF 3'!CX228</f>
        <v>313450.23266067571</v>
      </c>
      <c r="X228" s="1102">
        <f>'Corrected and Updated TSF 3'!CY228</f>
        <v>124030.7301600819</v>
      </c>
      <c r="Y228" s="1102">
        <f>'Corrected and Updated TSF 3'!CZ228</f>
        <v>89585.639723259301</v>
      </c>
      <c r="Z228" s="1102">
        <f>'Corrected and Updated TSF 3'!DA228</f>
        <v>68178.796139241429</v>
      </c>
      <c r="AA228" s="821">
        <f>L228-'Corrected and Updated TSF 3'!CL228</f>
        <v>0</v>
      </c>
      <c r="AB228" s="678">
        <f>N228-'Corrected and Updated TSF 3'!CN228</f>
        <v>0</v>
      </c>
      <c r="AC228" s="678">
        <f>Q228-'Corrected and Updated TSF 3'!CQ228</f>
        <v>0</v>
      </c>
      <c r="AD228" s="775"/>
      <c r="AE228" s="775"/>
      <c r="AF228" s="775"/>
      <c r="AG228" s="775"/>
      <c r="AL228" s="119"/>
      <c r="AM228" s="119"/>
      <c r="AN228" s="119"/>
      <c r="AO228" s="119"/>
      <c r="AP228" s="119"/>
      <c r="AQ228" s="119"/>
      <c r="AR228" s="119"/>
      <c r="AS228" s="119"/>
    </row>
    <row r="229" spans="1:47" ht="12.75" hidden="1" customHeight="1">
      <c r="A229" s="631" t="str">
        <f t="shared" si="3"/>
        <v>W-10F</v>
      </c>
      <c r="B229" s="632" t="str">
        <f>'Corrected and Updated TSF 3'!EP229</f>
        <v>SOLD</v>
      </c>
      <c r="C229" s="820" t="str">
        <f>'Corrected and Updated TSF 3'!E229</f>
        <v>10th Floor</v>
      </c>
      <c r="D229" s="628">
        <f>'INTERNAL PRICELIST'!D229</f>
        <v>0</v>
      </c>
      <c r="E229" s="596" t="str">
        <f>'Corrected and Updated TSF 3'!G229</f>
        <v>W-10F</v>
      </c>
      <c r="F229" s="401" t="str">
        <f>'Corrected and Updated TSF 3'!I229</f>
        <v>Studio</v>
      </c>
      <c r="G229" s="633">
        <f>'Corrected and Updated TSF 3'!J229</f>
        <v>22</v>
      </c>
      <c r="H229" s="633">
        <f>'Corrected and Updated TSF 3'!CG229</f>
        <v>3911204.7005605833</v>
      </c>
      <c r="I229" s="633">
        <f>SUM('Corrected and Updated TSF 3'!CI229:CJ229)</f>
        <v>498678.59932147438</v>
      </c>
      <c r="J229" s="633">
        <f>'Corrected and Updated TSF 3'!CH229</f>
        <v>0</v>
      </c>
      <c r="K229" s="633">
        <f>'Corrected and Updated TSF 3'!CK229</f>
        <v>4409883.2998820571</v>
      </c>
      <c r="L229" s="634">
        <f>'Corrected and Updated TSF 3'!CL229</f>
        <v>0.125</v>
      </c>
      <c r="M229" s="633">
        <f>'Corrected and Updated TSF 3'!CM229</f>
        <v>551235.41248525714</v>
      </c>
      <c r="N229" s="633">
        <f>'Corrected and Updated TSF 3'!CN229</f>
        <v>30000</v>
      </c>
      <c r="O229" s="633">
        <f>'Corrected and Updated TSF 3'!CO229</f>
        <v>521235.41248525714</v>
      </c>
      <c r="P229" s="401">
        <f>'Corrected and Updated TSF 3'!CP229</f>
        <v>29</v>
      </c>
      <c r="Q229" s="633">
        <f>'Corrected and Updated TSF 3'!CQ229</f>
        <v>17973.634913284728</v>
      </c>
      <c r="R229" s="633">
        <f>'Corrected and Updated TSF 3'!CS229</f>
        <v>3858647.8873967999</v>
      </c>
      <c r="S229" s="633">
        <f>'Corrected and Updated TSF 3'!CT229</f>
        <v>29916.056000267581</v>
      </c>
      <c r="T229" s="635">
        <f>'Corrected and Updated TSF 3'!CU229</f>
        <v>34682.618084572365</v>
      </c>
      <c r="U229" s="636">
        <f>'Corrected and Updated TSF 3'!CV229</f>
        <v>44802.173804579899</v>
      </c>
      <c r="V229" s="636">
        <f>'Corrected and Updated TSF 3'!CW229</f>
        <v>76405.852915644326</v>
      </c>
      <c r="W229" s="1102">
        <f>'Corrected and Updated TSF 3'!CX229</f>
        <v>313450.23266067571</v>
      </c>
      <c r="X229" s="1102">
        <f>'Corrected and Updated TSF 3'!CY229</f>
        <v>124030.7301600819</v>
      </c>
      <c r="Y229" s="1102">
        <f>'Corrected and Updated TSF 3'!CZ229</f>
        <v>89585.639723259301</v>
      </c>
      <c r="Z229" s="1102">
        <f>'Corrected and Updated TSF 3'!DA229</f>
        <v>68178.796139241429</v>
      </c>
      <c r="AA229" s="821">
        <f>L229-'Corrected and Updated TSF 3'!CL229</f>
        <v>0</v>
      </c>
      <c r="AB229" s="678">
        <f>N229-'Corrected and Updated TSF 3'!CN229</f>
        <v>0</v>
      </c>
      <c r="AC229" s="678">
        <f>Q229-'Corrected and Updated TSF 3'!CQ229</f>
        <v>0</v>
      </c>
      <c r="AD229" s="775"/>
      <c r="AE229" s="775"/>
      <c r="AF229" s="775"/>
      <c r="AG229" s="775"/>
      <c r="AL229" s="119"/>
      <c r="AM229" s="119"/>
      <c r="AN229" s="119"/>
      <c r="AO229" s="119"/>
      <c r="AP229" s="119"/>
      <c r="AQ229" s="119"/>
      <c r="AR229" s="119"/>
      <c r="AS229" s="119"/>
    </row>
    <row r="230" spans="1:47" ht="12.75" hidden="1" customHeight="1">
      <c r="A230" s="631" t="str">
        <f t="shared" si="3"/>
        <v>W-10G</v>
      </c>
      <c r="B230" s="632" t="str">
        <f>'Corrected and Updated TSF 3'!EP230</f>
        <v>SOLD</v>
      </c>
      <c r="C230" s="973" t="str">
        <f>'Corrected and Updated TSF 3'!E230</f>
        <v>10th Floor</v>
      </c>
      <c r="D230" s="974">
        <f>'INTERNAL PRICELIST'!D230</f>
        <v>0</v>
      </c>
      <c r="E230" s="975" t="str">
        <f>'Corrected and Updated TSF 3'!G230</f>
        <v>W-10G</v>
      </c>
      <c r="F230" s="976" t="str">
        <f>'Corrected and Updated TSF 3'!I230</f>
        <v>Studio</v>
      </c>
      <c r="G230" s="977">
        <f>'Corrected and Updated TSF 3'!J230</f>
        <v>22</v>
      </c>
      <c r="H230" s="977">
        <f>'Corrected and Updated TSF 3'!CG230</f>
        <v>3911204.7005605833</v>
      </c>
      <c r="I230" s="977">
        <f>SUM('Corrected and Updated TSF 3'!CI230:CJ230)</f>
        <v>498678.59932147438</v>
      </c>
      <c r="J230" s="977">
        <f>'Corrected and Updated TSF 3'!CH230</f>
        <v>0</v>
      </c>
      <c r="K230" s="977">
        <f>'Corrected and Updated TSF 3'!CK230</f>
        <v>4409883.2998820571</v>
      </c>
      <c r="L230" s="978">
        <f>'Corrected and Updated TSF 3'!CL230</f>
        <v>0.125</v>
      </c>
      <c r="M230" s="977">
        <f>'Corrected and Updated TSF 3'!CM230</f>
        <v>551235.41248525714</v>
      </c>
      <c r="N230" s="977">
        <f>'Corrected and Updated TSF 3'!CN230</f>
        <v>30000</v>
      </c>
      <c r="O230" s="977">
        <f>'Corrected and Updated TSF 3'!CO230</f>
        <v>521235.41248525714</v>
      </c>
      <c r="P230" s="976">
        <f>'Corrected and Updated TSF 3'!CP230</f>
        <v>29</v>
      </c>
      <c r="Q230" s="977">
        <f>'Corrected and Updated TSF 3'!CQ230</f>
        <v>17973.634913284728</v>
      </c>
      <c r="R230" s="977">
        <f>'Corrected and Updated TSF 3'!CS230</f>
        <v>3858647.8873967999</v>
      </c>
      <c r="S230" s="977">
        <f>'Corrected and Updated TSF 3'!CT230</f>
        <v>29916.056000267581</v>
      </c>
      <c r="T230" s="636">
        <f>'Corrected and Updated TSF 3'!CU230</f>
        <v>34682.618084572365</v>
      </c>
      <c r="U230" s="636">
        <f>'Corrected and Updated TSF 3'!CV230</f>
        <v>44802.173804579899</v>
      </c>
      <c r="V230" s="636">
        <f>'Corrected and Updated TSF 3'!CW230</f>
        <v>76405.852915644326</v>
      </c>
      <c r="W230" s="1102">
        <f>'Corrected and Updated TSF 3'!CX230</f>
        <v>313450.23266067571</v>
      </c>
      <c r="X230" s="1102">
        <f>'Corrected and Updated TSF 3'!CY230</f>
        <v>124030.7301600819</v>
      </c>
      <c r="Y230" s="1102">
        <f>'Corrected and Updated TSF 3'!CZ230</f>
        <v>89585.639723259301</v>
      </c>
      <c r="Z230" s="1102">
        <f>'Corrected and Updated TSF 3'!DA230</f>
        <v>68178.796139241429</v>
      </c>
      <c r="AA230" s="821">
        <f>L230-'Corrected and Updated TSF 3'!CL230</f>
        <v>0</v>
      </c>
      <c r="AB230" s="678">
        <f>N230-'Corrected and Updated TSF 3'!CN230</f>
        <v>0</v>
      </c>
      <c r="AC230" s="678">
        <f>Q230-'Corrected and Updated TSF 3'!CQ230</f>
        <v>0</v>
      </c>
      <c r="AD230" s="775"/>
      <c r="AE230" s="775"/>
      <c r="AF230" s="775"/>
      <c r="AG230" s="775"/>
      <c r="AL230" s="119"/>
      <c r="AM230" s="119"/>
      <c r="AN230" s="119"/>
      <c r="AO230" s="119"/>
      <c r="AP230" s="119"/>
      <c r="AQ230" s="119"/>
      <c r="AR230" s="119"/>
      <c r="AS230" s="119"/>
    </row>
    <row r="231" spans="1:47" ht="12.75" hidden="1" customHeight="1">
      <c r="A231" s="631" t="str">
        <f t="shared" si="3"/>
        <v>W-10H</v>
      </c>
      <c r="B231" s="632" t="str">
        <f>'Corrected and Updated TSF 3'!EP231</f>
        <v>SOLD</v>
      </c>
      <c r="C231" s="973" t="str">
        <f>'Corrected and Updated TSF 3'!E231</f>
        <v>10th Floor</v>
      </c>
      <c r="D231" s="974">
        <f>'INTERNAL PRICELIST'!D231</f>
        <v>0</v>
      </c>
      <c r="E231" s="975" t="str">
        <f>'Corrected and Updated TSF 3'!G231</f>
        <v>W-10H</v>
      </c>
      <c r="F231" s="976" t="str">
        <f>'Corrected and Updated TSF 3'!I231</f>
        <v>Studio</v>
      </c>
      <c r="G231" s="977">
        <f>'Corrected and Updated TSF 3'!J231</f>
        <v>22</v>
      </c>
      <c r="H231" s="977">
        <f>'Corrected and Updated TSF 3'!CG231</f>
        <v>3955972.3466823227</v>
      </c>
      <c r="I231" s="977">
        <f>SUM('Corrected and Updated TSF 3'!CI231:CJ231)</f>
        <v>504386.47420199611</v>
      </c>
      <c r="J231" s="977">
        <f>'Corrected and Updated TSF 3'!CH231</f>
        <v>0</v>
      </c>
      <c r="K231" s="977">
        <f>'Corrected and Updated TSF 3'!CK231</f>
        <v>4460358.820884319</v>
      </c>
      <c r="L231" s="978">
        <f>'Corrected and Updated TSF 3'!CL231</f>
        <v>0.125</v>
      </c>
      <c r="M231" s="977">
        <f>'Corrected and Updated TSF 3'!CM231</f>
        <v>557544.85261053988</v>
      </c>
      <c r="N231" s="977">
        <f>'Corrected and Updated TSF 3'!CN231</f>
        <v>30000</v>
      </c>
      <c r="O231" s="977">
        <f>'Corrected and Updated TSF 3'!CO231</f>
        <v>527544.85261053988</v>
      </c>
      <c r="P231" s="976">
        <f>'Corrected and Updated TSF 3'!CP231</f>
        <v>29</v>
      </c>
      <c r="Q231" s="977">
        <f>'Corrected and Updated TSF 3'!CQ231</f>
        <v>18191.201814156546</v>
      </c>
      <c r="R231" s="977">
        <f>'Corrected and Updated TSF 3'!CS231</f>
        <v>3902813.9682737794</v>
      </c>
      <c r="S231" s="977">
        <f>'Corrected and Updated TSF 3'!CT231</f>
        <v>30258.475155211374</v>
      </c>
      <c r="T231" s="636">
        <f>'Corrected and Updated TSF 3'!CU231</f>
        <v>35079.595305622199</v>
      </c>
      <c r="U231" s="636">
        <f>'Corrected and Updated TSF 3'!CV231</f>
        <v>45314.979452947184</v>
      </c>
      <c r="V231" s="636">
        <f>'Corrected and Updated TSF 3'!CW231</f>
        <v>77280.39425183853</v>
      </c>
      <c r="W231" s="1102">
        <f>'Corrected and Updated TSF 3'!CX231</f>
        <v>317037.98379283171</v>
      </c>
      <c r="X231" s="1102">
        <f>'Corrected and Updated TSF 3'!CY231</f>
        <v>125450.38580613687</v>
      </c>
      <c r="Y231" s="1102">
        <f>'Corrected and Updated TSF 3'!CZ231</f>
        <v>90611.036889545619</v>
      </c>
      <c r="Z231" s="1102">
        <f>'Corrected and Updated TSF 3'!DA231</f>
        <v>68959.170589632718</v>
      </c>
      <c r="AA231" s="821">
        <f>L231-'Corrected and Updated TSF 3'!CL231</f>
        <v>0</v>
      </c>
      <c r="AB231" s="678">
        <f>N231-'Corrected and Updated TSF 3'!CN231</f>
        <v>0</v>
      </c>
      <c r="AC231" s="678">
        <f>Q231-'Corrected and Updated TSF 3'!CQ231</f>
        <v>0</v>
      </c>
      <c r="AD231" s="775"/>
      <c r="AE231" s="775"/>
      <c r="AF231" s="775"/>
      <c r="AG231" s="775"/>
      <c r="AL231" s="119"/>
      <c r="AM231" s="119"/>
      <c r="AN231" s="119"/>
      <c r="AO231" s="119"/>
      <c r="AP231" s="119"/>
      <c r="AQ231" s="119"/>
      <c r="AR231" s="119"/>
      <c r="AS231" s="119"/>
    </row>
    <row r="232" spans="1:47" ht="12.75" hidden="1" customHeight="1">
      <c r="A232" s="631" t="str">
        <f t="shared" si="3"/>
        <v>W-10I</v>
      </c>
      <c r="B232" s="632" t="str">
        <f>'Corrected and Updated TSF 3'!EP232</f>
        <v>SOLD</v>
      </c>
      <c r="C232" s="973" t="str">
        <f>'Corrected and Updated TSF 3'!E232</f>
        <v>10th Floor</v>
      </c>
      <c r="D232" s="974">
        <f>'INTERNAL PRICELIST'!D232</f>
        <v>0</v>
      </c>
      <c r="E232" s="975" t="str">
        <f>'Corrected and Updated TSF 3'!G232</f>
        <v>W-10I</v>
      </c>
      <c r="F232" s="976" t="str">
        <f>'Corrected and Updated TSF 3'!I232</f>
        <v>Studio</v>
      </c>
      <c r="G232" s="977">
        <f>'Corrected and Updated TSF 3'!J232</f>
        <v>22</v>
      </c>
      <c r="H232" s="977">
        <f>'Corrected and Updated TSF 3'!CG232</f>
        <v>3911204.7005605833</v>
      </c>
      <c r="I232" s="977">
        <f>SUM('Corrected and Updated TSF 3'!CI232:CJ232)</f>
        <v>498678.59932147438</v>
      </c>
      <c r="J232" s="977">
        <f>'Corrected and Updated TSF 3'!CH232</f>
        <v>0</v>
      </c>
      <c r="K232" s="977">
        <f>'Corrected and Updated TSF 3'!CK232</f>
        <v>4409883.2998820571</v>
      </c>
      <c r="L232" s="978">
        <f>'Corrected and Updated TSF 3'!CL232</f>
        <v>0.125</v>
      </c>
      <c r="M232" s="977">
        <f>'Corrected and Updated TSF 3'!CM232</f>
        <v>551235.41248525714</v>
      </c>
      <c r="N232" s="977">
        <f>'Corrected and Updated TSF 3'!CN232</f>
        <v>30000</v>
      </c>
      <c r="O232" s="977">
        <f>'Corrected and Updated TSF 3'!CO232</f>
        <v>521235.41248525714</v>
      </c>
      <c r="P232" s="976">
        <f>'Corrected and Updated TSF 3'!CP232</f>
        <v>29</v>
      </c>
      <c r="Q232" s="977">
        <f>'Corrected and Updated TSF 3'!CQ232</f>
        <v>17973.634913284728</v>
      </c>
      <c r="R232" s="977">
        <f>'Corrected and Updated TSF 3'!CS232</f>
        <v>3858647.8873967999</v>
      </c>
      <c r="S232" s="977">
        <f>'Corrected and Updated TSF 3'!CT232</f>
        <v>29916.056000267581</v>
      </c>
      <c r="T232" s="636">
        <f>'Corrected and Updated TSF 3'!CU232</f>
        <v>34682.618084572365</v>
      </c>
      <c r="U232" s="636">
        <f>'Corrected and Updated TSF 3'!CV232</f>
        <v>44802.173804579899</v>
      </c>
      <c r="V232" s="636">
        <f>'Corrected and Updated TSF 3'!CW232</f>
        <v>76405.852915644326</v>
      </c>
      <c r="W232" s="1102">
        <f>'Corrected and Updated TSF 3'!CX232</f>
        <v>313450.23266067571</v>
      </c>
      <c r="X232" s="1102">
        <f>'Corrected and Updated TSF 3'!CY232</f>
        <v>124030.7301600819</v>
      </c>
      <c r="Y232" s="1102">
        <f>'Corrected and Updated TSF 3'!CZ232</f>
        <v>89585.639723259301</v>
      </c>
      <c r="Z232" s="1102">
        <f>'Corrected and Updated TSF 3'!DA232</f>
        <v>68178.796139241429</v>
      </c>
      <c r="AA232" s="821">
        <f>L232-'Corrected and Updated TSF 3'!CL232</f>
        <v>0</v>
      </c>
      <c r="AB232" s="678">
        <f>N232-'Corrected and Updated TSF 3'!CN232</f>
        <v>0</v>
      </c>
      <c r="AC232" s="678">
        <f>Q232-'Corrected and Updated TSF 3'!CQ232</f>
        <v>0</v>
      </c>
      <c r="AD232" s="775"/>
      <c r="AE232" s="775"/>
      <c r="AF232" s="775"/>
      <c r="AG232" s="775"/>
      <c r="AL232" s="119"/>
      <c r="AM232" s="119"/>
      <c r="AN232" s="119"/>
      <c r="AO232" s="119"/>
      <c r="AP232" s="119"/>
      <c r="AQ232" s="119"/>
      <c r="AR232" s="119"/>
      <c r="AS232" s="119"/>
    </row>
    <row r="233" spans="1:47" ht="12.75" customHeight="1">
      <c r="A233" s="631" t="str">
        <f t="shared" si="3"/>
        <v>W-10J</v>
      </c>
      <c r="B233" s="632" t="str">
        <f>'Corrected and Updated TSF 3'!EP233</f>
        <v>UNSOLD</v>
      </c>
      <c r="C233" s="1167" t="str">
        <f>'Corrected and Updated TSF 3'!E233</f>
        <v>10th Floor</v>
      </c>
      <c r="D233" s="974">
        <f>'INTERNAL PRICELIST'!D233</f>
        <v>0</v>
      </c>
      <c r="E233" s="1134" t="str">
        <f>'Corrected and Updated TSF 3'!G233</f>
        <v>W-10J</v>
      </c>
      <c r="F233" s="1168" t="str">
        <f>'Corrected and Updated TSF 3'!I233</f>
        <v>Studio</v>
      </c>
      <c r="G233" s="1169">
        <f>'Corrected and Updated TSF 3'!J233</f>
        <v>22</v>
      </c>
      <c r="H233" s="1169">
        <f>'Corrected and Updated TSF 3'!CG233</f>
        <v>4162310.9911858351</v>
      </c>
      <c r="I233" s="1169">
        <f>SUM('Corrected and Updated TSF 3'!CI233:CJ233)</f>
        <v>530694.65137619397</v>
      </c>
      <c r="J233" s="977">
        <f>'Corrected and Updated TSF 3'!CH233</f>
        <v>0</v>
      </c>
      <c r="K233" s="1169">
        <f>'Corrected and Updated TSF 3'!CK233</f>
        <v>4693005.642562029</v>
      </c>
      <c r="L233" s="1170">
        <f>'Corrected and Updated TSF 3'!CL233</f>
        <v>0.125</v>
      </c>
      <c r="M233" s="1169">
        <f>'Corrected and Updated TSF 3'!CM233</f>
        <v>586625.70532025362</v>
      </c>
      <c r="N233" s="1169">
        <f>'Corrected and Updated TSF 3'!CN233</f>
        <v>30000</v>
      </c>
      <c r="O233" s="1169">
        <f>'Corrected and Updated TSF 3'!CO233</f>
        <v>556625.70532025362</v>
      </c>
      <c r="P233" s="1168">
        <f>'Corrected and Updated TSF 3'!CP233</f>
        <v>29</v>
      </c>
      <c r="Q233" s="1169">
        <f>'Corrected and Updated TSF 3'!CQ233</f>
        <v>19193.989838629434</v>
      </c>
      <c r="R233" s="1169">
        <f>'Corrected and Updated TSF 3'!CS233</f>
        <v>4106379.9372417754</v>
      </c>
      <c r="S233" s="1169">
        <f>'Corrected and Updated TSF 3'!CT233</f>
        <v>31836.719945902496</v>
      </c>
      <c r="T233" s="1166">
        <f>'Corrected and Updated TSF 3'!CU233</f>
        <v>36909.303784541225</v>
      </c>
      <c r="U233" s="1166">
        <f>'Corrected and Updated TSF 3'!CV233</f>
        <v>47678.552960701149</v>
      </c>
      <c r="V233" s="1166">
        <f>'Corrected and Updated TSF 3'!CW233</f>
        <v>81311.244419432463</v>
      </c>
      <c r="W233" s="1102">
        <f>'Corrected and Updated TSF 3'!CX233</f>
        <v>333574.29448944249</v>
      </c>
      <c r="X233" s="1102">
        <f>'Corrected and Updated TSF 3'!CY233</f>
        <v>131993.72339579155</v>
      </c>
      <c r="Y233" s="1102">
        <f>'Corrected and Updated TSF 3'!CZ233</f>
        <v>95337.196955989581</v>
      </c>
      <c r="Z233" s="1102">
        <f>'Corrected and Updated TSF 3'!DA233</f>
        <v>72555.995981368425</v>
      </c>
      <c r="AA233" s="821">
        <f>L233-'Corrected and Updated TSF 3'!CL233</f>
        <v>0</v>
      </c>
      <c r="AB233" s="678">
        <f>N233-'Corrected and Updated TSF 3'!CN233</f>
        <v>0</v>
      </c>
      <c r="AC233" s="678">
        <f>Q233-'Corrected and Updated TSF 3'!CQ233</f>
        <v>0</v>
      </c>
      <c r="AD233" s="775"/>
      <c r="AE233" s="775"/>
      <c r="AF233" s="775"/>
      <c r="AG233" s="775"/>
      <c r="AT233" s="521"/>
      <c r="AU233" s="521"/>
    </row>
    <row r="234" spans="1:47">
      <c r="A234" s="631" t="str">
        <f t="shared" si="3"/>
        <v>W-10K</v>
      </c>
      <c r="B234" s="632" t="str">
        <f>'Corrected and Updated TSF 3'!EP234</f>
        <v>UNSOLD</v>
      </c>
      <c r="C234" s="973" t="str">
        <f>'Corrected and Updated TSF 3'!E234</f>
        <v>10th Floor</v>
      </c>
      <c r="D234" s="974">
        <f>'INTERNAL PRICELIST'!D234</f>
        <v>0</v>
      </c>
      <c r="E234" s="975" t="str">
        <f>'Corrected and Updated TSF 3'!G234</f>
        <v>W-10K</v>
      </c>
      <c r="F234" s="976" t="str">
        <f>'Corrected and Updated TSF 3'!I234</f>
        <v>Studio</v>
      </c>
      <c r="G234" s="977">
        <f>'Corrected and Updated TSF 3'!J234</f>
        <v>22</v>
      </c>
      <c r="H234" s="977">
        <f>'Corrected and Updated TSF 3'!CG234</f>
        <v>3965355.8370484081</v>
      </c>
      <c r="I234" s="977">
        <f>SUM('Corrected and Updated TSF 3'!CI234:CJ234)</f>
        <v>505582.86922367202</v>
      </c>
      <c r="J234" s="977">
        <f>'Corrected and Updated TSF 3'!CH234</f>
        <v>0</v>
      </c>
      <c r="K234" s="977">
        <f>'Corrected and Updated TSF 3'!CK234</f>
        <v>4470938.7062720796</v>
      </c>
      <c r="L234" s="978">
        <f>'Corrected and Updated TSF 3'!CL234</f>
        <v>0.125</v>
      </c>
      <c r="M234" s="977">
        <f>'Corrected and Updated TSF 3'!CM234</f>
        <v>558867.33828400995</v>
      </c>
      <c r="N234" s="977">
        <f>'Corrected and Updated TSF 3'!CN234</f>
        <v>30000</v>
      </c>
      <c r="O234" s="977">
        <f>'Corrected and Updated TSF 3'!CO234</f>
        <v>528867.33828400995</v>
      </c>
      <c r="P234" s="976">
        <f>'Corrected and Updated TSF 3'!CP234</f>
        <v>29</v>
      </c>
      <c r="Q234" s="977">
        <f>'Corrected and Updated TSF 3'!CQ234</f>
        <v>18236.804768414135</v>
      </c>
      <c r="R234" s="977">
        <f>'Corrected and Updated TSF 3'!CS234</f>
        <v>3912071.3679880695</v>
      </c>
      <c r="S234" s="977">
        <f>'Corrected and Updated TSF 3'!CT234</f>
        <v>30330.247676662249</v>
      </c>
      <c r="T234" s="636">
        <f>'Corrected and Updated TSF 3'!CU234</f>
        <v>35162.803431400047</v>
      </c>
      <c r="U234" s="636">
        <f>'Corrected and Updated TSF 3'!CV234</f>
        <v>45422.465713181693</v>
      </c>
      <c r="V234" s="636">
        <f>'Corrected and Updated TSF 3'!CW234</f>
        <v>77463.701861548572</v>
      </c>
      <c r="W234" s="1102">
        <f>'Corrected and Updated TSF 3'!CX234</f>
        <v>317789.99179640081</v>
      </c>
      <c r="X234" s="1102">
        <f>'Corrected and Updated TSF 3'!CY234</f>
        <v>125747.95170990784</v>
      </c>
      <c r="Y234" s="1102">
        <f>'Corrected and Updated TSF 3'!CZ234</f>
        <v>90825.964527355594</v>
      </c>
      <c r="Z234" s="1102">
        <f>'Corrected and Updated TSF 3'!DA234</f>
        <v>69122.74041676351</v>
      </c>
      <c r="AA234" s="821">
        <f>L234-'Corrected and Updated TSF 3'!CL234</f>
        <v>0</v>
      </c>
      <c r="AB234" s="678">
        <f>N234-'Corrected and Updated TSF 3'!CN234</f>
        <v>0</v>
      </c>
      <c r="AC234" s="678">
        <f>Q234-'Corrected and Updated TSF 3'!CQ234</f>
        <v>0</v>
      </c>
      <c r="AD234" s="775"/>
      <c r="AE234" s="775"/>
      <c r="AF234" s="775"/>
      <c r="AG234" s="775"/>
      <c r="AL234" s="119"/>
      <c r="AM234" s="119"/>
      <c r="AN234" s="119"/>
      <c r="AO234" s="119"/>
      <c r="AP234" s="119"/>
      <c r="AQ234" s="119"/>
      <c r="AR234" s="119"/>
      <c r="AS234" s="119"/>
    </row>
    <row r="235" spans="1:47" ht="12.75" customHeight="1">
      <c r="A235" s="631" t="str">
        <f t="shared" si="3"/>
        <v>W-10L</v>
      </c>
      <c r="B235" s="632" t="str">
        <f>'Corrected and Updated TSF 3'!EP235</f>
        <v>UNSOLD</v>
      </c>
      <c r="C235" s="973" t="str">
        <f>'Corrected and Updated TSF 3'!E235</f>
        <v>10th Floor</v>
      </c>
      <c r="D235" s="974">
        <f>'INTERNAL PRICELIST'!D235</f>
        <v>0</v>
      </c>
      <c r="E235" s="975" t="str">
        <f>'Corrected and Updated TSF 3'!G235</f>
        <v>W-10L</v>
      </c>
      <c r="F235" s="976" t="str">
        <f>'Corrected and Updated TSF 3'!I235</f>
        <v>Studio</v>
      </c>
      <c r="G235" s="977">
        <f>'Corrected and Updated TSF 3'!J235</f>
        <v>22</v>
      </c>
      <c r="H235" s="977">
        <f>'Corrected and Updated TSF 3'!CG235</f>
        <v>3965355.8370484081</v>
      </c>
      <c r="I235" s="977">
        <f>SUM('Corrected and Updated TSF 3'!CI235:CJ235)</f>
        <v>505582.86922367202</v>
      </c>
      <c r="J235" s="977">
        <f>'Corrected and Updated TSF 3'!CH235</f>
        <v>0</v>
      </c>
      <c r="K235" s="977">
        <f>'Corrected and Updated TSF 3'!CK235</f>
        <v>4470938.7062720796</v>
      </c>
      <c r="L235" s="978">
        <f>'Corrected and Updated TSF 3'!CL235</f>
        <v>0.125</v>
      </c>
      <c r="M235" s="977">
        <f>'Corrected and Updated TSF 3'!CM235</f>
        <v>558867.33828400995</v>
      </c>
      <c r="N235" s="977">
        <f>'Corrected and Updated TSF 3'!CN235</f>
        <v>30000</v>
      </c>
      <c r="O235" s="977">
        <f>'Corrected and Updated TSF 3'!CO235</f>
        <v>528867.33828400995</v>
      </c>
      <c r="P235" s="976">
        <f>'Corrected and Updated TSF 3'!CP235</f>
        <v>29</v>
      </c>
      <c r="Q235" s="977">
        <f>'Corrected and Updated TSF 3'!CQ235</f>
        <v>18236.804768414135</v>
      </c>
      <c r="R235" s="977">
        <f>'Corrected and Updated TSF 3'!CS235</f>
        <v>3912071.3679880695</v>
      </c>
      <c r="S235" s="977">
        <f>'Corrected and Updated TSF 3'!CT235</f>
        <v>30330.247676662249</v>
      </c>
      <c r="T235" s="636">
        <f>'Corrected and Updated TSF 3'!CU235</f>
        <v>35162.803431400047</v>
      </c>
      <c r="U235" s="636">
        <f>'Corrected and Updated TSF 3'!CV235</f>
        <v>45422.465713181693</v>
      </c>
      <c r="V235" s="636">
        <f>'Corrected and Updated TSF 3'!CW235</f>
        <v>77463.701861548572</v>
      </c>
      <c r="W235" s="1102">
        <f>'Corrected and Updated TSF 3'!CX235</f>
        <v>317789.99179640081</v>
      </c>
      <c r="X235" s="1102">
        <f>'Corrected and Updated TSF 3'!CY235</f>
        <v>125747.95170990784</v>
      </c>
      <c r="Y235" s="1102">
        <f>'Corrected and Updated TSF 3'!CZ235</f>
        <v>90825.964527355594</v>
      </c>
      <c r="Z235" s="1102">
        <f>'Corrected and Updated TSF 3'!DA235</f>
        <v>69122.74041676351</v>
      </c>
      <c r="AA235" s="821">
        <f>L235-'Corrected and Updated TSF 3'!CL235</f>
        <v>0</v>
      </c>
      <c r="AB235" s="678">
        <f>N235-'Corrected and Updated TSF 3'!CN235</f>
        <v>0</v>
      </c>
      <c r="AC235" s="678">
        <f>Q235-'Corrected and Updated TSF 3'!CQ235</f>
        <v>0</v>
      </c>
      <c r="AD235" s="775"/>
      <c r="AE235" s="775"/>
      <c r="AF235" s="775"/>
      <c r="AG235" s="775"/>
      <c r="AL235" s="119"/>
      <c r="AM235" s="119"/>
      <c r="AN235" s="119"/>
      <c r="AO235" s="119"/>
      <c r="AP235" s="119"/>
      <c r="AQ235" s="119"/>
      <c r="AR235" s="119"/>
      <c r="AS235" s="119"/>
    </row>
    <row r="236" spans="1:47" ht="12.75" customHeight="1">
      <c r="A236" s="631" t="str">
        <f t="shared" si="3"/>
        <v>W-10M</v>
      </c>
      <c r="B236" s="632" t="str">
        <f>'Corrected and Updated TSF 3'!EP236</f>
        <v>UNSOLD</v>
      </c>
      <c r="C236" s="973" t="str">
        <f>'Corrected and Updated TSF 3'!E236</f>
        <v>10th Floor</v>
      </c>
      <c r="D236" s="974">
        <f>'INTERNAL PRICELIST'!D236</f>
        <v>0</v>
      </c>
      <c r="E236" s="975" t="str">
        <f>'Corrected and Updated TSF 3'!G236</f>
        <v>W-10M</v>
      </c>
      <c r="F236" s="976" t="str">
        <f>'Corrected and Updated TSF 3'!I236</f>
        <v>Studio</v>
      </c>
      <c r="G236" s="977">
        <f>'Corrected and Updated TSF 3'!J236</f>
        <v>22</v>
      </c>
      <c r="H236" s="977">
        <f>'Corrected and Updated TSF 3'!CG236</f>
        <v>4068510.781526146</v>
      </c>
      <c r="I236" s="977">
        <f>SUM('Corrected and Updated TSF 3'!CI236:CJ236)</f>
        <v>518735.12464458362</v>
      </c>
      <c r="J236" s="977">
        <f>'Corrected and Updated TSF 3'!CH236</f>
        <v>0</v>
      </c>
      <c r="K236" s="977">
        <f>'Corrected and Updated TSF 3'!CK236</f>
        <v>4587245.9061707295</v>
      </c>
      <c r="L236" s="978">
        <f>'Corrected and Updated TSF 3'!CL236</f>
        <v>0.125</v>
      </c>
      <c r="M236" s="977">
        <f>'Corrected and Updated TSF 3'!CM236</f>
        <v>573405.73827134119</v>
      </c>
      <c r="N236" s="977">
        <f>'Corrected and Updated TSF 3'!CN236</f>
        <v>30000</v>
      </c>
      <c r="O236" s="977">
        <f>'Corrected and Updated TSF 3'!CO236</f>
        <v>543405.73827134119</v>
      </c>
      <c r="P236" s="976">
        <f>'Corrected and Updated TSF 3'!CP236</f>
        <v>29</v>
      </c>
      <c r="Q236" s="977">
        <f>'Corrected and Updated TSF 3'!CQ236</f>
        <v>18738.128905908317</v>
      </c>
      <c r="R236" s="977">
        <f>'Corrected and Updated TSF 3'!CS236</f>
        <v>4013840.1678993884</v>
      </c>
      <c r="S236" s="977">
        <f>'Corrected and Updated TSF 3'!CT236</f>
        <v>31119.260099166808</v>
      </c>
      <c r="T236" s="636">
        <f>'Corrected and Updated TSF 3'!CU236</f>
        <v>36077.530175910222</v>
      </c>
      <c r="U236" s="636">
        <f>'Corrected and Updated TSF 3'!CV236</f>
        <v>46604.087772142462</v>
      </c>
      <c r="V236" s="636">
        <f>'Corrected and Updated TSF 3'!CW236</f>
        <v>79478.846073805704</v>
      </c>
      <c r="W236" s="1102">
        <f>'Corrected and Updated TSF 3'!CX236</f>
        <v>326056.99488678155</v>
      </c>
      <c r="X236" s="1102">
        <f>'Corrected and Updated TSF 3'!CY236</f>
        <v>129019.1645618874</v>
      </c>
      <c r="Y236" s="1102">
        <f>'Corrected and Updated TSF 3'!CZ236</f>
        <v>93188.715239516227</v>
      </c>
      <c r="Z236" s="1102">
        <f>'Corrected and Updated TSF 3'!DA236</f>
        <v>70920.902484142513</v>
      </c>
      <c r="AA236" s="821">
        <f>L236-'Corrected and Updated TSF 3'!CL236</f>
        <v>0</v>
      </c>
      <c r="AB236" s="678">
        <f>N236-'Corrected and Updated TSF 3'!CN236</f>
        <v>0</v>
      </c>
      <c r="AC236" s="678">
        <f>Q236-'Corrected and Updated TSF 3'!CQ236</f>
        <v>0</v>
      </c>
      <c r="AD236" s="775"/>
      <c r="AE236" s="775"/>
      <c r="AF236" s="775"/>
      <c r="AG236" s="775"/>
      <c r="AL236" s="119"/>
      <c r="AM236" s="119"/>
      <c r="AN236" s="119"/>
      <c r="AO236" s="119"/>
      <c r="AP236" s="119"/>
      <c r="AQ236" s="119"/>
      <c r="AR236" s="119"/>
      <c r="AS236" s="119"/>
    </row>
    <row r="237" spans="1:47" hidden="1">
      <c r="A237" s="631" t="str">
        <f t="shared" si="3"/>
        <v>W-10N</v>
      </c>
      <c r="B237" s="632" t="str">
        <f>'Corrected and Updated TSF 3'!EP237</f>
        <v>SOLD</v>
      </c>
      <c r="C237" s="973" t="str">
        <f>'Corrected and Updated TSF 3'!E237</f>
        <v>10th Floor</v>
      </c>
      <c r="D237" s="974">
        <f>'INTERNAL PRICELIST'!D237</f>
        <v>0</v>
      </c>
      <c r="E237" s="975" t="str">
        <f>'Corrected and Updated TSF 3'!G237</f>
        <v>W-10N</v>
      </c>
      <c r="F237" s="976" t="str">
        <f>'Corrected and Updated TSF 3'!I237</f>
        <v>Studio</v>
      </c>
      <c r="G237" s="977">
        <f>'Corrected and Updated TSF 3'!J237</f>
        <v>22</v>
      </c>
      <c r="H237" s="977">
        <f>'Corrected and Updated TSF 3'!CG237</f>
        <v>4026508.3750269082</v>
      </c>
      <c r="I237" s="977">
        <f>SUM('Corrected and Updated TSF 3'!CI237:CJ237)</f>
        <v>513379.81781593082</v>
      </c>
      <c r="J237" s="977">
        <f>'Corrected and Updated TSF 3'!CH237</f>
        <v>0</v>
      </c>
      <c r="K237" s="977">
        <f>'Corrected and Updated TSF 3'!CK237</f>
        <v>4539888.1928428393</v>
      </c>
      <c r="L237" s="978">
        <f>'Corrected and Updated TSF 3'!CL237</f>
        <v>0.125</v>
      </c>
      <c r="M237" s="977">
        <f>'Corrected and Updated TSF 3'!CM237</f>
        <v>567486.02410535491</v>
      </c>
      <c r="N237" s="977">
        <f>'Corrected and Updated TSF 3'!CN237</f>
        <v>30000</v>
      </c>
      <c r="O237" s="977">
        <f>'Corrected and Updated TSF 3'!CO237</f>
        <v>537486.02410535491</v>
      </c>
      <c r="P237" s="976">
        <f>'Corrected and Updated TSF 3'!CP237</f>
        <v>29</v>
      </c>
      <c r="Q237" s="977">
        <f>'Corrected and Updated TSF 3'!CQ237</f>
        <v>18534.000831219135</v>
      </c>
      <c r="R237" s="977">
        <f>'Corrected and Updated TSF 3'!CS237</f>
        <v>3972402.1687374841</v>
      </c>
      <c r="S237" s="977">
        <f>'Corrected and Updated TSF 3'!CT237</f>
        <v>30797.991732722807</v>
      </c>
      <c r="T237" s="636">
        <f>'Corrected and Updated TSF 3'!CU237</f>
        <v>35705.073724567439</v>
      </c>
      <c r="U237" s="636">
        <f>'Corrected and Updated TSF 3'!CV237</f>
        <v>46122.957465687337</v>
      </c>
      <c r="V237" s="636">
        <f>'Corrected and Updated TSF 3'!CW237</f>
        <v>78658.324025285998</v>
      </c>
      <c r="W237" s="1102">
        <f>'Corrected and Updated TSF 3'!CX237</f>
        <v>322690.85450358782</v>
      </c>
      <c r="X237" s="1102">
        <f>'Corrected and Updated TSF 3'!CY237</f>
        <v>127687.19920966885</v>
      </c>
      <c r="Y237" s="1102">
        <f>'Corrected and Updated TSF 3'!CZ237</f>
        <v>92226.655530493255</v>
      </c>
      <c r="Z237" s="1102">
        <f>'Corrected and Updated TSF 3'!DA237</f>
        <v>70188.730754634569</v>
      </c>
      <c r="AA237" s="821">
        <f>L237-'Corrected and Updated TSF 3'!CL237</f>
        <v>0</v>
      </c>
      <c r="AB237" s="678">
        <f>N237-'Corrected and Updated TSF 3'!CN237</f>
        <v>0</v>
      </c>
      <c r="AC237" s="678">
        <f>Q237-'Corrected and Updated TSF 3'!CQ237</f>
        <v>0</v>
      </c>
      <c r="AD237" s="775"/>
      <c r="AE237" s="775"/>
      <c r="AF237" s="775"/>
      <c r="AG237" s="775"/>
      <c r="AL237" s="119"/>
      <c r="AM237" s="119"/>
      <c r="AN237" s="119"/>
      <c r="AO237" s="119"/>
      <c r="AP237" s="119"/>
      <c r="AQ237" s="119"/>
      <c r="AR237" s="119"/>
      <c r="AS237" s="119"/>
    </row>
    <row r="238" spans="1:47" ht="12.75" hidden="1" customHeight="1">
      <c r="A238" s="631" t="str">
        <f t="shared" si="3"/>
        <v>W-10O</v>
      </c>
      <c r="B238" s="632" t="str">
        <f>'Corrected and Updated TSF 3'!EP238</f>
        <v>SOLD</v>
      </c>
      <c r="C238" s="973" t="str">
        <f>'Corrected and Updated TSF 3'!E238</f>
        <v>10th Floor</v>
      </c>
      <c r="D238" s="974">
        <f>'INTERNAL PRICELIST'!D238</f>
        <v>0</v>
      </c>
      <c r="E238" s="975" t="str">
        <f>'Corrected and Updated TSF 3'!G238</f>
        <v>W-10O</v>
      </c>
      <c r="F238" s="976" t="str">
        <f>'Corrected and Updated TSF 3'!I238</f>
        <v>Studio</v>
      </c>
      <c r="G238" s="977">
        <f>'Corrected and Updated TSF 3'!J238</f>
        <v>22</v>
      </c>
      <c r="H238" s="977">
        <f>'Corrected and Updated TSF 3'!CG238</f>
        <v>4026508.3750269082</v>
      </c>
      <c r="I238" s="977">
        <f>SUM('Corrected and Updated TSF 3'!CI238:CJ238)</f>
        <v>513379.81781593082</v>
      </c>
      <c r="J238" s="977">
        <f>'Corrected and Updated TSF 3'!CH238</f>
        <v>0</v>
      </c>
      <c r="K238" s="977">
        <f>'Corrected and Updated TSF 3'!CK238</f>
        <v>4539888.1928428393</v>
      </c>
      <c r="L238" s="978">
        <f>'Corrected and Updated TSF 3'!CL238</f>
        <v>0.125</v>
      </c>
      <c r="M238" s="977">
        <f>'Corrected and Updated TSF 3'!CM238</f>
        <v>567486.02410535491</v>
      </c>
      <c r="N238" s="977">
        <f>'Corrected and Updated TSF 3'!CN238</f>
        <v>30000</v>
      </c>
      <c r="O238" s="977">
        <f>'Corrected and Updated TSF 3'!CO238</f>
        <v>537486.02410535491</v>
      </c>
      <c r="P238" s="976">
        <f>'Corrected and Updated TSF 3'!CP238</f>
        <v>29</v>
      </c>
      <c r="Q238" s="977">
        <f>'Corrected and Updated TSF 3'!CQ238</f>
        <v>18534.000831219135</v>
      </c>
      <c r="R238" s="977">
        <f>'Corrected and Updated TSF 3'!CS238</f>
        <v>3972402.1687374841</v>
      </c>
      <c r="S238" s="977">
        <f>'Corrected and Updated TSF 3'!CT238</f>
        <v>30797.991732722807</v>
      </c>
      <c r="T238" s="636">
        <f>'Corrected and Updated TSF 3'!CU238</f>
        <v>35705.073724567439</v>
      </c>
      <c r="U238" s="636">
        <f>'Corrected and Updated TSF 3'!CV238</f>
        <v>46122.957465687337</v>
      </c>
      <c r="V238" s="636">
        <f>'Corrected and Updated TSF 3'!CW238</f>
        <v>78658.324025285998</v>
      </c>
      <c r="W238" s="1102">
        <f>'Corrected and Updated TSF 3'!CX238</f>
        <v>322690.85450358782</v>
      </c>
      <c r="X238" s="1102">
        <f>'Corrected and Updated TSF 3'!CY238</f>
        <v>127687.19920966885</v>
      </c>
      <c r="Y238" s="1102">
        <f>'Corrected and Updated TSF 3'!CZ238</f>
        <v>92226.655530493255</v>
      </c>
      <c r="Z238" s="1102">
        <f>'Corrected and Updated TSF 3'!DA238</f>
        <v>70188.730754634569</v>
      </c>
      <c r="AA238" s="821">
        <f>L238-'Corrected and Updated TSF 3'!CL238</f>
        <v>0</v>
      </c>
      <c r="AB238" s="678">
        <f>N238-'Corrected and Updated TSF 3'!CN238</f>
        <v>0</v>
      </c>
      <c r="AC238" s="678">
        <f>Q238-'Corrected and Updated TSF 3'!CQ238</f>
        <v>0</v>
      </c>
      <c r="AD238" s="775"/>
      <c r="AE238" s="775"/>
      <c r="AF238" s="775"/>
      <c r="AG238" s="775"/>
      <c r="AL238" s="119"/>
      <c r="AM238" s="119"/>
      <c r="AN238" s="119"/>
      <c r="AO238" s="119"/>
      <c r="AP238" s="119"/>
      <c r="AQ238" s="119"/>
      <c r="AR238" s="119"/>
      <c r="AS238" s="119"/>
    </row>
    <row r="239" spans="1:47" ht="12.75" hidden="1" customHeight="1">
      <c r="A239" s="631" t="str">
        <f t="shared" si="3"/>
        <v>W-10P</v>
      </c>
      <c r="B239" s="632" t="str">
        <f>'Corrected and Updated TSF 3'!EP239</f>
        <v>SOLD</v>
      </c>
      <c r="C239" s="973" t="str">
        <f>'Corrected and Updated TSF 3'!E239</f>
        <v>10th Floor</v>
      </c>
      <c r="D239" s="974">
        <f>'INTERNAL PRICELIST'!D239</f>
        <v>0</v>
      </c>
      <c r="E239" s="975" t="str">
        <f>'Corrected and Updated TSF 3'!G239</f>
        <v>W-10P</v>
      </c>
      <c r="F239" s="976" t="str">
        <f>'Corrected and Updated TSF 3'!I239</f>
        <v>Studio</v>
      </c>
      <c r="G239" s="977">
        <f>'Corrected and Updated TSF 3'!J239</f>
        <v>22</v>
      </c>
      <c r="H239" s="977">
        <f>'Corrected and Updated TSF 3'!CG239</f>
        <v>4083504.7651069323</v>
      </c>
      <c r="I239" s="977">
        <f>SUM('Corrected and Updated TSF 3'!CI239:CJ239)</f>
        <v>520646.85755113384</v>
      </c>
      <c r="J239" s="977">
        <f>'Corrected and Updated TSF 3'!CH239</f>
        <v>0</v>
      </c>
      <c r="K239" s="977">
        <f>'Corrected and Updated TSF 3'!CK239</f>
        <v>4604151.6226580655</v>
      </c>
      <c r="L239" s="978">
        <f>'Corrected and Updated TSF 3'!CL239</f>
        <v>0.125</v>
      </c>
      <c r="M239" s="977">
        <f>'Corrected and Updated TSF 3'!CM239</f>
        <v>575518.95283225819</v>
      </c>
      <c r="N239" s="977">
        <f>'Corrected and Updated TSF 3'!CN239</f>
        <v>30000</v>
      </c>
      <c r="O239" s="977">
        <f>'Corrected and Updated TSF 3'!CO239</f>
        <v>545518.95283225819</v>
      </c>
      <c r="P239" s="976">
        <f>'Corrected and Updated TSF 3'!CP239</f>
        <v>29</v>
      </c>
      <c r="Q239" s="977">
        <f>'Corrected and Updated TSF 3'!CQ239</f>
        <v>18810.998373526145</v>
      </c>
      <c r="R239" s="977">
        <f>'Corrected and Updated TSF 3'!CS239</f>
        <v>4028632.6698258072</v>
      </c>
      <c r="S239" s="977">
        <f>'Corrected and Updated TSF 3'!CT239</f>
        <v>31233.946209153735</v>
      </c>
      <c r="T239" s="636">
        <f>'Corrected and Updated TSF 3'!CU239</f>
        <v>36210.489365191272</v>
      </c>
      <c r="U239" s="636">
        <f>'Corrected and Updated TSF 3'!CV239</f>
        <v>46775.841262393966</v>
      </c>
      <c r="V239" s="636">
        <f>'Corrected and Updated TSF 3'!CW239</f>
        <v>79771.755341359225</v>
      </c>
      <c r="W239" s="1102">
        <f>'Corrected and Updated TSF 3'!CX239</f>
        <v>327258.63683644327</v>
      </c>
      <c r="X239" s="1102">
        <f>'Corrected and Updated TSF 3'!CY239</f>
        <v>129494.64842783452</v>
      </c>
      <c r="Y239" s="1102">
        <f>'Corrected and Updated TSF 3'!CZ239</f>
        <v>93532.150501519311</v>
      </c>
      <c r="Z239" s="1102">
        <f>'Corrected and Updated TSF 3'!DA239</f>
        <v>71182.27252946973</v>
      </c>
      <c r="AA239" s="821">
        <f>L239-'Corrected and Updated TSF 3'!CL239</f>
        <v>0</v>
      </c>
      <c r="AB239" s="678">
        <f>N239-'Corrected and Updated TSF 3'!CN239</f>
        <v>0</v>
      </c>
      <c r="AC239" s="678">
        <f>Q239-'Corrected and Updated TSF 3'!CQ239</f>
        <v>0</v>
      </c>
      <c r="AD239" s="775"/>
      <c r="AE239" s="775"/>
      <c r="AF239" s="775"/>
      <c r="AG239" s="775"/>
      <c r="AL239" s="119"/>
      <c r="AM239" s="119"/>
      <c r="AN239" s="119"/>
      <c r="AO239" s="119"/>
      <c r="AP239" s="119"/>
      <c r="AQ239" s="119"/>
      <c r="AR239" s="119"/>
      <c r="AS239" s="119"/>
    </row>
    <row r="240" spans="1:47" ht="12.75" hidden="1" customHeight="1">
      <c r="A240" s="631" t="str">
        <f t="shared" si="3"/>
        <v>E-10A</v>
      </c>
      <c r="B240" s="632" t="str">
        <f>'Corrected and Updated TSF 3'!EP240</f>
        <v>SOLD</v>
      </c>
      <c r="C240" s="973" t="str">
        <f>'Corrected and Updated TSF 3'!E240</f>
        <v>10th Floor</v>
      </c>
      <c r="D240" s="974">
        <f>'INTERNAL PRICELIST'!D240</f>
        <v>0</v>
      </c>
      <c r="E240" s="975" t="str">
        <f>'Corrected and Updated TSF 3'!G240</f>
        <v>E-10A</v>
      </c>
      <c r="F240" s="976" t="str">
        <f>'Corrected and Updated TSF 3'!I240</f>
        <v>Studio</v>
      </c>
      <c r="G240" s="977">
        <f>'Corrected and Updated TSF 3'!J240</f>
        <v>22</v>
      </c>
      <c r="H240" s="977">
        <f>'Corrected and Updated TSF 3'!CG240</f>
        <v>3992910.7816402251</v>
      </c>
      <c r="I240" s="977">
        <f>SUM('Corrected and Updated TSF 3'!CI240:CJ240)</f>
        <v>509096.12465912872</v>
      </c>
      <c r="J240" s="977">
        <f>'Corrected and Updated TSF 3'!CH240</f>
        <v>0</v>
      </c>
      <c r="K240" s="977">
        <f>'Corrected and Updated TSF 3'!CK240</f>
        <v>4502006.9062993536</v>
      </c>
      <c r="L240" s="978">
        <f>'Corrected and Updated TSF 3'!CL240</f>
        <v>0.125</v>
      </c>
      <c r="M240" s="977">
        <f>'Corrected and Updated TSF 3'!CM240</f>
        <v>562750.8632874192</v>
      </c>
      <c r="N240" s="977">
        <f>'Corrected and Updated TSF 3'!CN240</f>
        <v>30000</v>
      </c>
      <c r="O240" s="977">
        <f>'Corrected and Updated TSF 3'!CO240</f>
        <v>532750.8632874192</v>
      </c>
      <c r="P240" s="976">
        <f>'Corrected and Updated TSF 3'!CP240</f>
        <v>29</v>
      </c>
      <c r="Q240" s="977">
        <f>'Corrected and Updated TSF 3'!CQ240</f>
        <v>18370.719423704111</v>
      </c>
      <c r="R240" s="977">
        <f>'Corrected and Updated TSF 3'!CS240</f>
        <v>3939256.0430119345</v>
      </c>
      <c r="S240" s="977">
        <f>'Corrected and Updated TSF 3'!CT240</f>
        <v>30541.010172773727</v>
      </c>
      <c r="T240" s="636">
        <f>'Corrected and Updated TSF 3'!CU240</f>
        <v>35407.14697585391</v>
      </c>
      <c r="U240" s="636">
        <f>'Corrected and Updated TSF 3'!CV240</f>
        <v>45738.102840689047</v>
      </c>
      <c r="V240" s="636">
        <f>'Corrected and Updated TSF 3'!CW240</f>
        <v>78001.991008951009</v>
      </c>
      <c r="W240" s="1102">
        <f>'Corrected and Updated TSF 3'!CX240</f>
        <v>319998.28935546725</v>
      </c>
      <c r="X240" s="1102">
        <f>'Corrected and Updated TSF 3'!CY240</f>
        <v>126621.76429679542</v>
      </c>
      <c r="Y240" s="1102">
        <f>'Corrected and Updated TSF 3'!CZ240</f>
        <v>91457.106982886777</v>
      </c>
      <c r="Z240" s="1102">
        <f>'Corrected and Updated TSF 3'!DA240</f>
        <v>69603.068881720697</v>
      </c>
      <c r="AA240" s="821">
        <f>L240-'Corrected and Updated TSF 3'!CL240</f>
        <v>0</v>
      </c>
      <c r="AB240" s="678">
        <f>N240-'Corrected and Updated TSF 3'!CN240</f>
        <v>0</v>
      </c>
      <c r="AC240" s="678">
        <f>Q240-'Corrected and Updated TSF 3'!CQ240</f>
        <v>0</v>
      </c>
      <c r="AD240" s="775"/>
      <c r="AE240" s="775"/>
      <c r="AF240" s="775"/>
      <c r="AG240" s="775"/>
      <c r="AL240" s="119"/>
      <c r="AM240" s="119"/>
      <c r="AN240" s="119"/>
      <c r="AO240" s="119"/>
      <c r="AP240" s="119"/>
      <c r="AQ240" s="119"/>
      <c r="AR240" s="119"/>
      <c r="AS240" s="119"/>
    </row>
    <row r="241" spans="1:47" ht="12.75" hidden="1" customHeight="1">
      <c r="A241" s="631" t="str">
        <f t="shared" si="3"/>
        <v>E-10B</v>
      </c>
      <c r="B241" s="632" t="str">
        <f>'Corrected and Updated TSF 3'!EP241</f>
        <v>SOLD</v>
      </c>
      <c r="C241" s="973" t="str">
        <f>'Corrected and Updated TSF 3'!E241</f>
        <v>10th Floor</v>
      </c>
      <c r="D241" s="974">
        <f>'INTERNAL PRICELIST'!D241</f>
        <v>0</v>
      </c>
      <c r="E241" s="975" t="str">
        <f>'Corrected and Updated TSF 3'!G241</f>
        <v>E-10B</v>
      </c>
      <c r="F241" s="976" t="str">
        <f>'Corrected and Updated TSF 3'!I241</f>
        <v>Studio</v>
      </c>
      <c r="G241" s="977">
        <f>'Corrected and Updated TSF 3'!J241</f>
        <v>22</v>
      </c>
      <c r="H241" s="977">
        <f>'Corrected and Updated TSF 3'!CG241</f>
        <v>3992910.7816402251</v>
      </c>
      <c r="I241" s="977">
        <f>SUM('Corrected and Updated TSF 3'!CI241:CJ241)</f>
        <v>509096.12465912872</v>
      </c>
      <c r="J241" s="977">
        <f>'Corrected and Updated TSF 3'!CH241</f>
        <v>0</v>
      </c>
      <c r="K241" s="977">
        <f>'Corrected and Updated TSF 3'!CK241</f>
        <v>4502006.9062993536</v>
      </c>
      <c r="L241" s="978">
        <f>'Corrected and Updated TSF 3'!CL241</f>
        <v>0.125</v>
      </c>
      <c r="M241" s="977">
        <f>'Corrected and Updated TSF 3'!CM241</f>
        <v>562750.8632874192</v>
      </c>
      <c r="N241" s="977">
        <f>'Corrected and Updated TSF 3'!CN241</f>
        <v>30000</v>
      </c>
      <c r="O241" s="977">
        <f>'Corrected and Updated TSF 3'!CO241</f>
        <v>532750.8632874192</v>
      </c>
      <c r="P241" s="976">
        <f>'Corrected and Updated TSF 3'!CP241</f>
        <v>29</v>
      </c>
      <c r="Q241" s="977">
        <f>'Corrected and Updated TSF 3'!CQ241</f>
        <v>18370.719423704111</v>
      </c>
      <c r="R241" s="977">
        <f>'Corrected and Updated TSF 3'!CS241</f>
        <v>3939256.0430119345</v>
      </c>
      <c r="S241" s="977">
        <f>'Corrected and Updated TSF 3'!CT241</f>
        <v>30541.010172773727</v>
      </c>
      <c r="T241" s="636">
        <f>'Corrected and Updated TSF 3'!CU241</f>
        <v>35407.14697585391</v>
      </c>
      <c r="U241" s="636">
        <f>'Corrected and Updated TSF 3'!CV241</f>
        <v>45738.102840689047</v>
      </c>
      <c r="V241" s="636">
        <f>'Corrected and Updated TSF 3'!CW241</f>
        <v>78001.991008951009</v>
      </c>
      <c r="W241" s="1102">
        <f>'Corrected and Updated TSF 3'!CX241</f>
        <v>319998.28935546725</v>
      </c>
      <c r="X241" s="1102">
        <f>'Corrected and Updated TSF 3'!CY241</f>
        <v>126621.76429679542</v>
      </c>
      <c r="Y241" s="1102">
        <f>'Corrected and Updated TSF 3'!CZ241</f>
        <v>91457.106982886777</v>
      </c>
      <c r="Z241" s="1102">
        <f>'Corrected and Updated TSF 3'!DA241</f>
        <v>69603.068881720697</v>
      </c>
      <c r="AA241" s="821">
        <f>L241-'Corrected and Updated TSF 3'!CL241</f>
        <v>0</v>
      </c>
      <c r="AB241" s="678">
        <f>N241-'Corrected and Updated TSF 3'!CN241</f>
        <v>0</v>
      </c>
      <c r="AC241" s="678">
        <f>Q241-'Corrected and Updated TSF 3'!CQ241</f>
        <v>0</v>
      </c>
      <c r="AD241" s="775"/>
      <c r="AE241" s="775"/>
      <c r="AF241" s="775"/>
      <c r="AG241" s="775"/>
      <c r="AL241" s="119"/>
      <c r="AM241" s="119"/>
      <c r="AN241" s="119"/>
      <c r="AO241" s="119"/>
      <c r="AP241" s="119"/>
      <c r="AQ241" s="119"/>
      <c r="AR241" s="119"/>
      <c r="AS241" s="119"/>
    </row>
    <row r="242" spans="1:47" ht="12.75" hidden="1" customHeight="1">
      <c r="A242" s="631" t="str">
        <f t="shared" si="3"/>
        <v>E-10C</v>
      </c>
      <c r="B242" s="632" t="str">
        <f>'Corrected and Updated TSF 3'!EP242</f>
        <v>SOLD</v>
      </c>
      <c r="C242" s="820" t="str">
        <f>'Corrected and Updated TSF 3'!E242</f>
        <v>10th Floor</v>
      </c>
      <c r="D242" s="628">
        <f>'INTERNAL PRICELIST'!D242</f>
        <v>0</v>
      </c>
      <c r="E242" s="596" t="str">
        <f>'Corrected and Updated TSF 3'!G242</f>
        <v>E-10C</v>
      </c>
      <c r="F242" s="401" t="str">
        <f>'Corrected and Updated TSF 3'!I242</f>
        <v>Studio</v>
      </c>
      <c r="G242" s="633">
        <f>'Corrected and Updated TSF 3'!J242</f>
        <v>22</v>
      </c>
      <c r="H242" s="633">
        <f>'Corrected and Updated TSF 3'!CG242</f>
        <v>3992910.7816402251</v>
      </c>
      <c r="I242" s="633">
        <f>SUM('Corrected and Updated TSF 3'!CI242:CJ242)</f>
        <v>509096.12465912872</v>
      </c>
      <c r="J242" s="633">
        <f>'Corrected and Updated TSF 3'!CH242</f>
        <v>0</v>
      </c>
      <c r="K242" s="633">
        <f>'Corrected and Updated TSF 3'!CK242</f>
        <v>4502006.9062993536</v>
      </c>
      <c r="L242" s="634">
        <f>'Corrected and Updated TSF 3'!CL242</f>
        <v>0.125</v>
      </c>
      <c r="M242" s="633">
        <f>'Corrected and Updated TSF 3'!CM242</f>
        <v>562750.8632874192</v>
      </c>
      <c r="N242" s="633">
        <f>'Corrected and Updated TSF 3'!CN242</f>
        <v>30000</v>
      </c>
      <c r="O242" s="633">
        <f>'Corrected and Updated TSF 3'!CO242</f>
        <v>532750.8632874192</v>
      </c>
      <c r="P242" s="401">
        <f>'Corrected and Updated TSF 3'!CP242</f>
        <v>29</v>
      </c>
      <c r="Q242" s="633">
        <f>'Corrected and Updated TSF 3'!CQ242</f>
        <v>18370.719423704111</v>
      </c>
      <c r="R242" s="633">
        <f>'Corrected and Updated TSF 3'!CS242</f>
        <v>3939256.0430119345</v>
      </c>
      <c r="S242" s="633">
        <f>'Corrected and Updated TSF 3'!CT242</f>
        <v>30541.010172773727</v>
      </c>
      <c r="T242" s="635">
        <f>'Corrected and Updated TSF 3'!CU242</f>
        <v>35407.14697585391</v>
      </c>
      <c r="U242" s="636">
        <f>'Corrected and Updated TSF 3'!CV242</f>
        <v>45738.102840689047</v>
      </c>
      <c r="V242" s="636">
        <f>'Corrected and Updated TSF 3'!CW242</f>
        <v>78001.991008951009</v>
      </c>
      <c r="W242" s="1102">
        <f>'Corrected and Updated TSF 3'!CX242</f>
        <v>319998.28935546725</v>
      </c>
      <c r="X242" s="1102">
        <f>'Corrected and Updated TSF 3'!CY242</f>
        <v>126621.76429679542</v>
      </c>
      <c r="Y242" s="1102">
        <f>'Corrected and Updated TSF 3'!CZ242</f>
        <v>91457.106982886777</v>
      </c>
      <c r="Z242" s="1102">
        <f>'Corrected and Updated TSF 3'!DA242</f>
        <v>69603.068881720697</v>
      </c>
      <c r="AA242" s="821">
        <f>L242-'Corrected and Updated TSF 3'!CL242</f>
        <v>0</v>
      </c>
      <c r="AB242" s="678">
        <f>N242-'Corrected and Updated TSF 3'!CN242</f>
        <v>0</v>
      </c>
      <c r="AC242" s="678">
        <f>Q242-'Corrected and Updated TSF 3'!CQ242</f>
        <v>0</v>
      </c>
      <c r="AD242" s="775"/>
      <c r="AE242" s="775"/>
      <c r="AF242" s="775"/>
      <c r="AG242" s="775"/>
      <c r="AL242" s="119"/>
      <c r="AM242" s="119"/>
      <c r="AN242" s="119"/>
      <c r="AO242" s="119"/>
      <c r="AP242" s="119"/>
      <c r="AQ242" s="119"/>
      <c r="AR242" s="119"/>
      <c r="AS242" s="119"/>
    </row>
    <row r="243" spans="1:47" hidden="1">
      <c r="A243" s="631" t="str">
        <f t="shared" si="3"/>
        <v>E-10D</v>
      </c>
      <c r="B243" s="632" t="str">
        <f>'Corrected and Updated TSF 3'!EP243</f>
        <v>SOLD</v>
      </c>
      <c r="C243" s="820" t="str">
        <f>'Corrected and Updated TSF 3'!E243</f>
        <v>10th Floor</v>
      </c>
      <c r="D243" s="628">
        <f>'INTERNAL PRICELIST'!D243</f>
        <v>0</v>
      </c>
      <c r="E243" s="596" t="str">
        <f>'Corrected and Updated TSF 3'!G243</f>
        <v>E-10D</v>
      </c>
      <c r="F243" s="401" t="str">
        <f>'Corrected and Updated TSF 3'!I243</f>
        <v>Studio</v>
      </c>
      <c r="G243" s="633">
        <f>'Corrected and Updated TSF 3'!J243</f>
        <v>22</v>
      </c>
      <c r="H243" s="633">
        <f>'Corrected and Updated TSF 3'!CG243</f>
        <v>3992910.7816402251</v>
      </c>
      <c r="I243" s="633">
        <f>SUM('Corrected and Updated TSF 3'!CI243:CJ243)</f>
        <v>509096.12465912872</v>
      </c>
      <c r="J243" s="633">
        <f>'Corrected and Updated TSF 3'!CH243</f>
        <v>0</v>
      </c>
      <c r="K243" s="633">
        <f>'Corrected and Updated TSF 3'!CK243</f>
        <v>4502006.9062993536</v>
      </c>
      <c r="L243" s="634">
        <f>'Corrected and Updated TSF 3'!CL243</f>
        <v>0.125</v>
      </c>
      <c r="M243" s="633">
        <f>'Corrected and Updated TSF 3'!CM243</f>
        <v>562750.8632874192</v>
      </c>
      <c r="N243" s="633">
        <f>'Corrected and Updated TSF 3'!CN243</f>
        <v>30000</v>
      </c>
      <c r="O243" s="633">
        <f>'Corrected and Updated TSF 3'!CO243</f>
        <v>532750.8632874192</v>
      </c>
      <c r="P243" s="401">
        <f>'Corrected and Updated TSF 3'!CP243</f>
        <v>29</v>
      </c>
      <c r="Q243" s="633">
        <f>'Corrected and Updated TSF 3'!CQ243</f>
        <v>18370.719423704111</v>
      </c>
      <c r="R243" s="633">
        <f>'Corrected and Updated TSF 3'!CS243</f>
        <v>3939256.0430119345</v>
      </c>
      <c r="S243" s="633">
        <f>'Corrected and Updated TSF 3'!CT243</f>
        <v>30541.010172773727</v>
      </c>
      <c r="T243" s="635">
        <f>'Corrected and Updated TSF 3'!CU243</f>
        <v>35407.14697585391</v>
      </c>
      <c r="U243" s="636">
        <f>'Corrected and Updated TSF 3'!CV243</f>
        <v>45738.102840689047</v>
      </c>
      <c r="V243" s="636">
        <f>'Corrected and Updated TSF 3'!CW243</f>
        <v>78001.991008951009</v>
      </c>
      <c r="W243" s="1102">
        <f>'Corrected and Updated TSF 3'!CX243</f>
        <v>319998.28935546725</v>
      </c>
      <c r="X243" s="1102">
        <f>'Corrected and Updated TSF 3'!CY243</f>
        <v>126621.76429679542</v>
      </c>
      <c r="Y243" s="1102">
        <f>'Corrected and Updated TSF 3'!CZ243</f>
        <v>91457.106982886777</v>
      </c>
      <c r="Z243" s="1102">
        <f>'Corrected and Updated TSF 3'!DA243</f>
        <v>69603.068881720697</v>
      </c>
      <c r="AA243" s="821">
        <f>L243-'Corrected and Updated TSF 3'!CL243</f>
        <v>0</v>
      </c>
      <c r="AB243" s="678">
        <f>N243-'Corrected and Updated TSF 3'!CN243</f>
        <v>0</v>
      </c>
      <c r="AC243" s="678">
        <f>Q243-'Corrected and Updated TSF 3'!CQ243</f>
        <v>0</v>
      </c>
      <c r="AD243" s="775"/>
      <c r="AE243" s="775"/>
      <c r="AF243" s="775"/>
      <c r="AG243" s="775"/>
      <c r="AL243" s="119"/>
      <c r="AM243" s="119"/>
      <c r="AN243" s="119"/>
      <c r="AO243" s="119"/>
      <c r="AP243" s="119"/>
      <c r="AQ243" s="119"/>
      <c r="AR243" s="119"/>
      <c r="AS243" s="119"/>
    </row>
    <row r="244" spans="1:47" hidden="1">
      <c r="A244" s="631" t="str">
        <f t="shared" si="3"/>
        <v>E-10E</v>
      </c>
      <c r="B244" s="632" t="str">
        <f>'Corrected and Updated TSF 3'!EP244</f>
        <v>SOLD</v>
      </c>
      <c r="C244" s="820" t="str">
        <f>'Corrected and Updated TSF 3'!E244</f>
        <v>10th Floor</v>
      </c>
      <c r="D244" s="628">
        <f>'INTERNAL PRICELIST'!D244</f>
        <v>0</v>
      </c>
      <c r="E244" s="596" t="str">
        <f>'Corrected and Updated TSF 3'!G244</f>
        <v>E-10E</v>
      </c>
      <c r="F244" s="401" t="str">
        <f>'Corrected and Updated TSF 3'!I244</f>
        <v>Studio</v>
      </c>
      <c r="G244" s="633">
        <f>'Corrected and Updated TSF 3'!J244</f>
        <v>22</v>
      </c>
      <c r="H244" s="633">
        <f>'Corrected and Updated TSF 3'!CG244</f>
        <v>3992910.7816402251</v>
      </c>
      <c r="I244" s="633">
        <f>SUM('Corrected and Updated TSF 3'!CI244:CJ244)</f>
        <v>509096.12465912872</v>
      </c>
      <c r="J244" s="633">
        <f>'Corrected and Updated TSF 3'!CH244</f>
        <v>0</v>
      </c>
      <c r="K244" s="633">
        <f>'Corrected and Updated TSF 3'!CK244</f>
        <v>4502006.9062993536</v>
      </c>
      <c r="L244" s="634">
        <f>'Corrected and Updated TSF 3'!CL244</f>
        <v>0.125</v>
      </c>
      <c r="M244" s="633">
        <f>'Corrected and Updated TSF 3'!CM244</f>
        <v>562750.8632874192</v>
      </c>
      <c r="N244" s="633">
        <f>'Corrected and Updated TSF 3'!CN244</f>
        <v>30000</v>
      </c>
      <c r="O244" s="633">
        <f>'Corrected and Updated TSF 3'!CO244</f>
        <v>532750.8632874192</v>
      </c>
      <c r="P244" s="401">
        <f>'Corrected and Updated TSF 3'!CP244</f>
        <v>29</v>
      </c>
      <c r="Q244" s="633">
        <f>'Corrected and Updated TSF 3'!CQ244</f>
        <v>18370.719423704111</v>
      </c>
      <c r="R244" s="633">
        <f>'Corrected and Updated TSF 3'!CS244</f>
        <v>3939256.0430119345</v>
      </c>
      <c r="S244" s="633">
        <f>'Corrected and Updated TSF 3'!CT244</f>
        <v>30541.010172773727</v>
      </c>
      <c r="T244" s="635">
        <f>'Corrected and Updated TSF 3'!CU244</f>
        <v>35407.14697585391</v>
      </c>
      <c r="U244" s="636">
        <f>'Corrected and Updated TSF 3'!CV244</f>
        <v>45738.102840689047</v>
      </c>
      <c r="V244" s="636">
        <f>'Corrected and Updated TSF 3'!CW244</f>
        <v>78001.991008951009</v>
      </c>
      <c r="W244" s="1102">
        <f>'Corrected and Updated TSF 3'!CX244</f>
        <v>319998.28935546725</v>
      </c>
      <c r="X244" s="1102">
        <f>'Corrected and Updated TSF 3'!CY244</f>
        <v>126621.76429679542</v>
      </c>
      <c r="Y244" s="1102">
        <f>'Corrected and Updated TSF 3'!CZ244</f>
        <v>91457.106982886777</v>
      </c>
      <c r="Z244" s="1102">
        <f>'Corrected and Updated TSF 3'!DA244</f>
        <v>69603.068881720697</v>
      </c>
      <c r="AA244" s="821">
        <f>L244-'Corrected and Updated TSF 3'!CL244</f>
        <v>0</v>
      </c>
      <c r="AB244" s="678">
        <f>N244-'Corrected and Updated TSF 3'!CN244</f>
        <v>0</v>
      </c>
      <c r="AC244" s="678">
        <f>Q244-'Corrected and Updated TSF 3'!CQ244</f>
        <v>0</v>
      </c>
      <c r="AD244" s="775"/>
      <c r="AE244" s="775"/>
      <c r="AF244" s="775"/>
      <c r="AG244" s="775"/>
      <c r="AL244" s="119"/>
      <c r="AM244" s="119"/>
      <c r="AN244" s="119"/>
      <c r="AO244" s="119"/>
      <c r="AP244" s="119"/>
      <c r="AQ244" s="119"/>
      <c r="AR244" s="119"/>
      <c r="AS244" s="119"/>
    </row>
    <row r="245" spans="1:47" ht="12.75" hidden="1" customHeight="1">
      <c r="A245" s="631" t="str">
        <f t="shared" si="3"/>
        <v>E-10F</v>
      </c>
      <c r="B245" s="632" t="str">
        <f>'Corrected and Updated TSF 3'!EP245</f>
        <v>SOLD</v>
      </c>
      <c r="C245" s="820" t="str">
        <f>'Corrected and Updated TSF 3'!E245</f>
        <v>10th Floor</v>
      </c>
      <c r="D245" s="628">
        <f>'INTERNAL PRICELIST'!D245</f>
        <v>0</v>
      </c>
      <c r="E245" s="596" t="str">
        <f>'Corrected and Updated TSF 3'!G245</f>
        <v>E-10F</v>
      </c>
      <c r="F245" s="401" t="str">
        <f>'Corrected and Updated TSF 3'!I245</f>
        <v>Studio</v>
      </c>
      <c r="G245" s="633">
        <f>'Corrected and Updated TSF 3'!J245</f>
        <v>22</v>
      </c>
      <c r="H245" s="633">
        <f>'Corrected and Updated TSF 3'!CG245</f>
        <v>3992910.7816402251</v>
      </c>
      <c r="I245" s="633">
        <f>SUM('Corrected and Updated TSF 3'!CI245:CJ245)</f>
        <v>509096.12465912872</v>
      </c>
      <c r="J245" s="633">
        <f>'Corrected and Updated TSF 3'!CH245</f>
        <v>0</v>
      </c>
      <c r="K245" s="633">
        <f>'Corrected and Updated TSF 3'!CK245</f>
        <v>4502006.9062993536</v>
      </c>
      <c r="L245" s="634">
        <f>'Corrected and Updated TSF 3'!CL245</f>
        <v>0.125</v>
      </c>
      <c r="M245" s="633">
        <f>'Corrected and Updated TSF 3'!CM245</f>
        <v>562750.8632874192</v>
      </c>
      <c r="N245" s="633">
        <f>'Corrected and Updated TSF 3'!CN245</f>
        <v>30000</v>
      </c>
      <c r="O245" s="633">
        <f>'Corrected and Updated TSF 3'!CO245</f>
        <v>532750.8632874192</v>
      </c>
      <c r="P245" s="401">
        <f>'Corrected and Updated TSF 3'!CP245</f>
        <v>29</v>
      </c>
      <c r="Q245" s="633">
        <f>'Corrected and Updated TSF 3'!CQ245</f>
        <v>18370.719423704111</v>
      </c>
      <c r="R245" s="633">
        <f>'Corrected and Updated TSF 3'!CS245</f>
        <v>3939256.0430119345</v>
      </c>
      <c r="S245" s="633">
        <f>'Corrected and Updated TSF 3'!CT245</f>
        <v>30541.010172773727</v>
      </c>
      <c r="T245" s="635">
        <f>'Corrected and Updated TSF 3'!CU245</f>
        <v>35407.14697585391</v>
      </c>
      <c r="U245" s="636">
        <f>'Corrected and Updated TSF 3'!CV245</f>
        <v>45738.102840689047</v>
      </c>
      <c r="V245" s="636">
        <f>'Corrected and Updated TSF 3'!CW245</f>
        <v>78001.991008951009</v>
      </c>
      <c r="W245" s="1102">
        <f>'Corrected and Updated TSF 3'!CX245</f>
        <v>319998.28935546725</v>
      </c>
      <c r="X245" s="1102">
        <f>'Corrected and Updated TSF 3'!CY245</f>
        <v>126621.76429679542</v>
      </c>
      <c r="Y245" s="1102">
        <f>'Corrected and Updated TSF 3'!CZ245</f>
        <v>91457.106982886777</v>
      </c>
      <c r="Z245" s="1102">
        <f>'Corrected and Updated TSF 3'!DA245</f>
        <v>69603.068881720697</v>
      </c>
      <c r="AA245" s="821">
        <f>L245-'Corrected and Updated TSF 3'!CL245</f>
        <v>0</v>
      </c>
      <c r="AB245" s="678">
        <f>N245-'Corrected and Updated TSF 3'!CN245</f>
        <v>0</v>
      </c>
      <c r="AC245" s="678">
        <f>Q245-'Corrected and Updated TSF 3'!CQ245</f>
        <v>0</v>
      </c>
      <c r="AD245" s="775"/>
      <c r="AE245" s="775"/>
      <c r="AF245" s="775"/>
      <c r="AG245" s="775"/>
      <c r="AL245" s="119"/>
      <c r="AM245" s="119"/>
      <c r="AN245" s="119"/>
      <c r="AO245" s="119"/>
      <c r="AP245" s="119"/>
      <c r="AQ245" s="119"/>
      <c r="AR245" s="119"/>
      <c r="AS245" s="119"/>
    </row>
    <row r="246" spans="1:47" ht="12.75" hidden="1" customHeight="1">
      <c r="A246" s="631" t="str">
        <f t="shared" si="3"/>
        <v>E-10G</v>
      </c>
      <c r="B246" s="632" t="str">
        <f>'Corrected and Updated TSF 3'!EP246</f>
        <v>SOLD</v>
      </c>
      <c r="C246" s="820" t="str">
        <f>'Corrected and Updated TSF 3'!E246</f>
        <v>10th Floor</v>
      </c>
      <c r="D246" s="628">
        <f>'INTERNAL PRICELIST'!D246</f>
        <v>0</v>
      </c>
      <c r="E246" s="596" t="str">
        <f>'Corrected and Updated TSF 3'!G246</f>
        <v>E-10G</v>
      </c>
      <c r="F246" s="401" t="str">
        <f>'Corrected and Updated TSF 3'!I246</f>
        <v>Studio</v>
      </c>
      <c r="G246" s="633">
        <f>'Corrected and Updated TSF 3'!J246</f>
        <v>22</v>
      </c>
      <c r="H246" s="633">
        <f>'Corrected and Updated TSF 3'!CG246</f>
        <v>3992910.7816402251</v>
      </c>
      <c r="I246" s="633">
        <f>SUM('Corrected and Updated TSF 3'!CI246:CJ246)</f>
        <v>509096.12465912872</v>
      </c>
      <c r="J246" s="633">
        <f>'Corrected and Updated TSF 3'!CH246</f>
        <v>0</v>
      </c>
      <c r="K246" s="633">
        <f>'Corrected and Updated TSF 3'!CK246</f>
        <v>4502006.9062993536</v>
      </c>
      <c r="L246" s="634">
        <f>'Corrected and Updated TSF 3'!CL246</f>
        <v>0.125</v>
      </c>
      <c r="M246" s="633">
        <f>'Corrected and Updated TSF 3'!CM246</f>
        <v>562750.8632874192</v>
      </c>
      <c r="N246" s="633">
        <f>'Corrected and Updated TSF 3'!CN246</f>
        <v>30000</v>
      </c>
      <c r="O246" s="633">
        <f>'Corrected and Updated TSF 3'!CO246</f>
        <v>532750.8632874192</v>
      </c>
      <c r="P246" s="401">
        <f>'Corrected and Updated TSF 3'!CP246</f>
        <v>29</v>
      </c>
      <c r="Q246" s="633">
        <f>'Corrected and Updated TSF 3'!CQ246</f>
        <v>18370.719423704111</v>
      </c>
      <c r="R246" s="633">
        <f>'Corrected and Updated TSF 3'!CS246</f>
        <v>3939256.0430119345</v>
      </c>
      <c r="S246" s="633">
        <f>'Corrected and Updated TSF 3'!CT246</f>
        <v>30541.010172773727</v>
      </c>
      <c r="T246" s="635">
        <f>'Corrected and Updated TSF 3'!CU246</f>
        <v>35407.14697585391</v>
      </c>
      <c r="U246" s="636">
        <f>'Corrected and Updated TSF 3'!CV246</f>
        <v>45738.102840689047</v>
      </c>
      <c r="V246" s="636">
        <f>'Corrected and Updated TSF 3'!CW246</f>
        <v>78001.991008951009</v>
      </c>
      <c r="W246" s="1102">
        <f>'Corrected and Updated TSF 3'!CX246</f>
        <v>319998.28935546725</v>
      </c>
      <c r="X246" s="1102">
        <f>'Corrected and Updated TSF 3'!CY246</f>
        <v>126621.76429679542</v>
      </c>
      <c r="Y246" s="1102">
        <f>'Corrected and Updated TSF 3'!CZ246</f>
        <v>91457.106982886777</v>
      </c>
      <c r="Z246" s="1102">
        <f>'Corrected and Updated TSF 3'!DA246</f>
        <v>69603.068881720697</v>
      </c>
      <c r="AA246" s="821">
        <f>L246-'Corrected and Updated TSF 3'!CL246</f>
        <v>0</v>
      </c>
      <c r="AB246" s="678">
        <f>N246-'Corrected and Updated TSF 3'!CN246</f>
        <v>0</v>
      </c>
      <c r="AC246" s="678">
        <f>Q246-'Corrected and Updated TSF 3'!CQ246</f>
        <v>0</v>
      </c>
      <c r="AD246" s="775"/>
      <c r="AE246" s="775"/>
      <c r="AF246" s="775"/>
      <c r="AG246" s="775"/>
      <c r="AL246" s="119"/>
      <c r="AM246" s="119"/>
      <c r="AN246" s="119"/>
      <c r="AO246" s="119"/>
      <c r="AP246" s="119"/>
      <c r="AQ246" s="119"/>
      <c r="AR246" s="119"/>
      <c r="AS246" s="119"/>
    </row>
    <row r="247" spans="1:47" ht="12.75" hidden="1" customHeight="1">
      <c r="A247" s="631" t="str">
        <f t="shared" si="3"/>
        <v>E-10H</v>
      </c>
      <c r="B247" s="632" t="str">
        <f>'Corrected and Updated TSF 3'!EP247</f>
        <v>SOLD</v>
      </c>
      <c r="C247" s="820" t="str">
        <f>'Corrected and Updated TSF 3'!E247</f>
        <v>10th Floor</v>
      </c>
      <c r="D247" s="628">
        <f>'INTERNAL PRICELIST'!D247</f>
        <v>0</v>
      </c>
      <c r="E247" s="596" t="str">
        <f>'Corrected and Updated TSF 3'!G247</f>
        <v>E-10H</v>
      </c>
      <c r="F247" s="401" t="str">
        <f>'Corrected and Updated TSF 3'!I247</f>
        <v>Studio</v>
      </c>
      <c r="G247" s="633">
        <f>'Corrected and Updated TSF 3'!J247</f>
        <v>22</v>
      </c>
      <c r="H247" s="633">
        <f>'Corrected and Updated TSF 3'!CG247</f>
        <v>4036358.427761964</v>
      </c>
      <c r="I247" s="633">
        <f>SUM('Corrected and Updated TSF 3'!CI247:CJ247)</f>
        <v>514635.69953965035</v>
      </c>
      <c r="J247" s="633">
        <f>'Corrected and Updated TSF 3'!CH247</f>
        <v>0</v>
      </c>
      <c r="K247" s="633">
        <f>'Corrected and Updated TSF 3'!CK247</f>
        <v>4550994.1273016147</v>
      </c>
      <c r="L247" s="634">
        <f>'Corrected and Updated TSF 3'!CL247</f>
        <v>0.125</v>
      </c>
      <c r="M247" s="633">
        <f>'Corrected and Updated TSF 3'!CM247</f>
        <v>568874.26591270184</v>
      </c>
      <c r="N247" s="633">
        <f>'Corrected and Updated TSF 3'!CN247</f>
        <v>30000</v>
      </c>
      <c r="O247" s="633">
        <f>'Corrected and Updated TSF 3'!CO247</f>
        <v>538874.26591270184</v>
      </c>
      <c r="P247" s="401">
        <f>'Corrected and Updated TSF 3'!CP247</f>
        <v>29</v>
      </c>
      <c r="Q247" s="633">
        <f>'Corrected and Updated TSF 3'!CQ247</f>
        <v>18581.871238369029</v>
      </c>
      <c r="R247" s="633">
        <f>'Corrected and Updated TSF 3'!CS247</f>
        <v>3982119.8613889129</v>
      </c>
      <c r="S247" s="633">
        <f>'Corrected and Updated TSF 3'!CT247</f>
        <v>30873.332900416048</v>
      </c>
      <c r="T247" s="635">
        <f>'Corrected and Updated TSF 3'!CU247</f>
        <v>35792.419093393029</v>
      </c>
      <c r="U247" s="636">
        <f>'Corrected and Updated TSF 3'!CV247</f>
        <v>46235.78811721447</v>
      </c>
      <c r="V247" s="636">
        <f>'Corrected and Updated TSF 3'!CW247</f>
        <v>78850.74598683104</v>
      </c>
      <c r="W247" s="1102">
        <f>'Corrected and Updated TSF 3'!CX247</f>
        <v>323480.25356548827</v>
      </c>
      <c r="X247" s="1102">
        <f>'Corrected and Updated TSF 3'!CY247</f>
        <v>127999.56057307926</v>
      </c>
      <c r="Y247" s="1102">
        <f>'Corrected and Updated TSF 3'!CZ247</f>
        <v>92452.269719249816</v>
      </c>
      <c r="Z247" s="1102">
        <f>'Corrected and Updated TSF 3'!DA247</f>
        <v>70360.433539019112</v>
      </c>
      <c r="AA247" s="821">
        <f>L247-'Corrected and Updated TSF 3'!CL247</f>
        <v>0</v>
      </c>
      <c r="AB247" s="678">
        <f>N247-'Corrected and Updated TSF 3'!CN247</f>
        <v>0</v>
      </c>
      <c r="AC247" s="678">
        <f>Q247-'Corrected and Updated TSF 3'!CQ247</f>
        <v>0</v>
      </c>
      <c r="AD247" s="775"/>
      <c r="AE247" s="775"/>
      <c r="AF247" s="775"/>
      <c r="AG247" s="775"/>
      <c r="AL247" s="119"/>
      <c r="AM247" s="119"/>
      <c r="AN247" s="119"/>
      <c r="AO247" s="119"/>
      <c r="AP247" s="119"/>
      <c r="AQ247" s="119"/>
      <c r="AR247" s="119"/>
      <c r="AS247" s="119"/>
    </row>
    <row r="248" spans="1:47" ht="12.75" hidden="1" customHeight="1">
      <c r="A248" s="631" t="str">
        <f t="shared" si="3"/>
        <v>E-10I</v>
      </c>
      <c r="B248" s="632" t="str">
        <f>'Corrected and Updated TSF 3'!EP248</f>
        <v>SOLD</v>
      </c>
      <c r="C248" s="820" t="str">
        <f>'Corrected and Updated TSF 3'!E248</f>
        <v>10th Floor</v>
      </c>
      <c r="D248" s="628">
        <f>'INTERNAL PRICELIST'!D248</f>
        <v>0</v>
      </c>
      <c r="E248" s="596" t="str">
        <f>'Corrected and Updated TSF 3'!G248</f>
        <v>E-10I</v>
      </c>
      <c r="F248" s="401" t="str">
        <f>'Corrected and Updated TSF 3'!I248</f>
        <v>Studio</v>
      </c>
      <c r="G248" s="633">
        <f>'Corrected and Updated TSF 3'!J248</f>
        <v>22</v>
      </c>
      <c r="H248" s="633">
        <f>'Corrected and Updated TSF 3'!CG248</f>
        <v>4083504.7651069323</v>
      </c>
      <c r="I248" s="633">
        <f>SUM('Corrected and Updated TSF 3'!CI248:CJ248)</f>
        <v>520646.85755113384</v>
      </c>
      <c r="J248" s="633">
        <f>'Corrected and Updated TSF 3'!CH248</f>
        <v>0</v>
      </c>
      <c r="K248" s="633">
        <f>'Corrected and Updated TSF 3'!CK248</f>
        <v>4604151.6226580655</v>
      </c>
      <c r="L248" s="634">
        <f>'Corrected and Updated TSF 3'!CL248</f>
        <v>0.125</v>
      </c>
      <c r="M248" s="633">
        <f>'Corrected and Updated TSF 3'!CM248</f>
        <v>575518.95283225819</v>
      </c>
      <c r="N248" s="633">
        <f>'Corrected and Updated TSF 3'!CN248</f>
        <v>30000</v>
      </c>
      <c r="O248" s="633">
        <f>'Corrected and Updated TSF 3'!CO248</f>
        <v>545518.95283225819</v>
      </c>
      <c r="P248" s="401">
        <f>'Corrected and Updated TSF 3'!CP248</f>
        <v>29</v>
      </c>
      <c r="Q248" s="633">
        <f>'Corrected and Updated TSF 3'!CQ248</f>
        <v>18810.998373526145</v>
      </c>
      <c r="R248" s="633">
        <f>'Corrected and Updated TSF 3'!CS248</f>
        <v>4028632.6698258072</v>
      </c>
      <c r="S248" s="633">
        <f>'Corrected and Updated TSF 3'!CT248</f>
        <v>31233.946209153735</v>
      </c>
      <c r="T248" s="635">
        <f>'Corrected and Updated TSF 3'!CU248</f>
        <v>36210.489365191272</v>
      </c>
      <c r="U248" s="636">
        <f>'Corrected and Updated TSF 3'!CV248</f>
        <v>46775.841262393966</v>
      </c>
      <c r="V248" s="636">
        <f>'Corrected and Updated TSF 3'!CW248</f>
        <v>79771.755341359225</v>
      </c>
      <c r="W248" s="1102">
        <f>'Corrected and Updated TSF 3'!CX248</f>
        <v>327258.63683644327</v>
      </c>
      <c r="X248" s="1102">
        <f>'Corrected and Updated TSF 3'!CY248</f>
        <v>129494.64842783452</v>
      </c>
      <c r="Y248" s="1102">
        <f>'Corrected and Updated TSF 3'!CZ248</f>
        <v>93532.150501519311</v>
      </c>
      <c r="Z248" s="1102">
        <f>'Corrected and Updated TSF 3'!DA248</f>
        <v>71182.27252946973</v>
      </c>
      <c r="AA248" s="821">
        <f>L248-'Corrected and Updated TSF 3'!CL248</f>
        <v>0</v>
      </c>
      <c r="AB248" s="678">
        <f>N248-'Corrected and Updated TSF 3'!CN248</f>
        <v>0</v>
      </c>
      <c r="AC248" s="678">
        <f>Q248-'Corrected and Updated TSF 3'!CQ248</f>
        <v>0</v>
      </c>
      <c r="AD248" s="775"/>
      <c r="AE248" s="775"/>
      <c r="AF248" s="775"/>
      <c r="AG248" s="775"/>
      <c r="AL248" s="119"/>
      <c r="AM248" s="119"/>
      <c r="AN248" s="119"/>
      <c r="AO248" s="119"/>
      <c r="AP248" s="119"/>
      <c r="AQ248" s="119"/>
      <c r="AR248" s="119"/>
      <c r="AS248" s="119"/>
    </row>
    <row r="249" spans="1:47" ht="12.75" hidden="1" customHeight="1">
      <c r="A249" s="631" t="str">
        <f t="shared" si="3"/>
        <v>E-10J</v>
      </c>
      <c r="B249" s="632" t="str">
        <f>'Corrected and Updated TSF 3'!EP249</f>
        <v>SOLD</v>
      </c>
      <c r="C249" s="1167" t="str">
        <f>'Corrected and Updated TSF 3'!E249</f>
        <v>10th Floor</v>
      </c>
      <c r="D249" s="974">
        <f>'INTERNAL PRICELIST'!D249</f>
        <v>0</v>
      </c>
      <c r="E249" s="1134" t="str">
        <f>'Corrected and Updated TSF 3'!G249</f>
        <v>E-10J</v>
      </c>
      <c r="F249" s="1168" t="str">
        <f>'Corrected and Updated TSF 3'!I249</f>
        <v>Studio</v>
      </c>
      <c r="G249" s="1169">
        <f>'Corrected and Updated TSF 3'!J249</f>
        <v>22</v>
      </c>
      <c r="H249" s="1169">
        <f>'Corrected and Updated TSF 3'!CG249</f>
        <v>4165843.2258462803</v>
      </c>
      <c r="I249" s="1169">
        <f>SUM('Corrected and Updated TSF 3'!CI249:CJ249)</f>
        <v>531145.01129540068</v>
      </c>
      <c r="J249" s="977">
        <f>'Corrected and Updated TSF 3'!CH249</f>
        <v>0</v>
      </c>
      <c r="K249" s="1169">
        <f>'Corrected and Updated TSF 3'!CK249</f>
        <v>4696988.2371416809</v>
      </c>
      <c r="L249" s="1170">
        <f>'Corrected and Updated TSF 3'!CL249</f>
        <v>0.125</v>
      </c>
      <c r="M249" s="1169">
        <f>'Corrected and Updated TSF 3'!CM249</f>
        <v>587123.52964271011</v>
      </c>
      <c r="N249" s="1169">
        <f>'Corrected and Updated TSF 3'!CN249</f>
        <v>30000</v>
      </c>
      <c r="O249" s="1169">
        <f>'Corrected and Updated TSF 3'!CO249</f>
        <v>557123.52964271011</v>
      </c>
      <c r="P249" s="1168">
        <f>'Corrected and Updated TSF 3'!CP249</f>
        <v>29</v>
      </c>
      <c r="Q249" s="1169">
        <f>'Corrected and Updated TSF 3'!CQ249</f>
        <v>19211.156194576211</v>
      </c>
      <c r="R249" s="1169">
        <f>'Corrected and Updated TSF 3'!CS249</f>
        <v>4109864.7074989709</v>
      </c>
      <c r="S249" s="1169">
        <f>'Corrected and Updated TSF 3'!CT249</f>
        <v>31863.737332615296</v>
      </c>
      <c r="T249" s="1166">
        <f>'Corrected and Updated TSF 3'!CU249</f>
        <v>36940.625884787158</v>
      </c>
      <c r="U249" s="1166">
        <f>'Corrected and Updated TSF 3'!CV249</f>
        <v>47719.014098200074</v>
      </c>
      <c r="V249" s="1166">
        <f>'Corrected and Updated TSF 3'!CW249</f>
        <v>81380.247047162688</v>
      </c>
      <c r="W249" s="1102">
        <f>'Corrected and Updated TSF 3'!CX249</f>
        <v>333857.37345382653</v>
      </c>
      <c r="X249" s="1102">
        <f>'Corrected and Updated TSF 3'!CY249</f>
        <v>132105.73636304151</v>
      </c>
      <c r="Y249" s="1102">
        <f>'Corrected and Updated TSF 3'!CZ249</f>
        <v>95418.102335772768</v>
      </c>
      <c r="Z249" s="1102">
        <f>'Corrected and Updated TSF 3'!DA249</f>
        <v>72617.568700074757</v>
      </c>
      <c r="AA249" s="821">
        <f>L249-'Corrected and Updated TSF 3'!CL249</f>
        <v>0</v>
      </c>
      <c r="AB249" s="678">
        <f>N249-'Corrected and Updated TSF 3'!CN249</f>
        <v>0</v>
      </c>
      <c r="AC249" s="678">
        <f>Q249-'Corrected and Updated TSF 3'!CQ249</f>
        <v>0</v>
      </c>
      <c r="AD249" s="775"/>
      <c r="AE249" s="775"/>
      <c r="AF249" s="775"/>
      <c r="AG249" s="775"/>
      <c r="AT249" s="521"/>
      <c r="AU249" s="521"/>
    </row>
    <row r="250" spans="1:47" ht="12.75" hidden="1" customHeight="1">
      <c r="A250" s="631" t="str">
        <f t="shared" si="3"/>
        <v>E-10K</v>
      </c>
      <c r="B250" s="632" t="str">
        <f>'Corrected and Updated TSF 3'!EP250</f>
        <v>SOLD</v>
      </c>
      <c r="C250" s="973" t="str">
        <f>'Corrected and Updated TSF 3'!E250</f>
        <v>10th Floor</v>
      </c>
      <c r="D250" s="974">
        <f>'INTERNAL PRICELIST'!D250</f>
        <v>0</v>
      </c>
      <c r="E250" s="975" t="str">
        <f>'Corrected and Updated TSF 3'!G250</f>
        <v>E-10K</v>
      </c>
      <c r="F250" s="976" t="str">
        <f>'Corrected and Updated TSF 3'!I250</f>
        <v>Studio</v>
      </c>
      <c r="G250" s="977">
        <f>'Corrected and Updated TSF 3'!J250</f>
        <v>22</v>
      </c>
      <c r="H250" s="977">
        <f>'Corrected and Updated TSF 3'!CG250</f>
        <v>4026508.3750269082</v>
      </c>
      <c r="I250" s="977">
        <f>SUM('Corrected and Updated TSF 3'!CI250:CJ250)</f>
        <v>513379.81781593082</v>
      </c>
      <c r="J250" s="977">
        <f>'Corrected and Updated TSF 3'!CH250</f>
        <v>0</v>
      </c>
      <c r="K250" s="977">
        <f>'Corrected and Updated TSF 3'!CK250</f>
        <v>4539888.1928428393</v>
      </c>
      <c r="L250" s="978">
        <f>'Corrected and Updated TSF 3'!CL250</f>
        <v>0.125</v>
      </c>
      <c r="M250" s="977">
        <f>'Corrected and Updated TSF 3'!CM250</f>
        <v>567486.02410535491</v>
      </c>
      <c r="N250" s="977">
        <f>'Corrected and Updated TSF 3'!CN250</f>
        <v>30000</v>
      </c>
      <c r="O250" s="977">
        <f>'Corrected and Updated TSF 3'!CO250</f>
        <v>537486.02410535491</v>
      </c>
      <c r="P250" s="976">
        <f>'Corrected and Updated TSF 3'!CP250</f>
        <v>29</v>
      </c>
      <c r="Q250" s="977">
        <f>'Corrected and Updated TSF 3'!CQ250</f>
        <v>18534.000831219135</v>
      </c>
      <c r="R250" s="977">
        <f>'Corrected and Updated TSF 3'!CS250</f>
        <v>3972402.1687374841</v>
      </c>
      <c r="S250" s="977">
        <f>'Corrected and Updated TSF 3'!CT250</f>
        <v>30797.991732722807</v>
      </c>
      <c r="T250" s="636">
        <f>'Corrected and Updated TSF 3'!CU250</f>
        <v>35705.073724567439</v>
      </c>
      <c r="U250" s="636">
        <f>'Corrected and Updated TSF 3'!CV250</f>
        <v>46122.957465687337</v>
      </c>
      <c r="V250" s="636">
        <f>'Corrected and Updated TSF 3'!CW250</f>
        <v>78658.324025285998</v>
      </c>
      <c r="W250" s="1102">
        <f>'Corrected and Updated TSF 3'!CX250</f>
        <v>322690.85450358782</v>
      </c>
      <c r="X250" s="1102">
        <f>'Corrected and Updated TSF 3'!CY250</f>
        <v>127687.19920966885</v>
      </c>
      <c r="Y250" s="1102">
        <f>'Corrected and Updated TSF 3'!CZ250</f>
        <v>92226.655530493255</v>
      </c>
      <c r="Z250" s="1102">
        <f>'Corrected and Updated TSF 3'!DA250</f>
        <v>70188.730754634569</v>
      </c>
      <c r="AA250" s="821">
        <f>L250-'Corrected and Updated TSF 3'!CL250</f>
        <v>0</v>
      </c>
      <c r="AB250" s="678">
        <f>N250-'Corrected and Updated TSF 3'!CN250</f>
        <v>0</v>
      </c>
      <c r="AC250" s="678">
        <f>Q250-'Corrected and Updated TSF 3'!CQ250</f>
        <v>0</v>
      </c>
      <c r="AD250" s="775"/>
      <c r="AE250" s="775"/>
      <c r="AF250" s="775"/>
      <c r="AG250" s="775"/>
      <c r="AL250" s="119"/>
      <c r="AM250" s="119"/>
      <c r="AN250" s="119"/>
      <c r="AO250" s="119"/>
      <c r="AP250" s="119"/>
      <c r="AQ250" s="119"/>
      <c r="AR250" s="119"/>
      <c r="AS250" s="119"/>
    </row>
    <row r="251" spans="1:47" hidden="1">
      <c r="A251" s="631" t="str">
        <f t="shared" si="3"/>
        <v>E-10L</v>
      </c>
      <c r="B251" s="632" t="str">
        <f>'Corrected and Updated TSF 3'!EP251</f>
        <v>SOLD</v>
      </c>
      <c r="C251" s="973" t="str">
        <f>'Corrected and Updated TSF 3'!E251</f>
        <v>10th Floor</v>
      </c>
      <c r="D251" s="974">
        <f>'INTERNAL PRICELIST'!D251</f>
        <v>0</v>
      </c>
      <c r="E251" s="975" t="str">
        <f>'Corrected and Updated TSF 3'!G251</f>
        <v>E-10L</v>
      </c>
      <c r="F251" s="976" t="str">
        <f>'Corrected and Updated TSF 3'!I251</f>
        <v>Studio</v>
      </c>
      <c r="G251" s="977">
        <f>'Corrected and Updated TSF 3'!J251</f>
        <v>22</v>
      </c>
      <c r="H251" s="977">
        <f>'Corrected and Updated TSF 3'!CG251</f>
        <v>4026508.3750269082</v>
      </c>
      <c r="I251" s="977">
        <f>SUM('Corrected and Updated TSF 3'!CI251:CJ251)</f>
        <v>513379.81781593082</v>
      </c>
      <c r="J251" s="977">
        <f>'Corrected and Updated TSF 3'!CH251</f>
        <v>0</v>
      </c>
      <c r="K251" s="977">
        <f>'Corrected and Updated TSF 3'!CK251</f>
        <v>4539888.1928428393</v>
      </c>
      <c r="L251" s="978">
        <f>'Corrected and Updated TSF 3'!CL251</f>
        <v>0.125</v>
      </c>
      <c r="M251" s="977">
        <f>'Corrected and Updated TSF 3'!CM251</f>
        <v>567486.02410535491</v>
      </c>
      <c r="N251" s="977">
        <f>'Corrected and Updated TSF 3'!CN251</f>
        <v>30000</v>
      </c>
      <c r="O251" s="977">
        <f>'Corrected and Updated TSF 3'!CO251</f>
        <v>537486.02410535491</v>
      </c>
      <c r="P251" s="976">
        <f>'Corrected and Updated TSF 3'!CP251</f>
        <v>29</v>
      </c>
      <c r="Q251" s="977">
        <f>'Corrected and Updated TSF 3'!CQ251</f>
        <v>18534.000831219135</v>
      </c>
      <c r="R251" s="977">
        <f>'Corrected and Updated TSF 3'!CS251</f>
        <v>3972402.1687374841</v>
      </c>
      <c r="S251" s="977">
        <f>'Corrected and Updated TSF 3'!CT251</f>
        <v>30797.991732722807</v>
      </c>
      <c r="T251" s="636">
        <f>'Corrected and Updated TSF 3'!CU251</f>
        <v>35705.073724567439</v>
      </c>
      <c r="U251" s="636">
        <f>'Corrected and Updated TSF 3'!CV251</f>
        <v>46122.957465687337</v>
      </c>
      <c r="V251" s="636">
        <f>'Corrected and Updated TSF 3'!CW251</f>
        <v>78658.324025285998</v>
      </c>
      <c r="W251" s="1102">
        <f>'Corrected and Updated TSF 3'!CX251</f>
        <v>322690.85450358782</v>
      </c>
      <c r="X251" s="1102">
        <f>'Corrected and Updated TSF 3'!CY251</f>
        <v>127687.19920966885</v>
      </c>
      <c r="Y251" s="1102">
        <f>'Corrected and Updated TSF 3'!CZ251</f>
        <v>92226.655530493255</v>
      </c>
      <c r="Z251" s="1102">
        <f>'Corrected and Updated TSF 3'!DA251</f>
        <v>70188.730754634569</v>
      </c>
      <c r="AA251" s="821">
        <f>L251-'Corrected and Updated TSF 3'!CL251</f>
        <v>0</v>
      </c>
      <c r="AB251" s="678">
        <f>N251-'Corrected and Updated TSF 3'!CN251</f>
        <v>0</v>
      </c>
      <c r="AC251" s="678">
        <f>Q251-'Corrected and Updated TSF 3'!CQ251</f>
        <v>0</v>
      </c>
      <c r="AD251" s="775"/>
      <c r="AE251" s="775"/>
      <c r="AF251" s="775"/>
      <c r="AG251" s="775"/>
      <c r="AL251" s="119"/>
      <c r="AM251" s="119"/>
      <c r="AN251" s="119"/>
      <c r="AO251" s="119"/>
      <c r="AP251" s="119"/>
      <c r="AQ251" s="119"/>
      <c r="AR251" s="119"/>
      <c r="AS251" s="119"/>
    </row>
    <row r="252" spans="1:47" ht="12.75" customHeight="1">
      <c r="A252" s="631" t="str">
        <f t="shared" si="3"/>
        <v>E-10M</v>
      </c>
      <c r="B252" s="632" t="str">
        <f>'Corrected and Updated TSF 3'!EP252</f>
        <v>UNSOLD</v>
      </c>
      <c r="C252" s="973" t="str">
        <f>'Corrected and Updated TSF 3'!E252</f>
        <v>10th Floor</v>
      </c>
      <c r="D252" s="974">
        <f>'INTERNAL PRICELIST'!D252</f>
        <v>0</v>
      </c>
      <c r="E252" s="975" t="str">
        <f>'Corrected and Updated TSF 3'!G252</f>
        <v>E-10M</v>
      </c>
      <c r="F252" s="976" t="str">
        <f>'Corrected and Updated TSF 3'!I252</f>
        <v>Studio</v>
      </c>
      <c r="G252" s="977">
        <f>'Corrected and Updated TSF 3'!J252</f>
        <v>22</v>
      </c>
      <c r="H252" s="977">
        <f>'Corrected and Updated TSF 3'!CG252</f>
        <v>4086836.7415552465</v>
      </c>
      <c r="I252" s="977">
        <f>SUM('Corrected and Updated TSF 3'!CI252:CJ252)</f>
        <v>521071.68454829394</v>
      </c>
      <c r="J252" s="977">
        <f>'Corrected and Updated TSF 3'!CH252</f>
        <v>0</v>
      </c>
      <c r="K252" s="977">
        <f>'Corrected and Updated TSF 3'!CK252</f>
        <v>4607908.4261035407</v>
      </c>
      <c r="L252" s="978">
        <f>'Corrected and Updated TSF 3'!CL252</f>
        <v>0.125</v>
      </c>
      <c r="M252" s="977">
        <f>'Corrected and Updated TSF 3'!CM252</f>
        <v>575988.55326294259</v>
      </c>
      <c r="N252" s="977">
        <f>'Corrected and Updated TSF 3'!CN252</f>
        <v>30000</v>
      </c>
      <c r="O252" s="977">
        <f>'Corrected and Updated TSF 3'!CO252</f>
        <v>545988.55326294259</v>
      </c>
      <c r="P252" s="976">
        <f>'Corrected and Updated TSF 3'!CP252</f>
        <v>29</v>
      </c>
      <c r="Q252" s="977">
        <f>'Corrected and Updated TSF 3'!CQ252</f>
        <v>18827.191491825608</v>
      </c>
      <c r="R252" s="977">
        <f>'Corrected and Updated TSF 3'!CS252</f>
        <v>4031919.8728405982</v>
      </c>
      <c r="S252" s="977">
        <f>'Corrected and Updated TSF 3'!CT252</f>
        <v>31259.431859139044</v>
      </c>
      <c r="T252" s="636">
        <f>'Corrected and Updated TSF 3'!CU252</f>
        <v>36240.035675208521</v>
      </c>
      <c r="U252" s="636">
        <f>'Corrected and Updated TSF 3'!CV252</f>
        <v>46814.008476686999</v>
      </c>
      <c r="V252" s="636">
        <f>'Corrected and Updated TSF 3'!CW252</f>
        <v>79836.845900897533</v>
      </c>
      <c r="W252" s="1102">
        <f>'Corrected and Updated TSF 3'!CX252</f>
        <v>327525.66678575648</v>
      </c>
      <c r="X252" s="1102">
        <f>'Corrected and Updated TSF 3'!CY252</f>
        <v>129600.31087800018</v>
      </c>
      <c r="Y252" s="1102">
        <f>'Corrected and Updated TSF 3'!CZ252</f>
        <v>93608.468992756127</v>
      </c>
      <c r="Z252" s="1102">
        <f>'Corrected and Updated TSF 3'!DA252</f>
        <v>71240.35441482281</v>
      </c>
      <c r="AA252" s="821">
        <f>L252-'Corrected and Updated TSF 3'!CL252</f>
        <v>0</v>
      </c>
      <c r="AB252" s="678">
        <f>N252-'Corrected and Updated TSF 3'!CN252</f>
        <v>0</v>
      </c>
      <c r="AC252" s="678">
        <f>Q252-'Corrected and Updated TSF 3'!CQ252</f>
        <v>0</v>
      </c>
      <c r="AD252" s="775"/>
      <c r="AE252" s="775"/>
      <c r="AF252" s="775"/>
      <c r="AG252" s="775"/>
      <c r="AL252" s="119"/>
      <c r="AM252" s="119"/>
      <c r="AN252" s="119"/>
      <c r="AO252" s="119"/>
      <c r="AP252" s="119"/>
      <c r="AQ252" s="119"/>
      <c r="AR252" s="119"/>
      <c r="AS252" s="119"/>
    </row>
    <row r="253" spans="1:47" ht="12.75" customHeight="1">
      <c r="A253" s="631" t="str">
        <f t="shared" si="3"/>
        <v>E-10N</v>
      </c>
      <c r="B253" s="632" t="str">
        <f>'Corrected and Updated TSF 3'!EP253</f>
        <v>UNSOLD</v>
      </c>
      <c r="C253" s="973" t="str">
        <f>'Corrected and Updated TSF 3'!E253</f>
        <v>10th Floor</v>
      </c>
      <c r="D253" s="974">
        <f>'INTERNAL PRICELIST'!D253</f>
        <v>0</v>
      </c>
      <c r="E253" s="975" t="str">
        <f>'Corrected and Updated TSF 3'!G253</f>
        <v>E-10N</v>
      </c>
      <c r="F253" s="976" t="str">
        <f>'Corrected and Updated TSF 3'!I253</f>
        <v>Studio</v>
      </c>
      <c r="G253" s="977">
        <f>'Corrected and Updated TSF 3'!J253</f>
        <v>22</v>
      </c>
      <c r="H253" s="977">
        <f>'Corrected and Updated TSF 3'!CG253</f>
        <v>4036938.405932928</v>
      </c>
      <c r="I253" s="977">
        <f>SUM('Corrected and Updated TSF 3'!CI253:CJ253)</f>
        <v>514709.64675644832</v>
      </c>
      <c r="J253" s="977">
        <f>'Corrected and Updated TSF 3'!CH253</f>
        <v>0</v>
      </c>
      <c r="K253" s="977">
        <f>'Corrected and Updated TSF 3'!CK253</f>
        <v>4551648.0526893763</v>
      </c>
      <c r="L253" s="978">
        <f>'Corrected and Updated TSF 3'!CL253</f>
        <v>0.125</v>
      </c>
      <c r="M253" s="977">
        <f>'Corrected and Updated TSF 3'!CM253</f>
        <v>568956.00658617204</v>
      </c>
      <c r="N253" s="977">
        <f>'Corrected and Updated TSF 3'!CN253</f>
        <v>30000</v>
      </c>
      <c r="O253" s="977">
        <f>'Corrected and Updated TSF 3'!CO253</f>
        <v>538956.00658617204</v>
      </c>
      <c r="P253" s="976">
        <f>'Corrected and Updated TSF 3'!CP253</f>
        <v>29</v>
      </c>
      <c r="Q253" s="977">
        <f>'Corrected and Updated TSF 3'!CQ253</f>
        <v>18584.689882281793</v>
      </c>
      <c r="R253" s="977">
        <f>'Corrected and Updated TSF 3'!CS253</f>
        <v>3982692.0461032041</v>
      </c>
      <c r="S253" s="977">
        <f>'Corrected and Updated TSF 3'!CT253</f>
        <v>30877.769042415723</v>
      </c>
      <c r="T253" s="636">
        <f>'Corrected and Updated TSF 3'!CU253</f>
        <v>35797.562051366578</v>
      </c>
      <c r="U253" s="636">
        <f>'Corrected and Updated TSF 3'!CV253</f>
        <v>46242.43166691532</v>
      </c>
      <c r="V253" s="636">
        <f>'Corrected and Updated TSF 3'!CW253</f>
        <v>78862.075929960469</v>
      </c>
      <c r="W253" s="1102">
        <f>'Corrected and Updated TSF 3'!CX253</f>
        <v>323526.73394852743</v>
      </c>
      <c r="X253" s="1102">
        <f>'Corrected and Updated TSF 3'!CY253</f>
        <v>128017.95263422892</v>
      </c>
      <c r="Y253" s="1102">
        <f>'Corrected and Updated TSF 3'!CZ253</f>
        <v>92465.554044527875</v>
      </c>
      <c r="Z253" s="1102">
        <f>'Corrected and Updated TSF 3'!DA253</f>
        <v>70370.543522134452</v>
      </c>
      <c r="AA253" s="821">
        <f>L253-'Corrected and Updated TSF 3'!CL253</f>
        <v>0</v>
      </c>
      <c r="AB253" s="678">
        <f>N253-'Corrected and Updated TSF 3'!CN253</f>
        <v>0</v>
      </c>
      <c r="AC253" s="678">
        <f>Q253-'Corrected and Updated TSF 3'!CQ253</f>
        <v>0</v>
      </c>
      <c r="AD253" s="775"/>
      <c r="AE253" s="775"/>
      <c r="AF253" s="775"/>
      <c r="AG253" s="775"/>
      <c r="AL253" s="119"/>
      <c r="AM253" s="119"/>
      <c r="AN253" s="119"/>
      <c r="AO253" s="119"/>
      <c r="AP253" s="119"/>
      <c r="AQ253" s="119"/>
      <c r="AR253" s="119"/>
      <c r="AS253" s="119"/>
    </row>
    <row r="254" spans="1:47" ht="12.75" hidden="1" customHeight="1">
      <c r="A254" s="631" t="str">
        <f t="shared" si="3"/>
        <v>E-10O</v>
      </c>
      <c r="B254" s="632" t="str">
        <f>'Corrected and Updated TSF 3'!EP254</f>
        <v>SOLD</v>
      </c>
      <c r="C254" s="820" t="str">
        <f>'Corrected and Updated TSF 3'!E254</f>
        <v>10th Floor</v>
      </c>
      <c r="D254" s="628">
        <f>'INTERNAL PRICELIST'!D254</f>
        <v>0</v>
      </c>
      <c r="E254" s="596" t="str">
        <f>'Corrected and Updated TSF 3'!G254</f>
        <v>E-10O</v>
      </c>
      <c r="F254" s="401" t="str">
        <f>'Corrected and Updated TSF 3'!I254</f>
        <v>Studio</v>
      </c>
      <c r="G254" s="633">
        <f>'Corrected and Updated TSF 3'!J254</f>
        <v>22</v>
      </c>
      <c r="H254" s="633">
        <f>'Corrected and Updated TSF 3'!CG254</f>
        <v>4026508.3750269082</v>
      </c>
      <c r="I254" s="633">
        <f>SUM('Corrected and Updated TSF 3'!CI254:CJ254)</f>
        <v>513379.81781593082</v>
      </c>
      <c r="J254" s="633">
        <f>'Corrected and Updated TSF 3'!CH254</f>
        <v>0</v>
      </c>
      <c r="K254" s="633">
        <f>'Corrected and Updated TSF 3'!CK254</f>
        <v>4539888.1928428393</v>
      </c>
      <c r="L254" s="634">
        <f>'Corrected and Updated TSF 3'!CL254</f>
        <v>0.125</v>
      </c>
      <c r="M254" s="633">
        <f>'Corrected and Updated TSF 3'!CM254</f>
        <v>567486.02410535491</v>
      </c>
      <c r="N254" s="633">
        <f>'Corrected and Updated TSF 3'!CN254</f>
        <v>30000</v>
      </c>
      <c r="O254" s="633">
        <f>'Corrected and Updated TSF 3'!CO254</f>
        <v>537486.02410535491</v>
      </c>
      <c r="P254" s="401">
        <f>'Corrected and Updated TSF 3'!CP254</f>
        <v>29</v>
      </c>
      <c r="Q254" s="633">
        <f>'Corrected and Updated TSF 3'!CQ254</f>
        <v>18534.000831219135</v>
      </c>
      <c r="R254" s="633">
        <f>'Corrected and Updated TSF 3'!CS254</f>
        <v>3972402.1687374841</v>
      </c>
      <c r="S254" s="633">
        <f>'Corrected and Updated TSF 3'!CT254</f>
        <v>30797.991732722807</v>
      </c>
      <c r="T254" s="635">
        <f>'Corrected and Updated TSF 3'!CU254</f>
        <v>35705.073724567439</v>
      </c>
      <c r="U254" s="636">
        <f>'Corrected and Updated TSF 3'!CV254</f>
        <v>46122.957465687337</v>
      </c>
      <c r="V254" s="636">
        <f>'Corrected and Updated TSF 3'!CW254</f>
        <v>78658.324025285998</v>
      </c>
      <c r="W254" s="1102">
        <f>'Corrected and Updated TSF 3'!CX254</f>
        <v>322690.85450358782</v>
      </c>
      <c r="X254" s="1102">
        <f>'Corrected and Updated TSF 3'!CY254</f>
        <v>127687.19920966885</v>
      </c>
      <c r="Y254" s="1102">
        <f>'Corrected and Updated TSF 3'!CZ254</f>
        <v>92226.655530493255</v>
      </c>
      <c r="Z254" s="1102">
        <f>'Corrected and Updated TSF 3'!DA254</f>
        <v>70188.730754634569</v>
      </c>
      <c r="AA254" s="821">
        <f>L254-'Corrected and Updated TSF 3'!CL254</f>
        <v>0</v>
      </c>
      <c r="AB254" s="678">
        <f>N254-'Corrected and Updated TSF 3'!CN254</f>
        <v>0</v>
      </c>
      <c r="AC254" s="678">
        <f>Q254-'Corrected and Updated TSF 3'!CQ254</f>
        <v>0</v>
      </c>
      <c r="AD254" s="775"/>
      <c r="AE254" s="775"/>
      <c r="AF254" s="775"/>
      <c r="AG254" s="775"/>
      <c r="AL254" s="119"/>
      <c r="AM254" s="119"/>
      <c r="AN254" s="119"/>
      <c r="AO254" s="119"/>
      <c r="AP254" s="119"/>
      <c r="AQ254" s="119"/>
      <c r="AR254" s="119"/>
      <c r="AS254" s="119"/>
    </row>
    <row r="255" spans="1:47" ht="12.75" hidden="1" customHeight="1">
      <c r="A255" s="631" t="str">
        <f t="shared" si="3"/>
        <v>W-11A</v>
      </c>
      <c r="B255" s="632" t="str">
        <f>'Corrected and Updated TSF 3'!EP255</f>
        <v>SOLD</v>
      </c>
      <c r="C255" s="973" t="str">
        <f>'Corrected and Updated TSF 3'!E255</f>
        <v>11th Floor</v>
      </c>
      <c r="D255" s="974">
        <f>'INTERNAL PRICELIST'!D255</f>
        <v>0</v>
      </c>
      <c r="E255" s="975" t="str">
        <f>'Corrected and Updated TSF 3'!G255</f>
        <v>W-11A</v>
      </c>
      <c r="F255" s="976" t="str">
        <f>'Corrected and Updated TSF 3'!I255</f>
        <v>Studio</v>
      </c>
      <c r="G255" s="977">
        <f>'Corrected and Updated TSF 3'!J255</f>
        <v>22</v>
      </c>
      <c r="H255" s="977">
        <f>'Corrected and Updated TSF 3'!CG255</f>
        <v>4116688.0318220989</v>
      </c>
      <c r="I255" s="977">
        <f>SUM('Corrected and Updated TSF 3'!CI255:CJ255)</f>
        <v>524877.72405731759</v>
      </c>
      <c r="J255" s="977">
        <f>'Corrected and Updated TSF 3'!CH255</f>
        <v>0</v>
      </c>
      <c r="K255" s="977">
        <f>'Corrected and Updated TSF 3'!CK255</f>
        <v>4641565.7558794171</v>
      </c>
      <c r="L255" s="978">
        <f>'Corrected and Updated TSF 3'!CL255</f>
        <v>0.125</v>
      </c>
      <c r="M255" s="977">
        <f>'Corrected and Updated TSF 3'!CM255</f>
        <v>580195.71948492713</v>
      </c>
      <c r="N255" s="977">
        <f>'Corrected and Updated TSF 3'!CN255</f>
        <v>30000</v>
      </c>
      <c r="O255" s="977">
        <f>'Corrected and Updated TSF 3'!CO255</f>
        <v>550195.71948492713</v>
      </c>
      <c r="P255" s="976">
        <f>'Corrected and Updated TSF 3'!CP255</f>
        <v>29</v>
      </c>
      <c r="Q255" s="977">
        <f>'Corrected and Updated TSF 3'!CQ255</f>
        <v>18972.266189135418</v>
      </c>
      <c r="R255" s="977">
        <f>'Corrected and Updated TSF 3'!CS255</f>
        <v>4061370.0363944899</v>
      </c>
      <c r="S255" s="977">
        <f>'Corrected and Updated TSF 3'!CT255</f>
        <v>31487.758663710381</v>
      </c>
      <c r="T255" s="636">
        <f>'Corrected and Updated TSF 3'!CU255</f>
        <v>36504.742071043176</v>
      </c>
      <c r="U255" s="636">
        <f>'Corrected and Updated TSF 3'!CV255</f>
        <v>47155.949846985211</v>
      </c>
      <c r="V255" s="636">
        <f>'Corrected and Updated TSF 3'!CW255</f>
        <v>80419.994436473906</v>
      </c>
      <c r="W255" s="1102">
        <f>'Corrected and Updated TSF 3'!CX255</f>
        <v>329917.99717900471</v>
      </c>
      <c r="X255" s="1102">
        <f>'Corrected and Updated TSF 3'!CY255</f>
        <v>130546.94436089809</v>
      </c>
      <c r="Y255" s="1102">
        <f>'Corrected and Updated TSF 3'!CZ255</f>
        <v>94292.208950099041</v>
      </c>
      <c r="Z255" s="1102">
        <f>'Corrected and Updated TSF 3'!DA255</f>
        <v>71760.712000122658</v>
      </c>
      <c r="AA255" s="821">
        <f>L255-'Corrected and Updated TSF 3'!CL255</f>
        <v>0</v>
      </c>
      <c r="AB255" s="678">
        <f>N255-'Corrected and Updated TSF 3'!CN255</f>
        <v>0</v>
      </c>
      <c r="AC255" s="678">
        <f>Q255-'Corrected and Updated TSF 3'!CQ255</f>
        <v>0</v>
      </c>
      <c r="AD255" s="775"/>
      <c r="AE255" s="775"/>
      <c r="AF255" s="775"/>
      <c r="AG255" s="775"/>
      <c r="AL255" s="119"/>
      <c r="AM255" s="119"/>
      <c r="AN255" s="119"/>
      <c r="AO255" s="119"/>
      <c r="AP255" s="119"/>
      <c r="AQ255" s="119"/>
      <c r="AR255" s="119"/>
      <c r="AS255" s="119"/>
    </row>
    <row r="256" spans="1:47" ht="12.75" hidden="1" customHeight="1">
      <c r="A256" s="631" t="str">
        <f t="shared" si="3"/>
        <v>W-11B</v>
      </c>
      <c r="B256" s="632" t="str">
        <f>'Corrected and Updated TSF 3'!EP256</f>
        <v>SOLD</v>
      </c>
      <c r="C256" s="973" t="str">
        <f>'Corrected and Updated TSF 3'!E256</f>
        <v>11th Floor</v>
      </c>
      <c r="D256" s="974">
        <f>'INTERNAL PRICELIST'!D256</f>
        <v>0</v>
      </c>
      <c r="E256" s="975" t="str">
        <f>'Corrected and Updated TSF 3'!G256</f>
        <v>W-11B</v>
      </c>
      <c r="F256" s="976" t="str">
        <f>'Corrected and Updated TSF 3'!I256</f>
        <v>Studio</v>
      </c>
      <c r="G256" s="977">
        <f>'Corrected and Updated TSF 3'!J256</f>
        <v>22</v>
      </c>
      <c r="H256" s="977">
        <f>'Corrected and Updated TSF 3'!CG256</f>
        <v>4023454.0483553912</v>
      </c>
      <c r="I256" s="977">
        <f>SUM('Corrected and Updated TSF 3'!CI256:CJ256)</f>
        <v>512990.39116531238</v>
      </c>
      <c r="J256" s="977">
        <f>'Corrected and Updated TSF 3'!CH256</f>
        <v>0</v>
      </c>
      <c r="K256" s="977">
        <f>'Corrected and Updated TSF 3'!CK256</f>
        <v>4536444.4395207036</v>
      </c>
      <c r="L256" s="978">
        <f>'Corrected and Updated TSF 3'!CL256</f>
        <v>0.125</v>
      </c>
      <c r="M256" s="977">
        <f>'Corrected and Updated TSF 3'!CM256</f>
        <v>567055.55494008795</v>
      </c>
      <c r="N256" s="977">
        <f>'Corrected and Updated TSF 3'!CN256</f>
        <v>30000</v>
      </c>
      <c r="O256" s="977">
        <f>'Corrected and Updated TSF 3'!CO256</f>
        <v>537055.55494008795</v>
      </c>
      <c r="P256" s="976">
        <f>'Corrected and Updated TSF 3'!CP256</f>
        <v>29</v>
      </c>
      <c r="Q256" s="977">
        <f>'Corrected and Updated TSF 3'!CQ256</f>
        <v>18519.157066899585</v>
      </c>
      <c r="R256" s="977">
        <f>'Corrected and Updated TSF 3'!CS256</f>
        <v>3969388.8845806159</v>
      </c>
      <c r="S256" s="977">
        <f>'Corrected and Updated TSF 3'!CT256</f>
        <v>30774.629772727432</v>
      </c>
      <c r="T256" s="636">
        <f>'Corrected and Updated TSF 3'!CU256</f>
        <v>35677.989474684393</v>
      </c>
      <c r="U256" s="636">
        <f>'Corrected and Updated TSF 3'!CV256</f>
        <v>46087.970681596576</v>
      </c>
      <c r="V256" s="636">
        <f>'Corrected and Updated TSF 3'!CW256</f>
        <v>78598.657387437357</v>
      </c>
      <c r="W256" s="1102">
        <f>'Corrected and Updated TSF 3'!CX256</f>
        <v>322446.07585375861</v>
      </c>
      <c r="X256" s="1102">
        <f>'Corrected and Updated TSF 3'!CY256</f>
        <v>127590.3414903167</v>
      </c>
      <c r="Y256" s="1102">
        <f>'Corrected and Updated TSF 3'!CZ256</f>
        <v>92156.696571619919</v>
      </c>
      <c r="Z256" s="1102">
        <f>'Corrected and Updated TSF 3'!DA256</f>
        <v>70135.488766187846</v>
      </c>
      <c r="AA256" s="821">
        <f>L256-'Corrected and Updated TSF 3'!CL256</f>
        <v>0</v>
      </c>
      <c r="AB256" s="678">
        <f>N256-'Corrected and Updated TSF 3'!CN256</f>
        <v>0</v>
      </c>
      <c r="AC256" s="678">
        <f>Q256-'Corrected and Updated TSF 3'!CQ256</f>
        <v>0</v>
      </c>
      <c r="AD256" s="775"/>
      <c r="AE256" s="775"/>
      <c r="AF256" s="775"/>
      <c r="AG256" s="775"/>
      <c r="AL256" s="119"/>
      <c r="AM256" s="119"/>
      <c r="AN256" s="119"/>
      <c r="AO256" s="119"/>
      <c r="AP256" s="119"/>
      <c r="AQ256" s="119"/>
      <c r="AR256" s="119"/>
      <c r="AS256" s="119"/>
    </row>
    <row r="257" spans="1:47" ht="12.75" hidden="1" customHeight="1">
      <c r="A257" s="631" t="str">
        <f t="shared" si="3"/>
        <v>W-11C</v>
      </c>
      <c r="B257" s="632" t="str">
        <f>'Corrected and Updated TSF 3'!EP257</f>
        <v>SOLD</v>
      </c>
      <c r="C257" s="820" t="str">
        <f>'Corrected and Updated TSF 3'!E257</f>
        <v>11th Floor</v>
      </c>
      <c r="D257" s="628">
        <f>'INTERNAL PRICELIST'!D257</f>
        <v>0</v>
      </c>
      <c r="E257" s="596" t="str">
        <f>'Corrected and Updated TSF 3'!G257</f>
        <v>W-11C</v>
      </c>
      <c r="F257" s="401" t="str">
        <f>'Corrected and Updated TSF 3'!I257</f>
        <v>Studio</v>
      </c>
      <c r="G257" s="633">
        <f>'Corrected and Updated TSF 3'!J257</f>
        <v>22</v>
      </c>
      <c r="H257" s="633">
        <f>'Corrected and Updated TSF 3'!CG257</f>
        <v>4023454.0483553912</v>
      </c>
      <c r="I257" s="633">
        <f>SUM('Corrected and Updated TSF 3'!CI257:CJ257)</f>
        <v>512990.39116531238</v>
      </c>
      <c r="J257" s="633">
        <f>'Corrected and Updated TSF 3'!CH257</f>
        <v>0</v>
      </c>
      <c r="K257" s="633">
        <f>'Corrected and Updated TSF 3'!CK257</f>
        <v>4536444.4395207036</v>
      </c>
      <c r="L257" s="634">
        <f>'Corrected and Updated TSF 3'!CL257</f>
        <v>0.125</v>
      </c>
      <c r="M257" s="633">
        <f>'Corrected and Updated TSF 3'!CM257</f>
        <v>567055.55494008795</v>
      </c>
      <c r="N257" s="633">
        <f>'Corrected and Updated TSF 3'!CN257</f>
        <v>30000</v>
      </c>
      <c r="O257" s="633">
        <f>'Corrected and Updated TSF 3'!CO257</f>
        <v>537055.55494008795</v>
      </c>
      <c r="P257" s="401">
        <f>'Corrected and Updated TSF 3'!CP257</f>
        <v>29</v>
      </c>
      <c r="Q257" s="633">
        <f>'Corrected and Updated TSF 3'!CQ257</f>
        <v>18519.157066899585</v>
      </c>
      <c r="R257" s="633">
        <f>'Corrected and Updated TSF 3'!CS257</f>
        <v>3969388.8845806159</v>
      </c>
      <c r="S257" s="633">
        <f>'Corrected and Updated TSF 3'!CT257</f>
        <v>30774.629772727432</v>
      </c>
      <c r="T257" s="635">
        <f>'Corrected and Updated TSF 3'!CU257</f>
        <v>35677.989474684393</v>
      </c>
      <c r="U257" s="636">
        <f>'Corrected and Updated TSF 3'!CV257</f>
        <v>46087.970681596576</v>
      </c>
      <c r="V257" s="636">
        <f>'Corrected and Updated TSF 3'!CW257</f>
        <v>78598.657387437357</v>
      </c>
      <c r="W257" s="1102">
        <f>'Corrected and Updated TSF 3'!CX257</f>
        <v>322446.07585375861</v>
      </c>
      <c r="X257" s="1102">
        <f>'Corrected and Updated TSF 3'!CY257</f>
        <v>127590.3414903167</v>
      </c>
      <c r="Y257" s="1102">
        <f>'Corrected and Updated TSF 3'!CZ257</f>
        <v>92156.696571619919</v>
      </c>
      <c r="Z257" s="1102">
        <f>'Corrected and Updated TSF 3'!DA257</f>
        <v>70135.488766187846</v>
      </c>
      <c r="AA257" s="821">
        <f>L257-'Corrected and Updated TSF 3'!CL257</f>
        <v>0</v>
      </c>
      <c r="AB257" s="678">
        <f>N257-'Corrected and Updated TSF 3'!CN257</f>
        <v>0</v>
      </c>
      <c r="AC257" s="678">
        <f>Q257-'Corrected and Updated TSF 3'!CQ257</f>
        <v>0</v>
      </c>
      <c r="AD257" s="775"/>
      <c r="AE257" s="775"/>
      <c r="AF257" s="775"/>
      <c r="AG257" s="775"/>
      <c r="AL257" s="119"/>
      <c r="AM257" s="119"/>
      <c r="AN257" s="119"/>
      <c r="AO257" s="119"/>
      <c r="AP257" s="119"/>
      <c r="AQ257" s="119"/>
      <c r="AR257" s="119"/>
      <c r="AS257" s="119"/>
    </row>
    <row r="258" spans="1:47" ht="12.75" hidden="1" customHeight="1">
      <c r="A258" s="631" t="str">
        <f t="shared" si="3"/>
        <v>W-11D</v>
      </c>
      <c r="B258" s="632" t="str">
        <f>'Corrected and Updated TSF 3'!EP258</f>
        <v>SOLD</v>
      </c>
      <c r="C258" s="820" t="str">
        <f>'Corrected and Updated TSF 3'!E258</f>
        <v>11th Floor</v>
      </c>
      <c r="D258" s="628">
        <f>'INTERNAL PRICELIST'!D258</f>
        <v>0</v>
      </c>
      <c r="E258" s="596" t="str">
        <f>'Corrected and Updated TSF 3'!G258</f>
        <v>W-11D</v>
      </c>
      <c r="F258" s="401" t="str">
        <f>'Corrected and Updated TSF 3'!I258</f>
        <v>Studio</v>
      </c>
      <c r="G258" s="633">
        <f>'Corrected and Updated TSF 3'!J258</f>
        <v>22</v>
      </c>
      <c r="H258" s="633">
        <f>'Corrected and Updated TSF 3'!CG258</f>
        <v>4023454.0483553912</v>
      </c>
      <c r="I258" s="633">
        <f>SUM('Corrected and Updated TSF 3'!CI258:CJ258)</f>
        <v>512990.39116531238</v>
      </c>
      <c r="J258" s="633">
        <f>'Corrected and Updated TSF 3'!CH258</f>
        <v>0</v>
      </c>
      <c r="K258" s="633">
        <f>'Corrected and Updated TSF 3'!CK258</f>
        <v>4536444.4395207036</v>
      </c>
      <c r="L258" s="634">
        <f>'Corrected and Updated TSF 3'!CL258</f>
        <v>0.125</v>
      </c>
      <c r="M258" s="633">
        <f>'Corrected and Updated TSF 3'!CM258</f>
        <v>567055.55494008795</v>
      </c>
      <c r="N258" s="633">
        <f>'Corrected and Updated TSF 3'!CN258</f>
        <v>30000</v>
      </c>
      <c r="O258" s="633">
        <f>'Corrected and Updated TSF 3'!CO258</f>
        <v>537055.55494008795</v>
      </c>
      <c r="P258" s="401">
        <f>'Corrected and Updated TSF 3'!CP258</f>
        <v>29</v>
      </c>
      <c r="Q258" s="633">
        <f>'Corrected and Updated TSF 3'!CQ258</f>
        <v>18519.157066899585</v>
      </c>
      <c r="R258" s="633">
        <f>'Corrected and Updated TSF 3'!CS258</f>
        <v>3969388.8845806159</v>
      </c>
      <c r="S258" s="633">
        <f>'Corrected and Updated TSF 3'!CT258</f>
        <v>30774.629772727432</v>
      </c>
      <c r="T258" s="635">
        <f>'Corrected and Updated TSF 3'!CU258</f>
        <v>35677.989474684393</v>
      </c>
      <c r="U258" s="636">
        <f>'Corrected and Updated TSF 3'!CV258</f>
        <v>46087.970681596576</v>
      </c>
      <c r="V258" s="636">
        <f>'Corrected and Updated TSF 3'!CW258</f>
        <v>78598.657387437357</v>
      </c>
      <c r="W258" s="1102">
        <f>'Corrected and Updated TSF 3'!CX258</f>
        <v>322446.07585375861</v>
      </c>
      <c r="X258" s="1102">
        <f>'Corrected and Updated TSF 3'!CY258</f>
        <v>127590.3414903167</v>
      </c>
      <c r="Y258" s="1102">
        <f>'Corrected and Updated TSF 3'!CZ258</f>
        <v>92156.696571619919</v>
      </c>
      <c r="Z258" s="1102">
        <f>'Corrected and Updated TSF 3'!DA258</f>
        <v>70135.488766187846</v>
      </c>
      <c r="AA258" s="821">
        <f>L258-'Corrected and Updated TSF 3'!CL258</f>
        <v>0</v>
      </c>
      <c r="AB258" s="678">
        <f>N258-'Corrected and Updated TSF 3'!CN258</f>
        <v>0</v>
      </c>
      <c r="AC258" s="678">
        <f>Q258-'Corrected and Updated TSF 3'!CQ258</f>
        <v>0</v>
      </c>
      <c r="AD258" s="775"/>
      <c r="AE258" s="775"/>
      <c r="AF258" s="775"/>
      <c r="AG258" s="775"/>
      <c r="AL258" s="119"/>
      <c r="AM258" s="119"/>
      <c r="AN258" s="119"/>
      <c r="AO258" s="119"/>
      <c r="AP258" s="119"/>
      <c r="AQ258" s="119"/>
      <c r="AR258" s="119"/>
      <c r="AS258" s="119"/>
    </row>
    <row r="259" spans="1:47" ht="12.75" hidden="1" customHeight="1">
      <c r="A259" s="631" t="str">
        <f t="shared" si="3"/>
        <v>W-11E</v>
      </c>
      <c r="B259" s="632" t="str">
        <f>'Corrected and Updated TSF 3'!EP259</f>
        <v>SOLD</v>
      </c>
      <c r="C259" s="820" t="str">
        <f>'Corrected and Updated TSF 3'!E259</f>
        <v>11th Floor</v>
      </c>
      <c r="D259" s="628">
        <f>'INTERNAL PRICELIST'!D259</f>
        <v>0</v>
      </c>
      <c r="E259" s="596" t="str">
        <f>'Corrected and Updated TSF 3'!G259</f>
        <v>W-11E</v>
      </c>
      <c r="F259" s="401" t="str">
        <f>'Corrected and Updated TSF 3'!I259</f>
        <v>Studio</v>
      </c>
      <c r="G259" s="633">
        <f>'Corrected and Updated TSF 3'!J259</f>
        <v>22</v>
      </c>
      <c r="H259" s="633">
        <f>'Corrected and Updated TSF 3'!CG259</f>
        <v>4023454.0483553912</v>
      </c>
      <c r="I259" s="633">
        <f>SUM('Corrected and Updated TSF 3'!CI259:CJ259)</f>
        <v>512990.39116531238</v>
      </c>
      <c r="J259" s="633">
        <f>'Corrected and Updated TSF 3'!CH259</f>
        <v>0</v>
      </c>
      <c r="K259" s="633">
        <f>'Corrected and Updated TSF 3'!CK259</f>
        <v>4536444.4395207036</v>
      </c>
      <c r="L259" s="634">
        <f>'Corrected and Updated TSF 3'!CL259</f>
        <v>0.125</v>
      </c>
      <c r="M259" s="633">
        <f>'Corrected and Updated TSF 3'!CM259</f>
        <v>567055.55494008795</v>
      </c>
      <c r="N259" s="633">
        <f>'Corrected and Updated TSF 3'!CN259</f>
        <v>30000</v>
      </c>
      <c r="O259" s="633">
        <f>'Corrected and Updated TSF 3'!CO259</f>
        <v>537055.55494008795</v>
      </c>
      <c r="P259" s="401">
        <f>'Corrected and Updated TSF 3'!CP259</f>
        <v>29</v>
      </c>
      <c r="Q259" s="633">
        <f>'Corrected and Updated TSF 3'!CQ259</f>
        <v>18519.157066899585</v>
      </c>
      <c r="R259" s="633">
        <f>'Corrected and Updated TSF 3'!CS259</f>
        <v>3969388.8845806159</v>
      </c>
      <c r="S259" s="633">
        <f>'Corrected and Updated TSF 3'!CT259</f>
        <v>30774.629772727432</v>
      </c>
      <c r="T259" s="635">
        <f>'Corrected and Updated TSF 3'!CU259</f>
        <v>35677.989474684393</v>
      </c>
      <c r="U259" s="636">
        <f>'Corrected and Updated TSF 3'!CV259</f>
        <v>46087.970681596576</v>
      </c>
      <c r="V259" s="636">
        <f>'Corrected and Updated TSF 3'!CW259</f>
        <v>78598.657387437357</v>
      </c>
      <c r="W259" s="1102">
        <f>'Corrected and Updated TSF 3'!CX259</f>
        <v>322446.07585375861</v>
      </c>
      <c r="X259" s="1102">
        <f>'Corrected and Updated TSF 3'!CY259</f>
        <v>127590.3414903167</v>
      </c>
      <c r="Y259" s="1102">
        <f>'Corrected and Updated TSF 3'!CZ259</f>
        <v>92156.696571619919</v>
      </c>
      <c r="Z259" s="1102">
        <f>'Corrected and Updated TSF 3'!DA259</f>
        <v>70135.488766187846</v>
      </c>
      <c r="AA259" s="821">
        <f>L259-'Corrected and Updated TSF 3'!CL259</f>
        <v>0</v>
      </c>
      <c r="AB259" s="678">
        <f>N259-'Corrected and Updated TSF 3'!CN259</f>
        <v>0</v>
      </c>
      <c r="AC259" s="678">
        <f>Q259-'Corrected and Updated TSF 3'!CQ259</f>
        <v>0</v>
      </c>
      <c r="AD259" s="775"/>
      <c r="AE259" s="775"/>
      <c r="AF259" s="775"/>
      <c r="AG259" s="775"/>
      <c r="AL259" s="119"/>
      <c r="AM259" s="119"/>
      <c r="AN259" s="119"/>
      <c r="AO259" s="119"/>
      <c r="AP259" s="119"/>
      <c r="AQ259" s="119"/>
      <c r="AR259" s="119"/>
      <c r="AS259" s="119"/>
    </row>
    <row r="260" spans="1:47" ht="12.75" hidden="1" customHeight="1">
      <c r="A260" s="631" t="str">
        <f t="shared" si="3"/>
        <v>W-11F</v>
      </c>
      <c r="B260" s="632" t="str">
        <f>'Corrected and Updated TSF 3'!EP260</f>
        <v>SOLD</v>
      </c>
      <c r="C260" s="820" t="str">
        <f>'Corrected and Updated TSF 3'!E260</f>
        <v>11th Floor</v>
      </c>
      <c r="D260" s="628">
        <f>'INTERNAL PRICELIST'!D260</f>
        <v>0</v>
      </c>
      <c r="E260" s="596" t="str">
        <f>'Corrected and Updated TSF 3'!G260</f>
        <v>W-11F</v>
      </c>
      <c r="F260" s="401" t="str">
        <f>'Corrected and Updated TSF 3'!I260</f>
        <v>Studio</v>
      </c>
      <c r="G260" s="633">
        <f>'Corrected and Updated TSF 3'!J260</f>
        <v>22</v>
      </c>
      <c r="H260" s="633">
        <f>'Corrected and Updated TSF 3'!CG260</f>
        <v>4023454.0483553912</v>
      </c>
      <c r="I260" s="633">
        <f>SUM('Corrected and Updated TSF 3'!CI260:CJ260)</f>
        <v>512990.39116531238</v>
      </c>
      <c r="J260" s="633">
        <f>'Corrected and Updated TSF 3'!CH260</f>
        <v>0</v>
      </c>
      <c r="K260" s="633">
        <f>'Corrected and Updated TSF 3'!CK260</f>
        <v>4536444.4395207036</v>
      </c>
      <c r="L260" s="634">
        <f>'Corrected and Updated TSF 3'!CL260</f>
        <v>0.125</v>
      </c>
      <c r="M260" s="633">
        <f>'Corrected and Updated TSF 3'!CM260</f>
        <v>567055.55494008795</v>
      </c>
      <c r="N260" s="633">
        <f>'Corrected and Updated TSF 3'!CN260</f>
        <v>30000</v>
      </c>
      <c r="O260" s="633">
        <f>'Corrected and Updated TSF 3'!CO260</f>
        <v>537055.55494008795</v>
      </c>
      <c r="P260" s="401">
        <f>'Corrected and Updated TSF 3'!CP260</f>
        <v>29</v>
      </c>
      <c r="Q260" s="633">
        <f>'Corrected and Updated TSF 3'!CQ260</f>
        <v>18519.157066899585</v>
      </c>
      <c r="R260" s="633">
        <f>'Corrected and Updated TSF 3'!CS260</f>
        <v>3969388.8845806159</v>
      </c>
      <c r="S260" s="633">
        <f>'Corrected and Updated TSF 3'!CT260</f>
        <v>30774.629772727432</v>
      </c>
      <c r="T260" s="635">
        <f>'Corrected and Updated TSF 3'!CU260</f>
        <v>35677.989474684393</v>
      </c>
      <c r="U260" s="636">
        <f>'Corrected and Updated TSF 3'!CV260</f>
        <v>46087.970681596576</v>
      </c>
      <c r="V260" s="636">
        <f>'Corrected and Updated TSF 3'!CW260</f>
        <v>78598.657387437357</v>
      </c>
      <c r="W260" s="1102">
        <f>'Corrected and Updated TSF 3'!CX260</f>
        <v>322446.07585375861</v>
      </c>
      <c r="X260" s="1102">
        <f>'Corrected and Updated TSF 3'!CY260</f>
        <v>127590.3414903167</v>
      </c>
      <c r="Y260" s="1102">
        <f>'Corrected and Updated TSF 3'!CZ260</f>
        <v>92156.696571619919</v>
      </c>
      <c r="Z260" s="1102">
        <f>'Corrected and Updated TSF 3'!DA260</f>
        <v>70135.488766187846</v>
      </c>
      <c r="AA260" s="821">
        <f>L260-'Corrected and Updated TSF 3'!CL260</f>
        <v>0</v>
      </c>
      <c r="AB260" s="678">
        <f>N260-'Corrected and Updated TSF 3'!CN260</f>
        <v>0</v>
      </c>
      <c r="AC260" s="678">
        <f>Q260-'Corrected and Updated TSF 3'!CQ260</f>
        <v>0</v>
      </c>
      <c r="AD260" s="775"/>
      <c r="AE260" s="775"/>
      <c r="AF260" s="775"/>
      <c r="AG260" s="775"/>
      <c r="AL260" s="119"/>
      <c r="AM260" s="119"/>
      <c r="AN260" s="119"/>
      <c r="AO260" s="119"/>
      <c r="AP260" s="119"/>
      <c r="AQ260" s="119"/>
      <c r="AR260" s="119"/>
      <c r="AS260" s="119"/>
    </row>
    <row r="261" spans="1:47" hidden="1">
      <c r="A261" s="631" t="str">
        <f t="shared" si="3"/>
        <v>W-11G</v>
      </c>
      <c r="B261" s="632" t="str">
        <f>'Corrected and Updated TSF 3'!EP261</f>
        <v>SOLD</v>
      </c>
      <c r="C261" s="973" t="str">
        <f>'Corrected and Updated TSF 3'!E261</f>
        <v>11th Floor</v>
      </c>
      <c r="D261" s="974">
        <f>'INTERNAL PRICELIST'!D261</f>
        <v>0</v>
      </c>
      <c r="E261" s="975" t="str">
        <f>'Corrected and Updated TSF 3'!G261</f>
        <v>W-11G</v>
      </c>
      <c r="F261" s="976" t="str">
        <f>'Corrected and Updated TSF 3'!I261</f>
        <v>Studio</v>
      </c>
      <c r="G261" s="977">
        <f>'Corrected and Updated TSF 3'!J261</f>
        <v>22</v>
      </c>
      <c r="H261" s="977">
        <f>'Corrected and Updated TSF 3'!CG261</f>
        <v>4023454.0483553912</v>
      </c>
      <c r="I261" s="977">
        <f>SUM('Corrected and Updated TSF 3'!CI261:CJ261)</f>
        <v>512990.39116531238</v>
      </c>
      <c r="J261" s="977">
        <f>'Corrected and Updated TSF 3'!CH261</f>
        <v>0</v>
      </c>
      <c r="K261" s="977">
        <f>'Corrected and Updated TSF 3'!CK261</f>
        <v>4536444.4395207036</v>
      </c>
      <c r="L261" s="978">
        <f>'Corrected and Updated TSF 3'!CL261</f>
        <v>0.125</v>
      </c>
      <c r="M261" s="977">
        <f>'Corrected and Updated TSF 3'!CM261</f>
        <v>567055.55494008795</v>
      </c>
      <c r="N261" s="977">
        <f>'Corrected and Updated TSF 3'!CN261</f>
        <v>30000</v>
      </c>
      <c r="O261" s="977">
        <f>'Corrected and Updated TSF 3'!CO261</f>
        <v>537055.55494008795</v>
      </c>
      <c r="P261" s="976">
        <f>'Corrected and Updated TSF 3'!CP261</f>
        <v>29</v>
      </c>
      <c r="Q261" s="977">
        <f>'Corrected and Updated TSF 3'!CQ261</f>
        <v>18519.157066899585</v>
      </c>
      <c r="R261" s="977">
        <f>'Corrected and Updated TSF 3'!CS261</f>
        <v>3969388.8845806159</v>
      </c>
      <c r="S261" s="977">
        <f>'Corrected and Updated TSF 3'!CT261</f>
        <v>30774.629772727432</v>
      </c>
      <c r="T261" s="636">
        <f>'Corrected and Updated TSF 3'!CU261</f>
        <v>35677.989474684393</v>
      </c>
      <c r="U261" s="636">
        <f>'Corrected and Updated TSF 3'!CV261</f>
        <v>46087.970681596576</v>
      </c>
      <c r="V261" s="636">
        <f>'Corrected and Updated TSF 3'!CW261</f>
        <v>78598.657387437357</v>
      </c>
      <c r="W261" s="1102">
        <f>'Corrected and Updated TSF 3'!CX261</f>
        <v>322446.07585375861</v>
      </c>
      <c r="X261" s="1102">
        <f>'Corrected and Updated TSF 3'!CY261</f>
        <v>127590.3414903167</v>
      </c>
      <c r="Y261" s="1102">
        <f>'Corrected and Updated TSF 3'!CZ261</f>
        <v>92156.696571619919</v>
      </c>
      <c r="Z261" s="1102">
        <f>'Corrected and Updated TSF 3'!DA261</f>
        <v>70135.488766187846</v>
      </c>
      <c r="AA261" s="821">
        <f>L261-'Corrected and Updated TSF 3'!CL261</f>
        <v>0</v>
      </c>
      <c r="AB261" s="678">
        <f>N261-'Corrected and Updated TSF 3'!CN261</f>
        <v>0</v>
      </c>
      <c r="AC261" s="678">
        <f>Q261-'Corrected and Updated TSF 3'!CQ261</f>
        <v>0</v>
      </c>
      <c r="AD261" s="775"/>
      <c r="AE261" s="775"/>
      <c r="AF261" s="775"/>
      <c r="AG261" s="775"/>
      <c r="AL261" s="119"/>
      <c r="AM261" s="119"/>
      <c r="AN261" s="119"/>
      <c r="AO261" s="119"/>
      <c r="AP261" s="119"/>
      <c r="AQ261" s="119"/>
      <c r="AR261" s="119"/>
      <c r="AS261" s="119"/>
    </row>
    <row r="262" spans="1:47" ht="12.75" hidden="1" customHeight="1">
      <c r="A262" s="631" t="str">
        <f t="shared" si="3"/>
        <v>W-11H</v>
      </c>
      <c r="B262" s="632" t="str">
        <f>'Corrected and Updated TSF 3'!EP262</f>
        <v>SOLD</v>
      </c>
      <c r="C262" s="973" t="str">
        <f>'Corrected and Updated TSF 3'!E262</f>
        <v>11th Floor</v>
      </c>
      <c r="D262" s="974">
        <f>'INTERNAL PRICELIST'!D262</f>
        <v>0</v>
      </c>
      <c r="E262" s="975" t="str">
        <f>'Corrected and Updated TSF 3'!G262</f>
        <v>W-11H</v>
      </c>
      <c r="F262" s="976" t="str">
        <f>'Corrected and Updated TSF 3'!I262</f>
        <v>Studio</v>
      </c>
      <c r="G262" s="977">
        <f>'Corrected and Updated TSF 3'!J262</f>
        <v>22</v>
      </c>
      <c r="H262" s="977">
        <f>'Corrected and Updated TSF 3'!CG262</f>
        <v>4023454.0483553912</v>
      </c>
      <c r="I262" s="977">
        <f>SUM('Corrected and Updated TSF 3'!CI262:CJ262)</f>
        <v>512990.39116531238</v>
      </c>
      <c r="J262" s="977">
        <f>'Corrected and Updated TSF 3'!CH262</f>
        <v>0</v>
      </c>
      <c r="K262" s="977">
        <f>'Corrected and Updated TSF 3'!CK262</f>
        <v>4536444.4395207036</v>
      </c>
      <c r="L262" s="978">
        <f>'Corrected and Updated TSF 3'!CL262</f>
        <v>0.125</v>
      </c>
      <c r="M262" s="977">
        <f>'Corrected and Updated TSF 3'!CM262</f>
        <v>567055.55494008795</v>
      </c>
      <c r="N262" s="977">
        <f>'Corrected and Updated TSF 3'!CN262</f>
        <v>30000</v>
      </c>
      <c r="O262" s="977">
        <f>'Corrected and Updated TSF 3'!CO262</f>
        <v>537055.55494008795</v>
      </c>
      <c r="P262" s="976">
        <f>'Corrected and Updated TSF 3'!CP262</f>
        <v>29</v>
      </c>
      <c r="Q262" s="977">
        <f>'Corrected and Updated TSF 3'!CQ262</f>
        <v>18519.157066899585</v>
      </c>
      <c r="R262" s="977">
        <f>'Corrected and Updated TSF 3'!CS262</f>
        <v>3969388.8845806159</v>
      </c>
      <c r="S262" s="977">
        <f>'Corrected and Updated TSF 3'!CT262</f>
        <v>30774.629772727432</v>
      </c>
      <c r="T262" s="636">
        <f>'Corrected and Updated TSF 3'!CU262</f>
        <v>35677.989474684393</v>
      </c>
      <c r="U262" s="636">
        <f>'Corrected and Updated TSF 3'!CV262</f>
        <v>46087.970681596576</v>
      </c>
      <c r="V262" s="636">
        <f>'Corrected and Updated TSF 3'!CW262</f>
        <v>78598.657387437357</v>
      </c>
      <c r="W262" s="1102">
        <f>'Corrected and Updated TSF 3'!CX262</f>
        <v>322446.07585375861</v>
      </c>
      <c r="X262" s="1102">
        <f>'Corrected and Updated TSF 3'!CY262</f>
        <v>127590.3414903167</v>
      </c>
      <c r="Y262" s="1102">
        <f>'Corrected and Updated TSF 3'!CZ262</f>
        <v>92156.696571619919</v>
      </c>
      <c r="Z262" s="1102">
        <f>'Corrected and Updated TSF 3'!DA262</f>
        <v>70135.488766187846</v>
      </c>
      <c r="AA262" s="821">
        <f>L262-'Corrected and Updated TSF 3'!CL262</f>
        <v>0</v>
      </c>
      <c r="AB262" s="678">
        <f>N262-'Corrected and Updated TSF 3'!CN262</f>
        <v>0</v>
      </c>
      <c r="AC262" s="678">
        <f>Q262-'Corrected and Updated TSF 3'!CQ262</f>
        <v>0</v>
      </c>
      <c r="AD262" s="775"/>
      <c r="AE262" s="775"/>
      <c r="AF262" s="775"/>
      <c r="AG262" s="775"/>
      <c r="AL262" s="119"/>
      <c r="AM262" s="119"/>
      <c r="AN262" s="119"/>
      <c r="AO262" s="119"/>
      <c r="AP262" s="119"/>
      <c r="AQ262" s="119"/>
      <c r="AR262" s="119"/>
      <c r="AS262" s="119"/>
    </row>
    <row r="263" spans="1:47" ht="12.75" hidden="1" customHeight="1">
      <c r="A263" s="631" t="str">
        <f t="shared" si="3"/>
        <v>W-11I</v>
      </c>
      <c r="B263" s="632" t="str">
        <f>'Corrected and Updated TSF 3'!EP263</f>
        <v>SOLD</v>
      </c>
      <c r="C263" s="973" t="str">
        <f>'Corrected and Updated TSF 3'!E263</f>
        <v>11th Floor</v>
      </c>
      <c r="D263" s="974">
        <f>'INTERNAL PRICELIST'!D263</f>
        <v>0</v>
      </c>
      <c r="E263" s="975" t="str">
        <f>'Corrected and Updated TSF 3'!G263</f>
        <v>W-11I</v>
      </c>
      <c r="F263" s="976" t="str">
        <f>'Corrected and Updated TSF 3'!I263</f>
        <v>Studio</v>
      </c>
      <c r="G263" s="977">
        <f>'Corrected and Updated TSF 3'!J263</f>
        <v>22</v>
      </c>
      <c r="H263" s="977">
        <f>'Corrected and Updated TSF 3'!CG263</f>
        <v>4023454.0483553912</v>
      </c>
      <c r="I263" s="977">
        <f>SUM('Corrected and Updated TSF 3'!CI263:CJ263)</f>
        <v>512990.39116531238</v>
      </c>
      <c r="J263" s="977">
        <f>'Corrected and Updated TSF 3'!CH263</f>
        <v>0</v>
      </c>
      <c r="K263" s="977">
        <f>'Corrected and Updated TSF 3'!CK263</f>
        <v>4536444.4395207036</v>
      </c>
      <c r="L263" s="978">
        <f>'Corrected and Updated TSF 3'!CL263</f>
        <v>0.125</v>
      </c>
      <c r="M263" s="977">
        <f>'Corrected and Updated TSF 3'!CM263</f>
        <v>567055.55494008795</v>
      </c>
      <c r="N263" s="977">
        <f>'Corrected and Updated TSF 3'!CN263</f>
        <v>30000</v>
      </c>
      <c r="O263" s="977">
        <f>'Corrected and Updated TSF 3'!CO263</f>
        <v>537055.55494008795</v>
      </c>
      <c r="P263" s="976">
        <f>'Corrected and Updated TSF 3'!CP263</f>
        <v>29</v>
      </c>
      <c r="Q263" s="977">
        <f>'Corrected and Updated TSF 3'!CQ263</f>
        <v>18519.157066899585</v>
      </c>
      <c r="R263" s="977">
        <f>'Corrected and Updated TSF 3'!CS263</f>
        <v>3969388.8845806159</v>
      </c>
      <c r="S263" s="977">
        <f>'Corrected and Updated TSF 3'!CT263</f>
        <v>30774.629772727432</v>
      </c>
      <c r="T263" s="636">
        <f>'Corrected and Updated TSF 3'!CU263</f>
        <v>35677.989474684393</v>
      </c>
      <c r="U263" s="636">
        <f>'Corrected and Updated TSF 3'!CV263</f>
        <v>46087.970681596576</v>
      </c>
      <c r="V263" s="636">
        <f>'Corrected and Updated TSF 3'!CW263</f>
        <v>78598.657387437357</v>
      </c>
      <c r="W263" s="1102">
        <f>'Corrected and Updated TSF 3'!CX263</f>
        <v>322446.07585375861</v>
      </c>
      <c r="X263" s="1102">
        <f>'Corrected and Updated TSF 3'!CY263</f>
        <v>127590.3414903167</v>
      </c>
      <c r="Y263" s="1102">
        <f>'Corrected and Updated TSF 3'!CZ263</f>
        <v>92156.696571619919</v>
      </c>
      <c r="Z263" s="1102">
        <f>'Corrected and Updated TSF 3'!DA263</f>
        <v>70135.488766187846</v>
      </c>
      <c r="AA263" s="821">
        <f>L263-'Corrected and Updated TSF 3'!CL263</f>
        <v>0</v>
      </c>
      <c r="AB263" s="678">
        <f>N263-'Corrected and Updated TSF 3'!CN263</f>
        <v>0</v>
      </c>
      <c r="AC263" s="678">
        <f>Q263-'Corrected and Updated TSF 3'!CQ263</f>
        <v>0</v>
      </c>
      <c r="AD263" s="775"/>
      <c r="AE263" s="775"/>
      <c r="AF263" s="775"/>
      <c r="AG263" s="775"/>
      <c r="AL263" s="119"/>
      <c r="AM263" s="119"/>
      <c r="AN263" s="119"/>
      <c r="AO263" s="119"/>
      <c r="AP263" s="119"/>
      <c r="AQ263" s="119"/>
      <c r="AR263" s="119"/>
      <c r="AS263" s="119"/>
    </row>
    <row r="264" spans="1:47" hidden="1">
      <c r="A264" s="631" t="str">
        <f t="shared" ref="A264:A327" si="4">E264</f>
        <v>W-11J</v>
      </c>
      <c r="B264" s="632" t="str">
        <f>'Corrected and Updated TSF 3'!EP264</f>
        <v>SOLD</v>
      </c>
      <c r="C264" s="973" t="str">
        <f>'Corrected and Updated TSF 3'!E264</f>
        <v>11th Floor</v>
      </c>
      <c r="D264" s="974">
        <f>'INTERNAL PRICELIST'!D264</f>
        <v>0</v>
      </c>
      <c r="E264" s="975" t="str">
        <f>'Corrected and Updated TSF 3'!G264</f>
        <v>W-11J</v>
      </c>
      <c r="F264" s="976" t="str">
        <f>'Corrected and Updated TSF 3'!I264</f>
        <v>Studio</v>
      </c>
      <c r="G264" s="977">
        <f>'Corrected and Updated TSF 3'!J264</f>
        <v>22</v>
      </c>
      <c r="H264" s="977">
        <f>'Corrected and Updated TSF 3'!CG264</f>
        <v>4062331.6417420744</v>
      </c>
      <c r="I264" s="977">
        <f>SUM('Corrected and Updated TSF 3'!CI264:CJ264)</f>
        <v>517947.28432211449</v>
      </c>
      <c r="J264" s="977">
        <f>'Corrected and Updated TSF 3'!CH264</f>
        <v>0</v>
      </c>
      <c r="K264" s="977">
        <f>'Corrected and Updated TSF 3'!CK264</f>
        <v>4580278.9260641886</v>
      </c>
      <c r="L264" s="978">
        <f>'Corrected and Updated TSF 3'!CL264</f>
        <v>0.125</v>
      </c>
      <c r="M264" s="977">
        <f>'Corrected and Updated TSF 3'!CM264</f>
        <v>572534.86575802357</v>
      </c>
      <c r="N264" s="977">
        <f>'Corrected and Updated TSF 3'!CN264</f>
        <v>30000</v>
      </c>
      <c r="O264" s="977">
        <f>'Corrected and Updated TSF 3'!CO264</f>
        <v>542534.86575802357</v>
      </c>
      <c r="P264" s="976">
        <f>'Corrected and Updated TSF 3'!CP264</f>
        <v>29</v>
      </c>
      <c r="Q264" s="977">
        <f>'Corrected and Updated TSF 3'!CQ264</f>
        <v>18708.098819242194</v>
      </c>
      <c r="R264" s="977">
        <f>'Corrected and Updated TSF 3'!CS264</f>
        <v>4007744.0603061649</v>
      </c>
      <c r="S264" s="977">
        <f>'Corrected and Updated TSF 3'!CT264</f>
        <v>31071.997041882361</v>
      </c>
      <c r="T264" s="636">
        <f>'Corrected and Updated TSF 3'!CU264</f>
        <v>36022.73663744075</v>
      </c>
      <c r="U264" s="636">
        <f>'Corrected and Updated TSF 3'!CV264</f>
        <v>46533.306793962234</v>
      </c>
      <c r="V264" s="636">
        <f>'Corrected and Updated TSF 3'!CW264</f>
        <v>79358.135837028953</v>
      </c>
      <c r="W264" s="1102">
        <f>'Corrected and Updated TSF 3'!CX264</f>
        <v>325561.78869041894</v>
      </c>
      <c r="X264" s="1102">
        <f>'Corrected and Updated TSF 3'!CY264</f>
        <v>128823.21388227459</v>
      </c>
      <c r="Y264" s="1102">
        <f>'Corrected and Updated TSF 3'!CZ264</f>
        <v>93047.1828389195</v>
      </c>
      <c r="Z264" s="1102">
        <f>'Corrected and Updated TSF 3'!DA264</f>
        <v>70813.189811473218</v>
      </c>
      <c r="AA264" s="821">
        <f>L264-'Corrected and Updated TSF 3'!CL264</f>
        <v>0</v>
      </c>
      <c r="AB264" s="678">
        <f>N264-'Corrected and Updated TSF 3'!CN264</f>
        <v>0</v>
      </c>
      <c r="AC264" s="678">
        <f>Q264-'Corrected and Updated TSF 3'!CQ264</f>
        <v>0</v>
      </c>
      <c r="AD264" s="775"/>
      <c r="AE264" s="775"/>
      <c r="AF264" s="775"/>
      <c r="AG264" s="775"/>
      <c r="AL264" s="119"/>
      <c r="AM264" s="119"/>
      <c r="AN264" s="119"/>
      <c r="AO264" s="119"/>
      <c r="AP264" s="119"/>
      <c r="AQ264" s="119"/>
      <c r="AR264" s="119"/>
      <c r="AS264" s="119"/>
    </row>
    <row r="265" spans="1:47" ht="12.75" hidden="1" customHeight="1">
      <c r="A265" s="631" t="str">
        <f t="shared" si="4"/>
        <v>W-11K</v>
      </c>
      <c r="B265" s="632" t="str">
        <f>'Corrected and Updated TSF 3'!EP265</f>
        <v>SOLD</v>
      </c>
      <c r="C265" s="973" t="str">
        <f>'Corrected and Updated TSF 3'!E265</f>
        <v>11th Floor</v>
      </c>
      <c r="D265" s="974">
        <f>'INTERNAL PRICELIST'!D265</f>
        <v>0</v>
      </c>
      <c r="E265" s="975" t="str">
        <f>'Corrected and Updated TSF 3'!G265</f>
        <v>W-11K</v>
      </c>
      <c r="F265" s="976" t="str">
        <f>'Corrected and Updated TSF 3'!I265</f>
        <v>Studio</v>
      </c>
      <c r="G265" s="977">
        <f>'Corrected and Updated TSF 3'!J265</f>
        <v>22</v>
      </c>
      <c r="H265" s="977">
        <f>'Corrected and Updated TSF 3'!CG265</f>
        <v>4023454.0483553912</v>
      </c>
      <c r="I265" s="977">
        <f>SUM('Corrected and Updated TSF 3'!CI265:CJ265)</f>
        <v>512990.39116531238</v>
      </c>
      <c r="J265" s="977">
        <f>'Corrected and Updated TSF 3'!CH265</f>
        <v>0</v>
      </c>
      <c r="K265" s="977">
        <f>'Corrected and Updated TSF 3'!CK265</f>
        <v>4536444.4395207036</v>
      </c>
      <c r="L265" s="978">
        <f>'Corrected and Updated TSF 3'!CL265</f>
        <v>0.125</v>
      </c>
      <c r="M265" s="977">
        <f>'Corrected and Updated TSF 3'!CM265</f>
        <v>567055.55494008795</v>
      </c>
      <c r="N265" s="977">
        <f>'Corrected and Updated TSF 3'!CN265</f>
        <v>30000</v>
      </c>
      <c r="O265" s="977">
        <f>'Corrected and Updated TSF 3'!CO265</f>
        <v>537055.55494008795</v>
      </c>
      <c r="P265" s="976">
        <f>'Corrected and Updated TSF 3'!CP265</f>
        <v>29</v>
      </c>
      <c r="Q265" s="977">
        <f>'Corrected and Updated TSF 3'!CQ265</f>
        <v>18519.157066899585</v>
      </c>
      <c r="R265" s="977">
        <f>'Corrected and Updated TSF 3'!CS265</f>
        <v>3969388.8845806159</v>
      </c>
      <c r="S265" s="977">
        <f>'Corrected and Updated TSF 3'!CT265</f>
        <v>30774.629772727432</v>
      </c>
      <c r="T265" s="636">
        <f>'Corrected and Updated TSF 3'!CU265</f>
        <v>35677.989474684393</v>
      </c>
      <c r="U265" s="636">
        <f>'Corrected and Updated TSF 3'!CV265</f>
        <v>46087.970681596576</v>
      </c>
      <c r="V265" s="636">
        <f>'Corrected and Updated TSF 3'!CW265</f>
        <v>78598.657387437357</v>
      </c>
      <c r="W265" s="1102">
        <f>'Corrected and Updated TSF 3'!CX265</f>
        <v>322446.07585375861</v>
      </c>
      <c r="X265" s="1102">
        <f>'Corrected and Updated TSF 3'!CY265</f>
        <v>127590.3414903167</v>
      </c>
      <c r="Y265" s="1102">
        <f>'Corrected and Updated TSF 3'!CZ265</f>
        <v>92156.696571619919</v>
      </c>
      <c r="Z265" s="1102">
        <f>'Corrected and Updated TSF 3'!DA265</f>
        <v>70135.488766187846</v>
      </c>
      <c r="AA265" s="821">
        <f>L265-'Corrected and Updated TSF 3'!CL265</f>
        <v>0</v>
      </c>
      <c r="AB265" s="678">
        <f>N265-'Corrected and Updated TSF 3'!CN265</f>
        <v>0</v>
      </c>
      <c r="AC265" s="678">
        <f>Q265-'Corrected and Updated TSF 3'!CQ265</f>
        <v>0</v>
      </c>
      <c r="AD265" s="775"/>
      <c r="AE265" s="775"/>
      <c r="AF265" s="775"/>
      <c r="AG265" s="775"/>
      <c r="AL265" s="119"/>
      <c r="AM265" s="119"/>
      <c r="AN265" s="119"/>
      <c r="AO265" s="119"/>
      <c r="AP265" s="119"/>
      <c r="AQ265" s="119"/>
      <c r="AR265" s="119"/>
      <c r="AS265" s="119"/>
    </row>
    <row r="266" spans="1:47" ht="12.75" customHeight="1">
      <c r="A266" s="631" t="str">
        <f t="shared" si="4"/>
        <v>W-11L</v>
      </c>
      <c r="B266" s="632" t="str">
        <f>'Corrected and Updated TSF 3'!EP266</f>
        <v>UNSOLD</v>
      </c>
      <c r="C266" s="973" t="str">
        <f>'Corrected and Updated TSF 3'!E266</f>
        <v>11th Floor</v>
      </c>
      <c r="D266" s="974">
        <f>'INTERNAL PRICELIST'!D266</f>
        <v>0</v>
      </c>
      <c r="E266" s="975" t="str">
        <f>'Corrected and Updated TSF 3'!G266</f>
        <v>W-11L</v>
      </c>
      <c r="F266" s="976" t="str">
        <f>'Corrected and Updated TSF 3'!I266</f>
        <v>Studio</v>
      </c>
      <c r="G266" s="977">
        <f>'Corrected and Updated TSF 3'!J266</f>
        <v>22</v>
      </c>
      <c r="H266" s="977">
        <f>'Corrected and Updated TSF 3'!CG266</f>
        <v>4139861.6943630516</v>
      </c>
      <c r="I266" s="977">
        <f>SUM('Corrected and Updated TSF 3'!CI266:CJ266)</f>
        <v>527832.3660312891</v>
      </c>
      <c r="J266" s="977">
        <f>'Corrected and Updated TSF 3'!CH266</f>
        <v>0</v>
      </c>
      <c r="K266" s="977">
        <f>'Corrected and Updated TSF 3'!CK266</f>
        <v>4667694.0603943411</v>
      </c>
      <c r="L266" s="978">
        <f>'Corrected and Updated TSF 3'!CL266</f>
        <v>0.125</v>
      </c>
      <c r="M266" s="977">
        <f>'Corrected and Updated TSF 3'!CM266</f>
        <v>583461.75754929264</v>
      </c>
      <c r="N266" s="977">
        <f>'Corrected and Updated TSF 3'!CN266</f>
        <v>30000</v>
      </c>
      <c r="O266" s="977">
        <f>'Corrected and Updated TSF 3'!CO266</f>
        <v>553461.75754929264</v>
      </c>
      <c r="P266" s="976">
        <f>'Corrected and Updated TSF 3'!CP266</f>
        <v>29</v>
      </c>
      <c r="Q266" s="977">
        <f>'Corrected and Updated TSF 3'!CQ266</f>
        <v>19084.888191354919</v>
      </c>
      <c r="R266" s="977">
        <f>'Corrected and Updated TSF 3'!CS266</f>
        <v>4084232.3028450487</v>
      </c>
      <c r="S266" s="977">
        <f>'Corrected and Updated TSF 3'!CT266</f>
        <v>31665.009572159914</v>
      </c>
      <c r="T266" s="636">
        <f>'Corrected and Updated TSF 3'!CU266</f>
        <v>36710.234585258411</v>
      </c>
      <c r="U266" s="636">
        <f>'Corrected and Updated TSF 3'!CV266</f>
        <v>47421.400145891741</v>
      </c>
      <c r="V266" s="636">
        <f>'Corrected and Updated TSF 3'!CW266</f>
        <v>80872.694713543809</v>
      </c>
      <c r="W266" s="1102">
        <f>'Corrected and Updated TSF 3'!CX266</f>
        <v>331775.17175082408</v>
      </c>
      <c r="X266" s="1102">
        <f>'Corrected and Updated TSF 3'!CY266</f>
        <v>131281.81929215026</v>
      </c>
      <c r="Y266" s="1102">
        <f>'Corrected and Updated TSF 3'!CZ266</f>
        <v>94822.998704765836</v>
      </c>
      <c r="Z266" s="1102">
        <f>'Corrected and Updated TSF 3'!DA266</f>
        <v>72164.667439722311</v>
      </c>
      <c r="AA266" s="821">
        <f>L266-'Corrected and Updated TSF 3'!CL266</f>
        <v>0</v>
      </c>
      <c r="AB266" s="678">
        <f>N266-'Corrected and Updated TSF 3'!CN266</f>
        <v>0</v>
      </c>
      <c r="AC266" s="678">
        <f>Q266-'Corrected and Updated TSF 3'!CQ266</f>
        <v>0</v>
      </c>
      <c r="AD266" s="775"/>
      <c r="AE266" s="775"/>
      <c r="AF266" s="775"/>
      <c r="AG266" s="775"/>
      <c r="AL266" s="119"/>
      <c r="AM266" s="119"/>
      <c r="AN266" s="119"/>
      <c r="AO266" s="119"/>
      <c r="AP266" s="119"/>
      <c r="AQ266" s="119"/>
      <c r="AR266" s="119"/>
      <c r="AS266" s="119"/>
    </row>
    <row r="267" spans="1:47" ht="12.75" hidden="1" customHeight="1">
      <c r="A267" s="631" t="str">
        <f t="shared" si="4"/>
        <v>W-11M</v>
      </c>
      <c r="B267" s="632" t="str">
        <f>'Corrected and Updated TSF 3'!EP267</f>
        <v>SOLD</v>
      </c>
      <c r="C267" s="973" t="str">
        <f>'Corrected and Updated TSF 3'!E267</f>
        <v>11th Floor</v>
      </c>
      <c r="D267" s="974">
        <f>'INTERNAL PRICELIST'!D267</f>
        <v>0</v>
      </c>
      <c r="E267" s="975" t="str">
        <f>'Corrected and Updated TSF 3'!G267</f>
        <v>W-11M</v>
      </c>
      <c r="F267" s="976" t="str">
        <f>'Corrected and Updated TSF 3'!I267</f>
        <v>Studio</v>
      </c>
      <c r="G267" s="977">
        <f>'Corrected and Updated TSF 3'!J267</f>
        <v>22</v>
      </c>
      <c r="H267" s="977">
        <f>'Corrected and Updated TSF 3'!CG267</f>
        <v>3945707.9672757504</v>
      </c>
      <c r="I267" s="977">
        <f>SUM('Corrected and Updated TSF 3'!CI267:CJ267)</f>
        <v>503077.76582765818</v>
      </c>
      <c r="J267" s="977">
        <f>'Corrected and Updated TSF 3'!CH267</f>
        <v>0</v>
      </c>
      <c r="K267" s="977">
        <f>'Corrected and Updated TSF 3'!CK267</f>
        <v>4448785.7331034085</v>
      </c>
      <c r="L267" s="978">
        <f>'Corrected and Updated TSF 3'!CL267</f>
        <v>0.125</v>
      </c>
      <c r="M267" s="977">
        <f>'Corrected and Updated TSF 3'!CM267</f>
        <v>556098.21663792606</v>
      </c>
      <c r="N267" s="977">
        <f>'Corrected and Updated TSF 3'!CN267</f>
        <v>30000</v>
      </c>
      <c r="O267" s="977">
        <f>'Corrected and Updated TSF 3'!CO267</f>
        <v>526098.21663792606</v>
      </c>
      <c r="P267" s="976">
        <f>'Corrected and Updated TSF 3'!CP267</f>
        <v>29</v>
      </c>
      <c r="Q267" s="977">
        <f>'Corrected and Updated TSF 3'!CQ267</f>
        <v>18141.317815100898</v>
      </c>
      <c r="R267" s="977">
        <f>'Corrected and Updated TSF 3'!CS267</f>
        <v>3892687.5164654823</v>
      </c>
      <c r="S267" s="977">
        <f>'Corrected and Updated TSF 3'!CT267</f>
        <v>30179.964882125685</v>
      </c>
      <c r="T267" s="636">
        <f>'Corrected and Updated TSF 3'!CU267</f>
        <v>34988.575893934983</v>
      </c>
      <c r="U267" s="636">
        <f>'Corrected and Updated TSF 3'!CV267</f>
        <v>45197.402761012978</v>
      </c>
      <c r="V267" s="636">
        <f>'Corrected and Updated TSF 3'!CW267</f>
        <v>77079.878369073165</v>
      </c>
      <c r="W267" s="1102">
        <f>'Corrected and Updated TSF 3'!CX267</f>
        <v>316215.37992537208</v>
      </c>
      <c r="X267" s="1102">
        <f>'Corrected and Updated TSF 3'!CY267</f>
        <v>125124.88546291657</v>
      </c>
      <c r="Y267" s="1102">
        <f>'Corrected and Updated TSF 3'!CZ267</f>
        <v>90375.93260176231</v>
      </c>
      <c r="Z267" s="1102">
        <f>'Corrected and Updated TSF 3'!DA267</f>
        <v>68780.245402987232</v>
      </c>
      <c r="AA267" s="821">
        <f>L267-'Corrected and Updated TSF 3'!CL267</f>
        <v>0</v>
      </c>
      <c r="AB267" s="678">
        <f>N267-'Corrected and Updated TSF 3'!CN267</f>
        <v>0</v>
      </c>
      <c r="AC267" s="678">
        <f>Q267-'Corrected and Updated TSF 3'!CQ267</f>
        <v>0</v>
      </c>
      <c r="AD267" s="775"/>
      <c r="AE267" s="775"/>
      <c r="AF267" s="775"/>
      <c r="AG267" s="775"/>
      <c r="AL267" s="119"/>
      <c r="AM267" s="119"/>
      <c r="AN267" s="119"/>
      <c r="AO267" s="119"/>
      <c r="AP267" s="119"/>
      <c r="AQ267" s="119"/>
      <c r="AR267" s="119"/>
      <c r="AS267" s="119"/>
    </row>
    <row r="268" spans="1:47" ht="12.75" hidden="1" customHeight="1">
      <c r="A268" s="631" t="str">
        <f t="shared" si="4"/>
        <v>W-11N</v>
      </c>
      <c r="B268" s="632" t="str">
        <f>'Corrected and Updated TSF 3'!EP268</f>
        <v>SOLD</v>
      </c>
      <c r="C268" s="973" t="str">
        <f>'Corrected and Updated TSF 3'!E268</f>
        <v>11th Floor</v>
      </c>
      <c r="D268" s="974">
        <f>'INTERNAL PRICELIST'!D268</f>
        <v>0</v>
      </c>
      <c r="E268" s="975" t="str">
        <f>'Corrected and Updated TSF 3'!G268</f>
        <v>W-11N</v>
      </c>
      <c r="F268" s="976" t="str">
        <f>'Corrected and Updated TSF 3'!I268</f>
        <v>Studio</v>
      </c>
      <c r="G268" s="977">
        <f>'Corrected and Updated TSF 3'!J268</f>
        <v>22</v>
      </c>
      <c r="H268" s="977">
        <f>'Corrected and Updated TSF 3'!CG268</f>
        <v>3987225.5606624335</v>
      </c>
      <c r="I268" s="977">
        <f>SUM('Corrected and Updated TSF 3'!CI268:CJ268)</f>
        <v>508371.25898446026</v>
      </c>
      <c r="J268" s="977">
        <f>'Corrected and Updated TSF 3'!CH268</f>
        <v>0</v>
      </c>
      <c r="K268" s="977">
        <f>'Corrected and Updated TSF 3'!CK268</f>
        <v>4495596.819646894</v>
      </c>
      <c r="L268" s="978">
        <f>'Corrected and Updated TSF 3'!CL268</f>
        <v>0.125</v>
      </c>
      <c r="M268" s="977">
        <f>'Corrected and Updated TSF 3'!CM268</f>
        <v>561949.60245586175</v>
      </c>
      <c r="N268" s="977">
        <f>'Corrected and Updated TSF 3'!CN268</f>
        <v>30000</v>
      </c>
      <c r="O268" s="977">
        <f>'Corrected and Updated TSF 3'!CO268</f>
        <v>531949.60245586175</v>
      </c>
      <c r="P268" s="976">
        <f>'Corrected and Updated TSF 3'!CP268</f>
        <v>29</v>
      </c>
      <c r="Q268" s="977">
        <f>'Corrected and Updated TSF 3'!CQ268</f>
        <v>18343.089739857303</v>
      </c>
      <c r="R268" s="977">
        <f>'Corrected and Updated TSF 3'!CS268</f>
        <v>3933647.2171910321</v>
      </c>
      <c r="S268" s="977">
        <f>'Corrected and Updated TSF 3'!CT268</f>
        <v>30497.525005883555</v>
      </c>
      <c r="T268" s="636">
        <f>'Corrected and Updated TSF 3'!CU268</f>
        <v>35356.733263712769</v>
      </c>
      <c r="U268" s="636">
        <f>'Corrected and Updated TSF 3'!CV268</f>
        <v>45672.97961706233</v>
      </c>
      <c r="V268" s="636">
        <f>'Corrected and Updated TSF 3'!CW268</f>
        <v>77890.929535293079</v>
      </c>
      <c r="W268" s="1102">
        <f>'Corrected and Updated TSF 3'!CX268</f>
        <v>319542.66660630231</v>
      </c>
      <c r="X268" s="1102">
        <f>'Corrected and Updated TSF 3'!CY268</f>
        <v>126441.47659441672</v>
      </c>
      <c r="Y268" s="1102">
        <f>'Corrected and Updated TSF 3'!CZ268</f>
        <v>91326.887728908448</v>
      </c>
      <c r="Z268" s="1102">
        <f>'Corrected and Updated TSF 3'!DA268</f>
        <v>69503.966034458368</v>
      </c>
      <c r="AA268" s="821">
        <f>L268-'Corrected and Updated TSF 3'!CL268</f>
        <v>0</v>
      </c>
      <c r="AB268" s="678">
        <f>N268-'Corrected and Updated TSF 3'!CN268</f>
        <v>0</v>
      </c>
      <c r="AC268" s="678">
        <f>Q268-'Corrected and Updated TSF 3'!CQ268</f>
        <v>0</v>
      </c>
      <c r="AD268" s="775"/>
      <c r="AE268" s="775"/>
      <c r="AF268" s="775"/>
      <c r="AG268" s="775"/>
      <c r="AL268" s="119"/>
      <c r="AM268" s="119"/>
      <c r="AN268" s="119"/>
      <c r="AO268" s="119"/>
      <c r="AP268" s="119"/>
      <c r="AQ268" s="119"/>
      <c r="AR268" s="119"/>
      <c r="AS268" s="119"/>
    </row>
    <row r="269" spans="1:47" ht="12.75" customHeight="1">
      <c r="A269" s="631" t="str">
        <f t="shared" si="4"/>
        <v>W-11O</v>
      </c>
      <c r="B269" s="632" t="str">
        <f>'Corrected and Updated TSF 3'!EP269</f>
        <v>UNSOLD</v>
      </c>
      <c r="C269" s="1167" t="str">
        <f>'Corrected and Updated TSF 3'!E269</f>
        <v>11th Floor</v>
      </c>
      <c r="D269" s="974">
        <f>'INTERNAL PRICELIST'!D269</f>
        <v>0</v>
      </c>
      <c r="E269" s="1134" t="str">
        <f>'Corrected and Updated TSF 3'!G269</f>
        <v>W-11O</v>
      </c>
      <c r="F269" s="1168" t="str">
        <f>'Corrected and Updated TSF 3'!I269</f>
        <v>Studio</v>
      </c>
      <c r="G269" s="1169">
        <f>'Corrected and Updated TSF 3'!J269</f>
        <v>22</v>
      </c>
      <c r="H269" s="1169">
        <f>'Corrected and Updated TSF 3'!CG269</f>
        <v>4081915.1022453331</v>
      </c>
      <c r="I269" s="1169">
        <f>SUM('Corrected and Updated TSF 3'!CI269:CJ269)</f>
        <v>520444.17553627992</v>
      </c>
      <c r="J269" s="977">
        <f>'Corrected and Updated TSF 3'!CH269</f>
        <v>0</v>
      </c>
      <c r="K269" s="1169">
        <f>'Corrected and Updated TSF 3'!CK269</f>
        <v>4602359.2777816132</v>
      </c>
      <c r="L269" s="1170">
        <f>'Corrected and Updated TSF 3'!CL269</f>
        <v>0.125</v>
      </c>
      <c r="M269" s="1169">
        <f>'Corrected and Updated TSF 3'!CM269</f>
        <v>575294.90972270165</v>
      </c>
      <c r="N269" s="1169">
        <f>'Corrected and Updated TSF 3'!CN269</f>
        <v>30000</v>
      </c>
      <c r="O269" s="1169">
        <f>'Corrected and Updated TSF 3'!CO269</f>
        <v>545294.90972270165</v>
      </c>
      <c r="P269" s="1168">
        <f>'Corrected and Updated TSF 3'!CP269</f>
        <v>29</v>
      </c>
      <c r="Q269" s="1169">
        <f>'Corrected and Updated TSF 3'!CQ269</f>
        <v>18803.272749058677</v>
      </c>
      <c r="R269" s="1169">
        <f>'Corrected and Updated TSF 3'!CS269</f>
        <v>4027064.3680589115</v>
      </c>
      <c r="S269" s="1169">
        <f>'Corrected and Updated TSF 3'!CT269</f>
        <v>31221.787182247703</v>
      </c>
      <c r="T269" s="1166">
        <f>'Corrected and Updated TSF 3'!CU269</f>
        <v>36196.393025538135</v>
      </c>
      <c r="U269" s="1166">
        <f>'Corrected and Updated TSF 3'!CV269</f>
        <v>46757.631949082956</v>
      </c>
      <c r="V269" s="1166">
        <f>'Corrected and Updated TSF 3'!CW269</f>
        <v>79740.701086701738</v>
      </c>
      <c r="W269" s="1102">
        <f>'Corrected and Updated TSF 3'!CX269</f>
        <v>327131.23869904876</v>
      </c>
      <c r="X269" s="1102">
        <f>'Corrected and Updated TSF 3'!CY269</f>
        <v>129444.23760545948</v>
      </c>
      <c r="Y269" s="1102">
        <f>'Corrected and Updated TSF 3'!CZ269</f>
        <v>93495.739478496107</v>
      </c>
      <c r="Z269" s="1102">
        <f>'Corrected and Updated TSF 3'!DA269</f>
        <v>71154.562064672136</v>
      </c>
      <c r="AA269" s="821">
        <f>L269-'Corrected and Updated TSF 3'!CL269</f>
        <v>0</v>
      </c>
      <c r="AB269" s="678">
        <f>N269-'Corrected and Updated TSF 3'!CN269</f>
        <v>0</v>
      </c>
      <c r="AC269" s="678">
        <f>Q269-'Corrected and Updated TSF 3'!CQ269</f>
        <v>0</v>
      </c>
      <c r="AD269" s="775"/>
      <c r="AE269" s="775"/>
      <c r="AF269" s="775"/>
      <c r="AG269" s="775"/>
      <c r="AT269" s="521"/>
      <c r="AU269" s="521"/>
    </row>
    <row r="270" spans="1:47">
      <c r="A270" s="631" t="str">
        <f t="shared" si="4"/>
        <v>W-11P</v>
      </c>
      <c r="B270" s="632" t="str">
        <f>'Corrected and Updated TSF 3'!EP270</f>
        <v>UNSOLD</v>
      </c>
      <c r="C270" s="1167" t="str">
        <f>'Corrected and Updated TSF 3'!E270</f>
        <v>11th Floor</v>
      </c>
      <c r="D270" s="974">
        <f>'INTERNAL PRICELIST'!D270</f>
        <v>0</v>
      </c>
      <c r="E270" s="1134" t="str">
        <f>'Corrected and Updated TSF 3'!G270</f>
        <v>W-11P</v>
      </c>
      <c r="F270" s="1168" t="str">
        <f>'Corrected and Updated TSF 3'!I270</f>
        <v>Studio</v>
      </c>
      <c r="G270" s="1169">
        <f>'Corrected and Updated TSF 3'!J270</f>
        <v>22</v>
      </c>
      <c r="H270" s="1169">
        <f>'Corrected and Updated TSF 3'!CG270</f>
        <v>4209994.3799088169</v>
      </c>
      <c r="I270" s="1169">
        <f>SUM('Corrected and Updated TSF 3'!CI270:CJ270)</f>
        <v>536774.28343837406</v>
      </c>
      <c r="J270" s="977">
        <f>'Corrected and Updated TSF 3'!CH270</f>
        <v>0</v>
      </c>
      <c r="K270" s="1169">
        <f>'Corrected and Updated TSF 3'!CK270</f>
        <v>4746768.6633471912</v>
      </c>
      <c r="L270" s="1170">
        <f>'Corrected and Updated TSF 3'!CL270</f>
        <v>0.125</v>
      </c>
      <c r="M270" s="1169">
        <f>'Corrected and Updated TSF 3'!CM270</f>
        <v>593346.0829183989</v>
      </c>
      <c r="N270" s="1169">
        <f>'Corrected and Updated TSF 3'!CN270</f>
        <v>30000</v>
      </c>
      <c r="O270" s="1169">
        <f>'Corrected and Updated TSF 3'!CO270</f>
        <v>563346.0829183989</v>
      </c>
      <c r="P270" s="1168">
        <f>'Corrected and Updated TSF 3'!CP270</f>
        <v>29</v>
      </c>
      <c r="Q270" s="1169">
        <f>'Corrected and Updated TSF 3'!CQ270</f>
        <v>19425.726997186168</v>
      </c>
      <c r="R270" s="1169">
        <f>'Corrected and Updated TSF 3'!CS270</f>
        <v>4153422.5804287922</v>
      </c>
      <c r="S270" s="1169">
        <f>'Corrected and Updated TSF 3'!CT270</f>
        <v>32201.441057818422</v>
      </c>
      <c r="T270" s="1166">
        <f>'Corrected and Updated TSF 3'!CU270</f>
        <v>37332.136360862365</v>
      </c>
      <c r="U270" s="1166">
        <f>'Corrected and Updated TSF 3'!CV270</f>
        <v>48224.75793658803</v>
      </c>
      <c r="V270" s="1166">
        <f>'Corrected and Updated TSF 3'!CW270</f>
        <v>82242.745137041406</v>
      </c>
      <c r="W270" s="1102">
        <f>'Corrected and Updated TSF 3'!CX270</f>
        <v>337395.71792123729</v>
      </c>
      <c r="X270" s="1102">
        <f>'Corrected and Updated TSF 3'!CY270</f>
        <v>133505.84203253046</v>
      </c>
      <c r="Y270" s="1102">
        <f>'Corrected and Updated TSF 3'!CZ270</f>
        <v>96429.378830875576</v>
      </c>
      <c r="Z270" s="1102">
        <f>'Corrected and Updated TSF 3'!DA270</f>
        <v>73387.196669613259</v>
      </c>
      <c r="AA270" s="821">
        <f>L270-'Corrected and Updated TSF 3'!CL270</f>
        <v>0</v>
      </c>
      <c r="AB270" s="678">
        <f>N270-'Corrected and Updated TSF 3'!CN270</f>
        <v>0</v>
      </c>
      <c r="AC270" s="678">
        <f>Q270-'Corrected and Updated TSF 3'!CQ270</f>
        <v>0</v>
      </c>
      <c r="AD270" s="775"/>
      <c r="AE270" s="775"/>
      <c r="AF270" s="775"/>
      <c r="AG270" s="775"/>
      <c r="AT270" s="521"/>
      <c r="AU270" s="521"/>
    </row>
    <row r="271" spans="1:47" ht="12.75" hidden="1" customHeight="1">
      <c r="A271" s="631" t="str">
        <f t="shared" si="4"/>
        <v>E-11A</v>
      </c>
      <c r="B271" s="632" t="str">
        <f>'Corrected and Updated TSF 3'!EP271</f>
        <v>SOLD</v>
      </c>
      <c r="C271" s="973" t="str">
        <f>'Corrected and Updated TSF 3'!E271</f>
        <v>11th Floor</v>
      </c>
      <c r="D271" s="974">
        <f>'INTERNAL PRICELIST'!D271</f>
        <v>0</v>
      </c>
      <c r="E271" s="975" t="str">
        <f>'Corrected and Updated TSF 3'!G271</f>
        <v>E-11A</v>
      </c>
      <c r="F271" s="976" t="str">
        <f>'Corrected and Updated TSF 3'!I271</f>
        <v>Studio</v>
      </c>
      <c r="G271" s="977">
        <f>'Corrected and Updated TSF 3'!J271</f>
        <v>22</v>
      </c>
      <c r="H271" s="977">
        <f>'Corrected and Updated TSF 3'!CG271</f>
        <v>3945707.9672757504</v>
      </c>
      <c r="I271" s="977">
        <f>SUM('Corrected and Updated TSF 3'!CI271:CJ271)</f>
        <v>503077.76582765818</v>
      </c>
      <c r="J271" s="977">
        <f>'Corrected and Updated TSF 3'!CH271</f>
        <v>0</v>
      </c>
      <c r="K271" s="977">
        <f>'Corrected and Updated TSF 3'!CK271</f>
        <v>4448785.7331034085</v>
      </c>
      <c r="L271" s="978">
        <f>'Corrected and Updated TSF 3'!CL271</f>
        <v>0.125</v>
      </c>
      <c r="M271" s="977">
        <f>'Corrected and Updated TSF 3'!CM271</f>
        <v>556098.21663792606</v>
      </c>
      <c r="N271" s="977">
        <f>'Corrected and Updated TSF 3'!CN271</f>
        <v>30000</v>
      </c>
      <c r="O271" s="977">
        <f>'Corrected and Updated TSF 3'!CO271</f>
        <v>526098.21663792606</v>
      </c>
      <c r="P271" s="976">
        <f>'Corrected and Updated TSF 3'!CP271</f>
        <v>29</v>
      </c>
      <c r="Q271" s="977">
        <f>'Corrected and Updated TSF 3'!CQ271</f>
        <v>18141.317815100898</v>
      </c>
      <c r="R271" s="977">
        <f>'Corrected and Updated TSF 3'!CS271</f>
        <v>3892687.5164654823</v>
      </c>
      <c r="S271" s="977">
        <f>'Corrected and Updated TSF 3'!CT271</f>
        <v>30179.964882125685</v>
      </c>
      <c r="T271" s="636">
        <f>'Corrected and Updated TSF 3'!CU271</f>
        <v>34988.575893934983</v>
      </c>
      <c r="U271" s="636">
        <f>'Corrected and Updated TSF 3'!CV271</f>
        <v>45197.402761012978</v>
      </c>
      <c r="V271" s="636">
        <f>'Corrected and Updated TSF 3'!CW271</f>
        <v>77079.878369073165</v>
      </c>
      <c r="W271" s="1102">
        <f>'Corrected and Updated TSF 3'!CX271</f>
        <v>316215.37992537208</v>
      </c>
      <c r="X271" s="1102">
        <f>'Corrected and Updated TSF 3'!CY271</f>
        <v>125124.88546291657</v>
      </c>
      <c r="Y271" s="1102">
        <f>'Corrected and Updated TSF 3'!CZ271</f>
        <v>90375.93260176231</v>
      </c>
      <c r="Z271" s="1102">
        <f>'Corrected and Updated TSF 3'!DA271</f>
        <v>68780.245402987232</v>
      </c>
      <c r="AA271" s="821">
        <f>L271-'Corrected and Updated TSF 3'!CL271</f>
        <v>0</v>
      </c>
      <c r="AB271" s="678">
        <f>N271-'Corrected and Updated TSF 3'!CN271</f>
        <v>0</v>
      </c>
      <c r="AC271" s="678">
        <f>Q271-'Corrected and Updated TSF 3'!CQ271</f>
        <v>0</v>
      </c>
      <c r="AD271" s="775"/>
      <c r="AE271" s="775"/>
      <c r="AF271" s="775"/>
      <c r="AG271" s="775"/>
      <c r="AL271" s="119"/>
      <c r="AM271" s="119"/>
      <c r="AN271" s="119"/>
      <c r="AO271" s="119"/>
      <c r="AP271" s="119"/>
      <c r="AQ271" s="119"/>
      <c r="AR271" s="119"/>
      <c r="AS271" s="119"/>
    </row>
    <row r="272" spans="1:47" ht="12.75" hidden="1" customHeight="1">
      <c r="A272" s="631" t="str">
        <f t="shared" si="4"/>
        <v>E-11B</v>
      </c>
      <c r="B272" s="632" t="str">
        <f>'Corrected and Updated TSF 3'!EP272</f>
        <v>SOLD</v>
      </c>
      <c r="C272" s="820" t="str">
        <f>'Corrected and Updated TSF 3'!E272</f>
        <v>11th Floor</v>
      </c>
      <c r="D272" s="628">
        <f>'INTERNAL PRICELIST'!D272</f>
        <v>0</v>
      </c>
      <c r="E272" s="596" t="str">
        <f>'Corrected and Updated TSF 3'!G272</f>
        <v>E-11B</v>
      </c>
      <c r="F272" s="401" t="str">
        <f>'Corrected and Updated TSF 3'!I272</f>
        <v>Studio</v>
      </c>
      <c r="G272" s="633">
        <f>'Corrected and Updated TSF 3'!J272</f>
        <v>22</v>
      </c>
      <c r="H272" s="633">
        <f>'Corrected and Updated TSF 3'!CG272</f>
        <v>3945707.9672757504</v>
      </c>
      <c r="I272" s="633">
        <f>SUM('Corrected and Updated TSF 3'!CI272:CJ272)</f>
        <v>503077.76582765818</v>
      </c>
      <c r="J272" s="633">
        <f>'Corrected and Updated TSF 3'!CH272</f>
        <v>0</v>
      </c>
      <c r="K272" s="633">
        <f>'Corrected and Updated TSF 3'!CK272</f>
        <v>4448785.7331034085</v>
      </c>
      <c r="L272" s="634">
        <f>'Corrected and Updated TSF 3'!CL272</f>
        <v>0.125</v>
      </c>
      <c r="M272" s="633">
        <f>'Corrected and Updated TSF 3'!CM272</f>
        <v>556098.21663792606</v>
      </c>
      <c r="N272" s="633">
        <f>'Corrected and Updated TSF 3'!CN272</f>
        <v>30000</v>
      </c>
      <c r="O272" s="633">
        <f>'Corrected and Updated TSF 3'!CO272</f>
        <v>526098.21663792606</v>
      </c>
      <c r="P272" s="401">
        <f>'Corrected and Updated TSF 3'!CP272</f>
        <v>29</v>
      </c>
      <c r="Q272" s="633">
        <f>'Corrected and Updated TSF 3'!CQ272</f>
        <v>18141.317815100898</v>
      </c>
      <c r="R272" s="633">
        <f>'Corrected and Updated TSF 3'!CS272</f>
        <v>3892687.5164654823</v>
      </c>
      <c r="S272" s="633">
        <f>'Corrected and Updated TSF 3'!CT272</f>
        <v>30179.964882125685</v>
      </c>
      <c r="T272" s="635">
        <f>'Corrected and Updated TSF 3'!CU272</f>
        <v>34988.575893934983</v>
      </c>
      <c r="U272" s="636">
        <f>'Corrected and Updated TSF 3'!CV272</f>
        <v>45197.402761012978</v>
      </c>
      <c r="V272" s="636">
        <f>'Corrected and Updated TSF 3'!CW272</f>
        <v>77079.878369073165</v>
      </c>
      <c r="W272" s="1102">
        <f>'Corrected and Updated TSF 3'!CX272</f>
        <v>316215.37992537208</v>
      </c>
      <c r="X272" s="1102">
        <f>'Corrected and Updated TSF 3'!CY272</f>
        <v>125124.88546291657</v>
      </c>
      <c r="Y272" s="1102">
        <f>'Corrected and Updated TSF 3'!CZ272</f>
        <v>90375.93260176231</v>
      </c>
      <c r="Z272" s="1102">
        <f>'Corrected and Updated TSF 3'!DA272</f>
        <v>68780.245402987232</v>
      </c>
      <c r="AA272" s="821">
        <f>L272-'Corrected and Updated TSF 3'!CL272</f>
        <v>0</v>
      </c>
      <c r="AB272" s="678">
        <f>N272-'Corrected and Updated TSF 3'!CN272</f>
        <v>0</v>
      </c>
      <c r="AC272" s="678">
        <f>Q272-'Corrected and Updated TSF 3'!CQ272</f>
        <v>0</v>
      </c>
      <c r="AD272" s="775"/>
      <c r="AE272" s="775"/>
      <c r="AF272" s="775"/>
      <c r="AG272" s="775"/>
      <c r="AL272" s="119"/>
      <c r="AM272" s="119"/>
      <c r="AN272" s="119"/>
      <c r="AO272" s="119"/>
      <c r="AP272" s="119"/>
      <c r="AQ272" s="119"/>
      <c r="AR272" s="119"/>
      <c r="AS272" s="119"/>
    </row>
    <row r="273" spans="1:37" s="119" customFormat="1" ht="12.75" hidden="1" customHeight="1">
      <c r="A273" s="631" t="str">
        <f t="shared" si="4"/>
        <v>E-11C</v>
      </c>
      <c r="B273" s="632" t="str">
        <f>'Corrected and Updated TSF 3'!EP273</f>
        <v>SOLD</v>
      </c>
      <c r="C273" s="820" t="str">
        <f>'Corrected and Updated TSF 3'!E273</f>
        <v>11th Floor</v>
      </c>
      <c r="D273" s="628">
        <f>'INTERNAL PRICELIST'!D273</f>
        <v>0</v>
      </c>
      <c r="E273" s="596" t="str">
        <f>'Corrected and Updated TSF 3'!G273</f>
        <v>E-11C</v>
      </c>
      <c r="F273" s="401" t="str">
        <f>'Corrected and Updated TSF 3'!I273</f>
        <v>Studio</v>
      </c>
      <c r="G273" s="633">
        <f>'Corrected and Updated TSF 3'!J273</f>
        <v>22</v>
      </c>
      <c r="H273" s="633">
        <f>'Corrected and Updated TSF 3'!CG273</f>
        <v>3945707.9672757504</v>
      </c>
      <c r="I273" s="633">
        <f>SUM('Corrected and Updated TSF 3'!CI273:CJ273)</f>
        <v>503077.76582765818</v>
      </c>
      <c r="J273" s="633">
        <f>'Corrected and Updated TSF 3'!CH273</f>
        <v>0</v>
      </c>
      <c r="K273" s="633">
        <f>'Corrected and Updated TSF 3'!CK273</f>
        <v>4448785.7331034085</v>
      </c>
      <c r="L273" s="634">
        <f>'Corrected and Updated TSF 3'!CL273</f>
        <v>0.125</v>
      </c>
      <c r="M273" s="633">
        <f>'Corrected and Updated TSF 3'!CM273</f>
        <v>556098.21663792606</v>
      </c>
      <c r="N273" s="633">
        <f>'Corrected and Updated TSF 3'!CN273</f>
        <v>30000</v>
      </c>
      <c r="O273" s="633">
        <f>'Corrected and Updated TSF 3'!CO273</f>
        <v>526098.21663792606</v>
      </c>
      <c r="P273" s="401">
        <f>'Corrected and Updated TSF 3'!CP273</f>
        <v>29</v>
      </c>
      <c r="Q273" s="633">
        <f>'Corrected and Updated TSF 3'!CQ273</f>
        <v>18141.317815100898</v>
      </c>
      <c r="R273" s="633">
        <f>'Corrected and Updated TSF 3'!CS273</f>
        <v>3892687.5164654823</v>
      </c>
      <c r="S273" s="633">
        <f>'Corrected and Updated TSF 3'!CT273</f>
        <v>30179.964882125685</v>
      </c>
      <c r="T273" s="635">
        <f>'Corrected and Updated TSF 3'!CU273</f>
        <v>34988.575893934983</v>
      </c>
      <c r="U273" s="636">
        <f>'Corrected and Updated TSF 3'!CV273</f>
        <v>45197.402761012978</v>
      </c>
      <c r="V273" s="636">
        <f>'Corrected and Updated TSF 3'!CW273</f>
        <v>77079.878369073165</v>
      </c>
      <c r="W273" s="1102">
        <f>'Corrected and Updated TSF 3'!CX273</f>
        <v>316215.37992537208</v>
      </c>
      <c r="X273" s="1102">
        <f>'Corrected and Updated TSF 3'!CY273</f>
        <v>125124.88546291657</v>
      </c>
      <c r="Y273" s="1102">
        <f>'Corrected and Updated TSF 3'!CZ273</f>
        <v>90375.93260176231</v>
      </c>
      <c r="Z273" s="1102">
        <f>'Corrected and Updated TSF 3'!DA273</f>
        <v>68780.245402987232</v>
      </c>
      <c r="AA273" s="821">
        <f>L273-'Corrected and Updated TSF 3'!CL273</f>
        <v>0</v>
      </c>
      <c r="AB273" s="678">
        <f>N273-'Corrected and Updated TSF 3'!CN273</f>
        <v>0</v>
      </c>
      <c r="AC273" s="678">
        <f>Q273-'Corrected and Updated TSF 3'!CQ273</f>
        <v>0</v>
      </c>
      <c r="AD273" s="775"/>
      <c r="AE273" s="775"/>
      <c r="AF273" s="775"/>
      <c r="AG273" s="775"/>
      <c r="AH273" s="677"/>
      <c r="AI273" s="677"/>
      <c r="AJ273" s="677"/>
      <c r="AK273" s="677"/>
    </row>
    <row r="274" spans="1:37" s="119" customFormat="1" ht="12.75" hidden="1" customHeight="1">
      <c r="A274" s="631" t="str">
        <f t="shared" si="4"/>
        <v>E-11D</v>
      </c>
      <c r="B274" s="632" t="str">
        <f>'Corrected and Updated TSF 3'!EP274</f>
        <v>SOLD</v>
      </c>
      <c r="C274" s="973" t="str">
        <f>'Corrected and Updated TSF 3'!E274</f>
        <v>11th Floor</v>
      </c>
      <c r="D274" s="974">
        <f>'INTERNAL PRICELIST'!D274</f>
        <v>0</v>
      </c>
      <c r="E274" s="975" t="str">
        <f>'Corrected and Updated TSF 3'!G274</f>
        <v>E-11D</v>
      </c>
      <c r="F274" s="976" t="str">
        <f>'Corrected and Updated TSF 3'!I274</f>
        <v>Studio</v>
      </c>
      <c r="G274" s="977">
        <f>'Corrected and Updated TSF 3'!J274</f>
        <v>22</v>
      </c>
      <c r="H274" s="977">
        <f>'Corrected and Updated TSF 3'!CG274</f>
        <v>3945707.9672757504</v>
      </c>
      <c r="I274" s="977">
        <f>SUM('Corrected and Updated TSF 3'!CI274:CJ274)</f>
        <v>503077.76582765818</v>
      </c>
      <c r="J274" s="977">
        <f>'Corrected and Updated TSF 3'!CH274</f>
        <v>0</v>
      </c>
      <c r="K274" s="977">
        <f>'Corrected and Updated TSF 3'!CK274</f>
        <v>4448785.7331034085</v>
      </c>
      <c r="L274" s="978">
        <f>'Corrected and Updated TSF 3'!CL274</f>
        <v>0.125</v>
      </c>
      <c r="M274" s="977">
        <f>'Corrected and Updated TSF 3'!CM274</f>
        <v>556098.21663792606</v>
      </c>
      <c r="N274" s="977">
        <f>'Corrected and Updated TSF 3'!CN274</f>
        <v>30000</v>
      </c>
      <c r="O274" s="977">
        <f>'Corrected and Updated TSF 3'!CO274</f>
        <v>526098.21663792606</v>
      </c>
      <c r="P274" s="976">
        <f>'Corrected and Updated TSF 3'!CP274</f>
        <v>29</v>
      </c>
      <c r="Q274" s="977">
        <f>'Corrected and Updated TSF 3'!CQ274</f>
        <v>18141.317815100898</v>
      </c>
      <c r="R274" s="977">
        <f>'Corrected and Updated TSF 3'!CS274</f>
        <v>3892687.5164654823</v>
      </c>
      <c r="S274" s="977">
        <f>'Corrected and Updated TSF 3'!CT274</f>
        <v>30179.964882125685</v>
      </c>
      <c r="T274" s="636">
        <f>'Corrected and Updated TSF 3'!CU274</f>
        <v>34988.575893934983</v>
      </c>
      <c r="U274" s="636">
        <f>'Corrected and Updated TSF 3'!CV274</f>
        <v>45197.402761012978</v>
      </c>
      <c r="V274" s="636">
        <f>'Corrected and Updated TSF 3'!CW274</f>
        <v>77079.878369073165</v>
      </c>
      <c r="W274" s="1102">
        <f>'Corrected and Updated TSF 3'!CX274</f>
        <v>316215.37992537208</v>
      </c>
      <c r="X274" s="1102">
        <f>'Corrected and Updated TSF 3'!CY274</f>
        <v>125124.88546291657</v>
      </c>
      <c r="Y274" s="1102">
        <f>'Corrected and Updated TSF 3'!CZ274</f>
        <v>90375.93260176231</v>
      </c>
      <c r="Z274" s="1102">
        <f>'Corrected and Updated TSF 3'!DA274</f>
        <v>68780.245402987232</v>
      </c>
      <c r="AA274" s="821">
        <f>L274-'Corrected and Updated TSF 3'!CL274</f>
        <v>0</v>
      </c>
      <c r="AB274" s="678">
        <f>N274-'Corrected and Updated TSF 3'!CN274</f>
        <v>0</v>
      </c>
      <c r="AC274" s="678">
        <f>Q274-'Corrected and Updated TSF 3'!CQ274</f>
        <v>0</v>
      </c>
      <c r="AD274" s="775"/>
      <c r="AE274" s="775"/>
      <c r="AF274" s="775"/>
      <c r="AG274" s="775"/>
      <c r="AH274" s="677"/>
      <c r="AI274" s="677"/>
      <c r="AJ274" s="677"/>
      <c r="AK274" s="677"/>
    </row>
    <row r="275" spans="1:37" s="119" customFormat="1" ht="12.75" hidden="1" customHeight="1">
      <c r="A275" s="631" t="str">
        <f t="shared" si="4"/>
        <v>E-11E</v>
      </c>
      <c r="B275" s="632" t="str">
        <f>'Corrected and Updated TSF 3'!EP275</f>
        <v>SOLD</v>
      </c>
      <c r="C275" s="820" t="str">
        <f>'Corrected and Updated TSF 3'!E275</f>
        <v>11th Floor</v>
      </c>
      <c r="D275" s="628">
        <f>'INTERNAL PRICELIST'!D275</f>
        <v>0</v>
      </c>
      <c r="E275" s="596" t="str">
        <f>'Corrected and Updated TSF 3'!G275</f>
        <v>E-11E</v>
      </c>
      <c r="F275" s="401" t="str">
        <f>'Corrected and Updated TSF 3'!I275</f>
        <v>Studio</v>
      </c>
      <c r="G275" s="633">
        <f>'Corrected and Updated TSF 3'!J275</f>
        <v>22</v>
      </c>
      <c r="H275" s="633">
        <f>'Corrected and Updated TSF 3'!CG275</f>
        <v>3945707.9672757504</v>
      </c>
      <c r="I275" s="633">
        <f>SUM('Corrected and Updated TSF 3'!CI275:CJ275)</f>
        <v>503077.76582765818</v>
      </c>
      <c r="J275" s="633">
        <f>'Corrected and Updated TSF 3'!CH275</f>
        <v>0</v>
      </c>
      <c r="K275" s="633">
        <f>'Corrected and Updated TSF 3'!CK275</f>
        <v>4448785.7331034085</v>
      </c>
      <c r="L275" s="634">
        <f>'Corrected and Updated TSF 3'!CL275</f>
        <v>0.125</v>
      </c>
      <c r="M275" s="633">
        <f>'Corrected and Updated TSF 3'!CM275</f>
        <v>556098.21663792606</v>
      </c>
      <c r="N275" s="633">
        <f>'Corrected and Updated TSF 3'!CN275</f>
        <v>30000</v>
      </c>
      <c r="O275" s="633">
        <f>'Corrected and Updated TSF 3'!CO275</f>
        <v>526098.21663792606</v>
      </c>
      <c r="P275" s="401">
        <f>'Corrected and Updated TSF 3'!CP275</f>
        <v>29</v>
      </c>
      <c r="Q275" s="633">
        <f>'Corrected and Updated TSF 3'!CQ275</f>
        <v>18141.317815100898</v>
      </c>
      <c r="R275" s="633">
        <f>'Corrected and Updated TSF 3'!CS275</f>
        <v>3892687.5164654823</v>
      </c>
      <c r="S275" s="633">
        <f>'Corrected and Updated TSF 3'!CT275</f>
        <v>30179.964882125685</v>
      </c>
      <c r="T275" s="635">
        <f>'Corrected and Updated TSF 3'!CU275</f>
        <v>34988.575893934983</v>
      </c>
      <c r="U275" s="636">
        <f>'Corrected and Updated TSF 3'!CV275</f>
        <v>45197.402761012978</v>
      </c>
      <c r="V275" s="636">
        <f>'Corrected and Updated TSF 3'!CW275</f>
        <v>77079.878369073165</v>
      </c>
      <c r="W275" s="1102">
        <f>'Corrected and Updated TSF 3'!CX275</f>
        <v>316215.37992537208</v>
      </c>
      <c r="X275" s="1102">
        <f>'Corrected and Updated TSF 3'!CY275</f>
        <v>125124.88546291657</v>
      </c>
      <c r="Y275" s="1102">
        <f>'Corrected and Updated TSF 3'!CZ275</f>
        <v>90375.93260176231</v>
      </c>
      <c r="Z275" s="1102">
        <f>'Corrected and Updated TSF 3'!DA275</f>
        <v>68780.245402987232</v>
      </c>
      <c r="AA275" s="821">
        <f>L275-'Corrected and Updated TSF 3'!CL275</f>
        <v>0</v>
      </c>
      <c r="AB275" s="678">
        <f>N275-'Corrected and Updated TSF 3'!CN275</f>
        <v>0</v>
      </c>
      <c r="AC275" s="678">
        <f>Q275-'Corrected and Updated TSF 3'!CQ275</f>
        <v>0</v>
      </c>
      <c r="AD275" s="775"/>
      <c r="AE275" s="775"/>
      <c r="AF275" s="775"/>
      <c r="AG275" s="775"/>
      <c r="AH275" s="677"/>
      <c r="AI275" s="677"/>
      <c r="AJ275" s="677"/>
      <c r="AK275" s="677"/>
    </row>
    <row r="276" spans="1:37" s="119" customFormat="1" ht="12.75" hidden="1" customHeight="1">
      <c r="A276" s="631" t="str">
        <f t="shared" si="4"/>
        <v>E-11F</v>
      </c>
      <c r="B276" s="632" t="str">
        <f>'Corrected and Updated TSF 3'!EP276</f>
        <v>SOLD</v>
      </c>
      <c r="C276" s="820" t="str">
        <f>'Corrected and Updated TSF 3'!E276</f>
        <v>11th Floor</v>
      </c>
      <c r="D276" s="628">
        <f>'INTERNAL PRICELIST'!D276</f>
        <v>0</v>
      </c>
      <c r="E276" s="596" t="str">
        <f>'Corrected and Updated TSF 3'!G276</f>
        <v>E-11F</v>
      </c>
      <c r="F276" s="401" t="str">
        <f>'Corrected and Updated TSF 3'!I276</f>
        <v>Studio</v>
      </c>
      <c r="G276" s="633">
        <f>'Corrected and Updated TSF 3'!J276</f>
        <v>22</v>
      </c>
      <c r="H276" s="633">
        <f>'Corrected and Updated TSF 3'!CG276</f>
        <v>3945707.9672757504</v>
      </c>
      <c r="I276" s="633">
        <f>SUM('Corrected and Updated TSF 3'!CI276:CJ276)</f>
        <v>503077.76582765818</v>
      </c>
      <c r="J276" s="633">
        <f>'Corrected and Updated TSF 3'!CH276</f>
        <v>0</v>
      </c>
      <c r="K276" s="633">
        <f>'Corrected and Updated TSF 3'!CK276</f>
        <v>4448785.7331034085</v>
      </c>
      <c r="L276" s="634">
        <f>'Corrected and Updated TSF 3'!CL276</f>
        <v>0.125</v>
      </c>
      <c r="M276" s="633">
        <f>'Corrected and Updated TSF 3'!CM276</f>
        <v>556098.21663792606</v>
      </c>
      <c r="N276" s="633">
        <f>'Corrected and Updated TSF 3'!CN276</f>
        <v>30000</v>
      </c>
      <c r="O276" s="633">
        <f>'Corrected and Updated TSF 3'!CO276</f>
        <v>526098.21663792606</v>
      </c>
      <c r="P276" s="401">
        <f>'Corrected and Updated TSF 3'!CP276</f>
        <v>29</v>
      </c>
      <c r="Q276" s="633">
        <f>'Corrected and Updated TSF 3'!CQ276</f>
        <v>18141.317815100898</v>
      </c>
      <c r="R276" s="633">
        <f>'Corrected and Updated TSF 3'!CS276</f>
        <v>3892687.5164654823</v>
      </c>
      <c r="S276" s="633">
        <f>'Corrected and Updated TSF 3'!CT276</f>
        <v>30179.964882125685</v>
      </c>
      <c r="T276" s="635">
        <f>'Corrected and Updated TSF 3'!CU276</f>
        <v>34988.575893934983</v>
      </c>
      <c r="U276" s="636">
        <f>'Corrected and Updated TSF 3'!CV276</f>
        <v>45197.402761012978</v>
      </c>
      <c r="V276" s="636">
        <f>'Corrected and Updated TSF 3'!CW276</f>
        <v>77079.878369073165</v>
      </c>
      <c r="W276" s="1102">
        <f>'Corrected and Updated TSF 3'!CX276</f>
        <v>316215.37992537208</v>
      </c>
      <c r="X276" s="1102">
        <f>'Corrected and Updated TSF 3'!CY276</f>
        <v>125124.88546291657</v>
      </c>
      <c r="Y276" s="1102">
        <f>'Corrected and Updated TSF 3'!CZ276</f>
        <v>90375.93260176231</v>
      </c>
      <c r="Z276" s="1102">
        <f>'Corrected and Updated TSF 3'!DA276</f>
        <v>68780.245402987232</v>
      </c>
      <c r="AA276" s="821">
        <f>L276-'Corrected and Updated TSF 3'!CL276</f>
        <v>0</v>
      </c>
      <c r="AB276" s="678">
        <f>N276-'Corrected and Updated TSF 3'!CN276</f>
        <v>0</v>
      </c>
      <c r="AC276" s="678">
        <f>Q276-'Corrected and Updated TSF 3'!CQ276</f>
        <v>0</v>
      </c>
      <c r="AD276" s="775"/>
      <c r="AE276" s="775"/>
      <c r="AF276" s="775"/>
      <c r="AG276" s="775"/>
      <c r="AH276" s="677"/>
      <c r="AI276" s="677"/>
      <c r="AJ276" s="677"/>
      <c r="AK276" s="677"/>
    </row>
    <row r="277" spans="1:37" s="119" customFormat="1" ht="12.75" hidden="1" customHeight="1">
      <c r="A277" s="631" t="str">
        <f t="shared" si="4"/>
        <v>E-11G</v>
      </c>
      <c r="B277" s="632" t="str">
        <f>'Corrected and Updated TSF 3'!EP277</f>
        <v>SOLD</v>
      </c>
      <c r="C277" s="973" t="str">
        <f>'Corrected and Updated TSF 3'!E277</f>
        <v>11th Floor</v>
      </c>
      <c r="D277" s="974">
        <f>'INTERNAL PRICELIST'!D277</f>
        <v>0</v>
      </c>
      <c r="E277" s="975" t="str">
        <f>'Corrected and Updated TSF 3'!G277</f>
        <v>E-11G</v>
      </c>
      <c r="F277" s="976" t="str">
        <f>'Corrected and Updated TSF 3'!I277</f>
        <v>Studio</v>
      </c>
      <c r="G277" s="977">
        <f>'Corrected and Updated TSF 3'!J277</f>
        <v>22</v>
      </c>
      <c r="H277" s="977">
        <f>'Corrected and Updated TSF 3'!CG277</f>
        <v>3945707.9672757504</v>
      </c>
      <c r="I277" s="977">
        <f>SUM('Corrected and Updated TSF 3'!CI277:CJ277)</f>
        <v>503077.76582765818</v>
      </c>
      <c r="J277" s="977">
        <f>'Corrected and Updated TSF 3'!CH277</f>
        <v>0</v>
      </c>
      <c r="K277" s="977">
        <f>'Corrected and Updated TSF 3'!CK277</f>
        <v>4448785.7331034085</v>
      </c>
      <c r="L277" s="978">
        <f>'Corrected and Updated TSF 3'!CL277</f>
        <v>0.125</v>
      </c>
      <c r="M277" s="977">
        <f>'Corrected and Updated TSF 3'!CM277</f>
        <v>556098.21663792606</v>
      </c>
      <c r="N277" s="977">
        <f>'Corrected and Updated TSF 3'!CN277</f>
        <v>30000</v>
      </c>
      <c r="O277" s="977">
        <f>'Corrected and Updated TSF 3'!CO277</f>
        <v>526098.21663792606</v>
      </c>
      <c r="P277" s="976">
        <f>'Corrected and Updated TSF 3'!CP277</f>
        <v>29</v>
      </c>
      <c r="Q277" s="977">
        <f>'Corrected and Updated TSF 3'!CQ277</f>
        <v>18141.317815100898</v>
      </c>
      <c r="R277" s="977">
        <f>'Corrected and Updated TSF 3'!CS277</f>
        <v>3892687.5164654823</v>
      </c>
      <c r="S277" s="977">
        <f>'Corrected and Updated TSF 3'!CT277</f>
        <v>30179.964882125685</v>
      </c>
      <c r="T277" s="636">
        <f>'Corrected and Updated TSF 3'!CU277</f>
        <v>34988.575893934983</v>
      </c>
      <c r="U277" s="636">
        <f>'Corrected and Updated TSF 3'!CV277</f>
        <v>45197.402761012978</v>
      </c>
      <c r="V277" s="636">
        <f>'Corrected and Updated TSF 3'!CW277</f>
        <v>77079.878369073165</v>
      </c>
      <c r="W277" s="1102">
        <f>'Corrected and Updated TSF 3'!CX277</f>
        <v>316215.37992537208</v>
      </c>
      <c r="X277" s="1102">
        <f>'Corrected and Updated TSF 3'!CY277</f>
        <v>125124.88546291657</v>
      </c>
      <c r="Y277" s="1102">
        <f>'Corrected and Updated TSF 3'!CZ277</f>
        <v>90375.93260176231</v>
      </c>
      <c r="Z277" s="1102">
        <f>'Corrected and Updated TSF 3'!DA277</f>
        <v>68780.245402987232</v>
      </c>
      <c r="AA277" s="821">
        <f>L277-'Corrected and Updated TSF 3'!CL277</f>
        <v>0</v>
      </c>
      <c r="AB277" s="678">
        <f>N277-'Corrected and Updated TSF 3'!CN277</f>
        <v>0</v>
      </c>
      <c r="AC277" s="678">
        <f>Q277-'Corrected and Updated TSF 3'!CQ277</f>
        <v>0</v>
      </c>
      <c r="AD277" s="775"/>
      <c r="AE277" s="775"/>
      <c r="AF277" s="775"/>
      <c r="AG277" s="775"/>
      <c r="AH277" s="677"/>
      <c r="AI277" s="677"/>
      <c r="AJ277" s="677"/>
      <c r="AK277" s="677"/>
    </row>
    <row r="278" spans="1:37" s="119" customFormat="1" ht="12.75" hidden="1" customHeight="1">
      <c r="A278" s="631" t="str">
        <f t="shared" si="4"/>
        <v>E-11H</v>
      </c>
      <c r="B278" s="632" t="str">
        <f>'Corrected and Updated TSF 3'!EP278</f>
        <v>SOLD</v>
      </c>
      <c r="C278" s="820" t="str">
        <f>'Corrected and Updated TSF 3'!E278</f>
        <v>11th Floor</v>
      </c>
      <c r="D278" s="628">
        <f>'INTERNAL PRICELIST'!D278</f>
        <v>0</v>
      </c>
      <c r="E278" s="596" t="str">
        <f>'Corrected and Updated TSF 3'!G278</f>
        <v>E-11H</v>
      </c>
      <c r="F278" s="401" t="str">
        <f>'Corrected and Updated TSF 3'!I278</f>
        <v>Studio</v>
      </c>
      <c r="G278" s="633">
        <f>'Corrected and Updated TSF 3'!J278</f>
        <v>22</v>
      </c>
      <c r="H278" s="633">
        <f>'Corrected and Updated TSF 3'!CG278</f>
        <v>4058986.4239486093</v>
      </c>
      <c r="I278" s="633">
        <f>SUM('Corrected and Updated TSF 3'!CI278:CJ278)</f>
        <v>517520.76905344764</v>
      </c>
      <c r="J278" s="633">
        <f>'Corrected and Updated TSF 3'!CH278</f>
        <v>0</v>
      </c>
      <c r="K278" s="633">
        <f>'Corrected and Updated TSF 3'!CK278</f>
        <v>4576507.1930020563</v>
      </c>
      <c r="L278" s="634">
        <f>'Corrected and Updated TSF 3'!CL278</f>
        <v>0.125</v>
      </c>
      <c r="M278" s="633">
        <f>'Corrected and Updated TSF 3'!CM278</f>
        <v>572063.39912525704</v>
      </c>
      <c r="N278" s="633">
        <f>'Corrected and Updated TSF 3'!CN278</f>
        <v>30000</v>
      </c>
      <c r="O278" s="633">
        <f>'Corrected and Updated TSF 3'!CO278</f>
        <v>542063.39912525704</v>
      </c>
      <c r="P278" s="401">
        <f>'Corrected and Updated TSF 3'!CP278</f>
        <v>29</v>
      </c>
      <c r="Q278" s="633">
        <f>'Corrected and Updated TSF 3'!CQ278</f>
        <v>18691.841349146795</v>
      </c>
      <c r="R278" s="633">
        <f>'Corrected and Updated TSF 3'!CS278</f>
        <v>4004443.7938767993</v>
      </c>
      <c r="S278" s="633">
        <f>'Corrected and Updated TSF 3'!CT278</f>
        <v>31046.410111382906</v>
      </c>
      <c r="T278" s="635">
        <f>'Corrected and Updated TSF 3'!CU278</f>
        <v>35993.072909760165</v>
      </c>
      <c r="U278" s="636">
        <f>'Corrected and Updated TSF 3'!CV278</f>
        <v>46494.987902349247</v>
      </c>
      <c r="V278" s="636">
        <f>'Corrected and Updated TSF 3'!CW278</f>
        <v>79292.78660622504</v>
      </c>
      <c r="W278" s="1102">
        <f>'Corrected and Updated TSF 3'!CX278</f>
        <v>325293.69755841757</v>
      </c>
      <c r="X278" s="1102">
        <f>'Corrected and Updated TSF 3'!CY278</f>
        <v>128717.13152728853</v>
      </c>
      <c r="Y278" s="1102">
        <f>'Corrected and Updated TSF 3'!CZ278</f>
        <v>92970.561056378108</v>
      </c>
      <c r="Z278" s="1102">
        <f>'Corrected and Updated TSF 3'!DA278</f>
        <v>70754.877107474531</v>
      </c>
      <c r="AA278" s="821">
        <f>L278-'Corrected and Updated TSF 3'!CL278</f>
        <v>0</v>
      </c>
      <c r="AB278" s="678">
        <f>N278-'Corrected and Updated TSF 3'!CN278</f>
        <v>0</v>
      </c>
      <c r="AC278" s="678">
        <f>Q278-'Corrected and Updated TSF 3'!CQ278</f>
        <v>0</v>
      </c>
      <c r="AD278" s="775"/>
      <c r="AE278" s="775"/>
      <c r="AF278" s="775"/>
      <c r="AG278" s="775"/>
      <c r="AH278" s="677"/>
      <c r="AI278" s="677"/>
      <c r="AJ278" s="677"/>
      <c r="AK278" s="677"/>
    </row>
    <row r="279" spans="1:37" s="119" customFormat="1" ht="12.75" hidden="1" customHeight="1">
      <c r="A279" s="631" t="str">
        <f t="shared" si="4"/>
        <v>E-11I</v>
      </c>
      <c r="B279" s="632" t="str">
        <f>'Corrected and Updated TSF 3'!EP279</f>
        <v>SOLD</v>
      </c>
      <c r="C279" s="973" t="str">
        <f>'Corrected and Updated TSF 3'!E279</f>
        <v>11th Floor</v>
      </c>
      <c r="D279" s="974">
        <f>'INTERNAL PRICELIST'!D279</f>
        <v>0</v>
      </c>
      <c r="E279" s="975" t="str">
        <f>'Corrected and Updated TSF 3'!G279</f>
        <v>E-11I</v>
      </c>
      <c r="F279" s="976" t="str">
        <f>'Corrected and Updated TSF 3'!I279</f>
        <v>Studio</v>
      </c>
      <c r="G279" s="977">
        <f>'Corrected and Updated TSF 3'!J279</f>
        <v>22</v>
      </c>
      <c r="H279" s="977">
        <f>'Corrected and Updated TSF 3'!CG279</f>
        <v>4040261.9507424575</v>
      </c>
      <c r="I279" s="977">
        <f>SUM('Corrected and Updated TSF 3'!CI279:CJ279)</f>
        <v>515133.39871966332</v>
      </c>
      <c r="J279" s="977">
        <f>'Corrected and Updated TSF 3'!CH279</f>
        <v>0</v>
      </c>
      <c r="K279" s="977">
        <f>'Corrected and Updated TSF 3'!CK279</f>
        <v>4555395.3494621208</v>
      </c>
      <c r="L279" s="978">
        <f>'Corrected and Updated TSF 3'!CL279</f>
        <v>0.125</v>
      </c>
      <c r="M279" s="977">
        <f>'Corrected and Updated TSF 3'!CM279</f>
        <v>569424.4186827651</v>
      </c>
      <c r="N279" s="977">
        <f>'Corrected and Updated TSF 3'!CN279</f>
        <v>30000</v>
      </c>
      <c r="O279" s="977">
        <f>'Corrected and Updated TSF 3'!CO279</f>
        <v>539424.4186827651</v>
      </c>
      <c r="P279" s="976">
        <f>'Corrected and Updated TSF 3'!CP279</f>
        <v>29</v>
      </c>
      <c r="Q279" s="977">
        <f>'Corrected and Updated TSF 3'!CQ279</f>
        <v>18600.842023543624</v>
      </c>
      <c r="R279" s="977">
        <f>'Corrected and Updated TSF 3'!CS279</f>
        <v>3985970.9307793556</v>
      </c>
      <c r="S279" s="977">
        <f>'Corrected and Updated TSF 3'!CT279</f>
        <v>30903.190200410096</v>
      </c>
      <c r="T279" s="636">
        <f>'Corrected and Updated TSF 3'!CU279</f>
        <v>35827.033593804474</v>
      </c>
      <c r="U279" s="636">
        <f>'Corrected and Updated TSF 3'!CV279</f>
        <v>46280.502298243446</v>
      </c>
      <c r="V279" s="636">
        <f>'Corrected and Updated TSF 3'!CW279</f>
        <v>78927.001776423844</v>
      </c>
      <c r="W279" s="1102">
        <f>'Corrected and Updated TSF 3'!CX279</f>
        <v>323793.08817275299</v>
      </c>
      <c r="X279" s="1102">
        <f>'Corrected and Updated TSF 3'!CY279</f>
        <v>128123.34770326904</v>
      </c>
      <c r="Y279" s="1102">
        <f>'Corrected and Updated TSF 3'!CZ279</f>
        <v>92541.679410164681</v>
      </c>
      <c r="Z279" s="1102">
        <f>'Corrected and Updated TSF 3'!DA279</f>
        <v>70428.478430014904</v>
      </c>
      <c r="AA279" s="821">
        <f>L279-'Corrected and Updated TSF 3'!CL279</f>
        <v>0</v>
      </c>
      <c r="AB279" s="678">
        <f>N279-'Corrected and Updated TSF 3'!CN279</f>
        <v>0</v>
      </c>
      <c r="AC279" s="678">
        <f>Q279-'Corrected and Updated TSF 3'!CQ279</f>
        <v>0</v>
      </c>
      <c r="AD279" s="775"/>
      <c r="AE279" s="775"/>
      <c r="AF279" s="775"/>
      <c r="AG279" s="775"/>
      <c r="AH279" s="677"/>
      <c r="AI279" s="677"/>
      <c r="AJ279" s="677"/>
      <c r="AK279" s="677"/>
    </row>
    <row r="280" spans="1:37" s="119" customFormat="1" ht="12.75" hidden="1" customHeight="1">
      <c r="A280" s="631" t="str">
        <f t="shared" si="4"/>
        <v>E-11J</v>
      </c>
      <c r="B280" s="632" t="str">
        <f>'Corrected and Updated TSF 3'!EP280</f>
        <v>SOLD</v>
      </c>
      <c r="C280" s="973" t="str">
        <f>'Corrected and Updated TSF 3'!E280</f>
        <v>11th Floor</v>
      </c>
      <c r="D280" s="974">
        <f>'INTERNAL PRICELIST'!D280</f>
        <v>0</v>
      </c>
      <c r="E280" s="975" t="str">
        <f>'Corrected and Updated TSF 3'!G280</f>
        <v>E-11J</v>
      </c>
      <c r="F280" s="976" t="str">
        <f>'Corrected and Updated TSF 3'!I280</f>
        <v>Studio</v>
      </c>
      <c r="G280" s="977">
        <f>'Corrected and Updated TSF 3'!J280</f>
        <v>22</v>
      </c>
      <c r="H280" s="977">
        <f>'Corrected and Updated TSF 3'!CG280</f>
        <v>4040261.9507424575</v>
      </c>
      <c r="I280" s="977">
        <f>SUM('Corrected and Updated TSF 3'!CI280:CJ280)</f>
        <v>515133.39871966332</v>
      </c>
      <c r="J280" s="977">
        <f>'Corrected and Updated TSF 3'!CH280</f>
        <v>0</v>
      </c>
      <c r="K280" s="977">
        <f>'Corrected and Updated TSF 3'!CK280</f>
        <v>4555395.3494621208</v>
      </c>
      <c r="L280" s="978">
        <f>'Corrected and Updated TSF 3'!CL280</f>
        <v>0.125</v>
      </c>
      <c r="M280" s="977">
        <f>'Corrected and Updated TSF 3'!CM280</f>
        <v>569424.4186827651</v>
      </c>
      <c r="N280" s="977">
        <f>'Corrected and Updated TSF 3'!CN280</f>
        <v>30000</v>
      </c>
      <c r="O280" s="977">
        <f>'Corrected and Updated TSF 3'!CO280</f>
        <v>539424.4186827651</v>
      </c>
      <c r="P280" s="976">
        <f>'Corrected and Updated TSF 3'!CP280</f>
        <v>29</v>
      </c>
      <c r="Q280" s="977">
        <f>'Corrected and Updated TSF 3'!CQ280</f>
        <v>18600.842023543624</v>
      </c>
      <c r="R280" s="977">
        <f>'Corrected and Updated TSF 3'!CS280</f>
        <v>3985970.9307793556</v>
      </c>
      <c r="S280" s="977">
        <f>'Corrected and Updated TSF 3'!CT280</f>
        <v>30903.190200410096</v>
      </c>
      <c r="T280" s="636">
        <f>'Corrected and Updated TSF 3'!CU280</f>
        <v>35827.033593804474</v>
      </c>
      <c r="U280" s="636">
        <f>'Corrected and Updated TSF 3'!CV280</f>
        <v>46280.502298243446</v>
      </c>
      <c r="V280" s="636">
        <f>'Corrected and Updated TSF 3'!CW280</f>
        <v>78927.001776423844</v>
      </c>
      <c r="W280" s="1102">
        <f>'Corrected and Updated TSF 3'!CX280</f>
        <v>323793.08817275299</v>
      </c>
      <c r="X280" s="1102">
        <f>'Corrected and Updated TSF 3'!CY280</f>
        <v>128123.34770326904</v>
      </c>
      <c r="Y280" s="1102">
        <f>'Corrected and Updated TSF 3'!CZ280</f>
        <v>92541.679410164681</v>
      </c>
      <c r="Z280" s="1102">
        <f>'Corrected and Updated TSF 3'!DA280</f>
        <v>70428.478430014904</v>
      </c>
      <c r="AA280" s="821">
        <f>L280-'Corrected and Updated TSF 3'!CL280</f>
        <v>0</v>
      </c>
      <c r="AB280" s="678">
        <f>N280-'Corrected and Updated TSF 3'!CN280</f>
        <v>0</v>
      </c>
      <c r="AC280" s="678">
        <f>Q280-'Corrected and Updated TSF 3'!CQ280</f>
        <v>0</v>
      </c>
      <c r="AD280" s="775"/>
      <c r="AE280" s="775"/>
      <c r="AF280" s="775"/>
      <c r="AG280" s="775"/>
      <c r="AH280" s="677"/>
      <c r="AI280" s="677"/>
      <c r="AJ280" s="677"/>
      <c r="AK280" s="677"/>
    </row>
    <row r="281" spans="1:37" s="119" customFormat="1">
      <c r="A281" s="631" t="str">
        <f t="shared" si="4"/>
        <v>E-11K</v>
      </c>
      <c r="B281" s="632" t="str">
        <f>'Corrected and Updated TSF 3'!EP281</f>
        <v>UNSOLD</v>
      </c>
      <c r="C281" s="973" t="str">
        <f>'Corrected and Updated TSF 3'!E281</f>
        <v>11th Floor</v>
      </c>
      <c r="D281" s="974">
        <f>'INTERNAL PRICELIST'!D281</f>
        <v>0</v>
      </c>
      <c r="E281" s="975" t="str">
        <f>'Corrected and Updated TSF 3'!G281</f>
        <v>E-11K</v>
      </c>
      <c r="F281" s="976" t="str">
        <f>'Corrected and Updated TSF 3'!I281</f>
        <v>Studio</v>
      </c>
      <c r="G281" s="977">
        <f>'Corrected and Updated TSF 3'!J281</f>
        <v>22</v>
      </c>
      <c r="H281" s="977">
        <f>'Corrected and Updated TSF 3'!CG281</f>
        <v>4123028.1810342241</v>
      </c>
      <c r="I281" s="977">
        <f>SUM('Corrected and Updated TSF 3'!CI281:CJ281)</f>
        <v>525686.0930818636</v>
      </c>
      <c r="J281" s="977">
        <f>'Corrected and Updated TSF 3'!CH281</f>
        <v>0</v>
      </c>
      <c r="K281" s="977">
        <f>'Corrected and Updated TSF 3'!CK281</f>
        <v>4648714.2741160877</v>
      </c>
      <c r="L281" s="978">
        <f>'Corrected and Updated TSF 3'!CL281</f>
        <v>0.125</v>
      </c>
      <c r="M281" s="977">
        <f>'Corrected and Updated TSF 3'!CM281</f>
        <v>581089.28426451096</v>
      </c>
      <c r="N281" s="977">
        <f>'Corrected and Updated TSF 3'!CN281</f>
        <v>30000</v>
      </c>
      <c r="O281" s="977">
        <f>'Corrected and Updated TSF 3'!CO281</f>
        <v>551089.28426451096</v>
      </c>
      <c r="P281" s="976">
        <f>'Corrected and Updated TSF 3'!CP281</f>
        <v>29</v>
      </c>
      <c r="Q281" s="977">
        <f>'Corrected and Updated TSF 3'!CQ281</f>
        <v>19003.078767741757</v>
      </c>
      <c r="R281" s="977">
        <f>'Corrected and Updated TSF 3'!CS281</f>
        <v>4067624.9898515767</v>
      </c>
      <c r="S281" s="977">
        <f>'Corrected and Updated TSF 3'!CT281</f>
        <v>31536.253251286631</v>
      </c>
      <c r="T281" s="636">
        <f>'Corrected and Updated TSF 3'!CU281</f>
        <v>36560.963361044138</v>
      </c>
      <c r="U281" s="636">
        <f>'Corrected and Updated TSF 3'!CV281</f>
        <v>47228.57516033377</v>
      </c>
      <c r="V281" s="636">
        <f>'Corrected and Updated TSF 3'!CW281</f>
        <v>80543.850011738337</v>
      </c>
      <c r="W281" s="1102">
        <f>'Corrected and Updated TSF 3'!CX281</f>
        <v>330426.10692978278</v>
      </c>
      <c r="X281" s="1102">
        <f>'Corrected and Updated TSF 3'!CY281</f>
        <v>130748.00091413627</v>
      </c>
      <c r="Y281" s="1102">
        <f>'Corrected and Updated TSF 3'!CZ281</f>
        <v>94437.429250899891</v>
      </c>
      <c r="Z281" s="1102">
        <f>'Corrected and Updated TSF 3'!DA281</f>
        <v>71871.231334629454</v>
      </c>
      <c r="AA281" s="821">
        <f>L281-'Corrected and Updated TSF 3'!CL281</f>
        <v>0</v>
      </c>
      <c r="AB281" s="678">
        <f>N281-'Corrected and Updated TSF 3'!CN281</f>
        <v>0</v>
      </c>
      <c r="AC281" s="678">
        <f>Q281-'Corrected and Updated TSF 3'!CQ281</f>
        <v>0</v>
      </c>
      <c r="AD281" s="775"/>
      <c r="AE281" s="775"/>
      <c r="AF281" s="775"/>
      <c r="AG281" s="775"/>
      <c r="AH281" s="677"/>
      <c r="AI281" s="677"/>
      <c r="AJ281" s="677"/>
      <c r="AK281" s="677"/>
    </row>
    <row r="282" spans="1:37" s="119" customFormat="1" ht="12.75" customHeight="1">
      <c r="A282" s="631" t="str">
        <f t="shared" si="4"/>
        <v>E-11L</v>
      </c>
      <c r="B282" s="632" t="str">
        <f>'Corrected and Updated TSF 3'!EP282</f>
        <v>UNSOLD</v>
      </c>
      <c r="C282" s="973" t="str">
        <f>'Corrected and Updated TSF 3'!E282</f>
        <v>11th Floor</v>
      </c>
      <c r="D282" s="974">
        <f>'INTERNAL PRICELIST'!D282</f>
        <v>0</v>
      </c>
      <c r="E282" s="975" t="str">
        <f>'Corrected and Updated TSF 3'!G282</f>
        <v>E-11L</v>
      </c>
      <c r="F282" s="976" t="str">
        <f>'Corrected and Updated TSF 3'!I282</f>
        <v>Studio</v>
      </c>
      <c r="G282" s="977">
        <f>'Corrected and Updated TSF 3'!J282</f>
        <v>22</v>
      </c>
      <c r="H282" s="977">
        <f>'Corrected and Updated TSF 3'!CG282</f>
        <v>4014876.6391987116</v>
      </c>
      <c r="I282" s="977">
        <f>SUM('Corrected and Updated TSF 3'!CI282:CJ282)</f>
        <v>511896.7714978357</v>
      </c>
      <c r="J282" s="977">
        <f>'Corrected and Updated TSF 3'!CH282</f>
        <v>0</v>
      </c>
      <c r="K282" s="977">
        <f>'Corrected and Updated TSF 3'!CK282</f>
        <v>4526773.4106965465</v>
      </c>
      <c r="L282" s="978">
        <f>'Corrected and Updated TSF 3'!CL282</f>
        <v>0.125</v>
      </c>
      <c r="M282" s="977">
        <f>'Corrected and Updated TSF 3'!CM282</f>
        <v>565846.67633706832</v>
      </c>
      <c r="N282" s="977">
        <f>'Corrected and Updated TSF 3'!CN282</f>
        <v>30000</v>
      </c>
      <c r="O282" s="977">
        <f>'Corrected and Updated TSF 3'!CO282</f>
        <v>535846.67633706832</v>
      </c>
      <c r="P282" s="976">
        <f>'Corrected and Updated TSF 3'!CP282</f>
        <v>29</v>
      </c>
      <c r="Q282" s="977">
        <f>'Corrected and Updated TSF 3'!CQ282</f>
        <v>18477.471597829943</v>
      </c>
      <c r="R282" s="977">
        <f>'Corrected and Updated TSF 3'!CS282</f>
        <v>3960926.7343594781</v>
      </c>
      <c r="S282" s="977">
        <f>'Corrected and Updated TSF 3'!CT282</f>
        <v>30709.022812132484</v>
      </c>
      <c r="T282" s="636">
        <f>'Corrected and Updated TSF 3'!CU282</f>
        <v>35601.9292761748</v>
      </c>
      <c r="U282" s="636">
        <f>'Corrected and Updated TSF 3'!CV282</f>
        <v>45989.717942286996</v>
      </c>
      <c r="V282" s="636">
        <f>'Corrected and Updated TSF 3'!CW282</f>
        <v>78431.096670830346</v>
      </c>
      <c r="W282" s="1102">
        <f>'Corrected and Updated TSF 3'!CX282</f>
        <v>321758.66849423025</v>
      </c>
      <c r="X282" s="1102">
        <f>'Corrected and Updated TSF 3'!CY282</f>
        <v>127318.33774670483</v>
      </c>
      <c r="Y282" s="1102">
        <f>'Corrected and Updated TSF 3'!CZ282</f>
        <v>91960.23212005102</v>
      </c>
      <c r="Z282" s="1102">
        <f>'Corrected and Updated TSF 3'!DA282</f>
        <v>69985.970273787694</v>
      </c>
      <c r="AA282" s="821">
        <f>L282-'Corrected and Updated TSF 3'!CL282</f>
        <v>0</v>
      </c>
      <c r="AB282" s="678">
        <f>N282-'Corrected and Updated TSF 3'!CN282</f>
        <v>0</v>
      </c>
      <c r="AC282" s="678">
        <f>Q282-'Corrected and Updated TSF 3'!CQ282</f>
        <v>0</v>
      </c>
      <c r="AD282" s="775"/>
      <c r="AE282" s="775"/>
      <c r="AF282" s="775"/>
      <c r="AG282" s="775"/>
      <c r="AH282" s="677"/>
      <c r="AI282" s="677"/>
      <c r="AJ282" s="677"/>
      <c r="AK282" s="677"/>
    </row>
    <row r="283" spans="1:37" s="119" customFormat="1" ht="12.75" hidden="1" customHeight="1">
      <c r="A283" s="631" t="str">
        <f t="shared" si="4"/>
        <v>E-11M</v>
      </c>
      <c r="B283" s="632" t="str">
        <f>'Corrected and Updated TSF 3'!EP283</f>
        <v>SOLD</v>
      </c>
      <c r="C283" s="973" t="str">
        <f>'Corrected and Updated TSF 3'!E283</f>
        <v>11th Floor</v>
      </c>
      <c r="D283" s="974">
        <f>'INTERNAL PRICELIST'!D283</f>
        <v>0</v>
      </c>
      <c r="E283" s="975" t="str">
        <f>'Corrected and Updated TSF 3'!G283</f>
        <v>E-11M</v>
      </c>
      <c r="F283" s="976" t="str">
        <f>'Corrected and Updated TSF 3'!I283</f>
        <v>Studio</v>
      </c>
      <c r="G283" s="977">
        <f>'Corrected and Updated TSF 3'!J283</f>
        <v>22</v>
      </c>
      <c r="H283" s="977">
        <f>'Corrected and Updated TSF 3'!CG283</f>
        <v>3945707.9672757504</v>
      </c>
      <c r="I283" s="977">
        <f>SUM('Corrected and Updated TSF 3'!CI283:CJ283)</f>
        <v>503077.76582765818</v>
      </c>
      <c r="J283" s="977">
        <f>'Corrected and Updated TSF 3'!CH283</f>
        <v>0</v>
      </c>
      <c r="K283" s="977">
        <f>'Corrected and Updated TSF 3'!CK283</f>
        <v>4448785.7331034085</v>
      </c>
      <c r="L283" s="978">
        <f>'Corrected and Updated TSF 3'!CL283</f>
        <v>0.125</v>
      </c>
      <c r="M283" s="977">
        <f>'Corrected and Updated TSF 3'!CM283</f>
        <v>556098.21663792606</v>
      </c>
      <c r="N283" s="977">
        <f>'Corrected and Updated TSF 3'!CN283</f>
        <v>30000</v>
      </c>
      <c r="O283" s="977">
        <f>'Corrected and Updated TSF 3'!CO283</f>
        <v>526098.21663792606</v>
      </c>
      <c r="P283" s="976">
        <f>'Corrected and Updated TSF 3'!CP283</f>
        <v>29</v>
      </c>
      <c r="Q283" s="977">
        <f>'Corrected and Updated TSF 3'!CQ283</f>
        <v>18141.317815100898</v>
      </c>
      <c r="R283" s="977">
        <f>'Corrected and Updated TSF 3'!CS283</f>
        <v>3892687.5164654823</v>
      </c>
      <c r="S283" s="977">
        <f>'Corrected and Updated TSF 3'!CT283</f>
        <v>30179.964882125685</v>
      </c>
      <c r="T283" s="636">
        <f>'Corrected and Updated TSF 3'!CU283</f>
        <v>34988.575893934983</v>
      </c>
      <c r="U283" s="636">
        <f>'Corrected and Updated TSF 3'!CV283</f>
        <v>45197.402761012978</v>
      </c>
      <c r="V283" s="636">
        <f>'Corrected and Updated TSF 3'!CW283</f>
        <v>77079.878369073165</v>
      </c>
      <c r="W283" s="1102">
        <f>'Corrected and Updated TSF 3'!CX283</f>
        <v>316215.37992537208</v>
      </c>
      <c r="X283" s="1102">
        <f>'Corrected and Updated TSF 3'!CY283</f>
        <v>125124.88546291657</v>
      </c>
      <c r="Y283" s="1102">
        <f>'Corrected and Updated TSF 3'!CZ283</f>
        <v>90375.93260176231</v>
      </c>
      <c r="Z283" s="1102">
        <f>'Corrected and Updated TSF 3'!DA283</f>
        <v>68780.245402987232</v>
      </c>
      <c r="AA283" s="821">
        <f>L283-'Corrected and Updated TSF 3'!CL283</f>
        <v>0</v>
      </c>
      <c r="AB283" s="678">
        <f>N283-'Corrected and Updated TSF 3'!CN283</f>
        <v>0</v>
      </c>
      <c r="AC283" s="678">
        <f>Q283-'Corrected and Updated TSF 3'!CQ283</f>
        <v>0</v>
      </c>
      <c r="AD283" s="775"/>
      <c r="AE283" s="775"/>
      <c r="AF283" s="775"/>
      <c r="AG283" s="775"/>
      <c r="AH283" s="677"/>
      <c r="AI283" s="677"/>
      <c r="AJ283" s="677"/>
      <c r="AK283" s="677"/>
    </row>
    <row r="284" spans="1:37" s="119" customFormat="1" ht="12.75" hidden="1" customHeight="1">
      <c r="A284" s="631" t="str">
        <f t="shared" si="4"/>
        <v>E-11N</v>
      </c>
      <c r="B284" s="632" t="str">
        <f>'Corrected and Updated TSF 3'!EP284</f>
        <v>SOLD</v>
      </c>
      <c r="C284" s="973" t="str">
        <f>'Corrected and Updated TSF 3'!E284</f>
        <v>11th Floor</v>
      </c>
      <c r="D284" s="974">
        <f>'INTERNAL PRICELIST'!D284</f>
        <v>0</v>
      </c>
      <c r="E284" s="975" t="str">
        <f>'Corrected and Updated TSF 3'!G284</f>
        <v>E-11N</v>
      </c>
      <c r="F284" s="976" t="str">
        <f>'Corrected and Updated TSF 3'!I284</f>
        <v>Studio</v>
      </c>
      <c r="G284" s="977">
        <f>'Corrected and Updated TSF 3'!J284</f>
        <v>22</v>
      </c>
      <c r="H284" s="977">
        <f>'Corrected and Updated TSF 3'!CG284</f>
        <v>3945707.9672757504</v>
      </c>
      <c r="I284" s="977">
        <f>SUM('Corrected and Updated TSF 3'!CI284:CJ284)</f>
        <v>503077.76582765818</v>
      </c>
      <c r="J284" s="977">
        <f>'Corrected and Updated TSF 3'!CH284</f>
        <v>0</v>
      </c>
      <c r="K284" s="977">
        <f>'Corrected and Updated TSF 3'!CK284</f>
        <v>4448785.7331034085</v>
      </c>
      <c r="L284" s="978">
        <f>'Corrected and Updated TSF 3'!CL284</f>
        <v>0.125</v>
      </c>
      <c r="M284" s="977">
        <f>'Corrected and Updated TSF 3'!CM284</f>
        <v>556098.21663792606</v>
      </c>
      <c r="N284" s="977">
        <f>'Corrected and Updated TSF 3'!CN284</f>
        <v>30000</v>
      </c>
      <c r="O284" s="977">
        <f>'Corrected and Updated TSF 3'!CO284</f>
        <v>526098.21663792606</v>
      </c>
      <c r="P284" s="976">
        <f>'Corrected and Updated TSF 3'!CP284</f>
        <v>29</v>
      </c>
      <c r="Q284" s="977">
        <f>'Corrected and Updated TSF 3'!CQ284</f>
        <v>18141.317815100898</v>
      </c>
      <c r="R284" s="977">
        <f>'Corrected and Updated TSF 3'!CS284</f>
        <v>3892687.5164654823</v>
      </c>
      <c r="S284" s="977">
        <f>'Corrected and Updated TSF 3'!CT284</f>
        <v>30179.964882125685</v>
      </c>
      <c r="T284" s="636">
        <f>'Corrected and Updated TSF 3'!CU284</f>
        <v>34988.575893934983</v>
      </c>
      <c r="U284" s="636">
        <f>'Corrected and Updated TSF 3'!CV284</f>
        <v>45197.402761012978</v>
      </c>
      <c r="V284" s="636">
        <f>'Corrected and Updated TSF 3'!CW284</f>
        <v>77079.878369073165</v>
      </c>
      <c r="W284" s="1102">
        <f>'Corrected and Updated TSF 3'!CX284</f>
        <v>316215.37992537208</v>
      </c>
      <c r="X284" s="1102">
        <f>'Corrected and Updated TSF 3'!CY284</f>
        <v>125124.88546291657</v>
      </c>
      <c r="Y284" s="1102">
        <f>'Corrected and Updated TSF 3'!CZ284</f>
        <v>90375.93260176231</v>
      </c>
      <c r="Z284" s="1102">
        <f>'Corrected and Updated TSF 3'!DA284</f>
        <v>68780.245402987232</v>
      </c>
      <c r="AA284" s="821">
        <f>L284-'Corrected and Updated TSF 3'!CL284</f>
        <v>0</v>
      </c>
      <c r="AB284" s="678">
        <f>N284-'Corrected and Updated TSF 3'!CN284</f>
        <v>0</v>
      </c>
      <c r="AC284" s="678">
        <f>Q284-'Corrected and Updated TSF 3'!CQ284</f>
        <v>0</v>
      </c>
      <c r="AD284" s="775"/>
      <c r="AE284" s="775"/>
      <c r="AF284" s="775"/>
      <c r="AG284" s="775"/>
      <c r="AH284" s="677"/>
      <c r="AI284" s="677"/>
      <c r="AJ284" s="677"/>
      <c r="AK284" s="677"/>
    </row>
    <row r="285" spans="1:37" s="119" customFormat="1" ht="12.75" hidden="1" customHeight="1">
      <c r="A285" s="631" t="str">
        <f t="shared" si="4"/>
        <v>E-11O</v>
      </c>
      <c r="B285" s="632" t="str">
        <f>'Corrected and Updated TSF 3'!EP285</f>
        <v>SOLD</v>
      </c>
      <c r="C285" s="973" t="str">
        <f>'Corrected and Updated TSF 3'!E285</f>
        <v>11th Floor</v>
      </c>
      <c r="D285" s="974">
        <f>'INTERNAL PRICELIST'!D285</f>
        <v>0</v>
      </c>
      <c r="E285" s="975" t="str">
        <f>'Corrected and Updated TSF 3'!G285</f>
        <v>E-11O</v>
      </c>
      <c r="F285" s="976" t="str">
        <f>'Corrected and Updated TSF 3'!I285</f>
        <v>Studio</v>
      </c>
      <c r="G285" s="977">
        <f>'Corrected and Updated TSF 3'!J285</f>
        <v>22</v>
      </c>
      <c r="H285" s="977">
        <f>'Corrected and Updated TSF 3'!CG285</f>
        <v>3987225.5606624335</v>
      </c>
      <c r="I285" s="977">
        <f>SUM('Corrected and Updated TSF 3'!CI285:CJ285)</f>
        <v>508371.25898446026</v>
      </c>
      <c r="J285" s="977">
        <f>'Corrected and Updated TSF 3'!CH285</f>
        <v>0</v>
      </c>
      <c r="K285" s="977">
        <f>'Corrected and Updated TSF 3'!CK285</f>
        <v>4495596.819646894</v>
      </c>
      <c r="L285" s="978">
        <f>'Corrected and Updated TSF 3'!CL285</f>
        <v>0.125</v>
      </c>
      <c r="M285" s="977">
        <f>'Corrected and Updated TSF 3'!CM285</f>
        <v>561949.60245586175</v>
      </c>
      <c r="N285" s="977">
        <f>'Corrected and Updated TSF 3'!CN285</f>
        <v>30000</v>
      </c>
      <c r="O285" s="977">
        <f>'Corrected and Updated TSF 3'!CO285</f>
        <v>531949.60245586175</v>
      </c>
      <c r="P285" s="976">
        <f>'Corrected and Updated TSF 3'!CP285</f>
        <v>29</v>
      </c>
      <c r="Q285" s="977">
        <f>'Corrected and Updated TSF 3'!CQ285</f>
        <v>18343.089739857303</v>
      </c>
      <c r="R285" s="977">
        <f>'Corrected and Updated TSF 3'!CS285</f>
        <v>3933647.2171910321</v>
      </c>
      <c r="S285" s="977">
        <f>'Corrected and Updated TSF 3'!CT285</f>
        <v>30497.525005883555</v>
      </c>
      <c r="T285" s="636">
        <f>'Corrected and Updated TSF 3'!CU285</f>
        <v>35356.733263712769</v>
      </c>
      <c r="U285" s="636">
        <f>'Corrected and Updated TSF 3'!CV285</f>
        <v>45672.97961706233</v>
      </c>
      <c r="V285" s="636">
        <f>'Corrected and Updated TSF 3'!CW285</f>
        <v>77890.929535293079</v>
      </c>
      <c r="W285" s="1102">
        <f>'Corrected and Updated TSF 3'!CX285</f>
        <v>319542.66660630231</v>
      </c>
      <c r="X285" s="1102">
        <f>'Corrected and Updated TSF 3'!CY285</f>
        <v>126441.47659441672</v>
      </c>
      <c r="Y285" s="1102">
        <f>'Corrected and Updated TSF 3'!CZ285</f>
        <v>91326.887728908448</v>
      </c>
      <c r="Z285" s="1102">
        <f>'Corrected and Updated TSF 3'!DA285</f>
        <v>69503.966034458368</v>
      </c>
      <c r="AA285" s="821">
        <f>L285-'Corrected and Updated TSF 3'!CL285</f>
        <v>0</v>
      </c>
      <c r="AB285" s="678">
        <f>N285-'Corrected and Updated TSF 3'!CN285</f>
        <v>0</v>
      </c>
      <c r="AC285" s="678">
        <f>Q285-'Corrected and Updated TSF 3'!CQ285</f>
        <v>0</v>
      </c>
      <c r="AD285" s="775"/>
      <c r="AE285" s="775"/>
      <c r="AF285" s="775"/>
      <c r="AG285" s="775"/>
      <c r="AH285" s="677"/>
      <c r="AI285" s="677"/>
      <c r="AJ285" s="677"/>
      <c r="AK285" s="677"/>
    </row>
    <row r="286" spans="1:37" s="119" customFormat="1" hidden="1">
      <c r="A286" s="631" t="str">
        <f t="shared" si="4"/>
        <v>W-12A</v>
      </c>
      <c r="B286" s="632" t="str">
        <f>'Corrected and Updated TSF 3'!EP286</f>
        <v>SOLD</v>
      </c>
      <c r="C286" s="820" t="str">
        <f>'Corrected and Updated TSF 3'!E286</f>
        <v>12th Floor</v>
      </c>
      <c r="D286" s="628">
        <f>'INTERNAL PRICELIST'!D286</f>
        <v>0</v>
      </c>
      <c r="E286" s="596" t="str">
        <f>'Corrected and Updated TSF 3'!G286</f>
        <v>W-12A</v>
      </c>
      <c r="F286" s="401" t="str">
        <f>'Corrected and Updated TSF 3'!I286</f>
        <v>Studio</v>
      </c>
      <c r="G286" s="633">
        <f>'Corrected and Updated TSF 3'!J286</f>
        <v>22</v>
      </c>
      <c r="H286" s="633">
        <f>'Corrected and Updated TSF 3'!CG286</f>
        <v>4073445.2174576242</v>
      </c>
      <c r="I286" s="633">
        <f>SUM('Corrected and Updated TSF 3'!CI286:CJ286)</f>
        <v>519364.26522584702</v>
      </c>
      <c r="J286" s="633">
        <f>'Corrected and Updated TSF 3'!CH286</f>
        <v>0</v>
      </c>
      <c r="K286" s="633">
        <f>'Corrected and Updated TSF 3'!CK286</f>
        <v>4592809.4826834714</v>
      </c>
      <c r="L286" s="634">
        <f>'Corrected and Updated TSF 3'!CL286</f>
        <v>0.125</v>
      </c>
      <c r="M286" s="633">
        <f>'Corrected and Updated TSF 3'!CM286</f>
        <v>574101.18533543393</v>
      </c>
      <c r="N286" s="633">
        <f>'Corrected and Updated TSF 3'!CN286</f>
        <v>30000</v>
      </c>
      <c r="O286" s="633">
        <f>'Corrected and Updated TSF 3'!CO286</f>
        <v>544101.18533543393</v>
      </c>
      <c r="P286" s="401">
        <f>'Corrected and Updated TSF 3'!CP286</f>
        <v>30</v>
      </c>
      <c r="Q286" s="633">
        <f>'Corrected and Updated TSF 3'!CQ286</f>
        <v>18136.706177847798</v>
      </c>
      <c r="R286" s="633">
        <f>'Corrected and Updated TSF 3'!CS286</f>
        <v>4018708.2973480374</v>
      </c>
      <c r="S286" s="633">
        <f>'Corrected and Updated TSF 3'!CT286</f>
        <v>31157.002654966735</v>
      </c>
      <c r="T286" s="635">
        <f>'Corrected and Updated TSF 3'!CU286</f>
        <v>36121.286299656378</v>
      </c>
      <c r="U286" s="636">
        <f>'Corrected and Updated TSF 3'!CV286</f>
        <v>46660.610882834662</v>
      </c>
      <c r="V286" s="636">
        <f>'Corrected and Updated TSF 3'!CW286</f>
        <v>79575.240871538525</v>
      </c>
      <c r="W286" s="1102">
        <f>'Corrected and Updated TSF 3'!CX286</f>
        <v>326452.44851531438</v>
      </c>
      <c r="X286" s="1102">
        <f>'Corrected and Updated TSF 3'!CY286</f>
        <v>129175.64363633259</v>
      </c>
      <c r="Y286" s="1102">
        <f>'Corrected and Updated TSF 3'!CZ286</f>
        <v>93301.737858744411</v>
      </c>
      <c r="Z286" s="1102">
        <f>'Corrected and Updated TSF 3'!DA286</f>
        <v>71006.917900667817</v>
      </c>
      <c r="AA286" s="821">
        <f>L286-'Corrected and Updated TSF 3'!CL286</f>
        <v>0</v>
      </c>
      <c r="AB286" s="678">
        <f>N286-'Corrected and Updated TSF 3'!CN286</f>
        <v>0</v>
      </c>
      <c r="AC286" s="678">
        <f>Q286-'Corrected and Updated TSF 3'!CQ286</f>
        <v>0</v>
      </c>
      <c r="AD286" s="775"/>
      <c r="AE286" s="775"/>
      <c r="AF286" s="775"/>
      <c r="AG286" s="775"/>
      <c r="AH286" s="677"/>
      <c r="AI286" s="677"/>
      <c r="AJ286" s="677"/>
      <c r="AK286" s="677"/>
    </row>
    <row r="287" spans="1:37" s="119" customFormat="1" ht="12.75" hidden="1" customHeight="1">
      <c r="A287" s="631" t="str">
        <f t="shared" si="4"/>
        <v>W-12B</v>
      </c>
      <c r="B287" s="632" t="str">
        <f>'Corrected and Updated TSF 3'!EP287</f>
        <v>SOLD</v>
      </c>
      <c r="C287" s="973" t="str">
        <f>'Corrected and Updated TSF 3'!E287</f>
        <v>12th Floor</v>
      </c>
      <c r="D287" s="974">
        <f>'INTERNAL PRICELIST'!D287</f>
        <v>0</v>
      </c>
      <c r="E287" s="975" t="str">
        <f>'Corrected and Updated TSF 3'!G287</f>
        <v>W-12B</v>
      </c>
      <c r="F287" s="976" t="str">
        <f>'Corrected and Updated TSF 3'!I287</f>
        <v>Studio</v>
      </c>
      <c r="G287" s="977">
        <f>'Corrected and Updated TSF 3'!J287</f>
        <v>22</v>
      </c>
      <c r="H287" s="977">
        <f>'Corrected and Updated TSF 3'!CG287</f>
        <v>3978891.2339909161</v>
      </c>
      <c r="I287" s="977">
        <f>SUM('Corrected and Updated TSF 3'!CI287:CJ287)</f>
        <v>507308.63233384176</v>
      </c>
      <c r="J287" s="977">
        <f>'Corrected and Updated TSF 3'!CH287</f>
        <v>0</v>
      </c>
      <c r="K287" s="977">
        <f>'Corrected and Updated TSF 3'!CK287</f>
        <v>4486199.8663247572</v>
      </c>
      <c r="L287" s="978">
        <f>'Corrected and Updated TSF 3'!CL287</f>
        <v>0.125</v>
      </c>
      <c r="M287" s="977">
        <f>'Corrected and Updated TSF 3'!CM287</f>
        <v>560774.98329059465</v>
      </c>
      <c r="N287" s="977">
        <f>'Corrected and Updated TSF 3'!CN287</f>
        <v>30000</v>
      </c>
      <c r="O287" s="977">
        <f>'Corrected and Updated TSF 3'!CO287</f>
        <v>530774.98329059465</v>
      </c>
      <c r="P287" s="976">
        <f>'Corrected and Updated TSF 3'!CP287</f>
        <v>30</v>
      </c>
      <c r="Q287" s="977">
        <f>'Corrected and Updated TSF 3'!CQ287</f>
        <v>17692.49944301982</v>
      </c>
      <c r="R287" s="977">
        <f>'Corrected and Updated TSF 3'!CS287</f>
        <v>3925424.8830341627</v>
      </c>
      <c r="S287" s="977">
        <f>'Corrected and Updated TSF 3'!CT287</f>
        <v>30433.777336682313</v>
      </c>
      <c r="T287" s="636">
        <f>'Corrected and Updated TSF 3'!CU287</f>
        <v>35282.828599786866</v>
      </c>
      <c r="U287" s="636">
        <f>'Corrected and Updated TSF 3'!CV287</f>
        <v>45577.511345604187</v>
      </c>
      <c r="V287" s="636">
        <f>'Corrected and Updated TSF 3'!CW287</f>
        <v>77728.117464187817</v>
      </c>
      <c r="W287" s="1102">
        <f>'Corrected and Updated TSF 3'!CX287</f>
        <v>318874.74026793323</v>
      </c>
      <c r="X287" s="1102">
        <f>'Corrected and Updated TSF 3'!CY287</f>
        <v>126177.18139598006</v>
      </c>
      <c r="Y287" s="1102">
        <f>'Corrected and Updated TSF 3'!CZ287</f>
        <v>91135.991050341981</v>
      </c>
      <c r="Z287" s="1102">
        <f>'Corrected and Updated TSF 3'!DA287</f>
        <v>69358.684873640115</v>
      </c>
      <c r="AA287" s="821">
        <f>L287-'Corrected and Updated TSF 3'!CL287</f>
        <v>0</v>
      </c>
      <c r="AB287" s="678">
        <f>N287-'Corrected and Updated TSF 3'!CN287</f>
        <v>0</v>
      </c>
      <c r="AC287" s="678">
        <f>Q287-'Corrected and Updated TSF 3'!CQ287</f>
        <v>0</v>
      </c>
      <c r="AD287" s="775"/>
      <c r="AE287" s="775"/>
      <c r="AF287" s="775"/>
      <c r="AG287" s="775"/>
      <c r="AH287" s="677"/>
      <c r="AI287" s="677"/>
      <c r="AJ287" s="677"/>
      <c r="AK287" s="677"/>
    </row>
    <row r="288" spans="1:37" s="521" customFormat="1" hidden="1">
      <c r="A288" s="631" t="str">
        <f t="shared" si="4"/>
        <v>W-12C</v>
      </c>
      <c r="B288" s="632" t="str">
        <f>'Corrected and Updated TSF 3'!EP288</f>
        <v>SOLD</v>
      </c>
      <c r="C288" s="973" t="str">
        <f>'Corrected and Updated TSF 3'!E288</f>
        <v>12th Floor</v>
      </c>
      <c r="D288" s="974">
        <f>'INTERNAL PRICELIST'!D288</f>
        <v>0</v>
      </c>
      <c r="E288" s="975" t="str">
        <f>'Corrected and Updated TSF 3'!G288</f>
        <v>W-12C</v>
      </c>
      <c r="F288" s="976" t="str">
        <f>'Corrected and Updated TSF 3'!I288</f>
        <v>Studio</v>
      </c>
      <c r="G288" s="977">
        <f>'Corrected and Updated TSF 3'!J288</f>
        <v>22</v>
      </c>
      <c r="H288" s="977">
        <f>'Corrected and Updated TSF 3'!CG288</f>
        <v>3978891.2339909161</v>
      </c>
      <c r="I288" s="977">
        <f>SUM('Corrected and Updated TSF 3'!CI288:CJ288)</f>
        <v>507308.63233384176</v>
      </c>
      <c r="J288" s="977">
        <f>'Corrected and Updated TSF 3'!CH288</f>
        <v>0</v>
      </c>
      <c r="K288" s="977">
        <f>'Corrected and Updated TSF 3'!CK288</f>
        <v>4486199.8663247572</v>
      </c>
      <c r="L288" s="978">
        <f>'Corrected and Updated TSF 3'!CL288</f>
        <v>0.125</v>
      </c>
      <c r="M288" s="977">
        <f>'Corrected and Updated TSF 3'!CM288</f>
        <v>560774.98329059465</v>
      </c>
      <c r="N288" s="977">
        <f>'Corrected and Updated TSF 3'!CN288</f>
        <v>30000</v>
      </c>
      <c r="O288" s="977">
        <f>'Corrected and Updated TSF 3'!CO288</f>
        <v>530774.98329059465</v>
      </c>
      <c r="P288" s="976">
        <f>'Corrected and Updated TSF 3'!CP288</f>
        <v>30</v>
      </c>
      <c r="Q288" s="977">
        <f>'Corrected and Updated TSF 3'!CQ288</f>
        <v>17692.49944301982</v>
      </c>
      <c r="R288" s="977">
        <f>'Corrected and Updated TSF 3'!CS288</f>
        <v>3925424.8830341627</v>
      </c>
      <c r="S288" s="977">
        <f>'Corrected and Updated TSF 3'!CT288</f>
        <v>30433.777336682313</v>
      </c>
      <c r="T288" s="636">
        <f>'Corrected and Updated TSF 3'!CU288</f>
        <v>35282.828599786866</v>
      </c>
      <c r="U288" s="636">
        <f>'Corrected and Updated TSF 3'!CV288</f>
        <v>45577.511345604187</v>
      </c>
      <c r="V288" s="636">
        <f>'Corrected and Updated TSF 3'!CW288</f>
        <v>77728.117464187817</v>
      </c>
      <c r="W288" s="1102">
        <f>'Corrected and Updated TSF 3'!CX288</f>
        <v>318874.74026793323</v>
      </c>
      <c r="X288" s="1102">
        <f>'Corrected and Updated TSF 3'!CY288</f>
        <v>126177.18139598006</v>
      </c>
      <c r="Y288" s="1102">
        <f>'Corrected and Updated TSF 3'!CZ288</f>
        <v>91135.991050341981</v>
      </c>
      <c r="Z288" s="1102">
        <f>'Corrected and Updated TSF 3'!DA288</f>
        <v>69358.684873640115</v>
      </c>
      <c r="AA288" s="821">
        <f>L288-'Corrected and Updated TSF 3'!CL288</f>
        <v>0</v>
      </c>
      <c r="AB288" s="678">
        <f>N288-'Corrected and Updated TSF 3'!CN288</f>
        <v>0</v>
      </c>
      <c r="AC288" s="678">
        <f>Q288-'Corrected and Updated TSF 3'!CQ288</f>
        <v>0</v>
      </c>
      <c r="AD288" s="497"/>
      <c r="AE288" s="497"/>
      <c r="AF288" s="497"/>
      <c r="AG288" s="497"/>
      <c r="AH288" s="677"/>
      <c r="AI288" s="677"/>
      <c r="AJ288" s="677"/>
      <c r="AK288" s="677"/>
    </row>
    <row r="289" spans="1:37" s="521" customFormat="1" ht="12.75" hidden="1" customHeight="1">
      <c r="A289" s="631" t="str">
        <f t="shared" si="4"/>
        <v>W-12D</v>
      </c>
      <c r="B289" s="632" t="str">
        <f>'Corrected and Updated TSF 3'!EP289</f>
        <v>SOLD</v>
      </c>
      <c r="C289" s="820" t="str">
        <f>'Corrected and Updated TSF 3'!E289</f>
        <v>12th Floor</v>
      </c>
      <c r="D289" s="628">
        <f>'INTERNAL PRICELIST'!D289</f>
        <v>0</v>
      </c>
      <c r="E289" s="596" t="str">
        <f>'Corrected and Updated TSF 3'!G289</f>
        <v>W-12D</v>
      </c>
      <c r="F289" s="401" t="str">
        <f>'Corrected and Updated TSF 3'!I289</f>
        <v>Studio</v>
      </c>
      <c r="G289" s="633">
        <f>'Corrected and Updated TSF 3'!J289</f>
        <v>22</v>
      </c>
      <c r="H289" s="633">
        <f>'Corrected and Updated TSF 3'!CG289</f>
        <v>3978891.2339909161</v>
      </c>
      <c r="I289" s="633">
        <f>SUM('Corrected and Updated TSF 3'!CI289:CJ289)</f>
        <v>507308.63233384176</v>
      </c>
      <c r="J289" s="633">
        <f>'Corrected and Updated TSF 3'!CH289</f>
        <v>0</v>
      </c>
      <c r="K289" s="633">
        <f>'Corrected and Updated TSF 3'!CK289</f>
        <v>4486199.8663247572</v>
      </c>
      <c r="L289" s="634">
        <f>'Corrected and Updated TSF 3'!CL289</f>
        <v>0.125</v>
      </c>
      <c r="M289" s="633">
        <f>'Corrected and Updated TSF 3'!CM289</f>
        <v>560774.98329059465</v>
      </c>
      <c r="N289" s="633">
        <f>'Corrected and Updated TSF 3'!CN289</f>
        <v>30000</v>
      </c>
      <c r="O289" s="633">
        <f>'Corrected and Updated TSF 3'!CO289</f>
        <v>530774.98329059465</v>
      </c>
      <c r="P289" s="401">
        <f>'Corrected and Updated TSF 3'!CP289</f>
        <v>30</v>
      </c>
      <c r="Q289" s="633">
        <f>'Corrected and Updated TSF 3'!CQ289</f>
        <v>17692.49944301982</v>
      </c>
      <c r="R289" s="633">
        <f>'Corrected and Updated TSF 3'!CS289</f>
        <v>3925424.8830341627</v>
      </c>
      <c r="S289" s="633">
        <f>'Corrected and Updated TSF 3'!CT289</f>
        <v>30433.777336682313</v>
      </c>
      <c r="T289" s="635">
        <f>'Corrected and Updated TSF 3'!CU289</f>
        <v>35282.828599786866</v>
      </c>
      <c r="U289" s="636">
        <f>'Corrected and Updated TSF 3'!CV289</f>
        <v>45577.511345604187</v>
      </c>
      <c r="V289" s="636">
        <f>'Corrected and Updated TSF 3'!CW289</f>
        <v>77728.117464187817</v>
      </c>
      <c r="W289" s="1102">
        <f>'Corrected and Updated TSF 3'!CX289</f>
        <v>318874.74026793323</v>
      </c>
      <c r="X289" s="1102">
        <f>'Corrected and Updated TSF 3'!CY289</f>
        <v>126177.18139598006</v>
      </c>
      <c r="Y289" s="1102">
        <f>'Corrected and Updated TSF 3'!CZ289</f>
        <v>91135.991050341981</v>
      </c>
      <c r="Z289" s="1102">
        <f>'Corrected and Updated TSF 3'!DA289</f>
        <v>69358.684873640115</v>
      </c>
      <c r="AA289" s="821">
        <f>L289-'Corrected and Updated TSF 3'!CL289</f>
        <v>0</v>
      </c>
      <c r="AB289" s="678">
        <f>N289-'Corrected and Updated TSF 3'!CN289</f>
        <v>0</v>
      </c>
      <c r="AC289" s="678">
        <f>Q289-'Corrected and Updated TSF 3'!CQ289</f>
        <v>0</v>
      </c>
      <c r="AD289" s="497"/>
      <c r="AE289" s="497"/>
      <c r="AF289" s="497"/>
      <c r="AG289" s="497"/>
      <c r="AH289" s="677"/>
      <c r="AI289" s="677"/>
      <c r="AJ289" s="677"/>
      <c r="AK289" s="677"/>
    </row>
    <row r="290" spans="1:37" s="521" customFormat="1" ht="12.75" hidden="1" customHeight="1">
      <c r="A290" s="631" t="str">
        <f t="shared" si="4"/>
        <v>W-12E</v>
      </c>
      <c r="B290" s="632" t="str">
        <f>'Corrected and Updated TSF 3'!EP290</f>
        <v>SOLD</v>
      </c>
      <c r="C290" s="820" t="str">
        <f>'Corrected and Updated TSF 3'!E290</f>
        <v>12th Floor</v>
      </c>
      <c r="D290" s="628">
        <f>'INTERNAL PRICELIST'!D290</f>
        <v>0</v>
      </c>
      <c r="E290" s="596" t="str">
        <f>'Corrected and Updated TSF 3'!G290</f>
        <v>W-12E</v>
      </c>
      <c r="F290" s="401" t="str">
        <f>'Corrected and Updated TSF 3'!I290</f>
        <v>Studio</v>
      </c>
      <c r="G290" s="633">
        <f>'Corrected and Updated TSF 3'!J290</f>
        <v>22</v>
      </c>
      <c r="H290" s="633">
        <f>'Corrected and Updated TSF 3'!CG290</f>
        <v>3978891.2339909161</v>
      </c>
      <c r="I290" s="633">
        <f>SUM('Corrected and Updated TSF 3'!CI290:CJ290)</f>
        <v>507308.63233384176</v>
      </c>
      <c r="J290" s="633">
        <f>'Corrected and Updated TSF 3'!CH290</f>
        <v>0</v>
      </c>
      <c r="K290" s="633">
        <f>'Corrected and Updated TSF 3'!CK290</f>
        <v>4486199.8663247572</v>
      </c>
      <c r="L290" s="634">
        <f>'Corrected and Updated TSF 3'!CL290</f>
        <v>0.125</v>
      </c>
      <c r="M290" s="633">
        <f>'Corrected and Updated TSF 3'!CM290</f>
        <v>560774.98329059465</v>
      </c>
      <c r="N290" s="633">
        <f>'Corrected and Updated TSF 3'!CN290</f>
        <v>30000</v>
      </c>
      <c r="O290" s="633">
        <f>'Corrected and Updated TSF 3'!CO290</f>
        <v>530774.98329059465</v>
      </c>
      <c r="P290" s="401">
        <f>'Corrected and Updated TSF 3'!CP290</f>
        <v>30</v>
      </c>
      <c r="Q290" s="633">
        <f>'Corrected and Updated TSF 3'!CQ290</f>
        <v>17692.49944301982</v>
      </c>
      <c r="R290" s="633">
        <f>'Corrected and Updated TSF 3'!CS290</f>
        <v>3925424.8830341627</v>
      </c>
      <c r="S290" s="633">
        <f>'Corrected and Updated TSF 3'!CT290</f>
        <v>30433.777336682313</v>
      </c>
      <c r="T290" s="635">
        <f>'Corrected and Updated TSF 3'!CU290</f>
        <v>35282.828599786866</v>
      </c>
      <c r="U290" s="636">
        <f>'Corrected and Updated TSF 3'!CV290</f>
        <v>45577.511345604187</v>
      </c>
      <c r="V290" s="636">
        <f>'Corrected and Updated TSF 3'!CW290</f>
        <v>77728.117464187817</v>
      </c>
      <c r="W290" s="1102">
        <f>'Corrected and Updated TSF 3'!CX290</f>
        <v>318874.74026793323</v>
      </c>
      <c r="X290" s="1102">
        <f>'Corrected and Updated TSF 3'!CY290</f>
        <v>126177.18139598006</v>
      </c>
      <c r="Y290" s="1102">
        <f>'Corrected and Updated TSF 3'!CZ290</f>
        <v>91135.991050341981</v>
      </c>
      <c r="Z290" s="1102">
        <f>'Corrected and Updated TSF 3'!DA290</f>
        <v>69358.684873640115</v>
      </c>
      <c r="AA290" s="821">
        <f>L290-'Corrected and Updated TSF 3'!CL290</f>
        <v>0</v>
      </c>
      <c r="AB290" s="678">
        <f>N290-'Corrected and Updated TSF 3'!CN290</f>
        <v>0</v>
      </c>
      <c r="AC290" s="678">
        <f>Q290-'Corrected and Updated TSF 3'!CQ290</f>
        <v>0</v>
      </c>
      <c r="AD290" s="497"/>
      <c r="AE290" s="497"/>
      <c r="AF290" s="497"/>
      <c r="AG290" s="497"/>
      <c r="AH290" s="677"/>
      <c r="AI290" s="677"/>
      <c r="AJ290" s="677"/>
      <c r="AK290" s="677"/>
    </row>
    <row r="291" spans="1:37" s="521" customFormat="1" ht="12.75" hidden="1" customHeight="1">
      <c r="A291" s="631" t="str">
        <f t="shared" si="4"/>
        <v>W-12F</v>
      </c>
      <c r="B291" s="632" t="str">
        <f>'Corrected and Updated TSF 3'!EP291</f>
        <v>SOLD</v>
      </c>
      <c r="C291" s="820" t="str">
        <f>'Corrected and Updated TSF 3'!E291</f>
        <v>12th Floor</v>
      </c>
      <c r="D291" s="628">
        <f>'INTERNAL PRICELIST'!D291</f>
        <v>0</v>
      </c>
      <c r="E291" s="596" t="str">
        <f>'Corrected and Updated TSF 3'!G291</f>
        <v>W-12F</v>
      </c>
      <c r="F291" s="401" t="str">
        <f>'Corrected and Updated TSF 3'!I291</f>
        <v>Studio</v>
      </c>
      <c r="G291" s="633">
        <f>'Corrected and Updated TSF 3'!J291</f>
        <v>22</v>
      </c>
      <c r="H291" s="633">
        <f>'Corrected and Updated TSF 3'!CG291</f>
        <v>3978891.2339909161</v>
      </c>
      <c r="I291" s="633">
        <f>SUM('Corrected and Updated TSF 3'!CI291:CJ291)</f>
        <v>507308.63233384176</v>
      </c>
      <c r="J291" s="633">
        <f>'Corrected and Updated TSF 3'!CH291</f>
        <v>0</v>
      </c>
      <c r="K291" s="633">
        <f>'Corrected and Updated TSF 3'!CK291</f>
        <v>4486199.8663247572</v>
      </c>
      <c r="L291" s="634">
        <f>'Corrected and Updated TSF 3'!CL291</f>
        <v>0.125</v>
      </c>
      <c r="M291" s="633">
        <f>'Corrected and Updated TSF 3'!CM291</f>
        <v>560774.98329059465</v>
      </c>
      <c r="N291" s="633">
        <f>'Corrected and Updated TSF 3'!CN291</f>
        <v>30000</v>
      </c>
      <c r="O291" s="633">
        <f>'Corrected and Updated TSF 3'!CO291</f>
        <v>530774.98329059465</v>
      </c>
      <c r="P291" s="401">
        <f>'Corrected and Updated TSF 3'!CP291</f>
        <v>30</v>
      </c>
      <c r="Q291" s="633">
        <f>'Corrected and Updated TSF 3'!CQ291</f>
        <v>17692.49944301982</v>
      </c>
      <c r="R291" s="633">
        <f>'Corrected and Updated TSF 3'!CS291</f>
        <v>3925424.8830341627</v>
      </c>
      <c r="S291" s="633">
        <f>'Corrected and Updated TSF 3'!CT291</f>
        <v>30433.777336682313</v>
      </c>
      <c r="T291" s="635">
        <f>'Corrected and Updated TSF 3'!CU291</f>
        <v>35282.828599786866</v>
      </c>
      <c r="U291" s="636">
        <f>'Corrected and Updated TSF 3'!CV291</f>
        <v>45577.511345604187</v>
      </c>
      <c r="V291" s="636">
        <f>'Corrected and Updated TSF 3'!CW291</f>
        <v>77728.117464187817</v>
      </c>
      <c r="W291" s="1102">
        <f>'Corrected and Updated TSF 3'!CX291</f>
        <v>318874.74026793323</v>
      </c>
      <c r="X291" s="1102">
        <f>'Corrected and Updated TSF 3'!CY291</f>
        <v>126177.18139598006</v>
      </c>
      <c r="Y291" s="1102">
        <f>'Corrected and Updated TSF 3'!CZ291</f>
        <v>91135.991050341981</v>
      </c>
      <c r="Z291" s="1102">
        <f>'Corrected and Updated TSF 3'!DA291</f>
        <v>69358.684873640115</v>
      </c>
      <c r="AA291" s="821">
        <f>L291-'Corrected and Updated TSF 3'!CL291</f>
        <v>0</v>
      </c>
      <c r="AB291" s="678">
        <f>N291-'Corrected and Updated TSF 3'!CN291</f>
        <v>0</v>
      </c>
      <c r="AC291" s="678">
        <f>Q291-'Corrected and Updated TSF 3'!CQ291</f>
        <v>0</v>
      </c>
      <c r="AD291" s="497"/>
      <c r="AE291" s="497"/>
      <c r="AF291" s="497"/>
      <c r="AG291" s="497"/>
      <c r="AH291" s="677"/>
      <c r="AI291" s="677"/>
      <c r="AJ291" s="677"/>
      <c r="AK291" s="677"/>
    </row>
    <row r="292" spans="1:37" s="521" customFormat="1" ht="12.75" customHeight="1">
      <c r="A292" s="631" t="str">
        <f t="shared" si="4"/>
        <v>W-12G</v>
      </c>
      <c r="B292" s="632" t="str">
        <f>'Corrected and Updated TSF 3'!EP292</f>
        <v>UNSOLD</v>
      </c>
      <c r="C292" s="820" t="str">
        <f>'Corrected and Updated TSF 3'!E292</f>
        <v>12th Floor</v>
      </c>
      <c r="D292" s="628">
        <f>'INTERNAL PRICELIST'!D292</f>
        <v>0</v>
      </c>
      <c r="E292" s="596" t="str">
        <f>'Corrected and Updated TSF 3'!G292</f>
        <v>W-12G</v>
      </c>
      <c r="F292" s="401" t="str">
        <f>'Corrected and Updated TSF 3'!I292</f>
        <v>Studio</v>
      </c>
      <c r="G292" s="633">
        <f>'Corrected and Updated TSF 3'!J292</f>
        <v>22</v>
      </c>
      <c r="H292" s="633">
        <f>'Corrected and Updated TSF 3'!CG292</f>
        <v>4041403.4029607088</v>
      </c>
      <c r="I292" s="633">
        <f>SUM('Corrected and Updated TSF 3'!CI292:CJ292)</f>
        <v>515278.93387749034</v>
      </c>
      <c r="J292" s="633">
        <f>'Corrected and Updated TSF 3'!CH292</f>
        <v>0</v>
      </c>
      <c r="K292" s="633">
        <f>'Corrected and Updated TSF 3'!CK292</f>
        <v>4556682.3368381988</v>
      </c>
      <c r="L292" s="634">
        <f>'Corrected and Updated TSF 3'!CL292</f>
        <v>0.125</v>
      </c>
      <c r="M292" s="633">
        <f>'Corrected and Updated TSF 3'!CM292</f>
        <v>569585.29210477485</v>
      </c>
      <c r="N292" s="633">
        <f>'Corrected and Updated TSF 3'!CN292</f>
        <v>30000</v>
      </c>
      <c r="O292" s="633">
        <f>'Corrected and Updated TSF 3'!CO292</f>
        <v>539585.29210477485</v>
      </c>
      <c r="P292" s="401">
        <f>'Corrected and Updated TSF 3'!CP292</f>
        <v>30</v>
      </c>
      <c r="Q292" s="633">
        <f>'Corrected and Updated TSF 3'!CQ292</f>
        <v>17986.176403492496</v>
      </c>
      <c r="R292" s="633">
        <f>'Corrected and Updated TSF 3'!CS292</f>
        <v>3987097.0447334237</v>
      </c>
      <c r="S292" s="633">
        <f>'Corrected and Updated TSF 3'!CT292</f>
        <v>30911.92094990984</v>
      </c>
      <c r="T292" s="635">
        <f>'Corrected and Updated TSF 3'!CU292</f>
        <v>35837.155424385652</v>
      </c>
      <c r="U292" s="636">
        <f>'Corrected and Updated TSF 3'!CV292</f>
        <v>46293.577436106811</v>
      </c>
      <c r="V292" s="636">
        <f>'Corrected and Updated TSF 3'!CW292</f>
        <v>78949.300182407416</v>
      </c>
      <c r="W292" s="1102">
        <f>'Corrected and Updated TSF 3'!CX292</f>
        <v>323884.56598861126</v>
      </c>
      <c r="X292" s="1102">
        <f>'Corrected and Updated TSF 3'!CY292</f>
        <v>128159.54502939012</v>
      </c>
      <c r="Y292" s="1102">
        <f>'Corrected and Updated TSF 3'!CZ292</f>
        <v>92567.824226152166</v>
      </c>
      <c r="Z292" s="1102">
        <f>'Corrected and Updated TSF 3'!DA292</f>
        <v>70448.37583862654</v>
      </c>
      <c r="AA292" s="821">
        <f>L292-'Corrected and Updated TSF 3'!CL292</f>
        <v>0</v>
      </c>
      <c r="AB292" s="678">
        <f>N292-'Corrected and Updated TSF 3'!CN292</f>
        <v>0</v>
      </c>
      <c r="AC292" s="678">
        <f>Q292-'Corrected and Updated TSF 3'!CQ292</f>
        <v>0</v>
      </c>
      <c r="AD292" s="497"/>
      <c r="AE292" s="497"/>
      <c r="AF292" s="497"/>
      <c r="AG292" s="497"/>
      <c r="AH292" s="677"/>
      <c r="AI292" s="677"/>
      <c r="AJ292" s="677"/>
      <c r="AK292" s="677"/>
    </row>
    <row r="293" spans="1:37" s="521" customFormat="1" ht="12.75" customHeight="1">
      <c r="A293" s="631" t="str">
        <f t="shared" si="4"/>
        <v>W-12H</v>
      </c>
      <c r="B293" s="632" t="str">
        <f>'Corrected and Updated TSF 3'!EP293</f>
        <v>UNSOLD</v>
      </c>
      <c r="C293" s="820" t="str">
        <f>'Corrected and Updated TSF 3'!E293</f>
        <v>12th Floor</v>
      </c>
      <c r="D293" s="628">
        <f>'INTERNAL PRICELIST'!D293</f>
        <v>0</v>
      </c>
      <c r="E293" s="596" t="str">
        <f>'Corrected and Updated TSF 3'!G293</f>
        <v>W-12H</v>
      </c>
      <c r="F293" s="401" t="str">
        <f>'Corrected and Updated TSF 3'!I293</f>
        <v>Studio</v>
      </c>
      <c r="G293" s="633">
        <f>'Corrected and Updated TSF 3'!J293</f>
        <v>22</v>
      </c>
      <c r="H293" s="633">
        <f>'Corrected and Updated TSF 3'!CG293</f>
        <v>4046566.689199748</v>
      </c>
      <c r="I293" s="633">
        <f>SUM('Corrected and Updated TSF 3'!CI293:CJ293)</f>
        <v>515937.25287296786</v>
      </c>
      <c r="J293" s="633">
        <f>'Corrected and Updated TSF 3'!CH293</f>
        <v>0</v>
      </c>
      <c r="K293" s="633">
        <f>'Corrected and Updated TSF 3'!CK293</f>
        <v>4562503.9420727156</v>
      </c>
      <c r="L293" s="634">
        <f>'Corrected and Updated TSF 3'!CL293</f>
        <v>0.125</v>
      </c>
      <c r="M293" s="633">
        <f>'Corrected and Updated TSF 3'!CM293</f>
        <v>570312.99275908945</v>
      </c>
      <c r="N293" s="633">
        <f>'Corrected and Updated TSF 3'!CN293</f>
        <v>30000</v>
      </c>
      <c r="O293" s="633">
        <f>'Corrected and Updated TSF 3'!CO293</f>
        <v>540312.99275908945</v>
      </c>
      <c r="P293" s="401">
        <f>'Corrected and Updated TSF 3'!CP293</f>
        <v>30</v>
      </c>
      <c r="Q293" s="633">
        <f>'Corrected and Updated TSF 3'!CQ293</f>
        <v>18010.433091969648</v>
      </c>
      <c r="R293" s="633">
        <f>'Corrected and Updated TSF 3'!CS293</f>
        <v>3992190.9493136262</v>
      </c>
      <c r="S293" s="633">
        <f>'Corrected and Updated TSF 3'!CT293</f>
        <v>30951.413937901591</v>
      </c>
      <c r="T293" s="635">
        <f>'Corrected and Updated TSF 3'!CU293</f>
        <v>35882.940878842761</v>
      </c>
      <c r="U293" s="636">
        <f>'Corrected and Updated TSF 3'!CV293</f>
        <v>46352.721987516023</v>
      </c>
      <c r="V293" s="636">
        <f>'Corrected and Updated TSF 3'!CW293</f>
        <v>79050.1655983456</v>
      </c>
      <c r="W293" s="1102">
        <f>'Corrected and Updated TSF 3'!CX293</f>
        <v>324298.36004870955</v>
      </c>
      <c r="X293" s="1102">
        <f>'Corrected and Updated TSF 3'!CY293</f>
        <v>128323.28132326444</v>
      </c>
      <c r="Y293" s="1102">
        <f>'Corrected and Updated TSF 3'!CZ293</f>
        <v>92686.088632188592</v>
      </c>
      <c r="Z293" s="1102">
        <f>'Corrected and Updated TSF 3'!DA293</f>
        <v>70538.380496232305</v>
      </c>
      <c r="AA293" s="821">
        <f>L293-'Corrected and Updated TSF 3'!CL293</f>
        <v>0</v>
      </c>
      <c r="AB293" s="678">
        <f>N293-'Corrected and Updated TSF 3'!CN293</f>
        <v>0</v>
      </c>
      <c r="AC293" s="678">
        <f>Q293-'Corrected and Updated TSF 3'!CQ293</f>
        <v>0</v>
      </c>
      <c r="AD293" s="497"/>
      <c r="AE293" s="497"/>
      <c r="AF293" s="497"/>
      <c r="AG293" s="497"/>
      <c r="AH293" s="677"/>
      <c r="AI293" s="677"/>
      <c r="AJ293" s="677"/>
      <c r="AK293" s="677"/>
    </row>
    <row r="294" spans="1:37" s="521" customFormat="1" ht="12.75" customHeight="1">
      <c r="A294" s="631" t="str">
        <f t="shared" si="4"/>
        <v>W-12I</v>
      </c>
      <c r="B294" s="632" t="str">
        <f>'Corrected and Updated TSF 3'!EP294</f>
        <v>UNSOLD</v>
      </c>
      <c r="C294" s="973" t="str">
        <f>'Corrected and Updated TSF 3'!E294</f>
        <v>12th Floor</v>
      </c>
      <c r="D294" s="974">
        <f>'INTERNAL PRICELIST'!D294</f>
        <v>0</v>
      </c>
      <c r="E294" s="975" t="str">
        <f>'Corrected and Updated TSF 3'!G294</f>
        <v>W-12I</v>
      </c>
      <c r="F294" s="976" t="str">
        <f>'Corrected and Updated TSF 3'!I294</f>
        <v>Studio</v>
      </c>
      <c r="G294" s="977">
        <f>'Corrected and Updated TSF 3'!J294</f>
        <v>22</v>
      </c>
      <c r="H294" s="977">
        <f>'Corrected and Updated TSF 3'!CG294</f>
        <v>4026442.3704787409</v>
      </c>
      <c r="I294" s="977">
        <f>SUM('Corrected and Updated TSF 3'!CI294:CJ294)</f>
        <v>513371.40223603946</v>
      </c>
      <c r="J294" s="977">
        <f>'Corrected and Updated TSF 3'!CH294</f>
        <v>0</v>
      </c>
      <c r="K294" s="977">
        <f>'Corrected and Updated TSF 3'!CK294</f>
        <v>4539813.7727147806</v>
      </c>
      <c r="L294" s="978">
        <f>'Corrected and Updated TSF 3'!CL294</f>
        <v>0.125</v>
      </c>
      <c r="M294" s="977">
        <f>'Corrected and Updated TSF 3'!CM294</f>
        <v>567476.72158934758</v>
      </c>
      <c r="N294" s="977">
        <f>'Corrected and Updated TSF 3'!CN294</f>
        <v>30000</v>
      </c>
      <c r="O294" s="977">
        <f>'Corrected and Updated TSF 3'!CO294</f>
        <v>537476.72158934758</v>
      </c>
      <c r="P294" s="976">
        <f>'Corrected and Updated TSF 3'!CP294</f>
        <v>30</v>
      </c>
      <c r="Q294" s="977">
        <f>'Corrected and Updated TSF 3'!CQ294</f>
        <v>17915.890719644918</v>
      </c>
      <c r="R294" s="977">
        <f>'Corrected and Updated TSF 3'!CS294</f>
        <v>3972337.0511254333</v>
      </c>
      <c r="S294" s="977">
        <f>'Corrected and Updated TSF 3'!CT294</f>
        <v>30797.486876569674</v>
      </c>
      <c r="T294" s="636">
        <f>'Corrected and Updated TSF 3'!CU294</f>
        <v>35704.488429061021</v>
      </c>
      <c r="U294" s="636">
        <f>'Corrected and Updated TSF 3'!CV294</f>
        <v>46122.201394996773</v>
      </c>
      <c r="V294" s="636">
        <f>'Corrected and Updated TSF 3'!CW294</f>
        <v>78657.034618521313</v>
      </c>
      <c r="W294" s="1102">
        <f>'Corrected and Updated TSF 3'!CX294</f>
        <v>322685.56479298358</v>
      </c>
      <c r="X294" s="1102">
        <f>'Corrected and Updated TSF 3'!CY294</f>
        <v>127685.10609695042</v>
      </c>
      <c r="Y294" s="1102">
        <f>'Corrected and Updated TSF 3'!CZ294</f>
        <v>92225.143704821894</v>
      </c>
      <c r="Z294" s="1102">
        <f>'Corrected and Updated TSF 3'!DA294</f>
        <v>70187.580185697807</v>
      </c>
      <c r="AA294" s="821">
        <f>L294-'Corrected and Updated TSF 3'!CL294</f>
        <v>0</v>
      </c>
      <c r="AB294" s="678">
        <f>N294-'Corrected and Updated TSF 3'!CN294</f>
        <v>0</v>
      </c>
      <c r="AC294" s="678">
        <f>Q294-'Corrected and Updated TSF 3'!CQ294</f>
        <v>0</v>
      </c>
      <c r="AD294" s="497"/>
      <c r="AE294" s="497"/>
      <c r="AF294" s="497"/>
      <c r="AG294" s="497"/>
      <c r="AH294" s="677"/>
      <c r="AI294" s="677"/>
      <c r="AJ294" s="677"/>
      <c r="AK294" s="677"/>
    </row>
    <row r="295" spans="1:37" s="521" customFormat="1" ht="12.75" hidden="1" customHeight="1">
      <c r="A295" s="631" t="str">
        <f t="shared" si="4"/>
        <v>W-12J</v>
      </c>
      <c r="B295" s="632" t="str">
        <f>'Corrected and Updated TSF 3'!EP295</f>
        <v>SOLD</v>
      </c>
      <c r="C295" s="973" t="str">
        <f>'Corrected and Updated TSF 3'!E295</f>
        <v>12th Floor</v>
      </c>
      <c r="D295" s="974">
        <f>'INTERNAL PRICELIST'!D295</f>
        <v>0</v>
      </c>
      <c r="E295" s="975" t="str">
        <f>'Corrected and Updated TSF 3'!G295</f>
        <v>W-12J</v>
      </c>
      <c r="F295" s="976" t="str">
        <f>'Corrected and Updated TSF 3'!I295</f>
        <v>Studio</v>
      </c>
      <c r="G295" s="977">
        <f>'Corrected and Updated TSF 3'!J295</f>
        <v>22</v>
      </c>
      <c r="H295" s="977">
        <f>'Corrected and Updated TSF 3'!CG295</f>
        <v>4017768.8273775992</v>
      </c>
      <c r="I295" s="977">
        <f>SUM('Corrected and Updated TSF 3'!CI295:CJ295)</f>
        <v>512265.52549064386</v>
      </c>
      <c r="J295" s="977">
        <f>'Corrected and Updated TSF 3'!CH295</f>
        <v>0</v>
      </c>
      <c r="K295" s="977">
        <f>'Corrected and Updated TSF 3'!CK295</f>
        <v>4530034.3528682431</v>
      </c>
      <c r="L295" s="978">
        <f>'Corrected and Updated TSF 3'!CL295</f>
        <v>0.125</v>
      </c>
      <c r="M295" s="977">
        <f>'Corrected and Updated TSF 3'!CM295</f>
        <v>566254.29410853039</v>
      </c>
      <c r="N295" s="977">
        <f>'Corrected and Updated TSF 3'!CN295</f>
        <v>30000</v>
      </c>
      <c r="O295" s="977">
        <f>'Corrected and Updated TSF 3'!CO295</f>
        <v>536254.29410853039</v>
      </c>
      <c r="P295" s="976">
        <f>'Corrected and Updated TSF 3'!CP295</f>
        <v>30</v>
      </c>
      <c r="Q295" s="977">
        <f>'Corrected and Updated TSF 3'!CQ295</f>
        <v>17875.143136951014</v>
      </c>
      <c r="R295" s="977">
        <f>'Corrected and Updated TSF 3'!CS295</f>
        <v>3963780.0587597126</v>
      </c>
      <c r="S295" s="977">
        <f>'Corrected and Updated TSF 3'!CT295</f>
        <v>30731.144605837257</v>
      </c>
      <c r="T295" s="636">
        <f>'Corrected and Updated TSF 3'!CU295</f>
        <v>35627.575762543238</v>
      </c>
      <c r="U295" s="636">
        <f>'Corrected and Updated TSF 3'!CV295</f>
        <v>46022.84745796986</v>
      </c>
      <c r="V295" s="636">
        <f>'Corrected and Updated TSF 3'!CW295</f>
        <v>78487.595913779413</v>
      </c>
      <c r="W295" s="1102">
        <f>'Corrected and Updated TSF 3'!CX295</f>
        <v>321990.45310459367</v>
      </c>
      <c r="X295" s="1102">
        <f>'Corrected and Updated TSF 3'!CY295</f>
        <v>127410.05378793798</v>
      </c>
      <c r="Y295" s="1102">
        <f>'Corrected and Updated TSF 3'!CZ295</f>
        <v>92026.477317641591</v>
      </c>
      <c r="Z295" s="1102">
        <f>'Corrected and Updated TSF 3'!DA295</f>
        <v>70036.385918925502</v>
      </c>
      <c r="AA295" s="821">
        <f>L295-'Corrected and Updated TSF 3'!CL295</f>
        <v>0</v>
      </c>
      <c r="AB295" s="678">
        <f>N295-'Corrected and Updated TSF 3'!CN295</f>
        <v>0</v>
      </c>
      <c r="AC295" s="678">
        <f>Q295-'Corrected and Updated TSF 3'!CQ295</f>
        <v>0</v>
      </c>
      <c r="AD295" s="497"/>
      <c r="AE295" s="497"/>
      <c r="AF295" s="497"/>
      <c r="AG295" s="497"/>
      <c r="AH295" s="677"/>
      <c r="AI295" s="677"/>
      <c r="AJ295" s="677"/>
      <c r="AK295" s="677"/>
    </row>
    <row r="296" spans="1:37" s="521" customFormat="1" ht="12.75" hidden="1" customHeight="1">
      <c r="A296" s="631" t="str">
        <f t="shared" si="4"/>
        <v>W-12K</v>
      </c>
      <c r="B296" s="632" t="str">
        <f>'Corrected and Updated TSF 3'!EP296</f>
        <v>SOLD</v>
      </c>
      <c r="C296" s="973" t="str">
        <f>'Corrected and Updated TSF 3'!E296</f>
        <v>12th Floor</v>
      </c>
      <c r="D296" s="974">
        <f>'INTERNAL PRICELIST'!D296</f>
        <v>0</v>
      </c>
      <c r="E296" s="975" t="str">
        <f>'Corrected and Updated TSF 3'!G296</f>
        <v>W-12K</v>
      </c>
      <c r="F296" s="976" t="str">
        <f>'Corrected and Updated TSF 3'!I296</f>
        <v>Studio</v>
      </c>
      <c r="G296" s="977">
        <f>'Corrected and Updated TSF 3'!J296</f>
        <v>22</v>
      </c>
      <c r="H296" s="977">
        <f>'Corrected and Updated TSF 3'!CG296</f>
        <v>3978891.2339909161</v>
      </c>
      <c r="I296" s="977">
        <f>SUM('Corrected and Updated TSF 3'!CI296:CJ296)</f>
        <v>507308.63233384176</v>
      </c>
      <c r="J296" s="977">
        <f>'Corrected and Updated TSF 3'!CH296</f>
        <v>0</v>
      </c>
      <c r="K296" s="977">
        <f>'Corrected and Updated TSF 3'!CK296</f>
        <v>4486199.8663247572</v>
      </c>
      <c r="L296" s="978">
        <f>'Corrected and Updated TSF 3'!CL296</f>
        <v>0.125</v>
      </c>
      <c r="M296" s="977">
        <f>'Corrected and Updated TSF 3'!CM296</f>
        <v>560774.98329059465</v>
      </c>
      <c r="N296" s="977">
        <f>'Corrected and Updated TSF 3'!CN296</f>
        <v>30000</v>
      </c>
      <c r="O296" s="977">
        <f>'Corrected and Updated TSF 3'!CO296</f>
        <v>530774.98329059465</v>
      </c>
      <c r="P296" s="976">
        <f>'Corrected and Updated TSF 3'!CP296</f>
        <v>30</v>
      </c>
      <c r="Q296" s="977">
        <f>'Corrected and Updated TSF 3'!CQ296</f>
        <v>17692.49944301982</v>
      </c>
      <c r="R296" s="977">
        <f>'Corrected and Updated TSF 3'!CS296</f>
        <v>3925424.8830341627</v>
      </c>
      <c r="S296" s="977">
        <f>'Corrected and Updated TSF 3'!CT296</f>
        <v>30433.777336682313</v>
      </c>
      <c r="T296" s="636">
        <f>'Corrected and Updated TSF 3'!CU296</f>
        <v>35282.828599786866</v>
      </c>
      <c r="U296" s="636">
        <f>'Corrected and Updated TSF 3'!CV296</f>
        <v>45577.511345604187</v>
      </c>
      <c r="V296" s="636">
        <f>'Corrected and Updated TSF 3'!CW296</f>
        <v>77728.117464187817</v>
      </c>
      <c r="W296" s="1102">
        <f>'Corrected and Updated TSF 3'!CX296</f>
        <v>318874.74026793323</v>
      </c>
      <c r="X296" s="1102">
        <f>'Corrected and Updated TSF 3'!CY296</f>
        <v>126177.18139598006</v>
      </c>
      <c r="Y296" s="1102">
        <f>'Corrected and Updated TSF 3'!CZ296</f>
        <v>91135.991050341981</v>
      </c>
      <c r="Z296" s="1102">
        <f>'Corrected and Updated TSF 3'!DA296</f>
        <v>69358.684873640115</v>
      </c>
      <c r="AA296" s="821">
        <f>L296-'Corrected and Updated TSF 3'!CL296</f>
        <v>0</v>
      </c>
      <c r="AB296" s="678">
        <f>N296-'Corrected and Updated TSF 3'!CN296</f>
        <v>0</v>
      </c>
      <c r="AC296" s="678">
        <f>Q296-'Corrected and Updated TSF 3'!CQ296</f>
        <v>0</v>
      </c>
      <c r="AD296" s="497"/>
      <c r="AE296" s="497"/>
      <c r="AF296" s="497"/>
      <c r="AG296" s="497"/>
      <c r="AH296" s="677"/>
      <c r="AI296" s="677"/>
      <c r="AJ296" s="677"/>
      <c r="AK296" s="677"/>
    </row>
    <row r="297" spans="1:37" s="521" customFormat="1">
      <c r="A297" s="631" t="str">
        <f t="shared" si="4"/>
        <v>W-12L</v>
      </c>
      <c r="B297" s="632" t="str">
        <f>'Corrected and Updated TSF 3'!EP297</f>
        <v>UNSOLD</v>
      </c>
      <c r="C297" s="973" t="str">
        <f>'Corrected and Updated TSF 3'!E297</f>
        <v>12th Floor</v>
      </c>
      <c r="D297" s="974">
        <f>'INTERNAL PRICELIST'!D297</f>
        <v>0</v>
      </c>
      <c r="E297" s="975" t="str">
        <f>'Corrected and Updated TSF 3'!G297</f>
        <v>W-12L</v>
      </c>
      <c r="F297" s="976" t="str">
        <f>'Corrected and Updated TSF 3'!I297</f>
        <v>Studio</v>
      </c>
      <c r="G297" s="977">
        <f>'Corrected and Updated TSF 3'!J297</f>
        <v>22</v>
      </c>
      <c r="H297" s="977">
        <f>'Corrected and Updated TSF 3'!CG297</f>
        <v>4026442.3704787409</v>
      </c>
      <c r="I297" s="977">
        <f>SUM('Corrected and Updated TSF 3'!CI297:CJ297)</f>
        <v>513371.40223603946</v>
      </c>
      <c r="J297" s="977">
        <f>'Corrected and Updated TSF 3'!CH297</f>
        <v>0</v>
      </c>
      <c r="K297" s="977">
        <f>'Corrected and Updated TSF 3'!CK297</f>
        <v>4539813.7727147806</v>
      </c>
      <c r="L297" s="978">
        <f>'Corrected and Updated TSF 3'!CL297</f>
        <v>0.125</v>
      </c>
      <c r="M297" s="977">
        <f>'Corrected and Updated TSF 3'!CM297</f>
        <v>567476.72158934758</v>
      </c>
      <c r="N297" s="977">
        <f>'Corrected and Updated TSF 3'!CN297</f>
        <v>30000</v>
      </c>
      <c r="O297" s="977">
        <f>'Corrected and Updated TSF 3'!CO297</f>
        <v>537476.72158934758</v>
      </c>
      <c r="P297" s="976">
        <f>'Corrected and Updated TSF 3'!CP297</f>
        <v>30</v>
      </c>
      <c r="Q297" s="977">
        <f>'Corrected and Updated TSF 3'!CQ297</f>
        <v>17915.890719644918</v>
      </c>
      <c r="R297" s="977">
        <f>'Corrected and Updated TSF 3'!CS297</f>
        <v>3972337.0511254333</v>
      </c>
      <c r="S297" s="977">
        <f>'Corrected and Updated TSF 3'!CT297</f>
        <v>30797.486876569674</v>
      </c>
      <c r="T297" s="636">
        <f>'Corrected and Updated TSF 3'!CU297</f>
        <v>35704.488429061021</v>
      </c>
      <c r="U297" s="636">
        <f>'Corrected and Updated TSF 3'!CV297</f>
        <v>46122.201394996773</v>
      </c>
      <c r="V297" s="636">
        <f>'Corrected and Updated TSF 3'!CW297</f>
        <v>78657.034618521313</v>
      </c>
      <c r="W297" s="1102">
        <f>'Corrected and Updated TSF 3'!CX297</f>
        <v>322685.56479298358</v>
      </c>
      <c r="X297" s="1102">
        <f>'Corrected and Updated TSF 3'!CY297</f>
        <v>127685.10609695042</v>
      </c>
      <c r="Y297" s="1102">
        <f>'Corrected and Updated TSF 3'!CZ297</f>
        <v>92225.143704821894</v>
      </c>
      <c r="Z297" s="1102">
        <f>'Corrected and Updated TSF 3'!DA297</f>
        <v>70187.580185697807</v>
      </c>
      <c r="AA297" s="821">
        <f>L297-'Corrected and Updated TSF 3'!CL297</f>
        <v>0</v>
      </c>
      <c r="AB297" s="678">
        <f>N297-'Corrected and Updated TSF 3'!CN297</f>
        <v>0</v>
      </c>
      <c r="AC297" s="678">
        <f>Q297-'Corrected and Updated TSF 3'!CQ297</f>
        <v>0</v>
      </c>
      <c r="AD297" s="497"/>
      <c r="AE297" s="497"/>
      <c r="AF297" s="497"/>
      <c r="AG297" s="497"/>
      <c r="AH297" s="677"/>
      <c r="AI297" s="677"/>
      <c r="AJ297" s="677"/>
      <c r="AK297" s="677"/>
    </row>
    <row r="298" spans="1:37" s="521" customFormat="1" ht="12.75" customHeight="1">
      <c r="A298" s="631" t="str">
        <f t="shared" si="4"/>
        <v>W-12M</v>
      </c>
      <c r="B298" s="632" t="str">
        <f>'Corrected and Updated TSF 3'!EP298</f>
        <v>UNSOLD</v>
      </c>
      <c r="C298" s="973" t="str">
        <f>'Corrected and Updated TSF 3'!E298</f>
        <v>12th Floor</v>
      </c>
      <c r="D298" s="974">
        <f>'INTERNAL PRICELIST'!D298</f>
        <v>0</v>
      </c>
      <c r="E298" s="975" t="str">
        <f>'Corrected and Updated TSF 3'!G298</f>
        <v>W-12M</v>
      </c>
      <c r="F298" s="976" t="str">
        <f>'Corrected and Updated TSF 3'!I298</f>
        <v>Studio</v>
      </c>
      <c r="G298" s="977">
        <f>'Corrected and Updated TSF 3'!J298</f>
        <v>22</v>
      </c>
      <c r="H298" s="977">
        <f>'Corrected and Updated TSF 3'!CG298</f>
        <v>4026442.3704787409</v>
      </c>
      <c r="I298" s="977">
        <f>SUM('Corrected and Updated TSF 3'!CI298:CJ298)</f>
        <v>513371.40223603946</v>
      </c>
      <c r="J298" s="977">
        <f>'Corrected and Updated TSF 3'!CH298</f>
        <v>0</v>
      </c>
      <c r="K298" s="977">
        <f>'Corrected and Updated TSF 3'!CK298</f>
        <v>4539813.7727147806</v>
      </c>
      <c r="L298" s="978">
        <f>'Corrected and Updated TSF 3'!CL298</f>
        <v>0.125</v>
      </c>
      <c r="M298" s="977">
        <f>'Corrected and Updated TSF 3'!CM298</f>
        <v>567476.72158934758</v>
      </c>
      <c r="N298" s="977">
        <f>'Corrected and Updated TSF 3'!CN298</f>
        <v>30000</v>
      </c>
      <c r="O298" s="977">
        <f>'Corrected and Updated TSF 3'!CO298</f>
        <v>537476.72158934758</v>
      </c>
      <c r="P298" s="976">
        <f>'Corrected and Updated TSF 3'!CP298</f>
        <v>30</v>
      </c>
      <c r="Q298" s="977">
        <f>'Corrected and Updated TSF 3'!CQ298</f>
        <v>17915.890719644918</v>
      </c>
      <c r="R298" s="977">
        <f>'Corrected and Updated TSF 3'!CS298</f>
        <v>3972337.0511254333</v>
      </c>
      <c r="S298" s="977">
        <f>'Corrected and Updated TSF 3'!CT298</f>
        <v>30797.486876569674</v>
      </c>
      <c r="T298" s="636">
        <f>'Corrected and Updated TSF 3'!CU298</f>
        <v>35704.488429061021</v>
      </c>
      <c r="U298" s="636">
        <f>'Corrected and Updated TSF 3'!CV298</f>
        <v>46122.201394996773</v>
      </c>
      <c r="V298" s="636">
        <f>'Corrected and Updated TSF 3'!CW298</f>
        <v>78657.034618521313</v>
      </c>
      <c r="W298" s="1102">
        <f>'Corrected and Updated TSF 3'!CX298</f>
        <v>322685.56479298358</v>
      </c>
      <c r="X298" s="1102">
        <f>'Corrected and Updated TSF 3'!CY298</f>
        <v>127685.10609695042</v>
      </c>
      <c r="Y298" s="1102">
        <f>'Corrected and Updated TSF 3'!CZ298</f>
        <v>92225.143704821894</v>
      </c>
      <c r="Z298" s="1102">
        <f>'Corrected and Updated TSF 3'!DA298</f>
        <v>70187.580185697807</v>
      </c>
      <c r="AA298" s="821">
        <f>L298-'Corrected and Updated TSF 3'!CL298</f>
        <v>0</v>
      </c>
      <c r="AB298" s="678">
        <f>N298-'Corrected and Updated TSF 3'!CN298</f>
        <v>0</v>
      </c>
      <c r="AC298" s="678">
        <f>Q298-'Corrected and Updated TSF 3'!CQ298</f>
        <v>0</v>
      </c>
      <c r="AD298" s="497"/>
      <c r="AE298" s="497"/>
      <c r="AF298" s="497"/>
      <c r="AG298" s="497"/>
      <c r="AH298" s="677"/>
      <c r="AI298" s="677"/>
      <c r="AJ298" s="677"/>
      <c r="AK298" s="677"/>
    </row>
    <row r="299" spans="1:37" s="521" customFormat="1" ht="12.75" hidden="1" customHeight="1">
      <c r="A299" s="631" t="str">
        <f t="shared" si="4"/>
        <v>W-12N</v>
      </c>
      <c r="B299" s="632" t="str">
        <f>'Corrected and Updated TSF 3'!EP299</f>
        <v>SOLD</v>
      </c>
      <c r="C299" s="820" t="str">
        <f>'Corrected and Updated TSF 3'!E299</f>
        <v>12th Floor</v>
      </c>
      <c r="D299" s="628">
        <f>'INTERNAL PRICELIST'!D299</f>
        <v>0</v>
      </c>
      <c r="E299" s="596" t="str">
        <f>'Corrected and Updated TSF 3'!G299</f>
        <v>W-12N</v>
      </c>
      <c r="F299" s="401" t="str">
        <f>'Corrected and Updated TSF 3'!I299</f>
        <v>Studio</v>
      </c>
      <c r="G299" s="633">
        <f>'Corrected and Updated TSF 3'!J299</f>
        <v>22</v>
      </c>
      <c r="H299" s="633">
        <f>'Corrected and Updated TSF 3'!CG299</f>
        <v>4017768.8273775992</v>
      </c>
      <c r="I299" s="633">
        <f>SUM('Corrected and Updated TSF 3'!CI299:CJ299)</f>
        <v>512265.52549064386</v>
      </c>
      <c r="J299" s="633">
        <f>'Corrected and Updated TSF 3'!CH299</f>
        <v>0</v>
      </c>
      <c r="K299" s="633">
        <f>'Corrected and Updated TSF 3'!CK299</f>
        <v>4530034.3528682431</v>
      </c>
      <c r="L299" s="634">
        <f>'Corrected and Updated TSF 3'!CL299</f>
        <v>0.125</v>
      </c>
      <c r="M299" s="633">
        <f>'Corrected and Updated TSF 3'!CM299</f>
        <v>566254.29410853039</v>
      </c>
      <c r="N299" s="633">
        <f>'Corrected and Updated TSF 3'!CN299</f>
        <v>30000</v>
      </c>
      <c r="O299" s="633">
        <f>'Corrected and Updated TSF 3'!CO299</f>
        <v>536254.29410853039</v>
      </c>
      <c r="P299" s="401">
        <f>'Corrected and Updated TSF 3'!CP299</f>
        <v>30</v>
      </c>
      <c r="Q299" s="633">
        <f>'Corrected and Updated TSF 3'!CQ299</f>
        <v>17875.143136951014</v>
      </c>
      <c r="R299" s="633">
        <f>'Corrected and Updated TSF 3'!CS299</f>
        <v>3963780.0587597126</v>
      </c>
      <c r="S299" s="633">
        <f>'Corrected and Updated TSF 3'!CT299</f>
        <v>30731.144605837257</v>
      </c>
      <c r="T299" s="635">
        <f>'Corrected and Updated TSF 3'!CU299</f>
        <v>35627.575762543238</v>
      </c>
      <c r="U299" s="636">
        <f>'Corrected and Updated TSF 3'!CV299</f>
        <v>46022.84745796986</v>
      </c>
      <c r="V299" s="636">
        <f>'Corrected and Updated TSF 3'!CW299</f>
        <v>78487.595913779413</v>
      </c>
      <c r="W299" s="1102">
        <f>'Corrected and Updated TSF 3'!CX299</f>
        <v>321990.45310459367</v>
      </c>
      <c r="X299" s="1102">
        <f>'Corrected and Updated TSF 3'!CY299</f>
        <v>127410.05378793798</v>
      </c>
      <c r="Y299" s="1102">
        <f>'Corrected and Updated TSF 3'!CZ299</f>
        <v>92026.477317641591</v>
      </c>
      <c r="Z299" s="1102">
        <f>'Corrected and Updated TSF 3'!DA299</f>
        <v>70036.385918925502</v>
      </c>
      <c r="AA299" s="821">
        <f>L299-'Corrected and Updated TSF 3'!CL299</f>
        <v>0</v>
      </c>
      <c r="AB299" s="678">
        <f>N299-'Corrected and Updated TSF 3'!CN299</f>
        <v>0</v>
      </c>
      <c r="AC299" s="678">
        <f>Q299-'Corrected and Updated TSF 3'!CQ299</f>
        <v>0</v>
      </c>
      <c r="AD299" s="497"/>
      <c r="AE299" s="497"/>
      <c r="AF299" s="497"/>
      <c r="AG299" s="497"/>
      <c r="AH299" s="677"/>
      <c r="AI299" s="677"/>
      <c r="AJ299" s="677"/>
      <c r="AK299" s="677"/>
    </row>
    <row r="300" spans="1:37" s="521" customFormat="1">
      <c r="A300" s="631" t="str">
        <f t="shared" si="4"/>
        <v>W-12O</v>
      </c>
      <c r="B300" s="632" t="str">
        <f>'Corrected and Updated TSF 3'!EP300</f>
        <v>UNSOLD</v>
      </c>
      <c r="C300" s="973" t="str">
        <f>'Corrected and Updated TSF 3'!E300</f>
        <v>12th Floor</v>
      </c>
      <c r="D300" s="974">
        <f>'INTERNAL PRICELIST'!D300</f>
        <v>0</v>
      </c>
      <c r="E300" s="975" t="str">
        <f>'Corrected and Updated TSF 3'!G300</f>
        <v>W-12O</v>
      </c>
      <c r="F300" s="976" t="str">
        <f>'Corrected and Updated TSF 3'!I300</f>
        <v>Studio</v>
      </c>
      <c r="G300" s="977">
        <f>'Corrected and Updated TSF 3'!J300</f>
        <v>22</v>
      </c>
      <c r="H300" s="977">
        <f>'Corrected and Updated TSF 3'!CG300</f>
        <v>4108640.4606211036</v>
      </c>
      <c r="I300" s="977">
        <f>SUM('Corrected and Updated TSF 3'!CI300:CJ300)</f>
        <v>523851.65872919071</v>
      </c>
      <c r="J300" s="977">
        <f>'Corrected and Updated TSF 3'!CH300</f>
        <v>0</v>
      </c>
      <c r="K300" s="977">
        <f>'Corrected and Updated TSF 3'!CK300</f>
        <v>4632492.1193502946</v>
      </c>
      <c r="L300" s="978">
        <f>'Corrected and Updated TSF 3'!CL300</f>
        <v>0.125</v>
      </c>
      <c r="M300" s="977">
        <f>'Corrected and Updated TSF 3'!CM300</f>
        <v>579061.51491878682</v>
      </c>
      <c r="N300" s="977">
        <f>'Corrected and Updated TSF 3'!CN300</f>
        <v>30000</v>
      </c>
      <c r="O300" s="977">
        <f>'Corrected and Updated TSF 3'!CO300</f>
        <v>549061.51491878682</v>
      </c>
      <c r="P300" s="976">
        <f>'Corrected and Updated TSF 3'!CP300</f>
        <v>30</v>
      </c>
      <c r="Q300" s="977">
        <f>'Corrected and Updated TSF 3'!CQ300</f>
        <v>18302.050497292894</v>
      </c>
      <c r="R300" s="977">
        <f>'Corrected and Updated TSF 3'!CS300</f>
        <v>4053430.6044315076</v>
      </c>
      <c r="S300" s="977">
        <f>'Corrected and Updated TSF 3'!CT300</f>
        <v>31426.204332207191</v>
      </c>
      <c r="T300" s="636">
        <f>'Corrected and Updated TSF 3'!CU300</f>
        <v>36433.380212014803</v>
      </c>
      <c r="U300" s="636">
        <f>'Corrected and Updated TSF 3'!CV300</f>
        <v>47063.76630987705</v>
      </c>
      <c r="V300" s="636">
        <f>'Corrected and Updated TSF 3'!CW300</f>
        <v>80262.784167877297</v>
      </c>
      <c r="W300" s="1102">
        <f>'Corrected and Updated TSF 3'!CX300</f>
        <v>329273.05188505375</v>
      </c>
      <c r="X300" s="1102">
        <f>'Corrected and Updated TSF 3'!CY300</f>
        <v>130291.7426497906</v>
      </c>
      <c r="Y300" s="1102">
        <f>'Corrected and Updated TSF 3'!CZ300</f>
        <v>94107.880368637605</v>
      </c>
      <c r="Z300" s="1102">
        <f>'Corrected and Updated TSF 3'!DA300</f>
        <v>71620.429463580891</v>
      </c>
      <c r="AA300" s="821">
        <f>L300-'Corrected and Updated TSF 3'!CL300</f>
        <v>0</v>
      </c>
      <c r="AB300" s="678">
        <f>N300-'Corrected and Updated TSF 3'!CN300</f>
        <v>0</v>
      </c>
      <c r="AC300" s="678">
        <f>Q300-'Corrected and Updated TSF 3'!CQ300</f>
        <v>0</v>
      </c>
      <c r="AD300" s="497"/>
      <c r="AE300" s="497"/>
      <c r="AF300" s="497"/>
      <c r="AG300" s="497"/>
      <c r="AH300" s="677"/>
      <c r="AI300" s="677"/>
      <c r="AJ300" s="677"/>
      <c r="AK300" s="677"/>
    </row>
    <row r="301" spans="1:37" s="521" customFormat="1" ht="12.75" hidden="1" customHeight="1">
      <c r="A301" s="631" t="str">
        <f t="shared" si="4"/>
        <v>W-12P</v>
      </c>
      <c r="B301" s="632" t="str">
        <f>'Corrected and Updated TSF 3'!EP301</f>
        <v>SOLD</v>
      </c>
      <c r="C301" s="973" t="str">
        <f>'Corrected and Updated TSF 3'!E301</f>
        <v>12th Floor</v>
      </c>
      <c r="D301" s="974">
        <f>'INTERNAL PRICELIST'!D301</f>
        <v>0</v>
      </c>
      <c r="E301" s="975" t="str">
        <f>'Corrected and Updated TSF 3'!G301</f>
        <v>W-12P</v>
      </c>
      <c r="F301" s="976" t="str">
        <f>'Corrected and Updated TSF 3'!I301</f>
        <v>Studio</v>
      </c>
      <c r="G301" s="977">
        <f>'Corrected and Updated TSF 3'!J301</f>
        <v>22</v>
      </c>
      <c r="H301" s="977">
        <f>'Corrected and Updated TSF 3'!CG301</f>
        <v>4073445.2174576242</v>
      </c>
      <c r="I301" s="977">
        <f>SUM('Corrected and Updated TSF 3'!CI301:CJ301)</f>
        <v>519364.26522584702</v>
      </c>
      <c r="J301" s="977">
        <f>'Corrected and Updated TSF 3'!CH301</f>
        <v>0</v>
      </c>
      <c r="K301" s="977">
        <f>'Corrected and Updated TSF 3'!CK301</f>
        <v>4592809.4826834714</v>
      </c>
      <c r="L301" s="978">
        <f>'Corrected and Updated TSF 3'!CL301</f>
        <v>0.125</v>
      </c>
      <c r="M301" s="977">
        <f>'Corrected and Updated TSF 3'!CM301</f>
        <v>574101.18533543393</v>
      </c>
      <c r="N301" s="977">
        <f>'Corrected and Updated TSF 3'!CN301</f>
        <v>30000</v>
      </c>
      <c r="O301" s="977">
        <f>'Corrected and Updated TSF 3'!CO301</f>
        <v>544101.18533543393</v>
      </c>
      <c r="P301" s="976">
        <f>'Corrected and Updated TSF 3'!CP301</f>
        <v>30</v>
      </c>
      <c r="Q301" s="977">
        <f>'Corrected and Updated TSF 3'!CQ301</f>
        <v>18136.706177847798</v>
      </c>
      <c r="R301" s="977">
        <f>'Corrected and Updated TSF 3'!CS301</f>
        <v>4018708.2973480374</v>
      </c>
      <c r="S301" s="977">
        <f>'Corrected and Updated TSF 3'!CT301</f>
        <v>31157.002654966735</v>
      </c>
      <c r="T301" s="636">
        <f>'Corrected and Updated TSF 3'!CU301</f>
        <v>36121.286299656378</v>
      </c>
      <c r="U301" s="636">
        <f>'Corrected and Updated TSF 3'!CV301</f>
        <v>46660.610882834662</v>
      </c>
      <c r="V301" s="636">
        <f>'Corrected and Updated TSF 3'!CW301</f>
        <v>79575.240871538525</v>
      </c>
      <c r="W301" s="1102">
        <f>'Corrected and Updated TSF 3'!CX301</f>
        <v>326452.44851531438</v>
      </c>
      <c r="X301" s="1102">
        <f>'Corrected and Updated TSF 3'!CY301</f>
        <v>129175.64363633259</v>
      </c>
      <c r="Y301" s="1102">
        <f>'Corrected and Updated TSF 3'!CZ301</f>
        <v>93301.737858744411</v>
      </c>
      <c r="Z301" s="1102">
        <f>'Corrected and Updated TSF 3'!DA301</f>
        <v>71006.917900667817</v>
      </c>
      <c r="AA301" s="821">
        <f>L301-'Corrected and Updated TSF 3'!CL301</f>
        <v>0</v>
      </c>
      <c r="AB301" s="678">
        <f>N301-'Corrected and Updated TSF 3'!CN301</f>
        <v>0</v>
      </c>
      <c r="AC301" s="678">
        <f>Q301-'Corrected and Updated TSF 3'!CQ301</f>
        <v>0</v>
      </c>
      <c r="AD301" s="497"/>
      <c r="AE301" s="497"/>
      <c r="AF301" s="497"/>
      <c r="AG301" s="497"/>
      <c r="AH301" s="677"/>
      <c r="AI301" s="677"/>
      <c r="AJ301" s="677"/>
      <c r="AK301" s="677"/>
    </row>
    <row r="302" spans="1:37" s="521" customFormat="1" ht="12.75" customHeight="1">
      <c r="A302" s="631" t="str">
        <f t="shared" si="4"/>
        <v>E-12A</v>
      </c>
      <c r="B302" s="632" t="str">
        <f>'Corrected and Updated TSF 3'!EP302</f>
        <v>UNSOLD</v>
      </c>
      <c r="C302" s="820" t="str">
        <f>'Corrected and Updated TSF 3'!E302</f>
        <v>12th Floor</v>
      </c>
      <c r="D302" s="628">
        <f>'INTERNAL PRICELIST'!D302</f>
        <v>0</v>
      </c>
      <c r="E302" s="596" t="str">
        <f>'Corrected and Updated TSF 3'!G302</f>
        <v>E-12A</v>
      </c>
      <c r="F302" s="401" t="str">
        <f>'Corrected and Updated TSF 3'!I302</f>
        <v>Studio</v>
      </c>
      <c r="G302" s="633">
        <f>'Corrected and Updated TSF 3'!J302</f>
        <v>22</v>
      </c>
      <c r="H302" s="633">
        <f>'Corrected and Updated TSF 3'!CG302</f>
        <v>4014684.8681297214</v>
      </c>
      <c r="I302" s="633">
        <f>SUM('Corrected and Updated TSF 3'!CI302:CJ302)</f>
        <v>511872.32068653946</v>
      </c>
      <c r="J302" s="633">
        <f>'Corrected and Updated TSF 3'!CH302</f>
        <v>0</v>
      </c>
      <c r="K302" s="633">
        <f>'Corrected and Updated TSF 3'!CK302</f>
        <v>4526557.1888162605</v>
      </c>
      <c r="L302" s="634">
        <f>'Corrected and Updated TSF 3'!CL302</f>
        <v>0.125</v>
      </c>
      <c r="M302" s="633">
        <f>'Corrected and Updated TSF 3'!CM302</f>
        <v>565819.64860203257</v>
      </c>
      <c r="N302" s="633">
        <f>'Corrected and Updated TSF 3'!CN302</f>
        <v>30000</v>
      </c>
      <c r="O302" s="633">
        <f>'Corrected and Updated TSF 3'!CO302</f>
        <v>535819.64860203257</v>
      </c>
      <c r="P302" s="401">
        <f>'Corrected and Updated TSF 3'!CP302</f>
        <v>30</v>
      </c>
      <c r="Q302" s="633">
        <f>'Corrected and Updated TSF 3'!CQ302</f>
        <v>17860.654953401085</v>
      </c>
      <c r="R302" s="633">
        <f>'Corrected and Updated TSF 3'!CS302</f>
        <v>3960737.540214228</v>
      </c>
      <c r="S302" s="633">
        <f>'Corrected and Updated TSF 3'!CT302</f>
        <v>30707.555991938105</v>
      </c>
      <c r="T302" s="635">
        <f>'Corrected and Updated TSF 3'!CU302</f>
        <v>35600.228745710498</v>
      </c>
      <c r="U302" s="636">
        <f>'Corrected and Updated TSF 3'!CV302</f>
        <v>45987.521237838788</v>
      </c>
      <c r="V302" s="636">
        <f>'Corrected and Updated TSF 3'!CW302</f>
        <v>78427.35039999758</v>
      </c>
      <c r="W302" s="1102">
        <f>'Corrected and Updated TSF 3'!CX302</f>
        <v>321743.29965245532</v>
      </c>
      <c r="X302" s="1102">
        <f>'Corrected and Updated TSF 3'!CY302</f>
        <v>127312.25637088041</v>
      </c>
      <c r="Y302" s="1102">
        <f>'Corrected and Updated TSF 3'!CZ302</f>
        <v>91955.839628424743</v>
      </c>
      <c r="Z302" s="1102">
        <f>'Corrected and Updated TSF 3'!DA302</f>
        <v>69982.627385440239</v>
      </c>
      <c r="AA302" s="821">
        <f>L302-'Corrected and Updated TSF 3'!CL302</f>
        <v>0</v>
      </c>
      <c r="AB302" s="678">
        <f>N302-'Corrected and Updated TSF 3'!CN302</f>
        <v>0</v>
      </c>
      <c r="AC302" s="678">
        <f>Q302-'Corrected and Updated TSF 3'!CQ302</f>
        <v>0</v>
      </c>
      <c r="AD302" s="497"/>
      <c r="AE302" s="497"/>
      <c r="AF302" s="497"/>
      <c r="AG302" s="497"/>
      <c r="AH302" s="677"/>
      <c r="AI302" s="677"/>
      <c r="AJ302" s="677"/>
      <c r="AK302" s="677"/>
    </row>
    <row r="303" spans="1:37" s="521" customFormat="1" ht="12.75" hidden="1" customHeight="1">
      <c r="A303" s="631" t="str">
        <f t="shared" si="4"/>
        <v>E-12B</v>
      </c>
      <c r="B303" s="632" t="str">
        <f>'Corrected and Updated TSF 3'!EP303</f>
        <v>SOLD</v>
      </c>
      <c r="C303" s="820" t="str">
        <f>'Corrected and Updated TSF 3'!E303</f>
        <v>12th Floor</v>
      </c>
      <c r="D303" s="628">
        <f>'INTERNAL PRICELIST'!D303</f>
        <v>0</v>
      </c>
      <c r="E303" s="596" t="str">
        <f>'Corrected and Updated TSF 3'!G303</f>
        <v>E-12B</v>
      </c>
      <c r="F303" s="401" t="str">
        <f>'Corrected and Updated TSF 3'!I303</f>
        <v>Studio</v>
      </c>
      <c r="G303" s="633">
        <f>'Corrected and Updated TSF 3'!J303</f>
        <v>22</v>
      </c>
      <c r="H303" s="633">
        <f>'Corrected and Updated TSF 3'!CG303</f>
        <v>3978891.2339909161</v>
      </c>
      <c r="I303" s="633">
        <f>SUM('Corrected and Updated TSF 3'!CI303:CJ303)</f>
        <v>507308.63233384176</v>
      </c>
      <c r="J303" s="633">
        <f>'Corrected and Updated TSF 3'!CH303</f>
        <v>0</v>
      </c>
      <c r="K303" s="633">
        <f>'Corrected and Updated TSF 3'!CK303</f>
        <v>4486199.8663247572</v>
      </c>
      <c r="L303" s="634">
        <f>'Corrected and Updated TSF 3'!CL303</f>
        <v>0.125</v>
      </c>
      <c r="M303" s="633">
        <f>'Corrected and Updated TSF 3'!CM303</f>
        <v>560774.98329059465</v>
      </c>
      <c r="N303" s="633">
        <f>'Corrected and Updated TSF 3'!CN303</f>
        <v>30000</v>
      </c>
      <c r="O303" s="633">
        <f>'Corrected and Updated TSF 3'!CO303</f>
        <v>530774.98329059465</v>
      </c>
      <c r="P303" s="401">
        <f>'Corrected and Updated TSF 3'!CP303</f>
        <v>30</v>
      </c>
      <c r="Q303" s="633">
        <f>'Corrected and Updated TSF 3'!CQ303</f>
        <v>17692.49944301982</v>
      </c>
      <c r="R303" s="633">
        <f>'Corrected and Updated TSF 3'!CS303</f>
        <v>3925424.8830341627</v>
      </c>
      <c r="S303" s="633">
        <f>'Corrected and Updated TSF 3'!CT303</f>
        <v>30433.777336682313</v>
      </c>
      <c r="T303" s="635">
        <f>'Corrected and Updated TSF 3'!CU303</f>
        <v>35282.828599786866</v>
      </c>
      <c r="U303" s="636">
        <f>'Corrected and Updated TSF 3'!CV303</f>
        <v>45577.511345604187</v>
      </c>
      <c r="V303" s="636">
        <f>'Corrected and Updated TSF 3'!CW303</f>
        <v>77728.117464187817</v>
      </c>
      <c r="W303" s="1102">
        <f>'Corrected and Updated TSF 3'!CX303</f>
        <v>318874.74026793323</v>
      </c>
      <c r="X303" s="1102">
        <f>'Corrected and Updated TSF 3'!CY303</f>
        <v>126177.18139598006</v>
      </c>
      <c r="Y303" s="1102">
        <f>'Corrected and Updated TSF 3'!CZ303</f>
        <v>91135.991050341981</v>
      </c>
      <c r="Z303" s="1102">
        <f>'Corrected and Updated TSF 3'!DA303</f>
        <v>69358.684873640115</v>
      </c>
      <c r="AA303" s="821">
        <f>L303-'Corrected and Updated TSF 3'!CL303</f>
        <v>0</v>
      </c>
      <c r="AB303" s="678">
        <f>N303-'Corrected and Updated TSF 3'!CN303</f>
        <v>0</v>
      </c>
      <c r="AC303" s="678">
        <f>Q303-'Corrected and Updated TSF 3'!CQ303</f>
        <v>0</v>
      </c>
      <c r="AD303" s="497"/>
      <c r="AE303" s="497"/>
      <c r="AF303" s="497"/>
      <c r="AG303" s="497"/>
      <c r="AH303" s="677"/>
      <c r="AI303" s="677"/>
      <c r="AJ303" s="677"/>
      <c r="AK303" s="677"/>
    </row>
    <row r="304" spans="1:37" s="521" customFormat="1" ht="12.75" hidden="1" customHeight="1">
      <c r="A304" s="631" t="str">
        <f t="shared" si="4"/>
        <v>E-12C</v>
      </c>
      <c r="B304" s="632" t="str">
        <f>'Corrected and Updated TSF 3'!EP304</f>
        <v>SOLD</v>
      </c>
      <c r="C304" s="820" t="str">
        <f>'Corrected and Updated TSF 3'!E304</f>
        <v>12th Floor</v>
      </c>
      <c r="D304" s="628">
        <f>'INTERNAL PRICELIST'!D304</f>
        <v>0</v>
      </c>
      <c r="E304" s="596" t="str">
        <f>'Corrected and Updated TSF 3'!G304</f>
        <v>E-12C</v>
      </c>
      <c r="F304" s="401" t="str">
        <f>'Corrected and Updated TSF 3'!I304</f>
        <v>Studio</v>
      </c>
      <c r="G304" s="633">
        <f>'Corrected and Updated TSF 3'!J304</f>
        <v>22</v>
      </c>
      <c r="H304" s="633">
        <f>'Corrected and Updated TSF 3'!CG304</f>
        <v>3978891.2339909161</v>
      </c>
      <c r="I304" s="633">
        <f>SUM('Corrected and Updated TSF 3'!CI304:CJ304)</f>
        <v>507308.63233384176</v>
      </c>
      <c r="J304" s="633">
        <f>'Corrected and Updated TSF 3'!CH304</f>
        <v>0</v>
      </c>
      <c r="K304" s="633">
        <f>'Corrected and Updated TSF 3'!CK304</f>
        <v>4486199.8663247572</v>
      </c>
      <c r="L304" s="634">
        <f>'Corrected and Updated TSF 3'!CL304</f>
        <v>0.125</v>
      </c>
      <c r="M304" s="633">
        <f>'Corrected and Updated TSF 3'!CM304</f>
        <v>560774.98329059465</v>
      </c>
      <c r="N304" s="633">
        <f>'Corrected and Updated TSF 3'!CN304</f>
        <v>30000</v>
      </c>
      <c r="O304" s="633">
        <f>'Corrected and Updated TSF 3'!CO304</f>
        <v>530774.98329059465</v>
      </c>
      <c r="P304" s="401">
        <f>'Corrected and Updated TSF 3'!CP304</f>
        <v>30</v>
      </c>
      <c r="Q304" s="633">
        <f>'Corrected and Updated TSF 3'!CQ304</f>
        <v>17692.49944301982</v>
      </c>
      <c r="R304" s="633">
        <f>'Corrected and Updated TSF 3'!CS304</f>
        <v>3925424.8830341627</v>
      </c>
      <c r="S304" s="633">
        <f>'Corrected and Updated TSF 3'!CT304</f>
        <v>30433.777336682313</v>
      </c>
      <c r="T304" s="635">
        <f>'Corrected and Updated TSF 3'!CU304</f>
        <v>35282.828599786866</v>
      </c>
      <c r="U304" s="636">
        <f>'Corrected and Updated TSF 3'!CV304</f>
        <v>45577.511345604187</v>
      </c>
      <c r="V304" s="636">
        <f>'Corrected and Updated TSF 3'!CW304</f>
        <v>77728.117464187817</v>
      </c>
      <c r="W304" s="1102">
        <f>'Corrected and Updated TSF 3'!CX304</f>
        <v>318874.74026793323</v>
      </c>
      <c r="X304" s="1102">
        <f>'Corrected and Updated TSF 3'!CY304</f>
        <v>126177.18139598006</v>
      </c>
      <c r="Y304" s="1102">
        <f>'Corrected and Updated TSF 3'!CZ304</f>
        <v>91135.991050341981</v>
      </c>
      <c r="Z304" s="1102">
        <f>'Corrected and Updated TSF 3'!DA304</f>
        <v>69358.684873640115</v>
      </c>
      <c r="AA304" s="821">
        <f>L304-'Corrected and Updated TSF 3'!CL304</f>
        <v>0</v>
      </c>
      <c r="AB304" s="678">
        <f>N304-'Corrected and Updated TSF 3'!CN304</f>
        <v>0</v>
      </c>
      <c r="AC304" s="678">
        <f>Q304-'Corrected and Updated TSF 3'!CQ304</f>
        <v>0</v>
      </c>
      <c r="AD304" s="497"/>
      <c r="AE304" s="497"/>
      <c r="AF304" s="497"/>
      <c r="AG304" s="497"/>
      <c r="AH304" s="677"/>
      <c r="AI304" s="677"/>
      <c r="AJ304" s="677"/>
      <c r="AK304" s="677"/>
    </row>
    <row r="305" spans="1:47" s="521" customFormat="1" ht="12.75" hidden="1" customHeight="1">
      <c r="A305" s="631" t="str">
        <f t="shared" si="4"/>
        <v>E-12D</v>
      </c>
      <c r="B305" s="632" t="str">
        <f>'Corrected and Updated TSF 3'!EP305</f>
        <v>SOLD</v>
      </c>
      <c r="C305" s="820" t="str">
        <f>'Corrected and Updated TSF 3'!E305</f>
        <v>12th Floor</v>
      </c>
      <c r="D305" s="628">
        <f>'INTERNAL PRICELIST'!D305</f>
        <v>0</v>
      </c>
      <c r="E305" s="596" t="str">
        <f>'Corrected and Updated TSF 3'!G305</f>
        <v>E-12D</v>
      </c>
      <c r="F305" s="401" t="str">
        <f>'Corrected and Updated TSF 3'!I305</f>
        <v>Studio</v>
      </c>
      <c r="G305" s="633">
        <f>'Corrected and Updated TSF 3'!J305</f>
        <v>22</v>
      </c>
      <c r="H305" s="633">
        <f>'Corrected and Updated TSF 3'!CG305</f>
        <v>3978891.2339909161</v>
      </c>
      <c r="I305" s="633">
        <f>SUM('Corrected and Updated TSF 3'!CI305:CJ305)</f>
        <v>507308.63233384176</v>
      </c>
      <c r="J305" s="633">
        <f>'Corrected and Updated TSF 3'!CH305</f>
        <v>0</v>
      </c>
      <c r="K305" s="633">
        <f>'Corrected and Updated TSF 3'!CK305</f>
        <v>4486199.8663247572</v>
      </c>
      <c r="L305" s="634">
        <f>'Corrected and Updated TSF 3'!CL305</f>
        <v>0.125</v>
      </c>
      <c r="M305" s="633">
        <f>'Corrected and Updated TSF 3'!CM305</f>
        <v>560774.98329059465</v>
      </c>
      <c r="N305" s="633">
        <f>'Corrected and Updated TSF 3'!CN305</f>
        <v>30000</v>
      </c>
      <c r="O305" s="633">
        <f>'Corrected and Updated TSF 3'!CO305</f>
        <v>530774.98329059465</v>
      </c>
      <c r="P305" s="401">
        <f>'Corrected and Updated TSF 3'!CP305</f>
        <v>30</v>
      </c>
      <c r="Q305" s="633">
        <f>'Corrected and Updated TSF 3'!CQ305</f>
        <v>17692.49944301982</v>
      </c>
      <c r="R305" s="633">
        <f>'Corrected and Updated TSF 3'!CS305</f>
        <v>3925424.8830341627</v>
      </c>
      <c r="S305" s="633">
        <f>'Corrected and Updated TSF 3'!CT305</f>
        <v>30433.777336682313</v>
      </c>
      <c r="T305" s="635">
        <f>'Corrected and Updated TSF 3'!CU305</f>
        <v>35282.828599786866</v>
      </c>
      <c r="U305" s="636">
        <f>'Corrected and Updated TSF 3'!CV305</f>
        <v>45577.511345604187</v>
      </c>
      <c r="V305" s="636">
        <f>'Corrected and Updated TSF 3'!CW305</f>
        <v>77728.117464187817</v>
      </c>
      <c r="W305" s="1102">
        <f>'Corrected and Updated TSF 3'!CX305</f>
        <v>318874.74026793323</v>
      </c>
      <c r="X305" s="1102">
        <f>'Corrected and Updated TSF 3'!CY305</f>
        <v>126177.18139598006</v>
      </c>
      <c r="Y305" s="1102">
        <f>'Corrected and Updated TSF 3'!CZ305</f>
        <v>91135.991050341981</v>
      </c>
      <c r="Z305" s="1102">
        <f>'Corrected and Updated TSF 3'!DA305</f>
        <v>69358.684873640115</v>
      </c>
      <c r="AA305" s="821">
        <f>L305-'Corrected and Updated TSF 3'!CL305</f>
        <v>0</v>
      </c>
      <c r="AB305" s="678">
        <f>N305-'Corrected and Updated TSF 3'!CN305</f>
        <v>0</v>
      </c>
      <c r="AC305" s="678">
        <f>Q305-'Corrected and Updated TSF 3'!CQ305</f>
        <v>0</v>
      </c>
      <c r="AD305" s="497"/>
      <c r="AE305" s="497"/>
      <c r="AF305" s="497"/>
      <c r="AG305" s="497"/>
      <c r="AH305" s="677"/>
      <c r="AI305" s="677"/>
      <c r="AJ305" s="677"/>
      <c r="AK305" s="677"/>
    </row>
    <row r="306" spans="1:47" s="521" customFormat="1" hidden="1">
      <c r="A306" s="631" t="str">
        <f t="shared" si="4"/>
        <v>E-12E</v>
      </c>
      <c r="B306" s="632" t="str">
        <f>'Corrected and Updated TSF 3'!EP306</f>
        <v>SOLD</v>
      </c>
      <c r="C306" s="820" t="str">
        <f>'Corrected and Updated TSF 3'!E306</f>
        <v>12th Floor</v>
      </c>
      <c r="D306" s="628">
        <f>'INTERNAL PRICELIST'!D306</f>
        <v>0</v>
      </c>
      <c r="E306" s="596" t="str">
        <f>'Corrected and Updated TSF 3'!G306</f>
        <v>E-12E</v>
      </c>
      <c r="F306" s="401" t="str">
        <f>'Corrected and Updated TSF 3'!I306</f>
        <v>Studio</v>
      </c>
      <c r="G306" s="633">
        <f>'Corrected and Updated TSF 3'!J306</f>
        <v>22</v>
      </c>
      <c r="H306" s="633">
        <f>'Corrected and Updated TSF 3'!CG306</f>
        <v>3978891.2339909161</v>
      </c>
      <c r="I306" s="633">
        <f>SUM('Corrected and Updated TSF 3'!CI306:CJ306)</f>
        <v>507308.63233384176</v>
      </c>
      <c r="J306" s="633">
        <f>'Corrected and Updated TSF 3'!CH306</f>
        <v>0</v>
      </c>
      <c r="K306" s="633">
        <f>'Corrected and Updated TSF 3'!CK306</f>
        <v>4486199.8663247572</v>
      </c>
      <c r="L306" s="634">
        <f>'Corrected and Updated TSF 3'!CL306</f>
        <v>0.125</v>
      </c>
      <c r="M306" s="633">
        <f>'Corrected and Updated TSF 3'!CM306</f>
        <v>560774.98329059465</v>
      </c>
      <c r="N306" s="633">
        <f>'Corrected and Updated TSF 3'!CN306</f>
        <v>30000</v>
      </c>
      <c r="O306" s="633">
        <f>'Corrected and Updated TSF 3'!CO306</f>
        <v>530774.98329059465</v>
      </c>
      <c r="P306" s="401">
        <f>'Corrected and Updated TSF 3'!CP306</f>
        <v>30</v>
      </c>
      <c r="Q306" s="633">
        <f>'Corrected and Updated TSF 3'!CQ306</f>
        <v>17692.49944301982</v>
      </c>
      <c r="R306" s="633">
        <f>'Corrected and Updated TSF 3'!CS306</f>
        <v>3925424.8830341627</v>
      </c>
      <c r="S306" s="633">
        <f>'Corrected and Updated TSF 3'!CT306</f>
        <v>30433.777336682313</v>
      </c>
      <c r="T306" s="635">
        <f>'Corrected and Updated TSF 3'!CU306</f>
        <v>35282.828599786866</v>
      </c>
      <c r="U306" s="636">
        <f>'Corrected and Updated TSF 3'!CV306</f>
        <v>45577.511345604187</v>
      </c>
      <c r="V306" s="636">
        <f>'Corrected and Updated TSF 3'!CW306</f>
        <v>77728.117464187817</v>
      </c>
      <c r="W306" s="1102">
        <f>'Corrected and Updated TSF 3'!CX306</f>
        <v>318874.74026793323</v>
      </c>
      <c r="X306" s="1102">
        <f>'Corrected and Updated TSF 3'!CY306</f>
        <v>126177.18139598006</v>
      </c>
      <c r="Y306" s="1102">
        <f>'Corrected and Updated TSF 3'!CZ306</f>
        <v>91135.991050341981</v>
      </c>
      <c r="Z306" s="1102">
        <f>'Corrected and Updated TSF 3'!DA306</f>
        <v>69358.684873640115</v>
      </c>
      <c r="AA306" s="821">
        <f>L306-'Corrected and Updated TSF 3'!CL306</f>
        <v>0</v>
      </c>
      <c r="AB306" s="678">
        <f>N306-'Corrected and Updated TSF 3'!CN306</f>
        <v>0</v>
      </c>
      <c r="AC306" s="678">
        <f>Q306-'Corrected and Updated TSF 3'!CQ306</f>
        <v>0</v>
      </c>
      <c r="AD306" s="497"/>
      <c r="AE306" s="497"/>
      <c r="AF306" s="497"/>
      <c r="AG306" s="497"/>
      <c r="AH306" s="677"/>
      <c r="AI306" s="677"/>
      <c r="AJ306" s="677"/>
      <c r="AK306" s="677"/>
    </row>
    <row r="307" spans="1:47" s="521" customFormat="1" ht="12.75" hidden="1" customHeight="1">
      <c r="A307" s="631" t="str">
        <f t="shared" si="4"/>
        <v>E-12F</v>
      </c>
      <c r="B307" s="632" t="str">
        <f>'Corrected and Updated TSF 3'!EP307</f>
        <v>SOLD</v>
      </c>
      <c r="C307" s="820" t="str">
        <f>'Corrected and Updated TSF 3'!E307</f>
        <v>12th Floor</v>
      </c>
      <c r="D307" s="628">
        <f>'INTERNAL PRICELIST'!D307</f>
        <v>0</v>
      </c>
      <c r="E307" s="1146" t="str">
        <f>'Corrected and Updated TSF 3'!G307</f>
        <v>E-12F</v>
      </c>
      <c r="F307" s="401" t="str">
        <f>'Corrected and Updated TSF 3'!I307</f>
        <v>Studio</v>
      </c>
      <c r="G307" s="633">
        <f>'Corrected and Updated TSF 3'!J307</f>
        <v>22</v>
      </c>
      <c r="H307" s="633">
        <f>'Corrected and Updated TSF 3'!CG307</f>
        <v>3978891.2339909161</v>
      </c>
      <c r="I307" s="633">
        <f>SUM('Corrected and Updated TSF 3'!CI307:CJ307)</f>
        <v>507308.63233384176</v>
      </c>
      <c r="J307" s="633">
        <f>'Corrected and Updated TSF 3'!CH307</f>
        <v>0</v>
      </c>
      <c r="K307" s="633">
        <f>'Corrected and Updated TSF 3'!CK307</f>
        <v>4486199.8663247572</v>
      </c>
      <c r="L307" s="634">
        <f>'Corrected and Updated TSF 3'!CL307</f>
        <v>0.125</v>
      </c>
      <c r="M307" s="633">
        <f>'Corrected and Updated TSF 3'!CM307</f>
        <v>560774.98329059465</v>
      </c>
      <c r="N307" s="633">
        <f>'Corrected and Updated TSF 3'!CN307</f>
        <v>30000</v>
      </c>
      <c r="O307" s="633">
        <f>'Corrected and Updated TSF 3'!CO307</f>
        <v>530774.98329059465</v>
      </c>
      <c r="P307" s="401">
        <f>'Corrected and Updated TSF 3'!CP307</f>
        <v>30</v>
      </c>
      <c r="Q307" s="633">
        <f>'Corrected and Updated TSF 3'!CQ307</f>
        <v>17692.49944301982</v>
      </c>
      <c r="R307" s="633">
        <f>'Corrected and Updated TSF 3'!CS307</f>
        <v>3925424.8830341627</v>
      </c>
      <c r="S307" s="633">
        <f>'Corrected and Updated TSF 3'!CT307</f>
        <v>30433.777336682313</v>
      </c>
      <c r="T307" s="635">
        <f>'Corrected and Updated TSF 3'!CU307</f>
        <v>35282.828599786866</v>
      </c>
      <c r="U307" s="636">
        <f>'Corrected and Updated TSF 3'!CV307</f>
        <v>45577.511345604187</v>
      </c>
      <c r="V307" s="636">
        <f>'Corrected and Updated TSF 3'!CW307</f>
        <v>77728.117464187817</v>
      </c>
      <c r="W307" s="1102">
        <f>'Corrected and Updated TSF 3'!CX307</f>
        <v>318874.74026793323</v>
      </c>
      <c r="X307" s="1102">
        <f>'Corrected and Updated TSF 3'!CY307</f>
        <v>126177.18139598006</v>
      </c>
      <c r="Y307" s="1102">
        <f>'Corrected and Updated TSF 3'!CZ307</f>
        <v>91135.991050341981</v>
      </c>
      <c r="Z307" s="1102">
        <f>'Corrected and Updated TSF 3'!DA307</f>
        <v>69358.684873640115</v>
      </c>
      <c r="AA307" s="821">
        <f>L307-'Corrected and Updated TSF 3'!CL307</f>
        <v>0</v>
      </c>
      <c r="AB307" s="678">
        <f>N307-'Corrected and Updated TSF 3'!CN307</f>
        <v>0</v>
      </c>
      <c r="AC307" s="678">
        <f>Q307-'Corrected and Updated TSF 3'!CQ307</f>
        <v>0</v>
      </c>
      <c r="AD307" s="497"/>
      <c r="AE307" s="497"/>
      <c r="AF307" s="497"/>
      <c r="AG307" s="497"/>
      <c r="AH307" s="677"/>
      <c r="AI307" s="677"/>
      <c r="AJ307" s="677"/>
      <c r="AK307" s="677"/>
    </row>
    <row r="308" spans="1:47" s="521" customFormat="1" ht="12.75" hidden="1" customHeight="1">
      <c r="A308" s="631" t="str">
        <f t="shared" si="4"/>
        <v>E-12G</v>
      </c>
      <c r="B308" s="632" t="str">
        <f>'Corrected and Updated TSF 3'!EP308</f>
        <v>SOLD</v>
      </c>
      <c r="C308" s="1161" t="str">
        <f>'Corrected and Updated TSF 3'!E308</f>
        <v>12th Floor</v>
      </c>
      <c r="D308" s="1146">
        <f>'INTERNAL PRICELIST'!D308</f>
        <v>0</v>
      </c>
      <c r="E308" s="1146" t="str">
        <f>'Corrected and Updated TSF 3'!G308</f>
        <v>E-12G</v>
      </c>
      <c r="F308" s="1162" t="str">
        <f>'Corrected and Updated TSF 3'!I308</f>
        <v>Studio</v>
      </c>
      <c r="G308" s="1163">
        <f>'Corrected and Updated TSF 3'!J308</f>
        <v>22</v>
      </c>
      <c r="H308" s="1163">
        <f>'Corrected and Updated TSF 3'!CG308</f>
        <v>3978891.2339909161</v>
      </c>
      <c r="I308" s="1163">
        <f>SUM('Corrected and Updated TSF 3'!CI308:CJ308)</f>
        <v>507308.63233384176</v>
      </c>
      <c r="J308" s="1163">
        <f>'Corrected and Updated TSF 3'!CH308</f>
        <v>0</v>
      </c>
      <c r="K308" s="1163">
        <f>'Corrected and Updated TSF 3'!CK308</f>
        <v>4486199.8663247572</v>
      </c>
      <c r="L308" s="1164">
        <f>'Corrected and Updated TSF 3'!CL308</f>
        <v>0.125</v>
      </c>
      <c r="M308" s="1163">
        <f>'Corrected and Updated TSF 3'!CM308</f>
        <v>560774.98329059465</v>
      </c>
      <c r="N308" s="1163">
        <f>'Corrected and Updated TSF 3'!CN308</f>
        <v>30000</v>
      </c>
      <c r="O308" s="1163">
        <f>'Corrected and Updated TSF 3'!CO308</f>
        <v>530774.98329059465</v>
      </c>
      <c r="P308" s="1162">
        <f>'Corrected and Updated TSF 3'!CP308</f>
        <v>30</v>
      </c>
      <c r="Q308" s="1163">
        <f>'Corrected and Updated TSF 3'!CQ308</f>
        <v>17692.49944301982</v>
      </c>
      <c r="R308" s="1163">
        <f>'Corrected and Updated TSF 3'!CS308</f>
        <v>3925424.8830341627</v>
      </c>
      <c r="S308" s="1163">
        <f>'Corrected and Updated TSF 3'!CT308</f>
        <v>30433.777336682313</v>
      </c>
      <c r="T308" s="1165">
        <f>'Corrected and Updated TSF 3'!CU308</f>
        <v>35282.828599786866</v>
      </c>
      <c r="U308" s="1166">
        <f>'Corrected and Updated TSF 3'!CV308</f>
        <v>45577.511345604187</v>
      </c>
      <c r="V308" s="1166">
        <f>'Corrected and Updated TSF 3'!CW308</f>
        <v>77728.117464187817</v>
      </c>
      <c r="W308" s="1102">
        <f>'Corrected and Updated TSF 3'!CX308</f>
        <v>318874.74026793323</v>
      </c>
      <c r="X308" s="1102">
        <f>'Corrected and Updated TSF 3'!CY308</f>
        <v>126177.18139598006</v>
      </c>
      <c r="Y308" s="1102">
        <f>'Corrected and Updated TSF 3'!CZ308</f>
        <v>91135.991050341981</v>
      </c>
      <c r="Z308" s="1102">
        <f>'Corrected and Updated TSF 3'!DA308</f>
        <v>69358.684873640115</v>
      </c>
      <c r="AA308" s="821">
        <f>L308-'Corrected and Updated TSF 3'!CL308</f>
        <v>0</v>
      </c>
      <c r="AB308" s="678">
        <f>N308-'Corrected and Updated TSF 3'!CN308</f>
        <v>0</v>
      </c>
      <c r="AC308" s="678">
        <f>Q308-'Corrected and Updated TSF 3'!CQ308</f>
        <v>0</v>
      </c>
      <c r="AD308" s="497"/>
      <c r="AE308" s="497"/>
      <c r="AF308" s="497"/>
      <c r="AG308" s="497"/>
      <c r="AH308" s="677"/>
      <c r="AI308" s="677"/>
      <c r="AJ308" s="677"/>
      <c r="AK308" s="677"/>
    </row>
    <row r="309" spans="1:47" s="521" customFormat="1" hidden="1">
      <c r="A309" s="631" t="str">
        <f t="shared" si="4"/>
        <v>E-12H</v>
      </c>
      <c r="B309" s="632" t="str">
        <f>'Corrected and Updated TSF 3'!EP309</f>
        <v>SOLD</v>
      </c>
      <c r="C309" s="1161" t="str">
        <f>'Corrected and Updated TSF 3'!E309</f>
        <v>12th Floor</v>
      </c>
      <c r="D309" s="1146">
        <f>'INTERNAL PRICELIST'!D309</f>
        <v>0</v>
      </c>
      <c r="E309" s="1146" t="str">
        <f>'Corrected and Updated TSF 3'!G309</f>
        <v>E-12H</v>
      </c>
      <c r="F309" s="1162" t="str">
        <f>'Corrected and Updated TSF 3'!I309</f>
        <v>Studio</v>
      </c>
      <c r="G309" s="1163">
        <f>'Corrected and Updated TSF 3'!J309</f>
        <v>22</v>
      </c>
      <c r="H309" s="1163">
        <f>'Corrected and Updated TSF 3'!CG309</f>
        <v>3978891.2339909161</v>
      </c>
      <c r="I309" s="1163">
        <f>SUM('Corrected and Updated TSF 3'!CI309:CJ309)</f>
        <v>507308.63233384176</v>
      </c>
      <c r="J309" s="1163">
        <f>'Corrected and Updated TSF 3'!CH309</f>
        <v>0</v>
      </c>
      <c r="K309" s="1163">
        <f>'Corrected and Updated TSF 3'!CK309</f>
        <v>4486199.8663247572</v>
      </c>
      <c r="L309" s="1164">
        <f>'Corrected and Updated TSF 3'!CL309</f>
        <v>0.125</v>
      </c>
      <c r="M309" s="1163">
        <f>'Corrected and Updated TSF 3'!CM309</f>
        <v>560774.98329059465</v>
      </c>
      <c r="N309" s="1163">
        <f>'Corrected and Updated TSF 3'!CN309</f>
        <v>30000</v>
      </c>
      <c r="O309" s="1163">
        <f>'Corrected and Updated TSF 3'!CO309</f>
        <v>530774.98329059465</v>
      </c>
      <c r="P309" s="1162">
        <f>'Corrected and Updated TSF 3'!CP309</f>
        <v>30</v>
      </c>
      <c r="Q309" s="1163">
        <f>'Corrected and Updated TSF 3'!CQ309</f>
        <v>17692.49944301982</v>
      </c>
      <c r="R309" s="1163">
        <f>'Corrected and Updated TSF 3'!CS309</f>
        <v>3925424.8830341627</v>
      </c>
      <c r="S309" s="1163">
        <f>'Corrected and Updated TSF 3'!CT309</f>
        <v>30433.777336682313</v>
      </c>
      <c r="T309" s="1165">
        <f>'Corrected and Updated TSF 3'!CU309</f>
        <v>35282.828599786866</v>
      </c>
      <c r="U309" s="1166">
        <f>'Corrected and Updated TSF 3'!CV309</f>
        <v>45577.511345604187</v>
      </c>
      <c r="V309" s="1166">
        <f>'Corrected and Updated TSF 3'!CW309</f>
        <v>77728.117464187817</v>
      </c>
      <c r="W309" s="1102">
        <f>'Corrected and Updated TSF 3'!CX309</f>
        <v>318874.74026793323</v>
      </c>
      <c r="X309" s="1102">
        <f>'Corrected and Updated TSF 3'!CY309</f>
        <v>126177.18139598006</v>
      </c>
      <c r="Y309" s="1102">
        <f>'Corrected and Updated TSF 3'!CZ309</f>
        <v>91135.991050341981</v>
      </c>
      <c r="Z309" s="1102">
        <f>'Corrected and Updated TSF 3'!DA309</f>
        <v>69358.684873640115</v>
      </c>
      <c r="AA309" s="821">
        <f>L309-'Corrected and Updated TSF 3'!CL309</f>
        <v>0</v>
      </c>
      <c r="AB309" s="678">
        <f>N309-'Corrected and Updated TSF 3'!CN309</f>
        <v>0</v>
      </c>
      <c r="AC309" s="678">
        <f>Q309-'Corrected and Updated TSF 3'!CQ309</f>
        <v>0</v>
      </c>
      <c r="AD309" s="497"/>
      <c r="AE309" s="497"/>
      <c r="AF309" s="497"/>
      <c r="AG309" s="497"/>
      <c r="AH309" s="677"/>
      <c r="AI309" s="677"/>
      <c r="AJ309" s="677"/>
      <c r="AK309" s="677"/>
    </row>
    <row r="310" spans="1:47" s="521" customFormat="1" ht="12.75" hidden="1" customHeight="1">
      <c r="A310" s="631" t="str">
        <f t="shared" si="4"/>
        <v>E-12I</v>
      </c>
      <c r="B310" s="632" t="str">
        <f>'Corrected and Updated TSF 3'!EP310</f>
        <v>SOLD</v>
      </c>
      <c r="C310" s="1167" t="str">
        <f>'Corrected and Updated TSF 3'!E310</f>
        <v>12th Floor</v>
      </c>
      <c r="D310" s="1134">
        <f>'INTERNAL PRICELIST'!D310</f>
        <v>0</v>
      </c>
      <c r="E310" s="1134" t="str">
        <f>'Corrected and Updated TSF 3'!G310</f>
        <v>E-12I</v>
      </c>
      <c r="F310" s="1168" t="str">
        <f>'Corrected and Updated TSF 3'!I310</f>
        <v>Studio</v>
      </c>
      <c r="G310" s="1169">
        <f>'Corrected and Updated TSF 3'!J310</f>
        <v>22</v>
      </c>
      <c r="H310" s="1169">
        <f>'Corrected and Updated TSF 3'!CG310</f>
        <v>4073445.2174576242</v>
      </c>
      <c r="I310" s="1169">
        <f>SUM('Corrected and Updated TSF 3'!CI310:CJ310)</f>
        <v>519364.26522584702</v>
      </c>
      <c r="J310" s="1169">
        <f>'Corrected and Updated TSF 3'!CH310</f>
        <v>0</v>
      </c>
      <c r="K310" s="1169">
        <f>'Corrected and Updated TSF 3'!CK310</f>
        <v>4592809.4826834714</v>
      </c>
      <c r="L310" s="1170">
        <f>'Corrected and Updated TSF 3'!CL310</f>
        <v>0.125</v>
      </c>
      <c r="M310" s="1169">
        <f>'Corrected and Updated TSF 3'!CM310</f>
        <v>574101.18533543393</v>
      </c>
      <c r="N310" s="1169">
        <f>'Corrected and Updated TSF 3'!CN310</f>
        <v>30000</v>
      </c>
      <c r="O310" s="1169">
        <f>'Corrected and Updated TSF 3'!CO310</f>
        <v>544101.18533543393</v>
      </c>
      <c r="P310" s="1168">
        <f>'Corrected and Updated TSF 3'!CP310</f>
        <v>30</v>
      </c>
      <c r="Q310" s="1169">
        <f>'Corrected and Updated TSF 3'!CQ310</f>
        <v>18136.706177847798</v>
      </c>
      <c r="R310" s="1169">
        <f>'Corrected and Updated TSF 3'!CS310</f>
        <v>4018708.2973480374</v>
      </c>
      <c r="S310" s="1169">
        <f>'Corrected and Updated TSF 3'!CT310</f>
        <v>31157.002654966735</v>
      </c>
      <c r="T310" s="1166">
        <f>'Corrected and Updated TSF 3'!CU310</f>
        <v>36121.286299656378</v>
      </c>
      <c r="U310" s="1166">
        <f>'Corrected and Updated TSF 3'!CV310</f>
        <v>46660.610882834662</v>
      </c>
      <c r="V310" s="1166">
        <f>'Corrected and Updated TSF 3'!CW310</f>
        <v>79575.240871538525</v>
      </c>
      <c r="W310" s="1102">
        <f>'Corrected and Updated TSF 3'!CX310</f>
        <v>326452.44851531438</v>
      </c>
      <c r="X310" s="1102">
        <f>'Corrected and Updated TSF 3'!CY310</f>
        <v>129175.64363633259</v>
      </c>
      <c r="Y310" s="1102">
        <f>'Corrected and Updated TSF 3'!CZ310</f>
        <v>93301.737858744411</v>
      </c>
      <c r="Z310" s="1102">
        <f>'Corrected and Updated TSF 3'!DA310</f>
        <v>71006.917900667817</v>
      </c>
      <c r="AA310" s="821">
        <f>L310-'Corrected and Updated TSF 3'!CL310</f>
        <v>0</v>
      </c>
      <c r="AB310" s="678">
        <f>N310-'Corrected and Updated TSF 3'!CN310</f>
        <v>0</v>
      </c>
      <c r="AC310" s="678">
        <f>Q310-'Corrected and Updated TSF 3'!CQ310</f>
        <v>0</v>
      </c>
      <c r="AD310" s="497"/>
      <c r="AE310" s="497"/>
      <c r="AF310" s="497"/>
      <c r="AG310" s="497"/>
      <c r="AH310" s="677"/>
      <c r="AI310" s="677"/>
      <c r="AJ310" s="677"/>
      <c r="AK310" s="677"/>
    </row>
    <row r="311" spans="1:47" s="521" customFormat="1" ht="12.75" hidden="1" customHeight="1">
      <c r="A311" s="631" t="str">
        <f t="shared" si="4"/>
        <v>E-12J</v>
      </c>
      <c r="B311" s="632" t="str">
        <f>'Corrected and Updated TSF 3'!EP311</f>
        <v>SOLD</v>
      </c>
      <c r="C311" s="1167" t="str">
        <f>'Corrected and Updated TSF 3'!E311</f>
        <v>12th Floor</v>
      </c>
      <c r="D311" s="1134">
        <f>'INTERNAL PRICELIST'!D311</f>
        <v>0</v>
      </c>
      <c r="E311" s="1134" t="str">
        <f>'Corrected and Updated TSF 3'!G311</f>
        <v>E-12J</v>
      </c>
      <c r="F311" s="1168" t="str">
        <f>'Corrected and Updated TSF 3'!I311</f>
        <v>Studio</v>
      </c>
      <c r="G311" s="1169">
        <f>'Corrected and Updated TSF 3'!J311</f>
        <v>22</v>
      </c>
      <c r="H311" s="1169">
        <f>'Corrected and Updated TSF 3'!CG311</f>
        <v>4073445.2174576242</v>
      </c>
      <c r="I311" s="1169">
        <f>SUM('Corrected and Updated TSF 3'!CI311:CJ311)</f>
        <v>519364.26522584702</v>
      </c>
      <c r="J311" s="1169">
        <f>'Corrected and Updated TSF 3'!CH311</f>
        <v>0</v>
      </c>
      <c r="K311" s="1169">
        <f>'Corrected and Updated TSF 3'!CK311</f>
        <v>4592809.4826834714</v>
      </c>
      <c r="L311" s="1170">
        <f>'Corrected and Updated TSF 3'!CL311</f>
        <v>0.125</v>
      </c>
      <c r="M311" s="1169">
        <f>'Corrected and Updated TSF 3'!CM311</f>
        <v>574101.18533543393</v>
      </c>
      <c r="N311" s="1169">
        <f>'Corrected and Updated TSF 3'!CN311</f>
        <v>30000</v>
      </c>
      <c r="O311" s="1169">
        <f>'Corrected and Updated TSF 3'!CO311</f>
        <v>544101.18533543393</v>
      </c>
      <c r="P311" s="1168">
        <f>'Corrected and Updated TSF 3'!CP311</f>
        <v>30</v>
      </c>
      <c r="Q311" s="1169">
        <f>'Corrected and Updated TSF 3'!CQ311</f>
        <v>18136.706177847798</v>
      </c>
      <c r="R311" s="1169">
        <f>'Corrected and Updated TSF 3'!CS311</f>
        <v>4018708.2973480374</v>
      </c>
      <c r="S311" s="1169">
        <f>'Corrected and Updated TSF 3'!CT311</f>
        <v>31157.002654966735</v>
      </c>
      <c r="T311" s="1166">
        <f>'Corrected and Updated TSF 3'!CU311</f>
        <v>36121.286299656378</v>
      </c>
      <c r="U311" s="1166">
        <f>'Corrected and Updated TSF 3'!CV311</f>
        <v>46660.610882834662</v>
      </c>
      <c r="V311" s="1166">
        <f>'Corrected and Updated TSF 3'!CW311</f>
        <v>79575.240871538525</v>
      </c>
      <c r="W311" s="1102">
        <f>'Corrected and Updated TSF 3'!CX311</f>
        <v>326452.44851531438</v>
      </c>
      <c r="X311" s="1102">
        <f>'Corrected and Updated TSF 3'!CY311</f>
        <v>129175.64363633259</v>
      </c>
      <c r="Y311" s="1102">
        <f>'Corrected and Updated TSF 3'!CZ311</f>
        <v>93301.737858744411</v>
      </c>
      <c r="Z311" s="1102">
        <f>'Corrected and Updated TSF 3'!DA311</f>
        <v>71006.917900667817</v>
      </c>
      <c r="AA311" s="821">
        <f>L311-'Corrected and Updated TSF 3'!CL311</f>
        <v>0</v>
      </c>
      <c r="AB311" s="678">
        <f>N311-'Corrected and Updated TSF 3'!CN311</f>
        <v>0</v>
      </c>
      <c r="AC311" s="678">
        <f>Q311-'Corrected and Updated TSF 3'!CQ311</f>
        <v>0</v>
      </c>
      <c r="AD311" s="497"/>
      <c r="AE311" s="497"/>
      <c r="AF311" s="497"/>
      <c r="AG311" s="497"/>
      <c r="AH311" s="677"/>
      <c r="AI311" s="677"/>
      <c r="AJ311" s="677"/>
      <c r="AK311" s="677"/>
    </row>
    <row r="312" spans="1:47" s="1148" customFormat="1" ht="12.75" hidden="1" customHeight="1">
      <c r="A312" s="631" t="str">
        <f t="shared" si="4"/>
        <v>E-12K</v>
      </c>
      <c r="B312" s="632" t="str">
        <f>'Corrected and Updated TSF 3'!EP312</f>
        <v>SOLD</v>
      </c>
      <c r="C312" s="1167" t="str">
        <f>'Corrected and Updated TSF 3'!E312</f>
        <v>12th Floor</v>
      </c>
      <c r="D312" s="1134">
        <f>'INTERNAL PRICELIST'!D312</f>
        <v>0</v>
      </c>
      <c r="E312" s="1134" t="str">
        <f>'Corrected and Updated TSF 3'!G312</f>
        <v>E-12K</v>
      </c>
      <c r="F312" s="1168" t="str">
        <f>'Corrected and Updated TSF 3'!I312</f>
        <v>Studio</v>
      </c>
      <c r="G312" s="1169">
        <f>'Corrected and Updated TSF 3'!J312</f>
        <v>22</v>
      </c>
      <c r="H312" s="1169">
        <f>'Corrected and Updated TSF 3'!CG312</f>
        <v>4017768.8273775992</v>
      </c>
      <c r="I312" s="1169">
        <f>SUM('Corrected and Updated TSF 3'!CI312:CJ312)</f>
        <v>512265.52549064386</v>
      </c>
      <c r="J312" s="1169">
        <f>'Corrected and Updated TSF 3'!CH312</f>
        <v>0</v>
      </c>
      <c r="K312" s="1169">
        <f>'Corrected and Updated TSF 3'!CK312</f>
        <v>4530034.3528682431</v>
      </c>
      <c r="L312" s="1170">
        <f>'Corrected and Updated TSF 3'!CL312</f>
        <v>0.125</v>
      </c>
      <c r="M312" s="1169">
        <f>'Corrected and Updated TSF 3'!CM312</f>
        <v>566254.29410853039</v>
      </c>
      <c r="N312" s="1169">
        <f>'Corrected and Updated TSF 3'!CN312</f>
        <v>30000</v>
      </c>
      <c r="O312" s="1169">
        <f>'Corrected and Updated TSF 3'!CO312</f>
        <v>536254.29410853039</v>
      </c>
      <c r="P312" s="1168">
        <f>'Corrected and Updated TSF 3'!CP312</f>
        <v>30</v>
      </c>
      <c r="Q312" s="1169">
        <f>'Corrected and Updated TSF 3'!CQ312</f>
        <v>17875.143136951014</v>
      </c>
      <c r="R312" s="1169">
        <f>'Corrected and Updated TSF 3'!CS312</f>
        <v>3963780.0587597126</v>
      </c>
      <c r="S312" s="1169">
        <f>'Corrected and Updated TSF 3'!CT312</f>
        <v>30731.144605837257</v>
      </c>
      <c r="T312" s="1166">
        <f>'Corrected and Updated TSF 3'!CU312</f>
        <v>35627.575762543238</v>
      </c>
      <c r="U312" s="1166">
        <f>'Corrected and Updated TSF 3'!CV312</f>
        <v>46022.84745796986</v>
      </c>
      <c r="V312" s="1166">
        <f>'Corrected and Updated TSF 3'!CW312</f>
        <v>78487.595913779413</v>
      </c>
      <c r="W312" s="1102">
        <f>'Corrected and Updated TSF 3'!CX312</f>
        <v>321990.45310459367</v>
      </c>
      <c r="X312" s="1102">
        <f>'Corrected and Updated TSF 3'!CY312</f>
        <v>127410.05378793798</v>
      </c>
      <c r="Y312" s="1102">
        <f>'Corrected and Updated TSF 3'!CZ312</f>
        <v>92026.477317641591</v>
      </c>
      <c r="Z312" s="1102">
        <f>'Corrected and Updated TSF 3'!DA312</f>
        <v>70036.385918925502</v>
      </c>
      <c r="AA312" s="821">
        <f>L312-'Corrected and Updated TSF 3'!CL312</f>
        <v>0</v>
      </c>
      <c r="AB312" s="678">
        <f>N312-'Corrected and Updated TSF 3'!CN312</f>
        <v>0</v>
      </c>
      <c r="AC312" s="678">
        <f>Q312-'Corrected and Updated TSF 3'!CQ312</f>
        <v>0</v>
      </c>
      <c r="AD312" s="497"/>
      <c r="AE312" s="497"/>
      <c r="AF312" s="497"/>
      <c r="AG312" s="497"/>
      <c r="AH312" s="677"/>
      <c r="AI312" s="677"/>
      <c r="AJ312" s="677"/>
      <c r="AK312" s="677"/>
      <c r="AL312" s="521"/>
      <c r="AM312" s="521"/>
      <c r="AN312" s="521"/>
      <c r="AO312" s="521"/>
      <c r="AP312" s="521"/>
      <c r="AQ312" s="521"/>
      <c r="AR312" s="521"/>
      <c r="AS312" s="521"/>
      <c r="AT312" s="521"/>
      <c r="AU312" s="521"/>
    </row>
    <row r="313" spans="1:47" s="521" customFormat="1" hidden="1">
      <c r="A313" s="631" t="str">
        <f t="shared" si="4"/>
        <v>E-12L</v>
      </c>
      <c r="B313" s="632" t="str">
        <f>'Corrected and Updated TSF 3'!EP313</f>
        <v>SOLD</v>
      </c>
      <c r="C313" s="1161" t="str">
        <f>'Corrected and Updated TSF 3'!E313</f>
        <v>12th Floor</v>
      </c>
      <c r="D313" s="1146">
        <f>'INTERNAL PRICELIST'!D313</f>
        <v>0</v>
      </c>
      <c r="E313" s="1146" t="str">
        <f>'Corrected and Updated TSF 3'!G313</f>
        <v>E-12L</v>
      </c>
      <c r="F313" s="1162" t="str">
        <f>'Corrected and Updated TSF 3'!I313</f>
        <v>Studio</v>
      </c>
      <c r="G313" s="1163">
        <f>'Corrected and Updated TSF 3'!J313</f>
        <v>22</v>
      </c>
      <c r="H313" s="1163">
        <f>'Corrected and Updated TSF 3'!CG313</f>
        <v>4017768.8273775992</v>
      </c>
      <c r="I313" s="1163">
        <f>SUM('Corrected and Updated TSF 3'!CI313:CJ313)</f>
        <v>512265.52549064386</v>
      </c>
      <c r="J313" s="1163">
        <f>'Corrected and Updated TSF 3'!CH313</f>
        <v>0</v>
      </c>
      <c r="K313" s="1163">
        <f>'Corrected and Updated TSF 3'!CK313</f>
        <v>4530034.3528682431</v>
      </c>
      <c r="L313" s="1164">
        <f>'Corrected and Updated TSF 3'!CL313</f>
        <v>0.125</v>
      </c>
      <c r="M313" s="1163">
        <f>'Corrected and Updated TSF 3'!CM313</f>
        <v>566254.29410853039</v>
      </c>
      <c r="N313" s="1163">
        <f>'Corrected and Updated TSF 3'!CN313</f>
        <v>30000</v>
      </c>
      <c r="O313" s="1163">
        <f>'Corrected and Updated TSF 3'!CO313</f>
        <v>536254.29410853039</v>
      </c>
      <c r="P313" s="1162">
        <f>'Corrected and Updated TSF 3'!CP313</f>
        <v>30</v>
      </c>
      <c r="Q313" s="1163">
        <f>'Corrected and Updated TSF 3'!CQ313</f>
        <v>17875.143136951014</v>
      </c>
      <c r="R313" s="1163">
        <f>'Corrected and Updated TSF 3'!CS313</f>
        <v>3963780.0587597126</v>
      </c>
      <c r="S313" s="1163">
        <f>'Corrected and Updated TSF 3'!CT313</f>
        <v>30731.144605837257</v>
      </c>
      <c r="T313" s="1165">
        <f>'Corrected and Updated TSF 3'!CU313</f>
        <v>35627.575762543238</v>
      </c>
      <c r="U313" s="1166">
        <f>'Corrected and Updated TSF 3'!CV313</f>
        <v>46022.84745796986</v>
      </c>
      <c r="V313" s="1166">
        <f>'Corrected and Updated TSF 3'!CW313</f>
        <v>78487.595913779413</v>
      </c>
      <c r="W313" s="1102">
        <f>'Corrected and Updated TSF 3'!CX313</f>
        <v>321990.45310459367</v>
      </c>
      <c r="X313" s="1102">
        <f>'Corrected and Updated TSF 3'!CY313</f>
        <v>127410.05378793798</v>
      </c>
      <c r="Y313" s="1102">
        <f>'Corrected and Updated TSF 3'!CZ313</f>
        <v>92026.477317641591</v>
      </c>
      <c r="Z313" s="1102">
        <f>'Corrected and Updated TSF 3'!DA313</f>
        <v>70036.385918925502</v>
      </c>
      <c r="AA313" s="821">
        <f>L313-'Corrected and Updated TSF 3'!CL313</f>
        <v>0</v>
      </c>
      <c r="AB313" s="678">
        <f>N313-'Corrected and Updated TSF 3'!CN313</f>
        <v>0</v>
      </c>
      <c r="AC313" s="678">
        <f>Q313-'Corrected and Updated TSF 3'!CQ313</f>
        <v>0</v>
      </c>
      <c r="AD313" s="497"/>
      <c r="AE313" s="497"/>
      <c r="AF313" s="497"/>
      <c r="AG313" s="497"/>
      <c r="AH313" s="677"/>
      <c r="AI313" s="677"/>
      <c r="AJ313" s="677"/>
      <c r="AK313" s="677"/>
    </row>
    <row r="314" spans="1:47" s="521" customFormat="1" ht="12.75" customHeight="1">
      <c r="A314" s="631" t="str">
        <f t="shared" si="4"/>
        <v>E-12M</v>
      </c>
      <c r="B314" s="632" t="str">
        <f>'Corrected and Updated TSF 3'!EP314</f>
        <v>UNSOLD</v>
      </c>
      <c r="C314" s="1161" t="str">
        <f>'Corrected and Updated TSF 3'!E314</f>
        <v>12th Floor</v>
      </c>
      <c r="D314" s="1146">
        <f>'INTERNAL PRICELIST'!D314</f>
        <v>0</v>
      </c>
      <c r="E314" s="1146" t="str">
        <f>'Corrected and Updated TSF 3'!G314</f>
        <v>E-12M</v>
      </c>
      <c r="F314" s="1162" t="str">
        <f>'Corrected and Updated TSF 3'!I314</f>
        <v>Studio</v>
      </c>
      <c r="G314" s="1163">
        <f>'Corrected and Updated TSF 3'!J314</f>
        <v>22</v>
      </c>
      <c r="H314" s="1163">
        <f>'Corrected and Updated TSF 3'!CG314</f>
        <v>4059771.2338768379</v>
      </c>
      <c r="I314" s="1163">
        <f>SUM('Corrected and Updated TSF 3'!CI314:CJ314)</f>
        <v>517620.83231929684</v>
      </c>
      <c r="J314" s="1163">
        <f>'Corrected and Updated TSF 3'!CH314</f>
        <v>0</v>
      </c>
      <c r="K314" s="1163">
        <f>'Corrected and Updated TSF 3'!CK314</f>
        <v>4577392.0661961343</v>
      </c>
      <c r="L314" s="1164">
        <f>'Corrected and Updated TSF 3'!CL314</f>
        <v>0.125</v>
      </c>
      <c r="M314" s="1163">
        <f>'Corrected and Updated TSF 3'!CM314</f>
        <v>572174.00827451679</v>
      </c>
      <c r="N314" s="1163">
        <f>'Corrected and Updated TSF 3'!CN314</f>
        <v>30000</v>
      </c>
      <c r="O314" s="1163">
        <f>'Corrected and Updated TSF 3'!CO314</f>
        <v>542174.00827451679</v>
      </c>
      <c r="P314" s="1162">
        <f>'Corrected and Updated TSF 3'!CP314</f>
        <v>30</v>
      </c>
      <c r="Q314" s="1163">
        <f>'Corrected and Updated TSF 3'!CQ314</f>
        <v>18072.466942483894</v>
      </c>
      <c r="R314" s="1163">
        <f>'Corrected and Updated TSF 3'!CS314</f>
        <v>4005218.0579216173</v>
      </c>
      <c r="S314" s="1163">
        <f>'Corrected and Updated TSF 3'!CT314</f>
        <v>31052.412972281261</v>
      </c>
      <c r="T314" s="1165">
        <f>'Corrected and Updated TSF 3'!CU314</f>
        <v>36000.032213886028</v>
      </c>
      <c r="U314" s="1166">
        <f>'Corrected and Updated TSF 3'!CV314</f>
        <v>46503.977764424992</v>
      </c>
      <c r="V314" s="1166">
        <f>'Corrected and Updated TSF 3'!CW314</f>
        <v>79308.117962299119</v>
      </c>
      <c r="W314" s="1102">
        <f>'Corrected and Updated TSF 3'!CX314</f>
        <v>325356.59348778753</v>
      </c>
      <c r="X314" s="1102">
        <f>'Corrected and Updated TSF 3'!CY314</f>
        <v>128742.01914015654</v>
      </c>
      <c r="Y314" s="1102">
        <f>'Corrected and Updated TSF 3'!CZ314</f>
        <v>92988.537026664562</v>
      </c>
      <c r="Z314" s="1102">
        <f>'Corrected and Updated TSF 3'!DA314</f>
        <v>70768.55764843346</v>
      </c>
      <c r="AA314" s="821">
        <f>L314-'Corrected and Updated TSF 3'!CL314</f>
        <v>0</v>
      </c>
      <c r="AB314" s="678">
        <f>N314-'Corrected and Updated TSF 3'!CN314</f>
        <v>0</v>
      </c>
      <c r="AC314" s="678">
        <f>Q314-'Corrected and Updated TSF 3'!CQ314</f>
        <v>0</v>
      </c>
      <c r="AD314" s="497"/>
      <c r="AE314" s="497"/>
      <c r="AF314" s="497"/>
      <c r="AG314" s="497"/>
      <c r="AH314" s="677"/>
      <c r="AI314" s="677"/>
      <c r="AJ314" s="677"/>
      <c r="AK314" s="677"/>
    </row>
    <row r="315" spans="1:47" s="521" customFormat="1" hidden="1">
      <c r="A315" s="631" t="str">
        <f t="shared" si="4"/>
        <v>E-12N</v>
      </c>
      <c r="B315" s="632" t="str">
        <f>'Corrected and Updated TSF 3'!EP315</f>
        <v>SOLD</v>
      </c>
      <c r="C315" s="1167" t="str">
        <f>'Corrected and Updated TSF 3'!E315</f>
        <v>12th Floor</v>
      </c>
      <c r="D315" s="1134">
        <f>'INTERNAL PRICELIST'!D315</f>
        <v>0</v>
      </c>
      <c r="E315" s="1134" t="str">
        <f>'Corrected and Updated TSF 3'!G315</f>
        <v>E-12N</v>
      </c>
      <c r="F315" s="1168" t="str">
        <f>'Corrected and Updated TSF 3'!I315</f>
        <v>Studio</v>
      </c>
      <c r="G315" s="1169">
        <f>'Corrected and Updated TSF 3'!J315</f>
        <v>22</v>
      </c>
      <c r="H315" s="1169">
        <f>'Corrected and Updated TSF 3'!CG315</f>
        <v>3978891.2339909161</v>
      </c>
      <c r="I315" s="1169">
        <f>SUM('Corrected and Updated TSF 3'!CI315:CJ315)</f>
        <v>507308.63233384176</v>
      </c>
      <c r="J315" s="1169">
        <f>'Corrected and Updated TSF 3'!CH315</f>
        <v>0</v>
      </c>
      <c r="K315" s="1169">
        <f>'Corrected and Updated TSF 3'!CK315</f>
        <v>4486199.8663247572</v>
      </c>
      <c r="L315" s="1170">
        <f>'Corrected and Updated TSF 3'!CL315</f>
        <v>0.125</v>
      </c>
      <c r="M315" s="1169">
        <f>'Corrected and Updated TSF 3'!CM315</f>
        <v>560774.98329059465</v>
      </c>
      <c r="N315" s="1169">
        <f>'Corrected and Updated TSF 3'!CN315</f>
        <v>30000</v>
      </c>
      <c r="O315" s="1169">
        <f>'Corrected and Updated TSF 3'!CO315</f>
        <v>530774.98329059465</v>
      </c>
      <c r="P315" s="1168">
        <f>'Corrected and Updated TSF 3'!CP315</f>
        <v>30</v>
      </c>
      <c r="Q315" s="1169">
        <f>'Corrected and Updated TSF 3'!CQ315</f>
        <v>17692.49944301982</v>
      </c>
      <c r="R315" s="1169">
        <f>'Corrected and Updated TSF 3'!CS315</f>
        <v>3925424.8830341627</v>
      </c>
      <c r="S315" s="1169">
        <f>'Corrected and Updated TSF 3'!CT315</f>
        <v>30433.777336682313</v>
      </c>
      <c r="T315" s="1166">
        <f>'Corrected and Updated TSF 3'!CU315</f>
        <v>35282.828599786866</v>
      </c>
      <c r="U315" s="1166">
        <f>'Corrected and Updated TSF 3'!CV315</f>
        <v>45577.511345604187</v>
      </c>
      <c r="V315" s="1166">
        <f>'Corrected and Updated TSF 3'!CW315</f>
        <v>77728.117464187817</v>
      </c>
      <c r="W315" s="1102">
        <f>'Corrected and Updated TSF 3'!CX315</f>
        <v>318874.74026793323</v>
      </c>
      <c r="X315" s="1102">
        <f>'Corrected and Updated TSF 3'!CY315</f>
        <v>126177.18139598006</v>
      </c>
      <c r="Y315" s="1102">
        <f>'Corrected and Updated TSF 3'!CZ315</f>
        <v>91135.991050341981</v>
      </c>
      <c r="Z315" s="1102">
        <f>'Corrected and Updated TSF 3'!DA315</f>
        <v>69358.684873640115</v>
      </c>
      <c r="AA315" s="821">
        <f>L315-'Corrected and Updated TSF 3'!CL315</f>
        <v>0</v>
      </c>
      <c r="AB315" s="678">
        <f>N315-'Corrected and Updated TSF 3'!CN315</f>
        <v>0</v>
      </c>
      <c r="AC315" s="678">
        <f>Q315-'Corrected and Updated TSF 3'!CQ315</f>
        <v>0</v>
      </c>
      <c r="AD315" s="497"/>
      <c r="AE315" s="497"/>
      <c r="AF315" s="497"/>
      <c r="AG315" s="497"/>
      <c r="AH315" s="677"/>
      <c r="AI315" s="677"/>
      <c r="AJ315" s="677"/>
      <c r="AK315" s="677"/>
    </row>
    <row r="316" spans="1:47" s="521" customFormat="1" ht="12.75" hidden="1" customHeight="1">
      <c r="A316" s="631" t="str">
        <f t="shared" si="4"/>
        <v>E-12O</v>
      </c>
      <c r="B316" s="632" t="str">
        <f>'Corrected and Updated TSF 3'!EP316</f>
        <v>SOLD</v>
      </c>
      <c r="C316" s="973" t="str">
        <f>'Corrected and Updated TSF 3'!E316</f>
        <v>12th Floor</v>
      </c>
      <c r="D316" s="974">
        <f>'INTERNAL PRICELIST'!D316</f>
        <v>0</v>
      </c>
      <c r="E316" s="975" t="str">
        <f>'Corrected and Updated TSF 3'!G316</f>
        <v>E-12O</v>
      </c>
      <c r="F316" s="976" t="str">
        <f>'Corrected and Updated TSF 3'!I316</f>
        <v>Studio</v>
      </c>
      <c r="G316" s="977">
        <f>'Corrected and Updated TSF 3'!J316</f>
        <v>22</v>
      </c>
      <c r="H316" s="977">
        <f>'Corrected and Updated TSF 3'!CG316</f>
        <v>4017768.8273775992</v>
      </c>
      <c r="I316" s="977">
        <f>SUM('Corrected and Updated TSF 3'!CI316:CJ316)</f>
        <v>512265.52549064386</v>
      </c>
      <c r="J316" s="977">
        <f>'Corrected and Updated TSF 3'!CH316</f>
        <v>0</v>
      </c>
      <c r="K316" s="977">
        <f>'Corrected and Updated TSF 3'!CK316</f>
        <v>4530034.3528682431</v>
      </c>
      <c r="L316" s="978">
        <f>'Corrected and Updated TSF 3'!CL316</f>
        <v>0.125</v>
      </c>
      <c r="M316" s="977">
        <f>'Corrected and Updated TSF 3'!CM316</f>
        <v>566254.29410853039</v>
      </c>
      <c r="N316" s="977">
        <f>'Corrected and Updated TSF 3'!CN316</f>
        <v>30000</v>
      </c>
      <c r="O316" s="977">
        <f>'Corrected and Updated TSF 3'!CO316</f>
        <v>536254.29410853039</v>
      </c>
      <c r="P316" s="976">
        <f>'Corrected and Updated TSF 3'!CP316</f>
        <v>30</v>
      </c>
      <c r="Q316" s="977">
        <f>'Corrected and Updated TSF 3'!CQ316</f>
        <v>17875.143136951014</v>
      </c>
      <c r="R316" s="977">
        <f>'Corrected and Updated TSF 3'!CS316</f>
        <v>3963780.0587597126</v>
      </c>
      <c r="S316" s="977">
        <f>'Corrected and Updated TSF 3'!CT316</f>
        <v>30731.144605837257</v>
      </c>
      <c r="T316" s="636">
        <f>'Corrected and Updated TSF 3'!CU316</f>
        <v>35627.575762543238</v>
      </c>
      <c r="U316" s="636">
        <f>'Corrected and Updated TSF 3'!CV316</f>
        <v>46022.84745796986</v>
      </c>
      <c r="V316" s="636">
        <f>'Corrected and Updated TSF 3'!CW316</f>
        <v>78487.595913779413</v>
      </c>
      <c r="W316" s="1102">
        <f>'Corrected and Updated TSF 3'!CX316</f>
        <v>321990.45310459367</v>
      </c>
      <c r="X316" s="1102">
        <f>'Corrected and Updated TSF 3'!CY316</f>
        <v>127410.05378793798</v>
      </c>
      <c r="Y316" s="1102">
        <f>'Corrected and Updated TSF 3'!CZ316</f>
        <v>92026.477317641591</v>
      </c>
      <c r="Z316" s="1102">
        <f>'Corrected and Updated TSF 3'!DA316</f>
        <v>70036.385918925502</v>
      </c>
      <c r="AA316" s="821">
        <f>L316-'Corrected and Updated TSF 3'!CL316</f>
        <v>0</v>
      </c>
      <c r="AB316" s="678">
        <f>N316-'Corrected and Updated TSF 3'!CN316</f>
        <v>0</v>
      </c>
      <c r="AC316" s="678">
        <f>Q316-'Corrected and Updated TSF 3'!CQ316</f>
        <v>0</v>
      </c>
      <c r="AD316" s="497"/>
      <c r="AE316" s="497"/>
      <c r="AF316" s="497"/>
      <c r="AG316" s="497"/>
      <c r="AH316" s="677"/>
      <c r="AI316" s="677"/>
      <c r="AJ316" s="677"/>
      <c r="AK316" s="677"/>
    </row>
    <row r="317" spans="1:47" s="521" customFormat="1" ht="12.75" customHeight="1">
      <c r="A317" s="631" t="str">
        <f t="shared" si="4"/>
        <v>W-14A</v>
      </c>
      <c r="B317" s="632" t="str">
        <f>'Corrected and Updated TSF 3'!EP317</f>
        <v>UNSOLD</v>
      </c>
      <c r="C317" s="973" t="str">
        <f>'Corrected and Updated TSF 3'!E317</f>
        <v>14th Floor</v>
      </c>
      <c r="D317" s="974">
        <f>'INTERNAL PRICELIST'!D317</f>
        <v>0</v>
      </c>
      <c r="E317" s="975" t="str">
        <f>'Corrected and Updated TSF 3'!G317</f>
        <v>W-14A</v>
      </c>
      <c r="F317" s="976" t="str">
        <f>'Corrected and Updated TSF 3'!I317</f>
        <v>Studio</v>
      </c>
      <c r="G317" s="977">
        <f>'Corrected and Updated TSF 3'!J317</f>
        <v>22</v>
      </c>
      <c r="H317" s="977">
        <f>'Corrected and Updated TSF 3'!CG317</f>
        <v>4140979.6206606152</v>
      </c>
      <c r="I317" s="977">
        <f>SUM('Corrected and Updated TSF 3'!CI317:CJ317)</f>
        <v>527974.90163422842</v>
      </c>
      <c r="J317" s="977">
        <f>'Corrected and Updated TSF 3'!CH317</f>
        <v>0</v>
      </c>
      <c r="K317" s="977">
        <f>'Corrected and Updated TSF 3'!CK317</f>
        <v>4668954.5222948436</v>
      </c>
      <c r="L317" s="978">
        <f>'Corrected and Updated TSF 3'!CL317</f>
        <v>0.125</v>
      </c>
      <c r="M317" s="977">
        <f>'Corrected and Updated TSF 3'!CM317</f>
        <v>583619.31528685545</v>
      </c>
      <c r="N317" s="977">
        <f>'Corrected and Updated TSF 3'!CN317</f>
        <v>30000</v>
      </c>
      <c r="O317" s="977">
        <f>'Corrected and Updated TSF 3'!CO317</f>
        <v>553619.31528685545</v>
      </c>
      <c r="P317" s="976">
        <f>'Corrected and Updated TSF 3'!CP317</f>
        <v>31</v>
      </c>
      <c r="Q317" s="977">
        <f>'Corrected and Updated TSF 3'!CQ317</f>
        <v>17858.687589898564</v>
      </c>
      <c r="R317" s="977">
        <f>'Corrected and Updated TSF 3'!CS317</f>
        <v>4085335.2070079884</v>
      </c>
      <c r="S317" s="977">
        <f>'Corrected and Updated TSF 3'!CT317</f>
        <v>31673.560376396083</v>
      </c>
      <c r="T317" s="636">
        <f>'Corrected and Updated TSF 3'!CU317</f>
        <v>36720.147799675324</v>
      </c>
      <c r="U317" s="636">
        <f>'Corrected and Updated TSF 3'!CV317</f>
        <v>47434.20579840002</v>
      </c>
      <c r="V317" s="636">
        <f>'Corrected and Updated TSF 3'!CW317</f>
        <v>80894.533537845142</v>
      </c>
      <c r="W317" s="1102">
        <f>'Corrected and Updated TSF 3'!CX317</f>
        <v>331864.76416157628</v>
      </c>
      <c r="X317" s="1102">
        <f>'Corrected and Updated TSF 3'!CY317</f>
        <v>131317.27057265525</v>
      </c>
      <c r="Y317" s="1102">
        <f>'Corrected and Updated TSF 3'!CZ317</f>
        <v>94848.60466257119</v>
      </c>
      <c r="Z317" s="1102">
        <f>'Corrected and Updated TSF 3'!DA317</f>
        <v>72184.154752449598</v>
      </c>
      <c r="AA317" s="821">
        <f>L317-'Corrected and Updated TSF 3'!CL317</f>
        <v>0</v>
      </c>
      <c r="AB317" s="678">
        <f>N317-'Corrected and Updated TSF 3'!CN317</f>
        <v>0</v>
      </c>
      <c r="AC317" s="678">
        <f>Q317-'Corrected and Updated TSF 3'!CQ317</f>
        <v>0</v>
      </c>
      <c r="AD317" s="497"/>
      <c r="AE317" s="497"/>
      <c r="AF317" s="497"/>
      <c r="AG317" s="497"/>
      <c r="AH317" s="677"/>
      <c r="AI317" s="677"/>
      <c r="AJ317" s="677"/>
      <c r="AK317" s="677"/>
    </row>
    <row r="318" spans="1:47" s="521" customFormat="1" ht="12.75" customHeight="1">
      <c r="A318" s="631" t="str">
        <f t="shared" si="4"/>
        <v>W-14B</v>
      </c>
      <c r="B318" s="632" t="str">
        <f>'Corrected and Updated TSF 3'!EP318</f>
        <v>UNSOLD</v>
      </c>
      <c r="C318" s="973" t="str">
        <f>'Corrected and Updated TSF 3'!E318</f>
        <v>14th Floor</v>
      </c>
      <c r="D318" s="974">
        <f>'INTERNAL PRICELIST'!D318</f>
        <v>0</v>
      </c>
      <c r="E318" s="975" t="str">
        <f>'Corrected and Updated TSF 3'!G318</f>
        <v>W-14B</v>
      </c>
      <c r="F318" s="976" t="str">
        <f>'Corrected and Updated TSF 3'!I318</f>
        <v>Studio</v>
      </c>
      <c r="G318" s="977">
        <f>'Corrected and Updated TSF 3'!J318</f>
        <v>22</v>
      </c>
      <c r="H318" s="977">
        <f>'Corrected and Updated TSF 3'!CG318</f>
        <v>4056985.6371939071</v>
      </c>
      <c r="I318" s="977">
        <f>SUM('Corrected and Updated TSF 3'!CI318:CJ318)</f>
        <v>517265.66874222312</v>
      </c>
      <c r="J318" s="977">
        <f>'Corrected and Updated TSF 3'!CH318</f>
        <v>0</v>
      </c>
      <c r="K318" s="977">
        <f>'Corrected and Updated TSF 3'!CK318</f>
        <v>4574251.3059361307</v>
      </c>
      <c r="L318" s="978">
        <f>'Corrected and Updated TSF 3'!CL318</f>
        <v>0.125</v>
      </c>
      <c r="M318" s="977">
        <f>'Corrected and Updated TSF 3'!CM318</f>
        <v>571781.41324201634</v>
      </c>
      <c r="N318" s="977">
        <f>'Corrected and Updated TSF 3'!CN318</f>
        <v>30000</v>
      </c>
      <c r="O318" s="977">
        <f>'Corrected and Updated TSF 3'!CO318</f>
        <v>541781.41324201634</v>
      </c>
      <c r="P318" s="976">
        <f>'Corrected and Updated TSF 3'!CP318</f>
        <v>31</v>
      </c>
      <c r="Q318" s="977">
        <f>'Corrected and Updated TSF 3'!CQ318</f>
        <v>17476.819782000526</v>
      </c>
      <c r="R318" s="977">
        <f>'Corrected and Updated TSF 3'!CS318</f>
        <v>4002469.8926941142</v>
      </c>
      <c r="S318" s="977">
        <f>'Corrected and Updated TSF 3'!CT318</f>
        <v>31031.106476523379</v>
      </c>
      <c r="T318" s="636">
        <f>'Corrected and Updated TSF 3'!CU318</f>
        <v>35975.330927891497</v>
      </c>
      <c r="U318" s="636">
        <f>'Corrected and Updated TSF 3'!CV318</f>
        <v>46472.069235904302</v>
      </c>
      <c r="V318" s="636">
        <f>'Corrected and Updated TSF 3'!CW318</f>
        <v>79253.700997007661</v>
      </c>
      <c r="W318" s="1102">
        <f>'Corrected and Updated TSF 3'!CX318</f>
        <v>325133.351291275</v>
      </c>
      <c r="X318" s="1102">
        <f>'Corrected and Updated TSF 3'!CY318</f>
        <v>128653.6832904717</v>
      </c>
      <c r="Y318" s="1102">
        <f>'Corrected and Updated TSF 3'!CZ318</f>
        <v>92924.733293555037</v>
      </c>
      <c r="Z318" s="1102">
        <f>'Corrected and Updated TSF 3'!DA318</f>
        <v>70720.000070164955</v>
      </c>
      <c r="AA318" s="821">
        <f>L318-'Corrected and Updated TSF 3'!CL318</f>
        <v>0</v>
      </c>
      <c r="AB318" s="678">
        <f>N318-'Corrected and Updated TSF 3'!CN318</f>
        <v>0</v>
      </c>
      <c r="AC318" s="678">
        <f>Q318-'Corrected and Updated TSF 3'!CQ318</f>
        <v>0</v>
      </c>
      <c r="AD318" s="497"/>
      <c r="AE318" s="497"/>
      <c r="AF318" s="497"/>
      <c r="AG318" s="497"/>
      <c r="AH318" s="677"/>
      <c r="AI318" s="677"/>
      <c r="AJ318" s="677"/>
      <c r="AK318" s="677"/>
    </row>
    <row r="319" spans="1:47" s="521" customFormat="1" ht="12.75" hidden="1" customHeight="1">
      <c r="A319" s="631" t="str">
        <f t="shared" si="4"/>
        <v>W-14C</v>
      </c>
      <c r="B319" s="632" t="str">
        <f>'Corrected and Updated TSF 3'!EP319</f>
        <v>SOLD</v>
      </c>
      <c r="C319" s="820" t="str">
        <f>'Corrected and Updated TSF 3'!E319</f>
        <v>14th Floor</v>
      </c>
      <c r="D319" s="628">
        <f>'INTERNAL PRICELIST'!D319</f>
        <v>0</v>
      </c>
      <c r="E319" s="596" t="str">
        <f>'Corrected and Updated TSF 3'!G319</f>
        <v>W-14C</v>
      </c>
      <c r="F319" s="401" t="str">
        <f>'Corrected and Updated TSF 3'!I319</f>
        <v>Studio</v>
      </c>
      <c r="G319" s="633">
        <f>'Corrected and Updated TSF 3'!J319</f>
        <v>22</v>
      </c>
      <c r="H319" s="633">
        <f>'Corrected and Updated TSF 3'!CG319</f>
        <v>4014714.5007060822</v>
      </c>
      <c r="I319" s="633">
        <f>SUM('Corrected and Updated TSF 3'!CI319:CJ319)</f>
        <v>511876.09884002543</v>
      </c>
      <c r="J319" s="633">
        <f>'Corrected and Updated TSF 3'!CH319</f>
        <v>0</v>
      </c>
      <c r="K319" s="633">
        <f>'Corrected and Updated TSF 3'!CK319</f>
        <v>4526590.5995461075</v>
      </c>
      <c r="L319" s="634">
        <f>'Corrected and Updated TSF 3'!CL319</f>
        <v>0.125</v>
      </c>
      <c r="M319" s="633">
        <f>'Corrected and Updated TSF 3'!CM319</f>
        <v>565823.82494326343</v>
      </c>
      <c r="N319" s="633">
        <f>'Corrected and Updated TSF 3'!CN319</f>
        <v>30000</v>
      </c>
      <c r="O319" s="633">
        <f>'Corrected and Updated TSF 3'!CO319</f>
        <v>535823.82494326343</v>
      </c>
      <c r="P319" s="401">
        <f>'Corrected and Updated TSF 3'!CP319</f>
        <v>31</v>
      </c>
      <c r="Q319" s="633">
        <f>'Corrected and Updated TSF 3'!CQ319</f>
        <v>17284.639514298822</v>
      </c>
      <c r="R319" s="633">
        <f>'Corrected and Updated TSF 3'!CS319</f>
        <v>3960766.7746028439</v>
      </c>
      <c r="S319" s="633">
        <f>'Corrected and Updated TSF 3'!CT319</f>
        <v>30707.782645841882</v>
      </c>
      <c r="T319" s="635">
        <f>'Corrected and Updated TSF 3'!CU319</f>
        <v>35600.491512660185</v>
      </c>
      <c r="U319" s="636">
        <f>'Corrected and Updated TSF 3'!CV319</f>
        <v>45987.860673879099</v>
      </c>
      <c r="V319" s="636">
        <f>'Corrected and Updated TSF 3'!CW319</f>
        <v>78427.929275930772</v>
      </c>
      <c r="W319" s="1102">
        <f>'Corrected and Updated TSF 3'!CX319</f>
        <v>321745.67445476446</v>
      </c>
      <c r="X319" s="1102">
        <f>'Corrected and Updated TSF 3'!CY319</f>
        <v>127313.19606858582</v>
      </c>
      <c r="Y319" s="1102">
        <f>'Corrected and Updated TSF 3'!CZ319</f>
        <v>91956.518358768255</v>
      </c>
      <c r="Z319" s="1102">
        <f>'Corrected and Updated TSF 3'!DA319</f>
        <v>69983.143930478778</v>
      </c>
      <c r="AA319" s="821">
        <f>L319-'Corrected and Updated TSF 3'!CL319</f>
        <v>0</v>
      </c>
      <c r="AB319" s="678">
        <f>N319-'Corrected and Updated TSF 3'!CN319</f>
        <v>0</v>
      </c>
      <c r="AC319" s="678">
        <f>Q319-'Corrected and Updated TSF 3'!CQ319</f>
        <v>0</v>
      </c>
      <c r="AD319" s="497"/>
      <c r="AE319" s="497"/>
      <c r="AF319" s="497"/>
      <c r="AG319" s="497"/>
      <c r="AH319" s="677"/>
      <c r="AI319" s="677"/>
      <c r="AJ319" s="677"/>
      <c r="AK319" s="677"/>
    </row>
    <row r="320" spans="1:47" s="521" customFormat="1" ht="12.75" hidden="1" customHeight="1">
      <c r="A320" s="631" t="str">
        <f t="shared" si="4"/>
        <v>W-14D</v>
      </c>
      <c r="B320" s="632" t="str">
        <f>'Corrected and Updated TSF 3'!EP320</f>
        <v>SOLD</v>
      </c>
      <c r="C320" s="973" t="str">
        <f>'Corrected and Updated TSF 3'!E320</f>
        <v>14th Floor</v>
      </c>
      <c r="D320" s="974">
        <f>'INTERNAL PRICELIST'!D320</f>
        <v>0</v>
      </c>
      <c r="E320" s="975" t="str">
        <f>'Corrected and Updated TSF 3'!G320</f>
        <v>W-14D</v>
      </c>
      <c r="F320" s="976" t="str">
        <f>'Corrected and Updated TSF 3'!I320</f>
        <v>Studio</v>
      </c>
      <c r="G320" s="977">
        <f>'Corrected and Updated TSF 3'!J320</f>
        <v>22</v>
      </c>
      <c r="H320" s="977">
        <f>'Corrected and Updated TSF 3'!CG320</f>
        <v>4014714.5007060822</v>
      </c>
      <c r="I320" s="977">
        <f>SUM('Corrected and Updated TSF 3'!CI320:CJ320)</f>
        <v>511876.09884002543</v>
      </c>
      <c r="J320" s="977">
        <f>'Corrected and Updated TSF 3'!CH320</f>
        <v>0</v>
      </c>
      <c r="K320" s="977">
        <f>'Corrected and Updated TSF 3'!CK320</f>
        <v>4526590.5995461075</v>
      </c>
      <c r="L320" s="978">
        <f>'Corrected and Updated TSF 3'!CL320</f>
        <v>0.125</v>
      </c>
      <c r="M320" s="977">
        <f>'Corrected and Updated TSF 3'!CM320</f>
        <v>565823.82494326343</v>
      </c>
      <c r="N320" s="977">
        <f>'Corrected and Updated TSF 3'!CN320</f>
        <v>30000</v>
      </c>
      <c r="O320" s="977">
        <f>'Corrected and Updated TSF 3'!CO320</f>
        <v>535823.82494326343</v>
      </c>
      <c r="P320" s="976">
        <f>'Corrected and Updated TSF 3'!CP320</f>
        <v>31</v>
      </c>
      <c r="Q320" s="977">
        <f>'Corrected and Updated TSF 3'!CQ320</f>
        <v>17284.639514298822</v>
      </c>
      <c r="R320" s="977">
        <f>'Corrected and Updated TSF 3'!CS320</f>
        <v>3960766.7746028439</v>
      </c>
      <c r="S320" s="977">
        <f>'Corrected and Updated TSF 3'!CT320</f>
        <v>30707.782645841882</v>
      </c>
      <c r="T320" s="636">
        <f>'Corrected and Updated TSF 3'!CU320</f>
        <v>35600.491512660185</v>
      </c>
      <c r="U320" s="636">
        <f>'Corrected and Updated TSF 3'!CV320</f>
        <v>45987.860673879099</v>
      </c>
      <c r="V320" s="636">
        <f>'Corrected and Updated TSF 3'!CW320</f>
        <v>78427.929275930772</v>
      </c>
      <c r="W320" s="1102">
        <f>'Corrected and Updated TSF 3'!CX320</f>
        <v>321745.67445476446</v>
      </c>
      <c r="X320" s="1102">
        <f>'Corrected and Updated TSF 3'!CY320</f>
        <v>127313.19606858582</v>
      </c>
      <c r="Y320" s="1102">
        <f>'Corrected and Updated TSF 3'!CZ320</f>
        <v>91956.518358768255</v>
      </c>
      <c r="Z320" s="1102">
        <f>'Corrected and Updated TSF 3'!DA320</f>
        <v>69983.143930478778</v>
      </c>
      <c r="AA320" s="821">
        <f>L320-'Corrected and Updated TSF 3'!CL320</f>
        <v>0</v>
      </c>
      <c r="AB320" s="678">
        <f>N320-'Corrected and Updated TSF 3'!CN320</f>
        <v>0</v>
      </c>
      <c r="AC320" s="678">
        <f>Q320-'Corrected and Updated TSF 3'!CQ320</f>
        <v>0</v>
      </c>
      <c r="AD320" s="497"/>
      <c r="AE320" s="497"/>
      <c r="AF320" s="497"/>
      <c r="AG320" s="497"/>
      <c r="AH320" s="677"/>
      <c r="AI320" s="677"/>
      <c r="AJ320" s="677"/>
      <c r="AK320" s="677"/>
    </row>
    <row r="321" spans="1:37" s="521" customFormat="1" ht="12.75" hidden="1" customHeight="1">
      <c r="A321" s="631" t="str">
        <f t="shared" si="4"/>
        <v>W-14E</v>
      </c>
      <c r="B321" s="632" t="str">
        <f>'Corrected and Updated TSF 3'!EP321</f>
        <v>SOLD</v>
      </c>
      <c r="C321" s="973" t="str">
        <f>'Corrected and Updated TSF 3'!E321</f>
        <v>14th Floor</v>
      </c>
      <c r="D321" s="974">
        <f>'INTERNAL PRICELIST'!D321</f>
        <v>0</v>
      </c>
      <c r="E321" s="975" t="str">
        <f>'Corrected and Updated TSF 3'!G321</f>
        <v>W-14E</v>
      </c>
      <c r="F321" s="976" t="str">
        <f>'Corrected and Updated TSF 3'!I321</f>
        <v>Studio</v>
      </c>
      <c r="G321" s="977">
        <f>'Corrected and Updated TSF 3'!J321</f>
        <v>22</v>
      </c>
      <c r="H321" s="977">
        <f>'Corrected and Updated TSF 3'!CG321</f>
        <v>4014714.5007060822</v>
      </c>
      <c r="I321" s="977">
        <f>SUM('Corrected and Updated TSF 3'!CI321:CJ321)</f>
        <v>511876.09884002543</v>
      </c>
      <c r="J321" s="977">
        <f>'Corrected and Updated TSF 3'!CH321</f>
        <v>0</v>
      </c>
      <c r="K321" s="977">
        <f>'Corrected and Updated TSF 3'!CK321</f>
        <v>4526590.5995461075</v>
      </c>
      <c r="L321" s="978">
        <f>'Corrected and Updated TSF 3'!CL321</f>
        <v>0.125</v>
      </c>
      <c r="M321" s="977">
        <f>'Corrected and Updated TSF 3'!CM321</f>
        <v>565823.82494326343</v>
      </c>
      <c r="N321" s="977">
        <f>'Corrected and Updated TSF 3'!CN321</f>
        <v>30000</v>
      </c>
      <c r="O321" s="977">
        <f>'Corrected and Updated TSF 3'!CO321</f>
        <v>535823.82494326343</v>
      </c>
      <c r="P321" s="976">
        <f>'Corrected and Updated TSF 3'!CP321</f>
        <v>31</v>
      </c>
      <c r="Q321" s="977">
        <f>'Corrected and Updated TSF 3'!CQ321</f>
        <v>17284.639514298822</v>
      </c>
      <c r="R321" s="977">
        <f>'Corrected and Updated TSF 3'!CS321</f>
        <v>3960766.7746028439</v>
      </c>
      <c r="S321" s="977">
        <f>'Corrected and Updated TSF 3'!CT321</f>
        <v>30707.782645841882</v>
      </c>
      <c r="T321" s="636">
        <f>'Corrected and Updated TSF 3'!CU321</f>
        <v>35600.491512660185</v>
      </c>
      <c r="U321" s="636">
        <f>'Corrected and Updated TSF 3'!CV321</f>
        <v>45987.860673879099</v>
      </c>
      <c r="V321" s="636">
        <f>'Corrected and Updated TSF 3'!CW321</f>
        <v>78427.929275930772</v>
      </c>
      <c r="W321" s="1102">
        <f>'Corrected and Updated TSF 3'!CX321</f>
        <v>321745.67445476446</v>
      </c>
      <c r="X321" s="1102">
        <f>'Corrected and Updated TSF 3'!CY321</f>
        <v>127313.19606858582</v>
      </c>
      <c r="Y321" s="1102">
        <f>'Corrected and Updated TSF 3'!CZ321</f>
        <v>91956.518358768255</v>
      </c>
      <c r="Z321" s="1102">
        <f>'Corrected and Updated TSF 3'!DA321</f>
        <v>69983.143930478778</v>
      </c>
      <c r="AA321" s="821">
        <f>L321-'Corrected and Updated TSF 3'!CL321</f>
        <v>0</v>
      </c>
      <c r="AB321" s="678">
        <f>N321-'Corrected and Updated TSF 3'!CN321</f>
        <v>0</v>
      </c>
      <c r="AC321" s="678">
        <f>Q321-'Corrected and Updated TSF 3'!CQ321</f>
        <v>0</v>
      </c>
      <c r="AD321" s="497"/>
      <c r="AE321" s="497"/>
      <c r="AF321" s="497"/>
      <c r="AG321" s="497"/>
      <c r="AH321" s="677"/>
      <c r="AI321" s="677"/>
      <c r="AJ321" s="677"/>
      <c r="AK321" s="677"/>
    </row>
    <row r="322" spans="1:37" s="521" customFormat="1" ht="12.75" hidden="1" customHeight="1">
      <c r="A322" s="631" t="str">
        <f t="shared" si="4"/>
        <v>W-14F</v>
      </c>
      <c r="B322" s="632" t="str">
        <f>'Corrected and Updated TSF 3'!EP322</f>
        <v>SOLD</v>
      </c>
      <c r="C322" s="973" t="str">
        <f>'Corrected and Updated TSF 3'!E322</f>
        <v>14th Floor</v>
      </c>
      <c r="D322" s="974">
        <f>'INTERNAL PRICELIST'!D322</f>
        <v>0</v>
      </c>
      <c r="E322" s="975" t="str">
        <f>'Corrected and Updated TSF 3'!G322</f>
        <v>W-14F</v>
      </c>
      <c r="F322" s="976" t="str">
        <f>'Corrected and Updated TSF 3'!I322</f>
        <v>Studio</v>
      </c>
      <c r="G322" s="977">
        <f>'Corrected and Updated TSF 3'!J322</f>
        <v>22</v>
      </c>
      <c r="H322" s="977">
        <f>'Corrected and Updated TSF 3'!CG322</f>
        <v>4014714.5007060822</v>
      </c>
      <c r="I322" s="977">
        <f>SUM('Corrected and Updated TSF 3'!CI322:CJ322)</f>
        <v>511876.09884002543</v>
      </c>
      <c r="J322" s="977">
        <f>'Corrected and Updated TSF 3'!CH322</f>
        <v>0</v>
      </c>
      <c r="K322" s="977">
        <f>'Corrected and Updated TSF 3'!CK322</f>
        <v>4526590.5995461075</v>
      </c>
      <c r="L322" s="978">
        <f>'Corrected and Updated TSF 3'!CL322</f>
        <v>0.125</v>
      </c>
      <c r="M322" s="977">
        <f>'Corrected and Updated TSF 3'!CM322</f>
        <v>565823.82494326343</v>
      </c>
      <c r="N322" s="977">
        <f>'Corrected and Updated TSF 3'!CN322</f>
        <v>30000</v>
      </c>
      <c r="O322" s="977">
        <f>'Corrected and Updated TSF 3'!CO322</f>
        <v>535823.82494326343</v>
      </c>
      <c r="P322" s="976">
        <f>'Corrected and Updated TSF 3'!CP322</f>
        <v>31</v>
      </c>
      <c r="Q322" s="977">
        <f>'Corrected and Updated TSF 3'!CQ322</f>
        <v>17284.639514298822</v>
      </c>
      <c r="R322" s="977">
        <f>'Corrected and Updated TSF 3'!CS322</f>
        <v>3960766.7746028439</v>
      </c>
      <c r="S322" s="977">
        <f>'Corrected and Updated TSF 3'!CT322</f>
        <v>30707.782645841882</v>
      </c>
      <c r="T322" s="636">
        <f>'Corrected and Updated TSF 3'!CU322</f>
        <v>35600.491512660185</v>
      </c>
      <c r="U322" s="636">
        <f>'Corrected and Updated TSF 3'!CV322</f>
        <v>45987.860673879099</v>
      </c>
      <c r="V322" s="636">
        <f>'Corrected and Updated TSF 3'!CW322</f>
        <v>78427.929275930772</v>
      </c>
      <c r="W322" s="1102">
        <f>'Corrected and Updated TSF 3'!CX322</f>
        <v>321745.67445476446</v>
      </c>
      <c r="X322" s="1102">
        <f>'Corrected and Updated TSF 3'!CY322</f>
        <v>127313.19606858582</v>
      </c>
      <c r="Y322" s="1102">
        <f>'Corrected and Updated TSF 3'!CZ322</f>
        <v>91956.518358768255</v>
      </c>
      <c r="Z322" s="1102">
        <f>'Corrected and Updated TSF 3'!DA322</f>
        <v>69983.143930478778</v>
      </c>
      <c r="AA322" s="821">
        <f>L322-'Corrected and Updated TSF 3'!CL322</f>
        <v>0</v>
      </c>
      <c r="AB322" s="678">
        <f>N322-'Corrected and Updated TSF 3'!CN322</f>
        <v>0</v>
      </c>
      <c r="AC322" s="678">
        <f>Q322-'Corrected and Updated TSF 3'!CQ322</f>
        <v>0</v>
      </c>
      <c r="AD322" s="497"/>
      <c r="AE322" s="497"/>
      <c r="AF322" s="497"/>
      <c r="AG322" s="497"/>
      <c r="AH322" s="677"/>
      <c r="AI322" s="677"/>
      <c r="AJ322" s="677"/>
      <c r="AK322" s="677"/>
    </row>
    <row r="323" spans="1:37" s="521" customFormat="1" ht="12.75" hidden="1" customHeight="1">
      <c r="A323" s="631" t="str">
        <f t="shared" si="4"/>
        <v>W-14G</v>
      </c>
      <c r="B323" s="632" t="str">
        <f>'Corrected and Updated TSF 3'!EP323</f>
        <v>SOLD</v>
      </c>
      <c r="C323" s="973" t="str">
        <f>'Corrected and Updated TSF 3'!E323</f>
        <v>14th Floor</v>
      </c>
      <c r="D323" s="974">
        <f>'INTERNAL PRICELIST'!D323</f>
        <v>0</v>
      </c>
      <c r="E323" s="975" t="str">
        <f>'Corrected and Updated TSF 3'!G323</f>
        <v>W-14G</v>
      </c>
      <c r="F323" s="976" t="str">
        <f>'Corrected and Updated TSF 3'!I323</f>
        <v>Studio</v>
      </c>
      <c r="G323" s="977">
        <f>'Corrected and Updated TSF 3'!J323</f>
        <v>22</v>
      </c>
      <c r="H323" s="977">
        <f>'Corrected and Updated TSF 3'!CG323</f>
        <v>4014714.5007060822</v>
      </c>
      <c r="I323" s="977">
        <f>SUM('Corrected and Updated TSF 3'!CI323:CJ323)</f>
        <v>511876.09884002543</v>
      </c>
      <c r="J323" s="977">
        <f>'Corrected and Updated TSF 3'!CH323</f>
        <v>0</v>
      </c>
      <c r="K323" s="977">
        <f>'Corrected and Updated TSF 3'!CK323</f>
        <v>4526590.5995461075</v>
      </c>
      <c r="L323" s="978">
        <f>'Corrected and Updated TSF 3'!CL323</f>
        <v>0.125</v>
      </c>
      <c r="M323" s="977">
        <f>'Corrected and Updated TSF 3'!CM323</f>
        <v>565823.82494326343</v>
      </c>
      <c r="N323" s="977">
        <f>'Corrected and Updated TSF 3'!CN323</f>
        <v>30000</v>
      </c>
      <c r="O323" s="977">
        <f>'Corrected and Updated TSF 3'!CO323</f>
        <v>535823.82494326343</v>
      </c>
      <c r="P323" s="976">
        <f>'Corrected and Updated TSF 3'!CP323</f>
        <v>31</v>
      </c>
      <c r="Q323" s="977">
        <f>'Corrected and Updated TSF 3'!CQ323</f>
        <v>17284.639514298822</v>
      </c>
      <c r="R323" s="977">
        <f>'Corrected and Updated TSF 3'!CS323</f>
        <v>3960766.7746028439</v>
      </c>
      <c r="S323" s="977">
        <f>'Corrected and Updated TSF 3'!CT323</f>
        <v>30707.782645841882</v>
      </c>
      <c r="T323" s="636">
        <f>'Corrected and Updated TSF 3'!CU323</f>
        <v>35600.491512660185</v>
      </c>
      <c r="U323" s="636">
        <f>'Corrected and Updated TSF 3'!CV323</f>
        <v>45987.860673879099</v>
      </c>
      <c r="V323" s="636">
        <f>'Corrected and Updated TSF 3'!CW323</f>
        <v>78427.929275930772</v>
      </c>
      <c r="W323" s="1102">
        <f>'Corrected and Updated TSF 3'!CX323</f>
        <v>321745.67445476446</v>
      </c>
      <c r="X323" s="1102">
        <f>'Corrected and Updated TSF 3'!CY323</f>
        <v>127313.19606858582</v>
      </c>
      <c r="Y323" s="1102">
        <f>'Corrected and Updated TSF 3'!CZ323</f>
        <v>91956.518358768255</v>
      </c>
      <c r="Z323" s="1102">
        <f>'Corrected and Updated TSF 3'!DA323</f>
        <v>69983.143930478778</v>
      </c>
      <c r="AA323" s="821">
        <f>L323-'Corrected and Updated TSF 3'!CL323</f>
        <v>0</v>
      </c>
      <c r="AB323" s="678">
        <f>N323-'Corrected and Updated TSF 3'!CN323</f>
        <v>0</v>
      </c>
      <c r="AC323" s="678">
        <f>Q323-'Corrected and Updated TSF 3'!CQ323</f>
        <v>0</v>
      </c>
      <c r="AD323" s="497"/>
      <c r="AE323" s="497"/>
      <c r="AF323" s="497"/>
      <c r="AG323" s="497"/>
      <c r="AH323" s="677"/>
      <c r="AI323" s="677"/>
      <c r="AJ323" s="677"/>
      <c r="AK323" s="677"/>
    </row>
    <row r="324" spans="1:37" s="521" customFormat="1" ht="12.75" hidden="1" customHeight="1">
      <c r="A324" s="631" t="str">
        <f t="shared" si="4"/>
        <v>W-14H</v>
      </c>
      <c r="B324" s="632" t="str">
        <f>'Corrected and Updated TSF 3'!EP324</f>
        <v>SOLD</v>
      </c>
      <c r="C324" s="973" t="str">
        <f>'Corrected and Updated TSF 3'!E324</f>
        <v>14th Floor</v>
      </c>
      <c r="D324" s="974">
        <f>'INTERNAL PRICELIST'!D324</f>
        <v>0</v>
      </c>
      <c r="E324" s="975" t="str">
        <f>'Corrected and Updated TSF 3'!G324</f>
        <v>W-14H</v>
      </c>
      <c r="F324" s="976" t="str">
        <f>'Corrected and Updated TSF 3'!I324</f>
        <v>Studio</v>
      </c>
      <c r="G324" s="977">
        <f>'Corrected and Updated TSF 3'!J324</f>
        <v>22</v>
      </c>
      <c r="H324" s="977">
        <f>'Corrected and Updated TSF 3'!CG324</f>
        <v>4014714.5007060822</v>
      </c>
      <c r="I324" s="977">
        <f>SUM('Corrected and Updated TSF 3'!CI324:CJ324)</f>
        <v>511876.09884002543</v>
      </c>
      <c r="J324" s="977">
        <f>'Corrected and Updated TSF 3'!CH324</f>
        <v>0</v>
      </c>
      <c r="K324" s="977">
        <f>'Corrected and Updated TSF 3'!CK324</f>
        <v>4526590.5995461075</v>
      </c>
      <c r="L324" s="978">
        <f>'Corrected and Updated TSF 3'!CL324</f>
        <v>0.125</v>
      </c>
      <c r="M324" s="977">
        <f>'Corrected and Updated TSF 3'!CM324</f>
        <v>565823.82494326343</v>
      </c>
      <c r="N324" s="977">
        <f>'Corrected and Updated TSF 3'!CN324</f>
        <v>30000</v>
      </c>
      <c r="O324" s="977">
        <f>'Corrected and Updated TSF 3'!CO324</f>
        <v>535823.82494326343</v>
      </c>
      <c r="P324" s="976">
        <f>'Corrected and Updated TSF 3'!CP324</f>
        <v>31</v>
      </c>
      <c r="Q324" s="977">
        <f>'Corrected and Updated TSF 3'!CQ324</f>
        <v>17284.639514298822</v>
      </c>
      <c r="R324" s="977">
        <f>'Corrected and Updated TSF 3'!CS324</f>
        <v>3960766.7746028439</v>
      </c>
      <c r="S324" s="977">
        <f>'Corrected and Updated TSF 3'!CT324</f>
        <v>30707.782645841882</v>
      </c>
      <c r="T324" s="636">
        <f>'Corrected and Updated TSF 3'!CU324</f>
        <v>35600.491512660185</v>
      </c>
      <c r="U324" s="636">
        <f>'Corrected and Updated TSF 3'!CV324</f>
        <v>45987.860673879099</v>
      </c>
      <c r="V324" s="636">
        <f>'Corrected and Updated TSF 3'!CW324</f>
        <v>78427.929275930772</v>
      </c>
      <c r="W324" s="1102">
        <f>'Corrected and Updated TSF 3'!CX324</f>
        <v>321745.67445476446</v>
      </c>
      <c r="X324" s="1102">
        <f>'Corrected and Updated TSF 3'!CY324</f>
        <v>127313.19606858582</v>
      </c>
      <c r="Y324" s="1102">
        <f>'Corrected and Updated TSF 3'!CZ324</f>
        <v>91956.518358768255</v>
      </c>
      <c r="Z324" s="1102">
        <f>'Corrected and Updated TSF 3'!DA324</f>
        <v>69983.143930478778</v>
      </c>
      <c r="AA324" s="821">
        <f>L324-'Corrected and Updated TSF 3'!CL324</f>
        <v>0</v>
      </c>
      <c r="AB324" s="678">
        <f>N324-'Corrected and Updated TSF 3'!CN324</f>
        <v>0</v>
      </c>
      <c r="AC324" s="678">
        <f>Q324-'Corrected and Updated TSF 3'!CQ324</f>
        <v>0</v>
      </c>
      <c r="AD324" s="497"/>
      <c r="AE324" s="497"/>
      <c r="AF324" s="497"/>
      <c r="AG324" s="497"/>
      <c r="AH324" s="677"/>
      <c r="AI324" s="677"/>
      <c r="AJ324" s="677"/>
      <c r="AK324" s="677"/>
    </row>
    <row r="325" spans="1:37" s="521" customFormat="1" ht="12.75" customHeight="1">
      <c r="A325" s="631" t="str">
        <f t="shared" si="4"/>
        <v>W-14I</v>
      </c>
      <c r="B325" s="632" t="str">
        <f>'Corrected and Updated TSF 3'!EP325</f>
        <v>UNSOLD</v>
      </c>
      <c r="C325" s="973" t="str">
        <f>'Corrected and Updated TSF 3'!E325</f>
        <v>14th Floor</v>
      </c>
      <c r="D325" s="974">
        <f>'INTERNAL PRICELIST'!D325</f>
        <v>0</v>
      </c>
      <c r="E325" s="975" t="str">
        <f>'Corrected and Updated TSF 3'!G325</f>
        <v>W-14I</v>
      </c>
      <c r="F325" s="976" t="str">
        <f>'Corrected and Updated TSF 3'!I325</f>
        <v>Studio</v>
      </c>
      <c r="G325" s="977">
        <f>'Corrected and Updated TSF 3'!J325</f>
        <v>22</v>
      </c>
      <c r="H325" s="977">
        <f>'Corrected and Updated TSF 3'!CG325</f>
        <v>4056985.6371939071</v>
      </c>
      <c r="I325" s="977">
        <f>SUM('Corrected and Updated TSF 3'!CI325:CJ325)</f>
        <v>517265.66874222312</v>
      </c>
      <c r="J325" s="977">
        <f>'Corrected and Updated TSF 3'!CH325</f>
        <v>0</v>
      </c>
      <c r="K325" s="977">
        <f>'Corrected and Updated TSF 3'!CK325</f>
        <v>4574251.3059361307</v>
      </c>
      <c r="L325" s="978">
        <f>'Corrected and Updated TSF 3'!CL325</f>
        <v>0.125</v>
      </c>
      <c r="M325" s="977">
        <f>'Corrected and Updated TSF 3'!CM325</f>
        <v>571781.41324201634</v>
      </c>
      <c r="N325" s="977">
        <f>'Corrected and Updated TSF 3'!CN325</f>
        <v>30000</v>
      </c>
      <c r="O325" s="977">
        <f>'Corrected and Updated TSF 3'!CO325</f>
        <v>541781.41324201634</v>
      </c>
      <c r="P325" s="976">
        <f>'Corrected and Updated TSF 3'!CP325</f>
        <v>31</v>
      </c>
      <c r="Q325" s="977">
        <f>'Corrected and Updated TSF 3'!CQ325</f>
        <v>17476.819782000526</v>
      </c>
      <c r="R325" s="977">
        <f>'Corrected and Updated TSF 3'!CS325</f>
        <v>4002469.8926941142</v>
      </c>
      <c r="S325" s="977">
        <f>'Corrected and Updated TSF 3'!CT325</f>
        <v>31031.106476523379</v>
      </c>
      <c r="T325" s="636">
        <f>'Corrected and Updated TSF 3'!CU325</f>
        <v>35975.330927891497</v>
      </c>
      <c r="U325" s="636">
        <f>'Corrected and Updated TSF 3'!CV325</f>
        <v>46472.069235904302</v>
      </c>
      <c r="V325" s="636">
        <f>'Corrected and Updated TSF 3'!CW325</f>
        <v>79253.700997007661</v>
      </c>
      <c r="W325" s="1102">
        <f>'Corrected and Updated TSF 3'!CX325</f>
        <v>325133.351291275</v>
      </c>
      <c r="X325" s="1102">
        <f>'Corrected and Updated TSF 3'!CY325</f>
        <v>128653.6832904717</v>
      </c>
      <c r="Y325" s="1102">
        <f>'Corrected and Updated TSF 3'!CZ325</f>
        <v>92924.733293555037</v>
      </c>
      <c r="Z325" s="1102">
        <f>'Corrected and Updated TSF 3'!DA325</f>
        <v>70720.000070164955</v>
      </c>
      <c r="AA325" s="821">
        <f>L325-'Corrected and Updated TSF 3'!CL325</f>
        <v>0</v>
      </c>
      <c r="AB325" s="678">
        <f>N325-'Corrected and Updated TSF 3'!CN325</f>
        <v>0</v>
      </c>
      <c r="AC325" s="678">
        <f>Q325-'Corrected and Updated TSF 3'!CQ325</f>
        <v>0</v>
      </c>
      <c r="AD325" s="497"/>
      <c r="AE325" s="497"/>
      <c r="AF325" s="497"/>
      <c r="AG325" s="497"/>
      <c r="AH325" s="677"/>
      <c r="AI325" s="677"/>
      <c r="AJ325" s="677"/>
      <c r="AK325" s="677"/>
    </row>
    <row r="326" spans="1:37" s="521" customFormat="1" ht="12.75" customHeight="1">
      <c r="A326" s="631" t="str">
        <f t="shared" si="4"/>
        <v>W-14J</v>
      </c>
      <c r="B326" s="632" t="str">
        <f>'Corrected and Updated TSF 3'!EP326</f>
        <v>UNSOLD</v>
      </c>
      <c r="C326" s="973" t="str">
        <f>'Corrected and Updated TSF 3'!E326</f>
        <v>14th Floor</v>
      </c>
      <c r="D326" s="974">
        <f>'INTERNAL PRICELIST'!D326</f>
        <v>0</v>
      </c>
      <c r="E326" s="975" t="str">
        <f>'Corrected and Updated TSF 3'!G326</f>
        <v>W-14J</v>
      </c>
      <c r="F326" s="976" t="str">
        <f>'Corrected and Updated TSF 3'!I326</f>
        <v>Studio</v>
      </c>
      <c r="G326" s="977">
        <f>'Corrected and Updated TSF 3'!J326</f>
        <v>22</v>
      </c>
      <c r="H326" s="977">
        <f>'Corrected and Updated TSF 3'!CG326</f>
        <v>4193738.1750583285</v>
      </c>
      <c r="I326" s="977">
        <f>SUM('Corrected and Updated TSF 3'!CI326:CJ326)</f>
        <v>534701.61731993686</v>
      </c>
      <c r="J326" s="977">
        <f>'Corrected and Updated TSF 3'!CH326</f>
        <v>0</v>
      </c>
      <c r="K326" s="977">
        <f>'Corrected and Updated TSF 3'!CK326</f>
        <v>4728439.7923782654</v>
      </c>
      <c r="L326" s="978">
        <f>'Corrected and Updated TSF 3'!CL326</f>
        <v>0.125</v>
      </c>
      <c r="M326" s="977">
        <f>'Corrected and Updated TSF 3'!CM326</f>
        <v>591054.97404728318</v>
      </c>
      <c r="N326" s="977">
        <f>'Corrected and Updated TSF 3'!CN326</f>
        <v>30000</v>
      </c>
      <c r="O326" s="977">
        <f>'Corrected and Updated TSF 3'!CO326</f>
        <v>561054.97404728318</v>
      </c>
      <c r="P326" s="976">
        <f>'Corrected and Updated TSF 3'!CP326</f>
        <v>31</v>
      </c>
      <c r="Q326" s="977">
        <f>'Corrected and Updated TSF 3'!CQ326</f>
        <v>18098.54754991236</v>
      </c>
      <c r="R326" s="977">
        <f>'Corrected and Updated TSF 3'!CS326</f>
        <v>4137384.8183309822</v>
      </c>
      <c r="S326" s="977">
        <f>'Corrected and Updated TSF 3'!CT326</f>
        <v>32077.100458977016</v>
      </c>
      <c r="T326" s="636">
        <f>'Corrected and Updated TSF 3'!CU326</f>
        <v>37187.984421115194</v>
      </c>
      <c r="U326" s="636">
        <f>'Corrected and Updated TSF 3'!CV326</f>
        <v>48038.545919863354</v>
      </c>
      <c r="V326" s="636">
        <f>'Corrected and Updated TSF 3'!CW326</f>
        <v>81925.178225599768</v>
      </c>
      <c r="W326" s="1102">
        <f>'Corrected and Updated TSF 3'!CX326</f>
        <v>336092.91952977626</v>
      </c>
      <c r="X326" s="1102">
        <f>'Corrected and Updated TSF 3'!CY326</f>
        <v>132990.33105532464</v>
      </c>
      <c r="Y326" s="1102">
        <f>'Corrected and Updated TSF 3'!CZ326</f>
        <v>96057.032553322104</v>
      </c>
      <c r="Z326" s="1102">
        <f>'Corrected and Updated TSF 3'!DA326</f>
        <v>73103.8240104578</v>
      </c>
      <c r="AA326" s="821">
        <f>L326-'Corrected and Updated TSF 3'!CL326</f>
        <v>0</v>
      </c>
      <c r="AB326" s="678">
        <f>N326-'Corrected and Updated TSF 3'!CN326</f>
        <v>0</v>
      </c>
      <c r="AC326" s="678">
        <f>Q326-'Corrected and Updated TSF 3'!CQ326</f>
        <v>0</v>
      </c>
      <c r="AD326" s="497"/>
      <c r="AE326" s="497"/>
      <c r="AF326" s="497"/>
      <c r="AG326" s="497"/>
      <c r="AH326" s="677"/>
      <c r="AI326" s="677"/>
      <c r="AJ326" s="677"/>
      <c r="AK326" s="677"/>
    </row>
    <row r="327" spans="1:37" s="521" customFormat="1">
      <c r="A327" s="631" t="str">
        <f t="shared" si="4"/>
        <v>W-14K</v>
      </c>
      <c r="B327" s="632" t="str">
        <f>'Corrected and Updated TSF 3'!EP327</f>
        <v>UNSOLD</v>
      </c>
      <c r="C327" s="973" t="str">
        <f>'Corrected and Updated TSF 3'!E327</f>
        <v>14th Floor</v>
      </c>
      <c r="D327" s="974">
        <f>'INTERNAL PRICELIST'!D327</f>
        <v>0</v>
      </c>
      <c r="E327" s="975" t="str">
        <f>'Corrected and Updated TSF 3'!G327</f>
        <v>W-14K</v>
      </c>
      <c r="F327" s="976" t="str">
        <f>'Corrected and Updated TSF 3'!I327</f>
        <v>Studio</v>
      </c>
      <c r="G327" s="977">
        <f>'Corrected and Updated TSF 3'!J327</f>
        <v>22</v>
      </c>
      <c r="H327" s="977">
        <f>'Corrected and Updated TSF 3'!CG327</f>
        <v>4058742.1249987851</v>
      </c>
      <c r="I327" s="977">
        <f>SUM('Corrected and Updated TSF 3'!CI327:CJ327)</f>
        <v>517489.62093734508</v>
      </c>
      <c r="J327" s="977">
        <f>'Corrected and Updated TSF 3'!CH327</f>
        <v>0</v>
      </c>
      <c r="K327" s="977">
        <f>'Corrected and Updated TSF 3'!CK327</f>
        <v>4576231.7459361302</v>
      </c>
      <c r="L327" s="978">
        <f>'Corrected and Updated TSF 3'!CL327</f>
        <v>0.125</v>
      </c>
      <c r="M327" s="977">
        <f>'Corrected and Updated TSF 3'!CM327</f>
        <v>572028.96824201627</v>
      </c>
      <c r="N327" s="977">
        <f>'Corrected and Updated TSF 3'!CN327</f>
        <v>30000</v>
      </c>
      <c r="O327" s="977">
        <f>'Corrected and Updated TSF 3'!CO327</f>
        <v>542028.96824201627</v>
      </c>
      <c r="P327" s="976">
        <f>'Corrected and Updated TSF 3'!CP327</f>
        <v>31</v>
      </c>
      <c r="Q327" s="977">
        <f>'Corrected and Updated TSF 3'!CQ327</f>
        <v>17484.805427161817</v>
      </c>
      <c r="R327" s="977">
        <f>'Corrected and Updated TSF 3'!CS327</f>
        <v>4004202.777694114</v>
      </c>
      <c r="S327" s="977">
        <f>'Corrected and Updated TSF 3'!CT327</f>
        <v>31044.541515483877</v>
      </c>
      <c r="T327" s="636">
        <f>'Corrected and Updated TSF 3'!CU327</f>
        <v>35990.90658817286</v>
      </c>
      <c r="U327" s="636">
        <f>'Corrected and Updated TSF 3'!CV327</f>
        <v>46492.189500105378</v>
      </c>
      <c r="V327" s="636">
        <f>'Corrected and Updated TSF 3'!CW327</f>
        <v>79288.014196940247</v>
      </c>
      <c r="W327" s="1102">
        <f>'Corrected and Updated TSF 3'!CX327</f>
        <v>325274.11904782464</v>
      </c>
      <c r="X327" s="1102">
        <f>'Corrected and Updated TSF 3'!CY327</f>
        <v>128709.38440601931</v>
      </c>
      <c r="Y327" s="1102">
        <f>'Corrected and Updated TSF 3'!CZ327</f>
        <v>92964.965420409339</v>
      </c>
      <c r="Z327" s="1102">
        <f>'Corrected and Updated TSF 3'!DA327</f>
        <v>70750.618570892519</v>
      </c>
      <c r="AA327" s="821">
        <f>L327-'Corrected and Updated TSF 3'!CL327</f>
        <v>0</v>
      </c>
      <c r="AB327" s="678">
        <f>N327-'Corrected and Updated TSF 3'!CN327</f>
        <v>0</v>
      </c>
      <c r="AC327" s="678">
        <f>Q327-'Corrected and Updated TSF 3'!CQ327</f>
        <v>0</v>
      </c>
      <c r="AD327" s="497"/>
      <c r="AE327" s="497"/>
      <c r="AF327" s="497"/>
      <c r="AG327" s="497"/>
      <c r="AH327" s="677"/>
      <c r="AI327" s="677"/>
      <c r="AJ327" s="677"/>
      <c r="AK327" s="677"/>
    </row>
    <row r="328" spans="1:37" s="521" customFormat="1" ht="12.75" hidden="1" customHeight="1">
      <c r="A328" s="631" t="str">
        <f t="shared" ref="A328:A378" si="5">E328</f>
        <v>W-14L</v>
      </c>
      <c r="B328" s="632" t="str">
        <f>'Corrected and Updated TSF 3'!EP328</f>
        <v>SOLD</v>
      </c>
      <c r="C328" s="973" t="str">
        <f>'Corrected and Updated TSF 3'!E328</f>
        <v>14th Floor</v>
      </c>
      <c r="D328" s="974">
        <f>'INTERNAL PRICELIST'!D328</f>
        <v>0</v>
      </c>
      <c r="E328" s="975" t="str">
        <f>'Corrected and Updated TSF 3'!G328</f>
        <v>W-14L</v>
      </c>
      <c r="F328" s="976" t="str">
        <f>'Corrected and Updated TSF 3'!I328</f>
        <v>Studio</v>
      </c>
      <c r="G328" s="977">
        <f>'Corrected and Updated TSF 3'!J328</f>
        <v>22</v>
      </c>
      <c r="H328" s="977">
        <f>'Corrected and Updated TSF 3'!CG328</f>
        <v>4014714.5007060822</v>
      </c>
      <c r="I328" s="977">
        <f>SUM('Corrected and Updated TSF 3'!CI328:CJ328)</f>
        <v>511876.09884002543</v>
      </c>
      <c r="J328" s="977">
        <f>'Corrected and Updated TSF 3'!CH328</f>
        <v>0</v>
      </c>
      <c r="K328" s="977">
        <f>'Corrected and Updated TSF 3'!CK328</f>
        <v>4526590.5995461075</v>
      </c>
      <c r="L328" s="978">
        <f>'Corrected and Updated TSF 3'!CL328</f>
        <v>0.125</v>
      </c>
      <c r="M328" s="977">
        <f>'Corrected and Updated TSF 3'!CM328</f>
        <v>565823.82494326343</v>
      </c>
      <c r="N328" s="977">
        <f>'Corrected and Updated TSF 3'!CN328</f>
        <v>30000</v>
      </c>
      <c r="O328" s="977">
        <f>'Corrected and Updated TSF 3'!CO328</f>
        <v>535823.82494326343</v>
      </c>
      <c r="P328" s="976">
        <f>'Corrected and Updated TSF 3'!CP328</f>
        <v>31</v>
      </c>
      <c r="Q328" s="977">
        <f>'Corrected and Updated TSF 3'!CQ328</f>
        <v>17284.639514298822</v>
      </c>
      <c r="R328" s="977">
        <f>'Corrected and Updated TSF 3'!CS328</f>
        <v>3960766.7746028439</v>
      </c>
      <c r="S328" s="977">
        <f>'Corrected and Updated TSF 3'!CT328</f>
        <v>30707.782645841882</v>
      </c>
      <c r="T328" s="636">
        <f>'Corrected and Updated TSF 3'!CU328</f>
        <v>35600.491512660185</v>
      </c>
      <c r="U328" s="636">
        <f>'Corrected and Updated TSF 3'!CV328</f>
        <v>45987.860673879099</v>
      </c>
      <c r="V328" s="636">
        <f>'Corrected and Updated TSF 3'!CW328</f>
        <v>78427.929275930772</v>
      </c>
      <c r="W328" s="1102">
        <f>'Corrected and Updated TSF 3'!CX328</f>
        <v>321745.67445476446</v>
      </c>
      <c r="X328" s="1102">
        <f>'Corrected and Updated TSF 3'!CY328</f>
        <v>127313.19606858582</v>
      </c>
      <c r="Y328" s="1102">
        <f>'Corrected and Updated TSF 3'!CZ328</f>
        <v>91956.518358768255</v>
      </c>
      <c r="Z328" s="1102">
        <f>'Corrected and Updated TSF 3'!DA328</f>
        <v>69983.143930478778</v>
      </c>
      <c r="AA328" s="821">
        <f>L328-'Corrected and Updated TSF 3'!CL328</f>
        <v>0</v>
      </c>
      <c r="AB328" s="678">
        <f>N328-'Corrected and Updated TSF 3'!CN328</f>
        <v>0</v>
      </c>
      <c r="AC328" s="678">
        <f>Q328-'Corrected and Updated TSF 3'!CQ328</f>
        <v>0</v>
      </c>
      <c r="AD328" s="497"/>
      <c r="AE328" s="497"/>
      <c r="AF328" s="497"/>
      <c r="AG328" s="497"/>
      <c r="AH328" s="677"/>
      <c r="AI328" s="677"/>
      <c r="AJ328" s="677"/>
      <c r="AK328" s="677"/>
    </row>
    <row r="329" spans="1:37" s="521" customFormat="1" ht="12.75" customHeight="1">
      <c r="A329" s="631" t="str">
        <f t="shared" si="5"/>
        <v>W-14M</v>
      </c>
      <c r="B329" s="632" t="str">
        <f>'Corrected and Updated TSF 3'!EP329</f>
        <v>UNSOLD</v>
      </c>
      <c r="C329" s="1167" t="str">
        <f>'Corrected and Updated TSF 3'!E329</f>
        <v>14th Floor</v>
      </c>
      <c r="D329" s="974">
        <f>'INTERNAL PRICELIST'!D329</f>
        <v>0</v>
      </c>
      <c r="E329" s="1134" t="str">
        <f>'Corrected and Updated TSF 3'!G329</f>
        <v>W-14M</v>
      </c>
      <c r="F329" s="1168" t="str">
        <f>'Corrected and Updated TSF 3'!I329</f>
        <v>Studio</v>
      </c>
      <c r="G329" s="1169">
        <f>'Corrected and Updated TSF 3'!J329</f>
        <v>22</v>
      </c>
      <c r="H329" s="1169">
        <f>'Corrected and Updated TSF 3'!CG329</f>
        <v>4045228.1348448875</v>
      </c>
      <c r="I329" s="1169">
        <f>SUM('Corrected and Updated TSF 3'!CI329:CJ329)</f>
        <v>515766.58719272312</v>
      </c>
      <c r="J329" s="977">
        <f>'Corrected and Updated TSF 3'!CH329</f>
        <v>0</v>
      </c>
      <c r="K329" s="1169">
        <f>'Corrected and Updated TSF 3'!CK329</f>
        <v>4560994.7220376106</v>
      </c>
      <c r="L329" s="1170">
        <f>'Corrected and Updated TSF 3'!CL329</f>
        <v>0.125</v>
      </c>
      <c r="M329" s="1169">
        <f>'Corrected and Updated TSF 3'!CM329</f>
        <v>570124.34025470132</v>
      </c>
      <c r="N329" s="1169">
        <f>'Corrected and Updated TSF 3'!CN329</f>
        <v>30000</v>
      </c>
      <c r="O329" s="1169">
        <f>'Corrected and Updated TSF 3'!CO329</f>
        <v>540124.34025470132</v>
      </c>
      <c r="P329" s="1168">
        <f>'Corrected and Updated TSF 3'!CP329</f>
        <v>31</v>
      </c>
      <c r="Q329" s="1169">
        <f>'Corrected and Updated TSF 3'!CQ329</f>
        <v>17423.365814667784</v>
      </c>
      <c r="R329" s="1169">
        <f>'Corrected and Updated TSF 3'!CS329</f>
        <v>3990870.3817829094</v>
      </c>
      <c r="S329" s="1169">
        <f>'Corrected and Updated TSF 3'!CT329</f>
        <v>30941.175591891813</v>
      </c>
      <c r="T329" s="1166">
        <f>'Corrected and Updated TSF 3'!CU329</f>
        <v>35871.071244540974</v>
      </c>
      <c r="U329" s="1166">
        <f>'Corrected and Updated TSF 3'!CV329</f>
        <v>46337.389078746317</v>
      </c>
      <c r="V329" s="1166">
        <f>'Corrected and Updated TSF 3'!CW329</f>
        <v>79024.016778483943</v>
      </c>
      <c r="W329" s="1102">
        <f>'Corrected and Updated TSF 3'!CX329</f>
        <v>324191.08615074668</v>
      </c>
      <c r="X329" s="1102">
        <f>'Corrected and Updated TSF 3'!CY329</f>
        <v>128280.83356440169</v>
      </c>
      <c r="Y329" s="1102">
        <f>'Corrected and Updated TSF 3'!CZ329</f>
        <v>92655.4292171579</v>
      </c>
      <c r="Z329" s="1102">
        <f>'Corrected and Updated TSF 3'!DA329</f>
        <v>70515.047269907373</v>
      </c>
      <c r="AA329" s="821">
        <f>L329-'Corrected and Updated TSF 3'!CL329</f>
        <v>0</v>
      </c>
      <c r="AB329" s="678">
        <f>N329-'Corrected and Updated TSF 3'!CN329</f>
        <v>0</v>
      </c>
      <c r="AC329" s="678">
        <f>Q329-'Corrected and Updated TSF 3'!CQ329</f>
        <v>0</v>
      </c>
      <c r="AD329" s="497"/>
      <c r="AE329" s="497"/>
      <c r="AF329" s="497"/>
      <c r="AG329" s="497"/>
      <c r="AH329" s="677"/>
      <c r="AI329" s="677"/>
      <c r="AJ329" s="677"/>
      <c r="AK329" s="677"/>
    </row>
    <row r="330" spans="1:37" s="521" customFormat="1" ht="12.75" hidden="1" customHeight="1">
      <c r="A330" s="631" t="str">
        <f t="shared" si="5"/>
        <v>W-14N</v>
      </c>
      <c r="B330" s="632" t="str">
        <f>'Corrected and Updated TSF 3'!EP330</f>
        <v>SOLD</v>
      </c>
      <c r="C330" s="1167" t="str">
        <f>'Corrected and Updated TSF 3'!E330</f>
        <v>14th Floor</v>
      </c>
      <c r="D330" s="974">
        <f>'INTERNAL PRICELIST'!D330</f>
        <v>0</v>
      </c>
      <c r="E330" s="1134" t="str">
        <f>'Corrected and Updated TSF 3'!G330</f>
        <v>W-14N</v>
      </c>
      <c r="F330" s="1168" t="str">
        <f>'Corrected and Updated TSF 3'!I330</f>
        <v>Studio</v>
      </c>
      <c r="G330" s="1169">
        <f>'Corrected and Updated TSF 3'!J330</f>
        <v>22</v>
      </c>
      <c r="H330" s="1169">
        <f>'Corrected and Updated TSF 3'!CG330</f>
        <v>4050952.0940927654</v>
      </c>
      <c r="I330" s="1169">
        <f>SUM('Corrected and Updated TSF 3'!CI330:CJ330)</f>
        <v>516496.39199682756</v>
      </c>
      <c r="J330" s="977">
        <f>'Corrected and Updated TSF 3'!CH330</f>
        <v>0</v>
      </c>
      <c r="K330" s="1169">
        <f>'Corrected and Updated TSF 3'!CK330</f>
        <v>4567448.4860895937</v>
      </c>
      <c r="L330" s="1170">
        <f>'Corrected and Updated TSF 3'!CL330</f>
        <v>0.125</v>
      </c>
      <c r="M330" s="1169">
        <f>'Corrected and Updated TSF 3'!CM330</f>
        <v>570931.06076119922</v>
      </c>
      <c r="N330" s="1169">
        <f>'Corrected and Updated TSF 3'!CN330</f>
        <v>30000</v>
      </c>
      <c r="O330" s="1169">
        <f>'Corrected and Updated TSF 3'!CO330</f>
        <v>540931.06076119922</v>
      </c>
      <c r="P330" s="1168">
        <f>'Corrected and Updated TSF 3'!CP330</f>
        <v>31</v>
      </c>
      <c r="Q330" s="1169">
        <f>'Corrected and Updated TSF 3'!CQ330</f>
        <v>17449.389056812877</v>
      </c>
      <c r="R330" s="1169">
        <f>'Corrected and Updated TSF 3'!CS330</f>
        <v>3996517.4253283944</v>
      </c>
      <c r="S330" s="1169">
        <f>'Corrected and Updated TSF 3'!CT330</f>
        <v>30984.957060393896</v>
      </c>
      <c r="T330" s="1166">
        <f>'Corrected and Updated TSF 3'!CU330</f>
        <v>35921.828468395142</v>
      </c>
      <c r="U330" s="1166">
        <f>'Corrected and Updated TSF 3'!CV330</f>
        <v>46402.956042561083</v>
      </c>
      <c r="V330" s="1166">
        <f>'Corrected and Updated TSF 3'!CW330</f>
        <v>79135.835008894093</v>
      </c>
      <c r="W330" s="1102">
        <f>'Corrected and Updated TSF 3'!CX330</f>
        <v>324649.813447155</v>
      </c>
      <c r="X330" s="1102">
        <f>'Corrected and Updated TSF 3'!CY330</f>
        <v>128462.3497210015</v>
      </c>
      <c r="Y330" s="1102">
        <f>'Corrected and Updated TSF 3'!CZ330</f>
        <v>92786.535766221292</v>
      </c>
      <c r="Z330" s="1102">
        <f>'Corrected and Updated TSF 3'!DA330</f>
        <v>70614.825389578415</v>
      </c>
      <c r="AA330" s="821">
        <f>L330-'Corrected and Updated TSF 3'!CL330</f>
        <v>0</v>
      </c>
      <c r="AB330" s="678">
        <f>N330-'Corrected and Updated TSF 3'!CN330</f>
        <v>0</v>
      </c>
      <c r="AC330" s="678">
        <f>Q330-'Corrected and Updated TSF 3'!CQ330</f>
        <v>0</v>
      </c>
      <c r="AD330" s="497"/>
      <c r="AE330" s="497"/>
      <c r="AF330" s="497"/>
      <c r="AG330" s="497"/>
      <c r="AH330" s="677"/>
      <c r="AI330" s="677"/>
      <c r="AJ330" s="677"/>
      <c r="AK330" s="677"/>
    </row>
    <row r="331" spans="1:37" s="521" customFormat="1" ht="12.75" customHeight="1">
      <c r="A331" s="631" t="str">
        <f t="shared" si="5"/>
        <v>W-14O</v>
      </c>
      <c r="B331" s="632" t="str">
        <f>'Corrected and Updated TSF 3'!EP331</f>
        <v>UNSOLD</v>
      </c>
      <c r="C331" s="973" t="str">
        <f>'Corrected and Updated TSF 3'!E331</f>
        <v>14th Floor</v>
      </c>
      <c r="D331" s="974">
        <f>'INTERNAL PRICELIST'!D331</f>
        <v>0</v>
      </c>
      <c r="E331" s="975" t="str">
        <f>'Corrected and Updated TSF 3'!G331</f>
        <v>W-14O</v>
      </c>
      <c r="F331" s="976" t="str">
        <f>'Corrected and Updated TSF 3'!I331</f>
        <v>Studio</v>
      </c>
      <c r="G331" s="977">
        <f>'Corrected and Updated TSF 3'!J331</f>
        <v>22</v>
      </c>
      <c r="H331" s="977">
        <f>'Corrected and Updated TSF 3'!CG331</f>
        <v>4090583.2305805902</v>
      </c>
      <c r="I331" s="977">
        <f>SUM('Corrected and Updated TSF 3'!CI331:CJ331)</f>
        <v>521549.36189902521</v>
      </c>
      <c r="J331" s="977">
        <f>'Corrected and Updated TSF 3'!CH331</f>
        <v>0</v>
      </c>
      <c r="K331" s="977">
        <f>'Corrected and Updated TSF 3'!CK331</f>
        <v>4612132.5924796155</v>
      </c>
      <c r="L331" s="978">
        <f>'Corrected and Updated TSF 3'!CL331</f>
        <v>0.125</v>
      </c>
      <c r="M331" s="977">
        <f>'Corrected and Updated TSF 3'!CM331</f>
        <v>576516.57405995193</v>
      </c>
      <c r="N331" s="977">
        <f>'Corrected and Updated TSF 3'!CN331</f>
        <v>30000</v>
      </c>
      <c r="O331" s="977">
        <f>'Corrected and Updated TSF 3'!CO331</f>
        <v>546516.57405995193</v>
      </c>
      <c r="P331" s="976">
        <f>'Corrected and Updated TSF 3'!CP331</f>
        <v>31</v>
      </c>
      <c r="Q331" s="977">
        <f>'Corrected and Updated TSF 3'!CQ331</f>
        <v>17629.56690515974</v>
      </c>
      <c r="R331" s="977">
        <f>'Corrected and Updated TSF 3'!CS331</f>
        <v>4035616.0184196634</v>
      </c>
      <c r="S331" s="977">
        <f>'Corrected and Updated TSF 3'!CT331</f>
        <v>31288.088036472458</v>
      </c>
      <c r="T331" s="636">
        <f>'Corrected and Updated TSF 3'!CU331</f>
        <v>36273.257676605026</v>
      </c>
      <c r="U331" s="636">
        <f>'Corrected and Updated TSF 3'!CV331</f>
        <v>46856.923860902585</v>
      </c>
      <c r="V331" s="636">
        <f>'Corrected and Updated TSF 3'!CW331</f>
        <v>79910.034013342636</v>
      </c>
      <c r="W331" s="1102">
        <f>'Corrected and Updated TSF 3'!CX331</f>
        <v>327825.91643939546</v>
      </c>
      <c r="X331" s="1102">
        <f>'Corrected and Updated TSF 3'!CY331</f>
        <v>129719.1182033451</v>
      </c>
      <c r="Y331" s="1102">
        <f>'Corrected and Updated TSF 3'!CZ331</f>
        <v>93694.281841161501</v>
      </c>
      <c r="Z331" s="1102">
        <f>'Corrected and Updated TSF 3'!DA331</f>
        <v>71305.661943078798</v>
      </c>
      <c r="AA331" s="821">
        <f>L331-'Corrected and Updated TSF 3'!CL331</f>
        <v>0</v>
      </c>
      <c r="AB331" s="678">
        <f>N331-'Corrected and Updated TSF 3'!CN331</f>
        <v>0</v>
      </c>
      <c r="AC331" s="678">
        <f>Q331-'Corrected and Updated TSF 3'!CQ331</f>
        <v>0</v>
      </c>
      <c r="AD331" s="497"/>
      <c r="AE331" s="497"/>
      <c r="AF331" s="497"/>
      <c r="AG331" s="497"/>
      <c r="AH331" s="677"/>
      <c r="AI331" s="677"/>
      <c r="AJ331" s="677"/>
      <c r="AK331" s="677"/>
    </row>
    <row r="332" spans="1:37" s="521" customFormat="1" ht="12.75" hidden="1" customHeight="1">
      <c r="A332" s="631" t="str">
        <f t="shared" si="5"/>
        <v>W-14P</v>
      </c>
      <c r="B332" s="632" t="str">
        <f>'Corrected and Updated TSF 3'!EP332</f>
        <v>SOLD</v>
      </c>
      <c r="C332" s="973" t="str">
        <f>'Corrected and Updated TSF 3'!E332</f>
        <v>14th Floor</v>
      </c>
      <c r="D332" s="974">
        <f>'INTERNAL PRICELIST'!D332</f>
        <v>0</v>
      </c>
      <c r="E332" s="975" t="str">
        <f>'Corrected and Updated TSF 3'!G332</f>
        <v>W-14P</v>
      </c>
      <c r="F332" s="976" t="str">
        <f>'Corrected and Updated TSF 3'!I332</f>
        <v>Studio</v>
      </c>
      <c r="G332" s="977">
        <f>'Corrected and Updated TSF 3'!J332</f>
        <v>22</v>
      </c>
      <c r="H332" s="977">
        <f>'Corrected and Updated TSF 3'!CG332</f>
        <v>4107948.4841727903</v>
      </c>
      <c r="I332" s="977">
        <f>SUM('Corrected and Updated TSF 3'!CI332:CJ332)</f>
        <v>523763.43173203076</v>
      </c>
      <c r="J332" s="977">
        <f>'Corrected and Updated TSF 3'!CH332</f>
        <v>0</v>
      </c>
      <c r="K332" s="977">
        <f>'Corrected and Updated TSF 3'!CK332</f>
        <v>4631711.9159048209</v>
      </c>
      <c r="L332" s="978">
        <f>'Corrected and Updated TSF 3'!CL332</f>
        <v>0.125</v>
      </c>
      <c r="M332" s="977">
        <f>'Corrected and Updated TSF 3'!CM332</f>
        <v>578963.98948810261</v>
      </c>
      <c r="N332" s="977">
        <f>'Corrected and Updated TSF 3'!CN332</f>
        <v>30000</v>
      </c>
      <c r="O332" s="977">
        <f>'Corrected and Updated TSF 3'!CO332</f>
        <v>548963.98948810261</v>
      </c>
      <c r="P332" s="976">
        <f>'Corrected and Updated TSF 3'!CP332</f>
        <v>31</v>
      </c>
      <c r="Q332" s="977">
        <f>'Corrected and Updated TSF 3'!CQ332</f>
        <v>17708.515789938792</v>
      </c>
      <c r="R332" s="977">
        <f>'Corrected and Updated TSF 3'!CS332</f>
        <v>4052747.9264167184</v>
      </c>
      <c r="S332" s="977">
        <f>'Corrected and Updated TSF 3'!CT332</f>
        <v>31420.911536824828</v>
      </c>
      <c r="T332" s="636">
        <f>'Corrected and Updated TSF 3'!CU332</f>
        <v>36427.244109018982</v>
      </c>
      <c r="U332" s="636">
        <f>'Corrected and Updated TSF 3'!CV332</f>
        <v>47055.839839267734</v>
      </c>
      <c r="V332" s="636">
        <f>'Corrected and Updated TSF 3'!CW332</f>
        <v>80249.266324967335</v>
      </c>
      <c r="W332" s="1102">
        <f>'Corrected and Updated TSF 3'!CX332</f>
        <v>329217.59578001057</v>
      </c>
      <c r="X332" s="1102">
        <f>'Corrected and Updated TSF 3'!CY332</f>
        <v>130269.79893916722</v>
      </c>
      <c r="Y332" s="1102">
        <f>'Corrected and Updated TSF 3'!CZ332</f>
        <v>94092.030737247376</v>
      </c>
      <c r="Z332" s="1102">
        <f>'Corrected and Updated TSF 3'!DA332</f>
        <v>71608.36716441359</v>
      </c>
      <c r="AA332" s="821">
        <f>L332-'Corrected and Updated TSF 3'!CL332</f>
        <v>0</v>
      </c>
      <c r="AB332" s="678">
        <f>N332-'Corrected and Updated TSF 3'!CN332</f>
        <v>0</v>
      </c>
      <c r="AC332" s="678">
        <f>Q332-'Corrected and Updated TSF 3'!CQ332</f>
        <v>0</v>
      </c>
      <c r="AD332" s="497"/>
      <c r="AE332" s="497"/>
      <c r="AF332" s="497"/>
      <c r="AG332" s="497"/>
      <c r="AH332" s="677"/>
      <c r="AI332" s="677"/>
      <c r="AJ332" s="677"/>
      <c r="AK332" s="677"/>
    </row>
    <row r="333" spans="1:37" s="521" customFormat="1" ht="12.75" hidden="1" customHeight="1">
      <c r="A333" s="631" t="str">
        <f t="shared" si="5"/>
        <v>E-14A</v>
      </c>
      <c r="B333" s="632" t="str">
        <f>'Corrected and Updated TSF 3'!EP333</f>
        <v>SOLD</v>
      </c>
      <c r="C333" s="973" t="str">
        <f>'Corrected and Updated TSF 3'!E333</f>
        <v>14th Floor</v>
      </c>
      <c r="D333" s="974">
        <f>'INTERNAL PRICELIST'!D333</f>
        <v>0</v>
      </c>
      <c r="E333" s="975" t="str">
        <f>'Corrected and Updated TSF 3'!G333</f>
        <v>E-14A</v>
      </c>
      <c r="F333" s="976" t="str">
        <f>'Corrected and Updated TSF 3'!I333</f>
        <v>Studio</v>
      </c>
      <c r="G333" s="977">
        <f>'Corrected and Updated TSF 3'!J333</f>
        <v>22</v>
      </c>
      <c r="H333" s="977">
        <f>'Corrected and Updated TSF 3'!CG333</f>
        <v>4014714.5007060822</v>
      </c>
      <c r="I333" s="977">
        <f>SUM('Corrected and Updated TSF 3'!CI333:CJ333)</f>
        <v>511876.09884002543</v>
      </c>
      <c r="J333" s="977">
        <f>'Corrected and Updated TSF 3'!CH333</f>
        <v>0</v>
      </c>
      <c r="K333" s="977">
        <f>'Corrected and Updated TSF 3'!CK333</f>
        <v>4526590.5995461075</v>
      </c>
      <c r="L333" s="978">
        <f>'Corrected and Updated TSF 3'!CL333</f>
        <v>0.125</v>
      </c>
      <c r="M333" s="977">
        <f>'Corrected and Updated TSF 3'!CM333</f>
        <v>565823.82494326343</v>
      </c>
      <c r="N333" s="977">
        <f>'Corrected and Updated TSF 3'!CN333</f>
        <v>30000</v>
      </c>
      <c r="O333" s="977">
        <f>'Corrected and Updated TSF 3'!CO333</f>
        <v>535823.82494326343</v>
      </c>
      <c r="P333" s="976">
        <f>'Corrected and Updated TSF 3'!CP333</f>
        <v>31</v>
      </c>
      <c r="Q333" s="977">
        <f>'Corrected and Updated TSF 3'!CQ333</f>
        <v>17284.639514298822</v>
      </c>
      <c r="R333" s="977">
        <f>'Corrected and Updated TSF 3'!CS333</f>
        <v>3960766.7746028439</v>
      </c>
      <c r="S333" s="977">
        <f>'Corrected and Updated TSF 3'!CT333</f>
        <v>30707.782645841882</v>
      </c>
      <c r="T333" s="636">
        <f>'Corrected and Updated TSF 3'!CU333</f>
        <v>35600.491512660185</v>
      </c>
      <c r="U333" s="636">
        <f>'Corrected and Updated TSF 3'!CV333</f>
        <v>45987.860673879099</v>
      </c>
      <c r="V333" s="636">
        <f>'Corrected and Updated TSF 3'!CW333</f>
        <v>78427.929275930772</v>
      </c>
      <c r="W333" s="1102">
        <f>'Corrected and Updated TSF 3'!CX333</f>
        <v>321745.67445476446</v>
      </c>
      <c r="X333" s="1102">
        <f>'Corrected and Updated TSF 3'!CY333</f>
        <v>127313.19606858582</v>
      </c>
      <c r="Y333" s="1102">
        <f>'Corrected and Updated TSF 3'!CZ333</f>
        <v>91956.518358768255</v>
      </c>
      <c r="Z333" s="1102">
        <f>'Corrected and Updated TSF 3'!DA333</f>
        <v>69983.143930478778</v>
      </c>
      <c r="AA333" s="821">
        <f>L333-'Corrected and Updated TSF 3'!CL333</f>
        <v>0</v>
      </c>
      <c r="AB333" s="678">
        <f>N333-'Corrected and Updated TSF 3'!CN333</f>
        <v>0</v>
      </c>
      <c r="AC333" s="678">
        <f>Q333-'Corrected and Updated TSF 3'!CQ333</f>
        <v>0</v>
      </c>
      <c r="AD333" s="497"/>
      <c r="AE333" s="497"/>
      <c r="AF333" s="497"/>
      <c r="AG333" s="497"/>
      <c r="AH333" s="677"/>
      <c r="AI333" s="677"/>
      <c r="AJ333" s="677"/>
      <c r="AK333" s="677"/>
    </row>
    <row r="334" spans="1:37" s="521" customFormat="1" ht="12.75" hidden="1" customHeight="1">
      <c r="A334" s="631" t="str">
        <f t="shared" si="5"/>
        <v>E-14B</v>
      </c>
      <c r="B334" s="632" t="str">
        <f>'Corrected and Updated TSF 3'!EP334</f>
        <v>SOLD</v>
      </c>
      <c r="C334" s="973" t="str">
        <f>'Corrected and Updated TSF 3'!E334</f>
        <v>14th Floor</v>
      </c>
      <c r="D334" s="974">
        <f>'INTERNAL PRICELIST'!D334</f>
        <v>0</v>
      </c>
      <c r="E334" s="975" t="str">
        <f>'Corrected and Updated TSF 3'!G334</f>
        <v>E-14B</v>
      </c>
      <c r="F334" s="976" t="str">
        <f>'Corrected and Updated TSF 3'!I334</f>
        <v>Studio</v>
      </c>
      <c r="G334" s="977">
        <f>'Corrected and Updated TSF 3'!J334</f>
        <v>22</v>
      </c>
      <c r="H334" s="977">
        <f>'Corrected and Updated TSF 3'!CG334</f>
        <v>4014714.5007060822</v>
      </c>
      <c r="I334" s="977">
        <f>SUM('Corrected and Updated TSF 3'!CI334:CJ334)</f>
        <v>511876.09884002543</v>
      </c>
      <c r="J334" s="977">
        <f>'Corrected and Updated TSF 3'!CH334</f>
        <v>0</v>
      </c>
      <c r="K334" s="977">
        <f>'Corrected and Updated TSF 3'!CK334</f>
        <v>4526590.5995461075</v>
      </c>
      <c r="L334" s="978">
        <f>'Corrected and Updated TSF 3'!CL334</f>
        <v>0.125</v>
      </c>
      <c r="M334" s="977">
        <f>'Corrected and Updated TSF 3'!CM334</f>
        <v>565823.82494326343</v>
      </c>
      <c r="N334" s="977">
        <f>'Corrected and Updated TSF 3'!CN334</f>
        <v>30000</v>
      </c>
      <c r="O334" s="977">
        <f>'Corrected and Updated TSF 3'!CO334</f>
        <v>535823.82494326343</v>
      </c>
      <c r="P334" s="976">
        <f>'Corrected and Updated TSF 3'!CP334</f>
        <v>31</v>
      </c>
      <c r="Q334" s="977">
        <f>'Corrected and Updated TSF 3'!CQ334</f>
        <v>17284.639514298822</v>
      </c>
      <c r="R334" s="977">
        <f>'Corrected and Updated TSF 3'!CS334</f>
        <v>3960766.7746028439</v>
      </c>
      <c r="S334" s="977">
        <f>'Corrected and Updated TSF 3'!CT334</f>
        <v>30707.782645841882</v>
      </c>
      <c r="T334" s="636">
        <f>'Corrected and Updated TSF 3'!CU334</f>
        <v>35600.491512660185</v>
      </c>
      <c r="U334" s="636">
        <f>'Corrected and Updated TSF 3'!CV334</f>
        <v>45987.860673879099</v>
      </c>
      <c r="V334" s="636">
        <f>'Corrected and Updated TSF 3'!CW334</f>
        <v>78427.929275930772</v>
      </c>
      <c r="W334" s="1102">
        <f>'Corrected and Updated TSF 3'!CX334</f>
        <v>321745.67445476446</v>
      </c>
      <c r="X334" s="1102">
        <f>'Corrected and Updated TSF 3'!CY334</f>
        <v>127313.19606858582</v>
      </c>
      <c r="Y334" s="1102">
        <f>'Corrected and Updated TSF 3'!CZ334</f>
        <v>91956.518358768255</v>
      </c>
      <c r="Z334" s="1102">
        <f>'Corrected and Updated TSF 3'!DA334</f>
        <v>69983.143930478778</v>
      </c>
      <c r="AA334" s="821">
        <f>L334-'Corrected and Updated TSF 3'!CL334</f>
        <v>0</v>
      </c>
      <c r="AB334" s="678">
        <f>N334-'Corrected and Updated TSF 3'!CN334</f>
        <v>0</v>
      </c>
      <c r="AC334" s="678">
        <f>Q334-'Corrected and Updated TSF 3'!CQ334</f>
        <v>0</v>
      </c>
      <c r="AD334" s="497"/>
      <c r="AE334" s="497"/>
      <c r="AF334" s="497"/>
      <c r="AG334" s="497"/>
      <c r="AH334" s="677"/>
      <c r="AI334" s="677"/>
      <c r="AJ334" s="677"/>
      <c r="AK334" s="677"/>
    </row>
    <row r="335" spans="1:37" s="521" customFormat="1" ht="12.75" hidden="1" customHeight="1">
      <c r="A335" s="631" t="str">
        <f t="shared" si="5"/>
        <v>E-14C</v>
      </c>
      <c r="B335" s="632" t="str">
        <f>'Corrected and Updated TSF 3'!EP335</f>
        <v>SOLD</v>
      </c>
      <c r="C335" s="973" t="str">
        <f>'Corrected and Updated TSF 3'!E335</f>
        <v>14th Floor</v>
      </c>
      <c r="D335" s="974">
        <f>'INTERNAL PRICELIST'!D335</f>
        <v>0</v>
      </c>
      <c r="E335" s="975" t="str">
        <f>'Corrected and Updated TSF 3'!G335</f>
        <v>E-14C</v>
      </c>
      <c r="F335" s="976" t="str">
        <f>'Corrected and Updated TSF 3'!I335</f>
        <v>Studio</v>
      </c>
      <c r="G335" s="977">
        <f>'Corrected and Updated TSF 3'!J335</f>
        <v>22</v>
      </c>
      <c r="H335" s="977">
        <f>'Corrected and Updated TSF 3'!CG335</f>
        <v>4014714.5007060822</v>
      </c>
      <c r="I335" s="977">
        <f>SUM('Corrected and Updated TSF 3'!CI335:CJ335)</f>
        <v>511876.09884002543</v>
      </c>
      <c r="J335" s="977">
        <f>'Corrected and Updated TSF 3'!CH335</f>
        <v>0</v>
      </c>
      <c r="K335" s="977">
        <f>'Corrected and Updated TSF 3'!CK335</f>
        <v>4526590.5995461075</v>
      </c>
      <c r="L335" s="978">
        <f>'Corrected and Updated TSF 3'!CL335</f>
        <v>0.125</v>
      </c>
      <c r="M335" s="977">
        <f>'Corrected and Updated TSF 3'!CM335</f>
        <v>565823.82494326343</v>
      </c>
      <c r="N335" s="977">
        <f>'Corrected and Updated TSF 3'!CN335</f>
        <v>30000</v>
      </c>
      <c r="O335" s="977">
        <f>'Corrected and Updated TSF 3'!CO335</f>
        <v>535823.82494326343</v>
      </c>
      <c r="P335" s="976">
        <f>'Corrected and Updated TSF 3'!CP335</f>
        <v>31</v>
      </c>
      <c r="Q335" s="977">
        <f>'Corrected and Updated TSF 3'!CQ335</f>
        <v>17284.639514298822</v>
      </c>
      <c r="R335" s="977">
        <f>'Corrected and Updated TSF 3'!CS335</f>
        <v>3960766.7746028439</v>
      </c>
      <c r="S335" s="977">
        <f>'Corrected and Updated TSF 3'!CT335</f>
        <v>30707.782645841882</v>
      </c>
      <c r="T335" s="636">
        <f>'Corrected and Updated TSF 3'!CU335</f>
        <v>35600.491512660185</v>
      </c>
      <c r="U335" s="636">
        <f>'Corrected and Updated TSF 3'!CV335</f>
        <v>45987.860673879099</v>
      </c>
      <c r="V335" s="636">
        <f>'Corrected and Updated TSF 3'!CW335</f>
        <v>78427.929275930772</v>
      </c>
      <c r="W335" s="1102">
        <f>'Corrected and Updated TSF 3'!CX335</f>
        <v>321745.67445476446</v>
      </c>
      <c r="X335" s="1102">
        <f>'Corrected and Updated TSF 3'!CY335</f>
        <v>127313.19606858582</v>
      </c>
      <c r="Y335" s="1102">
        <f>'Corrected and Updated TSF 3'!CZ335</f>
        <v>91956.518358768255</v>
      </c>
      <c r="Z335" s="1102">
        <f>'Corrected and Updated TSF 3'!DA335</f>
        <v>69983.143930478778</v>
      </c>
      <c r="AA335" s="821">
        <f>L335-'Corrected and Updated TSF 3'!CL335</f>
        <v>0</v>
      </c>
      <c r="AB335" s="678">
        <f>N335-'Corrected and Updated TSF 3'!CN335</f>
        <v>0</v>
      </c>
      <c r="AC335" s="678">
        <f>Q335-'Corrected and Updated TSF 3'!CQ335</f>
        <v>0</v>
      </c>
      <c r="AD335" s="497"/>
      <c r="AE335" s="497"/>
      <c r="AF335" s="497"/>
      <c r="AG335" s="497"/>
      <c r="AH335" s="677"/>
      <c r="AI335" s="677"/>
      <c r="AJ335" s="677"/>
      <c r="AK335" s="677"/>
    </row>
    <row r="336" spans="1:37" s="521" customFormat="1" ht="12.75" customHeight="1">
      <c r="A336" s="631" t="str">
        <f t="shared" si="5"/>
        <v>E-14D</v>
      </c>
      <c r="B336" s="632" t="str">
        <f>'Corrected and Updated TSF 3'!EP336</f>
        <v>UNSOLD</v>
      </c>
      <c r="C336" s="973" t="str">
        <f>'Corrected and Updated TSF 3'!E336</f>
        <v>14th Floor</v>
      </c>
      <c r="D336" s="974">
        <f>'INTERNAL PRICELIST'!D336</f>
        <v>0</v>
      </c>
      <c r="E336" s="975" t="str">
        <f>'Corrected and Updated TSF 3'!G336</f>
        <v>E-14D</v>
      </c>
      <c r="F336" s="976" t="str">
        <f>'Corrected and Updated TSF 3'!I336</f>
        <v>Studio</v>
      </c>
      <c r="G336" s="977">
        <f>'Corrected and Updated TSF 3'!J336</f>
        <v>22</v>
      </c>
      <c r="H336" s="977">
        <f>'Corrected and Updated TSF 3'!CG336</f>
        <v>4056985.6371939071</v>
      </c>
      <c r="I336" s="977">
        <f>SUM('Corrected and Updated TSF 3'!CI336:CJ336)</f>
        <v>517265.66874222312</v>
      </c>
      <c r="J336" s="977">
        <f>'Corrected and Updated TSF 3'!CH336</f>
        <v>0</v>
      </c>
      <c r="K336" s="977">
        <f>'Corrected and Updated TSF 3'!CK336</f>
        <v>4574251.3059361307</v>
      </c>
      <c r="L336" s="978">
        <f>'Corrected and Updated TSF 3'!CL336</f>
        <v>0.125</v>
      </c>
      <c r="M336" s="977">
        <f>'Corrected and Updated TSF 3'!CM336</f>
        <v>571781.41324201634</v>
      </c>
      <c r="N336" s="977">
        <f>'Corrected and Updated TSF 3'!CN336</f>
        <v>30000</v>
      </c>
      <c r="O336" s="977">
        <f>'Corrected and Updated TSF 3'!CO336</f>
        <v>541781.41324201634</v>
      </c>
      <c r="P336" s="976">
        <f>'Corrected and Updated TSF 3'!CP336</f>
        <v>31</v>
      </c>
      <c r="Q336" s="977">
        <f>'Corrected and Updated TSF 3'!CQ336</f>
        <v>17476.819782000526</v>
      </c>
      <c r="R336" s="977">
        <f>'Corrected and Updated TSF 3'!CS336</f>
        <v>4002469.8926941142</v>
      </c>
      <c r="S336" s="977">
        <f>'Corrected and Updated TSF 3'!CT336</f>
        <v>31031.106476523379</v>
      </c>
      <c r="T336" s="636">
        <f>'Corrected and Updated TSF 3'!CU336</f>
        <v>35975.330927891497</v>
      </c>
      <c r="U336" s="636">
        <f>'Corrected and Updated TSF 3'!CV336</f>
        <v>46472.069235904302</v>
      </c>
      <c r="V336" s="636">
        <f>'Corrected and Updated TSF 3'!CW336</f>
        <v>79253.700997007661</v>
      </c>
      <c r="W336" s="1102">
        <f>'Corrected and Updated TSF 3'!CX336</f>
        <v>325133.351291275</v>
      </c>
      <c r="X336" s="1102">
        <f>'Corrected and Updated TSF 3'!CY336</f>
        <v>128653.6832904717</v>
      </c>
      <c r="Y336" s="1102">
        <f>'Corrected and Updated TSF 3'!CZ336</f>
        <v>92924.733293555037</v>
      </c>
      <c r="Z336" s="1102">
        <f>'Corrected and Updated TSF 3'!DA336</f>
        <v>70720.000070164955</v>
      </c>
      <c r="AA336" s="821">
        <f>L336-'Corrected and Updated TSF 3'!CL336</f>
        <v>0</v>
      </c>
      <c r="AB336" s="678">
        <f>N336-'Corrected and Updated TSF 3'!CN336</f>
        <v>0</v>
      </c>
      <c r="AC336" s="678">
        <f>Q336-'Corrected and Updated TSF 3'!CQ336</f>
        <v>0</v>
      </c>
      <c r="AD336" s="497"/>
      <c r="AE336" s="497"/>
      <c r="AF336" s="497"/>
      <c r="AG336" s="497"/>
      <c r="AH336" s="677"/>
      <c r="AI336" s="677"/>
      <c r="AJ336" s="677"/>
      <c r="AK336" s="677"/>
    </row>
    <row r="337" spans="1:37" s="521" customFormat="1" ht="12.75" hidden="1" customHeight="1">
      <c r="A337" s="631" t="str">
        <f t="shared" si="5"/>
        <v>E-14E</v>
      </c>
      <c r="B337" s="632" t="str">
        <f>'Corrected and Updated TSF 3'!EP337</f>
        <v>SOLD</v>
      </c>
      <c r="C337" s="973" t="str">
        <f>'Corrected and Updated TSF 3'!E337</f>
        <v>14th Floor</v>
      </c>
      <c r="D337" s="974">
        <f>'INTERNAL PRICELIST'!D337</f>
        <v>0</v>
      </c>
      <c r="E337" s="975" t="str">
        <f>'Corrected and Updated TSF 3'!G337</f>
        <v>E-14E</v>
      </c>
      <c r="F337" s="976" t="str">
        <f>'Corrected and Updated TSF 3'!I337</f>
        <v>Studio</v>
      </c>
      <c r="G337" s="977">
        <f>'Corrected and Updated TSF 3'!J337</f>
        <v>22</v>
      </c>
      <c r="H337" s="977">
        <f>'Corrected and Updated TSF 3'!CG337</f>
        <v>4014714.5007060822</v>
      </c>
      <c r="I337" s="977">
        <f>SUM('Corrected and Updated TSF 3'!CI337:CJ337)</f>
        <v>511876.09884002543</v>
      </c>
      <c r="J337" s="977">
        <f>'Corrected and Updated TSF 3'!CH337</f>
        <v>0</v>
      </c>
      <c r="K337" s="977">
        <f>'Corrected and Updated TSF 3'!CK337</f>
        <v>4526590.5995461075</v>
      </c>
      <c r="L337" s="978">
        <f>'Corrected and Updated TSF 3'!CL337</f>
        <v>0.125</v>
      </c>
      <c r="M337" s="977">
        <f>'Corrected and Updated TSF 3'!CM337</f>
        <v>565823.82494326343</v>
      </c>
      <c r="N337" s="977">
        <f>'Corrected and Updated TSF 3'!CN337</f>
        <v>30000</v>
      </c>
      <c r="O337" s="977">
        <f>'Corrected and Updated TSF 3'!CO337</f>
        <v>535823.82494326343</v>
      </c>
      <c r="P337" s="976">
        <f>'Corrected and Updated TSF 3'!CP337</f>
        <v>31</v>
      </c>
      <c r="Q337" s="977">
        <f>'Corrected and Updated TSF 3'!CQ337</f>
        <v>17284.639514298822</v>
      </c>
      <c r="R337" s="977">
        <f>'Corrected and Updated TSF 3'!CS337</f>
        <v>3960766.7746028439</v>
      </c>
      <c r="S337" s="977">
        <f>'Corrected and Updated TSF 3'!CT337</f>
        <v>30707.782645841882</v>
      </c>
      <c r="T337" s="636">
        <f>'Corrected and Updated TSF 3'!CU337</f>
        <v>35600.491512660185</v>
      </c>
      <c r="U337" s="636">
        <f>'Corrected and Updated TSF 3'!CV337</f>
        <v>45987.860673879099</v>
      </c>
      <c r="V337" s="636">
        <f>'Corrected and Updated TSF 3'!CW337</f>
        <v>78427.929275930772</v>
      </c>
      <c r="W337" s="1102">
        <f>'Corrected and Updated TSF 3'!CX337</f>
        <v>321745.67445476446</v>
      </c>
      <c r="X337" s="1102">
        <f>'Corrected and Updated TSF 3'!CY337</f>
        <v>127313.19606858582</v>
      </c>
      <c r="Y337" s="1102">
        <f>'Corrected and Updated TSF 3'!CZ337</f>
        <v>91956.518358768255</v>
      </c>
      <c r="Z337" s="1102">
        <f>'Corrected and Updated TSF 3'!DA337</f>
        <v>69983.143930478778</v>
      </c>
      <c r="AA337" s="821">
        <f>L337-'Corrected and Updated TSF 3'!CL337</f>
        <v>0</v>
      </c>
      <c r="AB337" s="678">
        <f>N337-'Corrected and Updated TSF 3'!CN337</f>
        <v>0</v>
      </c>
      <c r="AC337" s="678">
        <f>Q337-'Corrected and Updated TSF 3'!CQ337</f>
        <v>0</v>
      </c>
      <c r="AD337" s="497"/>
      <c r="AE337" s="497"/>
      <c r="AF337" s="497"/>
      <c r="AG337" s="497"/>
      <c r="AH337" s="677"/>
      <c r="AI337" s="677"/>
      <c r="AJ337" s="677"/>
      <c r="AK337" s="677"/>
    </row>
    <row r="338" spans="1:37" s="521" customFormat="1" ht="12.75" hidden="1" customHeight="1">
      <c r="A338" s="631" t="str">
        <f t="shared" si="5"/>
        <v>E-14F</v>
      </c>
      <c r="B338" s="632" t="str">
        <f>'Corrected and Updated TSF 3'!EP338</f>
        <v>SOLD</v>
      </c>
      <c r="C338" s="973" t="str">
        <f>'Corrected and Updated TSF 3'!E338</f>
        <v>14th Floor</v>
      </c>
      <c r="D338" s="974">
        <f>'INTERNAL PRICELIST'!D338</f>
        <v>0</v>
      </c>
      <c r="E338" s="975" t="str">
        <f>'Corrected and Updated TSF 3'!G338</f>
        <v>E-14F</v>
      </c>
      <c r="F338" s="976" t="str">
        <f>'Corrected and Updated TSF 3'!I338</f>
        <v>Studio</v>
      </c>
      <c r="G338" s="977">
        <f>'Corrected and Updated TSF 3'!J338</f>
        <v>22</v>
      </c>
      <c r="H338" s="977">
        <f>'Corrected and Updated TSF 3'!CG338</f>
        <v>4014714.5007060822</v>
      </c>
      <c r="I338" s="977">
        <f>SUM('Corrected and Updated TSF 3'!CI338:CJ338)</f>
        <v>511876.09884002543</v>
      </c>
      <c r="J338" s="977">
        <f>'Corrected and Updated TSF 3'!CH338</f>
        <v>0</v>
      </c>
      <c r="K338" s="977">
        <f>'Corrected and Updated TSF 3'!CK338</f>
        <v>4526590.5995461075</v>
      </c>
      <c r="L338" s="978">
        <f>'Corrected and Updated TSF 3'!CL338</f>
        <v>0.125</v>
      </c>
      <c r="M338" s="977">
        <f>'Corrected and Updated TSF 3'!CM338</f>
        <v>565823.82494326343</v>
      </c>
      <c r="N338" s="977">
        <f>'Corrected and Updated TSF 3'!CN338</f>
        <v>30000</v>
      </c>
      <c r="O338" s="977">
        <f>'Corrected and Updated TSF 3'!CO338</f>
        <v>535823.82494326343</v>
      </c>
      <c r="P338" s="976">
        <f>'Corrected and Updated TSF 3'!CP338</f>
        <v>31</v>
      </c>
      <c r="Q338" s="977">
        <f>'Corrected and Updated TSF 3'!CQ338</f>
        <v>17284.639514298822</v>
      </c>
      <c r="R338" s="977">
        <f>'Corrected and Updated TSF 3'!CS338</f>
        <v>3960766.7746028439</v>
      </c>
      <c r="S338" s="977">
        <f>'Corrected and Updated TSF 3'!CT338</f>
        <v>30707.782645841882</v>
      </c>
      <c r="T338" s="636">
        <f>'Corrected and Updated TSF 3'!CU338</f>
        <v>35600.491512660185</v>
      </c>
      <c r="U338" s="636">
        <f>'Corrected and Updated TSF 3'!CV338</f>
        <v>45987.860673879099</v>
      </c>
      <c r="V338" s="636">
        <f>'Corrected and Updated TSF 3'!CW338</f>
        <v>78427.929275930772</v>
      </c>
      <c r="W338" s="1102">
        <f>'Corrected and Updated TSF 3'!CX338</f>
        <v>321745.67445476446</v>
      </c>
      <c r="X338" s="1102">
        <f>'Corrected and Updated TSF 3'!CY338</f>
        <v>127313.19606858582</v>
      </c>
      <c r="Y338" s="1102">
        <f>'Corrected and Updated TSF 3'!CZ338</f>
        <v>91956.518358768255</v>
      </c>
      <c r="Z338" s="1102">
        <f>'Corrected and Updated TSF 3'!DA338</f>
        <v>69983.143930478778</v>
      </c>
      <c r="AA338" s="821">
        <f>L338-'Corrected and Updated TSF 3'!CL338</f>
        <v>0</v>
      </c>
      <c r="AB338" s="678">
        <f>N338-'Corrected and Updated TSF 3'!CN338</f>
        <v>0</v>
      </c>
      <c r="AC338" s="678">
        <f>Q338-'Corrected and Updated TSF 3'!CQ338</f>
        <v>0</v>
      </c>
      <c r="AD338" s="497"/>
      <c r="AE338" s="497"/>
      <c r="AF338" s="497"/>
      <c r="AG338" s="497"/>
      <c r="AH338" s="677"/>
      <c r="AI338" s="677"/>
      <c r="AJ338" s="677"/>
      <c r="AK338" s="677"/>
    </row>
    <row r="339" spans="1:37" s="521" customFormat="1" ht="12.75" hidden="1" customHeight="1">
      <c r="A339" s="631" t="str">
        <f t="shared" si="5"/>
        <v>E-14G</v>
      </c>
      <c r="B339" s="632" t="str">
        <f>'Corrected and Updated TSF 3'!EP339</f>
        <v>SOLD</v>
      </c>
      <c r="C339" s="973" t="str">
        <f>'Corrected and Updated TSF 3'!E339</f>
        <v>14th Floor</v>
      </c>
      <c r="D339" s="974">
        <f>'INTERNAL PRICELIST'!D339</f>
        <v>0</v>
      </c>
      <c r="E339" s="975" t="str">
        <f>'Corrected and Updated TSF 3'!G339</f>
        <v>E-14G</v>
      </c>
      <c r="F339" s="976" t="str">
        <f>'Corrected and Updated TSF 3'!I339</f>
        <v>Studio</v>
      </c>
      <c r="G339" s="977">
        <f>'Corrected and Updated TSF 3'!J339</f>
        <v>22</v>
      </c>
      <c r="H339" s="977">
        <f>'Corrected and Updated TSF 3'!CG339</f>
        <v>4014714.5007060822</v>
      </c>
      <c r="I339" s="977">
        <f>SUM('Corrected and Updated TSF 3'!CI339:CJ339)</f>
        <v>511876.09884002543</v>
      </c>
      <c r="J339" s="977">
        <f>'Corrected and Updated TSF 3'!CH339</f>
        <v>0</v>
      </c>
      <c r="K339" s="977">
        <f>'Corrected and Updated TSF 3'!CK339</f>
        <v>4526590.5995461075</v>
      </c>
      <c r="L339" s="978">
        <f>'Corrected and Updated TSF 3'!CL339</f>
        <v>0.125</v>
      </c>
      <c r="M339" s="977">
        <f>'Corrected and Updated TSF 3'!CM339</f>
        <v>565823.82494326343</v>
      </c>
      <c r="N339" s="977">
        <f>'Corrected and Updated TSF 3'!CN339</f>
        <v>30000</v>
      </c>
      <c r="O339" s="977">
        <f>'Corrected and Updated TSF 3'!CO339</f>
        <v>535823.82494326343</v>
      </c>
      <c r="P339" s="976">
        <f>'Corrected and Updated TSF 3'!CP339</f>
        <v>31</v>
      </c>
      <c r="Q339" s="977">
        <f>'Corrected and Updated TSF 3'!CQ339</f>
        <v>17284.639514298822</v>
      </c>
      <c r="R339" s="977">
        <f>'Corrected and Updated TSF 3'!CS339</f>
        <v>3960766.7746028439</v>
      </c>
      <c r="S339" s="977">
        <f>'Corrected and Updated TSF 3'!CT339</f>
        <v>30707.782645841882</v>
      </c>
      <c r="T339" s="636">
        <f>'Corrected and Updated TSF 3'!CU339</f>
        <v>35600.491512660185</v>
      </c>
      <c r="U339" s="636">
        <f>'Corrected and Updated TSF 3'!CV339</f>
        <v>45987.860673879099</v>
      </c>
      <c r="V339" s="636">
        <f>'Corrected and Updated TSF 3'!CW339</f>
        <v>78427.929275930772</v>
      </c>
      <c r="W339" s="1102">
        <f>'Corrected and Updated TSF 3'!CX339</f>
        <v>321745.67445476446</v>
      </c>
      <c r="X339" s="1102">
        <f>'Corrected and Updated TSF 3'!CY339</f>
        <v>127313.19606858582</v>
      </c>
      <c r="Y339" s="1102">
        <f>'Corrected and Updated TSF 3'!CZ339</f>
        <v>91956.518358768255</v>
      </c>
      <c r="Z339" s="1102">
        <f>'Corrected and Updated TSF 3'!DA339</f>
        <v>69983.143930478778</v>
      </c>
      <c r="AA339" s="821">
        <f>L339-'Corrected and Updated TSF 3'!CL339</f>
        <v>0</v>
      </c>
      <c r="AB339" s="678">
        <f>N339-'Corrected and Updated TSF 3'!CN339</f>
        <v>0</v>
      </c>
      <c r="AC339" s="678">
        <f>Q339-'Corrected and Updated TSF 3'!CQ339</f>
        <v>0</v>
      </c>
      <c r="AD339" s="497"/>
      <c r="AE339" s="497"/>
      <c r="AF339" s="497"/>
      <c r="AG339" s="497"/>
      <c r="AH339" s="677"/>
      <c r="AI339" s="677"/>
      <c r="AJ339" s="677"/>
      <c r="AK339" s="677"/>
    </row>
    <row r="340" spans="1:37" s="521" customFormat="1" hidden="1">
      <c r="A340" s="631" t="str">
        <f t="shared" si="5"/>
        <v>E-14H</v>
      </c>
      <c r="B340" s="632" t="str">
        <f>'Corrected and Updated TSF 3'!EP340</f>
        <v>SOLD</v>
      </c>
      <c r="C340" s="973" t="str">
        <f>'Corrected and Updated TSF 3'!E340</f>
        <v>14th Floor</v>
      </c>
      <c r="D340" s="974">
        <f>'INTERNAL PRICELIST'!D340</f>
        <v>0</v>
      </c>
      <c r="E340" s="975" t="str">
        <f>'Corrected and Updated TSF 3'!G340</f>
        <v>E-14H</v>
      </c>
      <c r="F340" s="976" t="str">
        <f>'Corrected and Updated TSF 3'!I340</f>
        <v>Studio</v>
      </c>
      <c r="G340" s="977">
        <f>'Corrected and Updated TSF 3'!J340</f>
        <v>22</v>
      </c>
      <c r="H340" s="977">
        <f>'Corrected and Updated TSF 3'!CG340</f>
        <v>4014714.5007060822</v>
      </c>
      <c r="I340" s="977">
        <f>SUM('Corrected and Updated TSF 3'!CI340:CJ340)</f>
        <v>511876.09884002543</v>
      </c>
      <c r="J340" s="977">
        <f>'Corrected and Updated TSF 3'!CH340</f>
        <v>0</v>
      </c>
      <c r="K340" s="977">
        <f>'Corrected and Updated TSF 3'!CK340</f>
        <v>4526590.5995461075</v>
      </c>
      <c r="L340" s="978">
        <f>'Corrected and Updated TSF 3'!CL340</f>
        <v>0.125</v>
      </c>
      <c r="M340" s="977">
        <f>'Corrected and Updated TSF 3'!CM340</f>
        <v>565823.82494326343</v>
      </c>
      <c r="N340" s="977">
        <f>'Corrected and Updated TSF 3'!CN340</f>
        <v>30000</v>
      </c>
      <c r="O340" s="977">
        <f>'Corrected and Updated TSF 3'!CO340</f>
        <v>535823.82494326343</v>
      </c>
      <c r="P340" s="976">
        <f>'Corrected and Updated TSF 3'!CP340</f>
        <v>31</v>
      </c>
      <c r="Q340" s="977">
        <f>'Corrected and Updated TSF 3'!CQ340</f>
        <v>17284.639514298822</v>
      </c>
      <c r="R340" s="977">
        <f>'Corrected and Updated TSF 3'!CS340</f>
        <v>3960766.7746028439</v>
      </c>
      <c r="S340" s="977">
        <f>'Corrected and Updated TSF 3'!CT340</f>
        <v>30707.782645841882</v>
      </c>
      <c r="T340" s="636">
        <f>'Corrected and Updated TSF 3'!CU340</f>
        <v>35600.491512660185</v>
      </c>
      <c r="U340" s="636">
        <f>'Corrected and Updated TSF 3'!CV340</f>
        <v>45987.860673879099</v>
      </c>
      <c r="V340" s="636">
        <f>'Corrected and Updated TSF 3'!CW340</f>
        <v>78427.929275930772</v>
      </c>
      <c r="W340" s="1102">
        <f>'Corrected and Updated TSF 3'!CX340</f>
        <v>321745.67445476446</v>
      </c>
      <c r="X340" s="1102">
        <f>'Corrected and Updated TSF 3'!CY340</f>
        <v>127313.19606858582</v>
      </c>
      <c r="Y340" s="1102">
        <f>'Corrected and Updated TSF 3'!CZ340</f>
        <v>91956.518358768255</v>
      </c>
      <c r="Z340" s="1102">
        <f>'Corrected and Updated TSF 3'!DA340</f>
        <v>69983.143930478778</v>
      </c>
      <c r="AA340" s="821">
        <f>L340-'Corrected and Updated TSF 3'!CL340</f>
        <v>0</v>
      </c>
      <c r="AB340" s="678">
        <f>N340-'Corrected and Updated TSF 3'!CN340</f>
        <v>0</v>
      </c>
      <c r="AC340" s="678">
        <f>Q340-'Corrected and Updated TSF 3'!CQ340</f>
        <v>0</v>
      </c>
      <c r="AD340" s="497"/>
      <c r="AE340" s="497"/>
      <c r="AF340" s="497"/>
      <c r="AG340" s="497"/>
      <c r="AH340" s="677"/>
      <c r="AI340" s="677"/>
      <c r="AJ340" s="677"/>
      <c r="AK340" s="677"/>
    </row>
    <row r="341" spans="1:37" s="521" customFormat="1" ht="12.75" hidden="1" customHeight="1">
      <c r="A341" s="631" t="str">
        <f t="shared" si="5"/>
        <v>E-14I</v>
      </c>
      <c r="B341" s="632" t="str">
        <f>'Corrected and Updated TSF 3'!EP341</f>
        <v>SOLD</v>
      </c>
      <c r="C341" s="973" t="str">
        <f>'Corrected and Updated TSF 3'!E341</f>
        <v>14th Floor</v>
      </c>
      <c r="D341" s="974">
        <f>'INTERNAL PRICELIST'!D341</f>
        <v>0</v>
      </c>
      <c r="E341" s="975" t="str">
        <f>'Corrected and Updated TSF 3'!G341</f>
        <v>E-14I</v>
      </c>
      <c r="F341" s="976" t="str">
        <f>'Corrected and Updated TSF 3'!I341</f>
        <v>Studio</v>
      </c>
      <c r="G341" s="977">
        <f>'Corrected and Updated TSF 3'!J341</f>
        <v>22</v>
      </c>
      <c r="H341" s="977">
        <f>'Corrected and Updated TSF 3'!CG341</f>
        <v>4107948.4841727903</v>
      </c>
      <c r="I341" s="977">
        <f>SUM('Corrected and Updated TSF 3'!CI341:CJ341)</f>
        <v>523763.43173203076</v>
      </c>
      <c r="J341" s="977">
        <f>'Corrected and Updated TSF 3'!CH341</f>
        <v>0</v>
      </c>
      <c r="K341" s="977">
        <f>'Corrected and Updated TSF 3'!CK341</f>
        <v>4631711.9159048209</v>
      </c>
      <c r="L341" s="978">
        <f>'Corrected and Updated TSF 3'!CL341</f>
        <v>0.125</v>
      </c>
      <c r="M341" s="977">
        <f>'Corrected and Updated TSF 3'!CM341</f>
        <v>578963.98948810261</v>
      </c>
      <c r="N341" s="977">
        <f>'Corrected and Updated TSF 3'!CN341</f>
        <v>30000</v>
      </c>
      <c r="O341" s="977">
        <f>'Corrected and Updated TSF 3'!CO341</f>
        <v>548963.98948810261</v>
      </c>
      <c r="P341" s="976">
        <f>'Corrected and Updated TSF 3'!CP341</f>
        <v>31</v>
      </c>
      <c r="Q341" s="977">
        <f>'Corrected and Updated TSF 3'!CQ341</f>
        <v>17708.515789938792</v>
      </c>
      <c r="R341" s="977">
        <f>'Corrected and Updated TSF 3'!CS341</f>
        <v>4052747.9264167184</v>
      </c>
      <c r="S341" s="977">
        <f>'Corrected and Updated TSF 3'!CT341</f>
        <v>31420.911536824828</v>
      </c>
      <c r="T341" s="636">
        <f>'Corrected and Updated TSF 3'!CU341</f>
        <v>36427.244109018982</v>
      </c>
      <c r="U341" s="636">
        <f>'Corrected and Updated TSF 3'!CV341</f>
        <v>47055.839839267734</v>
      </c>
      <c r="V341" s="636">
        <f>'Corrected and Updated TSF 3'!CW341</f>
        <v>80249.266324967335</v>
      </c>
      <c r="W341" s="1102">
        <f>'Corrected and Updated TSF 3'!CX341</f>
        <v>329217.59578001057</v>
      </c>
      <c r="X341" s="1102">
        <f>'Corrected and Updated TSF 3'!CY341</f>
        <v>130269.79893916722</v>
      </c>
      <c r="Y341" s="1102">
        <f>'Corrected and Updated TSF 3'!CZ341</f>
        <v>94092.030737247376</v>
      </c>
      <c r="Z341" s="1102">
        <f>'Corrected and Updated TSF 3'!DA341</f>
        <v>71608.36716441359</v>
      </c>
      <c r="AA341" s="821">
        <f>L341-'Corrected and Updated TSF 3'!CL341</f>
        <v>0</v>
      </c>
      <c r="AB341" s="678">
        <f>N341-'Corrected and Updated TSF 3'!CN341</f>
        <v>0</v>
      </c>
      <c r="AC341" s="678">
        <f>Q341-'Corrected and Updated TSF 3'!CQ341</f>
        <v>0</v>
      </c>
      <c r="AD341" s="497"/>
      <c r="AE341" s="497"/>
      <c r="AF341" s="497"/>
      <c r="AG341" s="497"/>
      <c r="AH341" s="677"/>
      <c r="AI341" s="677"/>
      <c r="AJ341" s="677"/>
      <c r="AK341" s="677"/>
    </row>
    <row r="342" spans="1:37" s="521" customFormat="1" hidden="1">
      <c r="A342" s="631" t="str">
        <f t="shared" si="5"/>
        <v>E-14J</v>
      </c>
      <c r="B342" s="632" t="str">
        <f>'Corrected and Updated TSF 3'!EP342</f>
        <v>SOLD</v>
      </c>
      <c r="C342" s="973" t="str">
        <f>'Corrected and Updated TSF 3'!E342</f>
        <v>14th Floor</v>
      </c>
      <c r="D342" s="974">
        <f>'INTERNAL PRICELIST'!D342</f>
        <v>0</v>
      </c>
      <c r="E342" s="975" t="str">
        <f>'Corrected and Updated TSF 3'!G342</f>
        <v>E-14J</v>
      </c>
      <c r="F342" s="976" t="str">
        <f>'Corrected and Updated TSF 3'!I342</f>
        <v>Studio</v>
      </c>
      <c r="G342" s="977">
        <f>'Corrected and Updated TSF 3'!J342</f>
        <v>22</v>
      </c>
      <c r="H342" s="977">
        <f>'Corrected and Updated TSF 3'!CG342</f>
        <v>4107948.4841727903</v>
      </c>
      <c r="I342" s="977">
        <f>SUM('Corrected and Updated TSF 3'!CI342:CJ342)</f>
        <v>523763.43173203076</v>
      </c>
      <c r="J342" s="977">
        <f>'Corrected and Updated TSF 3'!CH342</f>
        <v>0</v>
      </c>
      <c r="K342" s="977">
        <f>'Corrected and Updated TSF 3'!CK342</f>
        <v>4631711.9159048209</v>
      </c>
      <c r="L342" s="978">
        <f>'Corrected and Updated TSF 3'!CL342</f>
        <v>0.125</v>
      </c>
      <c r="M342" s="977">
        <f>'Corrected and Updated TSF 3'!CM342</f>
        <v>578963.98948810261</v>
      </c>
      <c r="N342" s="977">
        <f>'Corrected and Updated TSF 3'!CN342</f>
        <v>30000</v>
      </c>
      <c r="O342" s="977">
        <f>'Corrected and Updated TSF 3'!CO342</f>
        <v>548963.98948810261</v>
      </c>
      <c r="P342" s="976">
        <f>'Corrected and Updated TSF 3'!CP342</f>
        <v>31</v>
      </c>
      <c r="Q342" s="977">
        <f>'Corrected and Updated TSF 3'!CQ342</f>
        <v>17708.515789938792</v>
      </c>
      <c r="R342" s="977">
        <f>'Corrected and Updated TSF 3'!CS342</f>
        <v>4052747.9264167184</v>
      </c>
      <c r="S342" s="977">
        <f>'Corrected and Updated TSF 3'!CT342</f>
        <v>31420.911536824828</v>
      </c>
      <c r="T342" s="636">
        <f>'Corrected and Updated TSF 3'!CU342</f>
        <v>36427.244109018982</v>
      </c>
      <c r="U342" s="636">
        <f>'Corrected and Updated TSF 3'!CV342</f>
        <v>47055.839839267734</v>
      </c>
      <c r="V342" s="636">
        <f>'Corrected and Updated TSF 3'!CW342</f>
        <v>80249.266324967335</v>
      </c>
      <c r="W342" s="1102">
        <f>'Corrected and Updated TSF 3'!CX342</f>
        <v>329217.59578001057</v>
      </c>
      <c r="X342" s="1102">
        <f>'Corrected and Updated TSF 3'!CY342</f>
        <v>130269.79893916722</v>
      </c>
      <c r="Y342" s="1102">
        <f>'Corrected and Updated TSF 3'!CZ342</f>
        <v>94092.030737247376</v>
      </c>
      <c r="Z342" s="1102">
        <f>'Corrected and Updated TSF 3'!DA342</f>
        <v>71608.36716441359</v>
      </c>
      <c r="AA342" s="821">
        <f>L342-'Corrected and Updated TSF 3'!CL342</f>
        <v>0</v>
      </c>
      <c r="AB342" s="678">
        <f>N342-'Corrected and Updated TSF 3'!CN342</f>
        <v>0</v>
      </c>
      <c r="AC342" s="678">
        <f>Q342-'Corrected and Updated TSF 3'!CQ342</f>
        <v>0</v>
      </c>
      <c r="AD342" s="497"/>
      <c r="AE342" s="497"/>
      <c r="AF342" s="497"/>
      <c r="AG342" s="497"/>
      <c r="AH342" s="677"/>
      <c r="AI342" s="677"/>
      <c r="AJ342" s="677"/>
      <c r="AK342" s="677"/>
    </row>
    <row r="343" spans="1:37" s="521" customFormat="1" hidden="1">
      <c r="A343" s="631" t="str">
        <f t="shared" si="5"/>
        <v>E-14K</v>
      </c>
      <c r="B343" s="632" t="str">
        <f>'Corrected and Updated TSF 3'!EP343</f>
        <v>SOLD</v>
      </c>
      <c r="C343" s="973" t="str">
        <f>'Corrected and Updated TSF 3'!E343</f>
        <v>14th Floor</v>
      </c>
      <c r="D343" s="974">
        <f>'INTERNAL PRICELIST'!D343</f>
        <v>0</v>
      </c>
      <c r="E343" s="975" t="str">
        <f>'Corrected and Updated TSF 3'!G343</f>
        <v>E-14K</v>
      </c>
      <c r="F343" s="976" t="str">
        <f>'Corrected and Updated TSF 3'!I343</f>
        <v>Studio</v>
      </c>
      <c r="G343" s="977">
        <f>'Corrected and Updated TSF 3'!J343</f>
        <v>22</v>
      </c>
      <c r="H343" s="977">
        <f>'Corrected and Updated TSF 3'!CG343</f>
        <v>4050952.0940927654</v>
      </c>
      <c r="I343" s="977">
        <f>SUM('Corrected and Updated TSF 3'!CI343:CJ343)</f>
        <v>516496.39199682756</v>
      </c>
      <c r="J343" s="977">
        <f>'Corrected and Updated TSF 3'!CH343</f>
        <v>0</v>
      </c>
      <c r="K343" s="977">
        <f>'Corrected and Updated TSF 3'!CK343</f>
        <v>4567448.4860895937</v>
      </c>
      <c r="L343" s="978">
        <f>'Corrected and Updated TSF 3'!CL343</f>
        <v>0.125</v>
      </c>
      <c r="M343" s="977">
        <f>'Corrected and Updated TSF 3'!CM343</f>
        <v>570931.06076119922</v>
      </c>
      <c r="N343" s="977">
        <f>'Corrected and Updated TSF 3'!CN343</f>
        <v>30000</v>
      </c>
      <c r="O343" s="977">
        <f>'Corrected and Updated TSF 3'!CO343</f>
        <v>540931.06076119922</v>
      </c>
      <c r="P343" s="976">
        <f>'Corrected and Updated TSF 3'!CP343</f>
        <v>31</v>
      </c>
      <c r="Q343" s="977">
        <f>'Corrected and Updated TSF 3'!CQ343</f>
        <v>17449.389056812877</v>
      </c>
      <c r="R343" s="977">
        <f>'Corrected and Updated TSF 3'!CS343</f>
        <v>3996517.4253283944</v>
      </c>
      <c r="S343" s="977">
        <f>'Corrected and Updated TSF 3'!CT343</f>
        <v>30984.957060393896</v>
      </c>
      <c r="T343" s="636">
        <f>'Corrected and Updated TSF 3'!CU343</f>
        <v>35921.828468395142</v>
      </c>
      <c r="U343" s="636">
        <f>'Corrected and Updated TSF 3'!CV343</f>
        <v>46402.956042561083</v>
      </c>
      <c r="V343" s="636">
        <f>'Corrected and Updated TSF 3'!CW343</f>
        <v>79135.835008894093</v>
      </c>
      <c r="W343" s="1102">
        <f>'Corrected and Updated TSF 3'!CX343</f>
        <v>324649.813447155</v>
      </c>
      <c r="X343" s="1102">
        <f>'Corrected and Updated TSF 3'!CY343</f>
        <v>128462.3497210015</v>
      </c>
      <c r="Y343" s="1102">
        <f>'Corrected and Updated TSF 3'!CZ343</f>
        <v>92786.535766221292</v>
      </c>
      <c r="Z343" s="1102">
        <f>'Corrected and Updated TSF 3'!DA343</f>
        <v>70614.825389578415</v>
      </c>
      <c r="AA343" s="821">
        <f>L343-'Corrected and Updated TSF 3'!CL343</f>
        <v>0</v>
      </c>
      <c r="AB343" s="678">
        <f>N343-'Corrected and Updated TSF 3'!CN343</f>
        <v>0</v>
      </c>
      <c r="AC343" s="678">
        <f>Q343-'Corrected and Updated TSF 3'!CQ343</f>
        <v>0</v>
      </c>
      <c r="AD343" s="497"/>
      <c r="AE343" s="497"/>
      <c r="AF343" s="497"/>
      <c r="AG343" s="497"/>
      <c r="AH343" s="677"/>
      <c r="AI343" s="677"/>
      <c r="AJ343" s="677"/>
      <c r="AK343" s="677"/>
    </row>
    <row r="344" spans="1:37" s="521" customFormat="1" ht="12.75" customHeight="1">
      <c r="A344" s="631" t="str">
        <f t="shared" si="5"/>
        <v>E-14L</v>
      </c>
      <c r="B344" s="632" t="str">
        <f>'Corrected and Updated TSF 3'!EP344</f>
        <v>UNSOLD</v>
      </c>
      <c r="C344" s="973" t="str">
        <f>'Corrected and Updated TSF 3'!E344</f>
        <v>14th Floor</v>
      </c>
      <c r="D344" s="974">
        <f>'INTERNAL PRICELIST'!D344</f>
        <v>0</v>
      </c>
      <c r="E344" s="975" t="str">
        <f>'Corrected and Updated TSF 3'!G344</f>
        <v>E-14L</v>
      </c>
      <c r="F344" s="976" t="str">
        <f>'Corrected and Updated TSF 3'!I344</f>
        <v>Studio</v>
      </c>
      <c r="G344" s="977">
        <f>'Corrected and Updated TSF 3'!J344</f>
        <v>22</v>
      </c>
      <c r="H344" s="977">
        <f>'Corrected and Updated TSF 3'!CG344</f>
        <v>4090583.2305805902</v>
      </c>
      <c r="I344" s="977">
        <f>SUM('Corrected and Updated TSF 3'!CI344:CJ344)</f>
        <v>521549.36189902521</v>
      </c>
      <c r="J344" s="977">
        <f>'Corrected and Updated TSF 3'!CH344</f>
        <v>0</v>
      </c>
      <c r="K344" s="977">
        <f>'Corrected and Updated TSF 3'!CK344</f>
        <v>4612132.5924796155</v>
      </c>
      <c r="L344" s="978">
        <f>'Corrected and Updated TSF 3'!CL344</f>
        <v>0.125</v>
      </c>
      <c r="M344" s="977">
        <f>'Corrected and Updated TSF 3'!CM344</f>
        <v>576516.57405995193</v>
      </c>
      <c r="N344" s="977">
        <f>'Corrected and Updated TSF 3'!CN344</f>
        <v>30000</v>
      </c>
      <c r="O344" s="977">
        <f>'Corrected and Updated TSF 3'!CO344</f>
        <v>546516.57405995193</v>
      </c>
      <c r="P344" s="976">
        <f>'Corrected and Updated TSF 3'!CP344</f>
        <v>31</v>
      </c>
      <c r="Q344" s="977">
        <f>'Corrected and Updated TSF 3'!CQ344</f>
        <v>17629.56690515974</v>
      </c>
      <c r="R344" s="977">
        <f>'Corrected and Updated TSF 3'!CS344</f>
        <v>4035616.0184196634</v>
      </c>
      <c r="S344" s="977">
        <f>'Corrected and Updated TSF 3'!CT344</f>
        <v>31288.088036472458</v>
      </c>
      <c r="T344" s="636">
        <f>'Corrected and Updated TSF 3'!CU344</f>
        <v>36273.257676605026</v>
      </c>
      <c r="U344" s="636">
        <f>'Corrected and Updated TSF 3'!CV344</f>
        <v>46856.923860902585</v>
      </c>
      <c r="V344" s="636">
        <f>'Corrected and Updated TSF 3'!CW344</f>
        <v>79910.034013342636</v>
      </c>
      <c r="W344" s="1102">
        <f>'Corrected and Updated TSF 3'!CX344</f>
        <v>327825.91643939546</v>
      </c>
      <c r="X344" s="1102">
        <f>'Corrected and Updated TSF 3'!CY344</f>
        <v>129719.1182033451</v>
      </c>
      <c r="Y344" s="1102">
        <f>'Corrected and Updated TSF 3'!CZ344</f>
        <v>93694.281841161501</v>
      </c>
      <c r="Z344" s="1102">
        <f>'Corrected and Updated TSF 3'!DA344</f>
        <v>71305.661943078798</v>
      </c>
      <c r="AA344" s="821">
        <f>L344-'Corrected and Updated TSF 3'!CL344</f>
        <v>0</v>
      </c>
      <c r="AB344" s="678">
        <f>N344-'Corrected and Updated TSF 3'!CN344</f>
        <v>0</v>
      </c>
      <c r="AC344" s="678">
        <f>Q344-'Corrected and Updated TSF 3'!CQ344</f>
        <v>0</v>
      </c>
      <c r="AD344" s="497"/>
      <c r="AE344" s="497"/>
      <c r="AF344" s="497"/>
      <c r="AG344" s="497"/>
      <c r="AH344" s="677"/>
      <c r="AI344" s="677"/>
      <c r="AJ344" s="677"/>
      <c r="AK344" s="677"/>
    </row>
    <row r="345" spans="1:37" s="521" customFormat="1" ht="12.75" hidden="1" customHeight="1">
      <c r="A345" s="631" t="str">
        <f t="shared" si="5"/>
        <v>E-14M</v>
      </c>
      <c r="B345" s="632" t="str">
        <f>'Corrected and Updated TSF 3'!EP345</f>
        <v>SOLD</v>
      </c>
      <c r="C345" s="973" t="str">
        <f>'Corrected and Updated TSF 3'!E345</f>
        <v>14th Floor</v>
      </c>
      <c r="D345" s="974">
        <f>'INTERNAL PRICELIST'!D345</f>
        <v>0</v>
      </c>
      <c r="E345" s="975" t="str">
        <f>'Corrected and Updated TSF 3'!G345</f>
        <v>E-14M</v>
      </c>
      <c r="F345" s="976" t="str">
        <f>'Corrected and Updated TSF 3'!I345</f>
        <v>Studio</v>
      </c>
      <c r="G345" s="977">
        <f>'Corrected and Updated TSF 3'!J345</f>
        <v>22</v>
      </c>
      <c r="H345" s="977">
        <f>'Corrected and Updated TSF 3'!CG345</f>
        <v>4014714.5007060822</v>
      </c>
      <c r="I345" s="977">
        <f>SUM('Corrected and Updated TSF 3'!CI345:CJ345)</f>
        <v>511876.09884002543</v>
      </c>
      <c r="J345" s="977">
        <f>'Corrected and Updated TSF 3'!CH345</f>
        <v>0</v>
      </c>
      <c r="K345" s="977">
        <f>'Corrected and Updated TSF 3'!CK345</f>
        <v>4526590.5995461075</v>
      </c>
      <c r="L345" s="978">
        <f>'Corrected and Updated TSF 3'!CL345</f>
        <v>0.125</v>
      </c>
      <c r="M345" s="977">
        <f>'Corrected and Updated TSF 3'!CM345</f>
        <v>565823.82494326343</v>
      </c>
      <c r="N345" s="977">
        <f>'Corrected and Updated TSF 3'!CN345</f>
        <v>30000</v>
      </c>
      <c r="O345" s="977">
        <f>'Corrected and Updated TSF 3'!CO345</f>
        <v>535823.82494326343</v>
      </c>
      <c r="P345" s="976">
        <f>'Corrected and Updated TSF 3'!CP345</f>
        <v>31</v>
      </c>
      <c r="Q345" s="977">
        <f>'Corrected and Updated TSF 3'!CQ345</f>
        <v>17284.639514298822</v>
      </c>
      <c r="R345" s="977">
        <f>'Corrected and Updated TSF 3'!CS345</f>
        <v>3960766.7746028439</v>
      </c>
      <c r="S345" s="977">
        <f>'Corrected and Updated TSF 3'!CT345</f>
        <v>30707.782645841882</v>
      </c>
      <c r="T345" s="636">
        <f>'Corrected and Updated TSF 3'!CU345</f>
        <v>35600.491512660185</v>
      </c>
      <c r="U345" s="636">
        <f>'Corrected and Updated TSF 3'!CV345</f>
        <v>45987.860673879099</v>
      </c>
      <c r="V345" s="636">
        <f>'Corrected and Updated TSF 3'!CW345</f>
        <v>78427.929275930772</v>
      </c>
      <c r="W345" s="1102">
        <f>'Corrected and Updated TSF 3'!CX345</f>
        <v>321745.67445476446</v>
      </c>
      <c r="X345" s="1102">
        <f>'Corrected and Updated TSF 3'!CY345</f>
        <v>127313.19606858582</v>
      </c>
      <c r="Y345" s="1102">
        <f>'Corrected and Updated TSF 3'!CZ345</f>
        <v>91956.518358768255</v>
      </c>
      <c r="Z345" s="1102">
        <f>'Corrected and Updated TSF 3'!DA345</f>
        <v>69983.143930478778</v>
      </c>
      <c r="AA345" s="821">
        <f>L345-'Corrected and Updated TSF 3'!CL345</f>
        <v>0</v>
      </c>
      <c r="AB345" s="678">
        <f>N345-'Corrected and Updated TSF 3'!CN345</f>
        <v>0</v>
      </c>
      <c r="AC345" s="678">
        <f>Q345-'Corrected and Updated TSF 3'!CQ345</f>
        <v>0</v>
      </c>
      <c r="AD345" s="497"/>
      <c r="AE345" s="497"/>
      <c r="AF345" s="497"/>
      <c r="AG345" s="497"/>
      <c r="AH345" s="677"/>
      <c r="AI345" s="677"/>
      <c r="AJ345" s="677"/>
      <c r="AK345" s="677"/>
    </row>
    <row r="346" spans="1:37" s="521" customFormat="1" ht="12.75" customHeight="1">
      <c r="A346" s="631" t="str">
        <f t="shared" si="5"/>
        <v>E-14N</v>
      </c>
      <c r="B346" s="632" t="str">
        <f>'Corrected and Updated TSF 3'!EP346</f>
        <v>UNSOLD</v>
      </c>
      <c r="C346" s="973" t="str">
        <f>'Corrected and Updated TSF 3'!E346</f>
        <v>14th Floor</v>
      </c>
      <c r="D346" s="974">
        <f>'INTERNAL PRICELIST'!D346</f>
        <v>0</v>
      </c>
      <c r="E346" s="975" t="str">
        <f>'Corrected and Updated TSF 3'!G346</f>
        <v>E-14N</v>
      </c>
      <c r="F346" s="976" t="str">
        <f>'Corrected and Updated TSF 3'!I346</f>
        <v>Studio</v>
      </c>
      <c r="G346" s="977">
        <f>'Corrected and Updated TSF 3'!J346</f>
        <v>22</v>
      </c>
      <c r="H346" s="977">
        <f>'Corrected and Updated TSF 3'!CG346</f>
        <v>4042576.6561654373</v>
      </c>
      <c r="I346" s="977">
        <f>SUM('Corrected and Updated TSF 3'!CI346:CJ346)</f>
        <v>515428.5236610932</v>
      </c>
      <c r="J346" s="977">
        <f>'Corrected and Updated TSF 3'!CH346</f>
        <v>0</v>
      </c>
      <c r="K346" s="977">
        <f>'Corrected and Updated TSF 3'!CK346</f>
        <v>4558005.1798265297</v>
      </c>
      <c r="L346" s="978">
        <f>'Corrected and Updated TSF 3'!CL346</f>
        <v>0.125</v>
      </c>
      <c r="M346" s="977">
        <f>'Corrected and Updated TSF 3'!CM346</f>
        <v>569750.64747831621</v>
      </c>
      <c r="N346" s="977">
        <f>'Corrected and Updated TSF 3'!CN346</f>
        <v>30000</v>
      </c>
      <c r="O346" s="977">
        <f>'Corrected and Updated TSF 3'!CO346</f>
        <v>539750.64747831621</v>
      </c>
      <c r="P346" s="976">
        <f>'Corrected and Updated TSF 3'!CP346</f>
        <v>31</v>
      </c>
      <c r="Q346" s="977">
        <f>'Corrected and Updated TSF 3'!CQ346</f>
        <v>17411.311208977942</v>
      </c>
      <c r="R346" s="977">
        <f>'Corrected and Updated TSF 3'!CS346</f>
        <v>3988254.5323482137</v>
      </c>
      <c r="S346" s="977">
        <f>'Corrected and Updated TSF 3'!CT346</f>
        <v>30920.894939067224</v>
      </c>
      <c r="T346" s="636">
        <f>'Corrected and Updated TSF 3'!CU346</f>
        <v>35847.559250298997</v>
      </c>
      <c r="U346" s="636">
        <f>'Corrected and Updated TSF 3'!CV346</f>
        <v>46307.016848773579</v>
      </c>
      <c r="V346" s="636">
        <f>'Corrected and Updated TSF 3'!CW346</f>
        <v>78972.219824475862</v>
      </c>
      <c r="W346" s="1102">
        <f>'Corrected and Updated TSF 3'!CX346</f>
        <v>323978.59238665149</v>
      </c>
      <c r="X346" s="1102">
        <f>'Corrected and Updated TSF 3'!CY346</f>
        <v>128196.75081706578</v>
      </c>
      <c r="Y346" s="1102">
        <f>'Corrected and Updated TSF 3'!CZ346</f>
        <v>92594.697439637486</v>
      </c>
      <c r="Z346" s="1102">
        <f>'Corrected and Updated TSF 3'!DA346</f>
        <v>70468.82759126772</v>
      </c>
      <c r="AA346" s="821">
        <f>L346-'Corrected and Updated TSF 3'!CL346</f>
        <v>0</v>
      </c>
      <c r="AB346" s="678">
        <f>N346-'Corrected and Updated TSF 3'!CN346</f>
        <v>0</v>
      </c>
      <c r="AC346" s="678">
        <f>Q346-'Corrected and Updated TSF 3'!CQ346</f>
        <v>0</v>
      </c>
      <c r="AD346" s="497"/>
      <c r="AE346" s="497"/>
      <c r="AF346" s="497"/>
      <c r="AG346" s="497"/>
      <c r="AH346" s="677"/>
      <c r="AI346" s="677"/>
      <c r="AJ346" s="677"/>
      <c r="AK346" s="677"/>
    </row>
    <row r="347" spans="1:37" s="521" customFormat="1" ht="12.75" customHeight="1">
      <c r="A347" s="631" t="str">
        <f t="shared" si="5"/>
        <v>E-14O</v>
      </c>
      <c r="B347" s="632" t="str">
        <f>'Corrected and Updated TSF 3'!EP347</f>
        <v>UNSOLD</v>
      </c>
      <c r="C347" s="1167" t="str">
        <f>'Corrected and Updated TSF 3'!E347</f>
        <v>14th Floor</v>
      </c>
      <c r="D347" s="974">
        <f>'INTERNAL PRICELIST'!D347</f>
        <v>0</v>
      </c>
      <c r="E347" s="1134" t="str">
        <f>'Corrected and Updated TSF 3'!G347</f>
        <v>E-14O</v>
      </c>
      <c r="F347" s="1168" t="str">
        <f>'Corrected and Updated TSF 3'!I347</f>
        <v>Studio</v>
      </c>
      <c r="G347" s="1169">
        <f>'Corrected and Updated TSF 3'!J347</f>
        <v>22</v>
      </c>
      <c r="H347" s="1169">
        <f>'Corrected and Updated TSF 3'!CG347</f>
        <v>4253253.5678302431</v>
      </c>
      <c r="I347" s="1169">
        <f>SUM('Corrected and Updated TSF 3'!CI347:CJ347)</f>
        <v>542289.82989835599</v>
      </c>
      <c r="J347" s="977">
        <f>'Corrected and Updated TSF 3'!CH347</f>
        <v>0</v>
      </c>
      <c r="K347" s="1169">
        <f>'Corrected and Updated TSF 3'!CK347</f>
        <v>4795543.3977285996</v>
      </c>
      <c r="L347" s="1170">
        <f>'Corrected and Updated TSF 3'!CL347</f>
        <v>0.125</v>
      </c>
      <c r="M347" s="1169">
        <f>'Corrected and Updated TSF 3'!CM347</f>
        <v>599442.92471607495</v>
      </c>
      <c r="N347" s="1169">
        <f>'Corrected and Updated TSF 3'!CN347</f>
        <v>30000</v>
      </c>
      <c r="O347" s="1169">
        <f>'Corrected and Updated TSF 3'!CO347</f>
        <v>569442.92471607495</v>
      </c>
      <c r="P347" s="1168">
        <f>'Corrected and Updated TSF 3'!CP347</f>
        <v>31</v>
      </c>
      <c r="Q347" s="1169">
        <f>'Corrected and Updated TSF 3'!CQ347</f>
        <v>18369.126603744353</v>
      </c>
      <c r="R347" s="1169">
        <f>'Corrected and Updated TSF 3'!CS347</f>
        <v>4196100.4730125247</v>
      </c>
      <c r="S347" s="1169">
        <f>'Corrected and Updated TSF 3'!CT347</f>
        <v>32532.322304764664</v>
      </c>
      <c r="T347" s="1166">
        <f>'Corrected and Updated TSF 3'!CU347</f>
        <v>37715.737324808986</v>
      </c>
      <c r="U347" s="1166">
        <f>'Corrected and Updated TSF 3'!CV347</f>
        <v>48720.284457003334</v>
      </c>
      <c r="V347" s="1166">
        <f>'Corrected and Updated TSF 3'!CW347</f>
        <v>83087.818561375607</v>
      </c>
      <c r="W347" s="1102">
        <f>'Corrected and Updated TSF 3'!CX347</f>
        <v>340862.57878810517</v>
      </c>
      <c r="X347" s="1102">
        <f>'Corrected and Updated TSF 3'!CY347</f>
        <v>134877.66198950121</v>
      </c>
      <c r="Y347" s="1102">
        <f>'Corrected and Updated TSF 3'!CZ347</f>
        <v>97420.224956442529</v>
      </c>
      <c r="Z347" s="1102">
        <f>'Corrected and Updated TSF 3'!DA347</f>
        <v>74141.276187369353</v>
      </c>
      <c r="AA347" s="821">
        <f>L347-'Corrected and Updated TSF 3'!CL347</f>
        <v>0</v>
      </c>
      <c r="AB347" s="678">
        <f>N347-'Corrected and Updated TSF 3'!CN347</f>
        <v>0</v>
      </c>
      <c r="AC347" s="678">
        <f>Q347-'Corrected and Updated TSF 3'!CQ347</f>
        <v>0</v>
      </c>
      <c r="AD347" s="497"/>
      <c r="AE347" s="497"/>
      <c r="AF347" s="497"/>
      <c r="AG347" s="497"/>
      <c r="AH347" s="677"/>
      <c r="AI347" s="677"/>
      <c r="AJ347" s="677"/>
      <c r="AK347" s="677"/>
    </row>
    <row r="348" spans="1:37" s="521" customFormat="1" ht="12.75" hidden="1" customHeight="1">
      <c r="A348" s="631" t="str">
        <f t="shared" si="5"/>
        <v>W-15A</v>
      </c>
      <c r="B348" s="632" t="str">
        <f>'Corrected and Updated TSF 3'!EP348</f>
        <v>SOLD</v>
      </c>
      <c r="C348" s="820" t="str">
        <f>'Corrected and Updated TSF 3'!E348</f>
        <v>15th Floor</v>
      </c>
      <c r="D348" s="628">
        <f>'INTERNAL PRICELIST'!D348</f>
        <v>0</v>
      </c>
      <c r="E348" s="596" t="str">
        <f>'Corrected and Updated TSF 3'!G348</f>
        <v>W-15A</v>
      </c>
      <c r="F348" s="401" t="str">
        <f>'Corrected and Updated TSF 3'!I348</f>
        <v>Studio</v>
      </c>
      <c r="G348" s="633">
        <f>'Corrected and Updated TSF 3'!J348</f>
        <v>22</v>
      </c>
      <c r="H348" s="633">
        <f>'Corrected and Updated TSF 3'!CG348</f>
        <v>4371632.4979814207</v>
      </c>
      <c r="I348" s="633">
        <f>SUM('Corrected and Updated TSF 3'!CI348:CJ348)</f>
        <v>557383.14349263115</v>
      </c>
      <c r="J348" s="633">
        <f>'Corrected and Updated TSF 3'!CH348</f>
        <v>435891.89975777047</v>
      </c>
      <c r="K348" s="633">
        <f>'Corrected and Updated TSF 3'!CK348</f>
        <v>5364907.5412318222</v>
      </c>
      <c r="L348" s="634">
        <f>'Corrected and Updated TSF 3'!CL348</f>
        <v>0.125</v>
      </c>
      <c r="M348" s="633">
        <f>'Corrected and Updated TSF 3'!CM348</f>
        <v>670613.44265397778</v>
      </c>
      <c r="N348" s="633">
        <f>'Corrected and Updated TSF 3'!CN348</f>
        <v>30000</v>
      </c>
      <c r="O348" s="633">
        <f>'Corrected and Updated TSF 3'!CO348</f>
        <v>640613.44265397778</v>
      </c>
      <c r="P348" s="401">
        <f>'Corrected and Updated TSF 3'!CP348</f>
        <v>32</v>
      </c>
      <c r="Q348" s="633">
        <f>'Corrected and Updated TSF 3'!CQ348</f>
        <v>20019.170082936806</v>
      </c>
      <c r="R348" s="633">
        <f>'Corrected and Updated TSF 3'!CS348</f>
        <v>4694294.098577844</v>
      </c>
      <c r="S348" s="633">
        <f>'Corrected and Updated TSF 3'!CT348</f>
        <v>36394.812181093665</v>
      </c>
      <c r="T348" s="635">
        <f>'Corrected and Updated TSF 3'!CU348</f>
        <v>42193.64247497476</v>
      </c>
      <c r="U348" s="636">
        <f>'Corrected and Updated TSF 3'!CV348</f>
        <v>54504.734879083517</v>
      </c>
      <c r="V348" s="636">
        <f>'Corrected and Updated TSF 3'!CW348</f>
        <v>92952.649452731042</v>
      </c>
      <c r="W348" s="1102">
        <f>'Corrected and Updated TSF 3'!CX348</f>
        <v>381332.43050833198</v>
      </c>
      <c r="X348" s="1102">
        <f>'Corrected and Updated TSF 3'!CY348</f>
        <v>150891.38517522882</v>
      </c>
      <c r="Y348" s="1102">
        <f>'Corrected and Updated TSF 3'!CZ348</f>
        <v>108986.71040801582</v>
      </c>
      <c r="Z348" s="1102">
        <f>'Corrected and Updated TSF 3'!DA348</f>
        <v>82943.90410950467</v>
      </c>
      <c r="AA348" s="821">
        <f>L348-'Corrected and Updated TSF 3'!CL348</f>
        <v>0</v>
      </c>
      <c r="AB348" s="678">
        <f>N348-'Corrected and Updated TSF 3'!CN348</f>
        <v>0</v>
      </c>
      <c r="AC348" s="678">
        <f>Q348-'Corrected and Updated TSF 3'!CQ348</f>
        <v>0</v>
      </c>
      <c r="AD348" s="497"/>
      <c r="AE348" s="497"/>
      <c r="AF348" s="497"/>
      <c r="AG348" s="497"/>
      <c r="AH348" s="677"/>
      <c r="AI348" s="677"/>
      <c r="AJ348" s="677"/>
      <c r="AK348" s="677"/>
    </row>
    <row r="349" spans="1:37" s="521" customFormat="1" ht="12.75" hidden="1" customHeight="1">
      <c r="A349" s="631" t="str">
        <f t="shared" si="5"/>
        <v>W-15B</v>
      </c>
      <c r="B349" s="632" t="str">
        <f>'Corrected and Updated TSF 3'!EP349</f>
        <v>SOLD</v>
      </c>
      <c r="C349" s="820" t="str">
        <f>'Corrected and Updated TSF 3'!E349</f>
        <v>15th Floor</v>
      </c>
      <c r="D349" s="628">
        <f>'INTERNAL PRICELIST'!D349</f>
        <v>0</v>
      </c>
      <c r="E349" s="596" t="str">
        <f>'Corrected and Updated TSF 3'!G349</f>
        <v>W-15B</v>
      </c>
      <c r="F349" s="401" t="str">
        <f>'Corrected and Updated TSF 3'!I349</f>
        <v>Studio</v>
      </c>
      <c r="G349" s="633">
        <f>'Corrected and Updated TSF 3'!J349</f>
        <v>22</v>
      </c>
      <c r="H349" s="633">
        <f>'Corrected and Updated TSF 3'!CG349</f>
        <v>4277078.5145147135</v>
      </c>
      <c r="I349" s="633">
        <f>SUM('Corrected and Updated TSF 3'!CI349:CJ349)</f>
        <v>545327.510600626</v>
      </c>
      <c r="J349" s="633">
        <f>'Corrected and Updated TSF 3'!CH349</f>
        <v>436372.62174176559</v>
      </c>
      <c r="K349" s="633">
        <f>'Corrected and Updated TSF 3'!CK349</f>
        <v>5258778.6468571052</v>
      </c>
      <c r="L349" s="634">
        <f>'Corrected and Updated TSF 3'!CL349</f>
        <v>0.125</v>
      </c>
      <c r="M349" s="633">
        <f>'Corrected and Updated TSF 3'!CM349</f>
        <v>657347.33085713815</v>
      </c>
      <c r="N349" s="633">
        <f>'Corrected and Updated TSF 3'!CN349</f>
        <v>30000</v>
      </c>
      <c r="O349" s="633">
        <f>'Corrected and Updated TSF 3'!CO349</f>
        <v>627347.33085713815</v>
      </c>
      <c r="P349" s="401">
        <f>'Corrected and Updated TSF 3'!CP349</f>
        <v>32</v>
      </c>
      <c r="Q349" s="633">
        <f>'Corrected and Updated TSF 3'!CQ349</f>
        <v>19604.604089285567</v>
      </c>
      <c r="R349" s="633">
        <f>'Corrected and Updated TSF 3'!CS349</f>
        <v>4601431.315999967</v>
      </c>
      <c r="S349" s="633">
        <f>'Corrected and Updated TSF 3'!CT349</f>
        <v>35674.84801618132</v>
      </c>
      <c r="T349" s="635">
        <f>'Corrected and Updated TSF 3'!CU349</f>
        <v>41358.965532064583</v>
      </c>
      <c r="U349" s="636">
        <f>'Corrected and Updated TSF 3'!CV349</f>
        <v>53426.519232970808</v>
      </c>
      <c r="V349" s="636">
        <f>'Corrected and Updated TSF 3'!CW349</f>
        <v>91113.855057897192</v>
      </c>
      <c r="W349" s="1102">
        <f>'Corrected and Updated TSF 3'!CX349</f>
        <v>373788.89151384996</v>
      </c>
      <c r="X349" s="1102">
        <f>'Corrected and Updated TSF 3'!CY349</f>
        <v>147906.44354180046</v>
      </c>
      <c r="Y349" s="1102">
        <f>'Corrected and Updated TSF 3'!CZ349</f>
        <v>106830.72934249975</v>
      </c>
      <c r="Z349" s="1102">
        <f>'Corrected and Updated TSF 3'!DA349</f>
        <v>81303.103262405057</v>
      </c>
      <c r="AA349" s="821">
        <f>L349-'Corrected and Updated TSF 3'!CL349</f>
        <v>0</v>
      </c>
      <c r="AB349" s="678">
        <f>N349-'Corrected and Updated TSF 3'!CN349</f>
        <v>0</v>
      </c>
      <c r="AC349" s="678">
        <f>Q349-'Corrected and Updated TSF 3'!CQ349</f>
        <v>0</v>
      </c>
      <c r="AD349" s="497"/>
      <c r="AE349" s="497"/>
      <c r="AF349" s="497"/>
      <c r="AG349" s="497"/>
      <c r="AH349" s="677"/>
      <c r="AI349" s="677"/>
      <c r="AJ349" s="677"/>
      <c r="AK349" s="677"/>
    </row>
    <row r="350" spans="1:37" s="521" customFormat="1" ht="12.75" hidden="1" customHeight="1">
      <c r="A350" s="631" t="str">
        <f t="shared" si="5"/>
        <v>W-15C</v>
      </c>
      <c r="B350" s="632" t="str">
        <f>'Corrected and Updated TSF 3'!EP350</f>
        <v>SOLD</v>
      </c>
      <c r="C350" s="973" t="str">
        <f>'Corrected and Updated TSF 3'!E350</f>
        <v>15th Floor</v>
      </c>
      <c r="D350" s="974">
        <f>'INTERNAL PRICELIST'!D350</f>
        <v>0</v>
      </c>
      <c r="E350" s="975" t="str">
        <f>'Corrected and Updated TSF 3'!G350</f>
        <v>W-15C</v>
      </c>
      <c r="F350" s="976" t="str">
        <f>'Corrected and Updated TSF 3'!I350</f>
        <v>Studio</v>
      </c>
      <c r="G350" s="977">
        <f>'Corrected and Updated TSF 3'!J350</f>
        <v>22</v>
      </c>
      <c r="H350" s="977">
        <f>'Corrected and Updated TSF 3'!CG350</f>
        <v>4277078.5145147135</v>
      </c>
      <c r="I350" s="977">
        <f>SUM('Corrected and Updated TSF 3'!CI350:CJ350)</f>
        <v>545327.510600626</v>
      </c>
      <c r="J350" s="977">
        <f>'Corrected and Updated TSF 3'!CH350</f>
        <v>436372.62174176559</v>
      </c>
      <c r="K350" s="977">
        <f>'Corrected and Updated TSF 3'!CK350</f>
        <v>5258778.6468571052</v>
      </c>
      <c r="L350" s="978">
        <f>'Corrected and Updated TSF 3'!CL350</f>
        <v>0.125</v>
      </c>
      <c r="M350" s="977">
        <f>'Corrected and Updated TSF 3'!CM350</f>
        <v>657347.33085713815</v>
      </c>
      <c r="N350" s="977">
        <f>'Corrected and Updated TSF 3'!CN350</f>
        <v>30000</v>
      </c>
      <c r="O350" s="977">
        <f>'Corrected and Updated TSF 3'!CO350</f>
        <v>627347.33085713815</v>
      </c>
      <c r="P350" s="976">
        <f>'Corrected and Updated TSF 3'!CP350</f>
        <v>32</v>
      </c>
      <c r="Q350" s="977">
        <f>'Corrected and Updated TSF 3'!CQ350</f>
        <v>19604.604089285567</v>
      </c>
      <c r="R350" s="977">
        <f>'Corrected and Updated TSF 3'!CS350</f>
        <v>4601431.315999967</v>
      </c>
      <c r="S350" s="977">
        <f>'Corrected and Updated TSF 3'!CT350</f>
        <v>35674.84801618132</v>
      </c>
      <c r="T350" s="636">
        <f>'Corrected and Updated TSF 3'!CU350</f>
        <v>41358.965532064583</v>
      </c>
      <c r="U350" s="636">
        <f>'Corrected and Updated TSF 3'!CV350</f>
        <v>53426.519232970808</v>
      </c>
      <c r="V350" s="636">
        <f>'Corrected and Updated TSF 3'!CW350</f>
        <v>91113.855057897192</v>
      </c>
      <c r="W350" s="1102">
        <f>'Corrected and Updated TSF 3'!CX350</f>
        <v>373788.89151384996</v>
      </c>
      <c r="X350" s="1102">
        <f>'Corrected and Updated TSF 3'!CY350</f>
        <v>147906.44354180046</v>
      </c>
      <c r="Y350" s="1102">
        <f>'Corrected and Updated TSF 3'!CZ350</f>
        <v>106830.72934249975</v>
      </c>
      <c r="Z350" s="1102">
        <f>'Corrected and Updated TSF 3'!DA350</f>
        <v>81303.103262405057</v>
      </c>
      <c r="AA350" s="821">
        <f>L350-'Corrected and Updated TSF 3'!CL350</f>
        <v>0</v>
      </c>
      <c r="AB350" s="678">
        <f>N350-'Corrected and Updated TSF 3'!CN350</f>
        <v>0</v>
      </c>
      <c r="AC350" s="678">
        <f>Q350-'Corrected and Updated TSF 3'!CQ350</f>
        <v>0</v>
      </c>
      <c r="AD350" s="497"/>
      <c r="AE350" s="497"/>
      <c r="AF350" s="497"/>
      <c r="AG350" s="497"/>
      <c r="AH350" s="677"/>
      <c r="AI350" s="677"/>
      <c r="AJ350" s="677"/>
      <c r="AK350" s="677"/>
    </row>
    <row r="351" spans="1:37" s="521" customFormat="1">
      <c r="A351" s="631" t="str">
        <f t="shared" si="5"/>
        <v>W-15D</v>
      </c>
      <c r="B351" s="632" t="str">
        <f>'Corrected and Updated TSF 3'!EP351</f>
        <v>UNSOLD</v>
      </c>
      <c r="C351" s="973" t="str">
        <f>'Corrected and Updated TSF 3'!E351</f>
        <v>15th Floor</v>
      </c>
      <c r="D351" s="974">
        <f>'INTERNAL PRICELIST'!D351</f>
        <v>0</v>
      </c>
      <c r="E351" s="975" t="str">
        <f>'Corrected and Updated TSF 3'!G351</f>
        <v>W-15D</v>
      </c>
      <c r="F351" s="976" t="str">
        <f>'Corrected and Updated TSF 3'!I351</f>
        <v>Studio</v>
      </c>
      <c r="G351" s="977">
        <f>'Corrected and Updated TSF 3'!J351</f>
        <v>22</v>
      </c>
      <c r="H351" s="977">
        <f>'Corrected and Updated TSF 3'!CG351</f>
        <v>4341689.5930509921</v>
      </c>
      <c r="I351" s="977">
        <f>SUM('Corrected and Updated TSF 3'!CI351:CJ351)</f>
        <v>553565.42311400152</v>
      </c>
      <c r="J351" s="977">
        <f>'Corrected and Updated TSF 3'!CH351</f>
        <v>0</v>
      </c>
      <c r="K351" s="977">
        <f>'Corrected and Updated TSF 3'!CK351</f>
        <v>4895255.0161649939</v>
      </c>
      <c r="L351" s="978">
        <f>'Corrected and Updated TSF 3'!CL351</f>
        <v>0.125</v>
      </c>
      <c r="M351" s="977">
        <f>'Corrected and Updated TSF 3'!CM351</f>
        <v>611906.87702062423</v>
      </c>
      <c r="N351" s="977">
        <f>'Corrected and Updated TSF 3'!CN351</f>
        <v>30000</v>
      </c>
      <c r="O351" s="977">
        <f>'Corrected and Updated TSF 3'!CO351</f>
        <v>581906.87702062423</v>
      </c>
      <c r="P351" s="976">
        <f>'Corrected and Updated TSF 3'!CP351</f>
        <v>32</v>
      </c>
      <c r="Q351" s="977">
        <f>'Corrected and Updated TSF 3'!CQ351</f>
        <v>18184.589906894507</v>
      </c>
      <c r="R351" s="977">
        <f>'Corrected and Updated TSF 3'!CS351</f>
        <v>4283348.1391443694</v>
      </c>
      <c r="S351" s="977">
        <f>'Corrected and Updated TSF 3'!CT351</f>
        <v>33208.752531637168</v>
      </c>
      <c r="T351" s="636">
        <f>'Corrected and Updated TSF 3'!CU351</f>
        <v>38499.944013660948</v>
      </c>
      <c r="U351" s="636">
        <f>'Corrected and Updated TSF 3'!CV351</f>
        <v>49733.303839997599</v>
      </c>
      <c r="V351" s="636">
        <f>'Corrected and Updated TSF 3'!CW351</f>
        <v>84815.426920634389</v>
      </c>
      <c r="W351" s="1102">
        <f>'Corrected and Updated TSF 3'!CX351</f>
        <v>347949.9840259481</v>
      </c>
      <c r="X351" s="1102">
        <f>'Corrected and Updated TSF 3'!CY351</f>
        <v>137682.11371738257</v>
      </c>
      <c r="Y351" s="1102">
        <f>'Corrected and Updated TSF 3'!CZ351</f>
        <v>99445.840719495667</v>
      </c>
      <c r="Z351" s="1102">
        <f>'Corrected and Updated TSF 3'!DA351</f>
        <v>75682.863037586125</v>
      </c>
      <c r="AA351" s="821">
        <f>L351-'Corrected and Updated TSF 3'!CL351</f>
        <v>0</v>
      </c>
      <c r="AB351" s="678">
        <f>N351-'Corrected and Updated TSF 3'!CN351</f>
        <v>0</v>
      </c>
      <c r="AC351" s="678">
        <f>Q351-'Corrected and Updated TSF 3'!CQ351</f>
        <v>0</v>
      </c>
      <c r="AD351" s="497"/>
      <c r="AE351" s="497"/>
      <c r="AF351" s="497"/>
      <c r="AG351" s="497"/>
      <c r="AH351" s="677"/>
      <c r="AI351" s="677"/>
      <c r="AJ351" s="677"/>
      <c r="AK351" s="677"/>
    </row>
    <row r="352" spans="1:37" s="521" customFormat="1" ht="12.75" hidden="1" customHeight="1">
      <c r="A352" s="631" t="str">
        <f t="shared" si="5"/>
        <v>W-15E</v>
      </c>
      <c r="B352" s="632" t="str">
        <f>'Corrected and Updated TSF 3'!EP352</f>
        <v>SOLD</v>
      </c>
      <c r="C352" s="973" t="str">
        <f>'Corrected and Updated TSF 3'!E352</f>
        <v>15th Floor</v>
      </c>
      <c r="D352" s="974">
        <f>'INTERNAL PRICELIST'!D352</f>
        <v>0</v>
      </c>
      <c r="E352" s="975" t="str">
        <f>'Corrected and Updated TSF 3'!G352</f>
        <v>W-15E</v>
      </c>
      <c r="F352" s="976" t="str">
        <f>'Corrected and Updated TSF 3'!I352</f>
        <v>Studio</v>
      </c>
      <c r="G352" s="977">
        <f>'Corrected and Updated TSF 3'!J352</f>
        <v>22</v>
      </c>
      <c r="H352" s="977">
        <f>'Corrected and Updated TSF 3'!CG352</f>
        <v>4277078.5145147135</v>
      </c>
      <c r="I352" s="977">
        <f>SUM('Corrected and Updated TSF 3'!CI352:CJ352)</f>
        <v>545327.510600626</v>
      </c>
      <c r="J352" s="977">
        <f>'Corrected and Updated TSF 3'!CH352</f>
        <v>436372.62174176559</v>
      </c>
      <c r="K352" s="977">
        <f>'Corrected and Updated TSF 3'!CK352</f>
        <v>5258778.6468571052</v>
      </c>
      <c r="L352" s="978">
        <f>'Corrected and Updated TSF 3'!CL352</f>
        <v>0.125</v>
      </c>
      <c r="M352" s="977">
        <f>'Corrected and Updated TSF 3'!CM352</f>
        <v>657347.33085713815</v>
      </c>
      <c r="N352" s="977">
        <f>'Corrected and Updated TSF 3'!CN352</f>
        <v>30000</v>
      </c>
      <c r="O352" s="977">
        <f>'Corrected and Updated TSF 3'!CO352</f>
        <v>627347.33085713815</v>
      </c>
      <c r="P352" s="976">
        <f>'Corrected and Updated TSF 3'!CP352</f>
        <v>32</v>
      </c>
      <c r="Q352" s="977">
        <f>'Corrected and Updated TSF 3'!CQ352</f>
        <v>19604.604089285567</v>
      </c>
      <c r="R352" s="977">
        <f>'Corrected and Updated TSF 3'!CS352</f>
        <v>4601431.315999967</v>
      </c>
      <c r="S352" s="977">
        <f>'Corrected and Updated TSF 3'!CT352</f>
        <v>35674.84801618132</v>
      </c>
      <c r="T352" s="636">
        <f>'Corrected and Updated TSF 3'!CU352</f>
        <v>41358.965532064583</v>
      </c>
      <c r="U352" s="636">
        <f>'Corrected and Updated TSF 3'!CV352</f>
        <v>53426.519232970808</v>
      </c>
      <c r="V352" s="636">
        <f>'Corrected and Updated TSF 3'!CW352</f>
        <v>91113.855057897192</v>
      </c>
      <c r="W352" s="1102">
        <f>'Corrected and Updated TSF 3'!CX352</f>
        <v>373788.89151384996</v>
      </c>
      <c r="X352" s="1102">
        <f>'Corrected and Updated TSF 3'!CY352</f>
        <v>147906.44354180046</v>
      </c>
      <c r="Y352" s="1102">
        <f>'Corrected and Updated TSF 3'!CZ352</f>
        <v>106830.72934249975</v>
      </c>
      <c r="Z352" s="1102">
        <f>'Corrected and Updated TSF 3'!DA352</f>
        <v>81303.103262405057</v>
      </c>
      <c r="AA352" s="821">
        <f>L352-'Corrected and Updated TSF 3'!CL352</f>
        <v>0</v>
      </c>
      <c r="AB352" s="678">
        <f>N352-'Corrected and Updated TSF 3'!CN352</f>
        <v>0</v>
      </c>
      <c r="AC352" s="678">
        <f>Q352-'Corrected and Updated TSF 3'!CQ352</f>
        <v>0</v>
      </c>
      <c r="AD352" s="497"/>
      <c r="AE352" s="497"/>
      <c r="AF352" s="497"/>
      <c r="AG352" s="497"/>
      <c r="AH352" s="677"/>
      <c r="AI352" s="677"/>
      <c r="AJ352" s="677"/>
      <c r="AK352" s="677"/>
    </row>
    <row r="353" spans="1:37" s="521" customFormat="1" ht="12.75" hidden="1" customHeight="1">
      <c r="A353" s="631" t="str">
        <f t="shared" si="5"/>
        <v>W-15F</v>
      </c>
      <c r="B353" s="632" t="str">
        <f>'Corrected and Updated TSF 3'!EP353</f>
        <v>SOLD</v>
      </c>
      <c r="C353" s="973" t="str">
        <f>'Corrected and Updated TSF 3'!E353</f>
        <v>15th Floor</v>
      </c>
      <c r="D353" s="974">
        <f>'INTERNAL PRICELIST'!D353</f>
        <v>0</v>
      </c>
      <c r="E353" s="975" t="str">
        <f>'Corrected and Updated TSF 3'!G353</f>
        <v>W-15F</v>
      </c>
      <c r="F353" s="976" t="str">
        <f>'Corrected and Updated TSF 3'!I353</f>
        <v>Studio</v>
      </c>
      <c r="G353" s="977">
        <f>'Corrected and Updated TSF 3'!J353</f>
        <v>22</v>
      </c>
      <c r="H353" s="977">
        <f>'Corrected and Updated TSF 3'!CG353</f>
        <v>4277078.5145147135</v>
      </c>
      <c r="I353" s="977">
        <f>SUM('Corrected and Updated TSF 3'!CI353:CJ353)</f>
        <v>545327.510600626</v>
      </c>
      <c r="J353" s="977">
        <f>'Corrected and Updated TSF 3'!CH353</f>
        <v>436372.62174176559</v>
      </c>
      <c r="K353" s="977">
        <f>'Corrected and Updated TSF 3'!CK353</f>
        <v>5258778.6468571052</v>
      </c>
      <c r="L353" s="978">
        <f>'Corrected and Updated TSF 3'!CL353</f>
        <v>0.125</v>
      </c>
      <c r="M353" s="977">
        <f>'Corrected and Updated TSF 3'!CM353</f>
        <v>657347.33085713815</v>
      </c>
      <c r="N353" s="977">
        <f>'Corrected and Updated TSF 3'!CN353</f>
        <v>30000</v>
      </c>
      <c r="O353" s="977">
        <f>'Corrected and Updated TSF 3'!CO353</f>
        <v>627347.33085713815</v>
      </c>
      <c r="P353" s="976">
        <f>'Corrected and Updated TSF 3'!CP353</f>
        <v>32</v>
      </c>
      <c r="Q353" s="977">
        <f>'Corrected and Updated TSF 3'!CQ353</f>
        <v>19604.604089285567</v>
      </c>
      <c r="R353" s="977">
        <f>'Corrected and Updated TSF 3'!CS353</f>
        <v>4601431.315999967</v>
      </c>
      <c r="S353" s="977">
        <f>'Corrected and Updated TSF 3'!CT353</f>
        <v>35674.84801618132</v>
      </c>
      <c r="T353" s="636">
        <f>'Corrected and Updated TSF 3'!CU353</f>
        <v>41358.965532064583</v>
      </c>
      <c r="U353" s="636">
        <f>'Corrected and Updated TSF 3'!CV353</f>
        <v>53426.519232970808</v>
      </c>
      <c r="V353" s="636">
        <f>'Corrected and Updated TSF 3'!CW353</f>
        <v>91113.855057897192</v>
      </c>
      <c r="W353" s="1102">
        <f>'Corrected and Updated TSF 3'!CX353</f>
        <v>373788.89151384996</v>
      </c>
      <c r="X353" s="1102">
        <f>'Corrected and Updated TSF 3'!CY353</f>
        <v>147906.44354180046</v>
      </c>
      <c r="Y353" s="1102">
        <f>'Corrected and Updated TSF 3'!CZ353</f>
        <v>106830.72934249975</v>
      </c>
      <c r="Z353" s="1102">
        <f>'Corrected and Updated TSF 3'!DA353</f>
        <v>81303.103262405057</v>
      </c>
      <c r="AA353" s="821">
        <f>L353-'Corrected and Updated TSF 3'!CL353</f>
        <v>0</v>
      </c>
      <c r="AB353" s="678">
        <f>N353-'Corrected and Updated TSF 3'!CN353</f>
        <v>0</v>
      </c>
      <c r="AC353" s="678">
        <f>Q353-'Corrected and Updated TSF 3'!CQ353</f>
        <v>0</v>
      </c>
      <c r="AD353" s="497"/>
      <c r="AE353" s="497"/>
      <c r="AF353" s="497"/>
      <c r="AG353" s="497"/>
      <c r="AH353" s="677"/>
      <c r="AI353" s="677"/>
      <c r="AJ353" s="677"/>
      <c r="AK353" s="677"/>
    </row>
    <row r="354" spans="1:37" s="521" customFormat="1" ht="12.75" customHeight="1">
      <c r="A354" s="631" t="str">
        <f t="shared" si="5"/>
        <v>W-15G</v>
      </c>
      <c r="B354" s="632" t="str">
        <f>'Corrected and Updated TSF 3'!EP354</f>
        <v>UNSOLD</v>
      </c>
      <c r="C354" s="973" t="str">
        <f>'Corrected and Updated TSF 3'!E354</f>
        <v>15th Floor</v>
      </c>
      <c r="D354" s="974">
        <f>'INTERNAL PRICELIST'!D354</f>
        <v>0</v>
      </c>
      <c r="E354" s="975" t="str">
        <f>'Corrected and Updated TSF 3'!G354</f>
        <v>W-15G</v>
      </c>
      <c r="F354" s="976" t="str">
        <f>'Corrected and Updated TSF 3'!I354</f>
        <v>Studio</v>
      </c>
      <c r="G354" s="977">
        <f>'Corrected and Updated TSF 3'!J354</f>
        <v>22</v>
      </c>
      <c r="H354" s="977">
        <f>'Corrected and Updated TSF 3'!CG354</f>
        <v>4349020.5728535196</v>
      </c>
      <c r="I354" s="977">
        <f>SUM('Corrected and Updated TSF 3'!CI354:CJ354)</f>
        <v>554500.12303882372</v>
      </c>
      <c r="J354" s="977">
        <f>'Corrected and Updated TSF 3'!CH354</f>
        <v>0</v>
      </c>
      <c r="K354" s="977">
        <f>'Corrected and Updated TSF 3'!CK354</f>
        <v>4903520.6958923433</v>
      </c>
      <c r="L354" s="978">
        <f>'Corrected and Updated TSF 3'!CL354</f>
        <v>0.125</v>
      </c>
      <c r="M354" s="977">
        <f>'Corrected and Updated TSF 3'!CM354</f>
        <v>612940.08698654291</v>
      </c>
      <c r="N354" s="977">
        <f>'Corrected and Updated TSF 3'!CN354</f>
        <v>30000</v>
      </c>
      <c r="O354" s="977">
        <f>'Corrected and Updated TSF 3'!CO354</f>
        <v>582940.08698654291</v>
      </c>
      <c r="P354" s="976">
        <f>'Corrected and Updated TSF 3'!CP354</f>
        <v>32</v>
      </c>
      <c r="Q354" s="977">
        <f>'Corrected and Updated TSF 3'!CQ354</f>
        <v>18216.877718329466</v>
      </c>
      <c r="R354" s="977">
        <f>'Corrected and Updated TSF 3'!CS354</f>
        <v>4290580.6089058006</v>
      </c>
      <c r="S354" s="977">
        <f>'Corrected and Updated TSF 3'!CT354</f>
        <v>33264.825792716503</v>
      </c>
      <c r="T354" s="636">
        <f>'Corrected and Updated TSF 3'!CU354</f>
        <v>38564.951496557544</v>
      </c>
      <c r="U354" s="636">
        <f>'Corrected and Updated TSF 3'!CV354</f>
        <v>49817.278946497048</v>
      </c>
      <c r="V354" s="636">
        <f>'Corrected and Updated TSF 3'!CW354</f>
        <v>84958.638490317564</v>
      </c>
      <c r="W354" s="1102">
        <f>'Corrected and Updated TSF 3'!CX354</f>
        <v>348537.50053317758</v>
      </c>
      <c r="X354" s="1102">
        <f>'Corrected and Updated TSF 3'!CY354</f>
        <v>137914.59113733607</v>
      </c>
      <c r="Y354" s="1102">
        <f>'Corrected and Updated TSF 3'!CZ354</f>
        <v>99613.755867305139</v>
      </c>
      <c r="Z354" s="1102">
        <f>'Corrected and Updated TSF 3'!DA354</f>
        <v>75810.654195483279</v>
      </c>
      <c r="AA354" s="821">
        <f>L354-'Corrected and Updated TSF 3'!CL354</f>
        <v>0</v>
      </c>
      <c r="AB354" s="678">
        <f>N354-'Corrected and Updated TSF 3'!CN354</f>
        <v>0</v>
      </c>
      <c r="AC354" s="678">
        <f>Q354-'Corrected and Updated TSF 3'!CQ354</f>
        <v>0</v>
      </c>
      <c r="AD354" s="497"/>
      <c r="AE354" s="497"/>
      <c r="AF354" s="497"/>
      <c r="AG354" s="497"/>
      <c r="AH354" s="677"/>
      <c r="AI354" s="677"/>
      <c r="AJ354" s="677"/>
      <c r="AK354" s="677"/>
    </row>
    <row r="355" spans="1:37" s="521" customFormat="1" ht="12.75" customHeight="1">
      <c r="A355" s="631" t="str">
        <f t="shared" si="5"/>
        <v>W-15H</v>
      </c>
      <c r="B355" s="632" t="str">
        <f>'Corrected and Updated TSF 3'!EP355</f>
        <v>UNSOLD</v>
      </c>
      <c r="C355" s="973" t="str">
        <f>'Corrected and Updated TSF 3'!E355</f>
        <v>15th Floor</v>
      </c>
      <c r="D355" s="974">
        <f>'INTERNAL PRICELIST'!D355</f>
        <v>0</v>
      </c>
      <c r="E355" s="975" t="str">
        <f>'Corrected and Updated TSF 3'!G355</f>
        <v>W-15H</v>
      </c>
      <c r="F355" s="976" t="str">
        <f>'Corrected and Updated TSF 3'!I355</f>
        <v>Studio</v>
      </c>
      <c r="G355" s="977">
        <f>'Corrected and Updated TSF 3'!J355</f>
        <v>22</v>
      </c>
      <c r="H355" s="977">
        <f>'Corrected and Updated TSF 3'!CG355</f>
        <v>4349020.5728535196</v>
      </c>
      <c r="I355" s="977">
        <f>SUM('Corrected and Updated TSF 3'!CI355:CJ355)</f>
        <v>554500.12303882372</v>
      </c>
      <c r="J355" s="977">
        <f>'Corrected and Updated TSF 3'!CH355</f>
        <v>0</v>
      </c>
      <c r="K355" s="977">
        <f>'Corrected and Updated TSF 3'!CK355</f>
        <v>4903520.6958923433</v>
      </c>
      <c r="L355" s="978">
        <f>'Corrected and Updated TSF 3'!CL355</f>
        <v>0.125</v>
      </c>
      <c r="M355" s="977">
        <f>'Corrected and Updated TSF 3'!CM355</f>
        <v>612940.08698654291</v>
      </c>
      <c r="N355" s="977">
        <f>'Corrected and Updated TSF 3'!CN355</f>
        <v>30000</v>
      </c>
      <c r="O355" s="977">
        <f>'Corrected and Updated TSF 3'!CO355</f>
        <v>582940.08698654291</v>
      </c>
      <c r="P355" s="976">
        <f>'Corrected and Updated TSF 3'!CP355</f>
        <v>32</v>
      </c>
      <c r="Q355" s="977">
        <f>'Corrected and Updated TSF 3'!CQ355</f>
        <v>18216.877718329466</v>
      </c>
      <c r="R355" s="977">
        <f>'Corrected and Updated TSF 3'!CS355</f>
        <v>4290580.6089058006</v>
      </c>
      <c r="S355" s="977">
        <f>'Corrected and Updated TSF 3'!CT355</f>
        <v>33264.825792716503</v>
      </c>
      <c r="T355" s="636">
        <f>'Corrected and Updated TSF 3'!CU355</f>
        <v>38564.951496557544</v>
      </c>
      <c r="U355" s="636">
        <f>'Corrected and Updated TSF 3'!CV355</f>
        <v>49817.278946497048</v>
      </c>
      <c r="V355" s="636">
        <f>'Corrected and Updated TSF 3'!CW355</f>
        <v>84958.638490317564</v>
      </c>
      <c r="W355" s="1102">
        <f>'Corrected and Updated TSF 3'!CX355</f>
        <v>348537.50053317758</v>
      </c>
      <c r="X355" s="1102">
        <f>'Corrected and Updated TSF 3'!CY355</f>
        <v>137914.59113733607</v>
      </c>
      <c r="Y355" s="1102">
        <f>'Corrected and Updated TSF 3'!CZ355</f>
        <v>99613.755867305139</v>
      </c>
      <c r="Z355" s="1102">
        <f>'Corrected and Updated TSF 3'!DA355</f>
        <v>75810.654195483279</v>
      </c>
      <c r="AA355" s="821">
        <f>L355-'Corrected and Updated TSF 3'!CL355</f>
        <v>0</v>
      </c>
      <c r="AB355" s="678">
        <f>N355-'Corrected and Updated TSF 3'!CN355</f>
        <v>0</v>
      </c>
      <c r="AC355" s="678">
        <f>Q355-'Corrected and Updated TSF 3'!CQ355</f>
        <v>0</v>
      </c>
      <c r="AD355" s="497"/>
      <c r="AE355" s="497"/>
      <c r="AF355" s="497"/>
      <c r="AG355" s="497"/>
      <c r="AH355" s="677"/>
      <c r="AI355" s="677"/>
      <c r="AJ355" s="677"/>
      <c r="AK355" s="677"/>
    </row>
    <row r="356" spans="1:37" s="521" customFormat="1" ht="12.75" hidden="1" customHeight="1">
      <c r="A356" s="631" t="str">
        <f t="shared" si="5"/>
        <v>W-15I</v>
      </c>
      <c r="B356" s="632" t="str">
        <f>'Corrected and Updated TSF 3'!EP356</f>
        <v>SOLD</v>
      </c>
      <c r="C356" s="973" t="str">
        <f>'Corrected and Updated TSF 3'!E356</f>
        <v>15th Floor</v>
      </c>
      <c r="D356" s="974">
        <f>'INTERNAL PRICELIST'!D356</f>
        <v>0</v>
      </c>
      <c r="E356" s="975" t="str">
        <f>'Corrected and Updated TSF 3'!G356</f>
        <v>W-15I</v>
      </c>
      <c r="F356" s="976" t="str">
        <f>'Corrected and Updated TSF 3'!I356</f>
        <v>Studio</v>
      </c>
      <c r="G356" s="977">
        <f>'Corrected and Updated TSF 3'!J356</f>
        <v>22</v>
      </c>
      <c r="H356" s="977">
        <f>'Corrected and Updated TSF 3'!CG356</f>
        <v>4277078.5145147135</v>
      </c>
      <c r="I356" s="977">
        <f>SUM('Corrected and Updated TSF 3'!CI356:CJ356)</f>
        <v>545327.510600626</v>
      </c>
      <c r="J356" s="977">
        <f>'Corrected and Updated TSF 3'!CH356</f>
        <v>436372.62174176559</v>
      </c>
      <c r="K356" s="977">
        <f>'Corrected and Updated TSF 3'!CK356</f>
        <v>5258778.6468571052</v>
      </c>
      <c r="L356" s="978">
        <f>'Corrected and Updated TSF 3'!CL356</f>
        <v>0.125</v>
      </c>
      <c r="M356" s="977">
        <f>'Corrected and Updated TSF 3'!CM356</f>
        <v>657347.33085713815</v>
      </c>
      <c r="N356" s="977">
        <f>'Corrected and Updated TSF 3'!CN356</f>
        <v>30000</v>
      </c>
      <c r="O356" s="977">
        <f>'Corrected and Updated TSF 3'!CO356</f>
        <v>627347.33085713815</v>
      </c>
      <c r="P356" s="976">
        <f>'Corrected and Updated TSF 3'!CP356</f>
        <v>32</v>
      </c>
      <c r="Q356" s="977">
        <f>'Corrected and Updated TSF 3'!CQ356</f>
        <v>19604.604089285567</v>
      </c>
      <c r="R356" s="977">
        <f>'Corrected and Updated TSF 3'!CS356</f>
        <v>4601431.315999967</v>
      </c>
      <c r="S356" s="977">
        <f>'Corrected and Updated TSF 3'!CT356</f>
        <v>35674.84801618132</v>
      </c>
      <c r="T356" s="636">
        <f>'Corrected and Updated TSF 3'!CU356</f>
        <v>41358.965532064583</v>
      </c>
      <c r="U356" s="636">
        <f>'Corrected and Updated TSF 3'!CV356</f>
        <v>53426.519232970808</v>
      </c>
      <c r="V356" s="636">
        <f>'Corrected and Updated TSF 3'!CW356</f>
        <v>91113.855057897192</v>
      </c>
      <c r="W356" s="1102">
        <f>'Corrected and Updated TSF 3'!CX356</f>
        <v>373788.89151384996</v>
      </c>
      <c r="X356" s="1102">
        <f>'Corrected and Updated TSF 3'!CY356</f>
        <v>147906.44354180046</v>
      </c>
      <c r="Y356" s="1102">
        <f>'Corrected and Updated TSF 3'!CZ356</f>
        <v>106830.72934249975</v>
      </c>
      <c r="Z356" s="1102">
        <f>'Corrected and Updated TSF 3'!DA356</f>
        <v>81303.103262405057</v>
      </c>
      <c r="AA356" s="821">
        <f>L356-'Corrected and Updated TSF 3'!CL356</f>
        <v>0</v>
      </c>
      <c r="AB356" s="678">
        <f>N356-'Corrected and Updated TSF 3'!CN356</f>
        <v>0</v>
      </c>
      <c r="AC356" s="678">
        <f>Q356-'Corrected and Updated TSF 3'!CQ356</f>
        <v>0</v>
      </c>
      <c r="AD356" s="497"/>
      <c r="AE356" s="497"/>
      <c r="AF356" s="497"/>
      <c r="AG356" s="497"/>
      <c r="AH356" s="677"/>
      <c r="AI356" s="677"/>
      <c r="AJ356" s="677"/>
      <c r="AK356" s="677"/>
    </row>
    <row r="357" spans="1:37" s="521" customFormat="1" ht="12.75" hidden="1" customHeight="1">
      <c r="A357" s="631" t="str">
        <f t="shared" si="5"/>
        <v>W-15J</v>
      </c>
      <c r="B357" s="632" t="str">
        <f>'Corrected and Updated TSF 3'!EP357</f>
        <v>SOLD</v>
      </c>
      <c r="C357" s="973" t="str">
        <f>'Corrected and Updated TSF 3'!E357</f>
        <v>15th Floor</v>
      </c>
      <c r="D357" s="974">
        <f>'INTERNAL PRICELIST'!D357</f>
        <v>0</v>
      </c>
      <c r="E357" s="975" t="str">
        <f>'Corrected and Updated TSF 3'!G357</f>
        <v>W-15J</v>
      </c>
      <c r="F357" s="976" t="str">
        <f>'Corrected and Updated TSF 3'!I357</f>
        <v>Studio</v>
      </c>
      <c r="G357" s="977">
        <f>'Corrected and Updated TSF 3'!J357</f>
        <v>22</v>
      </c>
      <c r="H357" s="977">
        <f>'Corrected and Updated TSF 3'!CG357</f>
        <v>4314636.1079013972</v>
      </c>
      <c r="I357" s="977">
        <f>SUM('Corrected and Updated TSF 3'!CI357:CJ357)</f>
        <v>550116.10375742812</v>
      </c>
      <c r="J357" s="977">
        <f>'Corrected and Updated TSF 3'!CH357</f>
        <v>436444.33294816763</v>
      </c>
      <c r="K357" s="977">
        <f>'Corrected and Updated TSF 3'!CK357</f>
        <v>5301196.544606993</v>
      </c>
      <c r="L357" s="978">
        <f>'Corrected and Updated TSF 3'!CL357</f>
        <v>0.125</v>
      </c>
      <c r="M357" s="977">
        <f>'Corrected and Updated TSF 3'!CM357</f>
        <v>662649.56807587412</v>
      </c>
      <c r="N357" s="977">
        <f>'Corrected and Updated TSF 3'!CN357</f>
        <v>30000</v>
      </c>
      <c r="O357" s="977">
        <f>'Corrected and Updated TSF 3'!CO357</f>
        <v>632649.56807587412</v>
      </c>
      <c r="P357" s="976">
        <f>'Corrected and Updated TSF 3'!CP357</f>
        <v>32</v>
      </c>
      <c r="Q357" s="977">
        <f>'Corrected and Updated TSF 3'!CQ357</f>
        <v>19770.299002371066</v>
      </c>
      <c r="R357" s="977">
        <f>'Corrected and Updated TSF 3'!CS357</f>
        <v>4638546.9765311191</v>
      </c>
      <c r="S357" s="977">
        <f>'Corrected and Updated TSF 3'!CT357</f>
        <v>35962.605337227258</v>
      </c>
      <c r="T357" s="636">
        <f>'Corrected and Updated TSF 3'!CU357</f>
        <v>41692.571581832191</v>
      </c>
      <c r="U357" s="636">
        <f>'Corrected and Updated TSF 3'!CV357</f>
        <v>53857.463522917489</v>
      </c>
      <c r="V357" s="636">
        <f>'Corrected and Updated TSF 3'!CW357</f>
        <v>91848.789621030752</v>
      </c>
      <c r="W357" s="1102">
        <f>'Corrected and Updated TSF 3'!CX357</f>
        <v>376803.91459145263</v>
      </c>
      <c r="X357" s="1102">
        <f>'Corrected and Updated TSF 3'!CY357</f>
        <v>149099.4734865872</v>
      </c>
      <c r="Y357" s="1102">
        <f>'Corrected and Updated TSF 3'!CZ357</f>
        <v>107692.43797450393</v>
      </c>
      <c r="Z357" s="1102">
        <f>'Corrected and Updated TSF 3'!DA357</f>
        <v>81958.903202376736</v>
      </c>
      <c r="AA357" s="821">
        <f>L357-'Corrected and Updated TSF 3'!CL357</f>
        <v>0</v>
      </c>
      <c r="AB357" s="678">
        <f>N357-'Corrected and Updated TSF 3'!CN357</f>
        <v>0</v>
      </c>
      <c r="AC357" s="678">
        <f>Q357-'Corrected and Updated TSF 3'!CQ357</f>
        <v>0</v>
      </c>
      <c r="AD357" s="497"/>
      <c r="AE357" s="497"/>
      <c r="AF357" s="497"/>
      <c r="AG357" s="497"/>
      <c r="AH357" s="677"/>
      <c r="AI357" s="677"/>
      <c r="AJ357" s="677"/>
      <c r="AK357" s="677"/>
    </row>
    <row r="358" spans="1:37" s="521" customFormat="1" ht="12.75" hidden="1" customHeight="1">
      <c r="A358" s="631" t="str">
        <f t="shared" si="5"/>
        <v>W-15K</v>
      </c>
      <c r="B358" s="632" t="str">
        <f>'Corrected and Updated TSF 3'!EP358</f>
        <v>SOLD</v>
      </c>
      <c r="C358" s="973" t="str">
        <f>'Corrected and Updated TSF 3'!E358</f>
        <v>15th Floor</v>
      </c>
      <c r="D358" s="974">
        <f>'INTERNAL PRICELIST'!D358</f>
        <v>0</v>
      </c>
      <c r="E358" s="975" t="str">
        <f>'Corrected and Updated TSF 3'!G358</f>
        <v>W-15K</v>
      </c>
      <c r="F358" s="976" t="str">
        <f>'Corrected and Updated TSF 3'!I358</f>
        <v>Studio</v>
      </c>
      <c r="G358" s="977">
        <f>'Corrected and Updated TSF 3'!J358</f>
        <v>22</v>
      </c>
      <c r="H358" s="977">
        <f>'Corrected and Updated TSF 3'!CG358</f>
        <v>4277078.5145147135</v>
      </c>
      <c r="I358" s="977">
        <f>SUM('Corrected and Updated TSF 3'!CI358:CJ358)</f>
        <v>545327.510600626</v>
      </c>
      <c r="J358" s="977">
        <f>'Corrected and Updated TSF 3'!CH358</f>
        <v>436372.62174176559</v>
      </c>
      <c r="K358" s="977">
        <f>'Corrected and Updated TSF 3'!CK358</f>
        <v>5258778.6468571052</v>
      </c>
      <c r="L358" s="978">
        <f>'Corrected and Updated TSF 3'!CL358</f>
        <v>0.125</v>
      </c>
      <c r="M358" s="977">
        <f>'Corrected and Updated TSF 3'!CM358</f>
        <v>657347.33085713815</v>
      </c>
      <c r="N358" s="977">
        <f>'Corrected and Updated TSF 3'!CN358</f>
        <v>30000</v>
      </c>
      <c r="O358" s="977">
        <f>'Corrected and Updated TSF 3'!CO358</f>
        <v>627347.33085713815</v>
      </c>
      <c r="P358" s="976">
        <f>'Corrected and Updated TSF 3'!CP358</f>
        <v>32</v>
      </c>
      <c r="Q358" s="977">
        <f>'Corrected and Updated TSF 3'!CQ358</f>
        <v>19604.604089285567</v>
      </c>
      <c r="R358" s="977">
        <f>'Corrected and Updated TSF 3'!CS358</f>
        <v>4601431.315999967</v>
      </c>
      <c r="S358" s="977">
        <f>'Corrected and Updated TSF 3'!CT358</f>
        <v>35674.84801618132</v>
      </c>
      <c r="T358" s="636">
        <f>'Corrected and Updated TSF 3'!CU358</f>
        <v>41358.965532064583</v>
      </c>
      <c r="U358" s="636">
        <f>'Corrected and Updated TSF 3'!CV358</f>
        <v>53426.519232970808</v>
      </c>
      <c r="V358" s="636">
        <f>'Corrected and Updated TSF 3'!CW358</f>
        <v>91113.855057897192</v>
      </c>
      <c r="W358" s="1102">
        <f>'Corrected and Updated TSF 3'!CX358</f>
        <v>373788.89151384996</v>
      </c>
      <c r="X358" s="1102">
        <f>'Corrected and Updated TSF 3'!CY358</f>
        <v>147906.44354180046</v>
      </c>
      <c r="Y358" s="1102">
        <f>'Corrected and Updated TSF 3'!CZ358</f>
        <v>106830.72934249975</v>
      </c>
      <c r="Z358" s="1102">
        <f>'Corrected and Updated TSF 3'!DA358</f>
        <v>81303.103262405057</v>
      </c>
      <c r="AA358" s="821">
        <f>L358-'Corrected and Updated TSF 3'!CL358</f>
        <v>0</v>
      </c>
      <c r="AB358" s="678">
        <f>N358-'Corrected and Updated TSF 3'!CN358</f>
        <v>0</v>
      </c>
      <c r="AC358" s="678">
        <f>Q358-'Corrected and Updated TSF 3'!CQ358</f>
        <v>0</v>
      </c>
      <c r="AD358" s="497"/>
      <c r="AE358" s="497"/>
      <c r="AF358" s="497"/>
      <c r="AG358" s="497"/>
      <c r="AH358" s="677"/>
      <c r="AI358" s="677"/>
      <c r="AJ358" s="677"/>
      <c r="AK358" s="677"/>
    </row>
    <row r="359" spans="1:37" s="521" customFormat="1" ht="12.75" hidden="1" customHeight="1">
      <c r="A359" s="631" t="str">
        <f t="shared" si="5"/>
        <v>W-15L</v>
      </c>
      <c r="B359" s="632" t="str">
        <f>'Corrected and Updated TSF 3'!EP359</f>
        <v>SOLD</v>
      </c>
      <c r="C359" s="973" t="str">
        <f>'Corrected and Updated TSF 3'!E359</f>
        <v>15th Floor</v>
      </c>
      <c r="D359" s="974">
        <f>'INTERNAL PRICELIST'!D359</f>
        <v>0</v>
      </c>
      <c r="E359" s="975" t="str">
        <f>'Corrected and Updated TSF 3'!G359</f>
        <v>W-15L</v>
      </c>
      <c r="F359" s="976" t="str">
        <f>'Corrected and Updated TSF 3'!I359</f>
        <v>Studio</v>
      </c>
      <c r="G359" s="977">
        <f>'Corrected and Updated TSF 3'!J359</f>
        <v>22</v>
      </c>
      <c r="H359" s="977">
        <f>'Corrected and Updated TSF 3'!CG359</f>
        <v>4277078.5145147135</v>
      </c>
      <c r="I359" s="977">
        <f>SUM('Corrected and Updated TSF 3'!CI359:CJ359)</f>
        <v>545327.510600626</v>
      </c>
      <c r="J359" s="977">
        <f>'Corrected and Updated TSF 3'!CH359</f>
        <v>436372.62174176559</v>
      </c>
      <c r="K359" s="977">
        <f>'Corrected and Updated TSF 3'!CK359</f>
        <v>5258778.6468571052</v>
      </c>
      <c r="L359" s="978">
        <f>'Corrected and Updated TSF 3'!CL359</f>
        <v>0.125</v>
      </c>
      <c r="M359" s="977">
        <f>'Corrected and Updated TSF 3'!CM359</f>
        <v>657347.33085713815</v>
      </c>
      <c r="N359" s="977">
        <f>'Corrected and Updated TSF 3'!CN359</f>
        <v>30000</v>
      </c>
      <c r="O359" s="977">
        <f>'Corrected and Updated TSF 3'!CO359</f>
        <v>627347.33085713815</v>
      </c>
      <c r="P359" s="976">
        <f>'Corrected and Updated TSF 3'!CP359</f>
        <v>32</v>
      </c>
      <c r="Q359" s="977">
        <f>'Corrected and Updated TSF 3'!CQ359</f>
        <v>19604.604089285567</v>
      </c>
      <c r="R359" s="977">
        <f>'Corrected and Updated TSF 3'!CS359</f>
        <v>4601431.315999967</v>
      </c>
      <c r="S359" s="977">
        <f>'Corrected and Updated TSF 3'!CT359</f>
        <v>35674.84801618132</v>
      </c>
      <c r="T359" s="636">
        <f>'Corrected and Updated TSF 3'!CU359</f>
        <v>41358.965532064583</v>
      </c>
      <c r="U359" s="636">
        <f>'Corrected and Updated TSF 3'!CV359</f>
        <v>53426.519232970808</v>
      </c>
      <c r="V359" s="636">
        <f>'Corrected and Updated TSF 3'!CW359</f>
        <v>91113.855057897192</v>
      </c>
      <c r="W359" s="1102">
        <f>'Corrected and Updated TSF 3'!CX359</f>
        <v>373788.89151384996</v>
      </c>
      <c r="X359" s="1102">
        <f>'Corrected and Updated TSF 3'!CY359</f>
        <v>147906.44354180046</v>
      </c>
      <c r="Y359" s="1102">
        <f>'Corrected and Updated TSF 3'!CZ359</f>
        <v>106830.72934249975</v>
      </c>
      <c r="Z359" s="1102">
        <f>'Corrected and Updated TSF 3'!DA359</f>
        <v>81303.103262405057</v>
      </c>
      <c r="AA359" s="821">
        <f>L359-'Corrected and Updated TSF 3'!CL359</f>
        <v>0</v>
      </c>
      <c r="AB359" s="678">
        <f>N359-'Corrected and Updated TSF 3'!CN359</f>
        <v>0</v>
      </c>
      <c r="AC359" s="678">
        <f>Q359-'Corrected and Updated TSF 3'!CQ359</f>
        <v>0</v>
      </c>
      <c r="AD359" s="497"/>
      <c r="AE359" s="497"/>
      <c r="AF359" s="497"/>
      <c r="AG359" s="497"/>
      <c r="AH359" s="677"/>
      <c r="AI359" s="677"/>
      <c r="AJ359" s="677"/>
      <c r="AK359" s="677"/>
    </row>
    <row r="360" spans="1:37" s="521" customFormat="1" ht="12.75" hidden="1" customHeight="1">
      <c r="A360" s="631" t="str">
        <f t="shared" si="5"/>
        <v>W-15M</v>
      </c>
      <c r="B360" s="632" t="str">
        <f>'Corrected and Updated TSF 3'!EP360</f>
        <v>SOLD</v>
      </c>
      <c r="C360" s="973" t="str">
        <f>'Corrected and Updated TSF 3'!E360</f>
        <v>15th Floor</v>
      </c>
      <c r="D360" s="974">
        <f>'INTERNAL PRICELIST'!D360</f>
        <v>0</v>
      </c>
      <c r="E360" s="975" t="str">
        <f>'Corrected and Updated TSF 3'!G360</f>
        <v>W-15M</v>
      </c>
      <c r="F360" s="976" t="str">
        <f>'Corrected and Updated TSF 3'!I360</f>
        <v>Studio</v>
      </c>
      <c r="G360" s="977">
        <f>'Corrected and Updated TSF 3'!J360</f>
        <v>22</v>
      </c>
      <c r="H360" s="977">
        <f>'Corrected and Updated TSF 3'!CG360</f>
        <v>4400912.2417160943</v>
      </c>
      <c r="I360" s="977">
        <f>SUM('Corrected and Updated TSF 3'!CI360:CJ360)</f>
        <v>561116.31081880198</v>
      </c>
      <c r="J360" s="977">
        <f>'Corrected and Updated TSF 3'!CH360</f>
        <v>436448.6690059313</v>
      </c>
      <c r="K360" s="977">
        <f>'Corrected and Updated TSF 3'!CK360</f>
        <v>5398477.2215408273</v>
      </c>
      <c r="L360" s="978">
        <f>'Corrected and Updated TSF 3'!CL360</f>
        <v>0.125</v>
      </c>
      <c r="M360" s="977">
        <f>'Corrected and Updated TSF 3'!CM360</f>
        <v>674809.65269260341</v>
      </c>
      <c r="N360" s="977">
        <f>'Corrected and Updated TSF 3'!CN360</f>
        <v>30000</v>
      </c>
      <c r="O360" s="977">
        <f>'Corrected and Updated TSF 3'!CO360</f>
        <v>644809.65269260341</v>
      </c>
      <c r="P360" s="976">
        <f>'Corrected and Updated TSF 3'!CP360</f>
        <v>32</v>
      </c>
      <c r="Q360" s="977">
        <f>'Corrected and Updated TSF 3'!CQ360</f>
        <v>20150.301646643857</v>
      </c>
      <c r="R360" s="977">
        <f>'Corrected and Updated TSF 3'!CS360</f>
        <v>4723667.5688482244</v>
      </c>
      <c r="S360" s="977">
        <f>'Corrected and Updated TSF 3'!CT360</f>
        <v>36622.544383454253</v>
      </c>
      <c r="T360" s="636">
        <f>'Corrected and Updated TSF 3'!CU360</f>
        <v>42457.659529895369</v>
      </c>
      <c r="U360" s="636">
        <f>'Corrected and Updated TSF 3'!CV360</f>
        <v>54845.785775330252</v>
      </c>
      <c r="V360" s="636">
        <f>'Corrected and Updated TSF 3'!CW360</f>
        <v>93534.279369373893</v>
      </c>
      <c r="W360" s="1102">
        <f>'Corrected and Updated TSF 3'!CX360</f>
        <v>383718.53086238977</v>
      </c>
      <c r="X360" s="1102">
        <f>'Corrected and Updated TSF 3'!CY360</f>
        <v>151835.55346196733</v>
      </c>
      <c r="Y360" s="1102">
        <f>'Corrected and Updated TSF 3'!CZ360</f>
        <v>109668.66978908786</v>
      </c>
      <c r="Z360" s="1102">
        <f>'Corrected and Updated TSF 3'!DA360</f>
        <v>83462.90659428887</v>
      </c>
      <c r="AA360" s="821">
        <f>L360-'Corrected and Updated TSF 3'!CL360</f>
        <v>0</v>
      </c>
      <c r="AB360" s="678">
        <f>N360-'Corrected and Updated TSF 3'!CN360</f>
        <v>0</v>
      </c>
      <c r="AC360" s="678">
        <f>Q360-'Corrected and Updated TSF 3'!CQ360</f>
        <v>0</v>
      </c>
      <c r="AD360" s="497"/>
      <c r="AE360" s="497"/>
      <c r="AF360" s="497"/>
      <c r="AG360" s="497"/>
      <c r="AH360" s="677"/>
      <c r="AI360" s="677"/>
      <c r="AJ360" s="677"/>
      <c r="AK360" s="677"/>
    </row>
    <row r="361" spans="1:37" s="521" customFormat="1" ht="12.75" customHeight="1">
      <c r="A361" s="631" t="str">
        <f t="shared" si="5"/>
        <v>W-15N</v>
      </c>
      <c r="B361" s="632" t="str">
        <f>'Corrected and Updated TSF 3'!EP361</f>
        <v>UNSOLD</v>
      </c>
      <c r="C361" s="973" t="str">
        <f>'Corrected and Updated TSF 3'!E361</f>
        <v>15th Floor</v>
      </c>
      <c r="D361" s="974">
        <f>'INTERNAL PRICELIST'!D361</f>
        <v>0</v>
      </c>
      <c r="E361" s="1134" t="str">
        <f>'Corrected and Updated TSF 3'!G361</f>
        <v>W-15N</v>
      </c>
      <c r="F361" s="976" t="str">
        <f>'Corrected and Updated TSF 3'!I361</f>
        <v>Studio</v>
      </c>
      <c r="G361" s="977">
        <f>'Corrected and Updated TSF 3'!J361</f>
        <v>22</v>
      </c>
      <c r="H361" s="977">
        <f>'Corrected and Updated TSF 3'!CG361</f>
        <v>4533869.8349886993</v>
      </c>
      <c r="I361" s="977">
        <f>SUM('Corrected and Updated TSF 3'!CI361:CJ361)</f>
        <v>578068.40396105917</v>
      </c>
      <c r="J361" s="977">
        <f>'Corrected and Updated TSF 3'!CH361</f>
        <v>0</v>
      </c>
      <c r="K361" s="977">
        <f>'Corrected and Updated TSF 3'!CK361</f>
        <v>5111938.2389497589</v>
      </c>
      <c r="L361" s="978">
        <f>'Corrected and Updated TSF 3'!CL361</f>
        <v>0.125</v>
      </c>
      <c r="M361" s="977">
        <f>'Corrected and Updated TSF 3'!CM361</f>
        <v>638992.27986871987</v>
      </c>
      <c r="N361" s="977">
        <f>'Corrected and Updated TSF 3'!CN361</f>
        <v>30000</v>
      </c>
      <c r="O361" s="977">
        <f>'Corrected and Updated TSF 3'!CO361</f>
        <v>608992.27986871987</v>
      </c>
      <c r="P361" s="976">
        <f>'Corrected and Updated TSF 3'!CP361</f>
        <v>32</v>
      </c>
      <c r="Q361" s="977">
        <f>'Corrected and Updated TSF 3'!CQ361</f>
        <v>19031.008745897496</v>
      </c>
      <c r="R361" s="977">
        <f>'Corrected and Updated TSF 3'!CS361</f>
        <v>4472945.9590810388</v>
      </c>
      <c r="S361" s="977">
        <f>'Corrected and Updated TSF 3'!CT361</f>
        <v>34678.702411562757</v>
      </c>
      <c r="T361" s="636">
        <f>'Corrected and Updated TSF 3'!CU361</f>
        <v>40204.102820171611</v>
      </c>
      <c r="U361" s="636">
        <f>'Corrected and Updated TSF 3'!CV361</f>
        <v>51934.695293598925</v>
      </c>
      <c r="V361" s="636">
        <f>'Corrected and Updated TSF 3'!CW361</f>
        <v>88569.690996017816</v>
      </c>
      <c r="W361" s="1102">
        <f>'Corrected and Updated TSF 3'!CX361</f>
        <v>363351.61757878301</v>
      </c>
      <c r="X361" s="1102">
        <f>'Corrected and Updated TSF 3'!CY361</f>
        <v>143776.46508857486</v>
      </c>
      <c r="Y361" s="1102">
        <f>'Corrected and Updated TSF 3'!CZ361</f>
        <v>103847.70439942341</v>
      </c>
      <c r="Z361" s="1102">
        <f>'Corrected and Updated TSF 3'!DA361</f>
        <v>79032.883949348456</v>
      </c>
      <c r="AA361" s="821">
        <f>L361-'Corrected and Updated TSF 3'!CL361</f>
        <v>0</v>
      </c>
      <c r="AB361" s="678">
        <f>N361-'Corrected and Updated TSF 3'!CN361</f>
        <v>0</v>
      </c>
      <c r="AC361" s="678">
        <f>Q361-'Corrected and Updated TSF 3'!CQ361</f>
        <v>0</v>
      </c>
      <c r="AD361" s="497"/>
      <c r="AE361" s="497"/>
      <c r="AF361" s="497"/>
      <c r="AG361" s="497"/>
      <c r="AH361" s="677"/>
      <c r="AI361" s="677"/>
      <c r="AJ361" s="677"/>
      <c r="AK361" s="677"/>
    </row>
    <row r="362" spans="1:37" s="521" customFormat="1" ht="12.75" customHeight="1">
      <c r="A362" s="631" t="str">
        <f t="shared" si="5"/>
        <v>W-15O</v>
      </c>
      <c r="B362" s="632" t="str">
        <f>'Corrected and Updated TSF 3'!EP362</f>
        <v>UNSOLD</v>
      </c>
      <c r="C362" s="973" t="str">
        <f>'Corrected and Updated TSF 3'!E362</f>
        <v>15th Floor</v>
      </c>
      <c r="D362" s="974">
        <f>'INTERNAL PRICELIST'!D362</f>
        <v>0</v>
      </c>
      <c r="E362" s="975" t="str">
        <f>'Corrected and Updated TSF 3'!G362</f>
        <v>W-15O</v>
      </c>
      <c r="F362" s="976" t="str">
        <f>'Corrected and Updated TSF 3'!I362</f>
        <v>Studio</v>
      </c>
      <c r="G362" s="977">
        <f>'Corrected and Updated TSF 3'!J362</f>
        <v>22</v>
      </c>
      <c r="H362" s="977">
        <f>'Corrected and Updated TSF 3'!CG362</f>
        <v>4410031.5631102305</v>
      </c>
      <c r="I362" s="977">
        <f>SUM('Corrected and Updated TSF 3'!CI362:CJ362)</f>
        <v>562279.02429655439</v>
      </c>
      <c r="J362" s="977">
        <f>'Corrected and Updated TSF 3'!CH362</f>
        <v>0</v>
      </c>
      <c r="K362" s="977">
        <f>'Corrected and Updated TSF 3'!CK362</f>
        <v>4972310.5874067852</v>
      </c>
      <c r="L362" s="978">
        <f>'Corrected and Updated TSF 3'!CL362</f>
        <v>0.125</v>
      </c>
      <c r="M362" s="977">
        <f>'Corrected and Updated TSF 3'!CM362</f>
        <v>621538.82342584815</v>
      </c>
      <c r="N362" s="977">
        <f>'Corrected and Updated TSF 3'!CN362</f>
        <v>30000</v>
      </c>
      <c r="O362" s="977">
        <f>'Corrected and Updated TSF 3'!CO362</f>
        <v>591538.82342584815</v>
      </c>
      <c r="P362" s="976">
        <f>'Corrected and Updated TSF 3'!CP362</f>
        <v>32</v>
      </c>
      <c r="Q362" s="977">
        <f>'Corrected and Updated TSF 3'!CQ362</f>
        <v>18485.588232057755</v>
      </c>
      <c r="R362" s="977">
        <f>'Corrected and Updated TSF 3'!CS362</f>
        <v>4350771.7639809372</v>
      </c>
      <c r="S362" s="977">
        <f>'Corrected and Updated TSF 3'!CT362</f>
        <v>33731.48717735074</v>
      </c>
      <c r="T362" s="636">
        <f>'Corrected and Updated TSF 3'!CU362</f>
        <v>39105.966614925499</v>
      </c>
      <c r="U362" s="636">
        <f>'Corrected and Updated TSF 3'!CV362</f>
        <v>50516.149294315692</v>
      </c>
      <c r="V362" s="636">
        <f>'Corrected and Updated TSF 3'!CW362</f>
        <v>86150.495502333302</v>
      </c>
      <c r="W362" s="1102">
        <f>'Corrected and Updated TSF 3'!CX362</f>
        <v>353427.01937837724</v>
      </c>
      <c r="X362" s="1102">
        <f>'Corrected and Updated TSF 3'!CY362</f>
        <v>139849.34992616778</v>
      </c>
      <c r="Y362" s="1102">
        <f>'Corrected and Updated TSF 3'!CZ362</f>
        <v>101011.20473811305</v>
      </c>
      <c r="Z362" s="1102">
        <f>'Corrected and Updated TSF 3'!DA362</f>
        <v>76874.177121391345</v>
      </c>
      <c r="AA362" s="821">
        <f>L362-'Corrected and Updated TSF 3'!CL362</f>
        <v>0</v>
      </c>
      <c r="AB362" s="678">
        <f>N362-'Corrected and Updated TSF 3'!CN362</f>
        <v>0</v>
      </c>
      <c r="AC362" s="678">
        <f>Q362-'Corrected and Updated TSF 3'!CQ362</f>
        <v>0</v>
      </c>
      <c r="AD362" s="497"/>
      <c r="AE362" s="497"/>
      <c r="AF362" s="497"/>
      <c r="AG362" s="497"/>
      <c r="AH362" s="677"/>
      <c r="AI362" s="677"/>
      <c r="AJ362" s="677"/>
      <c r="AK362" s="677"/>
    </row>
    <row r="363" spans="1:37" s="521" customFormat="1" ht="12.75" hidden="1" customHeight="1">
      <c r="A363" s="631" t="str">
        <f t="shared" si="5"/>
        <v>W-15P</v>
      </c>
      <c r="B363" s="632" t="str">
        <f>'Corrected and Updated TSF 3'!EP363</f>
        <v>SOLD</v>
      </c>
      <c r="C363" s="973" t="str">
        <f>'Corrected and Updated TSF 3'!E363</f>
        <v>15th Floor</v>
      </c>
      <c r="D363" s="974">
        <f>'INTERNAL PRICELIST'!D363</f>
        <v>0</v>
      </c>
      <c r="E363" s="975" t="str">
        <f>'Corrected and Updated TSF 3'!G363</f>
        <v>W-15P</v>
      </c>
      <c r="F363" s="976" t="str">
        <f>'Corrected and Updated TSF 3'!I363</f>
        <v>Studio</v>
      </c>
      <c r="G363" s="977">
        <f>'Corrected and Updated TSF 3'!J363</f>
        <v>22</v>
      </c>
      <c r="H363" s="977">
        <f>'Corrected and Updated TSF 3'!CG363</f>
        <v>4371632.4979814207</v>
      </c>
      <c r="I363" s="977">
        <f>SUM('Corrected and Updated TSF 3'!CI363:CJ363)</f>
        <v>557383.14349263115</v>
      </c>
      <c r="J363" s="977">
        <f>'Corrected and Updated TSF 3'!CH363</f>
        <v>435891.89975777047</v>
      </c>
      <c r="K363" s="977">
        <f>'Corrected and Updated TSF 3'!CK363</f>
        <v>5364907.5412318222</v>
      </c>
      <c r="L363" s="978">
        <f>'Corrected and Updated TSF 3'!CL363</f>
        <v>0.125</v>
      </c>
      <c r="M363" s="977">
        <f>'Corrected and Updated TSF 3'!CM363</f>
        <v>670613.44265397778</v>
      </c>
      <c r="N363" s="977">
        <f>'Corrected and Updated TSF 3'!CN363</f>
        <v>30000</v>
      </c>
      <c r="O363" s="977">
        <f>'Corrected and Updated TSF 3'!CO363</f>
        <v>640613.44265397778</v>
      </c>
      <c r="P363" s="976">
        <f>'Corrected and Updated TSF 3'!CP363</f>
        <v>32</v>
      </c>
      <c r="Q363" s="977">
        <f>'Corrected and Updated TSF 3'!CQ363</f>
        <v>20019.170082936806</v>
      </c>
      <c r="R363" s="977">
        <f>'Corrected and Updated TSF 3'!CS363</f>
        <v>4694294.098577844</v>
      </c>
      <c r="S363" s="977">
        <f>'Corrected and Updated TSF 3'!CT363</f>
        <v>36394.812181093665</v>
      </c>
      <c r="T363" s="636">
        <f>'Corrected and Updated TSF 3'!CU363</f>
        <v>42193.64247497476</v>
      </c>
      <c r="U363" s="636">
        <f>'Corrected and Updated TSF 3'!CV363</f>
        <v>54504.734879083517</v>
      </c>
      <c r="V363" s="636">
        <f>'Corrected and Updated TSF 3'!CW363</f>
        <v>92952.649452731042</v>
      </c>
      <c r="W363" s="1102">
        <f>'Corrected and Updated TSF 3'!CX363</f>
        <v>381332.43050833198</v>
      </c>
      <c r="X363" s="1102">
        <f>'Corrected and Updated TSF 3'!CY363</f>
        <v>150891.38517522882</v>
      </c>
      <c r="Y363" s="1102">
        <f>'Corrected and Updated TSF 3'!CZ363</f>
        <v>108986.71040801582</v>
      </c>
      <c r="Z363" s="1102">
        <f>'Corrected and Updated TSF 3'!DA363</f>
        <v>82943.90410950467</v>
      </c>
      <c r="AA363" s="821">
        <f>L363-'Corrected and Updated TSF 3'!CL363</f>
        <v>0</v>
      </c>
      <c r="AB363" s="678">
        <f>N363-'Corrected and Updated TSF 3'!CN363</f>
        <v>0</v>
      </c>
      <c r="AC363" s="678">
        <f>Q363-'Corrected and Updated TSF 3'!CQ363</f>
        <v>0</v>
      </c>
      <c r="AD363" s="497"/>
      <c r="AE363" s="497"/>
      <c r="AF363" s="497"/>
      <c r="AG363" s="497"/>
      <c r="AH363" s="677"/>
      <c r="AI363" s="677"/>
      <c r="AJ363" s="677"/>
      <c r="AK363" s="677"/>
    </row>
    <row r="364" spans="1:37" s="521" customFormat="1" ht="12.75" hidden="1" customHeight="1">
      <c r="A364" s="631" t="str">
        <f t="shared" si="5"/>
        <v>E-15A</v>
      </c>
      <c r="B364" s="632" t="str">
        <f>'Corrected and Updated TSF 3'!EP364</f>
        <v>SOLD</v>
      </c>
      <c r="C364" s="973" t="str">
        <f>'Corrected and Updated TSF 3'!E364</f>
        <v>15th Floor</v>
      </c>
      <c r="D364" s="974">
        <f>'INTERNAL PRICELIST'!D364</f>
        <v>0</v>
      </c>
      <c r="E364" s="975" t="str">
        <f>'Corrected and Updated TSF 3'!G364</f>
        <v>E-15A</v>
      </c>
      <c r="F364" s="976" t="str">
        <f>'Corrected and Updated TSF 3'!I364</f>
        <v>Studio</v>
      </c>
      <c r="G364" s="977">
        <f>'Corrected and Updated TSF 3'!J364</f>
        <v>22</v>
      </c>
      <c r="H364" s="977">
        <f>'Corrected and Updated TSF 3'!CG364</f>
        <v>4277078.5145147135</v>
      </c>
      <c r="I364" s="977">
        <f>SUM('Corrected and Updated TSF 3'!CI364:CJ364)</f>
        <v>545327.510600626</v>
      </c>
      <c r="J364" s="977">
        <f>'Corrected and Updated TSF 3'!CH364</f>
        <v>436372.62174176559</v>
      </c>
      <c r="K364" s="977">
        <f>'Corrected and Updated TSF 3'!CK364</f>
        <v>5258778.6468571052</v>
      </c>
      <c r="L364" s="978">
        <f>'Corrected and Updated TSF 3'!CL364</f>
        <v>0.125</v>
      </c>
      <c r="M364" s="977">
        <f>'Corrected and Updated TSF 3'!CM364</f>
        <v>657347.33085713815</v>
      </c>
      <c r="N364" s="977">
        <f>'Corrected and Updated TSF 3'!CN364</f>
        <v>30000</v>
      </c>
      <c r="O364" s="977">
        <f>'Corrected and Updated TSF 3'!CO364</f>
        <v>627347.33085713815</v>
      </c>
      <c r="P364" s="976">
        <f>'Corrected and Updated TSF 3'!CP364</f>
        <v>32</v>
      </c>
      <c r="Q364" s="977">
        <f>'Corrected and Updated TSF 3'!CQ364</f>
        <v>19604.604089285567</v>
      </c>
      <c r="R364" s="977">
        <f>'Corrected and Updated TSF 3'!CS364</f>
        <v>4601431.315999967</v>
      </c>
      <c r="S364" s="977">
        <f>'Corrected and Updated TSF 3'!CT364</f>
        <v>35674.84801618132</v>
      </c>
      <c r="T364" s="636">
        <f>'Corrected and Updated TSF 3'!CU364</f>
        <v>41358.965532064583</v>
      </c>
      <c r="U364" s="636">
        <f>'Corrected and Updated TSF 3'!CV364</f>
        <v>53426.519232970808</v>
      </c>
      <c r="V364" s="636">
        <f>'Corrected and Updated TSF 3'!CW364</f>
        <v>91113.855057897192</v>
      </c>
      <c r="W364" s="1102">
        <f>'Corrected and Updated TSF 3'!CX364</f>
        <v>373788.89151384996</v>
      </c>
      <c r="X364" s="1102">
        <f>'Corrected and Updated TSF 3'!CY364</f>
        <v>147906.44354180046</v>
      </c>
      <c r="Y364" s="1102">
        <f>'Corrected and Updated TSF 3'!CZ364</f>
        <v>106830.72934249975</v>
      </c>
      <c r="Z364" s="1102">
        <f>'Corrected and Updated TSF 3'!DA364</f>
        <v>81303.103262405057</v>
      </c>
      <c r="AA364" s="821">
        <f>L364-'Corrected and Updated TSF 3'!CL364</f>
        <v>0</v>
      </c>
      <c r="AB364" s="678">
        <f>N364-'Corrected and Updated TSF 3'!CN364</f>
        <v>0</v>
      </c>
      <c r="AC364" s="678">
        <f>Q364-'Corrected and Updated TSF 3'!CQ364</f>
        <v>0</v>
      </c>
      <c r="AD364" s="497"/>
      <c r="AE364" s="497"/>
      <c r="AF364" s="497"/>
      <c r="AG364" s="497"/>
      <c r="AH364" s="677"/>
      <c r="AI364" s="677"/>
      <c r="AJ364" s="677"/>
      <c r="AK364" s="677"/>
    </row>
    <row r="365" spans="1:37" s="521" customFormat="1" ht="12.75" hidden="1" customHeight="1">
      <c r="A365" s="631" t="str">
        <f t="shared" si="5"/>
        <v>E-15B</v>
      </c>
      <c r="B365" s="632" t="str">
        <f>'Corrected and Updated TSF 3'!EP365</f>
        <v>SOLD</v>
      </c>
      <c r="C365" s="973" t="str">
        <f>'Corrected and Updated TSF 3'!E365</f>
        <v>15th Floor</v>
      </c>
      <c r="D365" s="974">
        <f>'INTERNAL PRICELIST'!D365</f>
        <v>0</v>
      </c>
      <c r="E365" s="975" t="str">
        <f>'Corrected and Updated TSF 3'!G365</f>
        <v>E-15B</v>
      </c>
      <c r="F365" s="976" t="str">
        <f>'Corrected and Updated TSF 3'!I365</f>
        <v>Studio</v>
      </c>
      <c r="G365" s="977">
        <f>'Corrected and Updated TSF 3'!J365</f>
        <v>22</v>
      </c>
      <c r="H365" s="977">
        <f>'Corrected and Updated TSF 3'!CG365</f>
        <v>4277078.5145147135</v>
      </c>
      <c r="I365" s="977">
        <f>SUM('Corrected and Updated TSF 3'!CI365:CJ365)</f>
        <v>545327.510600626</v>
      </c>
      <c r="J365" s="977">
        <f>'Corrected and Updated TSF 3'!CH365</f>
        <v>436372.62174176559</v>
      </c>
      <c r="K365" s="977">
        <f>'Corrected and Updated TSF 3'!CK365</f>
        <v>5258778.6468571052</v>
      </c>
      <c r="L365" s="978">
        <f>'Corrected and Updated TSF 3'!CL365</f>
        <v>0.125</v>
      </c>
      <c r="M365" s="977">
        <f>'Corrected and Updated TSF 3'!CM365</f>
        <v>657347.33085713815</v>
      </c>
      <c r="N365" s="977">
        <f>'Corrected and Updated TSF 3'!CN365</f>
        <v>30000</v>
      </c>
      <c r="O365" s="977">
        <f>'Corrected and Updated TSF 3'!CO365</f>
        <v>627347.33085713815</v>
      </c>
      <c r="P365" s="976">
        <f>'Corrected and Updated TSF 3'!CP365</f>
        <v>32</v>
      </c>
      <c r="Q365" s="977">
        <f>'Corrected and Updated TSF 3'!CQ365</f>
        <v>19604.604089285567</v>
      </c>
      <c r="R365" s="977">
        <f>'Corrected and Updated TSF 3'!CS365</f>
        <v>4601431.315999967</v>
      </c>
      <c r="S365" s="977">
        <f>'Corrected and Updated TSF 3'!CT365</f>
        <v>35674.84801618132</v>
      </c>
      <c r="T365" s="636">
        <f>'Corrected and Updated TSF 3'!CU365</f>
        <v>41358.965532064583</v>
      </c>
      <c r="U365" s="636">
        <f>'Corrected and Updated TSF 3'!CV365</f>
        <v>53426.519232970808</v>
      </c>
      <c r="V365" s="636">
        <f>'Corrected and Updated TSF 3'!CW365</f>
        <v>91113.855057897192</v>
      </c>
      <c r="W365" s="1102">
        <f>'Corrected and Updated TSF 3'!CX365</f>
        <v>373788.89151384996</v>
      </c>
      <c r="X365" s="1102">
        <f>'Corrected and Updated TSF 3'!CY365</f>
        <v>147906.44354180046</v>
      </c>
      <c r="Y365" s="1102">
        <f>'Corrected and Updated TSF 3'!CZ365</f>
        <v>106830.72934249975</v>
      </c>
      <c r="Z365" s="1102">
        <f>'Corrected and Updated TSF 3'!DA365</f>
        <v>81303.103262405057</v>
      </c>
      <c r="AA365" s="821">
        <f>L365-'Corrected and Updated TSF 3'!CL365</f>
        <v>0</v>
      </c>
      <c r="AB365" s="678">
        <f>N365-'Corrected and Updated TSF 3'!CN365</f>
        <v>0</v>
      </c>
      <c r="AC365" s="678">
        <f>Q365-'Corrected and Updated TSF 3'!CQ365</f>
        <v>0</v>
      </c>
      <c r="AD365" s="497"/>
      <c r="AE365" s="497"/>
      <c r="AF365" s="497"/>
      <c r="AG365" s="497"/>
      <c r="AH365" s="677"/>
      <c r="AI365" s="677"/>
      <c r="AJ365" s="677"/>
      <c r="AK365" s="677"/>
    </row>
    <row r="366" spans="1:37" s="521" customFormat="1" ht="12.75" hidden="1" customHeight="1">
      <c r="A366" s="631" t="str">
        <f t="shared" si="5"/>
        <v>E-15C</v>
      </c>
      <c r="B366" s="632" t="str">
        <f>'Corrected and Updated TSF 3'!EP366</f>
        <v>SOLD</v>
      </c>
      <c r="C366" s="973" t="str">
        <f>'Corrected and Updated TSF 3'!E366</f>
        <v>15th Floor</v>
      </c>
      <c r="D366" s="974">
        <f>'INTERNAL PRICELIST'!D366</f>
        <v>0</v>
      </c>
      <c r="E366" s="975" t="str">
        <f>'Corrected and Updated TSF 3'!G366</f>
        <v>E-15C</v>
      </c>
      <c r="F366" s="976" t="str">
        <f>'Corrected and Updated TSF 3'!I366</f>
        <v>Studio</v>
      </c>
      <c r="G366" s="977">
        <f>'Corrected and Updated TSF 3'!J366</f>
        <v>22</v>
      </c>
      <c r="H366" s="977">
        <f>'Corrected and Updated TSF 3'!CG366</f>
        <v>4277078.5145147135</v>
      </c>
      <c r="I366" s="977">
        <f>SUM('Corrected and Updated TSF 3'!CI366:CJ366)</f>
        <v>545327.510600626</v>
      </c>
      <c r="J366" s="977">
        <f>'Corrected and Updated TSF 3'!CH366</f>
        <v>436372.62174176559</v>
      </c>
      <c r="K366" s="977">
        <f>'Corrected and Updated TSF 3'!CK366</f>
        <v>5258778.6468571052</v>
      </c>
      <c r="L366" s="978">
        <f>'Corrected and Updated TSF 3'!CL366</f>
        <v>0.125</v>
      </c>
      <c r="M366" s="977">
        <f>'Corrected and Updated TSF 3'!CM366</f>
        <v>657347.33085713815</v>
      </c>
      <c r="N366" s="977">
        <f>'Corrected and Updated TSF 3'!CN366</f>
        <v>30000</v>
      </c>
      <c r="O366" s="977">
        <f>'Corrected and Updated TSF 3'!CO366</f>
        <v>627347.33085713815</v>
      </c>
      <c r="P366" s="976">
        <f>'Corrected and Updated TSF 3'!CP366</f>
        <v>32</v>
      </c>
      <c r="Q366" s="977">
        <f>'Corrected and Updated TSF 3'!CQ366</f>
        <v>19604.604089285567</v>
      </c>
      <c r="R366" s="977">
        <f>'Corrected and Updated TSF 3'!CS366</f>
        <v>4601431.315999967</v>
      </c>
      <c r="S366" s="977">
        <f>'Corrected and Updated TSF 3'!CT366</f>
        <v>35674.84801618132</v>
      </c>
      <c r="T366" s="636">
        <f>'Corrected and Updated TSF 3'!CU366</f>
        <v>41358.965532064583</v>
      </c>
      <c r="U366" s="636">
        <f>'Corrected and Updated TSF 3'!CV366</f>
        <v>53426.519232970808</v>
      </c>
      <c r="V366" s="636">
        <f>'Corrected and Updated TSF 3'!CW366</f>
        <v>91113.855057897192</v>
      </c>
      <c r="W366" s="1102">
        <f>'Corrected and Updated TSF 3'!CX366</f>
        <v>373788.89151384996</v>
      </c>
      <c r="X366" s="1102">
        <f>'Corrected and Updated TSF 3'!CY366</f>
        <v>147906.44354180046</v>
      </c>
      <c r="Y366" s="1102">
        <f>'Corrected and Updated TSF 3'!CZ366</f>
        <v>106830.72934249975</v>
      </c>
      <c r="Z366" s="1102">
        <f>'Corrected and Updated TSF 3'!DA366</f>
        <v>81303.103262405057</v>
      </c>
      <c r="AA366" s="821">
        <f>L366-'Corrected and Updated TSF 3'!CL366</f>
        <v>0</v>
      </c>
      <c r="AB366" s="678">
        <f>N366-'Corrected and Updated TSF 3'!CN366</f>
        <v>0</v>
      </c>
      <c r="AC366" s="678">
        <f>Q366-'Corrected and Updated TSF 3'!CQ366</f>
        <v>0</v>
      </c>
      <c r="AD366" s="497"/>
      <c r="AE366" s="497"/>
      <c r="AF366" s="497"/>
      <c r="AG366" s="497"/>
      <c r="AH366" s="677"/>
      <c r="AI366" s="677"/>
      <c r="AJ366" s="677"/>
      <c r="AK366" s="677"/>
    </row>
    <row r="367" spans="1:37" s="521" customFormat="1" hidden="1">
      <c r="A367" s="631" t="str">
        <f t="shared" si="5"/>
        <v>E-15D</v>
      </c>
      <c r="B367" s="632" t="str">
        <f>'Corrected and Updated TSF 3'!EP367</f>
        <v>SOLD</v>
      </c>
      <c r="C367" s="973" t="str">
        <f>'Corrected and Updated TSF 3'!E367</f>
        <v>15th Floor</v>
      </c>
      <c r="D367" s="974">
        <f>'INTERNAL PRICELIST'!D367</f>
        <v>0</v>
      </c>
      <c r="E367" s="975" t="str">
        <f>'Corrected and Updated TSF 3'!G367</f>
        <v>E-15D</v>
      </c>
      <c r="F367" s="976" t="str">
        <f>'Corrected and Updated TSF 3'!I367</f>
        <v>Studio</v>
      </c>
      <c r="G367" s="977">
        <f>'Corrected and Updated TSF 3'!J367</f>
        <v>22</v>
      </c>
      <c r="H367" s="977">
        <f>'Corrected and Updated TSF 3'!CG367</f>
        <v>4277078.5145147135</v>
      </c>
      <c r="I367" s="977">
        <f>SUM('Corrected and Updated TSF 3'!CI367:CJ367)</f>
        <v>545327.510600626</v>
      </c>
      <c r="J367" s="977">
        <f>'Corrected and Updated TSF 3'!CH367</f>
        <v>436372.62174176559</v>
      </c>
      <c r="K367" s="977">
        <f>'Corrected and Updated TSF 3'!CK367</f>
        <v>5258778.6468571052</v>
      </c>
      <c r="L367" s="978">
        <f>'Corrected and Updated TSF 3'!CL367</f>
        <v>0.125</v>
      </c>
      <c r="M367" s="977">
        <f>'Corrected and Updated TSF 3'!CM367</f>
        <v>657347.33085713815</v>
      </c>
      <c r="N367" s="977">
        <f>'Corrected and Updated TSF 3'!CN367</f>
        <v>30000</v>
      </c>
      <c r="O367" s="977">
        <f>'Corrected and Updated TSF 3'!CO367</f>
        <v>627347.33085713815</v>
      </c>
      <c r="P367" s="976">
        <f>'Corrected and Updated TSF 3'!CP367</f>
        <v>32</v>
      </c>
      <c r="Q367" s="977">
        <f>'Corrected and Updated TSF 3'!CQ367</f>
        <v>19604.604089285567</v>
      </c>
      <c r="R367" s="977">
        <f>'Corrected and Updated TSF 3'!CS367</f>
        <v>4601431.315999967</v>
      </c>
      <c r="S367" s="977">
        <f>'Corrected and Updated TSF 3'!CT367</f>
        <v>35674.84801618132</v>
      </c>
      <c r="T367" s="636">
        <f>'Corrected and Updated TSF 3'!CU367</f>
        <v>41358.965532064583</v>
      </c>
      <c r="U367" s="636">
        <f>'Corrected and Updated TSF 3'!CV367</f>
        <v>53426.519232970808</v>
      </c>
      <c r="V367" s="636">
        <f>'Corrected and Updated TSF 3'!CW367</f>
        <v>91113.855057897192</v>
      </c>
      <c r="W367" s="1102">
        <f>'Corrected and Updated TSF 3'!CX367</f>
        <v>373788.89151384996</v>
      </c>
      <c r="X367" s="1102">
        <f>'Corrected and Updated TSF 3'!CY367</f>
        <v>147906.44354180046</v>
      </c>
      <c r="Y367" s="1102">
        <f>'Corrected and Updated TSF 3'!CZ367</f>
        <v>106830.72934249975</v>
      </c>
      <c r="Z367" s="1102">
        <f>'Corrected and Updated TSF 3'!DA367</f>
        <v>81303.103262405057</v>
      </c>
      <c r="AA367" s="821">
        <f>L367-'Corrected and Updated TSF 3'!CL367</f>
        <v>0</v>
      </c>
      <c r="AB367" s="678">
        <f>N367-'Corrected and Updated TSF 3'!CN367</f>
        <v>0</v>
      </c>
      <c r="AC367" s="678">
        <f>Q367-'Corrected and Updated TSF 3'!CQ367</f>
        <v>0</v>
      </c>
      <c r="AD367" s="497"/>
      <c r="AE367" s="497"/>
      <c r="AF367" s="497"/>
      <c r="AG367" s="497"/>
      <c r="AH367" s="677"/>
      <c r="AI367" s="677"/>
      <c r="AJ367" s="677"/>
      <c r="AK367" s="677"/>
    </row>
    <row r="368" spans="1:37" s="521" customFormat="1" ht="12.75" hidden="1" customHeight="1">
      <c r="A368" s="631" t="str">
        <f t="shared" si="5"/>
        <v>E-15E</v>
      </c>
      <c r="B368" s="632" t="str">
        <f>'Corrected and Updated TSF 3'!EP368</f>
        <v>SOLD</v>
      </c>
      <c r="C368" s="973" t="str">
        <f>'Corrected and Updated TSF 3'!E368</f>
        <v>15th Floor</v>
      </c>
      <c r="D368" s="974">
        <f>'INTERNAL PRICELIST'!D368</f>
        <v>0</v>
      </c>
      <c r="E368" s="975" t="str">
        <f>'Corrected and Updated TSF 3'!G368</f>
        <v>E-15E</v>
      </c>
      <c r="F368" s="976" t="str">
        <f>'Corrected and Updated TSF 3'!I368</f>
        <v>Studio</v>
      </c>
      <c r="G368" s="977">
        <f>'Corrected and Updated TSF 3'!J368</f>
        <v>22</v>
      </c>
      <c r="H368" s="977">
        <f>'Corrected and Updated TSF 3'!CG368</f>
        <v>4277078.5145147135</v>
      </c>
      <c r="I368" s="977">
        <f>SUM('Corrected and Updated TSF 3'!CI368:CJ368)</f>
        <v>545327.510600626</v>
      </c>
      <c r="J368" s="977">
        <f>'Corrected and Updated TSF 3'!CH368</f>
        <v>436372.62174176559</v>
      </c>
      <c r="K368" s="977">
        <f>'Corrected and Updated TSF 3'!CK368</f>
        <v>5258778.6468571052</v>
      </c>
      <c r="L368" s="978">
        <f>'Corrected and Updated TSF 3'!CL368</f>
        <v>0.125</v>
      </c>
      <c r="M368" s="977">
        <f>'Corrected and Updated TSF 3'!CM368</f>
        <v>657347.33085713815</v>
      </c>
      <c r="N368" s="977">
        <f>'Corrected and Updated TSF 3'!CN368</f>
        <v>30000</v>
      </c>
      <c r="O368" s="977">
        <f>'Corrected and Updated TSF 3'!CO368</f>
        <v>627347.33085713815</v>
      </c>
      <c r="P368" s="976">
        <f>'Corrected and Updated TSF 3'!CP368</f>
        <v>32</v>
      </c>
      <c r="Q368" s="977">
        <f>'Corrected and Updated TSF 3'!CQ368</f>
        <v>19604.604089285567</v>
      </c>
      <c r="R368" s="977">
        <f>'Corrected and Updated TSF 3'!CS368</f>
        <v>4601431.315999967</v>
      </c>
      <c r="S368" s="977">
        <f>'Corrected and Updated TSF 3'!CT368</f>
        <v>35674.84801618132</v>
      </c>
      <c r="T368" s="636">
        <f>'Corrected and Updated TSF 3'!CU368</f>
        <v>41358.965532064583</v>
      </c>
      <c r="U368" s="636">
        <f>'Corrected and Updated TSF 3'!CV368</f>
        <v>53426.519232970808</v>
      </c>
      <c r="V368" s="636">
        <f>'Corrected and Updated TSF 3'!CW368</f>
        <v>91113.855057897192</v>
      </c>
      <c r="W368" s="1102">
        <f>'Corrected and Updated TSF 3'!CX368</f>
        <v>373788.89151384996</v>
      </c>
      <c r="X368" s="1102">
        <f>'Corrected and Updated TSF 3'!CY368</f>
        <v>147906.44354180046</v>
      </c>
      <c r="Y368" s="1102">
        <f>'Corrected and Updated TSF 3'!CZ368</f>
        <v>106830.72934249975</v>
      </c>
      <c r="Z368" s="1102">
        <f>'Corrected and Updated TSF 3'!DA368</f>
        <v>81303.103262405057</v>
      </c>
      <c r="AA368" s="821">
        <f>L368-'Corrected and Updated TSF 3'!CL368</f>
        <v>0</v>
      </c>
      <c r="AB368" s="678">
        <f>N368-'Corrected and Updated TSF 3'!CN368</f>
        <v>0</v>
      </c>
      <c r="AC368" s="678">
        <f>Q368-'Corrected and Updated TSF 3'!CQ368</f>
        <v>0</v>
      </c>
      <c r="AD368" s="497"/>
      <c r="AE368" s="497"/>
      <c r="AF368" s="497"/>
      <c r="AG368" s="497"/>
      <c r="AH368" s="677"/>
      <c r="AI368" s="677"/>
      <c r="AJ368" s="677"/>
      <c r="AK368" s="677"/>
    </row>
    <row r="369" spans="1:45" s="521" customFormat="1">
      <c r="A369" s="631" t="str">
        <f t="shared" si="5"/>
        <v>E-15F</v>
      </c>
      <c r="B369" s="632" t="str">
        <f>'Corrected and Updated TSF 3'!EP369</f>
        <v>UNSOLD</v>
      </c>
      <c r="C369" s="973" t="str">
        <f>'Corrected and Updated TSF 3'!E369</f>
        <v>15th Floor</v>
      </c>
      <c r="D369" s="974">
        <f>'INTERNAL PRICELIST'!D369</f>
        <v>0</v>
      </c>
      <c r="E369" s="975" t="str">
        <f>'Corrected and Updated TSF 3'!G369</f>
        <v>E-15F</v>
      </c>
      <c r="F369" s="976" t="str">
        <f>'Corrected and Updated TSF 3'!I369</f>
        <v>Studio</v>
      </c>
      <c r="G369" s="977">
        <f>'Corrected and Updated TSF 3'!J369</f>
        <v>22</v>
      </c>
      <c r="H369" s="977">
        <f>'Corrected and Updated TSF 3'!CG369</f>
        <v>4356309.6510025384</v>
      </c>
      <c r="I369" s="977">
        <f>SUM('Corrected and Updated TSF 3'!CI369:CJ369)</f>
        <v>555429.4805028236</v>
      </c>
      <c r="J369" s="977">
        <f>'Corrected and Updated TSF 3'!CH369</f>
        <v>0</v>
      </c>
      <c r="K369" s="977">
        <f>'Corrected and Updated TSF 3'!CK369</f>
        <v>4911739.1315053627</v>
      </c>
      <c r="L369" s="978">
        <f>'Corrected and Updated TSF 3'!CL369</f>
        <v>0.125</v>
      </c>
      <c r="M369" s="977">
        <f>'Corrected and Updated TSF 3'!CM369</f>
        <v>613967.39143817034</v>
      </c>
      <c r="N369" s="977">
        <f>'Corrected and Updated TSF 3'!CN369</f>
        <v>30000</v>
      </c>
      <c r="O369" s="977">
        <f>'Corrected and Updated TSF 3'!CO369</f>
        <v>583967.39143817034</v>
      </c>
      <c r="P369" s="976">
        <f>'Corrected and Updated TSF 3'!CP369</f>
        <v>32</v>
      </c>
      <c r="Q369" s="977">
        <f>'Corrected and Updated TSF 3'!CQ369</f>
        <v>18248.980982442823</v>
      </c>
      <c r="R369" s="977">
        <f>'Corrected and Updated TSF 3'!CS369</f>
        <v>4297771.7400671924</v>
      </c>
      <c r="S369" s="977">
        <f>'Corrected and Updated TSF 3'!CT369</f>
        <v>33320.578556069726</v>
      </c>
      <c r="T369" s="636">
        <f>'Corrected and Updated TSF 3'!CU369</f>
        <v>38629.587416430208</v>
      </c>
      <c r="U369" s="636">
        <f>'Corrected and Updated TSF 3'!CV369</f>
        <v>49900.774076798138</v>
      </c>
      <c r="V369" s="636">
        <f>'Corrected and Updated TSF 3'!CW369</f>
        <v>85101.031506173968</v>
      </c>
      <c r="W369" s="1102">
        <f>'Corrected and Updated TSF 3'!CX369</f>
        <v>349121.65897453058</v>
      </c>
      <c r="X369" s="1102">
        <f>'Corrected and Updated TSF 3'!CY369</f>
        <v>138145.7397869803</v>
      </c>
      <c r="Y369" s="1102">
        <f>'Corrected and Updated TSF 3'!CZ369</f>
        <v>99780.711263139863</v>
      </c>
      <c r="Z369" s="1102">
        <f>'Corrected and Updated TSF 3'!DA369</f>
        <v>75937.714937942961</v>
      </c>
      <c r="AA369" s="821">
        <f>L369-'Corrected and Updated TSF 3'!CL369</f>
        <v>0</v>
      </c>
      <c r="AB369" s="678">
        <f>N369-'Corrected and Updated TSF 3'!CN369</f>
        <v>0</v>
      </c>
      <c r="AC369" s="678">
        <f>Q369-'Corrected and Updated TSF 3'!CQ369</f>
        <v>0</v>
      </c>
      <c r="AD369" s="497"/>
      <c r="AE369" s="497"/>
      <c r="AF369" s="497"/>
      <c r="AG369" s="497"/>
      <c r="AH369" s="677"/>
      <c r="AI369" s="677"/>
      <c r="AJ369" s="677"/>
      <c r="AK369" s="677"/>
    </row>
    <row r="370" spans="1:45" s="521" customFormat="1" ht="12.75" hidden="1" customHeight="1">
      <c r="A370" s="631" t="str">
        <f t="shared" si="5"/>
        <v>E-15G</v>
      </c>
      <c r="B370" s="632" t="str">
        <f>'Corrected and Updated TSF 3'!EP370</f>
        <v>SOLD</v>
      </c>
      <c r="C370" s="973" t="str">
        <f>'Corrected and Updated TSF 3'!E370</f>
        <v>15th Floor</v>
      </c>
      <c r="D370" s="974">
        <f>'INTERNAL PRICELIST'!D370</f>
        <v>0</v>
      </c>
      <c r="E370" s="975" t="str">
        <f>'Corrected and Updated TSF 3'!G370</f>
        <v>E-15G</v>
      </c>
      <c r="F370" s="976" t="str">
        <f>'Corrected and Updated TSF 3'!I370</f>
        <v>Studio</v>
      </c>
      <c r="G370" s="977">
        <f>'Corrected and Updated TSF 3'!J370</f>
        <v>22</v>
      </c>
      <c r="H370" s="977">
        <f>'Corrected and Updated TSF 3'!CG370</f>
        <v>4277078.5145147135</v>
      </c>
      <c r="I370" s="977">
        <f>SUM('Corrected and Updated TSF 3'!CI370:CJ370)</f>
        <v>545327.510600626</v>
      </c>
      <c r="J370" s="977">
        <f>'Corrected and Updated TSF 3'!CH370</f>
        <v>436372.62174176559</v>
      </c>
      <c r="K370" s="977">
        <f>'Corrected and Updated TSF 3'!CK370</f>
        <v>5258778.6468571052</v>
      </c>
      <c r="L370" s="978">
        <f>'Corrected and Updated TSF 3'!CL370</f>
        <v>0.125</v>
      </c>
      <c r="M370" s="977">
        <f>'Corrected and Updated TSF 3'!CM370</f>
        <v>657347.33085713815</v>
      </c>
      <c r="N370" s="977">
        <f>'Corrected and Updated TSF 3'!CN370</f>
        <v>30000</v>
      </c>
      <c r="O370" s="977">
        <f>'Corrected and Updated TSF 3'!CO370</f>
        <v>627347.33085713815</v>
      </c>
      <c r="P370" s="976">
        <f>'Corrected and Updated TSF 3'!CP370</f>
        <v>32</v>
      </c>
      <c r="Q370" s="977">
        <f>'Corrected and Updated TSF 3'!CQ370</f>
        <v>19604.604089285567</v>
      </c>
      <c r="R370" s="977">
        <f>'Corrected and Updated TSF 3'!CS370</f>
        <v>4601431.315999967</v>
      </c>
      <c r="S370" s="977">
        <f>'Corrected and Updated TSF 3'!CT370</f>
        <v>35674.84801618132</v>
      </c>
      <c r="T370" s="636">
        <f>'Corrected and Updated TSF 3'!CU370</f>
        <v>41358.965532064583</v>
      </c>
      <c r="U370" s="636">
        <f>'Corrected and Updated TSF 3'!CV370</f>
        <v>53426.519232970808</v>
      </c>
      <c r="V370" s="636">
        <f>'Corrected and Updated TSF 3'!CW370</f>
        <v>91113.855057897192</v>
      </c>
      <c r="W370" s="1102">
        <f>'Corrected and Updated TSF 3'!CX370</f>
        <v>373788.89151384996</v>
      </c>
      <c r="X370" s="1102">
        <f>'Corrected and Updated TSF 3'!CY370</f>
        <v>147906.44354180046</v>
      </c>
      <c r="Y370" s="1102">
        <f>'Corrected and Updated TSF 3'!CZ370</f>
        <v>106830.72934249975</v>
      </c>
      <c r="Z370" s="1102">
        <f>'Corrected and Updated TSF 3'!DA370</f>
        <v>81303.103262405057</v>
      </c>
      <c r="AA370" s="821">
        <f>L370-'Corrected and Updated TSF 3'!CL370</f>
        <v>0</v>
      </c>
      <c r="AB370" s="678">
        <f>N370-'Corrected and Updated TSF 3'!CN370</f>
        <v>0</v>
      </c>
      <c r="AC370" s="678">
        <f>Q370-'Corrected and Updated TSF 3'!CQ370</f>
        <v>0</v>
      </c>
      <c r="AD370" s="497"/>
      <c r="AE370" s="497"/>
      <c r="AF370" s="497"/>
      <c r="AG370" s="497"/>
      <c r="AH370" s="677"/>
      <c r="AI370" s="677"/>
      <c r="AJ370" s="677"/>
      <c r="AK370" s="677"/>
    </row>
    <row r="371" spans="1:45" s="521" customFormat="1" ht="12.75" hidden="1" customHeight="1">
      <c r="A371" s="631" t="str">
        <f t="shared" si="5"/>
        <v>E-15H</v>
      </c>
      <c r="B371" s="632" t="str">
        <f>'Corrected and Updated TSF 3'!EP371</f>
        <v>SOLD</v>
      </c>
      <c r="C371" s="820" t="str">
        <f>'Corrected and Updated TSF 3'!E371</f>
        <v>15th Floor</v>
      </c>
      <c r="D371" s="628">
        <f>'INTERNAL PRICELIST'!D371</f>
        <v>0</v>
      </c>
      <c r="E371" s="596" t="str">
        <f>'Corrected and Updated TSF 3'!G371</f>
        <v>E-15H</v>
      </c>
      <c r="F371" s="401" t="str">
        <f>'Corrected and Updated TSF 3'!I371</f>
        <v>Studio</v>
      </c>
      <c r="G371" s="633">
        <f>'Corrected and Updated TSF 3'!J371</f>
        <v>22</v>
      </c>
      <c r="H371" s="633">
        <f>'Corrected and Updated TSF 3'!CG371</f>
        <v>4277078.5145147135</v>
      </c>
      <c r="I371" s="633">
        <f>SUM('Corrected and Updated TSF 3'!CI371:CJ371)</f>
        <v>545327.510600626</v>
      </c>
      <c r="J371" s="633">
        <f>'Corrected and Updated TSF 3'!CH371</f>
        <v>436372.62174176559</v>
      </c>
      <c r="K371" s="633">
        <f>'Corrected and Updated TSF 3'!CK371</f>
        <v>5258778.6468571052</v>
      </c>
      <c r="L371" s="634">
        <f>'Corrected and Updated TSF 3'!CL371</f>
        <v>0.125</v>
      </c>
      <c r="M371" s="633">
        <f>'Corrected and Updated TSF 3'!CM371</f>
        <v>657347.33085713815</v>
      </c>
      <c r="N371" s="633">
        <f>'Corrected and Updated TSF 3'!CN371</f>
        <v>30000</v>
      </c>
      <c r="O371" s="633">
        <f>'Corrected and Updated TSF 3'!CO371</f>
        <v>627347.33085713815</v>
      </c>
      <c r="P371" s="401">
        <f>'Corrected and Updated TSF 3'!CP371</f>
        <v>32</v>
      </c>
      <c r="Q371" s="633">
        <f>'Corrected and Updated TSF 3'!CQ371</f>
        <v>19604.604089285567</v>
      </c>
      <c r="R371" s="633">
        <f>'Corrected and Updated TSF 3'!CS371</f>
        <v>4601431.315999967</v>
      </c>
      <c r="S371" s="633">
        <f>'Corrected and Updated TSF 3'!CT371</f>
        <v>35674.84801618132</v>
      </c>
      <c r="T371" s="635">
        <f>'Corrected and Updated TSF 3'!CU371</f>
        <v>41358.965532064583</v>
      </c>
      <c r="U371" s="636">
        <f>'Corrected and Updated TSF 3'!CV371</f>
        <v>53426.519232970808</v>
      </c>
      <c r="V371" s="636">
        <f>'Corrected and Updated TSF 3'!CW371</f>
        <v>91113.855057897192</v>
      </c>
      <c r="W371" s="1102">
        <f>'Corrected and Updated TSF 3'!CX371</f>
        <v>373788.89151384996</v>
      </c>
      <c r="X371" s="1102">
        <f>'Corrected and Updated TSF 3'!CY371</f>
        <v>147906.44354180046</v>
      </c>
      <c r="Y371" s="1102">
        <f>'Corrected and Updated TSF 3'!CZ371</f>
        <v>106830.72934249975</v>
      </c>
      <c r="Z371" s="1102">
        <f>'Corrected and Updated TSF 3'!DA371</f>
        <v>81303.103262405057</v>
      </c>
      <c r="AA371" s="821">
        <f>L371-'Corrected and Updated TSF 3'!CL371</f>
        <v>0</v>
      </c>
      <c r="AB371" s="678">
        <f>N371-'Corrected and Updated TSF 3'!CN371</f>
        <v>0</v>
      </c>
      <c r="AC371" s="678">
        <f>Q371-'Corrected and Updated TSF 3'!CQ371</f>
        <v>0</v>
      </c>
      <c r="AD371" s="497"/>
      <c r="AE371" s="497"/>
      <c r="AF371" s="497"/>
      <c r="AG371" s="497"/>
      <c r="AH371" s="677"/>
      <c r="AI371" s="677"/>
      <c r="AJ371" s="677"/>
      <c r="AK371" s="677"/>
    </row>
    <row r="372" spans="1:45" s="521" customFormat="1" hidden="1">
      <c r="A372" s="631" t="str">
        <f t="shared" si="5"/>
        <v>E-15I</v>
      </c>
      <c r="B372" s="632" t="str">
        <f>'Corrected and Updated TSF 3'!EP372</f>
        <v>SOLD</v>
      </c>
      <c r="C372" s="973" t="str">
        <f>'Corrected and Updated TSF 3'!E372</f>
        <v>15th Floor</v>
      </c>
      <c r="D372" s="974">
        <f>'INTERNAL PRICELIST'!D372</f>
        <v>0</v>
      </c>
      <c r="E372" s="975" t="str">
        <f>'Corrected and Updated TSF 3'!G372</f>
        <v>E-15I</v>
      </c>
      <c r="F372" s="976" t="str">
        <f>'Corrected and Updated TSF 3'!I372</f>
        <v>Studio</v>
      </c>
      <c r="G372" s="977">
        <f>'Corrected and Updated TSF 3'!J372</f>
        <v>22</v>
      </c>
      <c r="H372" s="977">
        <f>'Corrected and Updated TSF 3'!CG372</f>
        <v>4392347.4723455515</v>
      </c>
      <c r="I372" s="977">
        <f>SUM('Corrected and Updated TSF 3'!CI372:CJ372)</f>
        <v>560024.30272405781</v>
      </c>
      <c r="J372" s="977">
        <f>'Corrected and Updated TSF 3'!CH372</f>
        <v>436899.29668146616</v>
      </c>
      <c r="K372" s="977">
        <f>'Corrected and Updated TSF 3'!CK372</f>
        <v>5389271.0717510758</v>
      </c>
      <c r="L372" s="978">
        <f>'Corrected and Updated TSF 3'!CL372</f>
        <v>0.125</v>
      </c>
      <c r="M372" s="977">
        <f>'Corrected and Updated TSF 3'!CM372</f>
        <v>673658.88396888447</v>
      </c>
      <c r="N372" s="977">
        <f>'Corrected and Updated TSF 3'!CN372</f>
        <v>30000</v>
      </c>
      <c r="O372" s="977">
        <f>'Corrected and Updated TSF 3'!CO372</f>
        <v>643658.88396888447</v>
      </c>
      <c r="P372" s="976">
        <f>'Corrected and Updated TSF 3'!CP372</f>
        <v>32</v>
      </c>
      <c r="Q372" s="977">
        <f>'Corrected and Updated TSF 3'!CQ372</f>
        <v>20114.34012402764</v>
      </c>
      <c r="R372" s="977">
        <f>'Corrected and Updated TSF 3'!CS372</f>
        <v>4715612.1877821917</v>
      </c>
      <c r="S372" s="977">
        <f>'Corrected and Updated TSF 3'!CT372</f>
        <v>36560.091099789257</v>
      </c>
      <c r="T372" s="636">
        <f>'Corrected and Updated TSF 3'!CU372</f>
        <v>42385.25548754898</v>
      </c>
      <c r="U372" s="636">
        <f>'Corrected and Updated TSF 3'!CV372</f>
        <v>54752.25597081989</v>
      </c>
      <c r="V372" s="636">
        <f>'Corrected and Updated TSF 3'!CW372</f>
        <v>93374.773169567212</v>
      </c>
      <c r="W372" s="1102">
        <f>'Corrected and Updated TSF 3'!CX372</f>
        <v>383064.16665425216</v>
      </c>
      <c r="X372" s="1102">
        <f>'Corrected and Updated TSF 3'!CY372</f>
        <v>151576.62473239834</v>
      </c>
      <c r="Y372" s="1102">
        <f>'Corrected and Updated TSF 3'!CZ372</f>
        <v>109481.64923497816</v>
      </c>
      <c r="Z372" s="1102">
        <f>'Corrected and Updated TSF 3'!DA372</f>
        <v>83320.575342629774</v>
      </c>
      <c r="AA372" s="821">
        <f>L372-'Corrected and Updated TSF 3'!CL372</f>
        <v>0</v>
      </c>
      <c r="AB372" s="678">
        <f>N372-'Corrected and Updated TSF 3'!CN372</f>
        <v>0</v>
      </c>
      <c r="AC372" s="678">
        <f>Q372-'Corrected and Updated TSF 3'!CQ372</f>
        <v>0</v>
      </c>
      <c r="AD372" s="497"/>
      <c r="AE372" s="497"/>
      <c r="AF372" s="497"/>
      <c r="AG372" s="497"/>
      <c r="AH372" s="677"/>
      <c r="AI372" s="677"/>
      <c r="AJ372" s="677"/>
      <c r="AK372" s="677"/>
    </row>
    <row r="373" spans="1:45" ht="12.75" hidden="1" customHeight="1">
      <c r="A373" s="631" t="str">
        <f t="shared" si="5"/>
        <v>E-15J</v>
      </c>
      <c r="B373" s="632" t="str">
        <f>'Corrected and Updated TSF 3'!EP373</f>
        <v>SOLD</v>
      </c>
      <c r="C373" s="973" t="str">
        <f>'Corrected and Updated TSF 3'!E373</f>
        <v>15th Floor</v>
      </c>
      <c r="D373" s="974">
        <f>'INTERNAL PRICELIST'!D373</f>
        <v>0</v>
      </c>
      <c r="E373" s="1134" t="str">
        <f>'Corrected and Updated TSF 3'!G373</f>
        <v>E-15J</v>
      </c>
      <c r="F373" s="976" t="str">
        <f>'Corrected and Updated TSF 3'!I373</f>
        <v>Studio</v>
      </c>
      <c r="G373" s="977">
        <f>'Corrected and Updated TSF 3'!J373</f>
        <v>22</v>
      </c>
      <c r="H373" s="977">
        <f>'Corrected and Updated TSF 3'!CG373</f>
        <v>4371632.4979814207</v>
      </c>
      <c r="I373" s="977">
        <f>SUM('Corrected and Updated TSF 3'!CI373:CJ373)</f>
        <v>557383.14349263115</v>
      </c>
      <c r="J373" s="977">
        <f>'Corrected and Updated TSF 3'!CH373</f>
        <v>435891.89975777047</v>
      </c>
      <c r="K373" s="977">
        <f>'Corrected and Updated TSF 3'!CK373</f>
        <v>5364907.5412318222</v>
      </c>
      <c r="L373" s="978">
        <f>'Corrected and Updated TSF 3'!CL373</f>
        <v>0.125</v>
      </c>
      <c r="M373" s="977">
        <f>'Corrected and Updated TSF 3'!CM373</f>
        <v>670613.44265397778</v>
      </c>
      <c r="N373" s="977">
        <f>'Corrected and Updated TSF 3'!CN373</f>
        <v>30000</v>
      </c>
      <c r="O373" s="977">
        <f>'Corrected and Updated TSF 3'!CO373</f>
        <v>640613.44265397778</v>
      </c>
      <c r="P373" s="976">
        <f>'Corrected and Updated TSF 3'!CP373</f>
        <v>32</v>
      </c>
      <c r="Q373" s="977">
        <f>'Corrected and Updated TSF 3'!CQ373</f>
        <v>20019.170082936806</v>
      </c>
      <c r="R373" s="977">
        <f>'Corrected and Updated TSF 3'!CS373</f>
        <v>4694294.098577844</v>
      </c>
      <c r="S373" s="977">
        <f>'Corrected and Updated TSF 3'!CT373</f>
        <v>36394.812181093665</v>
      </c>
      <c r="T373" s="636">
        <f>'Corrected and Updated TSF 3'!CU373</f>
        <v>42193.64247497476</v>
      </c>
      <c r="U373" s="636">
        <f>'Corrected and Updated TSF 3'!CV373</f>
        <v>54504.734879083517</v>
      </c>
      <c r="V373" s="636">
        <f>'Corrected and Updated TSF 3'!CW373</f>
        <v>92952.649452731042</v>
      </c>
      <c r="W373" s="1102">
        <f>'Corrected and Updated TSF 3'!CX373</f>
        <v>381332.43050833198</v>
      </c>
      <c r="X373" s="1102">
        <f>'Corrected and Updated TSF 3'!CY373</f>
        <v>150891.38517522882</v>
      </c>
      <c r="Y373" s="1102">
        <f>'Corrected and Updated TSF 3'!CZ373</f>
        <v>108986.71040801582</v>
      </c>
      <c r="Z373" s="1102">
        <f>'Corrected and Updated TSF 3'!DA373</f>
        <v>82943.90410950467</v>
      </c>
      <c r="AA373" s="821">
        <f>L373-'Corrected and Updated TSF 3'!CL373</f>
        <v>0</v>
      </c>
      <c r="AB373" s="678">
        <f>N373-'Corrected and Updated TSF 3'!CN373</f>
        <v>0</v>
      </c>
      <c r="AC373" s="678">
        <f>Q373-'Corrected and Updated TSF 3'!CQ373</f>
        <v>0</v>
      </c>
    </row>
    <row r="374" spans="1:45" hidden="1">
      <c r="A374" s="631" t="str">
        <f t="shared" si="5"/>
        <v>E-15K</v>
      </c>
      <c r="B374" s="632" t="str">
        <f>'Corrected and Updated TSF 3'!EP374</f>
        <v>SOLD</v>
      </c>
      <c r="C374" s="973" t="str">
        <f>'Corrected and Updated TSF 3'!E374</f>
        <v>15th Floor</v>
      </c>
      <c r="D374" s="974">
        <f>'INTERNAL PRICELIST'!D374</f>
        <v>0</v>
      </c>
      <c r="E374" s="975" t="str">
        <f>'Corrected and Updated TSF 3'!G374</f>
        <v>E-15K</v>
      </c>
      <c r="F374" s="976" t="str">
        <f>'Corrected and Updated TSF 3'!I374</f>
        <v>Studio</v>
      </c>
      <c r="G374" s="977">
        <f>'Corrected and Updated TSF 3'!J374</f>
        <v>22</v>
      </c>
      <c r="H374" s="977">
        <f>'Corrected and Updated TSF 3'!CG374</f>
        <v>4314636.1079013972</v>
      </c>
      <c r="I374" s="977">
        <f>SUM('Corrected and Updated TSF 3'!CI374:CJ374)</f>
        <v>550116.10375742812</v>
      </c>
      <c r="J374" s="977">
        <f>'Corrected and Updated TSF 3'!CH374</f>
        <v>436444.33294816763</v>
      </c>
      <c r="K374" s="977">
        <f>'Corrected and Updated TSF 3'!CK374</f>
        <v>5301196.544606993</v>
      </c>
      <c r="L374" s="978">
        <f>'Corrected and Updated TSF 3'!CL374</f>
        <v>0.125</v>
      </c>
      <c r="M374" s="977">
        <f>'Corrected and Updated TSF 3'!CM374</f>
        <v>662649.56807587412</v>
      </c>
      <c r="N374" s="977">
        <f>'Corrected and Updated TSF 3'!CN374</f>
        <v>30000</v>
      </c>
      <c r="O374" s="977">
        <f>'Corrected and Updated TSF 3'!CO374</f>
        <v>632649.56807587412</v>
      </c>
      <c r="P374" s="976">
        <f>'Corrected and Updated TSF 3'!CP374</f>
        <v>32</v>
      </c>
      <c r="Q374" s="977">
        <f>'Corrected and Updated TSF 3'!CQ374</f>
        <v>19770.299002371066</v>
      </c>
      <c r="R374" s="977">
        <f>'Corrected and Updated TSF 3'!CS374</f>
        <v>4638546.9765311191</v>
      </c>
      <c r="S374" s="977">
        <f>'Corrected and Updated TSF 3'!CT374</f>
        <v>35962.605337227258</v>
      </c>
      <c r="T374" s="636">
        <f>'Corrected and Updated TSF 3'!CU374</f>
        <v>41692.571581832191</v>
      </c>
      <c r="U374" s="636">
        <f>'Corrected and Updated TSF 3'!CV374</f>
        <v>53857.463522917489</v>
      </c>
      <c r="V374" s="636">
        <f>'Corrected and Updated TSF 3'!CW374</f>
        <v>91848.789621030752</v>
      </c>
      <c r="W374" s="1102">
        <f>'Corrected and Updated TSF 3'!CX374</f>
        <v>376803.91459145263</v>
      </c>
      <c r="X374" s="1102">
        <f>'Corrected and Updated TSF 3'!CY374</f>
        <v>149099.4734865872</v>
      </c>
      <c r="Y374" s="1102">
        <f>'Corrected and Updated TSF 3'!CZ374</f>
        <v>107692.43797450393</v>
      </c>
      <c r="Z374" s="1102">
        <f>'Corrected and Updated TSF 3'!DA374</f>
        <v>81958.903202376736</v>
      </c>
      <c r="AA374" s="821">
        <f>L374-'Corrected and Updated TSF 3'!CL374</f>
        <v>0</v>
      </c>
      <c r="AB374" s="678">
        <f>N374-'Corrected and Updated TSF 3'!CN374</f>
        <v>0</v>
      </c>
      <c r="AC374" s="678">
        <f>Q374-'Corrected and Updated TSF 3'!CQ374</f>
        <v>0</v>
      </c>
    </row>
    <row r="375" spans="1:45" ht="12.75" hidden="1" customHeight="1">
      <c r="A375" s="631" t="str">
        <f t="shared" si="5"/>
        <v>E-15L</v>
      </c>
      <c r="B375" s="632" t="str">
        <f>'Corrected and Updated TSF 3'!EP375</f>
        <v>SOLD</v>
      </c>
      <c r="C375" s="973" t="str">
        <f>'Corrected and Updated TSF 3'!E375</f>
        <v>15th Floor</v>
      </c>
      <c r="D375" s="974">
        <f>'INTERNAL PRICELIST'!D375</f>
        <v>0</v>
      </c>
      <c r="E375" s="975" t="str">
        <f>'Corrected and Updated TSF 3'!G375</f>
        <v>E-15L</v>
      </c>
      <c r="F375" s="976" t="str">
        <f>'Corrected and Updated TSF 3'!I375</f>
        <v>Studio</v>
      </c>
      <c r="G375" s="977">
        <f>'Corrected and Updated TSF 3'!J375</f>
        <v>22</v>
      </c>
      <c r="H375" s="977">
        <f>'Corrected and Updated TSF 3'!CG375</f>
        <v>4314636.1079013972</v>
      </c>
      <c r="I375" s="977">
        <f>SUM('Corrected and Updated TSF 3'!CI375:CJ375)</f>
        <v>550116.10375742812</v>
      </c>
      <c r="J375" s="977">
        <f>'Corrected and Updated TSF 3'!CH375</f>
        <v>436444.33294816763</v>
      </c>
      <c r="K375" s="977">
        <f>'Corrected and Updated TSF 3'!CK375</f>
        <v>5301196.544606993</v>
      </c>
      <c r="L375" s="978">
        <f>'Corrected and Updated TSF 3'!CL375</f>
        <v>0.125</v>
      </c>
      <c r="M375" s="977">
        <f>'Corrected and Updated TSF 3'!CM375</f>
        <v>662649.56807587412</v>
      </c>
      <c r="N375" s="977">
        <f>'Corrected and Updated TSF 3'!CN375</f>
        <v>30000</v>
      </c>
      <c r="O375" s="977">
        <f>'Corrected and Updated TSF 3'!CO375</f>
        <v>632649.56807587412</v>
      </c>
      <c r="P375" s="976">
        <f>'Corrected and Updated TSF 3'!CP375</f>
        <v>32</v>
      </c>
      <c r="Q375" s="977">
        <f>'Corrected and Updated TSF 3'!CQ375</f>
        <v>19770.299002371066</v>
      </c>
      <c r="R375" s="977">
        <f>'Corrected and Updated TSF 3'!CS375</f>
        <v>4638546.9765311191</v>
      </c>
      <c r="S375" s="977">
        <f>'Corrected and Updated TSF 3'!CT375</f>
        <v>35962.605337227258</v>
      </c>
      <c r="T375" s="636">
        <f>'Corrected and Updated TSF 3'!CU375</f>
        <v>41692.571581832191</v>
      </c>
      <c r="U375" s="636">
        <f>'Corrected and Updated TSF 3'!CV375</f>
        <v>53857.463522917489</v>
      </c>
      <c r="V375" s="636">
        <f>'Corrected and Updated TSF 3'!CW375</f>
        <v>91848.789621030752</v>
      </c>
      <c r="W375" s="1102">
        <f>'Corrected and Updated TSF 3'!CX375</f>
        <v>376803.91459145263</v>
      </c>
      <c r="X375" s="1102">
        <f>'Corrected and Updated TSF 3'!CY375</f>
        <v>149099.4734865872</v>
      </c>
      <c r="Y375" s="1102">
        <f>'Corrected and Updated TSF 3'!CZ375</f>
        <v>107692.43797450393</v>
      </c>
      <c r="Z375" s="1102">
        <f>'Corrected and Updated TSF 3'!DA375</f>
        <v>81958.903202376736</v>
      </c>
      <c r="AA375" s="821">
        <f>L375-'Corrected and Updated TSF 3'!CL375</f>
        <v>0</v>
      </c>
      <c r="AB375" s="678">
        <f>N375-'Corrected and Updated TSF 3'!CN375</f>
        <v>0</v>
      </c>
      <c r="AC375" s="678">
        <f>Q375-'Corrected and Updated TSF 3'!CQ375</f>
        <v>0</v>
      </c>
      <c r="AL375" s="119"/>
      <c r="AM375" s="119"/>
      <c r="AN375" s="119"/>
      <c r="AO375" s="119"/>
      <c r="AP375" s="119"/>
      <c r="AQ375" s="119"/>
      <c r="AR375" s="119"/>
      <c r="AS375" s="119"/>
    </row>
    <row r="376" spans="1:45" ht="12.75" hidden="1" customHeight="1">
      <c r="A376" s="631" t="str">
        <f t="shared" si="5"/>
        <v>E-15M</v>
      </c>
      <c r="B376" s="632" t="str">
        <f>'Corrected and Updated TSF 3'!EP376</f>
        <v>SOLD</v>
      </c>
      <c r="C376" s="1167" t="str">
        <f>'Corrected and Updated TSF 3'!E376</f>
        <v>15th Floor</v>
      </c>
      <c r="D376" s="1134">
        <f>'INTERNAL PRICELIST'!D376</f>
        <v>0</v>
      </c>
      <c r="E376" s="1134" t="str">
        <f>'Corrected and Updated TSF 3'!G376</f>
        <v>E-15M</v>
      </c>
      <c r="F376" s="1168" t="str">
        <f>'Corrected and Updated TSF 3'!I376</f>
        <v>Studio</v>
      </c>
      <c r="G376" s="1169">
        <f>'Corrected and Updated TSF 3'!J376</f>
        <v>22</v>
      </c>
      <c r="H376" s="1169">
        <f>'Corrected and Updated TSF 3'!CG376</f>
        <v>4277078.5145147135</v>
      </c>
      <c r="I376" s="1169">
        <f>SUM('Corrected and Updated TSF 3'!CI376:CJ376)</f>
        <v>545327.510600626</v>
      </c>
      <c r="J376" s="1169">
        <f>'Corrected and Updated TSF 3'!CH376</f>
        <v>436372.62174176559</v>
      </c>
      <c r="K376" s="1169">
        <f>'Corrected and Updated TSF 3'!CK376</f>
        <v>5258778.6468571052</v>
      </c>
      <c r="L376" s="1170">
        <f>'Corrected and Updated TSF 3'!CL376</f>
        <v>0.125</v>
      </c>
      <c r="M376" s="1169">
        <f>'Corrected and Updated TSF 3'!CM376</f>
        <v>657347.33085713815</v>
      </c>
      <c r="N376" s="1169">
        <f>'Corrected and Updated TSF 3'!CN376</f>
        <v>30000</v>
      </c>
      <c r="O376" s="1169">
        <f>'Corrected and Updated TSF 3'!CO376</f>
        <v>627347.33085713815</v>
      </c>
      <c r="P376" s="1168">
        <f>'Corrected and Updated TSF 3'!CP376</f>
        <v>32</v>
      </c>
      <c r="Q376" s="1169">
        <f>'Corrected and Updated TSF 3'!CQ376</f>
        <v>19604.604089285567</v>
      </c>
      <c r="R376" s="1169">
        <f>'Corrected and Updated TSF 3'!CS376</f>
        <v>4601431.315999967</v>
      </c>
      <c r="S376" s="1169">
        <f>'Corrected and Updated TSF 3'!CT376</f>
        <v>35674.84801618132</v>
      </c>
      <c r="T376" s="1166">
        <f>'Corrected and Updated TSF 3'!CU376</f>
        <v>41358.965532064583</v>
      </c>
      <c r="U376" s="1166">
        <f>'Corrected and Updated TSF 3'!CV376</f>
        <v>53426.519232970808</v>
      </c>
      <c r="V376" s="1166">
        <f>'Corrected and Updated TSF 3'!CW376</f>
        <v>91113.855057897192</v>
      </c>
      <c r="W376" s="1102">
        <f>'Corrected and Updated TSF 3'!CX376</f>
        <v>373788.89151384996</v>
      </c>
      <c r="X376" s="1102">
        <f>'Corrected and Updated TSF 3'!CY376</f>
        <v>147906.44354180046</v>
      </c>
      <c r="Y376" s="1102">
        <f>'Corrected and Updated TSF 3'!CZ376</f>
        <v>106830.72934249975</v>
      </c>
      <c r="Z376" s="1102">
        <f>'Corrected and Updated TSF 3'!DA376</f>
        <v>81303.103262405057</v>
      </c>
      <c r="AA376" s="821">
        <f>L376-'Corrected and Updated TSF 3'!CL376</f>
        <v>0</v>
      </c>
      <c r="AB376" s="678">
        <f>N376-'Corrected and Updated TSF 3'!CN376</f>
        <v>0</v>
      </c>
      <c r="AC376" s="678">
        <f>Q376-'Corrected and Updated TSF 3'!CQ376</f>
        <v>0</v>
      </c>
    </row>
    <row r="377" spans="1:45" s="1148" customFormat="1" ht="12.75" hidden="1" customHeight="1">
      <c r="A377" s="631" t="str">
        <f t="shared" si="5"/>
        <v>E-15N</v>
      </c>
      <c r="B377" s="632" t="str">
        <f>'Corrected and Updated TSF 3'!EP377</f>
        <v>SOLD</v>
      </c>
      <c r="C377" s="1167" t="str">
        <f>'Corrected and Updated TSF 3'!E377</f>
        <v>15th Floor</v>
      </c>
      <c r="D377" s="1134">
        <f>'INTERNAL PRICELIST'!D377</f>
        <v>0</v>
      </c>
      <c r="E377" s="1134" t="str">
        <f>'Corrected and Updated TSF 3'!G377</f>
        <v>E-15N</v>
      </c>
      <c r="F377" s="1168" t="str">
        <f>'Corrected and Updated TSF 3'!I377</f>
        <v>Studio</v>
      </c>
      <c r="G377" s="1169">
        <f>'Corrected and Updated TSF 3'!J377</f>
        <v>22</v>
      </c>
      <c r="H377" s="1169">
        <f>'Corrected and Updated TSF 3'!CG377</f>
        <v>4277078.5145147135</v>
      </c>
      <c r="I377" s="1169">
        <f>SUM('Corrected and Updated TSF 3'!CI377:CJ377)</f>
        <v>545327.510600626</v>
      </c>
      <c r="J377" s="1169">
        <f>'Corrected and Updated TSF 3'!CH377</f>
        <v>436372.62174176559</v>
      </c>
      <c r="K377" s="1169">
        <f>'Corrected and Updated TSF 3'!CK377</f>
        <v>5258778.6468571052</v>
      </c>
      <c r="L377" s="1170">
        <f>'Corrected and Updated TSF 3'!CL377</f>
        <v>0.125</v>
      </c>
      <c r="M377" s="1169">
        <f>'Corrected and Updated TSF 3'!CM377</f>
        <v>657347.33085713815</v>
      </c>
      <c r="N377" s="1169">
        <f>'Corrected and Updated TSF 3'!CN377</f>
        <v>30000</v>
      </c>
      <c r="O377" s="1169">
        <f>'Corrected and Updated TSF 3'!CO377</f>
        <v>627347.33085713815</v>
      </c>
      <c r="P377" s="1168">
        <f>'Corrected and Updated TSF 3'!CP377</f>
        <v>32</v>
      </c>
      <c r="Q377" s="1169">
        <f>'Corrected and Updated TSF 3'!CQ377</f>
        <v>19604.604089285567</v>
      </c>
      <c r="R377" s="1169">
        <f>'Corrected and Updated TSF 3'!CS377</f>
        <v>4601431.315999967</v>
      </c>
      <c r="S377" s="1169">
        <f>'Corrected and Updated TSF 3'!CT377</f>
        <v>35674.84801618132</v>
      </c>
      <c r="T377" s="1166">
        <f>'Corrected and Updated TSF 3'!CU377</f>
        <v>41358.965532064583</v>
      </c>
      <c r="U377" s="1166">
        <f>'Corrected and Updated TSF 3'!CV377</f>
        <v>53426.519232970808</v>
      </c>
      <c r="V377" s="1166">
        <f>'Corrected and Updated TSF 3'!CW377</f>
        <v>91113.855057897192</v>
      </c>
      <c r="W377" s="1102">
        <f>'Corrected and Updated TSF 3'!CX377</f>
        <v>373788.89151384996</v>
      </c>
      <c r="X377" s="1102">
        <f>'Corrected and Updated TSF 3'!CY377</f>
        <v>147906.44354180046</v>
      </c>
      <c r="Y377" s="1102">
        <f>'Corrected and Updated TSF 3'!CZ377</f>
        <v>106830.72934249975</v>
      </c>
      <c r="Z377" s="1102">
        <f>'Corrected and Updated TSF 3'!DA377</f>
        <v>81303.103262405057</v>
      </c>
      <c r="AA377" s="821">
        <f>L377-'Corrected and Updated TSF 3'!CL377</f>
        <v>0</v>
      </c>
      <c r="AB377" s="678">
        <f>N377-'Corrected and Updated TSF 3'!CN377</f>
        <v>0</v>
      </c>
      <c r="AC377" s="678">
        <f>Q377-'Corrected and Updated TSF 3'!CQ377</f>
        <v>0</v>
      </c>
      <c r="AD377" s="497"/>
      <c r="AE377" s="497"/>
      <c r="AF377" s="497"/>
      <c r="AG377" s="497"/>
      <c r="AH377" s="677"/>
      <c r="AI377" s="677"/>
      <c r="AJ377" s="677"/>
      <c r="AK377" s="677"/>
      <c r="AL377" s="521"/>
      <c r="AM377" s="521"/>
      <c r="AN377" s="521"/>
      <c r="AO377" s="521"/>
      <c r="AP377" s="521"/>
      <c r="AQ377" s="521"/>
      <c r="AR377" s="521"/>
      <c r="AS377" s="521"/>
    </row>
    <row r="378" spans="1:45">
      <c r="A378" s="631" t="str">
        <f t="shared" si="5"/>
        <v>E-15O</v>
      </c>
      <c r="B378" s="632" t="str">
        <f>'Corrected and Updated TSF 3'!EP378</f>
        <v>UNSOLD</v>
      </c>
      <c r="C378" s="1167" t="str">
        <f>'Corrected and Updated TSF 3'!E378</f>
        <v>15th Floor</v>
      </c>
      <c r="D378" s="1134">
        <f>'INTERNAL PRICELIST'!D378</f>
        <v>0</v>
      </c>
      <c r="E378" s="1134" t="str">
        <f>'Corrected and Updated TSF 3'!G378</f>
        <v>E-15O</v>
      </c>
      <c r="F378" s="1168" t="str">
        <f>'Corrected and Updated TSF 3'!I378</f>
        <v>Studio</v>
      </c>
      <c r="G378" s="1169">
        <f>'Corrected and Updated TSF 3'!J378</f>
        <v>22</v>
      </c>
      <c r="H378" s="1169">
        <f>'Corrected and Updated TSF 3'!CG378</f>
        <v>4423236.1077873195</v>
      </c>
      <c r="I378" s="1169">
        <f>SUM('Corrected and Updated TSF 3'!CI378:CJ378)</f>
        <v>563962.60374288319</v>
      </c>
      <c r="J378" s="1169">
        <f>'Corrected and Updated TSF 3'!CH378</f>
        <v>0</v>
      </c>
      <c r="K378" s="1169">
        <f>'Corrected and Updated TSF 3'!CK378</f>
        <v>4987198.7115302021</v>
      </c>
      <c r="L378" s="1170">
        <f>'Corrected and Updated TSF 3'!CL378</f>
        <v>0.125</v>
      </c>
      <c r="M378" s="1169">
        <f>'Corrected and Updated TSF 3'!CM378</f>
        <v>623399.83894127526</v>
      </c>
      <c r="N378" s="1169">
        <f>'Corrected and Updated TSF 3'!CN378</f>
        <v>30000</v>
      </c>
      <c r="O378" s="1169">
        <f>'Corrected and Updated TSF 3'!CO378</f>
        <v>593399.83894127526</v>
      </c>
      <c r="P378" s="1168">
        <f>'Corrected and Updated TSF 3'!CP378</f>
        <v>32</v>
      </c>
      <c r="Q378" s="1169">
        <f>'Corrected and Updated TSF 3'!CQ378</f>
        <v>18543.744966914852</v>
      </c>
      <c r="R378" s="1169">
        <f>'Corrected and Updated TSF 3'!CS378</f>
        <v>4363798.8725889269</v>
      </c>
      <c r="S378" s="1169">
        <f>'Corrected and Updated TSF 3'!CT378</f>
        <v>33832.4862117304</v>
      </c>
      <c r="T378" s="1166">
        <f>'Corrected and Updated TSF 3'!CU378</f>
        <v>39223.057949968759</v>
      </c>
      <c r="U378" s="1166">
        <f>'Corrected and Updated TSF 3'!CV378</f>
        <v>50667.405071224654</v>
      </c>
      <c r="V378" s="1166">
        <f>'Corrected and Updated TSF 3'!CW378</f>
        <v>86408.447866286806</v>
      </c>
      <c r="W378" s="1102">
        <f>'Corrected and Updated TSF 3'!CX378</f>
        <v>354485.25281745504</v>
      </c>
      <c r="X378" s="1102">
        <f>'Corrected and Updated TSF 3'!CY378</f>
        <v>140268.08774305985</v>
      </c>
      <c r="Y378" s="1102">
        <f>'Corrected and Updated TSF 3'!CZ378</f>
        <v>101313.653132589</v>
      </c>
      <c r="Z378" s="1102">
        <f>'Corrected and Updated TSF 3'!DA378</f>
        <v>77104.354273592471</v>
      </c>
      <c r="AA378" s="821">
        <f>L378-'Corrected and Updated TSF 3'!CL378</f>
        <v>0</v>
      </c>
      <c r="AB378" s="678">
        <f>N378-'Corrected and Updated TSF 3'!CN378</f>
        <v>0</v>
      </c>
      <c r="AC378" s="678">
        <f>Q378-'Corrected and Updated TSF 3'!CQ378</f>
        <v>0</v>
      </c>
    </row>
    <row r="379" spans="1:45" s="521" customFormat="1">
      <c r="A379" s="522"/>
      <c r="B379" s="522"/>
      <c r="C379" s="522"/>
      <c r="L379" s="824"/>
      <c r="P379" s="522"/>
      <c r="W379" s="497"/>
      <c r="X379" s="497"/>
      <c r="Y379" s="497"/>
      <c r="Z379" s="497"/>
      <c r="AA379" s="677"/>
      <c r="AB379" s="677"/>
      <c r="AC379" s="677"/>
      <c r="AD379" s="497"/>
      <c r="AE379" s="497"/>
      <c r="AF379" s="497"/>
      <c r="AG379" s="497"/>
      <c r="AH379" s="677"/>
      <c r="AI379" s="677"/>
      <c r="AJ379" s="677"/>
      <c r="AK379" s="677"/>
    </row>
    <row r="380" spans="1:45" s="521" customFormat="1">
      <c r="A380" s="522"/>
      <c r="B380" s="522"/>
      <c r="C380" s="522"/>
      <c r="L380" s="824"/>
      <c r="P380" s="522"/>
      <c r="W380" s="497"/>
      <c r="X380" s="497"/>
      <c r="Y380" s="497"/>
      <c r="Z380" s="497"/>
      <c r="AA380" s="677"/>
      <c r="AB380" s="677"/>
      <c r="AC380" s="677"/>
      <c r="AD380" s="497"/>
      <c r="AE380" s="497"/>
      <c r="AF380" s="497"/>
      <c r="AG380" s="497"/>
      <c r="AH380" s="677"/>
      <c r="AI380" s="677"/>
      <c r="AJ380" s="677"/>
      <c r="AK380" s="677"/>
    </row>
    <row r="381" spans="1:45" s="521" customFormat="1">
      <c r="A381" s="522"/>
      <c r="B381" s="522"/>
      <c r="C381" s="522"/>
      <c r="L381" s="824"/>
      <c r="P381" s="522"/>
      <c r="W381" s="497"/>
      <c r="X381" s="497"/>
      <c r="Y381" s="497"/>
      <c r="Z381" s="497"/>
      <c r="AA381" s="677"/>
      <c r="AB381" s="677"/>
      <c r="AC381" s="677"/>
      <c r="AD381" s="497"/>
      <c r="AE381" s="497"/>
      <c r="AF381" s="497"/>
      <c r="AG381" s="497"/>
      <c r="AH381" s="677"/>
      <c r="AI381" s="677"/>
      <c r="AJ381" s="677"/>
      <c r="AK381" s="677"/>
    </row>
    <row r="382" spans="1:45" s="521" customFormat="1">
      <c r="A382" s="522"/>
      <c r="B382" s="522"/>
      <c r="C382" s="522"/>
      <c r="L382" s="824"/>
      <c r="P382" s="522"/>
      <c r="W382" s="497"/>
      <c r="X382" s="497"/>
      <c r="Y382" s="497"/>
      <c r="Z382" s="497"/>
      <c r="AA382" s="677"/>
      <c r="AB382" s="677"/>
      <c r="AC382" s="677"/>
      <c r="AD382" s="497"/>
      <c r="AE382" s="497"/>
      <c r="AF382" s="497"/>
      <c r="AG382" s="497"/>
      <c r="AH382" s="677"/>
      <c r="AI382" s="677"/>
      <c r="AJ382" s="677"/>
      <c r="AK382" s="677"/>
    </row>
    <row r="383" spans="1:45" s="521" customFormat="1">
      <c r="A383" s="522"/>
      <c r="B383" s="522"/>
      <c r="C383" s="522"/>
      <c r="L383" s="824"/>
      <c r="P383" s="522"/>
      <c r="W383" s="497"/>
      <c r="X383" s="497"/>
      <c r="Y383" s="497"/>
      <c r="Z383" s="497"/>
      <c r="AA383" s="677"/>
      <c r="AB383" s="677"/>
      <c r="AC383" s="677"/>
      <c r="AD383" s="497"/>
      <c r="AE383" s="497"/>
      <c r="AF383" s="497"/>
      <c r="AG383" s="497"/>
      <c r="AH383" s="677"/>
      <c r="AI383" s="677"/>
      <c r="AJ383" s="677"/>
      <c r="AK383" s="677"/>
    </row>
    <row r="384" spans="1:45" s="677" customFormat="1">
      <c r="A384" s="826">
        <v>1</v>
      </c>
      <c r="B384" s="826">
        <f>A384+1</f>
        <v>2</v>
      </c>
      <c r="C384" s="826">
        <f t="shared" ref="C384:V384" si="6">B384+1</f>
        <v>3</v>
      </c>
      <c r="D384" s="826">
        <f t="shared" si="6"/>
        <v>4</v>
      </c>
      <c r="E384" s="826">
        <f t="shared" si="6"/>
        <v>5</v>
      </c>
      <c r="F384" s="826">
        <f t="shared" si="6"/>
        <v>6</v>
      </c>
      <c r="G384" s="826">
        <f t="shared" si="6"/>
        <v>7</v>
      </c>
      <c r="H384" s="826">
        <f t="shared" si="6"/>
        <v>8</v>
      </c>
      <c r="I384" s="826">
        <f t="shared" si="6"/>
        <v>9</v>
      </c>
      <c r="J384" s="826">
        <f t="shared" si="6"/>
        <v>10</v>
      </c>
      <c r="K384" s="826">
        <f t="shared" si="6"/>
        <v>11</v>
      </c>
      <c r="L384" s="826">
        <f t="shared" si="6"/>
        <v>12</v>
      </c>
      <c r="M384" s="826">
        <f t="shared" si="6"/>
        <v>13</v>
      </c>
      <c r="N384" s="826">
        <f t="shared" si="6"/>
        <v>14</v>
      </c>
      <c r="O384" s="826">
        <f t="shared" si="6"/>
        <v>15</v>
      </c>
      <c r="P384" s="826">
        <f t="shared" si="6"/>
        <v>16</v>
      </c>
      <c r="Q384" s="826">
        <f t="shared" si="6"/>
        <v>17</v>
      </c>
      <c r="R384" s="826">
        <f t="shared" si="6"/>
        <v>18</v>
      </c>
      <c r="S384" s="826">
        <f t="shared" si="6"/>
        <v>19</v>
      </c>
      <c r="T384" s="826">
        <f t="shared" si="6"/>
        <v>20</v>
      </c>
      <c r="U384" s="826">
        <f t="shared" si="6"/>
        <v>21</v>
      </c>
      <c r="V384" s="826">
        <f t="shared" si="6"/>
        <v>22</v>
      </c>
      <c r="W384" s="497"/>
      <c r="X384" s="497"/>
      <c r="Y384" s="497"/>
      <c r="Z384" s="497"/>
    </row>
    <row r="385" spans="1:37" s="677" customFormat="1">
      <c r="A385" s="826">
        <v>1</v>
      </c>
      <c r="B385" s="826">
        <f>A385+1</f>
        <v>2</v>
      </c>
      <c r="C385" s="826">
        <f t="shared" ref="C385:V385" si="7">B385+1</f>
        <v>3</v>
      </c>
      <c r="D385" s="826">
        <f t="shared" si="7"/>
        <v>4</v>
      </c>
      <c r="E385" s="826">
        <f t="shared" si="7"/>
        <v>5</v>
      </c>
      <c r="F385" s="826">
        <f t="shared" si="7"/>
        <v>6</v>
      </c>
      <c r="G385" s="826">
        <f t="shared" si="7"/>
        <v>7</v>
      </c>
      <c r="H385" s="826">
        <f t="shared" si="7"/>
        <v>8</v>
      </c>
      <c r="I385" s="826">
        <f t="shared" si="7"/>
        <v>9</v>
      </c>
      <c r="J385" s="826">
        <f t="shared" si="7"/>
        <v>10</v>
      </c>
      <c r="K385" s="826">
        <f t="shared" si="7"/>
        <v>11</v>
      </c>
      <c r="L385" s="826">
        <f t="shared" si="7"/>
        <v>12</v>
      </c>
      <c r="M385" s="826">
        <f t="shared" si="7"/>
        <v>13</v>
      </c>
      <c r="N385" s="826">
        <f t="shared" si="7"/>
        <v>14</v>
      </c>
      <c r="O385" s="826">
        <f t="shared" si="7"/>
        <v>15</v>
      </c>
      <c r="P385" s="826">
        <f t="shared" si="7"/>
        <v>16</v>
      </c>
      <c r="Q385" s="826">
        <f t="shared" si="7"/>
        <v>17</v>
      </c>
      <c r="R385" s="826">
        <f t="shared" si="7"/>
        <v>18</v>
      </c>
      <c r="S385" s="826">
        <f t="shared" si="7"/>
        <v>19</v>
      </c>
      <c r="T385" s="826">
        <f t="shared" si="7"/>
        <v>20</v>
      </c>
      <c r="U385" s="826">
        <f t="shared" si="7"/>
        <v>21</v>
      </c>
      <c r="V385" s="826">
        <f t="shared" si="7"/>
        <v>22</v>
      </c>
      <c r="W385" s="497"/>
      <c r="X385" s="497"/>
      <c r="Y385" s="497"/>
      <c r="Z385" s="497"/>
    </row>
    <row r="386" spans="1:37" s="521" customFormat="1">
      <c r="A386" s="522"/>
      <c r="B386" s="522"/>
      <c r="C386" s="522"/>
      <c r="L386" s="824"/>
      <c r="P386" s="522"/>
      <c r="W386" s="497"/>
      <c r="X386" s="497"/>
      <c r="Y386" s="497"/>
      <c r="Z386" s="497"/>
      <c r="AA386" s="677"/>
      <c r="AB386" s="677"/>
      <c r="AC386" s="677"/>
      <c r="AD386" s="497"/>
      <c r="AE386" s="497"/>
      <c r="AF386" s="497"/>
      <c r="AG386" s="497"/>
      <c r="AH386" s="677"/>
      <c r="AI386" s="677"/>
      <c r="AJ386" s="677"/>
      <c r="AK386" s="677"/>
    </row>
    <row r="387" spans="1:37" s="521" customFormat="1">
      <c r="A387" s="522"/>
      <c r="B387" s="522"/>
      <c r="C387" s="522"/>
      <c r="L387" s="824"/>
      <c r="P387" s="522"/>
      <c r="W387" s="497"/>
      <c r="X387" s="497"/>
      <c r="Y387" s="497"/>
      <c r="Z387" s="497"/>
      <c r="AA387" s="677"/>
      <c r="AB387" s="677"/>
      <c r="AC387" s="677"/>
      <c r="AD387" s="497"/>
      <c r="AE387" s="497"/>
      <c r="AF387" s="497"/>
      <c r="AG387" s="497"/>
      <c r="AH387" s="677"/>
      <c r="AI387" s="677"/>
      <c r="AJ387" s="677"/>
      <c r="AK387" s="677"/>
    </row>
    <row r="388" spans="1:37" s="521" customFormat="1">
      <c r="A388" s="522"/>
      <c r="B388" s="522"/>
      <c r="C388" s="522"/>
      <c r="L388" s="824"/>
      <c r="P388" s="522"/>
      <c r="W388" s="497"/>
      <c r="X388" s="497"/>
      <c r="Y388" s="497"/>
      <c r="Z388" s="497"/>
      <c r="AA388" s="677"/>
      <c r="AB388" s="677"/>
      <c r="AC388" s="677"/>
      <c r="AD388" s="497"/>
      <c r="AE388" s="497"/>
      <c r="AF388" s="497"/>
      <c r="AG388" s="497"/>
      <c r="AH388" s="677"/>
      <c r="AI388" s="677"/>
      <c r="AJ388" s="677"/>
      <c r="AK388" s="677"/>
    </row>
    <row r="389" spans="1:37" s="521" customFormat="1">
      <c r="A389" s="522"/>
      <c r="B389" s="522"/>
      <c r="C389" s="522"/>
      <c r="L389" s="824"/>
      <c r="P389" s="522"/>
      <c r="W389" s="497"/>
      <c r="X389" s="497"/>
      <c r="Y389" s="497"/>
      <c r="Z389" s="497"/>
      <c r="AA389" s="677"/>
      <c r="AB389" s="677"/>
      <c r="AC389" s="677"/>
      <c r="AD389" s="497"/>
      <c r="AE389" s="497"/>
      <c r="AF389" s="497"/>
      <c r="AG389" s="497"/>
      <c r="AH389" s="677"/>
      <c r="AI389" s="677"/>
      <c r="AJ389" s="677"/>
      <c r="AK389" s="677"/>
    </row>
    <row r="390" spans="1:37" s="521" customFormat="1">
      <c r="A390" s="522"/>
      <c r="B390" s="522"/>
      <c r="C390" s="522"/>
      <c r="L390" s="824"/>
      <c r="P390" s="522"/>
      <c r="W390" s="497"/>
      <c r="X390" s="497"/>
      <c r="Y390" s="497"/>
      <c r="Z390" s="497"/>
      <c r="AA390" s="677"/>
      <c r="AB390" s="677"/>
      <c r="AC390" s="677"/>
      <c r="AD390" s="497"/>
      <c r="AE390" s="497"/>
      <c r="AF390" s="497"/>
      <c r="AG390" s="497"/>
      <c r="AH390" s="677"/>
      <c r="AI390" s="677"/>
      <c r="AJ390" s="677"/>
      <c r="AK390" s="677"/>
    </row>
    <row r="391" spans="1:37" s="521" customFormat="1">
      <c r="A391" s="522"/>
      <c r="B391" s="522"/>
      <c r="C391" s="522"/>
      <c r="L391" s="824"/>
      <c r="P391" s="522"/>
      <c r="W391" s="497"/>
      <c r="X391" s="497"/>
      <c r="Y391" s="497"/>
      <c r="Z391" s="497"/>
      <c r="AA391" s="677"/>
      <c r="AB391" s="677"/>
      <c r="AC391" s="677"/>
      <c r="AD391" s="497"/>
      <c r="AE391" s="497"/>
      <c r="AF391" s="497"/>
      <c r="AG391" s="497"/>
      <c r="AH391" s="677"/>
      <c r="AI391" s="677"/>
      <c r="AJ391" s="677"/>
      <c r="AK391" s="677"/>
    </row>
    <row r="392" spans="1:37" s="521" customFormat="1">
      <c r="A392" s="522"/>
      <c r="B392" s="522"/>
      <c r="C392" s="522"/>
      <c r="L392" s="824"/>
      <c r="P392" s="522"/>
      <c r="W392" s="497"/>
      <c r="X392" s="497"/>
      <c r="Y392" s="497"/>
      <c r="Z392" s="497"/>
      <c r="AA392" s="677"/>
      <c r="AB392" s="677"/>
      <c r="AC392" s="677"/>
      <c r="AD392" s="497"/>
      <c r="AE392" s="497"/>
      <c r="AF392" s="497"/>
      <c r="AG392" s="497"/>
      <c r="AH392" s="677"/>
      <c r="AI392" s="677"/>
      <c r="AJ392" s="677"/>
      <c r="AK392" s="677"/>
    </row>
    <row r="393" spans="1:37" s="521" customFormat="1">
      <c r="A393" s="522"/>
      <c r="B393" s="522"/>
      <c r="C393" s="522"/>
      <c r="L393" s="824"/>
      <c r="P393" s="522"/>
      <c r="W393" s="497"/>
      <c r="X393" s="497"/>
      <c r="Y393" s="497"/>
      <c r="Z393" s="497"/>
      <c r="AA393" s="677"/>
      <c r="AB393" s="677"/>
      <c r="AC393" s="677"/>
      <c r="AD393" s="497"/>
      <c r="AE393" s="497"/>
      <c r="AF393" s="497"/>
      <c r="AG393" s="497"/>
      <c r="AH393" s="677"/>
      <c r="AI393" s="677"/>
      <c r="AJ393" s="677"/>
      <c r="AK393" s="677"/>
    </row>
    <row r="394" spans="1:37" s="521" customFormat="1">
      <c r="A394" s="522"/>
      <c r="B394" s="522"/>
      <c r="C394" s="522"/>
      <c r="L394" s="824"/>
      <c r="P394" s="522"/>
      <c r="W394" s="497"/>
      <c r="X394" s="497"/>
      <c r="Y394" s="497"/>
      <c r="Z394" s="497"/>
      <c r="AA394" s="677"/>
      <c r="AB394" s="677"/>
      <c r="AC394" s="677"/>
      <c r="AD394" s="497"/>
      <c r="AE394" s="497"/>
      <c r="AF394" s="497"/>
      <c r="AG394" s="497"/>
      <c r="AH394" s="677"/>
      <c r="AI394" s="677"/>
      <c r="AJ394" s="677"/>
      <c r="AK394" s="677"/>
    </row>
    <row r="395" spans="1:37" s="521" customFormat="1">
      <c r="A395" s="522"/>
      <c r="B395" s="522"/>
      <c r="C395" s="522"/>
      <c r="L395" s="824"/>
      <c r="P395" s="522"/>
      <c r="W395" s="497"/>
      <c r="X395" s="497"/>
      <c r="Y395" s="497"/>
      <c r="Z395" s="497"/>
      <c r="AA395" s="677"/>
      <c r="AB395" s="677"/>
      <c r="AC395" s="677"/>
      <c r="AD395" s="497"/>
      <c r="AE395" s="497"/>
      <c r="AF395" s="497"/>
      <c r="AG395" s="497"/>
      <c r="AH395" s="677"/>
      <c r="AI395" s="677"/>
      <c r="AJ395" s="677"/>
      <c r="AK395" s="677"/>
    </row>
    <row r="396" spans="1:37" s="521" customFormat="1">
      <c r="A396" s="522"/>
      <c r="B396" s="522"/>
      <c r="C396" s="522"/>
      <c r="L396" s="824"/>
      <c r="P396" s="522"/>
      <c r="W396" s="497"/>
      <c r="X396" s="497"/>
      <c r="Y396" s="497"/>
      <c r="Z396" s="497"/>
      <c r="AA396" s="677"/>
      <c r="AB396" s="677"/>
      <c r="AC396" s="677"/>
      <c r="AD396" s="497"/>
      <c r="AE396" s="497"/>
      <c r="AF396" s="497"/>
      <c r="AG396" s="497"/>
      <c r="AH396" s="677"/>
      <c r="AI396" s="677"/>
      <c r="AJ396" s="677"/>
      <c r="AK396" s="677"/>
    </row>
    <row r="397" spans="1:37" s="521" customFormat="1">
      <c r="A397" s="522"/>
      <c r="B397" s="522"/>
      <c r="C397" s="522"/>
      <c r="L397" s="824"/>
      <c r="P397" s="522"/>
      <c r="W397" s="497"/>
      <c r="X397" s="497"/>
      <c r="Y397" s="497"/>
      <c r="Z397" s="497"/>
      <c r="AA397" s="677"/>
      <c r="AB397" s="677"/>
      <c r="AC397" s="677"/>
      <c r="AD397" s="497"/>
      <c r="AE397" s="497"/>
      <c r="AF397" s="497"/>
      <c r="AG397" s="497"/>
      <c r="AH397" s="677"/>
      <c r="AI397" s="677"/>
      <c r="AJ397" s="677"/>
      <c r="AK397" s="677"/>
    </row>
    <row r="398" spans="1:37" s="521" customFormat="1">
      <c r="A398" s="522"/>
      <c r="B398" s="522"/>
      <c r="C398" s="522"/>
      <c r="L398" s="824"/>
      <c r="P398" s="522"/>
      <c r="W398" s="497"/>
      <c r="X398" s="497"/>
      <c r="Y398" s="497"/>
      <c r="Z398" s="497"/>
      <c r="AA398" s="677"/>
      <c r="AB398" s="677"/>
      <c r="AC398" s="677"/>
      <c r="AD398" s="497"/>
      <c r="AE398" s="497"/>
      <c r="AF398" s="497"/>
      <c r="AG398" s="497"/>
      <c r="AH398" s="677"/>
      <c r="AI398" s="677"/>
      <c r="AJ398" s="677"/>
      <c r="AK398" s="677"/>
    </row>
    <row r="399" spans="1:37" s="521" customFormat="1">
      <c r="A399" s="522"/>
      <c r="B399" s="522"/>
      <c r="C399" s="522"/>
      <c r="L399" s="824"/>
      <c r="P399" s="522"/>
      <c r="W399" s="497"/>
      <c r="X399" s="497"/>
      <c r="Y399" s="497"/>
      <c r="Z399" s="497"/>
      <c r="AA399" s="677"/>
      <c r="AB399" s="677"/>
      <c r="AC399" s="677"/>
      <c r="AD399" s="497"/>
      <c r="AE399" s="497"/>
      <c r="AF399" s="497"/>
      <c r="AG399" s="497"/>
      <c r="AH399" s="677"/>
      <c r="AI399" s="677"/>
      <c r="AJ399" s="677"/>
      <c r="AK399" s="677"/>
    </row>
    <row r="400" spans="1:37" s="521" customFormat="1">
      <c r="A400" s="522"/>
      <c r="B400" s="522"/>
      <c r="C400" s="522"/>
      <c r="L400" s="824"/>
      <c r="P400" s="522"/>
      <c r="W400" s="497"/>
      <c r="X400" s="497"/>
      <c r="Y400" s="497"/>
      <c r="Z400" s="497"/>
      <c r="AA400" s="677"/>
      <c r="AB400" s="677"/>
      <c r="AC400" s="677"/>
      <c r="AD400" s="497"/>
      <c r="AE400" s="497"/>
      <c r="AF400" s="497"/>
      <c r="AG400" s="497"/>
      <c r="AH400" s="677"/>
      <c r="AI400" s="677"/>
      <c r="AJ400" s="677"/>
      <c r="AK400" s="677"/>
    </row>
    <row r="401" spans="1:37" s="521" customFormat="1">
      <c r="A401" s="522"/>
      <c r="B401" s="522"/>
      <c r="C401" s="522"/>
      <c r="L401" s="824"/>
      <c r="P401" s="522"/>
      <c r="W401" s="497"/>
      <c r="X401" s="497"/>
      <c r="Y401" s="497"/>
      <c r="Z401" s="497"/>
      <c r="AA401" s="677"/>
      <c r="AB401" s="677"/>
      <c r="AC401" s="677"/>
      <c r="AD401" s="497"/>
      <c r="AE401" s="497"/>
      <c r="AF401" s="497"/>
      <c r="AG401" s="497"/>
      <c r="AH401" s="677"/>
      <c r="AI401" s="677"/>
      <c r="AJ401" s="677"/>
      <c r="AK401" s="677"/>
    </row>
    <row r="402" spans="1:37" s="521" customFormat="1">
      <c r="A402" s="522"/>
      <c r="B402" s="522"/>
      <c r="C402" s="522"/>
      <c r="L402" s="824"/>
      <c r="P402" s="522"/>
      <c r="W402" s="497"/>
      <c r="X402" s="497"/>
      <c r="Y402" s="497"/>
      <c r="Z402" s="497"/>
      <c r="AA402" s="677"/>
      <c r="AB402" s="677"/>
      <c r="AC402" s="677"/>
      <c r="AD402" s="497"/>
      <c r="AE402" s="497"/>
      <c r="AF402" s="497"/>
      <c r="AG402" s="497"/>
      <c r="AH402" s="677"/>
      <c r="AI402" s="677"/>
      <c r="AJ402" s="677"/>
      <c r="AK402" s="677"/>
    </row>
    <row r="403" spans="1:37" s="521" customFormat="1">
      <c r="A403" s="522"/>
      <c r="B403" s="522"/>
      <c r="C403" s="522"/>
      <c r="L403" s="824"/>
      <c r="P403" s="522"/>
      <c r="W403" s="497"/>
      <c r="X403" s="497"/>
      <c r="Y403" s="497"/>
      <c r="Z403" s="497"/>
      <c r="AA403" s="677"/>
      <c r="AB403" s="677"/>
      <c r="AC403" s="677"/>
      <c r="AD403" s="497"/>
      <c r="AE403" s="497"/>
      <c r="AF403" s="497"/>
      <c r="AG403" s="497"/>
      <c r="AH403" s="677"/>
      <c r="AI403" s="677"/>
      <c r="AJ403" s="677"/>
      <c r="AK403" s="677"/>
    </row>
    <row r="404" spans="1:37" s="521" customFormat="1">
      <c r="A404" s="522"/>
      <c r="B404" s="522"/>
      <c r="C404" s="522"/>
      <c r="L404" s="824"/>
      <c r="P404" s="522"/>
      <c r="W404" s="497"/>
      <c r="X404" s="497"/>
      <c r="Y404" s="497"/>
      <c r="Z404" s="497"/>
      <c r="AA404" s="677"/>
      <c r="AB404" s="677"/>
      <c r="AC404" s="677"/>
      <c r="AD404" s="497"/>
      <c r="AE404" s="497"/>
      <c r="AF404" s="497"/>
      <c r="AG404" s="497"/>
      <c r="AH404" s="677"/>
      <c r="AI404" s="677"/>
      <c r="AJ404" s="677"/>
      <c r="AK404" s="677"/>
    </row>
    <row r="405" spans="1:37" s="521" customFormat="1">
      <c r="A405" s="522"/>
      <c r="B405" s="522"/>
      <c r="C405" s="522"/>
      <c r="L405" s="824"/>
      <c r="P405" s="522"/>
      <c r="W405" s="497"/>
      <c r="X405" s="497"/>
      <c r="Y405" s="497"/>
      <c r="Z405" s="497"/>
      <c r="AA405" s="677"/>
      <c r="AB405" s="677"/>
      <c r="AC405" s="677"/>
      <c r="AD405" s="497"/>
      <c r="AE405" s="497"/>
      <c r="AF405" s="497"/>
      <c r="AG405" s="497"/>
      <c r="AH405" s="677"/>
      <c r="AI405" s="677"/>
      <c r="AJ405" s="677"/>
      <c r="AK405" s="677"/>
    </row>
    <row r="406" spans="1:37" s="521" customFormat="1">
      <c r="A406" s="522"/>
      <c r="B406" s="522"/>
      <c r="C406" s="522"/>
      <c r="L406" s="824"/>
      <c r="P406" s="522"/>
      <c r="W406" s="497"/>
      <c r="X406" s="497"/>
      <c r="Y406" s="497"/>
      <c r="Z406" s="497"/>
      <c r="AA406" s="677"/>
      <c r="AB406" s="677"/>
      <c r="AC406" s="677"/>
      <c r="AD406" s="497"/>
      <c r="AE406" s="497"/>
      <c r="AF406" s="497"/>
      <c r="AG406" s="497"/>
      <c r="AH406" s="677"/>
      <c r="AI406" s="677"/>
      <c r="AJ406" s="677"/>
      <c r="AK406" s="677"/>
    </row>
    <row r="407" spans="1:37" s="521" customFormat="1">
      <c r="A407" s="522"/>
      <c r="B407" s="522"/>
      <c r="C407" s="522"/>
      <c r="L407" s="824"/>
      <c r="P407" s="522"/>
      <c r="W407" s="497"/>
      <c r="X407" s="497"/>
      <c r="Y407" s="497"/>
      <c r="Z407" s="497"/>
      <c r="AA407" s="677"/>
      <c r="AB407" s="677"/>
      <c r="AC407" s="677"/>
      <c r="AD407" s="497"/>
      <c r="AE407" s="497"/>
      <c r="AF407" s="497"/>
      <c r="AG407" s="497"/>
      <c r="AH407" s="677"/>
      <c r="AI407" s="677"/>
      <c r="AJ407" s="677"/>
      <c r="AK407" s="677"/>
    </row>
    <row r="408" spans="1:37" s="521" customFormat="1">
      <c r="A408" s="522"/>
      <c r="B408" s="522"/>
      <c r="C408" s="522"/>
      <c r="L408" s="824"/>
      <c r="P408" s="522"/>
      <c r="W408" s="497"/>
      <c r="X408" s="497"/>
      <c r="Y408" s="497"/>
      <c r="Z408" s="497"/>
      <c r="AA408" s="677"/>
      <c r="AB408" s="677"/>
      <c r="AC408" s="677"/>
      <c r="AD408" s="497"/>
      <c r="AE408" s="497"/>
      <c r="AF408" s="497"/>
      <c r="AG408" s="497"/>
      <c r="AH408" s="677"/>
      <c r="AI408" s="677"/>
      <c r="AJ408" s="677"/>
      <c r="AK408" s="677"/>
    </row>
    <row r="409" spans="1:37" s="521" customFormat="1">
      <c r="A409" s="522"/>
      <c r="B409" s="522"/>
      <c r="C409" s="522"/>
      <c r="L409" s="824"/>
      <c r="P409" s="522"/>
      <c r="W409" s="497"/>
      <c r="X409" s="497"/>
      <c r="Y409" s="497"/>
      <c r="Z409" s="497"/>
      <c r="AA409" s="677"/>
      <c r="AB409" s="677"/>
      <c r="AC409" s="677"/>
      <c r="AD409" s="497"/>
      <c r="AE409" s="497"/>
      <c r="AF409" s="497"/>
      <c r="AG409" s="497"/>
      <c r="AH409" s="677"/>
      <c r="AI409" s="677"/>
      <c r="AJ409" s="677"/>
      <c r="AK409" s="677"/>
    </row>
    <row r="410" spans="1:37" s="521" customFormat="1">
      <c r="A410" s="522"/>
      <c r="B410" s="522"/>
      <c r="C410" s="522"/>
      <c r="L410" s="824"/>
      <c r="P410" s="522"/>
      <c r="W410" s="497"/>
      <c r="X410" s="497"/>
      <c r="Y410" s="497"/>
      <c r="Z410" s="497"/>
      <c r="AA410" s="677"/>
      <c r="AB410" s="677"/>
      <c r="AC410" s="677"/>
      <c r="AD410" s="497"/>
      <c r="AE410" s="497"/>
      <c r="AF410" s="497"/>
      <c r="AG410" s="497"/>
      <c r="AH410" s="677"/>
      <c r="AI410" s="677"/>
      <c r="AJ410" s="677"/>
      <c r="AK410" s="677"/>
    </row>
    <row r="411" spans="1:37" s="521" customFormat="1">
      <c r="A411" s="522"/>
      <c r="B411" s="522"/>
      <c r="C411" s="522"/>
      <c r="L411" s="824"/>
      <c r="P411" s="522"/>
      <c r="W411" s="497"/>
      <c r="X411" s="497"/>
      <c r="Y411" s="497"/>
      <c r="Z411" s="497"/>
      <c r="AA411" s="677"/>
      <c r="AB411" s="677"/>
      <c r="AC411" s="677"/>
      <c r="AD411" s="497"/>
      <c r="AE411" s="497"/>
      <c r="AF411" s="497"/>
      <c r="AG411" s="497"/>
      <c r="AH411" s="677"/>
      <c r="AI411" s="677"/>
      <c r="AJ411" s="677"/>
      <c r="AK411" s="677"/>
    </row>
    <row r="412" spans="1:37" s="521" customFormat="1">
      <c r="A412" s="522"/>
      <c r="B412" s="522"/>
      <c r="C412" s="522"/>
      <c r="L412" s="824"/>
      <c r="P412" s="522"/>
      <c r="W412" s="497"/>
      <c r="X412" s="497"/>
      <c r="Y412" s="497"/>
      <c r="Z412" s="497"/>
      <c r="AA412" s="677"/>
      <c r="AB412" s="677"/>
      <c r="AC412" s="677"/>
      <c r="AD412" s="497"/>
      <c r="AE412" s="497"/>
      <c r="AF412" s="497"/>
      <c r="AG412" s="497"/>
      <c r="AH412" s="677"/>
      <c r="AI412" s="677"/>
      <c r="AJ412" s="677"/>
      <c r="AK412" s="677"/>
    </row>
    <row r="413" spans="1:37" s="521" customFormat="1">
      <c r="A413" s="522"/>
      <c r="B413" s="522"/>
      <c r="C413" s="522"/>
      <c r="L413" s="824"/>
      <c r="P413" s="522"/>
      <c r="W413" s="497"/>
      <c r="X413" s="497"/>
      <c r="Y413" s="497"/>
      <c r="Z413" s="497"/>
      <c r="AA413" s="677"/>
      <c r="AB413" s="677"/>
      <c r="AC413" s="677"/>
      <c r="AD413" s="497"/>
      <c r="AE413" s="497"/>
      <c r="AF413" s="497"/>
      <c r="AG413" s="497"/>
      <c r="AH413" s="677"/>
      <c r="AI413" s="677"/>
      <c r="AJ413" s="677"/>
      <c r="AK413" s="677"/>
    </row>
    <row r="414" spans="1:37" s="521" customFormat="1">
      <c r="A414" s="522"/>
      <c r="B414" s="522"/>
      <c r="C414" s="522"/>
      <c r="L414" s="824"/>
      <c r="P414" s="522"/>
      <c r="W414" s="497"/>
      <c r="X414" s="497"/>
      <c r="Y414" s="497"/>
      <c r="Z414" s="497"/>
      <c r="AA414" s="677"/>
      <c r="AB414" s="677"/>
      <c r="AC414" s="677"/>
      <c r="AD414" s="497"/>
      <c r="AE414" s="497"/>
      <c r="AF414" s="497"/>
      <c r="AG414" s="497"/>
      <c r="AH414" s="677"/>
      <c r="AI414" s="677"/>
      <c r="AJ414" s="677"/>
      <c r="AK414" s="677"/>
    </row>
    <row r="415" spans="1:37" s="521" customFormat="1">
      <c r="A415" s="522"/>
      <c r="B415" s="522"/>
      <c r="C415" s="522"/>
      <c r="L415" s="824"/>
      <c r="P415" s="522"/>
      <c r="W415" s="497"/>
      <c r="X415" s="497"/>
      <c r="Y415" s="497"/>
      <c r="Z415" s="497"/>
      <c r="AA415" s="677"/>
      <c r="AB415" s="677"/>
      <c r="AC415" s="677"/>
      <c r="AD415" s="497"/>
      <c r="AE415" s="497"/>
      <c r="AF415" s="497"/>
      <c r="AG415" s="497"/>
      <c r="AH415" s="677"/>
      <c r="AI415" s="677"/>
      <c r="AJ415" s="677"/>
      <c r="AK415" s="677"/>
    </row>
    <row r="416" spans="1:37" s="521" customFormat="1">
      <c r="A416" s="522"/>
      <c r="B416" s="522"/>
      <c r="C416" s="522"/>
      <c r="L416" s="824"/>
      <c r="P416" s="522"/>
      <c r="W416" s="497"/>
      <c r="X416" s="497"/>
      <c r="Y416" s="497"/>
      <c r="Z416" s="497"/>
      <c r="AA416" s="677"/>
      <c r="AB416" s="677"/>
      <c r="AC416" s="677"/>
      <c r="AD416" s="497"/>
      <c r="AE416" s="497"/>
      <c r="AF416" s="497"/>
      <c r="AG416" s="497"/>
      <c r="AH416" s="677"/>
      <c r="AI416" s="677"/>
      <c r="AJ416" s="677"/>
      <c r="AK416" s="677"/>
    </row>
    <row r="417" spans="1:37" s="521" customFormat="1">
      <c r="A417" s="522"/>
      <c r="B417" s="522"/>
      <c r="C417" s="522"/>
      <c r="L417" s="824"/>
      <c r="P417" s="522"/>
      <c r="W417" s="497"/>
      <c r="X417" s="497"/>
      <c r="Y417" s="497"/>
      <c r="Z417" s="497"/>
      <c r="AA417" s="677"/>
      <c r="AB417" s="677"/>
      <c r="AC417" s="677"/>
      <c r="AD417" s="497"/>
      <c r="AE417" s="497"/>
      <c r="AF417" s="497"/>
      <c r="AG417" s="497"/>
      <c r="AH417" s="677"/>
      <c r="AI417" s="677"/>
      <c r="AJ417" s="677"/>
      <c r="AK417" s="677"/>
    </row>
    <row r="418" spans="1:37" s="521" customFormat="1">
      <c r="A418" s="522"/>
      <c r="B418" s="522"/>
      <c r="C418" s="522"/>
      <c r="L418" s="824"/>
      <c r="P418" s="522"/>
      <c r="W418" s="497"/>
      <c r="X418" s="497"/>
      <c r="Y418" s="497"/>
      <c r="Z418" s="497"/>
      <c r="AA418" s="677"/>
      <c r="AB418" s="677"/>
      <c r="AC418" s="677"/>
      <c r="AD418" s="497"/>
      <c r="AE418" s="497"/>
      <c r="AF418" s="497"/>
      <c r="AG418" s="497"/>
      <c r="AH418" s="677"/>
      <c r="AI418" s="677"/>
      <c r="AJ418" s="677"/>
      <c r="AK418" s="677"/>
    </row>
    <row r="419" spans="1:37" s="521" customFormat="1">
      <c r="A419" s="522"/>
      <c r="B419" s="522"/>
      <c r="C419" s="522"/>
      <c r="L419" s="824"/>
      <c r="P419" s="522"/>
      <c r="W419" s="497"/>
      <c r="X419" s="497"/>
      <c r="Y419" s="497"/>
      <c r="Z419" s="497"/>
      <c r="AA419" s="677"/>
      <c r="AB419" s="677"/>
      <c r="AC419" s="677"/>
      <c r="AD419" s="497"/>
      <c r="AE419" s="497"/>
      <c r="AF419" s="497"/>
      <c r="AG419" s="497"/>
      <c r="AH419" s="677"/>
      <c r="AI419" s="677"/>
      <c r="AJ419" s="677"/>
      <c r="AK419" s="677"/>
    </row>
    <row r="420" spans="1:37" s="521" customFormat="1">
      <c r="A420" s="522"/>
      <c r="B420" s="522"/>
      <c r="C420" s="522"/>
      <c r="L420" s="824"/>
      <c r="P420" s="522"/>
      <c r="W420" s="497"/>
      <c r="X420" s="497"/>
      <c r="Y420" s="497"/>
      <c r="Z420" s="497"/>
      <c r="AA420" s="677"/>
      <c r="AB420" s="677"/>
      <c r="AC420" s="677"/>
      <c r="AD420" s="497"/>
      <c r="AE420" s="497"/>
      <c r="AF420" s="497"/>
      <c r="AG420" s="497"/>
      <c r="AH420" s="677"/>
      <c r="AI420" s="677"/>
      <c r="AJ420" s="677"/>
      <c r="AK420" s="677"/>
    </row>
    <row r="421" spans="1:37" s="521" customFormat="1">
      <c r="A421" s="522"/>
      <c r="B421" s="522"/>
      <c r="C421" s="522"/>
      <c r="L421" s="824"/>
      <c r="P421" s="522"/>
      <c r="W421" s="497"/>
      <c r="X421" s="497"/>
      <c r="Y421" s="497"/>
      <c r="Z421" s="497"/>
      <c r="AA421" s="677"/>
      <c r="AB421" s="677"/>
      <c r="AC421" s="677"/>
      <c r="AD421" s="497"/>
      <c r="AE421" s="497"/>
      <c r="AF421" s="497"/>
      <c r="AG421" s="497"/>
      <c r="AH421" s="677"/>
      <c r="AI421" s="677"/>
      <c r="AJ421" s="677"/>
      <c r="AK421" s="677"/>
    </row>
    <row r="422" spans="1:37" s="521" customFormat="1">
      <c r="A422" s="522"/>
      <c r="B422" s="522"/>
      <c r="C422" s="522"/>
      <c r="L422" s="824"/>
      <c r="P422" s="522"/>
      <c r="W422" s="497"/>
      <c r="X422" s="497"/>
      <c r="Y422" s="497"/>
      <c r="Z422" s="497"/>
      <c r="AA422" s="677"/>
      <c r="AB422" s="677"/>
      <c r="AC422" s="677"/>
      <c r="AD422" s="497"/>
      <c r="AE422" s="497"/>
      <c r="AF422" s="497"/>
      <c r="AG422" s="497"/>
      <c r="AH422" s="677"/>
      <c r="AI422" s="677"/>
      <c r="AJ422" s="677"/>
      <c r="AK422" s="677"/>
    </row>
    <row r="423" spans="1:37" s="521" customFormat="1">
      <c r="A423" s="522"/>
      <c r="B423" s="522"/>
      <c r="C423" s="522"/>
      <c r="L423" s="824"/>
      <c r="P423" s="522"/>
      <c r="W423" s="497"/>
      <c r="X423" s="497"/>
      <c r="Y423" s="497"/>
      <c r="Z423" s="497"/>
      <c r="AA423" s="677"/>
      <c r="AB423" s="677"/>
      <c r="AC423" s="677"/>
      <c r="AD423" s="497"/>
      <c r="AE423" s="497"/>
      <c r="AF423" s="497"/>
      <c r="AG423" s="497"/>
      <c r="AH423" s="677"/>
      <c r="AI423" s="677"/>
      <c r="AJ423" s="677"/>
      <c r="AK423" s="677"/>
    </row>
    <row r="424" spans="1:37" s="521" customFormat="1">
      <c r="A424" s="522"/>
      <c r="B424" s="522"/>
      <c r="C424" s="522"/>
      <c r="L424" s="824"/>
      <c r="P424" s="522"/>
      <c r="W424" s="497"/>
      <c r="X424" s="497"/>
      <c r="Y424" s="497"/>
      <c r="Z424" s="497"/>
      <c r="AA424" s="677"/>
      <c r="AB424" s="677"/>
      <c r="AC424" s="677"/>
      <c r="AD424" s="497"/>
      <c r="AE424" s="497"/>
      <c r="AF424" s="497"/>
      <c r="AG424" s="497"/>
      <c r="AH424" s="677"/>
      <c r="AI424" s="677"/>
      <c r="AJ424" s="677"/>
      <c r="AK424" s="677"/>
    </row>
    <row r="425" spans="1:37" s="521" customFormat="1">
      <c r="A425" s="522"/>
      <c r="B425" s="522"/>
      <c r="C425" s="522"/>
      <c r="L425" s="824"/>
      <c r="P425" s="522"/>
      <c r="W425" s="497"/>
      <c r="X425" s="497"/>
      <c r="Y425" s="497"/>
      <c r="Z425" s="497"/>
      <c r="AA425" s="677"/>
      <c r="AB425" s="677"/>
      <c r="AC425" s="677"/>
      <c r="AD425" s="497"/>
      <c r="AE425" s="497"/>
      <c r="AF425" s="497"/>
      <c r="AG425" s="497"/>
      <c r="AH425" s="677"/>
      <c r="AI425" s="677"/>
      <c r="AJ425" s="677"/>
      <c r="AK425" s="677"/>
    </row>
    <row r="426" spans="1:37" s="521" customFormat="1">
      <c r="A426" s="522"/>
      <c r="B426" s="522"/>
      <c r="C426" s="522"/>
      <c r="L426" s="824"/>
      <c r="P426" s="522"/>
      <c r="W426" s="497"/>
      <c r="X426" s="497"/>
      <c r="Y426" s="497"/>
      <c r="Z426" s="497"/>
      <c r="AA426" s="677"/>
      <c r="AB426" s="677"/>
      <c r="AC426" s="677"/>
      <c r="AD426" s="497"/>
      <c r="AE426" s="497"/>
      <c r="AF426" s="497"/>
      <c r="AG426" s="497"/>
      <c r="AH426" s="677"/>
      <c r="AI426" s="677"/>
      <c r="AJ426" s="677"/>
      <c r="AK426" s="677"/>
    </row>
    <row r="427" spans="1:37" s="521" customFormat="1">
      <c r="A427" s="522"/>
      <c r="B427" s="522"/>
      <c r="C427" s="522"/>
      <c r="L427" s="824"/>
      <c r="P427" s="522"/>
      <c r="W427" s="497"/>
      <c r="X427" s="497"/>
      <c r="Y427" s="497"/>
      <c r="Z427" s="497"/>
      <c r="AA427" s="677"/>
      <c r="AB427" s="677"/>
      <c r="AC427" s="677"/>
      <c r="AD427" s="497"/>
      <c r="AE427" s="497"/>
      <c r="AF427" s="497"/>
      <c r="AG427" s="497"/>
      <c r="AH427" s="677"/>
      <c r="AI427" s="677"/>
      <c r="AJ427" s="677"/>
      <c r="AK427" s="677"/>
    </row>
    <row r="428" spans="1:37" s="521" customFormat="1">
      <c r="A428" s="522"/>
      <c r="B428" s="522"/>
      <c r="C428" s="522"/>
      <c r="L428" s="824"/>
      <c r="P428" s="522"/>
      <c r="W428" s="497"/>
      <c r="X428" s="497"/>
      <c r="Y428" s="497"/>
      <c r="Z428" s="497"/>
      <c r="AA428" s="677"/>
      <c r="AB428" s="677"/>
      <c r="AC428" s="677"/>
      <c r="AD428" s="497"/>
      <c r="AE428" s="497"/>
      <c r="AF428" s="497"/>
      <c r="AG428" s="497"/>
      <c r="AH428" s="677"/>
      <c r="AI428" s="677"/>
      <c r="AJ428" s="677"/>
      <c r="AK428" s="677"/>
    </row>
    <row r="429" spans="1:37" s="521" customFormat="1">
      <c r="A429" s="522"/>
      <c r="B429" s="522"/>
      <c r="C429" s="522"/>
      <c r="L429" s="824"/>
      <c r="P429" s="522"/>
      <c r="W429" s="497"/>
      <c r="X429" s="497"/>
      <c r="Y429" s="497"/>
      <c r="Z429" s="497"/>
      <c r="AA429" s="677"/>
      <c r="AB429" s="677"/>
      <c r="AC429" s="677"/>
      <c r="AD429" s="497"/>
      <c r="AE429" s="497"/>
      <c r="AF429" s="497"/>
      <c r="AG429" s="497"/>
      <c r="AH429" s="677"/>
      <c r="AI429" s="677"/>
      <c r="AJ429" s="677"/>
      <c r="AK429" s="677"/>
    </row>
    <row r="430" spans="1:37" s="521" customFormat="1">
      <c r="A430" s="522"/>
      <c r="B430" s="522"/>
      <c r="C430" s="522"/>
      <c r="L430" s="824"/>
      <c r="P430" s="522"/>
      <c r="W430" s="497"/>
      <c r="X430" s="497"/>
      <c r="Y430" s="497"/>
      <c r="Z430" s="497"/>
      <c r="AA430" s="677"/>
      <c r="AB430" s="677"/>
      <c r="AC430" s="677"/>
      <c r="AD430" s="497"/>
      <c r="AE430" s="497"/>
      <c r="AF430" s="497"/>
      <c r="AG430" s="497"/>
      <c r="AH430" s="677"/>
      <c r="AI430" s="677"/>
      <c r="AJ430" s="677"/>
      <c r="AK430" s="677"/>
    </row>
    <row r="431" spans="1:37" s="521" customFormat="1">
      <c r="A431" s="522"/>
      <c r="B431" s="522"/>
      <c r="C431" s="522"/>
      <c r="L431" s="824"/>
      <c r="P431" s="522"/>
      <c r="W431" s="497"/>
      <c r="X431" s="497"/>
      <c r="Y431" s="497"/>
      <c r="Z431" s="497"/>
      <c r="AA431" s="677"/>
      <c r="AB431" s="677"/>
      <c r="AC431" s="677"/>
      <c r="AD431" s="497"/>
      <c r="AE431" s="497"/>
      <c r="AF431" s="497"/>
      <c r="AG431" s="497"/>
      <c r="AH431" s="677"/>
      <c r="AI431" s="677"/>
      <c r="AJ431" s="677"/>
      <c r="AK431" s="677"/>
    </row>
    <row r="432" spans="1:37" s="521" customFormat="1">
      <c r="A432" s="522"/>
      <c r="B432" s="522"/>
      <c r="C432" s="522"/>
      <c r="L432" s="824"/>
      <c r="P432" s="522"/>
      <c r="W432" s="497"/>
      <c r="X432" s="497"/>
      <c r="Y432" s="497"/>
      <c r="Z432" s="497"/>
      <c r="AA432" s="677"/>
      <c r="AB432" s="677"/>
      <c r="AC432" s="677"/>
      <c r="AD432" s="497"/>
      <c r="AE432" s="497"/>
      <c r="AF432" s="497"/>
      <c r="AG432" s="497"/>
      <c r="AH432" s="677"/>
      <c r="AI432" s="677"/>
      <c r="AJ432" s="677"/>
      <c r="AK432" s="677"/>
    </row>
    <row r="433" spans="1:37" s="521" customFormat="1">
      <c r="A433" s="522"/>
      <c r="B433" s="522"/>
      <c r="C433" s="522"/>
      <c r="L433" s="824"/>
      <c r="P433" s="522"/>
      <c r="W433" s="497"/>
      <c r="X433" s="497"/>
      <c r="Y433" s="497"/>
      <c r="Z433" s="497"/>
      <c r="AA433" s="677"/>
      <c r="AB433" s="677"/>
      <c r="AC433" s="677"/>
      <c r="AD433" s="497"/>
      <c r="AE433" s="497"/>
      <c r="AF433" s="497"/>
      <c r="AG433" s="497"/>
      <c r="AH433" s="677"/>
      <c r="AI433" s="677"/>
      <c r="AJ433" s="677"/>
      <c r="AK433" s="677"/>
    </row>
    <row r="434" spans="1:37" s="521" customFormat="1">
      <c r="A434" s="522"/>
      <c r="B434" s="522"/>
      <c r="C434" s="522"/>
      <c r="L434" s="824"/>
      <c r="P434" s="522"/>
      <c r="W434" s="497"/>
      <c r="X434" s="497"/>
      <c r="Y434" s="497"/>
      <c r="Z434" s="497"/>
      <c r="AA434" s="677"/>
      <c r="AB434" s="677"/>
      <c r="AC434" s="677"/>
      <c r="AD434" s="497"/>
      <c r="AE434" s="497"/>
      <c r="AF434" s="497"/>
      <c r="AG434" s="497"/>
      <c r="AH434" s="677"/>
      <c r="AI434" s="677"/>
      <c r="AJ434" s="677"/>
      <c r="AK434" s="677"/>
    </row>
    <row r="435" spans="1:37" s="521" customFormat="1">
      <c r="A435" s="522"/>
      <c r="B435" s="522"/>
      <c r="C435" s="522"/>
      <c r="L435" s="824"/>
      <c r="P435" s="522"/>
      <c r="W435" s="497"/>
      <c r="X435" s="497"/>
      <c r="Y435" s="497"/>
      <c r="Z435" s="497"/>
      <c r="AA435" s="677"/>
      <c r="AB435" s="677"/>
      <c r="AC435" s="677"/>
      <c r="AD435" s="497"/>
      <c r="AE435" s="497"/>
      <c r="AF435" s="497"/>
      <c r="AG435" s="497"/>
      <c r="AH435" s="677"/>
      <c r="AI435" s="677"/>
      <c r="AJ435" s="677"/>
      <c r="AK435" s="677"/>
    </row>
    <row r="436" spans="1:37" s="521" customFormat="1">
      <c r="A436" s="522"/>
      <c r="B436" s="522"/>
      <c r="C436" s="522"/>
      <c r="L436" s="824"/>
      <c r="P436" s="522"/>
      <c r="W436" s="497"/>
      <c r="X436" s="497"/>
      <c r="Y436" s="497"/>
      <c r="Z436" s="497"/>
      <c r="AA436" s="677"/>
      <c r="AB436" s="677"/>
      <c r="AC436" s="677"/>
      <c r="AD436" s="497"/>
      <c r="AE436" s="497"/>
      <c r="AF436" s="497"/>
      <c r="AG436" s="497"/>
      <c r="AH436" s="677"/>
      <c r="AI436" s="677"/>
      <c r="AJ436" s="677"/>
      <c r="AK436" s="677"/>
    </row>
    <row r="437" spans="1:37" s="521" customFormat="1">
      <c r="A437" s="522"/>
      <c r="B437" s="522"/>
      <c r="C437" s="522"/>
      <c r="L437" s="824"/>
      <c r="P437" s="522"/>
      <c r="W437" s="497"/>
      <c r="X437" s="497"/>
      <c r="Y437" s="497"/>
      <c r="Z437" s="497"/>
      <c r="AA437" s="677"/>
      <c r="AB437" s="677"/>
      <c r="AC437" s="677"/>
      <c r="AD437" s="497"/>
      <c r="AE437" s="497"/>
      <c r="AF437" s="497"/>
      <c r="AG437" s="497"/>
      <c r="AH437" s="677"/>
      <c r="AI437" s="677"/>
      <c r="AJ437" s="677"/>
      <c r="AK437" s="677"/>
    </row>
    <row r="438" spans="1:37" s="521" customFormat="1">
      <c r="A438" s="522"/>
      <c r="B438" s="522"/>
      <c r="C438" s="522"/>
      <c r="L438" s="824"/>
      <c r="P438" s="522"/>
      <c r="W438" s="497"/>
      <c r="X438" s="497"/>
      <c r="Y438" s="497"/>
      <c r="Z438" s="497"/>
      <c r="AA438" s="677"/>
      <c r="AB438" s="677"/>
      <c r="AC438" s="677"/>
      <c r="AD438" s="497"/>
      <c r="AE438" s="497"/>
      <c r="AF438" s="497"/>
      <c r="AG438" s="497"/>
      <c r="AH438" s="677"/>
      <c r="AI438" s="677"/>
      <c r="AJ438" s="677"/>
      <c r="AK438" s="677"/>
    </row>
    <row r="439" spans="1:37" s="521" customFormat="1">
      <c r="A439" s="522"/>
      <c r="B439" s="522"/>
      <c r="C439" s="522"/>
      <c r="L439" s="824"/>
      <c r="P439" s="522"/>
      <c r="W439" s="497"/>
      <c r="X439" s="497"/>
      <c r="Y439" s="497"/>
      <c r="Z439" s="497"/>
      <c r="AA439" s="677"/>
      <c r="AB439" s="677"/>
      <c r="AC439" s="677"/>
      <c r="AD439" s="497"/>
      <c r="AE439" s="497"/>
      <c r="AF439" s="497"/>
      <c r="AG439" s="497"/>
      <c r="AH439" s="677"/>
      <c r="AI439" s="677"/>
      <c r="AJ439" s="677"/>
      <c r="AK439" s="677"/>
    </row>
    <row r="440" spans="1:37" s="521" customFormat="1">
      <c r="A440" s="522"/>
      <c r="B440" s="522"/>
      <c r="C440" s="522"/>
      <c r="L440" s="824"/>
      <c r="P440" s="522"/>
      <c r="W440" s="497"/>
      <c r="X440" s="497"/>
      <c r="Y440" s="497"/>
      <c r="Z440" s="497"/>
      <c r="AA440" s="677"/>
      <c r="AB440" s="677"/>
      <c r="AC440" s="677"/>
      <c r="AD440" s="497"/>
      <c r="AE440" s="497"/>
      <c r="AF440" s="497"/>
      <c r="AG440" s="497"/>
      <c r="AH440" s="677"/>
      <c r="AI440" s="677"/>
      <c r="AJ440" s="677"/>
      <c r="AK440" s="677"/>
    </row>
    <row r="441" spans="1:37" s="521" customFormat="1">
      <c r="A441" s="522"/>
      <c r="B441" s="522"/>
      <c r="C441" s="522"/>
      <c r="L441" s="824"/>
      <c r="P441" s="522"/>
      <c r="W441" s="497"/>
      <c r="X441" s="497"/>
      <c r="Y441" s="497"/>
      <c r="Z441" s="497"/>
      <c r="AA441" s="677"/>
      <c r="AB441" s="677"/>
      <c r="AC441" s="677"/>
      <c r="AD441" s="497"/>
      <c r="AE441" s="497"/>
      <c r="AF441" s="497"/>
      <c r="AG441" s="497"/>
      <c r="AH441" s="677"/>
      <c r="AI441" s="677"/>
      <c r="AJ441" s="677"/>
      <c r="AK441" s="677"/>
    </row>
    <row r="442" spans="1:37" s="521" customFormat="1">
      <c r="A442" s="522"/>
      <c r="B442" s="522"/>
      <c r="C442" s="522"/>
      <c r="L442" s="824"/>
      <c r="P442" s="522"/>
      <c r="W442" s="497"/>
      <c r="X442" s="497"/>
      <c r="Y442" s="497"/>
      <c r="Z442" s="497"/>
      <c r="AA442" s="677"/>
      <c r="AB442" s="677"/>
      <c r="AC442" s="677"/>
      <c r="AD442" s="497"/>
      <c r="AE442" s="497"/>
      <c r="AF442" s="497"/>
      <c r="AG442" s="497"/>
      <c r="AH442" s="677"/>
      <c r="AI442" s="677"/>
      <c r="AJ442" s="677"/>
      <c r="AK442" s="677"/>
    </row>
    <row r="443" spans="1:37" s="521" customFormat="1">
      <c r="A443" s="522"/>
      <c r="B443" s="522"/>
      <c r="C443" s="522"/>
      <c r="L443" s="824"/>
      <c r="P443" s="522"/>
      <c r="W443" s="497"/>
      <c r="X443" s="497"/>
      <c r="Y443" s="497"/>
      <c r="Z443" s="497"/>
      <c r="AA443" s="677"/>
      <c r="AB443" s="677"/>
      <c r="AC443" s="677"/>
      <c r="AD443" s="497"/>
      <c r="AE443" s="497"/>
      <c r="AF443" s="497"/>
      <c r="AG443" s="497"/>
      <c r="AH443" s="677"/>
      <c r="AI443" s="677"/>
      <c r="AJ443" s="677"/>
      <c r="AK443" s="677"/>
    </row>
    <row r="444" spans="1:37" s="521" customFormat="1">
      <c r="A444" s="522"/>
      <c r="B444" s="522"/>
      <c r="C444" s="522"/>
      <c r="L444" s="824"/>
      <c r="P444" s="522"/>
      <c r="W444" s="497"/>
      <c r="X444" s="497"/>
      <c r="Y444" s="497"/>
      <c r="Z444" s="497"/>
      <c r="AA444" s="677"/>
      <c r="AB444" s="677"/>
      <c r="AC444" s="677"/>
      <c r="AD444" s="497"/>
      <c r="AE444" s="497"/>
      <c r="AF444" s="497"/>
      <c r="AG444" s="497"/>
      <c r="AH444" s="677"/>
      <c r="AI444" s="677"/>
      <c r="AJ444" s="677"/>
      <c r="AK444" s="677"/>
    </row>
    <row r="445" spans="1:37" s="521" customFormat="1">
      <c r="A445" s="522"/>
      <c r="B445" s="522"/>
      <c r="C445" s="522"/>
      <c r="L445" s="824"/>
      <c r="P445" s="522"/>
      <c r="W445" s="497"/>
      <c r="X445" s="497"/>
      <c r="Y445" s="497"/>
      <c r="Z445" s="497"/>
      <c r="AA445" s="677"/>
      <c r="AB445" s="677"/>
      <c r="AC445" s="677"/>
      <c r="AD445" s="497"/>
      <c r="AE445" s="497"/>
      <c r="AF445" s="497"/>
      <c r="AG445" s="497"/>
      <c r="AH445" s="677"/>
      <c r="AI445" s="677"/>
      <c r="AJ445" s="677"/>
      <c r="AK445" s="677"/>
    </row>
    <row r="446" spans="1:37" s="521" customFormat="1">
      <c r="A446" s="522"/>
      <c r="B446" s="522"/>
      <c r="C446" s="522"/>
      <c r="L446" s="824"/>
      <c r="P446" s="522"/>
      <c r="W446" s="497"/>
      <c r="X446" s="497"/>
      <c r="Y446" s="497"/>
      <c r="Z446" s="497"/>
      <c r="AA446" s="677"/>
      <c r="AB446" s="677"/>
      <c r="AC446" s="677"/>
      <c r="AD446" s="497"/>
      <c r="AE446" s="497"/>
      <c r="AF446" s="497"/>
      <c r="AG446" s="497"/>
      <c r="AH446" s="677"/>
      <c r="AI446" s="677"/>
      <c r="AJ446" s="677"/>
      <c r="AK446" s="677"/>
    </row>
    <row r="447" spans="1:37" s="521" customFormat="1">
      <c r="A447" s="522"/>
      <c r="B447" s="522"/>
      <c r="C447" s="522"/>
      <c r="L447" s="824"/>
      <c r="P447" s="522"/>
      <c r="W447" s="497"/>
      <c r="X447" s="497"/>
      <c r="Y447" s="497"/>
      <c r="Z447" s="497"/>
      <c r="AA447" s="677"/>
      <c r="AB447" s="677"/>
      <c r="AC447" s="677"/>
      <c r="AD447" s="497"/>
      <c r="AE447" s="497"/>
      <c r="AF447" s="497"/>
      <c r="AG447" s="497"/>
      <c r="AH447" s="677"/>
      <c r="AI447" s="677"/>
      <c r="AJ447" s="677"/>
      <c r="AK447" s="677"/>
    </row>
    <row r="448" spans="1:37" s="521" customFormat="1">
      <c r="A448" s="522"/>
      <c r="B448" s="522"/>
      <c r="C448" s="522"/>
      <c r="L448" s="824"/>
      <c r="P448" s="522"/>
      <c r="W448" s="497"/>
      <c r="X448" s="497"/>
      <c r="Y448" s="497"/>
      <c r="Z448" s="497"/>
      <c r="AA448" s="677"/>
      <c r="AB448" s="677"/>
      <c r="AC448" s="677"/>
      <c r="AD448" s="497"/>
      <c r="AE448" s="497"/>
      <c r="AF448" s="497"/>
      <c r="AG448" s="497"/>
      <c r="AH448" s="677"/>
      <c r="AI448" s="677"/>
      <c r="AJ448" s="677"/>
      <c r="AK448" s="677"/>
    </row>
    <row r="449" spans="1:37" s="521" customFormat="1">
      <c r="A449" s="522"/>
      <c r="B449" s="522"/>
      <c r="C449" s="522"/>
      <c r="L449" s="824"/>
      <c r="P449" s="522"/>
      <c r="W449" s="497"/>
      <c r="X449" s="497"/>
      <c r="Y449" s="497"/>
      <c r="Z449" s="497"/>
      <c r="AA449" s="677"/>
      <c r="AB449" s="677"/>
      <c r="AC449" s="677"/>
      <c r="AD449" s="497"/>
      <c r="AE449" s="497"/>
      <c r="AF449" s="497"/>
      <c r="AG449" s="497"/>
      <c r="AH449" s="677"/>
      <c r="AI449" s="677"/>
      <c r="AJ449" s="677"/>
      <c r="AK449" s="677"/>
    </row>
    <row r="450" spans="1:37" s="521" customFormat="1">
      <c r="A450" s="522"/>
      <c r="B450" s="522"/>
      <c r="C450" s="522"/>
      <c r="L450" s="824"/>
      <c r="P450" s="522"/>
      <c r="W450" s="497"/>
      <c r="X450" s="497"/>
      <c r="Y450" s="497"/>
      <c r="Z450" s="497"/>
      <c r="AA450" s="677"/>
      <c r="AB450" s="677"/>
      <c r="AC450" s="677"/>
      <c r="AD450" s="497"/>
      <c r="AE450" s="497"/>
      <c r="AF450" s="497"/>
      <c r="AG450" s="497"/>
      <c r="AH450" s="677"/>
      <c r="AI450" s="677"/>
      <c r="AJ450" s="677"/>
      <c r="AK450" s="677"/>
    </row>
    <row r="451" spans="1:37" s="521" customFormat="1">
      <c r="A451" s="522"/>
      <c r="B451" s="522"/>
      <c r="C451" s="522"/>
      <c r="L451" s="824"/>
      <c r="P451" s="522"/>
      <c r="W451" s="497"/>
      <c r="X451" s="497"/>
      <c r="Y451" s="497"/>
      <c r="Z451" s="497"/>
      <c r="AA451" s="677"/>
      <c r="AB451" s="677"/>
      <c r="AC451" s="677"/>
      <c r="AD451" s="497"/>
      <c r="AE451" s="497"/>
      <c r="AF451" s="497"/>
      <c r="AG451" s="497"/>
      <c r="AH451" s="677"/>
      <c r="AI451" s="677"/>
      <c r="AJ451" s="677"/>
      <c r="AK451" s="677"/>
    </row>
    <row r="452" spans="1:37" s="521" customFormat="1">
      <c r="A452" s="522"/>
      <c r="B452" s="522"/>
      <c r="C452" s="522"/>
      <c r="L452" s="824"/>
      <c r="P452" s="522"/>
      <c r="W452" s="497"/>
      <c r="X452" s="497"/>
      <c r="Y452" s="497"/>
      <c r="Z452" s="497"/>
      <c r="AA452" s="677"/>
      <c r="AB452" s="677"/>
      <c r="AC452" s="677"/>
      <c r="AD452" s="497"/>
      <c r="AE452" s="497"/>
      <c r="AF452" s="497"/>
      <c r="AG452" s="497"/>
      <c r="AH452" s="677"/>
      <c r="AI452" s="677"/>
      <c r="AJ452" s="677"/>
      <c r="AK452" s="677"/>
    </row>
    <row r="453" spans="1:37" s="521" customFormat="1">
      <c r="A453" s="522"/>
      <c r="B453" s="522"/>
      <c r="C453" s="522"/>
      <c r="L453" s="824"/>
      <c r="P453" s="522"/>
      <c r="W453" s="497"/>
      <c r="X453" s="497"/>
      <c r="Y453" s="497"/>
      <c r="Z453" s="497"/>
      <c r="AA453" s="677"/>
      <c r="AB453" s="677"/>
      <c r="AC453" s="677"/>
      <c r="AD453" s="497"/>
      <c r="AE453" s="497"/>
      <c r="AF453" s="497"/>
      <c r="AG453" s="497"/>
      <c r="AH453" s="677"/>
      <c r="AI453" s="677"/>
      <c r="AJ453" s="677"/>
      <c r="AK453" s="677"/>
    </row>
    <row r="454" spans="1:37" s="521" customFormat="1">
      <c r="A454" s="522"/>
      <c r="B454" s="522"/>
      <c r="C454" s="522"/>
      <c r="L454" s="824"/>
      <c r="P454" s="522"/>
      <c r="W454" s="497"/>
      <c r="X454" s="497"/>
      <c r="Y454" s="497"/>
      <c r="Z454" s="497"/>
      <c r="AA454" s="677"/>
      <c r="AB454" s="677"/>
      <c r="AC454" s="677"/>
      <c r="AD454" s="497"/>
      <c r="AE454" s="497"/>
      <c r="AF454" s="497"/>
      <c r="AG454" s="497"/>
      <c r="AH454" s="677"/>
      <c r="AI454" s="677"/>
      <c r="AJ454" s="677"/>
      <c r="AK454" s="677"/>
    </row>
    <row r="455" spans="1:37" s="521" customFormat="1">
      <c r="A455" s="522"/>
      <c r="B455" s="522"/>
      <c r="C455" s="522"/>
      <c r="L455" s="824"/>
      <c r="P455" s="522"/>
      <c r="W455" s="497"/>
      <c r="X455" s="497"/>
      <c r="Y455" s="497"/>
      <c r="Z455" s="497"/>
      <c r="AA455" s="677"/>
      <c r="AB455" s="677"/>
      <c r="AC455" s="677"/>
      <c r="AD455" s="497"/>
      <c r="AE455" s="497"/>
      <c r="AF455" s="497"/>
      <c r="AG455" s="497"/>
      <c r="AH455" s="677"/>
      <c r="AI455" s="677"/>
      <c r="AJ455" s="677"/>
      <c r="AK455" s="677"/>
    </row>
    <row r="456" spans="1:37" s="521" customFormat="1">
      <c r="A456" s="522"/>
      <c r="B456" s="522"/>
      <c r="C456" s="522"/>
      <c r="L456" s="824"/>
      <c r="P456" s="522"/>
      <c r="W456" s="497"/>
      <c r="X456" s="497"/>
      <c r="Y456" s="497"/>
      <c r="Z456" s="497"/>
      <c r="AA456" s="677"/>
      <c r="AB456" s="677"/>
      <c r="AC456" s="677"/>
      <c r="AD456" s="497"/>
      <c r="AE456" s="497"/>
      <c r="AF456" s="497"/>
      <c r="AG456" s="497"/>
      <c r="AH456" s="677"/>
      <c r="AI456" s="677"/>
      <c r="AJ456" s="677"/>
      <c r="AK456" s="677"/>
    </row>
    <row r="457" spans="1:37" s="521" customFormat="1">
      <c r="A457" s="522"/>
      <c r="B457" s="522"/>
      <c r="C457" s="522"/>
      <c r="L457" s="824"/>
      <c r="P457" s="522"/>
      <c r="W457" s="497"/>
      <c r="X457" s="497"/>
      <c r="Y457" s="497"/>
      <c r="Z457" s="497"/>
      <c r="AA457" s="677"/>
      <c r="AB457" s="677"/>
      <c r="AC457" s="677"/>
      <c r="AD457" s="497"/>
      <c r="AE457" s="497"/>
      <c r="AF457" s="497"/>
      <c r="AG457" s="497"/>
      <c r="AH457" s="677"/>
      <c r="AI457" s="677"/>
      <c r="AJ457" s="677"/>
      <c r="AK457" s="677"/>
    </row>
    <row r="458" spans="1:37" s="521" customFormat="1">
      <c r="A458" s="522"/>
      <c r="B458" s="522"/>
      <c r="C458" s="522"/>
      <c r="L458" s="824"/>
      <c r="P458" s="522"/>
      <c r="W458" s="497"/>
      <c r="X458" s="497"/>
      <c r="Y458" s="497"/>
      <c r="Z458" s="497"/>
      <c r="AA458" s="677"/>
      <c r="AB458" s="677"/>
      <c r="AC458" s="677"/>
      <c r="AD458" s="497"/>
      <c r="AE458" s="497"/>
      <c r="AF458" s="497"/>
      <c r="AG458" s="497"/>
      <c r="AH458" s="677"/>
      <c r="AI458" s="677"/>
      <c r="AJ458" s="677"/>
      <c r="AK458" s="677"/>
    </row>
    <row r="459" spans="1:37" s="521" customFormat="1">
      <c r="A459" s="522"/>
      <c r="B459" s="522"/>
      <c r="C459" s="522"/>
      <c r="L459" s="824"/>
      <c r="P459" s="522"/>
      <c r="W459" s="497"/>
      <c r="X459" s="497"/>
      <c r="Y459" s="497"/>
      <c r="Z459" s="497"/>
      <c r="AA459" s="677"/>
      <c r="AB459" s="677"/>
      <c r="AC459" s="677"/>
      <c r="AD459" s="497"/>
      <c r="AE459" s="497"/>
      <c r="AF459" s="497"/>
      <c r="AG459" s="497"/>
      <c r="AH459" s="677"/>
      <c r="AI459" s="677"/>
      <c r="AJ459" s="677"/>
      <c r="AK459" s="677"/>
    </row>
    <row r="460" spans="1:37" s="521" customFormat="1">
      <c r="A460" s="522"/>
      <c r="B460" s="522"/>
      <c r="C460" s="522"/>
      <c r="L460" s="824"/>
      <c r="P460" s="522"/>
      <c r="W460" s="497"/>
      <c r="X460" s="497"/>
      <c r="Y460" s="497"/>
      <c r="Z460" s="497"/>
      <c r="AA460" s="677"/>
      <c r="AB460" s="677"/>
      <c r="AC460" s="677"/>
      <c r="AD460" s="497"/>
      <c r="AE460" s="497"/>
      <c r="AF460" s="497"/>
      <c r="AG460" s="497"/>
      <c r="AH460" s="677"/>
      <c r="AI460" s="677"/>
      <c r="AJ460" s="677"/>
      <c r="AK460" s="677"/>
    </row>
    <row r="461" spans="1:37" s="521" customFormat="1">
      <c r="A461" s="522"/>
      <c r="B461" s="522"/>
      <c r="C461" s="522"/>
      <c r="L461" s="824"/>
      <c r="P461" s="522"/>
      <c r="W461" s="497"/>
      <c r="X461" s="497"/>
      <c r="Y461" s="497"/>
      <c r="Z461" s="497"/>
      <c r="AA461" s="677"/>
      <c r="AB461" s="677"/>
      <c r="AC461" s="677"/>
      <c r="AD461" s="497"/>
      <c r="AE461" s="497"/>
      <c r="AF461" s="497"/>
      <c r="AG461" s="497"/>
      <c r="AH461" s="677"/>
      <c r="AI461" s="677"/>
      <c r="AJ461" s="677"/>
      <c r="AK461" s="677"/>
    </row>
    <row r="462" spans="1:37" s="521" customFormat="1">
      <c r="A462" s="522"/>
      <c r="B462" s="522"/>
      <c r="C462" s="522"/>
      <c r="L462" s="824"/>
      <c r="P462" s="522"/>
      <c r="W462" s="497"/>
      <c r="X462" s="497"/>
      <c r="Y462" s="497"/>
      <c r="Z462" s="497"/>
      <c r="AA462" s="677"/>
      <c r="AB462" s="677"/>
      <c r="AC462" s="677"/>
      <c r="AD462" s="497"/>
      <c r="AE462" s="497"/>
      <c r="AF462" s="497"/>
      <c r="AG462" s="497"/>
      <c r="AH462" s="677"/>
      <c r="AI462" s="677"/>
      <c r="AJ462" s="677"/>
      <c r="AK462" s="677"/>
    </row>
    <row r="463" spans="1:37" s="521" customFormat="1">
      <c r="A463" s="522"/>
      <c r="B463" s="522"/>
      <c r="C463" s="522"/>
      <c r="L463" s="824"/>
      <c r="P463" s="522"/>
      <c r="W463" s="497"/>
      <c r="X463" s="497"/>
      <c r="Y463" s="497"/>
      <c r="Z463" s="497"/>
      <c r="AA463" s="677"/>
      <c r="AB463" s="677"/>
      <c r="AC463" s="677"/>
      <c r="AD463" s="497"/>
      <c r="AE463" s="497"/>
      <c r="AF463" s="497"/>
      <c r="AG463" s="497"/>
      <c r="AH463" s="677"/>
      <c r="AI463" s="677"/>
      <c r="AJ463" s="677"/>
      <c r="AK463" s="677"/>
    </row>
    <row r="464" spans="1:37" s="521" customFormat="1">
      <c r="A464" s="522"/>
      <c r="B464" s="522"/>
      <c r="C464" s="522"/>
      <c r="L464" s="824"/>
      <c r="P464" s="522"/>
      <c r="W464" s="497"/>
      <c r="X464" s="497"/>
      <c r="Y464" s="497"/>
      <c r="Z464" s="497"/>
      <c r="AA464" s="677"/>
      <c r="AB464" s="677"/>
      <c r="AC464" s="677"/>
      <c r="AD464" s="497"/>
      <c r="AE464" s="497"/>
      <c r="AF464" s="497"/>
      <c r="AG464" s="497"/>
      <c r="AH464" s="677"/>
      <c r="AI464" s="677"/>
      <c r="AJ464" s="677"/>
      <c r="AK464" s="677"/>
    </row>
  </sheetData>
  <sheetProtection password="CC2E" sheet="1" objects="1" scenarios="1"/>
  <autoFilter ref="A6:AU378" xr:uid="{02FB2FDD-126E-49C1-8FE3-463206BEEE6C}">
    <filterColumn colId="1">
      <filters>
        <filter val="UNSOLD"/>
      </filters>
    </filterColumn>
  </autoFilter>
  <mergeCells count="2">
    <mergeCell ref="A5:B5"/>
    <mergeCell ref="W5:Z5"/>
  </mergeCells>
  <pageMargins left="0.43307086614173229" right="0.35433070866141736" top="0.59055118110236227" bottom="0.43307086614173229" header="0.31496062992125984" footer="0.43307086614173229"/>
  <pageSetup paperSize="5" scale="52" fitToHeight="0" orientation="landscape"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AH62"/>
  <sheetViews>
    <sheetView showGridLines="0" showZeros="0" topLeftCell="D10" zoomScale="60" zoomScaleNormal="60" workbookViewId="0">
      <selection activeCell="P41" sqref="P41:S41"/>
    </sheetView>
  </sheetViews>
  <sheetFormatPr defaultColWidth="8.140625" defaultRowHeight="0" customHeight="1" zeroHeight="1"/>
  <cols>
    <col min="1" max="3" width="0" style="6" hidden="1" customWidth="1"/>
    <col min="4" max="6" width="8.140625" style="6"/>
    <col min="7" max="7" width="15.140625" style="6" customWidth="1"/>
    <col min="8" max="8" width="8.140625" style="6"/>
    <col min="9" max="12" width="13.42578125" style="6" customWidth="1"/>
    <col min="13" max="13" width="5.140625" style="6" customWidth="1"/>
    <col min="14" max="14" width="5.42578125" style="6" customWidth="1"/>
    <col min="15" max="18" width="8.140625" style="6"/>
    <col min="19" max="19" width="17.42578125" style="6" customWidth="1"/>
    <col min="20" max="20" width="29.85546875" style="6" customWidth="1"/>
    <col min="21" max="21" width="31.85546875" style="6" customWidth="1"/>
    <col min="22" max="23" width="16.85546875" style="6" customWidth="1"/>
    <col min="24" max="24" width="2.5703125" style="6" customWidth="1"/>
    <col min="25" max="25" width="6.42578125" style="6" customWidth="1"/>
    <col min="26" max="26" width="8.140625" style="6"/>
    <col min="27" max="28" width="20.85546875" style="6" hidden="1" customWidth="1"/>
    <col min="29" max="31" width="0" style="6" hidden="1" customWidth="1"/>
    <col min="32" max="16384" width="8.140625" style="6"/>
  </cols>
  <sheetData>
    <row r="1" spans="1:28" ht="17.25" hidden="1" customHeight="1"/>
    <row r="2" spans="1:28" ht="21" hidden="1" customHeight="1"/>
    <row r="3" spans="1:28" ht="18.75" hidden="1" customHeight="1"/>
    <row r="4" spans="1:28" ht="41.25" hidden="1" customHeight="1">
      <c r="A4" s="1"/>
    </row>
    <row r="5" spans="1:28" ht="20.25" hidden="1" customHeight="1">
      <c r="A5" s="1"/>
    </row>
    <row r="6" spans="1:28" ht="17.45" hidden="1">
      <c r="A6" s="1"/>
    </row>
    <row r="7" spans="1:28" ht="17.45" hidden="1">
      <c r="A7" s="1"/>
    </row>
    <row r="8" spans="1:28" ht="17.45" hidden="1">
      <c r="A8" s="1"/>
    </row>
    <row r="9" spans="1:28" ht="31.5" hidden="1" customHeight="1">
      <c r="A9" s="1"/>
    </row>
    <row r="10" spans="1:28" ht="13.5" customHeight="1">
      <c r="A10" s="1"/>
    </row>
    <row r="11" spans="1:28" ht="19.5" customHeight="1">
      <c r="A11" s="1"/>
      <c r="D11" s="1353" t="s">
        <v>1014</v>
      </c>
      <c r="E11" s="1353"/>
      <c r="F11" s="1353"/>
      <c r="G11" s="1353"/>
      <c r="H11" s="1384" t="s">
        <v>1015</v>
      </c>
      <c r="I11" s="1375" t="s">
        <v>51</v>
      </c>
      <c r="J11" s="1376"/>
      <c r="K11" s="1376"/>
      <c r="L11" s="1377"/>
      <c r="M11" s="7"/>
      <c r="AA11" s="6" t="s">
        <v>1016</v>
      </c>
      <c r="AB11" s="362" t="s">
        <v>1017</v>
      </c>
    </row>
    <row r="12" spans="1:28" ht="17.25" customHeight="1">
      <c r="A12" s="1"/>
      <c r="D12" s="1353"/>
      <c r="E12" s="1353"/>
      <c r="F12" s="1353"/>
      <c r="G12" s="1353"/>
      <c r="H12" s="1384"/>
      <c r="I12" s="1378"/>
      <c r="J12" s="1379"/>
      <c r="K12" s="1379"/>
      <c r="L12" s="1380"/>
      <c r="M12" s="7"/>
      <c r="AA12" s="6" t="s">
        <v>1018</v>
      </c>
      <c r="AB12" s="363" t="s">
        <v>1019</v>
      </c>
    </row>
    <row r="13" spans="1:28" ht="16.5" customHeight="1">
      <c r="A13" s="1"/>
      <c r="D13" s="21"/>
      <c r="E13" s="21"/>
      <c r="F13" s="13"/>
      <c r="G13" s="13"/>
      <c r="H13" s="21"/>
      <c r="I13" s="13"/>
      <c r="J13" s="13"/>
      <c r="K13" s="21"/>
      <c r="L13" s="13"/>
      <c r="M13" s="7"/>
      <c r="AA13" s="6" t="s">
        <v>1020</v>
      </c>
      <c r="AB13" s="363" t="s">
        <v>1021</v>
      </c>
    </row>
    <row r="14" spans="1:28" ht="36.75" customHeight="1">
      <c r="A14" s="1"/>
      <c r="D14" s="1352" t="s">
        <v>1022</v>
      </c>
      <c r="E14" s="1352"/>
      <c r="F14" s="1352"/>
      <c r="G14" s="1352"/>
      <c r="H14" s="21" t="s">
        <v>1015</v>
      </c>
      <c r="I14" s="1329" t="s">
        <v>6</v>
      </c>
      <c r="J14" s="1329"/>
      <c r="K14" s="1329"/>
      <c r="L14" s="1329"/>
      <c r="M14" s="7"/>
      <c r="AB14" s="278"/>
    </row>
    <row r="15" spans="1:28" ht="16.5" customHeight="1" thickBot="1">
      <c r="A15" s="1"/>
      <c r="D15" s="21"/>
      <c r="E15" s="21"/>
      <c r="F15" s="13"/>
      <c r="G15" s="13"/>
      <c r="H15" s="21"/>
      <c r="I15" s="13"/>
      <c r="J15" s="13"/>
      <c r="K15" s="21"/>
      <c r="L15" s="13"/>
      <c r="M15" s="7"/>
      <c r="AB15" s="278"/>
    </row>
    <row r="16" spans="1:28" ht="39" customHeight="1">
      <c r="A16" s="1"/>
      <c r="D16" s="1352" t="s">
        <v>1023</v>
      </c>
      <c r="E16" s="1352"/>
      <c r="F16" s="1352"/>
      <c r="G16" s="1352"/>
      <c r="H16" s="21" t="s">
        <v>1015</v>
      </c>
      <c r="I16" s="1329" t="str">
        <f>VLOOKUP(I18,'Pricelist Link'!A6:AD378,3,FALSE)</f>
        <v>11th Floor</v>
      </c>
      <c r="J16" s="1329"/>
      <c r="K16" s="1329"/>
      <c r="L16" s="1329"/>
      <c r="M16" s="7"/>
      <c r="O16" s="1347" t="s">
        <v>1024</v>
      </c>
      <c r="P16" s="1348"/>
      <c r="Q16" s="1348"/>
      <c r="R16" s="1348"/>
      <c r="S16" s="1348"/>
      <c r="T16" s="1348"/>
      <c r="U16" s="1348"/>
      <c r="V16" s="1348"/>
      <c r="W16" s="1349"/>
    </row>
    <row r="17" spans="1:28" ht="16.5" customHeight="1">
      <c r="A17" s="1"/>
      <c r="D17" s="21"/>
      <c r="E17" s="21"/>
      <c r="F17" s="13"/>
      <c r="G17" s="13"/>
      <c r="H17" s="21"/>
      <c r="I17" s="282" t="str">
        <f>VLOOKUP(I18,'Pricelist Link'!A6:AD378,2,FALSE)</f>
        <v>UNSOLD</v>
      </c>
      <c r="J17" s="13"/>
      <c r="K17" s="21"/>
      <c r="L17" s="13"/>
      <c r="M17" s="7"/>
      <c r="O17" s="1344" t="s">
        <v>1025</v>
      </c>
      <c r="P17" s="1345"/>
      <c r="Q17" s="1345"/>
      <c r="R17" s="1345"/>
      <c r="S17" s="1345"/>
      <c r="T17" s="1345"/>
      <c r="U17" s="1345"/>
      <c r="V17" s="1345"/>
      <c r="W17" s="1346"/>
    </row>
    <row r="18" spans="1:28" ht="39" customHeight="1">
      <c r="A18" s="1"/>
      <c r="D18" s="1352" t="s">
        <v>1026</v>
      </c>
      <c r="E18" s="1352"/>
      <c r="F18" s="1352"/>
      <c r="G18" s="1352"/>
      <c r="H18" s="21" t="s">
        <v>1015</v>
      </c>
      <c r="I18" s="1385" t="s">
        <v>728</v>
      </c>
      <c r="J18" s="1385"/>
      <c r="K18" s="1385"/>
      <c r="L18" s="1385"/>
      <c r="M18" s="7"/>
      <c r="O18" s="1350" t="s">
        <v>1027</v>
      </c>
      <c r="P18" s="1351"/>
      <c r="Q18" s="1351"/>
      <c r="R18" s="1351"/>
      <c r="S18" s="1351" t="s">
        <v>1028</v>
      </c>
      <c r="T18" s="1351"/>
      <c r="U18" s="1351"/>
      <c r="V18" s="1351" t="s">
        <v>1029</v>
      </c>
      <c r="W18" s="1374"/>
    </row>
    <row r="19" spans="1:28" ht="24" customHeight="1">
      <c r="D19" s="20"/>
      <c r="E19" s="20"/>
      <c r="F19" s="20"/>
      <c r="G19" s="20"/>
      <c r="H19" s="7"/>
      <c r="I19" s="7"/>
      <c r="J19" s="7"/>
      <c r="K19" s="7"/>
      <c r="L19" s="7"/>
      <c r="M19" s="7"/>
      <c r="O19" s="1358"/>
      <c r="P19" s="1359"/>
      <c r="Q19" s="1359"/>
      <c r="R19" s="1359"/>
      <c r="S19" s="1357"/>
      <c r="T19" s="1357"/>
      <c r="U19" s="1357"/>
      <c r="V19" s="1355"/>
      <c r="W19" s="1356"/>
    </row>
    <row r="20" spans="1:28" ht="39" customHeight="1">
      <c r="D20" s="1353" t="s">
        <v>1030</v>
      </c>
      <c r="E20" s="1353"/>
      <c r="F20" s="1353"/>
      <c r="G20" s="1353"/>
      <c r="H20" s="13" t="s">
        <v>1015</v>
      </c>
      <c r="I20" s="1381">
        <v>45901</v>
      </c>
      <c r="J20" s="1382"/>
      <c r="K20" s="1382"/>
      <c r="L20" s="1383"/>
      <c r="M20" s="9"/>
      <c r="O20" s="1358"/>
      <c r="P20" s="1359"/>
      <c r="Q20" s="1359"/>
      <c r="R20" s="1359"/>
      <c r="S20" s="1357"/>
      <c r="T20" s="1357"/>
      <c r="U20" s="1357"/>
      <c r="V20" s="1355"/>
      <c r="W20" s="1356"/>
      <c r="X20" s="169"/>
    </row>
    <row r="21" spans="1:28" ht="24" customHeight="1">
      <c r="D21" s="13"/>
      <c r="E21" s="13"/>
      <c r="F21" s="13"/>
      <c r="G21" s="13"/>
      <c r="H21" s="8"/>
      <c r="I21" s="10"/>
      <c r="J21" s="10"/>
      <c r="K21" s="10"/>
      <c r="L21" s="10"/>
      <c r="M21" s="9"/>
      <c r="O21" s="1358"/>
      <c r="P21" s="1359"/>
      <c r="Q21" s="1359"/>
      <c r="R21" s="1359"/>
      <c r="S21" s="1357"/>
      <c r="T21" s="1357"/>
      <c r="U21" s="1357"/>
      <c r="V21" s="1355"/>
      <c r="W21" s="1356"/>
      <c r="Z21" s="6" t="s">
        <v>60</v>
      </c>
    </row>
    <row r="22" spans="1:28" ht="39" customHeight="1">
      <c r="D22" s="1353" t="s">
        <v>1031</v>
      </c>
      <c r="E22" s="1353"/>
      <c r="F22" s="1353"/>
      <c r="G22" s="1353"/>
      <c r="H22" s="13"/>
      <c r="I22" s="1386">
        <f>VLOOKUP(I18,'Pricelist Link'!A6:AD378,14,FALSE)</f>
        <v>30000</v>
      </c>
      <c r="J22" s="1387"/>
      <c r="K22" s="1387"/>
      <c r="L22" s="1388"/>
      <c r="M22" s="9"/>
      <c r="O22" s="1358"/>
      <c r="P22" s="1359"/>
      <c r="Q22" s="1359"/>
      <c r="R22" s="1359"/>
      <c r="S22" s="1357"/>
      <c r="T22" s="1357"/>
      <c r="U22" s="1357"/>
      <c r="V22" s="1355"/>
      <c r="W22" s="1356"/>
    </row>
    <row r="23" spans="1:28" ht="24" customHeight="1">
      <c r="D23" s="13"/>
      <c r="E23" s="13"/>
      <c r="F23" s="13"/>
      <c r="G23" s="13"/>
      <c r="H23" s="8"/>
      <c r="I23" s="10"/>
      <c r="J23" s="10"/>
      <c r="K23" s="11"/>
      <c r="L23" s="11"/>
      <c r="M23" s="9"/>
      <c r="O23" s="1344" t="s">
        <v>1032</v>
      </c>
      <c r="P23" s="1345"/>
      <c r="Q23" s="1345"/>
      <c r="R23" s="1345"/>
      <c r="S23" s="1345"/>
      <c r="T23" s="1345"/>
      <c r="U23" s="1345"/>
      <c r="V23" s="1345"/>
      <c r="W23" s="1346"/>
      <c r="AB23" s="6" t="s">
        <v>60</v>
      </c>
    </row>
    <row r="24" spans="1:28" ht="39" customHeight="1">
      <c r="D24" s="1352" t="s">
        <v>1033</v>
      </c>
      <c r="E24" s="1352"/>
      <c r="F24" s="1352"/>
      <c r="G24" s="1352"/>
      <c r="H24" s="13" t="s">
        <v>1015</v>
      </c>
      <c r="I24" s="1389">
        <f>VLOOKUP(I18,'Pricelist Link'!A6:AD378,12,FALSE)</f>
        <v>0.125</v>
      </c>
      <c r="J24" s="1390"/>
      <c r="K24" s="1390"/>
      <c r="L24" s="1391"/>
      <c r="M24" s="9"/>
      <c r="O24" s="1350" t="s">
        <v>1027</v>
      </c>
      <c r="P24" s="1351"/>
      <c r="Q24" s="1351"/>
      <c r="R24" s="1351"/>
      <c r="S24" s="1351" t="s">
        <v>1028</v>
      </c>
      <c r="T24" s="1351"/>
      <c r="U24" s="1351"/>
      <c r="V24" s="1351" t="s">
        <v>1029</v>
      </c>
      <c r="W24" s="1374"/>
      <c r="X24" s="169"/>
    </row>
    <row r="25" spans="1:28" ht="24" customHeight="1">
      <c r="D25" s="13"/>
      <c r="E25" s="13"/>
      <c r="F25" s="13"/>
      <c r="G25" s="13"/>
      <c r="H25" s="8"/>
      <c r="I25" s="10"/>
      <c r="J25" s="10"/>
      <c r="K25" s="11"/>
      <c r="L25" s="11"/>
      <c r="M25" s="9"/>
      <c r="O25" s="1358"/>
      <c r="P25" s="1359"/>
      <c r="Q25" s="1359"/>
      <c r="R25" s="1359"/>
      <c r="S25" s="1357"/>
      <c r="T25" s="1357"/>
      <c r="U25" s="1357"/>
      <c r="V25" s="1355"/>
      <c r="W25" s="1356"/>
    </row>
    <row r="26" spans="1:28" ht="39" customHeight="1">
      <c r="D26" s="1353" t="s">
        <v>1034</v>
      </c>
      <c r="E26" s="1353"/>
      <c r="F26" s="1353"/>
      <c r="G26" s="1353"/>
      <c r="H26" s="13" t="s">
        <v>1015</v>
      </c>
      <c r="I26" s="1360" t="s">
        <v>1035</v>
      </c>
      <c r="J26" s="1361"/>
      <c r="K26" s="1361"/>
      <c r="L26" s="1362"/>
      <c r="M26" s="9"/>
      <c r="O26" s="1358"/>
      <c r="P26" s="1359"/>
      <c r="Q26" s="1359"/>
      <c r="R26" s="1359"/>
      <c r="S26" s="1357"/>
      <c r="T26" s="1357"/>
      <c r="U26" s="1357"/>
      <c r="V26" s="1355"/>
      <c r="W26" s="1356"/>
    </row>
    <row r="27" spans="1:28" ht="25.5" customHeight="1">
      <c r="D27" s="13"/>
      <c r="E27" s="13"/>
      <c r="F27" s="13"/>
      <c r="G27" s="13"/>
      <c r="H27" s="8"/>
      <c r="I27" s="10"/>
      <c r="J27" s="10"/>
      <c r="K27" s="11"/>
      <c r="L27" s="11"/>
      <c r="M27" s="9"/>
      <c r="O27" s="1358"/>
      <c r="P27" s="1359"/>
      <c r="Q27" s="1359"/>
      <c r="R27" s="1359"/>
      <c r="S27" s="1357"/>
      <c r="T27" s="1357"/>
      <c r="U27" s="1357"/>
      <c r="V27" s="1355"/>
      <c r="W27" s="1356"/>
    </row>
    <row r="28" spans="1:28" ht="39" customHeight="1">
      <c r="D28" s="1353" t="s">
        <v>1036</v>
      </c>
      <c r="E28" s="1353"/>
      <c r="F28" s="1353"/>
      <c r="G28" s="1353"/>
      <c r="H28" s="13" t="s">
        <v>1015</v>
      </c>
      <c r="I28" s="1360" t="s">
        <v>1037</v>
      </c>
      <c r="J28" s="1361"/>
      <c r="K28" s="1361"/>
      <c r="L28" s="1362"/>
      <c r="M28" s="7"/>
      <c r="O28" s="1358"/>
      <c r="P28" s="1359"/>
      <c r="Q28" s="1359"/>
      <c r="R28" s="1359"/>
      <c r="S28" s="1357"/>
      <c r="T28" s="1357"/>
      <c r="U28" s="1357"/>
      <c r="V28" s="1355"/>
      <c r="W28" s="1356"/>
    </row>
    <row r="29" spans="1:28" ht="25.5" customHeight="1">
      <c r="D29" s="20"/>
      <c r="E29" s="20"/>
      <c r="F29" s="20"/>
      <c r="G29" s="20"/>
      <c r="H29" s="13"/>
      <c r="I29" s="7"/>
      <c r="J29" s="7"/>
      <c r="K29" s="7"/>
      <c r="L29" s="7"/>
      <c r="M29" s="8"/>
      <c r="O29" s="1344" t="s">
        <v>1038</v>
      </c>
      <c r="P29" s="1345"/>
      <c r="Q29" s="1345"/>
      <c r="R29" s="1345"/>
      <c r="S29" s="1345"/>
      <c r="T29" s="1345"/>
      <c r="U29" s="1345"/>
      <c r="V29" s="1345"/>
      <c r="W29" s="1346"/>
    </row>
    <row r="30" spans="1:28" ht="27" customHeight="1">
      <c r="D30" s="1352" t="s">
        <v>1039</v>
      </c>
      <c r="E30" s="1352"/>
      <c r="F30" s="1352"/>
      <c r="G30" s="1352"/>
      <c r="H30" s="13" t="s">
        <v>1015</v>
      </c>
      <c r="I30" s="1363" t="s">
        <v>1040</v>
      </c>
      <c r="J30" s="1364"/>
      <c r="K30" s="1364"/>
      <c r="L30" s="1365"/>
      <c r="M30" s="7"/>
      <c r="O30" s="1350" t="s">
        <v>1027</v>
      </c>
      <c r="P30" s="1351"/>
      <c r="Q30" s="1351"/>
      <c r="R30" s="1351"/>
      <c r="S30" s="1351" t="s">
        <v>1028</v>
      </c>
      <c r="T30" s="1351"/>
      <c r="U30" s="1351"/>
      <c r="V30" s="1351" t="s">
        <v>1041</v>
      </c>
      <c r="W30" s="1374"/>
    </row>
    <row r="31" spans="1:28" ht="27" customHeight="1">
      <c r="D31" s="1352"/>
      <c r="E31" s="1352"/>
      <c r="F31" s="1352"/>
      <c r="G31" s="1352"/>
      <c r="H31" s="13"/>
      <c r="I31" s="1366"/>
      <c r="J31" s="1367"/>
      <c r="K31" s="1367"/>
      <c r="L31" s="1368"/>
      <c r="M31" s="7"/>
      <c r="O31" s="1358"/>
      <c r="P31" s="1359"/>
      <c r="Q31" s="1359"/>
      <c r="R31" s="1359"/>
      <c r="S31" s="1357"/>
      <c r="T31" s="1357"/>
      <c r="U31" s="1357"/>
      <c r="V31" s="1359"/>
      <c r="W31" s="1369"/>
    </row>
    <row r="32" spans="1:28" ht="18.75" customHeight="1">
      <c r="C32" s="12"/>
      <c r="H32"/>
      <c r="O32" s="1358"/>
      <c r="P32" s="1359"/>
      <c r="Q32" s="1359"/>
      <c r="R32" s="1359"/>
      <c r="S32" s="1357"/>
      <c r="T32" s="1357"/>
      <c r="U32" s="1357"/>
      <c r="V32" s="1359"/>
      <c r="W32" s="1369"/>
    </row>
    <row r="33" spans="4:34" ht="24.75" customHeight="1">
      <c r="H33"/>
      <c r="O33" s="1358"/>
      <c r="P33" s="1359"/>
      <c r="Q33" s="1359"/>
      <c r="R33" s="1359"/>
      <c r="S33" s="1357"/>
      <c r="T33" s="1357"/>
      <c r="U33" s="1357"/>
      <c r="V33" s="1359"/>
      <c r="W33" s="1369"/>
    </row>
    <row r="34" spans="4:34" ht="24.75" customHeight="1" thickBot="1">
      <c r="O34" s="1373"/>
      <c r="P34" s="1370"/>
      <c r="Q34" s="1370"/>
      <c r="R34" s="1370"/>
      <c r="S34" s="1372"/>
      <c r="T34" s="1372"/>
      <c r="U34" s="1372"/>
      <c r="V34" s="1370"/>
      <c r="W34" s="1371"/>
    </row>
    <row r="35" spans="4:34" ht="24.75" customHeight="1">
      <c r="O35" s="316"/>
      <c r="P35" s="316"/>
      <c r="Q35" s="316"/>
      <c r="R35" s="316"/>
      <c r="S35" s="317"/>
      <c r="T35" s="317"/>
      <c r="U35" s="317"/>
      <c r="V35" s="316"/>
      <c r="W35" s="316"/>
    </row>
    <row r="36" spans="4:34" ht="39" customHeight="1">
      <c r="D36" s="1354" t="s">
        <v>1042</v>
      </c>
      <c r="E36" s="1354"/>
      <c r="F36" s="1354"/>
      <c r="G36" s="1354"/>
      <c r="H36" s="1354"/>
      <c r="I36" s="1354"/>
      <c r="J36" s="1354"/>
      <c r="K36" s="1354"/>
      <c r="L36" s="1354"/>
      <c r="M36" s="1354"/>
      <c r="N36" s="1354"/>
      <c r="O36" s="1354"/>
      <c r="P36" s="1354"/>
      <c r="Q36" s="1354"/>
      <c r="R36" s="1354"/>
      <c r="S36" s="1354"/>
      <c r="T36" s="1354"/>
      <c r="U36" s="1354"/>
      <c r="V36" s="1354"/>
      <c r="W36" s="1354"/>
    </row>
    <row r="37" spans="4:34" ht="24.75" customHeight="1"/>
    <row r="38" spans="4:34" ht="33.75" customHeight="1">
      <c r="D38" s="1392" t="s">
        <v>1043</v>
      </c>
      <c r="E38" s="1392"/>
      <c r="F38" s="1392" t="s">
        <v>1044</v>
      </c>
      <c r="G38" s="1392"/>
      <c r="H38" s="20"/>
      <c r="I38" s="1338" t="s">
        <v>1045</v>
      </c>
      <c r="J38" s="1338"/>
      <c r="K38" s="1330" t="s">
        <v>239</v>
      </c>
      <c r="L38" s="1331"/>
      <c r="M38" s="1331"/>
      <c r="N38" s="1331"/>
      <c r="O38" s="1332"/>
      <c r="P38" s="1330" t="s">
        <v>1046</v>
      </c>
      <c r="Q38" s="1331"/>
      <c r="R38" s="1331"/>
      <c r="S38" s="1332"/>
      <c r="T38" s="1338" t="s">
        <v>1047</v>
      </c>
      <c r="U38" s="1338"/>
      <c r="V38" s="20"/>
      <c r="W38" s="20"/>
    </row>
    <row r="39" spans="4:34" ht="33.75" customHeight="1">
      <c r="D39" s="1393" t="str">
        <f>'STANDARD COMP.'!E8</f>
        <v>E-11K</v>
      </c>
      <c r="E39" s="1393"/>
      <c r="F39" s="1394">
        <f>'STANDARD COMP.'!E28</f>
        <v>29</v>
      </c>
      <c r="G39" s="1393"/>
      <c r="H39" s="20"/>
      <c r="I39" s="1338" t="s">
        <v>1048</v>
      </c>
      <c r="J39" s="1338"/>
      <c r="K39" s="1339"/>
      <c r="L39" s="1340"/>
      <c r="M39" s="1340"/>
      <c r="N39" s="1340"/>
      <c r="O39" s="1341"/>
      <c r="P39" s="1339"/>
      <c r="Q39" s="1340"/>
      <c r="R39" s="1340"/>
      <c r="S39" s="1341"/>
      <c r="T39" s="1342">
        <f>'Corrected and Updated TSF 3'!EL9</f>
        <v>0.25</v>
      </c>
      <c r="U39" s="1343"/>
      <c r="V39" s="20"/>
      <c r="W39" s="20"/>
    </row>
    <row r="40" spans="4:34" ht="33.75" customHeight="1">
      <c r="D40" s="20"/>
      <c r="E40" s="20"/>
      <c r="F40" s="20"/>
      <c r="G40" s="20"/>
      <c r="H40" s="20"/>
      <c r="I40" s="1338" t="s">
        <v>1049</v>
      </c>
      <c r="J40" s="1338"/>
      <c r="K40" s="1339"/>
      <c r="L40" s="1340"/>
      <c r="M40" s="1340"/>
      <c r="N40" s="1340"/>
      <c r="O40" s="1341"/>
      <c r="P40" s="1339"/>
      <c r="Q40" s="1340"/>
      <c r="R40" s="1340"/>
      <c r="S40" s="1341"/>
      <c r="T40" s="1342">
        <f>'Corrected and Updated TSF 3'!EL10</f>
        <v>0.35</v>
      </c>
      <c r="U40" s="1343"/>
      <c r="V40" s="20"/>
      <c r="W40" s="20"/>
    </row>
    <row r="41" spans="4:34" ht="33.75" customHeight="1">
      <c r="D41" s="20"/>
      <c r="E41" s="20"/>
      <c r="F41" s="20"/>
      <c r="G41" s="20"/>
      <c r="H41" s="20"/>
      <c r="I41" s="1338" t="s">
        <v>1050</v>
      </c>
      <c r="J41" s="1338"/>
      <c r="K41" s="1339"/>
      <c r="L41" s="1340"/>
      <c r="M41" s="1340"/>
      <c r="N41" s="1340"/>
      <c r="O41" s="1341"/>
      <c r="P41" s="1339"/>
      <c r="Q41" s="1340"/>
      <c r="R41" s="1340"/>
      <c r="S41" s="1341"/>
      <c r="T41" s="1342">
        <f>'Corrected and Updated TSF 3'!EL11</f>
        <v>0.4</v>
      </c>
      <c r="U41" s="1343"/>
      <c r="V41" s="20"/>
      <c r="W41" s="20"/>
    </row>
    <row r="42" spans="4:34" ht="42" customHeight="1">
      <c r="I42" s="1336" t="s">
        <v>48</v>
      </c>
      <c r="J42" s="1336"/>
      <c r="K42" s="1336"/>
      <c r="L42" s="1336"/>
      <c r="M42" s="1336"/>
      <c r="N42" s="1336"/>
      <c r="O42" s="1336"/>
      <c r="P42" s="1336">
        <f>SUM(P39:S41)</f>
        <v>0</v>
      </c>
      <c r="Q42" s="1336"/>
      <c r="R42" s="1336"/>
      <c r="S42" s="1336"/>
      <c r="T42" s="1337">
        <f>SUM(T39:U41)</f>
        <v>1</v>
      </c>
      <c r="U42" s="1336"/>
    </row>
    <row r="43" spans="4:34" ht="42" customHeight="1">
      <c r="I43" s="359"/>
      <c r="J43" s="359"/>
      <c r="K43" s="359"/>
      <c r="L43" s="359"/>
      <c r="M43" s="359"/>
      <c r="N43" s="359"/>
      <c r="O43" s="359"/>
      <c r="P43" s="359"/>
      <c r="Q43" s="359"/>
      <c r="R43" s="359"/>
      <c r="S43" s="359"/>
      <c r="T43" s="360"/>
      <c r="U43" s="359"/>
    </row>
    <row r="44" spans="4:34" ht="42" customHeight="1">
      <c r="I44" s="1333" t="s">
        <v>1051</v>
      </c>
      <c r="J44" s="1334"/>
      <c r="K44" s="1334"/>
      <c r="L44" s="1334"/>
      <c r="M44" s="1334"/>
      <c r="N44" s="1334"/>
      <c r="O44" s="1334"/>
      <c r="P44" s="1334"/>
      <c r="Q44" s="1334"/>
      <c r="R44" s="1334"/>
      <c r="S44" s="1334"/>
      <c r="T44" s="1334"/>
      <c r="U44" s="1335"/>
      <c r="V44"/>
      <c r="W44"/>
      <c r="X44"/>
      <c r="Y44"/>
      <c r="Z44"/>
      <c r="AA44"/>
      <c r="AB44"/>
      <c r="AC44" s="361"/>
      <c r="AD44"/>
      <c r="AE44"/>
      <c r="AF44"/>
      <c r="AG44"/>
      <c r="AH44"/>
    </row>
    <row r="45" spans="4:34" ht="42" customHeight="1">
      <c r="I45" s="1330" t="s">
        <v>1052</v>
      </c>
      <c r="J45" s="1331"/>
      <c r="K45" s="1331"/>
      <c r="L45" s="1332"/>
      <c r="M45" s="1330" t="s">
        <v>1053</v>
      </c>
      <c r="N45" s="1331"/>
      <c r="O45" s="1331"/>
      <c r="P45" s="1331"/>
      <c r="Q45" s="1331"/>
      <c r="R45" s="1331"/>
      <c r="S45" s="1332"/>
      <c r="T45" s="1330" t="s">
        <v>1054</v>
      </c>
      <c r="U45" s="1332"/>
      <c r="V45"/>
      <c r="W45"/>
      <c r="X45"/>
      <c r="Y45"/>
      <c r="Z45"/>
      <c r="AA45"/>
      <c r="AB45"/>
      <c r="AC45" s="361"/>
    </row>
    <row r="46" spans="4:34" ht="42" customHeight="1">
      <c r="I46" s="1323" t="s">
        <v>1055</v>
      </c>
      <c r="J46" s="1324"/>
      <c r="K46" s="1324"/>
      <c r="L46" s="1325"/>
      <c r="M46" s="1326"/>
      <c r="N46" s="1327"/>
      <c r="O46" s="1327"/>
      <c r="P46" s="1327"/>
      <c r="Q46" s="1327"/>
      <c r="R46" s="1327"/>
      <c r="S46" s="1328"/>
      <c r="T46" s="1326"/>
      <c r="U46" s="1328"/>
      <c r="V46"/>
      <c r="W46"/>
      <c r="X46"/>
      <c r="Y46"/>
      <c r="Z46"/>
      <c r="AA46"/>
      <c r="AB46"/>
      <c r="AC46" s="361"/>
    </row>
    <row r="47" spans="4:34" ht="42" customHeight="1">
      <c r="I47" s="1323" t="s">
        <v>1056</v>
      </c>
      <c r="J47" s="1324"/>
      <c r="K47" s="1324"/>
      <c r="L47" s="1325"/>
      <c r="M47" s="1326"/>
      <c r="N47" s="1327"/>
      <c r="O47" s="1327"/>
      <c r="P47" s="1327"/>
      <c r="Q47" s="1327"/>
      <c r="R47" s="1327"/>
      <c r="S47" s="1328"/>
      <c r="T47" s="1326"/>
      <c r="U47" s="1328"/>
      <c r="V47"/>
      <c r="W47"/>
      <c r="X47"/>
      <c r="Y47"/>
      <c r="Z47"/>
      <c r="AA47"/>
      <c r="AB47"/>
      <c r="AC47" s="361"/>
    </row>
    <row r="48" spans="4:34" ht="42" customHeight="1">
      <c r="I48" s="1323" t="s">
        <v>1057</v>
      </c>
      <c r="J48" s="1324"/>
      <c r="K48" s="1324"/>
      <c r="L48" s="1325"/>
      <c r="M48" s="1326"/>
      <c r="N48" s="1327"/>
      <c r="O48" s="1327"/>
      <c r="P48" s="1327"/>
      <c r="Q48" s="1327"/>
      <c r="R48" s="1327"/>
      <c r="S48" s="1328"/>
      <c r="T48" s="1326"/>
      <c r="U48" s="1328"/>
      <c r="V48"/>
      <c r="W48"/>
      <c r="X48"/>
      <c r="Y48"/>
      <c r="Z48"/>
      <c r="AA48"/>
      <c r="AB48"/>
      <c r="AC48" s="361"/>
    </row>
    <row r="49" spans="9:29" ht="42" customHeight="1">
      <c r="I49" s="1323" t="s">
        <v>1058</v>
      </c>
      <c r="J49" s="1324"/>
      <c r="K49" s="1324"/>
      <c r="L49" s="1325"/>
      <c r="M49" s="1326"/>
      <c r="N49" s="1327"/>
      <c r="O49" s="1327"/>
      <c r="P49" s="1327"/>
      <c r="Q49" s="1327"/>
      <c r="R49" s="1327"/>
      <c r="S49" s="1328"/>
      <c r="T49" s="1326"/>
      <c r="U49" s="1328"/>
      <c r="V49"/>
      <c r="W49"/>
      <c r="X49"/>
      <c r="Y49"/>
      <c r="Z49"/>
      <c r="AA49"/>
      <c r="AB49"/>
      <c r="AC49" s="361"/>
    </row>
    <row r="50" spans="9:29" ht="17.45">
      <c r="I50"/>
      <c r="J50"/>
      <c r="K50"/>
      <c r="L50"/>
      <c r="M50"/>
      <c r="N50"/>
      <c r="O50"/>
      <c r="P50"/>
      <c r="Q50"/>
      <c r="R50"/>
      <c r="S50"/>
      <c r="T50"/>
      <c r="U50"/>
      <c r="V50"/>
      <c r="W50"/>
      <c r="X50"/>
      <c r="Y50"/>
      <c r="Z50"/>
      <c r="AA50"/>
      <c r="AB50"/>
      <c r="AC50" s="361"/>
    </row>
    <row r="51" spans="9:29" ht="18" hidden="1" customHeight="1">
      <c r="I51" s="1321"/>
      <c r="J51" s="1321"/>
      <c r="K51" s="1321"/>
      <c r="L51" s="1321"/>
      <c r="M51" s="1321"/>
      <c r="N51" s="1321"/>
      <c r="O51" s="1321"/>
      <c r="P51" s="1321"/>
      <c r="Q51" s="1322"/>
      <c r="R51" s="1322"/>
      <c r="S51" s="1322"/>
      <c r="T51" s="1322"/>
      <c r="U51" s="1322"/>
      <c r="V51" s="1322"/>
      <c r="W51" s="1322"/>
      <c r="X51" s="1322"/>
      <c r="Y51" s="1322"/>
      <c r="Z51" s="1322"/>
      <c r="AA51" s="1322"/>
      <c r="AB51" s="1322"/>
      <c r="AC51" s="1322"/>
    </row>
    <row r="52" spans="9:29" ht="18" hidden="1" customHeight="1"/>
    <row r="53" spans="9:29" ht="18" hidden="1" customHeight="1"/>
    <row r="54" spans="9:29" ht="18" hidden="1" customHeight="1"/>
    <row r="55" spans="9:29" ht="18" hidden="1" customHeight="1"/>
    <row r="56" spans="9:29" ht="18" hidden="1" customHeight="1"/>
    <row r="57" spans="9:29" ht="18" hidden="1" customHeight="1"/>
    <row r="58" spans="9:29" ht="18" hidden="1" customHeight="1"/>
    <row r="59" spans="9:29" ht="18" hidden="1" customHeight="1"/>
    <row r="60" spans="9:29" ht="18" hidden="1" customHeight="1"/>
    <row r="61" spans="9:29" ht="18" hidden="1" customHeight="1"/>
    <row r="62" spans="9:29" ht="18" hidden="1" customHeight="1"/>
  </sheetData>
  <sheetProtection password="CC2E" sheet="1" selectLockedCells="1"/>
  <mergeCells count="95">
    <mergeCell ref="D38:E38"/>
    <mergeCell ref="F38:G38"/>
    <mergeCell ref="T39:U39"/>
    <mergeCell ref="I40:J40"/>
    <mergeCell ref="K40:O40"/>
    <mergeCell ref="D39:E39"/>
    <mergeCell ref="F39:G39"/>
    <mergeCell ref="I39:J39"/>
    <mergeCell ref="K39:O39"/>
    <mergeCell ref="P39:S39"/>
    <mergeCell ref="P40:S40"/>
    <mergeCell ref="T40:U40"/>
    <mergeCell ref="I11:L12"/>
    <mergeCell ref="I20:L20"/>
    <mergeCell ref="I26:L26"/>
    <mergeCell ref="D11:G12"/>
    <mergeCell ref="H11:H12"/>
    <mergeCell ref="D20:G20"/>
    <mergeCell ref="D16:G16"/>
    <mergeCell ref="D18:G18"/>
    <mergeCell ref="D26:G26"/>
    <mergeCell ref="D22:G22"/>
    <mergeCell ref="I16:L16"/>
    <mergeCell ref="I18:L18"/>
    <mergeCell ref="I22:L22"/>
    <mergeCell ref="D24:G24"/>
    <mergeCell ref="I24:L24"/>
    <mergeCell ref="D14:G14"/>
    <mergeCell ref="V18:W18"/>
    <mergeCell ref="S25:U26"/>
    <mergeCell ref="O25:R26"/>
    <mergeCell ref="V25:W26"/>
    <mergeCell ref="O24:R24"/>
    <mergeCell ref="V24:W24"/>
    <mergeCell ref="O19:R20"/>
    <mergeCell ref="S19:U20"/>
    <mergeCell ref="V19:W20"/>
    <mergeCell ref="S24:U24"/>
    <mergeCell ref="O23:W23"/>
    <mergeCell ref="O21:R22"/>
    <mergeCell ref="S21:U22"/>
    <mergeCell ref="V21:W22"/>
    <mergeCell ref="V33:W34"/>
    <mergeCell ref="S33:U34"/>
    <mergeCell ref="O33:R34"/>
    <mergeCell ref="O29:W29"/>
    <mergeCell ref="O30:R30"/>
    <mergeCell ref="S30:U30"/>
    <mergeCell ref="O31:R32"/>
    <mergeCell ref="S31:U32"/>
    <mergeCell ref="V31:W32"/>
    <mergeCell ref="V30:W30"/>
    <mergeCell ref="V27:W28"/>
    <mergeCell ref="S27:U28"/>
    <mergeCell ref="O27:R28"/>
    <mergeCell ref="I28:L28"/>
    <mergeCell ref="I30:L31"/>
    <mergeCell ref="D30:G31"/>
    <mergeCell ref="D28:G28"/>
    <mergeCell ref="I48:L48"/>
    <mergeCell ref="M48:S48"/>
    <mergeCell ref="T48:U48"/>
    <mergeCell ref="I46:L46"/>
    <mergeCell ref="M46:S46"/>
    <mergeCell ref="T46:U46"/>
    <mergeCell ref="I47:L47"/>
    <mergeCell ref="M47:S47"/>
    <mergeCell ref="T47:U47"/>
    <mergeCell ref="D36:W36"/>
    <mergeCell ref="I38:J38"/>
    <mergeCell ref="K38:O38"/>
    <mergeCell ref="P38:S38"/>
    <mergeCell ref="T38:U38"/>
    <mergeCell ref="I14:L14"/>
    <mergeCell ref="I45:L45"/>
    <mergeCell ref="T45:U45"/>
    <mergeCell ref="M45:S45"/>
    <mergeCell ref="I44:U44"/>
    <mergeCell ref="I42:O42"/>
    <mergeCell ref="P42:S42"/>
    <mergeCell ref="T42:U42"/>
    <mergeCell ref="I41:J41"/>
    <mergeCell ref="K41:O41"/>
    <mergeCell ref="P41:S41"/>
    <mergeCell ref="T41:U41"/>
    <mergeCell ref="O17:W17"/>
    <mergeCell ref="O16:W16"/>
    <mergeCell ref="O18:R18"/>
    <mergeCell ref="S18:U18"/>
    <mergeCell ref="I51:P51"/>
    <mergeCell ref="Q51:W51"/>
    <mergeCell ref="X51:AC51"/>
    <mergeCell ref="I49:L49"/>
    <mergeCell ref="M49:S49"/>
    <mergeCell ref="T49:U49"/>
  </mergeCells>
  <phoneticPr fontId="27" type="noConversion"/>
  <dataValidations xWindow="339" yWindow="611" count="1">
    <dataValidation allowBlank="1" showInputMessage="1" showErrorMessage="1" prompt="i.e. 1st to 11th month" sqref="K39:O41" xr:uid="{00000000-0002-0000-0600-000000000000}"/>
  </dataValidation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4">
    <tabColor rgb="FFFFFF00"/>
  </sheetPr>
  <dimension ref="A1:BA858"/>
  <sheetViews>
    <sheetView showGridLines="0" showZeros="0" showRuler="0" view="pageBreakPreview" topLeftCell="A20" zoomScale="90" zoomScaleNormal="100" zoomScaleSheetLayoutView="90" zoomScalePageLayoutView="85" workbookViewId="0">
      <selection activeCell="A24" sqref="A24"/>
    </sheetView>
  </sheetViews>
  <sheetFormatPr defaultColWidth="8.85546875" defaultRowHeight="15.75" customHeight="1"/>
  <cols>
    <col min="1" max="1" width="1" style="99" customWidth="1"/>
    <col min="2" max="2" width="12.5703125" style="99" customWidth="1"/>
    <col min="3" max="3" width="23.5703125" style="99" customWidth="1"/>
    <col min="4" max="4" width="17.85546875" style="99" customWidth="1"/>
    <col min="5" max="5" width="23.42578125" style="99" customWidth="1"/>
    <col min="6" max="6" width="15.140625" style="99" customWidth="1"/>
    <col min="7" max="7" width="8.140625" style="99" customWidth="1"/>
    <col min="8" max="8" width="4.42578125" style="99" customWidth="1"/>
    <col min="9" max="9" width="17.85546875" style="99" customWidth="1"/>
    <col min="10" max="10" width="2.140625" style="99" customWidth="1"/>
    <col min="11" max="11" width="9.140625" style="99" customWidth="1"/>
    <col min="12" max="12" width="20.140625" style="131" customWidth="1"/>
    <col min="13" max="13" width="18.140625" style="99" customWidth="1"/>
    <col min="14" max="14" width="21.85546875" style="99" customWidth="1"/>
    <col min="15" max="15" width="12.140625" style="99" customWidth="1"/>
    <col min="16" max="16" width="16.85546875" style="99" customWidth="1"/>
    <col min="17" max="17" width="21.42578125" style="99" customWidth="1"/>
    <col min="18" max="18" width="4.85546875" style="99" customWidth="1"/>
    <col min="19" max="19" width="8.85546875" style="99" hidden="1" customWidth="1"/>
    <col min="20" max="20" width="19" style="218" hidden="1" customWidth="1"/>
    <col min="21" max="21" width="8.85546875" style="218" hidden="1" customWidth="1"/>
    <col min="22" max="22" width="8.85546875" style="99" hidden="1" customWidth="1"/>
    <col min="23" max="24" width="11.42578125" style="99" hidden="1" customWidth="1"/>
    <col min="25" max="26" width="8.85546875" style="99" hidden="1" customWidth="1"/>
    <col min="27" max="27" width="11.140625" style="99" hidden="1" customWidth="1"/>
    <col min="28" max="28" width="8.85546875" style="99" hidden="1" customWidth="1"/>
    <col min="29" max="30" width="13.140625" style="99" hidden="1" customWidth="1"/>
    <col min="31" max="31" width="16.5703125" style="99" hidden="1" customWidth="1"/>
    <col min="32" max="33" width="20" style="99" hidden="1" customWidth="1"/>
    <col min="34" max="34" width="15.42578125" style="99" hidden="1" customWidth="1"/>
    <col min="35" max="35" width="25.42578125" style="99" hidden="1" customWidth="1"/>
    <col min="36" max="36" width="10.85546875" style="219" hidden="1" customWidth="1"/>
    <col min="37" max="37" width="13.42578125" style="99" hidden="1" customWidth="1"/>
    <col min="38" max="38" width="12.85546875" style="99" hidden="1" customWidth="1"/>
    <col min="39" max="41" width="13.140625" style="99" customWidth="1"/>
    <col min="42" max="42" width="11.140625" style="99" customWidth="1"/>
    <col min="43" max="43" width="14.85546875" style="99" customWidth="1"/>
    <col min="44" max="44" width="5.85546875" style="99" customWidth="1"/>
    <col min="45" max="45" width="11.85546875" style="99" customWidth="1"/>
    <col min="46" max="46" width="12.85546875" style="99" customWidth="1"/>
    <col min="47" max="47" width="11.85546875" style="99" customWidth="1"/>
    <col min="48" max="48" width="12.85546875" style="99" customWidth="1"/>
    <col min="49" max="49" width="12.85546875" style="220" customWidth="1"/>
    <col min="50" max="50" width="14.5703125" style="221" customWidth="1"/>
    <col min="51" max="55" width="12.85546875" style="99" customWidth="1"/>
    <col min="56" max="16384" width="8.85546875" style="99"/>
  </cols>
  <sheetData>
    <row r="1" spans="1:35" ht="4.5" customHeight="1">
      <c r="A1" s="1020"/>
      <c r="B1" s="212"/>
      <c r="C1" s="213" t="e">
        <f>(F15-(F16+#REF!))*12%</f>
        <v>#REF!</v>
      </c>
      <c r="D1" s="186" t="e">
        <f>FORM!#REF!</f>
        <v>#REF!</v>
      </c>
      <c r="E1" s="214"/>
      <c r="F1" s="3"/>
      <c r="G1" s="215"/>
      <c r="H1" s="215"/>
      <c r="I1" s="1020"/>
      <c r="J1" s="216">
        <v>0.01</v>
      </c>
      <c r="K1" s="214"/>
      <c r="L1" s="217"/>
      <c r="M1" s="217"/>
      <c r="N1" s="1021"/>
      <c r="O1" s="1020"/>
      <c r="P1" s="1020"/>
      <c r="Q1" s="1020"/>
      <c r="R1" s="1020"/>
      <c r="S1" s="1020"/>
      <c r="T1" s="1036"/>
      <c r="U1" s="1036"/>
      <c r="V1" s="1020"/>
      <c r="W1" s="1020"/>
      <c r="X1" s="1020"/>
      <c r="Y1" s="1020"/>
      <c r="Z1" s="1020"/>
      <c r="AA1" s="1020"/>
      <c r="AB1" s="1020"/>
      <c r="AC1" s="1020"/>
      <c r="AD1" s="1020"/>
      <c r="AE1" s="1020"/>
      <c r="AF1" s="1020"/>
      <c r="AG1" s="1020"/>
      <c r="AH1" s="1020"/>
      <c r="AI1" s="1020"/>
    </row>
    <row r="2" spans="1:35" ht="12.6">
      <c r="A2" s="1020"/>
      <c r="B2" s="160" t="s">
        <v>1059</v>
      </c>
      <c r="C2" s="1022">
        <f>FORM!I20</f>
        <v>45901</v>
      </c>
      <c r="D2" s="1023"/>
      <c r="E2" s="1020"/>
      <c r="F2" s="132" t="s">
        <v>1060</v>
      </c>
      <c r="G2" s="1641" t="s">
        <v>1061</v>
      </c>
      <c r="H2" s="1641"/>
      <c r="I2" s="1641"/>
      <c r="J2" s="142"/>
      <c r="K2" s="132" t="s">
        <v>1059</v>
      </c>
      <c r="L2" s="1022">
        <f>C2</f>
        <v>45901</v>
      </c>
      <c r="M2" s="1024"/>
      <c r="N2" s="1020"/>
      <c r="O2" s="175"/>
      <c r="P2" s="160" t="s">
        <v>1062</v>
      </c>
      <c r="Q2" s="1025" t="s">
        <v>1063</v>
      </c>
      <c r="R2" s="1020"/>
      <c r="S2" s="1020"/>
      <c r="T2" s="1036"/>
      <c r="U2" s="1036"/>
      <c r="V2" s="1020"/>
      <c r="W2" s="1020"/>
      <c r="X2" s="1020"/>
      <c r="Y2" s="1020"/>
      <c r="Z2" s="1020"/>
      <c r="AA2" s="1020"/>
      <c r="AB2" s="1020"/>
      <c r="AC2" s="1020"/>
      <c r="AD2" s="1020"/>
      <c r="AE2" s="1020"/>
      <c r="AF2" s="1020"/>
      <c r="AG2" s="1020"/>
      <c r="AH2" s="1020"/>
      <c r="AI2" s="1020"/>
    </row>
    <row r="3" spans="1:35" ht="12.6">
      <c r="A3" s="1020"/>
      <c r="B3" s="1020"/>
      <c r="C3" s="3"/>
      <c r="D3" s="3"/>
      <c r="E3" s="142"/>
      <c r="F3" s="142"/>
      <c r="G3" s="142"/>
      <c r="H3" s="142"/>
      <c r="I3" s="142"/>
      <c r="J3" s="142"/>
      <c r="K3" s="222"/>
      <c r="L3" s="223"/>
      <c r="M3" s="224"/>
      <c r="N3" s="1026"/>
      <c r="O3" s="1026"/>
      <c r="P3" s="1026"/>
      <c r="Q3" s="1026"/>
      <c r="R3" s="1020"/>
      <c r="S3" s="1020"/>
      <c r="T3" s="1036"/>
      <c r="U3" s="1036"/>
      <c r="V3" s="1020"/>
      <c r="W3" s="1020"/>
      <c r="X3" s="1020"/>
      <c r="Y3" s="1020"/>
      <c r="Z3" s="1020"/>
      <c r="AA3" s="1020"/>
      <c r="AB3" s="1020"/>
      <c r="AC3" s="1020"/>
      <c r="AD3" s="1020"/>
      <c r="AE3" s="1020"/>
      <c r="AF3" s="1020"/>
      <c r="AG3" s="1020"/>
      <c r="AH3" s="1020"/>
      <c r="AI3" s="1020"/>
    </row>
    <row r="4" spans="1:35" ht="18.75" customHeight="1">
      <c r="A4" s="1024"/>
      <c r="B4" s="1426" t="s">
        <v>1064</v>
      </c>
      <c r="C4" s="1426"/>
      <c r="D4" s="1426"/>
      <c r="E4" s="1426"/>
      <c r="F4" s="1426"/>
      <c r="G4" s="1426"/>
      <c r="H4" s="1426"/>
      <c r="I4" s="1427"/>
      <c r="J4" s="142"/>
      <c r="K4" s="1428" t="s">
        <v>1065</v>
      </c>
      <c r="L4" s="1428"/>
      <c r="M4" s="1428"/>
      <c r="N4" s="1428"/>
      <c r="O4" s="1428"/>
      <c r="P4" s="1428"/>
      <c r="Q4" s="1428"/>
      <c r="R4" s="1020"/>
      <c r="S4" s="1020"/>
      <c r="T4" s="1036"/>
      <c r="U4" s="1036"/>
      <c r="V4" s="1020"/>
      <c r="W4" s="1020"/>
      <c r="X4" s="1020"/>
      <c r="Y4" s="1020"/>
      <c r="Z4" s="1020"/>
      <c r="AA4" s="1020"/>
      <c r="AB4" s="1020"/>
      <c r="AC4" s="1020"/>
      <c r="AD4" s="1020"/>
      <c r="AE4" s="1020"/>
      <c r="AF4" s="1020"/>
      <c r="AG4" s="1020"/>
      <c r="AH4" s="1020"/>
      <c r="AI4" s="1020"/>
    </row>
    <row r="5" spans="1:35" ht="12" customHeight="1">
      <c r="A5" s="1024"/>
      <c r="B5" s="1024"/>
      <c r="C5" s="100"/>
      <c r="D5" s="100"/>
      <c r="E5" s="1024"/>
      <c r="F5" s="100"/>
      <c r="G5" s="100"/>
      <c r="H5" s="100"/>
      <c r="I5" s="176"/>
      <c r="J5" s="142"/>
      <c r="K5" s="142"/>
      <c r="L5" s="142"/>
      <c r="M5" s="177"/>
      <c r="N5" s="1024"/>
      <c r="O5" s="1024"/>
      <c r="P5" s="1024"/>
      <c r="Q5" s="1024"/>
      <c r="R5" s="1020"/>
      <c r="S5" s="1020"/>
      <c r="T5" s="1036"/>
      <c r="U5" s="1036"/>
      <c r="V5" s="1020"/>
      <c r="W5" s="1020"/>
      <c r="X5" s="1020"/>
      <c r="Y5" s="1020"/>
      <c r="Z5" s="1020"/>
      <c r="AA5" s="1020"/>
      <c r="AB5" s="1020"/>
      <c r="AC5" s="1020"/>
      <c r="AD5" s="1020"/>
      <c r="AE5" s="1020"/>
      <c r="AF5" s="1020"/>
      <c r="AG5" s="1020"/>
      <c r="AH5" s="1020"/>
      <c r="AI5" s="1020"/>
    </row>
    <row r="6" spans="1:35" ht="15.95">
      <c r="A6" s="1024"/>
      <c r="B6" s="225" t="s">
        <v>1066</v>
      </c>
      <c r="C6" s="226"/>
      <c r="D6" s="1027" t="s">
        <v>1015</v>
      </c>
      <c r="E6" s="1642" t="str">
        <f>FORM!I26</f>
        <v>buyer</v>
      </c>
      <c r="F6" s="1643"/>
      <c r="G6" s="1643"/>
      <c r="H6" s="1643"/>
      <c r="I6" s="1644"/>
      <c r="J6" s="142"/>
      <c r="K6" s="1425" t="s">
        <v>1066</v>
      </c>
      <c r="L6" s="1425"/>
      <c r="M6" s="1027" t="s">
        <v>1015</v>
      </c>
      <c r="N6" s="1645" t="str">
        <f t="shared" ref="N6:N13" si="0">E6</f>
        <v>buyer</v>
      </c>
      <c r="O6" s="1645"/>
      <c r="P6" s="1645"/>
      <c r="Q6" s="1645"/>
      <c r="R6" s="1020"/>
      <c r="S6" s="1020"/>
      <c r="T6" s="1036"/>
      <c r="U6" s="1036"/>
      <c r="V6" s="1020"/>
      <c r="W6" s="1020"/>
      <c r="X6" s="1020"/>
      <c r="Y6" s="1020"/>
      <c r="Z6" s="1020"/>
      <c r="AA6" s="1020"/>
      <c r="AB6" s="1020"/>
      <c r="AC6" s="1020"/>
      <c r="AD6" s="1242"/>
      <c r="AE6" s="1244"/>
      <c r="AF6" s="1244"/>
      <c r="AG6" s="1244"/>
      <c r="AH6" s="1268"/>
      <c r="AI6" s="1244"/>
    </row>
    <row r="7" spans="1:35" ht="16.5" thickBot="1">
      <c r="A7" s="1024"/>
      <c r="B7" s="144" t="s">
        <v>1014</v>
      </c>
      <c r="C7" s="227"/>
      <c r="D7" s="1027" t="s">
        <v>1015</v>
      </c>
      <c r="E7" s="1646" t="str">
        <f>FORM!$I$11</f>
        <v>The Southprime Flats</v>
      </c>
      <c r="F7" s="1647"/>
      <c r="G7" s="1028" t="str">
        <f>FORM!I14</f>
        <v>B3</v>
      </c>
      <c r="H7" s="1028"/>
      <c r="I7" s="1029"/>
      <c r="J7" s="142"/>
      <c r="K7" s="1425" t="s">
        <v>1014</v>
      </c>
      <c r="L7" s="1425"/>
      <c r="M7" s="1030" t="s">
        <v>1015</v>
      </c>
      <c r="N7" s="1645" t="str">
        <f t="shared" si="0"/>
        <v>The Southprime Flats</v>
      </c>
      <c r="O7" s="1645"/>
      <c r="P7" s="1645"/>
      <c r="Q7" s="1645"/>
      <c r="R7" s="1020"/>
      <c r="S7" s="1020"/>
      <c r="T7" s="1036"/>
      <c r="U7" s="1036"/>
      <c r="V7" s="1020"/>
      <c r="W7" s="1020"/>
      <c r="X7" s="1020"/>
      <c r="Y7" s="1020"/>
      <c r="Z7" s="1020"/>
      <c r="AA7" s="1020"/>
      <c r="AB7" s="1020"/>
      <c r="AC7" s="1020"/>
      <c r="AD7" s="1236"/>
      <c r="AE7" s="1239"/>
      <c r="AF7" s="1239"/>
      <c r="AG7" s="1239"/>
      <c r="AH7" s="1270"/>
      <c r="AI7" s="1271" t="s">
        <v>1067</v>
      </c>
    </row>
    <row r="8" spans="1:35" ht="15.95">
      <c r="A8" s="1031"/>
      <c r="B8" s="225" t="s">
        <v>1068</v>
      </c>
      <c r="C8" s="226"/>
      <c r="D8" s="1027" t="s">
        <v>1015</v>
      </c>
      <c r="E8" s="1642" t="str">
        <f>IF(FORM!I17="UNSOLD",FORM!I18,"UNABLE TO PROCESS, PLEASE PICK OTHER UNIT")</f>
        <v>E-11K</v>
      </c>
      <c r="F8" s="1643"/>
      <c r="G8" s="1643"/>
      <c r="H8" s="1643"/>
      <c r="I8" s="1644"/>
      <c r="J8" s="142"/>
      <c r="K8" s="1425" t="s">
        <v>1068</v>
      </c>
      <c r="L8" s="1425"/>
      <c r="M8" s="1027" t="s">
        <v>1015</v>
      </c>
      <c r="N8" s="1645" t="str">
        <f>E8</f>
        <v>E-11K</v>
      </c>
      <c r="O8" s="1645"/>
      <c r="P8" s="1645"/>
      <c r="Q8" s="1645"/>
      <c r="R8" s="1020"/>
      <c r="S8" s="1020"/>
      <c r="T8" s="1036"/>
      <c r="U8" s="1036"/>
      <c r="V8" s="1020"/>
      <c r="W8" s="1020"/>
      <c r="X8" s="1020"/>
      <c r="Y8" s="1020"/>
      <c r="Z8" s="1020"/>
      <c r="AA8" s="1020"/>
      <c r="AB8" s="1020"/>
      <c r="AC8" s="1020"/>
      <c r="AD8" s="1275" t="s">
        <v>1069</v>
      </c>
      <c r="AE8" s="1272">
        <v>0.08</v>
      </c>
      <c r="AF8" s="1272"/>
      <c r="AG8" s="1273">
        <f>AE8*F17</f>
        <v>329842.25448273792</v>
      </c>
      <c r="AH8" s="1274">
        <f>AG8*0.9</f>
        <v>296858.02903446415</v>
      </c>
      <c r="AI8" s="1266">
        <f>AH8/4</f>
        <v>74214.507258616039</v>
      </c>
    </row>
    <row r="9" spans="1:35" ht="15.95" hidden="1">
      <c r="A9" s="1024"/>
      <c r="B9" s="144" t="s">
        <v>1070</v>
      </c>
      <c r="C9" s="227"/>
      <c r="D9" s="1027" t="s">
        <v>1015</v>
      </c>
      <c r="E9" s="1642" t="e">
        <f>FORM!#REF!</f>
        <v>#REF!</v>
      </c>
      <c r="F9" s="1643"/>
      <c r="G9" s="1643"/>
      <c r="H9" s="1643"/>
      <c r="I9" s="1644"/>
      <c r="J9" s="142"/>
      <c r="K9" s="1425" t="s">
        <v>1070</v>
      </c>
      <c r="L9" s="1425"/>
      <c r="M9" s="1027" t="s">
        <v>1015</v>
      </c>
      <c r="N9" s="1645" t="e">
        <f t="shared" si="0"/>
        <v>#REF!</v>
      </c>
      <c r="O9" s="1645"/>
      <c r="P9" s="1645"/>
      <c r="Q9" s="1645"/>
      <c r="R9" s="1020"/>
      <c r="S9" s="1020"/>
      <c r="T9" s="1036"/>
      <c r="U9" s="1036"/>
      <c r="V9" s="1020"/>
      <c r="W9" s="1020"/>
      <c r="X9" s="1020"/>
      <c r="Y9" s="1020"/>
      <c r="Z9" s="1020"/>
      <c r="AA9" s="1020"/>
      <c r="AB9" s="1020"/>
      <c r="AC9" s="1020"/>
      <c r="AD9" s="1242"/>
      <c r="AE9" s="1244"/>
      <c r="AF9" s="1244"/>
      <c r="AG9" s="1244"/>
      <c r="AH9" s="1268"/>
      <c r="AI9" s="1244"/>
    </row>
    <row r="10" spans="1:35" ht="16.5" thickBot="1">
      <c r="A10" s="1024"/>
      <c r="B10" s="144" t="s">
        <v>1071</v>
      </c>
      <c r="C10" s="227"/>
      <c r="D10" s="1027" t="s">
        <v>1015</v>
      </c>
      <c r="E10" s="1642" t="str">
        <f>VLOOKUP(E8,'Pricelist Link'!A6:AD378,6,FALSE)</f>
        <v>Studio</v>
      </c>
      <c r="F10" s="1643"/>
      <c r="G10" s="1643"/>
      <c r="H10" s="1643"/>
      <c r="I10" s="1644"/>
      <c r="J10" s="142"/>
      <c r="K10" s="1425" t="s">
        <v>1071</v>
      </c>
      <c r="L10" s="1425"/>
      <c r="M10" s="1030" t="s">
        <v>1015</v>
      </c>
      <c r="N10" s="1645" t="str">
        <f t="shared" si="0"/>
        <v>Studio</v>
      </c>
      <c r="O10" s="1645"/>
      <c r="P10" s="1645"/>
      <c r="Q10" s="1645"/>
      <c r="R10" s="1020"/>
      <c r="S10" s="1020"/>
      <c r="T10" s="1036"/>
      <c r="U10" s="1036"/>
      <c r="V10" s="1020"/>
      <c r="W10" s="1020"/>
      <c r="X10" s="1020"/>
      <c r="Y10" s="1020"/>
      <c r="Z10" s="1020"/>
      <c r="AA10" s="1020"/>
      <c r="AB10" s="1020"/>
      <c r="AC10" s="1020"/>
      <c r="AD10" s="1242"/>
      <c r="AE10" s="1268">
        <f>F22*2.5%</f>
        <v>116217.8568529022</v>
      </c>
      <c r="AF10" s="1268"/>
      <c r="AG10" s="1269">
        <f>F22*5%</f>
        <v>232435.7137058044</v>
      </c>
      <c r="AH10" s="1268">
        <f>F22*7.5%</f>
        <v>348653.57055870659</v>
      </c>
      <c r="AI10" s="1269">
        <f>F22*10%</f>
        <v>464871.42741160881</v>
      </c>
    </row>
    <row r="11" spans="1:35" ht="15.95">
      <c r="A11" s="1024"/>
      <c r="B11" s="144" t="s">
        <v>1072</v>
      </c>
      <c r="C11" s="227"/>
      <c r="D11" s="1027" t="s">
        <v>1015</v>
      </c>
      <c r="E11" s="1421">
        <f>VLOOKUP(E8,'Pricelist Link'!A6:AD378,7,FALSE)</f>
        <v>22</v>
      </c>
      <c r="F11" s="1422"/>
      <c r="G11" s="1028" t="s">
        <v>1073</v>
      </c>
      <c r="H11" s="1643"/>
      <c r="I11" s="1644"/>
      <c r="J11" s="142"/>
      <c r="K11" s="1425" t="s">
        <v>1072</v>
      </c>
      <c r="L11" s="1425"/>
      <c r="M11" s="1027" t="s">
        <v>1015</v>
      </c>
      <c r="N11" s="1648">
        <f t="shared" si="0"/>
        <v>22</v>
      </c>
      <c r="O11" s="1649"/>
      <c r="P11" s="1650" t="s">
        <v>1073</v>
      </c>
      <c r="Q11" s="1651"/>
      <c r="R11" s="1020"/>
      <c r="S11" s="1020"/>
      <c r="T11" s="1036"/>
      <c r="U11" s="1036"/>
      <c r="V11" s="1020"/>
      <c r="W11" s="1020"/>
      <c r="X11" s="1020"/>
      <c r="Y11" s="1020"/>
      <c r="Z11" s="1020"/>
      <c r="AA11" s="1020"/>
      <c r="AB11" s="1020"/>
      <c r="AC11" s="1020"/>
      <c r="AD11" s="1242"/>
      <c r="AE11" s="1269">
        <f t="array" ref="AE11">AE10:AE11</f>
        <v>116217.8568529022</v>
      </c>
      <c r="AF11" s="1269"/>
      <c r="AG11" s="1244"/>
      <c r="AH11" s="1268"/>
      <c r="AI11" s="1244"/>
    </row>
    <row r="12" spans="1:35" ht="12.6">
      <c r="A12" s="1031"/>
      <c r="B12" s="228" t="s">
        <v>1074</v>
      </c>
      <c r="C12" s="226"/>
      <c r="D12" s="1027" t="s">
        <v>1015</v>
      </c>
      <c r="E12" s="1421"/>
      <c r="F12" s="1422"/>
      <c r="G12" s="1028" t="s">
        <v>1073</v>
      </c>
      <c r="H12" s="1650"/>
      <c r="I12" s="1651"/>
      <c r="J12" s="142"/>
      <c r="K12" s="1425" t="s">
        <v>1074</v>
      </c>
      <c r="L12" s="1425"/>
      <c r="M12" s="1027" t="s">
        <v>1015</v>
      </c>
      <c r="N12" s="1652">
        <f t="shared" si="0"/>
        <v>0</v>
      </c>
      <c r="O12" s="1653"/>
      <c r="P12" s="1650" t="s">
        <v>1073</v>
      </c>
      <c r="Q12" s="1651"/>
      <c r="R12" s="1020"/>
      <c r="S12" s="1020"/>
      <c r="T12" s="1036"/>
      <c r="U12" s="1036"/>
      <c r="V12" s="1020"/>
      <c r="W12" s="1020"/>
      <c r="X12" s="1020"/>
      <c r="Y12" s="1020"/>
      <c r="Z12" s="1020"/>
      <c r="AA12" s="1020"/>
      <c r="AB12" s="1020"/>
      <c r="AC12" s="1020"/>
      <c r="AD12" s="1020"/>
      <c r="AE12" s="1020"/>
      <c r="AF12" s="1020"/>
      <c r="AG12" s="1020"/>
      <c r="AH12" s="1020"/>
      <c r="AI12" s="1020"/>
    </row>
    <row r="13" spans="1:35" ht="15.95">
      <c r="A13" s="1032"/>
      <c r="B13" s="144" t="s">
        <v>1075</v>
      </c>
      <c r="C13" s="227"/>
      <c r="D13" s="1027" t="s">
        <v>1015</v>
      </c>
      <c r="E13" s="1423">
        <f>VLOOKUP(E8,'Pricelist Link'!A6:AD378,7,FALSE)</f>
        <v>22</v>
      </c>
      <c r="F13" s="1424"/>
      <c r="G13" s="1028" t="s">
        <v>1073</v>
      </c>
      <c r="H13" s="1650"/>
      <c r="I13" s="1651"/>
      <c r="J13" s="142"/>
      <c r="K13" s="1425" t="s">
        <v>1075</v>
      </c>
      <c r="L13" s="1425"/>
      <c r="M13" s="1027" t="s">
        <v>1015</v>
      </c>
      <c r="N13" s="1652">
        <f t="shared" si="0"/>
        <v>22</v>
      </c>
      <c r="O13" s="1653"/>
      <c r="P13" s="1650" t="s">
        <v>1073</v>
      </c>
      <c r="Q13" s="1651"/>
      <c r="R13" s="1020"/>
      <c r="S13" s="1020"/>
      <c r="T13" s="1036"/>
      <c r="U13" s="1036"/>
      <c r="V13" s="1020"/>
      <c r="W13" s="1020"/>
      <c r="X13" s="1020"/>
      <c r="Y13" s="1020"/>
      <c r="Z13" s="1020"/>
      <c r="AA13" s="1020"/>
      <c r="AB13" s="1020"/>
      <c r="AC13" s="1020"/>
      <c r="AD13" s="1236"/>
      <c r="AE13" s="1237"/>
      <c r="AF13" s="1237"/>
      <c r="AG13" s="1238" t="s">
        <v>1076</v>
      </c>
      <c r="AH13" s="1239"/>
      <c r="AI13" s="1240"/>
    </row>
    <row r="14" spans="1:35" ht="15.95">
      <c r="A14" s="1024"/>
      <c r="B14" s="1024"/>
      <c r="C14" s="178"/>
      <c r="D14" s="1027"/>
      <c r="E14" s="142"/>
      <c r="F14" s="229"/>
      <c r="G14" s="229"/>
      <c r="H14" s="230"/>
      <c r="I14" s="231"/>
      <c r="J14" s="142"/>
      <c r="K14" s="1024"/>
      <c r="L14" s="1024"/>
      <c r="M14" s="1033"/>
      <c r="N14" s="1024"/>
      <c r="O14" s="1024"/>
      <c r="P14" s="1024"/>
      <c r="Q14" s="1024"/>
      <c r="R14" s="1020"/>
      <c r="S14" s="1020"/>
      <c r="T14" s="1036"/>
      <c r="U14" s="1036"/>
      <c r="V14" s="1020"/>
      <c r="W14" s="1020"/>
      <c r="X14" s="1020"/>
      <c r="Y14" s="1020"/>
      <c r="Z14" s="1020"/>
      <c r="AA14" s="1020"/>
      <c r="AB14" s="1020"/>
      <c r="AC14" s="1020"/>
      <c r="AD14" s="1241"/>
      <c r="AE14" s="1242"/>
      <c r="AF14" s="1242"/>
      <c r="AG14" s="1243" t="s">
        <v>1077</v>
      </c>
      <c r="AH14" s="1244"/>
      <c r="AI14" s="1245"/>
    </row>
    <row r="15" spans="1:35" ht="15" customHeight="1">
      <c r="A15" s="1024"/>
      <c r="B15" s="141" t="s">
        <v>1078</v>
      </c>
      <c r="C15" s="141"/>
      <c r="D15" s="232" t="s">
        <v>1015</v>
      </c>
      <c r="E15" s="233"/>
      <c r="F15" s="1395">
        <f>VLOOKUP(E8,'Pricelist Link'!A6:AD378,8,FALSE)</f>
        <v>4123028.1810342241</v>
      </c>
      <c r="G15" s="1395"/>
      <c r="H15" s="1395"/>
      <c r="I15" s="1396"/>
      <c r="J15" s="142"/>
      <c r="K15" s="1402" t="s">
        <v>1079</v>
      </c>
      <c r="L15" s="1402"/>
      <c r="M15" s="1416" t="s">
        <v>989</v>
      </c>
      <c r="N15" s="1402" t="s">
        <v>992</v>
      </c>
      <c r="O15" s="1402"/>
      <c r="P15" s="1417" t="s">
        <v>206</v>
      </c>
      <c r="Q15" s="1418"/>
      <c r="R15" s="1020"/>
      <c r="S15" s="1020"/>
      <c r="T15" s="1036"/>
      <c r="U15" s="1036"/>
      <c r="V15" s="1020"/>
      <c r="W15" s="1020"/>
      <c r="X15" s="1020"/>
      <c r="Y15" s="1020"/>
      <c r="Z15" s="1020"/>
      <c r="AA15" s="1020"/>
      <c r="AB15" s="1020"/>
      <c r="AC15" s="1020"/>
      <c r="AD15" s="1241"/>
      <c r="AE15" s="1242"/>
      <c r="AF15" s="1246">
        <v>50000</v>
      </c>
      <c r="AG15" s="1244"/>
      <c r="AH15" s="1244"/>
      <c r="AI15" s="1245"/>
    </row>
    <row r="16" spans="1:35" ht="15.95">
      <c r="A16" s="1024"/>
      <c r="B16" s="148" t="s">
        <v>1080</v>
      </c>
      <c r="C16" s="227"/>
      <c r="D16" s="1034" t="s">
        <v>1015</v>
      </c>
      <c r="E16" s="234"/>
      <c r="F16" s="1654">
        <f>SUM(FORM!V19:V21)+SUM(FORM!V25:V27)+SUM(FORM!V31:W34)</f>
        <v>0</v>
      </c>
      <c r="G16" s="1654"/>
      <c r="H16" s="1654"/>
      <c r="I16" s="1655"/>
      <c r="J16" s="100"/>
      <c r="K16" s="1402"/>
      <c r="L16" s="1402"/>
      <c r="M16" s="1416"/>
      <c r="N16" s="1402"/>
      <c r="O16" s="1402"/>
      <c r="P16" s="1419"/>
      <c r="Q16" s="1420"/>
      <c r="R16" s="1020"/>
      <c r="S16" s="1020"/>
      <c r="T16" s="1036"/>
      <c r="U16" s="1036"/>
      <c r="V16" s="1020"/>
      <c r="W16" s="1020"/>
      <c r="X16" s="1020"/>
      <c r="Y16" s="1020"/>
      <c r="Z16" s="1020"/>
      <c r="AA16" s="1020"/>
      <c r="AB16" s="1020"/>
      <c r="AC16" s="1020"/>
      <c r="AD16" s="1247" t="s">
        <v>240</v>
      </c>
      <c r="AE16" s="1248"/>
      <c r="AF16" s="1249" t="s">
        <v>1081</v>
      </c>
      <c r="AG16" s="1250"/>
      <c r="AH16" s="1250"/>
      <c r="AI16" s="1251"/>
    </row>
    <row r="17" spans="1:50" ht="15">
      <c r="A17" s="1024"/>
      <c r="B17" s="129" t="s">
        <v>1082</v>
      </c>
      <c r="C17" s="101"/>
      <c r="D17" s="142" t="s">
        <v>1015</v>
      </c>
      <c r="E17" s="233"/>
      <c r="F17" s="1397">
        <f>F15-F16</f>
        <v>4123028.1810342241</v>
      </c>
      <c r="G17" s="1397"/>
      <c r="H17" s="1397"/>
      <c r="I17" s="1398"/>
      <c r="J17" s="100"/>
      <c r="K17" s="1521" t="s">
        <v>1031</v>
      </c>
      <c r="L17" s="1521"/>
      <c r="M17" s="1035">
        <f>C2</f>
        <v>45901</v>
      </c>
      <c r="N17" s="1403">
        <f>F25</f>
        <v>30000</v>
      </c>
      <c r="O17" s="1403"/>
      <c r="P17" s="1666"/>
      <c r="Q17" s="1657"/>
      <c r="R17" s="1020"/>
      <c r="S17" s="1020"/>
      <c r="T17" s="1036"/>
      <c r="U17" s="1036"/>
      <c r="V17" s="1020"/>
      <c r="W17" s="1037">
        <f>M17</f>
        <v>45901</v>
      </c>
      <c r="X17" s="1037">
        <f>EDATE(W17,E28)</f>
        <v>46784</v>
      </c>
      <c r="Y17" s="1020"/>
      <c r="Z17" s="1020"/>
      <c r="AA17" s="1020"/>
      <c r="AB17" s="1020"/>
      <c r="AC17" s="1020" t="s">
        <v>1083</v>
      </c>
      <c r="AD17" s="1252">
        <v>0</v>
      </c>
      <c r="AE17" s="1253">
        <v>10500</v>
      </c>
      <c r="AF17" s="1254"/>
      <c r="AG17" s="1254">
        <f>N17-AE17-AF17</f>
        <v>19500</v>
      </c>
      <c r="AH17" s="1255"/>
      <c r="AI17" s="1256">
        <f>AG17</f>
        <v>19500</v>
      </c>
      <c r="AJ17" s="1038"/>
      <c r="AK17" s="1020"/>
      <c r="AL17" s="1020"/>
      <c r="AM17" s="1020"/>
      <c r="AN17" s="1020"/>
      <c r="AO17" s="1020"/>
      <c r="AP17" s="1020"/>
      <c r="AQ17" s="1020"/>
      <c r="AR17" s="1020"/>
      <c r="AS17" s="1020"/>
      <c r="AT17" s="1020"/>
      <c r="AU17" s="1020"/>
      <c r="AV17" s="1020"/>
      <c r="AW17" s="1039"/>
      <c r="AX17" s="1040"/>
    </row>
    <row r="18" spans="1:50" ht="15.95">
      <c r="A18" s="1024"/>
      <c r="B18" s="147"/>
      <c r="C18" s="178"/>
      <c r="D18" s="1027"/>
      <c r="E18" s="408">
        <f>(F17)*E19</f>
        <v>494763.38172410685</v>
      </c>
      <c r="F18" s="235"/>
      <c r="G18" s="236"/>
      <c r="H18" s="237"/>
      <c r="I18" s="237"/>
      <c r="J18" s="100"/>
      <c r="K18" s="1521" t="str">
        <f t="shared" ref="K18:K60" si="1">IF(N18&gt;1,T18,0)</f>
        <v>1st EQUITY PAYMENT</v>
      </c>
      <c r="L18" s="1521"/>
      <c r="M18" s="1035">
        <f>IF(N18&gt;1,W18,"")</f>
        <v>45935</v>
      </c>
      <c r="N18" s="1403">
        <f>IF(E28&gt;0,F28,"")</f>
        <v>19003.078767741757</v>
      </c>
      <c r="O18" s="1403"/>
      <c r="P18" s="1666"/>
      <c r="Q18" s="1657"/>
      <c r="R18" s="1020"/>
      <c r="S18" s="1020"/>
      <c r="T18" s="1405" t="s">
        <v>1084</v>
      </c>
      <c r="U18" s="1405"/>
      <c r="V18" s="1020"/>
      <c r="W18" s="1035">
        <f>IF(DAY(W17)=31,Y20,AA20)</f>
        <v>45935</v>
      </c>
      <c r="X18" s="22"/>
      <c r="Y18" s="1441" t="s">
        <v>1085</v>
      </c>
      <c r="Z18" s="1441"/>
      <c r="AA18" s="22"/>
      <c r="AB18" s="1020"/>
      <c r="AC18" s="1020" t="s">
        <v>1086</v>
      </c>
      <c r="AD18" s="1241">
        <v>1</v>
      </c>
      <c r="AE18" s="1242"/>
      <c r="AF18" s="1257"/>
      <c r="AG18" s="1257">
        <f t="shared" ref="AG18:AG54" si="2">N18-AE18-AF18</f>
        <v>19003.078767741757</v>
      </c>
      <c r="AH18" s="1244"/>
      <c r="AI18" s="1258">
        <f>AI17+AG18</f>
        <v>38503.078767741754</v>
      </c>
      <c r="AJ18" s="1038"/>
      <c r="AK18" s="1020"/>
      <c r="AL18" s="1020"/>
      <c r="AM18" s="1020"/>
      <c r="AN18" s="1020"/>
      <c r="AO18" s="1020"/>
      <c r="AP18" s="1020"/>
      <c r="AQ18" s="1020"/>
      <c r="AR18" s="1020"/>
      <c r="AS18" s="1020"/>
      <c r="AT18" s="1020"/>
      <c r="AU18" s="1020"/>
      <c r="AV18" s="1020"/>
      <c r="AW18" s="1039"/>
      <c r="AX18" s="1040"/>
    </row>
    <row r="19" spans="1:50" ht="15.95">
      <c r="A19" s="1031"/>
      <c r="B19" s="148" t="s">
        <v>1087</v>
      </c>
      <c r="C19" s="227"/>
      <c r="D19" s="1034" t="s">
        <v>1015</v>
      </c>
      <c r="E19" s="283">
        <v>0.12</v>
      </c>
      <c r="F19" s="1654"/>
      <c r="G19" s="1654"/>
      <c r="H19" s="1654"/>
      <c r="I19" s="1655"/>
      <c r="J19" s="100"/>
      <c r="K19" s="1521" t="str">
        <f t="shared" si="1"/>
        <v>2nd EQUITY PAYMENT</v>
      </c>
      <c r="L19" s="1521"/>
      <c r="M19" s="1035">
        <f t="shared" ref="M19:M72" si="3">IF(N19&gt;1,W19,"")</f>
        <v>45966</v>
      </c>
      <c r="N19" s="1403">
        <f>IF(E28&gt;1,F28,0)</f>
        <v>19003.078767741757</v>
      </c>
      <c r="O19" s="1403"/>
      <c r="P19" s="1666"/>
      <c r="Q19" s="1657"/>
      <c r="R19" s="1020"/>
      <c r="S19" s="1020"/>
      <c r="T19" s="1405" t="s">
        <v>1088</v>
      </c>
      <c r="U19" s="1405"/>
      <c r="V19" s="1020"/>
      <c r="W19" s="1035">
        <f t="shared" ref="W19:W61" si="4">IF(AND(DAY(W18)&gt;=6,DAY(W18)&lt;=20),DATE(YEAR(W18),MONTH(W18)+1,DAY(20)),IF(AND(DAY(W18)&gt;=21,DAY(W18)&lt;=30),DATE(YEAR(W18),MONTH(W18)+1,IF(DAY(EOMONTH(W18,1))&lt;30,DAY(EOMONTH(W18,1)),DAY(30))),DATE(YEAR(W18),MONTH(W18)+1,DAY(5))))</f>
        <v>45966</v>
      </c>
      <c r="X19" s="58" t="s">
        <v>37</v>
      </c>
      <c r="Y19" s="1442" t="b">
        <f>IF(DAY(W17)=31,DATE(YEAR(X17),MONTH(X17)+2,DAY(5)))</f>
        <v>0</v>
      </c>
      <c r="Z19" s="1443"/>
      <c r="AA19" s="306">
        <f>IF(AND(DAY(X17)&gt;=6,DAY(X17)&lt;=20),DATE(YEAR(X17),MONTH(X17)+1,DAY(20)),IF(AND(DAY(X17)&gt;=21,DAY(X17)&lt;=31),DATE(YEAR(X17),MONTH(X17)+1,IF(DAY(EOMONTH(X17,1))&lt;30,DAY(EOMONTH(X17,1)),DAY(30))),DATE(YEAR(X17),MONTH(X17)+1,DAY(5))))</f>
        <v>46817</v>
      </c>
      <c r="AB19" s="1020"/>
      <c r="AC19" s="1020" t="s">
        <v>1089</v>
      </c>
      <c r="AD19" s="1241">
        <f>AD18+1</f>
        <v>2</v>
      </c>
      <c r="AE19" s="1242"/>
      <c r="AF19" s="1257"/>
      <c r="AG19" s="1257">
        <f t="shared" si="2"/>
        <v>19003.078767741757</v>
      </c>
      <c r="AH19" s="1244"/>
      <c r="AI19" s="1258">
        <f>AI18+AG19</f>
        <v>57506.157535483508</v>
      </c>
      <c r="AJ19" s="1038"/>
      <c r="AK19" s="1020"/>
      <c r="AL19" s="1020"/>
      <c r="AM19" s="1020"/>
      <c r="AN19" s="1020"/>
      <c r="AO19" s="1020"/>
      <c r="AP19" s="1020"/>
      <c r="AQ19" s="1020"/>
      <c r="AR19" s="1020"/>
      <c r="AS19" s="1020"/>
      <c r="AT19" s="1020"/>
      <c r="AU19" s="1020"/>
      <c r="AV19" s="1020"/>
      <c r="AW19" s="1039"/>
      <c r="AX19" s="1040"/>
    </row>
    <row r="20" spans="1:50" ht="15.95">
      <c r="A20" s="1032"/>
      <c r="B20" s="238" t="s">
        <v>1090</v>
      </c>
      <c r="C20" s="101"/>
      <c r="D20" s="1027" t="s">
        <v>1015</v>
      </c>
      <c r="E20" s="1041"/>
      <c r="F20" s="1658">
        <f>VLOOKUP(E8,'Pricelist Link'!A6:AD378,9,FALSE)</f>
        <v>525686.0930818636</v>
      </c>
      <c r="G20" s="1659"/>
      <c r="H20" s="1659"/>
      <c r="I20" s="1660"/>
      <c r="J20" s="100"/>
      <c r="K20" s="1521" t="str">
        <f t="shared" si="1"/>
        <v>3rd EQUITY PAYMENT</v>
      </c>
      <c r="L20" s="1521"/>
      <c r="M20" s="1035">
        <f t="shared" si="3"/>
        <v>45996</v>
      </c>
      <c r="N20" s="1403">
        <f>IF(E28&gt;2,F28,0)</f>
        <v>19003.078767741757</v>
      </c>
      <c r="O20" s="1403"/>
      <c r="P20" s="1666"/>
      <c r="Q20" s="1657"/>
      <c r="R20" s="1020"/>
      <c r="S20" s="1020"/>
      <c r="T20" s="1405" t="s">
        <v>1091</v>
      </c>
      <c r="U20" s="1405"/>
      <c r="V20" s="1020"/>
      <c r="W20" s="1035">
        <f t="shared" si="4"/>
        <v>45996</v>
      </c>
      <c r="X20" s="58" t="s">
        <v>1092</v>
      </c>
      <c r="Y20" s="1442" t="b">
        <f>IF(DAY(W17)=31,DATE(YEAR(W17),MONTH(W17)+2,DAY(5)))</f>
        <v>0</v>
      </c>
      <c r="Z20" s="1443"/>
      <c r="AA20" s="306">
        <f>IF(AND(DAY(W17)&gt;=6,DAY(W17)&lt;=20),DATE(YEAR(W17),MONTH(W17)+1,DAY(20)),IF(AND(DAY(W17)&gt;=21,DAY(W17)&lt;=30),DATE(YEAR(W17),MONTH(W17)+1,IF(DAY(EOMONTH(W17,1))&lt;31,DAY(EOMONTH(W17,1)),DAY(30))),DATE(YEAR(W17),MONTH(W17)+1,DAY(5))))</f>
        <v>45935</v>
      </c>
      <c r="AB20" s="1020"/>
      <c r="AC20" s="1020" t="s">
        <v>1093</v>
      </c>
      <c r="AD20" s="1241">
        <f t="shared" ref="AD20:AD54" si="5">AD19+1</f>
        <v>3</v>
      </c>
      <c r="AE20" s="1242"/>
      <c r="AF20" s="1257">
        <f>35000/2</f>
        <v>17500</v>
      </c>
      <c r="AG20" s="1257">
        <f t="shared" si="2"/>
        <v>1503.0787677417575</v>
      </c>
      <c r="AH20" s="1244"/>
      <c r="AI20" s="1258">
        <f t="shared" ref="AI20:AI54" si="6">AI19+AG20</f>
        <v>59009.236303225262</v>
      </c>
      <c r="AJ20" s="1038"/>
      <c r="AK20" s="1020"/>
      <c r="AL20" s="1020"/>
      <c r="AM20" s="1020"/>
      <c r="AN20" s="1020"/>
      <c r="AO20" s="1020"/>
      <c r="AP20" s="1020"/>
      <c r="AQ20" s="1020"/>
      <c r="AR20" s="1020"/>
      <c r="AS20" s="1020"/>
      <c r="AT20" s="1020"/>
      <c r="AU20" s="1020"/>
      <c r="AV20" s="1020"/>
      <c r="AW20" s="1039"/>
      <c r="AX20" s="1020"/>
    </row>
    <row r="21" spans="1:50" ht="15.95">
      <c r="A21" s="1024"/>
      <c r="B21" s="147"/>
      <c r="C21" s="100"/>
      <c r="D21" s="1027"/>
      <c r="E21" s="142"/>
      <c r="F21" s="235"/>
      <c r="G21" s="235"/>
      <c r="H21" s="235"/>
      <c r="I21" s="235"/>
      <c r="J21" s="100"/>
      <c r="K21" s="1521" t="str">
        <f t="shared" si="1"/>
        <v>4th EQUITY PAYMENT</v>
      </c>
      <c r="L21" s="1521"/>
      <c r="M21" s="1035">
        <f t="shared" si="3"/>
        <v>46027</v>
      </c>
      <c r="N21" s="1403">
        <f>IF(E28&gt;3,F28,0)</f>
        <v>19003.078767741757</v>
      </c>
      <c r="O21" s="1403"/>
      <c r="P21" s="1666"/>
      <c r="Q21" s="1657"/>
      <c r="R21" s="1020"/>
      <c r="S21" s="1020"/>
      <c r="T21" s="1405" t="s">
        <v>1094</v>
      </c>
      <c r="U21" s="1405"/>
      <c r="V21" s="1020"/>
      <c r="W21" s="1035">
        <f t="shared" si="4"/>
        <v>46027</v>
      </c>
      <c r="X21" s="1020"/>
      <c r="Y21" s="1020"/>
      <c r="Z21" s="1020"/>
      <c r="AA21" s="1020"/>
      <c r="AB21" s="1020"/>
      <c r="AC21" s="1020" t="s">
        <v>1095</v>
      </c>
      <c r="AD21" s="1241">
        <f t="shared" si="5"/>
        <v>4</v>
      </c>
      <c r="AE21" s="1242"/>
      <c r="AF21" s="1257"/>
      <c r="AG21" s="1257">
        <f t="shared" si="2"/>
        <v>19003.078767741757</v>
      </c>
      <c r="AH21" s="1244"/>
      <c r="AI21" s="1258">
        <f t="shared" si="6"/>
        <v>78012.315070967015</v>
      </c>
      <c r="AJ21" s="1038"/>
      <c r="AK21" s="1020"/>
      <c r="AL21" s="1020"/>
      <c r="AM21" s="1020"/>
      <c r="AN21" s="1020"/>
      <c r="AO21" s="1020"/>
      <c r="AP21" s="1020"/>
      <c r="AQ21" s="1020"/>
      <c r="AR21" s="1020"/>
      <c r="AS21" s="1020"/>
      <c r="AT21" s="1020"/>
      <c r="AU21" s="1020"/>
      <c r="AV21" s="1020"/>
      <c r="AW21" s="1039"/>
      <c r="AX21" s="1020"/>
    </row>
    <row r="22" spans="1:50" ht="15.95">
      <c r="A22" s="1024"/>
      <c r="B22" s="129" t="s">
        <v>1096</v>
      </c>
      <c r="C22" s="101"/>
      <c r="D22" s="142" t="s">
        <v>1015</v>
      </c>
      <c r="E22" s="239"/>
      <c r="F22" s="1399">
        <f>SUM(F19:I20,F17)</f>
        <v>4648714.2741160877</v>
      </c>
      <c r="G22" s="1400"/>
      <c r="H22" s="1400"/>
      <c r="I22" s="1401"/>
      <c r="J22" s="100"/>
      <c r="K22" s="1521" t="str">
        <f t="shared" si="1"/>
        <v>5th EQUITY PAYMENT</v>
      </c>
      <c r="L22" s="1521"/>
      <c r="M22" s="1035">
        <f t="shared" si="3"/>
        <v>46058</v>
      </c>
      <c r="N22" s="1403">
        <f>IF(E28&gt;4,F28,0)</f>
        <v>19003.078767741757</v>
      </c>
      <c r="O22" s="1403"/>
      <c r="P22" s="1666"/>
      <c r="Q22" s="1657"/>
      <c r="R22" s="1020"/>
      <c r="S22" s="1020"/>
      <c r="T22" s="1405" t="s">
        <v>1097</v>
      </c>
      <c r="U22" s="1405"/>
      <c r="V22" s="1020"/>
      <c r="W22" s="1035">
        <f t="shared" si="4"/>
        <v>46058</v>
      </c>
      <c r="X22" s="1020"/>
      <c r="Y22" s="1020"/>
      <c r="Z22" s="1020"/>
      <c r="AA22" s="1020"/>
      <c r="AB22" s="1020"/>
      <c r="AC22" s="1020"/>
      <c r="AD22" s="1241">
        <f t="shared" si="5"/>
        <v>5</v>
      </c>
      <c r="AE22" s="1242"/>
      <c r="AF22" s="1257"/>
      <c r="AG22" s="1257">
        <f t="shared" si="2"/>
        <v>19003.078767741757</v>
      </c>
      <c r="AH22" s="1244"/>
      <c r="AI22" s="1258">
        <f t="shared" si="6"/>
        <v>97015.393838708769</v>
      </c>
      <c r="AJ22" s="1038"/>
      <c r="AK22" s="1020"/>
      <c r="AL22" s="1020"/>
      <c r="AM22" s="1020"/>
      <c r="AN22" s="1020"/>
      <c r="AO22" s="1020"/>
      <c r="AP22" s="1020"/>
      <c r="AQ22" s="1020"/>
      <c r="AR22" s="1020"/>
      <c r="AS22" s="1020"/>
      <c r="AT22" s="1020"/>
      <c r="AU22" s="1020"/>
      <c r="AV22" s="1020"/>
      <c r="AW22" s="1039"/>
      <c r="AX22" s="1020"/>
    </row>
    <row r="23" spans="1:50" ht="15.95">
      <c r="A23" s="1024"/>
      <c r="B23" s="147"/>
      <c r="C23" s="100"/>
      <c r="D23" s="1027"/>
      <c r="E23" s="142"/>
      <c r="F23" s="235"/>
      <c r="G23" s="240"/>
      <c r="H23" s="240"/>
      <c r="I23" s="240"/>
      <c r="J23" s="100"/>
      <c r="K23" s="1521" t="str">
        <f t="shared" si="1"/>
        <v>6th EQUITY PAYMENT</v>
      </c>
      <c r="L23" s="1521"/>
      <c r="M23" s="1035">
        <f t="shared" si="3"/>
        <v>46086</v>
      </c>
      <c r="N23" s="1403">
        <f>IF(E28&gt;5,F28,0)</f>
        <v>19003.078767741757</v>
      </c>
      <c r="O23" s="1403"/>
      <c r="P23" s="1666"/>
      <c r="Q23" s="1657"/>
      <c r="R23" s="1020"/>
      <c r="S23" s="1020"/>
      <c r="T23" s="1405" t="s">
        <v>1098</v>
      </c>
      <c r="U23" s="1405"/>
      <c r="V23" s="1020"/>
      <c r="W23" s="1035">
        <f t="shared" si="4"/>
        <v>46086</v>
      </c>
      <c r="X23" s="1020"/>
      <c r="Y23" s="1020"/>
      <c r="Z23" s="1020"/>
      <c r="AA23" s="1020"/>
      <c r="AB23" s="1020"/>
      <c r="AC23" s="1020"/>
      <c r="AD23" s="1259">
        <f t="shared" si="5"/>
        <v>6</v>
      </c>
      <c r="AE23" s="1260">
        <f>AI8</f>
        <v>74214.507258616039</v>
      </c>
      <c r="AF23" s="1261"/>
      <c r="AG23" s="1261">
        <f t="shared" si="2"/>
        <v>-55211.428490874285</v>
      </c>
      <c r="AH23" s="1262"/>
      <c r="AI23" s="1263">
        <f t="shared" si="6"/>
        <v>41803.965347834484</v>
      </c>
      <c r="AJ23" s="1038"/>
      <c r="AK23" s="1020"/>
      <c r="AL23" s="1020"/>
      <c r="AM23" s="1020"/>
      <c r="AN23" s="1020"/>
      <c r="AO23" s="1020"/>
      <c r="AP23" s="1020"/>
      <c r="AQ23" s="1020"/>
      <c r="AR23" s="1020"/>
      <c r="AS23" s="1020"/>
      <c r="AT23" s="1020"/>
      <c r="AU23" s="1020"/>
      <c r="AV23" s="1020"/>
      <c r="AW23" s="1039"/>
      <c r="AX23" s="1020"/>
    </row>
    <row r="24" spans="1:50" ht="15.95">
      <c r="A24" s="1024"/>
      <c r="B24" s="141" t="s">
        <v>1099</v>
      </c>
      <c r="C24" s="226"/>
      <c r="D24" s="232" t="s">
        <v>1015</v>
      </c>
      <c r="E24" s="281">
        <f>FORM!I24</f>
        <v>0.125</v>
      </c>
      <c r="F24" s="1399">
        <f>F22*E24</f>
        <v>581089.28426451096</v>
      </c>
      <c r="G24" s="1400"/>
      <c r="H24" s="1400"/>
      <c r="I24" s="1401"/>
      <c r="J24" s="100"/>
      <c r="K24" s="1521" t="str">
        <f t="shared" si="1"/>
        <v>7th EQUITY PAYMENT</v>
      </c>
      <c r="L24" s="1521"/>
      <c r="M24" s="1035">
        <f t="shared" si="3"/>
        <v>46117</v>
      </c>
      <c r="N24" s="1403">
        <f>IF(E28&gt;6,F28,0)</f>
        <v>19003.078767741757</v>
      </c>
      <c r="O24" s="1403"/>
      <c r="P24" s="1666"/>
      <c r="Q24" s="1657"/>
      <c r="R24" s="1020"/>
      <c r="S24" s="1020"/>
      <c r="T24" s="1405" t="s">
        <v>1100</v>
      </c>
      <c r="U24" s="1405"/>
      <c r="V24" s="1020"/>
      <c r="W24" s="1035">
        <f t="shared" si="4"/>
        <v>46117</v>
      </c>
      <c r="X24" s="1020"/>
      <c r="Y24" s="1020"/>
      <c r="Z24" s="1020"/>
      <c r="AA24" s="1020"/>
      <c r="AB24" s="1020"/>
      <c r="AC24" s="1020"/>
      <c r="AD24" s="1241">
        <f t="shared" si="5"/>
        <v>7</v>
      </c>
      <c r="AE24" s="1242"/>
      <c r="AF24" s="1257"/>
      <c r="AG24" s="1257">
        <f t="shared" si="2"/>
        <v>19003.078767741757</v>
      </c>
      <c r="AH24" s="1244"/>
      <c r="AI24" s="1258">
        <f t="shared" si="6"/>
        <v>60807.044115576238</v>
      </c>
      <c r="AJ24" s="1038"/>
      <c r="AK24" s="1020"/>
      <c r="AL24" s="1020"/>
      <c r="AM24" s="1020"/>
      <c r="AN24" s="1020"/>
      <c r="AO24" s="1020"/>
      <c r="AP24" s="1020"/>
      <c r="AQ24" s="1020"/>
      <c r="AR24" s="1020"/>
      <c r="AS24" s="1020"/>
      <c r="AT24" s="1020"/>
      <c r="AU24" s="1020"/>
      <c r="AV24" s="1020"/>
      <c r="AW24" s="1039"/>
      <c r="AX24" s="1020"/>
    </row>
    <row r="25" spans="1:50" ht="15.95">
      <c r="A25" s="1024"/>
      <c r="B25" s="144" t="s">
        <v>1101</v>
      </c>
      <c r="C25" s="227"/>
      <c r="D25" s="1027" t="s">
        <v>1015</v>
      </c>
      <c r="E25" s="1042"/>
      <c r="F25" s="210">
        <f>FORM!I22</f>
        <v>30000</v>
      </c>
      <c r="G25" s="1043"/>
      <c r="H25" s="1044"/>
      <c r="I25" s="1045"/>
      <c r="J25" s="100"/>
      <c r="K25" s="1521" t="str">
        <f t="shared" si="1"/>
        <v>8th EQUITY PAYMENT</v>
      </c>
      <c r="L25" s="1521"/>
      <c r="M25" s="1035">
        <f t="shared" si="3"/>
        <v>46147</v>
      </c>
      <c r="N25" s="1403">
        <f>IF(E28&gt;7,F28,0)</f>
        <v>19003.078767741757</v>
      </c>
      <c r="O25" s="1403"/>
      <c r="P25" s="1666"/>
      <c r="Q25" s="1657"/>
      <c r="R25" s="1020"/>
      <c r="S25" s="1020"/>
      <c r="T25" s="1405" t="s">
        <v>1102</v>
      </c>
      <c r="U25" s="1405"/>
      <c r="V25" s="1020"/>
      <c r="W25" s="1035">
        <f t="shared" si="4"/>
        <v>46147</v>
      </c>
      <c r="X25" s="1020"/>
      <c r="Y25" s="1020"/>
      <c r="Z25" s="1020"/>
      <c r="AA25" s="1020"/>
      <c r="AB25" s="1020"/>
      <c r="AC25" s="1020"/>
      <c r="AD25" s="1241">
        <f t="shared" si="5"/>
        <v>8</v>
      </c>
      <c r="AE25" s="1242"/>
      <c r="AF25" s="1257"/>
      <c r="AG25" s="1257">
        <f t="shared" si="2"/>
        <v>19003.078767741757</v>
      </c>
      <c r="AH25" s="1244"/>
      <c r="AI25" s="1258">
        <f t="shared" si="6"/>
        <v>79810.122883317992</v>
      </c>
      <c r="AJ25" s="1038"/>
      <c r="AK25" s="1020"/>
      <c r="AL25" s="1020"/>
      <c r="AM25" s="1020"/>
      <c r="AN25" s="1020"/>
      <c r="AO25" s="1020"/>
      <c r="AP25" s="1020"/>
      <c r="AQ25" s="1020"/>
      <c r="AR25" s="1020"/>
      <c r="AS25" s="1020"/>
      <c r="AT25" s="1020"/>
      <c r="AU25" s="1020"/>
      <c r="AV25" s="1020"/>
      <c r="AW25" s="1039"/>
      <c r="AX25" s="1020"/>
    </row>
    <row r="26" spans="1:50" ht="15.95">
      <c r="A26" s="1031"/>
      <c r="B26" s="129" t="s">
        <v>1103</v>
      </c>
      <c r="C26" s="126"/>
      <c r="D26" s="142" t="s">
        <v>1015</v>
      </c>
      <c r="E26" s="1042"/>
      <c r="F26" s="1399">
        <f>F24-F25</f>
        <v>551089.28426451096</v>
      </c>
      <c r="G26" s="1400"/>
      <c r="H26" s="1400"/>
      <c r="I26" s="1401"/>
      <c r="J26" s="100"/>
      <c r="K26" s="1521" t="str">
        <f t="shared" si="1"/>
        <v>9th EQUITY PAYMENT</v>
      </c>
      <c r="L26" s="1521"/>
      <c r="M26" s="1035">
        <f t="shared" si="3"/>
        <v>46178</v>
      </c>
      <c r="N26" s="1403">
        <f>IF(E28&gt;8,F28,0)</f>
        <v>19003.078767741757</v>
      </c>
      <c r="O26" s="1403"/>
      <c r="P26" s="1666"/>
      <c r="Q26" s="1657"/>
      <c r="R26" s="1020"/>
      <c r="S26" s="1020"/>
      <c r="T26" s="1405" t="s">
        <v>1104</v>
      </c>
      <c r="U26" s="1405"/>
      <c r="V26" s="1020"/>
      <c r="W26" s="1035">
        <f t="shared" si="4"/>
        <v>46178</v>
      </c>
      <c r="X26" s="1020"/>
      <c r="Y26" s="1020"/>
      <c r="Z26" s="1020"/>
      <c r="AA26" s="1020"/>
      <c r="AB26" s="1020"/>
      <c r="AC26" s="1020"/>
      <c r="AD26" s="1241">
        <f t="shared" si="5"/>
        <v>9</v>
      </c>
      <c r="AE26" s="1242"/>
      <c r="AF26" s="1257">
        <v>17500</v>
      </c>
      <c r="AG26" s="1257">
        <f t="shared" si="2"/>
        <v>1503.0787677417575</v>
      </c>
      <c r="AH26" s="1244"/>
      <c r="AI26" s="1258">
        <f t="shared" si="6"/>
        <v>81313.201651059746</v>
      </c>
      <c r="AJ26" s="1038"/>
      <c r="AK26" s="1020"/>
      <c r="AL26" s="1020"/>
      <c r="AM26" s="1020"/>
      <c r="AN26" s="1020"/>
      <c r="AO26" s="1020"/>
      <c r="AP26" s="1020"/>
      <c r="AQ26" s="1020"/>
      <c r="AR26" s="1020"/>
      <c r="AS26" s="1020"/>
      <c r="AT26" s="1020"/>
      <c r="AU26" s="1020"/>
      <c r="AV26" s="1020"/>
      <c r="AW26" s="1039"/>
      <c r="AX26" s="1020"/>
    </row>
    <row r="27" spans="1:50" ht="15.95">
      <c r="A27" s="1024"/>
      <c r="B27" s="147"/>
      <c r="C27" s="100"/>
      <c r="D27" s="1027"/>
      <c r="E27" s="142"/>
      <c r="F27" s="235"/>
      <c r="G27" s="240"/>
      <c r="H27" s="240"/>
      <c r="I27" s="240"/>
      <c r="J27" s="100"/>
      <c r="K27" s="1521" t="str">
        <f t="shared" si="1"/>
        <v>10th EQUITY PAYMENT</v>
      </c>
      <c r="L27" s="1521"/>
      <c r="M27" s="1035">
        <f t="shared" si="3"/>
        <v>46208</v>
      </c>
      <c r="N27" s="1403">
        <f>IF(E28&gt;9,F28,0)</f>
        <v>19003.078767741757</v>
      </c>
      <c r="O27" s="1403"/>
      <c r="P27" s="1666"/>
      <c r="Q27" s="1657"/>
      <c r="R27" s="1020"/>
      <c r="S27" s="1020"/>
      <c r="T27" s="1405" t="s">
        <v>1105</v>
      </c>
      <c r="U27" s="1405"/>
      <c r="V27" s="1020"/>
      <c r="W27" s="1035">
        <f t="shared" si="4"/>
        <v>46208</v>
      </c>
      <c r="X27" s="1020"/>
      <c r="Y27" s="1020"/>
      <c r="Z27" s="1020"/>
      <c r="AA27" s="1020"/>
      <c r="AB27" s="1020"/>
      <c r="AC27" s="1020"/>
      <c r="AD27" s="1241">
        <f t="shared" si="5"/>
        <v>10</v>
      </c>
      <c r="AE27" s="1242"/>
      <c r="AF27" s="1257"/>
      <c r="AG27" s="1257">
        <f t="shared" si="2"/>
        <v>19003.078767741757</v>
      </c>
      <c r="AH27" s="1244"/>
      <c r="AI27" s="1258">
        <f t="shared" si="6"/>
        <v>100316.2804188015</v>
      </c>
      <c r="AJ27" s="1038"/>
      <c r="AK27" s="1020"/>
      <c r="AL27" s="1020"/>
      <c r="AM27" s="1020"/>
      <c r="AN27" s="1020"/>
      <c r="AO27" s="1020"/>
      <c r="AP27" s="1020"/>
      <c r="AQ27" s="1020"/>
      <c r="AR27" s="1020"/>
      <c r="AS27" s="1020"/>
      <c r="AT27" s="1020"/>
      <c r="AU27" s="1020"/>
      <c r="AV27" s="1020"/>
      <c r="AW27" s="1039"/>
      <c r="AX27" s="1020"/>
    </row>
    <row r="28" spans="1:50" ht="15.95">
      <c r="A28" s="1024"/>
      <c r="B28" s="1404" t="s">
        <v>1106</v>
      </c>
      <c r="C28" s="1404"/>
      <c r="D28" s="142" t="s">
        <v>1015</v>
      </c>
      <c r="E28" s="242">
        <f>VLOOKUP(E8,'Pricelist Link'!A6:AD378,16,FALSE)</f>
        <v>29</v>
      </c>
      <c r="F28" s="1399">
        <f>F26/E28</f>
        <v>19003.078767741757</v>
      </c>
      <c r="G28" s="1400"/>
      <c r="H28" s="1400"/>
      <c r="I28" s="1401"/>
      <c r="J28" s="100"/>
      <c r="K28" s="1521" t="str">
        <f t="shared" si="1"/>
        <v>11th EQUITY PAYMENT</v>
      </c>
      <c r="L28" s="1521"/>
      <c r="M28" s="1035">
        <f t="shared" si="3"/>
        <v>46239</v>
      </c>
      <c r="N28" s="1403">
        <f>IF(E28&gt;10,F28,0)</f>
        <v>19003.078767741757</v>
      </c>
      <c r="O28" s="1403"/>
      <c r="P28" s="1666"/>
      <c r="Q28" s="1657"/>
      <c r="R28" s="1020"/>
      <c r="S28" s="1020"/>
      <c r="T28" s="1405" t="s">
        <v>1107</v>
      </c>
      <c r="U28" s="1405"/>
      <c r="V28" s="1020"/>
      <c r="W28" s="1035">
        <f t="shared" si="4"/>
        <v>46239</v>
      </c>
      <c r="X28" s="1020"/>
      <c r="Y28" s="1020"/>
      <c r="Z28" s="1020"/>
      <c r="AA28" s="1020"/>
      <c r="AB28" s="1020"/>
      <c r="AC28" s="1020"/>
      <c r="AD28" s="1241">
        <f t="shared" si="5"/>
        <v>11</v>
      </c>
      <c r="AE28" s="1242"/>
      <c r="AF28" s="1257"/>
      <c r="AG28" s="1257">
        <f t="shared" si="2"/>
        <v>19003.078767741757</v>
      </c>
      <c r="AH28" s="1244"/>
      <c r="AI28" s="1258">
        <f t="shared" si="6"/>
        <v>119319.35918654325</v>
      </c>
      <c r="AJ28" s="1038"/>
      <c r="AK28" s="1020"/>
      <c r="AL28" s="1020"/>
      <c r="AM28" s="1020"/>
      <c r="AN28" s="1020"/>
      <c r="AO28" s="1020"/>
      <c r="AP28" s="1020"/>
      <c r="AQ28" s="1020"/>
      <c r="AR28" s="1020"/>
      <c r="AS28" s="1020"/>
      <c r="AT28" s="1020"/>
      <c r="AU28" s="1020"/>
      <c r="AV28" s="1020"/>
      <c r="AW28" s="1039"/>
      <c r="AX28" s="1020"/>
    </row>
    <row r="29" spans="1:50" ht="15.95">
      <c r="A29" s="1052"/>
      <c r="B29" s="1024"/>
      <c r="C29" s="178"/>
      <c r="D29" s="1027"/>
      <c r="E29" s="243"/>
      <c r="F29" s="235"/>
      <c r="G29" s="235"/>
      <c r="H29" s="235"/>
      <c r="I29" s="235"/>
      <c r="J29" s="100"/>
      <c r="K29" s="1521" t="str">
        <f t="shared" si="1"/>
        <v>12th EQUITY PAYMENT</v>
      </c>
      <c r="L29" s="1521"/>
      <c r="M29" s="1035">
        <f t="shared" si="3"/>
        <v>46270</v>
      </c>
      <c r="N29" s="1406">
        <f>IF(E28&gt;11,F28,0)</f>
        <v>19003.078767741757</v>
      </c>
      <c r="O29" s="1406"/>
      <c r="P29" s="1666"/>
      <c r="Q29" s="1657"/>
      <c r="R29" s="1020"/>
      <c r="S29" s="1020"/>
      <c r="T29" s="1405" t="s">
        <v>1108</v>
      </c>
      <c r="U29" s="1405"/>
      <c r="V29" s="1020"/>
      <c r="W29" s="1035">
        <f t="shared" si="4"/>
        <v>46270</v>
      </c>
      <c r="X29" s="1020"/>
      <c r="Y29" s="1020"/>
      <c r="Z29" s="1020"/>
      <c r="AA29" s="1020"/>
      <c r="AB29" s="1020"/>
      <c r="AC29" s="1020"/>
      <c r="AD29" s="1264">
        <f t="shared" si="5"/>
        <v>12</v>
      </c>
      <c r="AE29" s="1248"/>
      <c r="AF29" s="1265">
        <v>15000</v>
      </c>
      <c r="AG29" s="1265">
        <f t="shared" si="2"/>
        <v>4003.0787677417575</v>
      </c>
      <c r="AH29" s="1250"/>
      <c r="AI29" s="1266">
        <f t="shared" si="6"/>
        <v>123322.43795428501</v>
      </c>
      <c r="AJ29" s="1038"/>
      <c r="AK29" s="1020"/>
      <c r="AL29" s="1020"/>
      <c r="AM29" s="1020"/>
      <c r="AN29" s="1020"/>
      <c r="AO29" s="1020"/>
      <c r="AP29" s="1020"/>
      <c r="AQ29" s="1020"/>
      <c r="AR29" s="1020"/>
      <c r="AS29" s="1020"/>
      <c r="AT29" s="1020"/>
      <c r="AU29" s="1020"/>
      <c r="AV29" s="1020"/>
      <c r="AW29" s="1039"/>
      <c r="AX29" s="1020"/>
    </row>
    <row r="30" spans="1:50" ht="15.95">
      <c r="A30" s="1024"/>
      <c r="B30" s="129" t="s">
        <v>1109</v>
      </c>
      <c r="C30" s="129"/>
      <c r="D30" s="142" t="s">
        <v>1015</v>
      </c>
      <c r="E30" s="241">
        <f>100%-E24</f>
        <v>0.875</v>
      </c>
      <c r="F30" s="1399">
        <f>F22*E30</f>
        <v>4067624.9898515767</v>
      </c>
      <c r="G30" s="1400"/>
      <c r="H30" s="1400"/>
      <c r="I30" s="1401"/>
      <c r="J30" s="100"/>
      <c r="K30" s="1521" t="str">
        <f t="shared" si="1"/>
        <v>13th EQUITY PAYMENT</v>
      </c>
      <c r="L30" s="1521"/>
      <c r="M30" s="1035">
        <f t="shared" si="3"/>
        <v>46300</v>
      </c>
      <c r="N30" s="1406">
        <f>IF(E28&gt;12,F28,0)</f>
        <v>19003.078767741757</v>
      </c>
      <c r="O30" s="1406"/>
      <c r="P30" s="1666"/>
      <c r="Q30" s="1657"/>
      <c r="R30" s="1020"/>
      <c r="S30" s="1020"/>
      <c r="T30" s="1405" t="s">
        <v>1110</v>
      </c>
      <c r="U30" s="1405"/>
      <c r="V30" s="1020"/>
      <c r="W30" s="1035">
        <f t="shared" si="4"/>
        <v>46300</v>
      </c>
      <c r="X30" s="1020"/>
      <c r="Y30" s="1020"/>
      <c r="Z30" s="1020"/>
      <c r="AA30" s="1020"/>
      <c r="AB30" s="1020"/>
      <c r="AC30" s="1020"/>
      <c r="AD30" s="1241">
        <f t="shared" si="5"/>
        <v>13</v>
      </c>
      <c r="AE30" s="1242"/>
      <c r="AF30" s="1257"/>
      <c r="AG30" s="1257">
        <f t="shared" si="2"/>
        <v>19003.078767741757</v>
      </c>
      <c r="AH30" s="1244"/>
      <c r="AI30" s="1258">
        <f t="shared" si="6"/>
        <v>142325.51672202678</v>
      </c>
      <c r="AJ30" s="1038"/>
      <c r="AK30" s="1020"/>
      <c r="AL30" s="1020"/>
      <c r="AM30" s="1020"/>
      <c r="AN30" s="1020"/>
      <c r="AO30" s="1020"/>
      <c r="AP30" s="1020"/>
      <c r="AQ30" s="1020"/>
      <c r="AR30" s="1020"/>
      <c r="AS30" s="1020"/>
      <c r="AT30" s="1020"/>
      <c r="AU30" s="1020"/>
      <c r="AV30" s="1020"/>
      <c r="AW30" s="1039"/>
      <c r="AX30" s="1020"/>
    </row>
    <row r="31" spans="1:50" ht="15.95">
      <c r="A31" s="1024"/>
      <c r="B31" s="1024"/>
      <c r="C31" s="178"/>
      <c r="D31" s="243"/>
      <c r="E31" s="243"/>
      <c r="F31" s="243"/>
      <c r="G31" s="244"/>
      <c r="H31" s="244"/>
      <c r="I31" s="244"/>
      <c r="J31" s="100"/>
      <c r="K31" s="1521" t="str">
        <f t="shared" si="1"/>
        <v>14th EQUITY PAYMENT</v>
      </c>
      <c r="L31" s="1521"/>
      <c r="M31" s="1035">
        <f t="shared" si="3"/>
        <v>46331</v>
      </c>
      <c r="N31" s="1406">
        <f>IF(E28&gt;13,F28,0)</f>
        <v>19003.078767741757</v>
      </c>
      <c r="O31" s="1406"/>
      <c r="P31" s="1666"/>
      <c r="Q31" s="1657"/>
      <c r="R31" s="1020"/>
      <c r="S31" s="1020"/>
      <c r="T31" s="1405" t="s">
        <v>1111</v>
      </c>
      <c r="U31" s="1405"/>
      <c r="V31" s="1020"/>
      <c r="W31" s="1035">
        <f t="shared" si="4"/>
        <v>46331</v>
      </c>
      <c r="X31" s="1020"/>
      <c r="Y31" s="1020"/>
      <c r="Z31" s="1020"/>
      <c r="AA31" s="1020"/>
      <c r="AB31" s="1020"/>
      <c r="AC31" s="1020"/>
      <c r="AD31" s="1259">
        <f t="shared" si="5"/>
        <v>14</v>
      </c>
      <c r="AE31" s="1260">
        <f>AI8</f>
        <v>74214.507258616039</v>
      </c>
      <c r="AF31" s="1261"/>
      <c r="AG31" s="1261">
        <f t="shared" si="2"/>
        <v>-55211.428490874285</v>
      </c>
      <c r="AH31" s="1262"/>
      <c r="AI31" s="1263">
        <f t="shared" si="6"/>
        <v>87114.088231152491</v>
      </c>
      <c r="AJ31" s="1038"/>
      <c r="AK31" s="1020"/>
      <c r="AL31" s="1020"/>
      <c r="AM31" s="1020"/>
      <c r="AN31" s="1020"/>
      <c r="AO31" s="1020"/>
      <c r="AP31" s="1020"/>
      <c r="AQ31" s="1020"/>
      <c r="AR31" s="1020"/>
      <c r="AS31" s="1020"/>
      <c r="AT31" s="1020"/>
      <c r="AU31" s="1020"/>
      <c r="AV31" s="1020"/>
      <c r="AW31" s="1039"/>
      <c r="AX31" s="1020"/>
    </row>
    <row r="32" spans="1:50" ht="15.95">
      <c r="A32" s="1024"/>
      <c r="B32" s="101" t="s">
        <v>1112</v>
      </c>
      <c r="C32" s="238"/>
      <c r="D32" s="245"/>
      <c r="E32" s="1057"/>
      <c r="F32" s="243"/>
      <c r="G32" s="244"/>
      <c r="H32" s="244"/>
      <c r="I32" s="244"/>
      <c r="J32" s="179"/>
      <c r="K32" s="1521" t="str">
        <f t="shared" si="1"/>
        <v>15th EQUITY PAYMENT</v>
      </c>
      <c r="L32" s="1521"/>
      <c r="M32" s="1035">
        <f t="shared" si="3"/>
        <v>46361</v>
      </c>
      <c r="N32" s="1406">
        <f>IF(E28&gt;14,F28,0)</f>
        <v>19003.078767741757</v>
      </c>
      <c r="O32" s="1406"/>
      <c r="P32" s="1666"/>
      <c r="Q32" s="1657"/>
      <c r="R32" s="1020"/>
      <c r="S32" s="1020"/>
      <c r="T32" s="1405" t="s">
        <v>1113</v>
      </c>
      <c r="U32" s="1405"/>
      <c r="V32" s="1020"/>
      <c r="W32" s="1035">
        <f t="shared" si="4"/>
        <v>46361</v>
      </c>
      <c r="X32" s="1020"/>
      <c r="Y32" s="1020"/>
      <c r="Z32" s="1020"/>
      <c r="AA32" s="1020"/>
      <c r="AB32" s="1020"/>
      <c r="AC32" s="1020"/>
      <c r="AD32" s="1241">
        <f t="shared" si="5"/>
        <v>15</v>
      </c>
      <c r="AE32" s="1242"/>
      <c r="AF32" s="1257"/>
      <c r="AG32" s="1257">
        <f t="shared" si="2"/>
        <v>19003.078767741757</v>
      </c>
      <c r="AH32" s="1244"/>
      <c r="AI32" s="1258">
        <f t="shared" si="6"/>
        <v>106117.16699889424</v>
      </c>
      <c r="AJ32" s="1038"/>
      <c r="AK32" s="1020"/>
      <c r="AL32" s="1020"/>
      <c r="AM32" s="1020"/>
      <c r="AN32" s="1020"/>
      <c r="AO32" s="1020"/>
      <c r="AP32" s="1020"/>
      <c r="AQ32" s="1020"/>
      <c r="AR32" s="1020"/>
      <c r="AS32" s="1020"/>
      <c r="AT32" s="1020"/>
      <c r="AU32" s="1020"/>
      <c r="AV32" s="1020"/>
      <c r="AW32" s="1039"/>
      <c r="AX32" s="1020"/>
    </row>
    <row r="33" spans="1:50" ht="15.95">
      <c r="A33" s="1024"/>
      <c r="B33" s="1024"/>
      <c r="C33" s="178"/>
      <c r="D33" s="178"/>
      <c r="E33" s="1058"/>
      <c r="F33" s="1059"/>
      <c r="G33" s="1059"/>
      <c r="H33" s="1059"/>
      <c r="I33" s="1059"/>
      <c r="J33" s="142"/>
      <c r="K33" s="1521" t="str">
        <f t="shared" si="1"/>
        <v>16th EQUITY PAYMENT</v>
      </c>
      <c r="L33" s="1521"/>
      <c r="M33" s="1035">
        <f t="shared" si="3"/>
        <v>46392</v>
      </c>
      <c r="N33" s="1406">
        <f>IF(E28&gt;15,F28,0)</f>
        <v>19003.078767741757</v>
      </c>
      <c r="O33" s="1406"/>
      <c r="P33" s="1666"/>
      <c r="Q33" s="1657"/>
      <c r="R33" s="1020"/>
      <c r="S33" s="1020"/>
      <c r="T33" s="1405" t="s">
        <v>1114</v>
      </c>
      <c r="U33" s="1405"/>
      <c r="V33" s="1020"/>
      <c r="W33" s="1035">
        <f t="shared" si="4"/>
        <v>46392</v>
      </c>
      <c r="X33" s="1020"/>
      <c r="Y33" s="1020"/>
      <c r="Z33" s="1020"/>
      <c r="AA33" s="1020"/>
      <c r="AB33" s="1020"/>
      <c r="AC33" s="1020"/>
      <c r="AD33" s="1241">
        <f t="shared" si="5"/>
        <v>16</v>
      </c>
      <c r="AE33" s="1242"/>
      <c r="AF33" s="1257"/>
      <c r="AG33" s="1257">
        <f t="shared" si="2"/>
        <v>19003.078767741757</v>
      </c>
      <c r="AH33" s="1244"/>
      <c r="AI33" s="1258">
        <f t="shared" si="6"/>
        <v>125120.245766636</v>
      </c>
      <c r="AJ33" s="1038"/>
      <c r="AK33" s="1020"/>
      <c r="AL33" s="1020"/>
      <c r="AM33" s="1020"/>
      <c r="AN33" s="1020"/>
      <c r="AO33" s="1020"/>
      <c r="AP33" s="1020"/>
      <c r="AQ33" s="1020"/>
      <c r="AR33" s="1020"/>
      <c r="AS33" s="1020"/>
      <c r="AT33" s="1020"/>
      <c r="AU33" s="1020"/>
      <c r="AV33" s="1020"/>
      <c r="AW33" s="1039"/>
      <c r="AX33" s="1020"/>
    </row>
    <row r="34" spans="1:50" ht="15.95">
      <c r="A34" s="1024"/>
      <c r="B34" s="208" t="s">
        <v>53</v>
      </c>
      <c r="C34" s="208" t="s">
        <v>54</v>
      </c>
      <c r="D34" s="208" t="s">
        <v>55</v>
      </c>
      <c r="E34" s="208" t="s">
        <v>1115</v>
      </c>
      <c r="F34" s="1402" t="s">
        <v>1116</v>
      </c>
      <c r="G34" s="1402"/>
      <c r="H34" s="1402"/>
      <c r="I34" s="1402"/>
      <c r="J34" s="178"/>
      <c r="K34" s="1521" t="str">
        <f t="shared" si="1"/>
        <v>17th EQUITY PAYMENT</v>
      </c>
      <c r="L34" s="1521"/>
      <c r="M34" s="1035">
        <f t="shared" si="3"/>
        <v>46423</v>
      </c>
      <c r="N34" s="1406">
        <f>IF(E28&gt;16,F28,0)</f>
        <v>19003.078767741757</v>
      </c>
      <c r="O34" s="1406"/>
      <c r="P34" s="1666"/>
      <c r="Q34" s="1657"/>
      <c r="R34" s="1020"/>
      <c r="S34" s="1020"/>
      <c r="T34" s="1405" t="s">
        <v>1117</v>
      </c>
      <c r="U34" s="1405"/>
      <c r="V34" s="1020"/>
      <c r="W34" s="1035">
        <f t="shared" si="4"/>
        <v>46423</v>
      </c>
      <c r="X34" s="1020"/>
      <c r="Y34" s="1020"/>
      <c r="Z34" s="1020"/>
      <c r="AA34" s="1020"/>
      <c r="AB34" s="1020"/>
      <c r="AC34" s="1020"/>
      <c r="AD34" s="1241">
        <f t="shared" si="5"/>
        <v>17</v>
      </c>
      <c r="AE34" s="1242"/>
      <c r="AF34" s="1257"/>
      <c r="AG34" s="1257">
        <f t="shared" si="2"/>
        <v>19003.078767741757</v>
      </c>
      <c r="AH34" s="1244"/>
      <c r="AI34" s="1258">
        <f t="shared" si="6"/>
        <v>144123.32453437775</v>
      </c>
      <c r="AJ34" s="1038"/>
      <c r="AK34" s="1020"/>
      <c r="AL34" s="1020"/>
      <c r="AM34" s="1020"/>
      <c r="AN34" s="1020"/>
      <c r="AO34" s="1020"/>
      <c r="AP34" s="1020"/>
      <c r="AQ34" s="1020"/>
      <c r="AR34" s="1020"/>
      <c r="AS34" s="1020"/>
      <c r="AT34" s="1020"/>
      <c r="AU34" s="1020"/>
      <c r="AV34" s="1020"/>
      <c r="AW34" s="1039"/>
      <c r="AX34" s="1020"/>
    </row>
    <row r="35" spans="1:50" ht="15.95">
      <c r="A35" s="1024"/>
      <c r="B35" s="246">
        <v>5</v>
      </c>
      <c r="C35" s="437">
        <v>7.0000000000000007E-2</v>
      </c>
      <c r="D35" s="248">
        <f>PMT(C35/12,B35*12,-1)</f>
        <v>1.9801198540349535E-2</v>
      </c>
      <c r="E35" s="1060">
        <f>F30*D35</f>
        <v>80543.850011738337</v>
      </c>
      <c r="F35" s="1403">
        <f>E35/0.33</f>
        <v>244072.27276284344</v>
      </c>
      <c r="G35" s="1403"/>
      <c r="H35" s="1403"/>
      <c r="I35" s="1403"/>
      <c r="J35" s="100"/>
      <c r="K35" s="1521" t="str">
        <f t="shared" si="1"/>
        <v>18th EQUITY PAYMENT</v>
      </c>
      <c r="L35" s="1521"/>
      <c r="M35" s="1035">
        <f t="shared" si="3"/>
        <v>46451</v>
      </c>
      <c r="N35" s="1406">
        <f>IF(E28&gt;17,F28,0)</f>
        <v>19003.078767741757</v>
      </c>
      <c r="O35" s="1406"/>
      <c r="P35" s="1666"/>
      <c r="Q35" s="1657"/>
      <c r="R35" s="1020"/>
      <c r="S35" s="1020"/>
      <c r="T35" s="1405" t="s">
        <v>1118</v>
      </c>
      <c r="U35" s="1405"/>
      <c r="V35" s="1020"/>
      <c r="W35" s="1035">
        <f t="shared" si="4"/>
        <v>46451</v>
      </c>
      <c r="X35" s="1020"/>
      <c r="Y35" s="1020"/>
      <c r="Z35" s="1020"/>
      <c r="AA35" s="1020"/>
      <c r="AB35" s="1020"/>
      <c r="AC35" s="1020"/>
      <c r="AD35" s="1241">
        <f t="shared" si="5"/>
        <v>18</v>
      </c>
      <c r="AE35" s="1242"/>
      <c r="AF35" s="1257"/>
      <c r="AG35" s="1257">
        <f t="shared" si="2"/>
        <v>19003.078767741757</v>
      </c>
      <c r="AH35" s="1244"/>
      <c r="AI35" s="1258">
        <f t="shared" si="6"/>
        <v>163126.40330211952</v>
      </c>
      <c r="AJ35" s="1038"/>
      <c r="AK35" s="1020"/>
      <c r="AL35" s="1020"/>
      <c r="AM35" s="1020"/>
      <c r="AN35" s="1020"/>
      <c r="AO35" s="1020"/>
      <c r="AP35" s="1020"/>
      <c r="AQ35" s="1020"/>
      <c r="AR35" s="1020"/>
      <c r="AS35" s="1020"/>
      <c r="AT35" s="1020"/>
      <c r="AU35" s="1020"/>
      <c r="AV35" s="1020"/>
      <c r="AW35" s="1039"/>
      <c r="AX35" s="1020"/>
    </row>
    <row r="36" spans="1:50" ht="15.95">
      <c r="A36" s="1024"/>
      <c r="B36" s="246">
        <v>10</v>
      </c>
      <c r="C36" s="437">
        <v>7.0000000000000007E-2</v>
      </c>
      <c r="D36" s="248">
        <f>PMT(C36/12,B36*12,-1)</f>
        <v>1.1610847921862406E-2</v>
      </c>
      <c r="E36" s="1060">
        <f>F30*D36</f>
        <v>47228.57516033377</v>
      </c>
      <c r="F36" s="1403">
        <f>E36/0.33</f>
        <v>143116.89442525385</v>
      </c>
      <c r="G36" s="1403"/>
      <c r="H36" s="1403"/>
      <c r="I36" s="1403"/>
      <c r="J36" s="100"/>
      <c r="K36" s="1521" t="str">
        <f t="shared" si="1"/>
        <v>19th EQUITY PAYMENT</v>
      </c>
      <c r="L36" s="1521"/>
      <c r="M36" s="1035">
        <f t="shared" si="3"/>
        <v>46482</v>
      </c>
      <c r="N36" s="1406">
        <f>IF(E28&gt;18,F28,0)</f>
        <v>19003.078767741757</v>
      </c>
      <c r="O36" s="1406"/>
      <c r="P36" s="1666"/>
      <c r="Q36" s="1657"/>
      <c r="R36" s="1020"/>
      <c r="S36" s="1020"/>
      <c r="T36" s="1405" t="s">
        <v>1119</v>
      </c>
      <c r="U36" s="1405"/>
      <c r="V36" s="1020"/>
      <c r="W36" s="1035">
        <f t="shared" si="4"/>
        <v>46482</v>
      </c>
      <c r="X36" s="1020"/>
      <c r="Y36" s="1020"/>
      <c r="Z36" s="1020"/>
      <c r="AA36" s="1020"/>
      <c r="AB36" s="1020"/>
      <c r="AC36" s="1020"/>
      <c r="AD36" s="1241">
        <f t="shared" si="5"/>
        <v>19</v>
      </c>
      <c r="AE36" s="1242"/>
      <c r="AF36" s="1257"/>
      <c r="AG36" s="1257">
        <f t="shared" si="2"/>
        <v>19003.078767741757</v>
      </c>
      <c r="AH36" s="1244"/>
      <c r="AI36" s="1258">
        <f t="shared" si="6"/>
        <v>182129.48206986129</v>
      </c>
      <c r="AJ36" s="1038"/>
      <c r="AK36" s="1020"/>
      <c r="AL36" s="1020"/>
      <c r="AM36" s="1020"/>
      <c r="AN36" s="1020"/>
      <c r="AO36" s="1020"/>
      <c r="AP36" s="1020"/>
      <c r="AQ36" s="1020"/>
      <c r="AR36" s="1020"/>
      <c r="AS36" s="1020"/>
      <c r="AT36" s="1020"/>
      <c r="AU36" s="1020"/>
      <c r="AV36" s="1020"/>
      <c r="AW36" s="1039"/>
      <c r="AX36" s="1020"/>
    </row>
    <row r="37" spans="1:50" ht="15.95">
      <c r="A37" s="1024"/>
      <c r="B37" s="246">
        <v>15</v>
      </c>
      <c r="C37" s="437">
        <v>7.0000000000000007E-2</v>
      </c>
      <c r="D37" s="248">
        <f t="shared" ref="D37" si="7">PMT(C37/12,B37*12,-1)</f>
        <v>8.988282708524269E-3</v>
      </c>
      <c r="E37" s="1060">
        <f>F30*D37</f>
        <v>36560.963361044131</v>
      </c>
      <c r="F37" s="1403">
        <f>E37/0.33</f>
        <v>110790.79806377008</v>
      </c>
      <c r="G37" s="1403"/>
      <c r="H37" s="1403"/>
      <c r="I37" s="1403"/>
      <c r="J37" s="100"/>
      <c r="K37" s="1521" t="str">
        <f t="shared" si="1"/>
        <v>20th EQUITY PAYMENT</v>
      </c>
      <c r="L37" s="1521"/>
      <c r="M37" s="1035">
        <f t="shared" si="3"/>
        <v>46512</v>
      </c>
      <c r="N37" s="1406">
        <f>IF(E28&gt;19,F28,0)</f>
        <v>19003.078767741757</v>
      </c>
      <c r="O37" s="1406"/>
      <c r="P37" s="1666"/>
      <c r="Q37" s="1657"/>
      <c r="R37" s="1020"/>
      <c r="S37" s="1020"/>
      <c r="T37" s="1405" t="s">
        <v>1120</v>
      </c>
      <c r="U37" s="1405"/>
      <c r="V37" s="1020"/>
      <c r="W37" s="1035">
        <f t="shared" si="4"/>
        <v>46512</v>
      </c>
      <c r="X37" s="1020"/>
      <c r="Y37" s="1020"/>
      <c r="Z37" s="1020"/>
      <c r="AA37" s="1020"/>
      <c r="AB37" s="1020"/>
      <c r="AC37" s="1020"/>
      <c r="AD37" s="1241">
        <f t="shared" si="5"/>
        <v>20</v>
      </c>
      <c r="AE37" s="1242"/>
      <c r="AF37" s="1257"/>
      <c r="AG37" s="1257">
        <f t="shared" si="2"/>
        <v>19003.078767741757</v>
      </c>
      <c r="AH37" s="1244"/>
      <c r="AI37" s="1258">
        <f t="shared" si="6"/>
        <v>201132.56083760306</v>
      </c>
      <c r="AJ37" s="1038"/>
      <c r="AK37" s="1020"/>
      <c r="AL37" s="1020"/>
      <c r="AM37" s="1020"/>
      <c r="AN37" s="1020"/>
      <c r="AO37" s="1020"/>
      <c r="AP37" s="1020"/>
      <c r="AQ37" s="1020"/>
      <c r="AR37" s="1020"/>
      <c r="AS37" s="1020"/>
      <c r="AT37" s="1020"/>
      <c r="AU37" s="1020"/>
      <c r="AV37" s="1020"/>
      <c r="AW37" s="1039"/>
      <c r="AX37" s="1020"/>
    </row>
    <row r="38" spans="1:50" ht="15.95">
      <c r="A38" s="1024"/>
      <c r="B38" s="246">
        <v>20</v>
      </c>
      <c r="C38" s="437">
        <v>7.0000000000000007E-2</v>
      </c>
      <c r="D38" s="248">
        <f t="shared" ref="D38" si="8">PMT(C38/12,B38*12,-1)</f>
        <v>7.7529893561887461E-3</v>
      </c>
      <c r="E38" s="1060">
        <f>F30*D38</f>
        <v>31536.253251286631</v>
      </c>
      <c r="F38" s="1403">
        <f>E38/0.33</f>
        <v>95564.403791777659</v>
      </c>
      <c r="G38" s="1403"/>
      <c r="H38" s="1403"/>
      <c r="I38" s="1403"/>
      <c r="J38" s="100"/>
      <c r="K38" s="1521" t="str">
        <f t="shared" si="1"/>
        <v>21st EQUITY PAYMENT</v>
      </c>
      <c r="L38" s="1521"/>
      <c r="M38" s="1035">
        <f t="shared" si="3"/>
        <v>46543</v>
      </c>
      <c r="N38" s="1406">
        <f>IF(E28&gt;20,F28,0)</f>
        <v>19003.078767741757</v>
      </c>
      <c r="O38" s="1406"/>
      <c r="P38" s="1666"/>
      <c r="Q38" s="1657"/>
      <c r="R38" s="1020"/>
      <c r="S38" s="1020"/>
      <c r="T38" s="1405" t="s">
        <v>1121</v>
      </c>
      <c r="U38" s="1405"/>
      <c r="V38" s="1020"/>
      <c r="W38" s="1035">
        <f t="shared" si="4"/>
        <v>46543</v>
      </c>
      <c r="X38" s="1020"/>
      <c r="Y38" s="1020"/>
      <c r="Z38" s="1020"/>
      <c r="AA38" s="1020"/>
      <c r="AB38" s="1020"/>
      <c r="AC38" s="1020"/>
      <c r="AD38" s="1241">
        <f t="shared" si="5"/>
        <v>21</v>
      </c>
      <c r="AE38" s="1242"/>
      <c r="AF38" s="1257"/>
      <c r="AG38" s="1257">
        <f t="shared" si="2"/>
        <v>19003.078767741757</v>
      </c>
      <c r="AH38" s="1244"/>
      <c r="AI38" s="1258">
        <f t="shared" si="6"/>
        <v>220135.63960534483</v>
      </c>
      <c r="AJ38" s="1038"/>
      <c r="AK38" s="1020"/>
      <c r="AL38" s="1020"/>
      <c r="AM38" s="1020"/>
      <c r="AN38" s="1020"/>
      <c r="AO38" s="1020"/>
      <c r="AP38" s="1020"/>
      <c r="AQ38" s="1020"/>
      <c r="AR38" s="1020"/>
      <c r="AS38" s="1020"/>
      <c r="AT38" s="1020"/>
      <c r="AU38" s="1020"/>
      <c r="AV38" s="1020"/>
      <c r="AW38" s="1039"/>
      <c r="AX38" s="1020"/>
    </row>
    <row r="39" spans="1:50" ht="15.95">
      <c r="A39" s="1024"/>
      <c r="B39" s="979" t="s">
        <v>1122</v>
      </c>
      <c r="C39" s="172"/>
      <c r="D39" s="173"/>
      <c r="E39" s="1063"/>
      <c r="F39" s="1665"/>
      <c r="G39" s="1665"/>
      <c r="H39" s="1064"/>
      <c r="I39" s="1024"/>
      <c r="J39" s="100"/>
      <c r="K39" s="1521" t="str">
        <f t="shared" si="1"/>
        <v>22nd EQUITY PAYMENT</v>
      </c>
      <c r="L39" s="1521"/>
      <c r="M39" s="1035">
        <f t="shared" si="3"/>
        <v>46573</v>
      </c>
      <c r="N39" s="1406">
        <f>IF(E28&gt;21,F28,0)</f>
        <v>19003.078767741757</v>
      </c>
      <c r="O39" s="1406"/>
      <c r="P39" s="1666"/>
      <c r="Q39" s="1657"/>
      <c r="R39" s="1020"/>
      <c r="S39" s="1020"/>
      <c r="T39" s="1405" t="s">
        <v>1123</v>
      </c>
      <c r="U39" s="1405"/>
      <c r="V39" s="1020"/>
      <c r="W39" s="1035">
        <f t="shared" si="4"/>
        <v>46573</v>
      </c>
      <c r="X39" s="1020"/>
      <c r="Y39" s="1020"/>
      <c r="Z39" s="1020"/>
      <c r="AA39" s="1020"/>
      <c r="AB39" s="1020"/>
      <c r="AC39" s="1020"/>
      <c r="AD39" s="1259">
        <f t="shared" si="5"/>
        <v>22</v>
      </c>
      <c r="AE39" s="1260">
        <f>AI8</f>
        <v>74214.507258616039</v>
      </c>
      <c r="AF39" s="1261"/>
      <c r="AG39" s="1267">
        <f t="shared" si="2"/>
        <v>-55211.428490874285</v>
      </c>
      <c r="AH39" s="1262"/>
      <c r="AI39" s="1263">
        <f t="shared" si="6"/>
        <v>164924.21111447056</v>
      </c>
      <c r="AJ39" s="1038"/>
      <c r="AK39" s="1020"/>
      <c r="AL39" s="1020"/>
      <c r="AM39" s="1020"/>
      <c r="AN39" s="1020"/>
      <c r="AO39" s="1020"/>
      <c r="AP39" s="1020"/>
      <c r="AQ39" s="1020"/>
      <c r="AR39" s="1020"/>
      <c r="AS39" s="1020"/>
      <c r="AT39" s="1020"/>
      <c r="AU39" s="1020"/>
      <c r="AV39" s="1020"/>
      <c r="AW39" s="1039"/>
      <c r="AX39" s="1020"/>
    </row>
    <row r="40" spans="1:50" ht="15.95">
      <c r="A40" s="1024"/>
      <c r="B40" s="979" t="s">
        <v>1124</v>
      </c>
      <c r="C40" s="249"/>
      <c r="D40" s="1027"/>
      <c r="E40" s="1024"/>
      <c r="F40" s="1024"/>
      <c r="G40" s="1024"/>
      <c r="H40" s="1024"/>
      <c r="I40" s="1024"/>
      <c r="J40" s="100"/>
      <c r="K40" s="1521" t="str">
        <f t="shared" si="1"/>
        <v>23rd EQUITY PAYMENT</v>
      </c>
      <c r="L40" s="1521"/>
      <c r="M40" s="1035">
        <f t="shared" si="3"/>
        <v>46604</v>
      </c>
      <c r="N40" s="1406">
        <f>IF(E28&gt;22,F28,0)</f>
        <v>19003.078767741757</v>
      </c>
      <c r="O40" s="1406"/>
      <c r="P40" s="1666"/>
      <c r="Q40" s="1657"/>
      <c r="R40" s="1020"/>
      <c r="S40" s="1020"/>
      <c r="T40" s="1405" t="s">
        <v>1125</v>
      </c>
      <c r="U40" s="1405"/>
      <c r="V40" s="1020"/>
      <c r="W40" s="1035">
        <f t="shared" si="4"/>
        <v>46604</v>
      </c>
      <c r="X40" s="1020"/>
      <c r="Y40" s="1020"/>
      <c r="Z40" s="1020"/>
      <c r="AA40" s="1020"/>
      <c r="AB40" s="1020"/>
      <c r="AC40" s="1020"/>
      <c r="AD40" s="1241">
        <f t="shared" si="5"/>
        <v>23</v>
      </c>
      <c r="AE40" s="1242"/>
      <c r="AF40" s="1257"/>
      <c r="AG40" s="1257">
        <f t="shared" si="2"/>
        <v>19003.078767741757</v>
      </c>
      <c r="AH40" s="1244"/>
      <c r="AI40" s="1258">
        <f t="shared" si="6"/>
        <v>183927.28988221232</v>
      </c>
      <c r="AJ40" s="1038"/>
      <c r="AK40" s="1020"/>
      <c r="AL40" s="1020"/>
      <c r="AM40" s="1020"/>
      <c r="AN40" s="1061">
        <v>3128865.99</v>
      </c>
      <c r="AO40" s="1020"/>
      <c r="AP40" s="1020"/>
      <c r="AQ40" s="1020"/>
      <c r="AR40" s="1020"/>
      <c r="AS40" s="1020"/>
      <c r="AT40" s="1020"/>
      <c r="AU40" s="1020"/>
      <c r="AV40" s="1020"/>
      <c r="AW40" s="1039"/>
      <c r="AX40" s="1020"/>
    </row>
    <row r="41" spans="1:50" ht="15.95">
      <c r="A41" s="1024"/>
      <c r="B41" s="166" t="s">
        <v>1126</v>
      </c>
      <c r="C41" s="1024"/>
      <c r="D41" s="1027"/>
      <c r="E41" s="1024"/>
      <c r="F41" s="1024"/>
      <c r="G41" s="1024"/>
      <c r="H41" s="1024"/>
      <c r="I41" s="1024"/>
      <c r="J41" s="100"/>
      <c r="K41" s="1521" t="str">
        <f t="shared" si="1"/>
        <v>24th EQUITY PAYMENT</v>
      </c>
      <c r="L41" s="1521"/>
      <c r="M41" s="1035">
        <f t="shared" si="3"/>
        <v>46635</v>
      </c>
      <c r="N41" s="1406">
        <f>IF(E28&gt;24,F28,0)</f>
        <v>19003.078767741757</v>
      </c>
      <c r="O41" s="1406"/>
      <c r="P41" s="1666"/>
      <c r="Q41" s="1657"/>
      <c r="R41" s="1020"/>
      <c r="S41" s="1020"/>
      <c r="T41" s="1405" t="s">
        <v>1127</v>
      </c>
      <c r="U41" s="1405"/>
      <c r="V41" s="1020"/>
      <c r="W41" s="1035">
        <f t="shared" si="4"/>
        <v>46635</v>
      </c>
      <c r="X41" s="1020"/>
      <c r="Y41" s="1020"/>
      <c r="Z41" s="1020"/>
      <c r="AA41" s="1020"/>
      <c r="AB41" s="1020"/>
      <c r="AC41" s="1020"/>
      <c r="AD41" s="1241">
        <f t="shared" si="5"/>
        <v>24</v>
      </c>
      <c r="AE41" s="1242"/>
      <c r="AF41" s="1257"/>
      <c r="AG41" s="1257">
        <f t="shared" si="2"/>
        <v>19003.078767741757</v>
      </c>
      <c r="AH41" s="1244"/>
      <c r="AI41" s="1258">
        <f t="shared" si="6"/>
        <v>202930.36864995409</v>
      </c>
      <c r="AJ41" s="1038"/>
      <c r="AK41" s="1020"/>
      <c r="AL41" s="1020"/>
      <c r="AM41" s="1020"/>
      <c r="AN41" s="1020"/>
      <c r="AO41" s="1020"/>
      <c r="AP41" s="1020"/>
      <c r="AQ41" s="1020"/>
      <c r="AR41" s="1020"/>
      <c r="AS41" s="1020"/>
      <c r="AT41" s="1020"/>
      <c r="AU41" s="1020"/>
      <c r="AV41" s="1020"/>
      <c r="AW41" s="1039"/>
      <c r="AX41" s="1020"/>
    </row>
    <row r="42" spans="1:50" ht="15.95">
      <c r="A42" s="1024"/>
      <c r="B42" s="166" t="s">
        <v>1128</v>
      </c>
      <c r="C42" s="249"/>
      <c r="D42" s="1027"/>
      <c r="E42" s="1024"/>
      <c r="F42" s="1024"/>
      <c r="G42" s="1024"/>
      <c r="H42" s="1024"/>
      <c r="I42" s="1024"/>
      <c r="J42" s="142"/>
      <c r="K42" s="1521" t="str">
        <f t="shared" si="1"/>
        <v>25th EQUITY PAYMENT</v>
      </c>
      <c r="L42" s="1521"/>
      <c r="M42" s="1035">
        <f t="shared" si="3"/>
        <v>46665</v>
      </c>
      <c r="N42" s="1406">
        <f>IF(E28&gt;24,F28,0)</f>
        <v>19003.078767741757</v>
      </c>
      <c r="O42" s="1406"/>
      <c r="P42" s="1666"/>
      <c r="Q42" s="1657"/>
      <c r="R42" s="1020"/>
      <c r="S42" s="1020"/>
      <c r="T42" s="1405" t="s">
        <v>1129</v>
      </c>
      <c r="U42" s="1405"/>
      <c r="V42" s="1020"/>
      <c r="W42" s="1035">
        <f t="shared" si="4"/>
        <v>46665</v>
      </c>
      <c r="X42" s="1020"/>
      <c r="Y42" s="1020"/>
      <c r="Z42" s="1020"/>
      <c r="AA42" s="1020"/>
      <c r="AB42" s="1020"/>
      <c r="AC42" s="1020"/>
      <c r="AD42" s="1241">
        <f t="shared" si="5"/>
        <v>25</v>
      </c>
      <c r="AE42" s="1242"/>
      <c r="AF42" s="1257"/>
      <c r="AG42" s="1257">
        <f t="shared" si="2"/>
        <v>19003.078767741757</v>
      </c>
      <c r="AH42" s="1244"/>
      <c r="AI42" s="1258">
        <f t="shared" si="6"/>
        <v>221933.44741769586</v>
      </c>
      <c r="AJ42" s="1038"/>
      <c r="AK42" s="1020"/>
      <c r="AL42" s="1020"/>
      <c r="AM42" s="1020"/>
      <c r="AN42" s="1020"/>
      <c r="AO42" s="1020"/>
      <c r="AP42" s="1020"/>
      <c r="AQ42" s="1020"/>
      <c r="AR42" s="1020"/>
      <c r="AS42" s="1020"/>
      <c r="AT42" s="1020"/>
      <c r="AU42" s="1020"/>
      <c r="AV42" s="1020"/>
      <c r="AW42" s="1039"/>
      <c r="AX42" s="1020"/>
    </row>
    <row r="43" spans="1:50" ht="15.95">
      <c r="A43" s="1024"/>
      <c r="B43" s="310"/>
      <c r="C43" s="309"/>
      <c r="D43" s="409"/>
      <c r="E43" s="22"/>
      <c r="F43" s="22"/>
      <c r="G43" s="22"/>
      <c r="H43" s="22"/>
      <c r="I43" s="22"/>
      <c r="J43" s="1027"/>
      <c r="K43" s="1521" t="str">
        <f t="shared" si="1"/>
        <v>26th EQUITY PAYMENT</v>
      </c>
      <c r="L43" s="1521"/>
      <c r="M43" s="1035">
        <f t="shared" si="3"/>
        <v>46696</v>
      </c>
      <c r="N43" s="1406">
        <f>IF(E28&gt;25,F28,0)</f>
        <v>19003.078767741757</v>
      </c>
      <c r="O43" s="1406"/>
      <c r="P43" s="1666"/>
      <c r="Q43" s="1657"/>
      <c r="R43" s="1020"/>
      <c r="S43" s="1020"/>
      <c r="T43" s="1405" t="s">
        <v>1130</v>
      </c>
      <c r="U43" s="1405"/>
      <c r="V43" s="1020"/>
      <c r="W43" s="1035">
        <f t="shared" si="4"/>
        <v>46696</v>
      </c>
      <c r="X43" s="1020"/>
      <c r="Y43" s="1020"/>
      <c r="Z43" s="1020"/>
      <c r="AA43" s="1020"/>
      <c r="AB43" s="1020"/>
      <c r="AC43" s="1020"/>
      <c r="AD43" s="1241">
        <f t="shared" si="5"/>
        <v>26</v>
      </c>
      <c r="AE43" s="1242"/>
      <c r="AF43" s="1257"/>
      <c r="AG43" s="1257">
        <f t="shared" si="2"/>
        <v>19003.078767741757</v>
      </c>
      <c r="AH43" s="1244"/>
      <c r="AI43" s="1258">
        <f t="shared" si="6"/>
        <v>240936.52618543763</v>
      </c>
      <c r="AJ43" s="1038"/>
      <c r="AK43" s="1020"/>
      <c r="AL43" s="1020"/>
      <c r="AM43" s="1020"/>
      <c r="AN43" s="1020"/>
      <c r="AO43" s="1020"/>
      <c r="AP43" s="1020"/>
      <c r="AQ43" s="1020"/>
      <c r="AR43" s="1020"/>
      <c r="AS43" s="1020"/>
      <c r="AT43" s="1020"/>
      <c r="AU43" s="1020"/>
      <c r="AV43" s="1020"/>
      <c r="AW43" s="1039"/>
      <c r="AX43" s="1020"/>
    </row>
    <row r="44" spans="1:50" ht="15.95">
      <c r="A44" s="1024"/>
      <c r="B44" s="101" t="s">
        <v>1131</v>
      </c>
      <c r="C44" s="238"/>
      <c r="D44" s="245"/>
      <c r="E44" s="1153"/>
      <c r="F44" s="1147"/>
      <c r="G44" s="167"/>
      <c r="H44" s="167"/>
      <c r="I44" s="167"/>
      <c r="J44" s="1027"/>
      <c r="K44" s="1521" t="str">
        <f t="shared" si="1"/>
        <v>27th EQUITY PAYMENT</v>
      </c>
      <c r="L44" s="1521"/>
      <c r="M44" s="1035">
        <f t="shared" si="3"/>
        <v>46726</v>
      </c>
      <c r="N44" s="1406">
        <f>IF(E28&gt;26,F28,0)</f>
        <v>19003.078767741757</v>
      </c>
      <c r="O44" s="1406"/>
      <c r="P44" s="1666"/>
      <c r="Q44" s="1657"/>
      <c r="R44" s="1020"/>
      <c r="S44" s="1020"/>
      <c r="T44" s="1405" t="s">
        <v>1132</v>
      </c>
      <c r="U44" s="1405"/>
      <c r="V44" s="1020"/>
      <c r="W44" s="1035">
        <f t="shared" si="4"/>
        <v>46726</v>
      </c>
      <c r="X44" s="1020"/>
      <c r="Y44" s="1020"/>
      <c r="Z44" s="1020"/>
      <c r="AA44" s="1020"/>
      <c r="AB44" s="1020"/>
      <c r="AC44" s="1020"/>
      <c r="AD44" s="1241">
        <f t="shared" si="5"/>
        <v>27</v>
      </c>
      <c r="AE44" s="1242"/>
      <c r="AF44" s="1257"/>
      <c r="AG44" s="1257">
        <f t="shared" si="2"/>
        <v>19003.078767741757</v>
      </c>
      <c r="AH44" s="1244"/>
      <c r="AI44" s="1258">
        <f t="shared" si="6"/>
        <v>259939.6049531794</v>
      </c>
      <c r="AJ44" s="1038"/>
      <c r="AK44" s="1020"/>
      <c r="AL44" s="1020"/>
      <c r="AM44" s="1020"/>
      <c r="AN44" s="1020"/>
      <c r="AO44" s="1020"/>
      <c r="AP44" s="1020"/>
      <c r="AQ44" s="1020"/>
      <c r="AR44" s="1020"/>
      <c r="AS44" s="1020"/>
      <c r="AT44" s="1020"/>
      <c r="AU44" s="1020"/>
      <c r="AV44" s="1020"/>
      <c r="AW44" s="1039"/>
      <c r="AX44" s="1020"/>
    </row>
    <row r="45" spans="1:50" ht="15.95">
      <c r="A45" s="1024"/>
      <c r="B45" s="175"/>
      <c r="C45" s="245"/>
      <c r="D45" s="245"/>
      <c r="E45" s="1154"/>
      <c r="F45" s="1155"/>
      <c r="G45" s="465"/>
      <c r="H45" s="465"/>
      <c r="I45" s="465"/>
      <c r="J45" s="1027"/>
      <c r="K45" s="1521" t="str">
        <f t="shared" si="1"/>
        <v>28th EQUITY PAYMENT</v>
      </c>
      <c r="L45" s="1521"/>
      <c r="M45" s="1035">
        <f t="shared" si="3"/>
        <v>46757</v>
      </c>
      <c r="N45" s="1406">
        <f>IF($E$28&gt;27,$F$28,0)</f>
        <v>19003.078767741757</v>
      </c>
      <c r="O45" s="1406"/>
      <c r="P45" s="1666"/>
      <c r="Q45" s="1657"/>
      <c r="R45" s="1020"/>
      <c r="S45" s="1020"/>
      <c r="T45" s="1405" t="s">
        <v>1133</v>
      </c>
      <c r="U45" s="1405"/>
      <c r="V45" s="1020"/>
      <c r="W45" s="1035">
        <f t="shared" si="4"/>
        <v>46757</v>
      </c>
      <c r="X45" s="1020"/>
      <c r="Y45" s="1020"/>
      <c r="Z45" s="1020"/>
      <c r="AA45" s="1020"/>
      <c r="AB45" s="1020"/>
      <c r="AC45" s="1020"/>
      <c r="AD45" s="1241">
        <f t="shared" si="5"/>
        <v>28</v>
      </c>
      <c r="AE45" s="1242"/>
      <c r="AF45" s="1257"/>
      <c r="AG45" s="1257">
        <f t="shared" si="2"/>
        <v>19003.078767741757</v>
      </c>
      <c r="AH45" s="1244"/>
      <c r="AI45" s="1258">
        <f t="shared" si="6"/>
        <v>278942.68372092117</v>
      </c>
      <c r="AJ45" s="1038"/>
      <c r="AK45" s="1020"/>
      <c r="AL45" s="1020"/>
      <c r="AM45" s="1020"/>
      <c r="AN45" s="1020"/>
      <c r="AO45" s="1020"/>
      <c r="AP45" s="1020"/>
      <c r="AQ45" s="1020"/>
      <c r="AR45" s="1020"/>
      <c r="AS45" s="1020"/>
      <c r="AT45" s="1020"/>
      <c r="AU45" s="1020"/>
      <c r="AV45" s="1020"/>
      <c r="AW45" s="1039"/>
      <c r="AX45" s="1020"/>
    </row>
    <row r="46" spans="1:50" ht="15.95">
      <c r="A46" s="1024"/>
      <c r="B46" s="129" t="s">
        <v>1134</v>
      </c>
      <c r="C46" s="129"/>
      <c r="D46" s="142" t="s">
        <v>1015</v>
      </c>
      <c r="E46" s="241">
        <v>0.8</v>
      </c>
      <c r="F46" s="1399">
        <f>E46*F22</f>
        <v>3718971.4192928704</v>
      </c>
      <c r="G46" s="1400"/>
      <c r="H46" s="1400"/>
      <c r="I46" s="1401"/>
      <c r="J46" s="1027"/>
      <c r="K46" s="1521" t="str">
        <f t="shared" si="1"/>
        <v>29th EQUITY PAYMENT</v>
      </c>
      <c r="L46" s="1521"/>
      <c r="M46" s="1035">
        <f t="shared" si="3"/>
        <v>46788</v>
      </c>
      <c r="N46" s="1406">
        <f>IF($E$28&gt;28,$F$28,0)</f>
        <v>19003.078767741757</v>
      </c>
      <c r="O46" s="1406"/>
      <c r="P46" s="1666"/>
      <c r="Q46" s="1657"/>
      <c r="R46" s="1020"/>
      <c r="S46" s="1020"/>
      <c r="T46" s="1405" t="s">
        <v>1135</v>
      </c>
      <c r="U46" s="1405"/>
      <c r="V46" s="1020"/>
      <c r="W46" s="1035">
        <f t="shared" si="4"/>
        <v>46788</v>
      </c>
      <c r="X46" s="1020"/>
      <c r="Y46" s="1020"/>
      <c r="Z46" s="1020"/>
      <c r="AA46" s="1020"/>
      <c r="AB46" s="1020"/>
      <c r="AC46" s="1020"/>
      <c r="AD46" s="1241">
        <f t="shared" si="5"/>
        <v>29</v>
      </c>
      <c r="AE46" s="1242"/>
      <c r="AF46" s="1257"/>
      <c r="AG46" s="1257">
        <f t="shared" si="2"/>
        <v>19003.078767741757</v>
      </c>
      <c r="AH46" s="1244"/>
      <c r="AI46" s="1258">
        <f t="shared" si="6"/>
        <v>297945.76248866291</v>
      </c>
      <c r="AJ46" s="1020"/>
      <c r="AK46" s="1020"/>
      <c r="AL46" s="1020"/>
      <c r="AM46" s="1020"/>
      <c r="AN46" s="1020"/>
      <c r="AO46" s="1020"/>
      <c r="AP46" s="1020"/>
      <c r="AQ46" s="1020"/>
      <c r="AR46" s="1020"/>
      <c r="AS46" s="1020"/>
      <c r="AT46" s="1020"/>
      <c r="AU46" s="1020"/>
      <c r="AV46" s="1020"/>
      <c r="AW46" s="1020"/>
      <c r="AX46" s="1020"/>
    </row>
    <row r="47" spans="1:50" ht="15.95">
      <c r="A47" s="1024"/>
      <c r="B47" s="1024"/>
      <c r="C47" s="178"/>
      <c r="D47" s="178"/>
      <c r="E47" s="1156"/>
      <c r="F47" s="1059"/>
      <c r="G47" s="1059"/>
      <c r="H47" s="1059"/>
      <c r="I47" s="1059"/>
      <c r="J47" s="142"/>
      <c r="K47" s="1521">
        <f t="shared" si="1"/>
        <v>0</v>
      </c>
      <c r="L47" s="1521"/>
      <c r="M47" s="1035" t="str">
        <f t="shared" si="3"/>
        <v/>
      </c>
      <c r="N47" s="1406">
        <f>IF($E$28&gt;29,$F$28,0)</f>
        <v>0</v>
      </c>
      <c r="O47" s="1406"/>
      <c r="P47" s="1666"/>
      <c r="Q47" s="1657"/>
      <c r="R47" s="1020"/>
      <c r="S47" s="1020"/>
      <c r="T47" s="1405" t="s">
        <v>1136</v>
      </c>
      <c r="U47" s="1405"/>
      <c r="V47" s="1020"/>
      <c r="W47" s="1035">
        <f t="shared" si="4"/>
        <v>46817</v>
      </c>
      <c r="X47" s="1020"/>
      <c r="Y47" s="1020"/>
      <c r="Z47" s="1020"/>
      <c r="AA47" s="1020"/>
      <c r="AB47" s="1020"/>
      <c r="AC47" s="1020"/>
      <c r="AD47" s="1259">
        <f t="shared" si="5"/>
        <v>30</v>
      </c>
      <c r="AE47" s="1260">
        <f>AI8</f>
        <v>74214.507258616039</v>
      </c>
      <c r="AF47" s="1261"/>
      <c r="AG47" s="1267">
        <f t="shared" si="2"/>
        <v>-74214.507258616039</v>
      </c>
      <c r="AH47" s="1262"/>
      <c r="AI47" s="1263">
        <f t="shared" si="6"/>
        <v>223731.25523004687</v>
      </c>
      <c r="AJ47" s="1020"/>
      <c r="AK47" s="1020"/>
      <c r="AL47" s="1020"/>
      <c r="AM47" s="1020"/>
      <c r="AN47" s="1020"/>
      <c r="AO47" s="1020"/>
      <c r="AP47" s="1020"/>
      <c r="AQ47" s="1020"/>
      <c r="AR47" s="1020"/>
      <c r="AS47" s="1020"/>
      <c r="AT47" s="1020"/>
      <c r="AU47" s="1020"/>
      <c r="AV47" s="1020"/>
      <c r="AW47" s="1020"/>
      <c r="AX47" s="1020"/>
    </row>
    <row r="48" spans="1:50" ht="15" customHeight="1">
      <c r="A48" s="1024"/>
      <c r="B48" s="208" t="s">
        <v>53</v>
      </c>
      <c r="C48" s="208" t="s">
        <v>54</v>
      </c>
      <c r="D48" s="208" t="s">
        <v>55</v>
      </c>
      <c r="E48" s="208" t="s">
        <v>1115</v>
      </c>
      <c r="F48" s="1402" t="s">
        <v>1116</v>
      </c>
      <c r="G48" s="1402"/>
      <c r="H48" s="1402"/>
      <c r="I48" s="1402"/>
      <c r="J48" s="142"/>
      <c r="K48" s="1521">
        <f t="shared" si="1"/>
        <v>0</v>
      </c>
      <c r="L48" s="1521"/>
      <c r="M48" s="1035" t="str">
        <f t="shared" si="3"/>
        <v/>
      </c>
      <c r="N48" s="1406">
        <f>IF($E$28&gt;30,$F$28,0)</f>
        <v>0</v>
      </c>
      <c r="O48" s="1406"/>
      <c r="P48" s="1666"/>
      <c r="Q48" s="1657"/>
      <c r="R48" s="1020"/>
      <c r="S48" s="1020"/>
      <c r="T48" s="1415" t="s">
        <v>1137</v>
      </c>
      <c r="U48" s="1415"/>
      <c r="V48" s="1020"/>
      <c r="W48" s="1035">
        <f t="shared" si="4"/>
        <v>46848</v>
      </c>
      <c r="X48" s="1020"/>
      <c r="Y48" s="1020"/>
      <c r="Z48" s="1020"/>
      <c r="AA48" s="1020"/>
      <c r="AB48" s="1020"/>
      <c r="AC48" s="1020"/>
      <c r="AD48" s="1241">
        <f t="shared" si="5"/>
        <v>31</v>
      </c>
      <c r="AE48" s="1242"/>
      <c r="AF48" s="1257"/>
      <c r="AG48" s="1257">
        <f t="shared" si="2"/>
        <v>0</v>
      </c>
      <c r="AH48" s="1244"/>
      <c r="AI48" s="1258">
        <f t="shared" si="6"/>
        <v>223731.25523004687</v>
      </c>
      <c r="AJ48" s="1020"/>
      <c r="AK48" s="1020"/>
      <c r="AL48" s="1020"/>
      <c r="AM48" s="1020"/>
      <c r="AN48" s="1020"/>
      <c r="AO48" s="1020"/>
      <c r="AP48" s="1020"/>
      <c r="AQ48" s="1020"/>
      <c r="AR48" s="1020"/>
      <c r="AS48" s="1020"/>
      <c r="AT48" s="1020"/>
      <c r="AU48" s="1020"/>
      <c r="AV48" s="1020"/>
      <c r="AW48" s="1020"/>
      <c r="AX48" s="1020"/>
    </row>
    <row r="49" spans="1:50" ht="15.95">
      <c r="A49" s="1024"/>
      <c r="B49" s="246">
        <v>1</v>
      </c>
      <c r="C49" s="1157">
        <v>0.12</v>
      </c>
      <c r="D49" s="248">
        <f>PMT(C49/12,B49*12,-1)</f>
        <v>8.88487886783417E-2</v>
      </c>
      <c r="E49" s="1060">
        <f>$F$46*D49</f>
        <v>330426.10573354474</v>
      </c>
      <c r="F49" s="1403">
        <f>E49/0.33</f>
        <v>1001291.2294955901</v>
      </c>
      <c r="G49" s="1403"/>
      <c r="H49" s="1403"/>
      <c r="I49" s="1403"/>
      <c r="J49" s="1059"/>
      <c r="K49" s="1521">
        <f t="shared" si="1"/>
        <v>0</v>
      </c>
      <c r="L49" s="1521"/>
      <c r="M49" s="1035" t="str">
        <f t="shared" si="3"/>
        <v/>
      </c>
      <c r="N49" s="1406">
        <f>IF($E$28&gt;31,$F$28,0)</f>
        <v>0</v>
      </c>
      <c r="O49" s="1406"/>
      <c r="P49" s="1666"/>
      <c r="Q49" s="1657"/>
      <c r="R49" s="1020"/>
      <c r="S49" s="1020"/>
      <c r="T49" s="1415" t="s">
        <v>1138</v>
      </c>
      <c r="U49" s="1415"/>
      <c r="V49" s="1020"/>
      <c r="W49" s="1035">
        <f t="shared" si="4"/>
        <v>46878</v>
      </c>
      <c r="X49" s="1020"/>
      <c r="Y49" s="1020"/>
      <c r="Z49" s="1020"/>
      <c r="AA49" s="1020"/>
      <c r="AB49" s="1020"/>
      <c r="AC49" s="1020"/>
      <c r="AD49" s="1241">
        <f t="shared" si="5"/>
        <v>32</v>
      </c>
      <c r="AE49" s="1242"/>
      <c r="AF49" s="1257"/>
      <c r="AG49" s="1257">
        <f t="shared" si="2"/>
        <v>0</v>
      </c>
      <c r="AH49" s="1244"/>
      <c r="AI49" s="1258">
        <f t="shared" si="6"/>
        <v>223731.25523004687</v>
      </c>
      <c r="AJ49" s="1020"/>
      <c r="AK49" s="1020"/>
      <c r="AL49" s="1020"/>
      <c r="AM49" s="1020"/>
      <c r="AN49" s="1020"/>
      <c r="AO49" s="1020"/>
      <c r="AP49" s="1020"/>
      <c r="AQ49" s="1020"/>
      <c r="AR49" s="1020"/>
      <c r="AS49" s="1020"/>
      <c r="AT49" s="1020"/>
      <c r="AU49" s="1020"/>
      <c r="AV49" s="1020"/>
      <c r="AW49" s="1020"/>
      <c r="AX49" s="1020"/>
    </row>
    <row r="50" spans="1:50" ht="15" customHeight="1">
      <c r="A50" s="1024"/>
      <c r="B50" s="246">
        <v>3</v>
      </c>
      <c r="C50" s="1157">
        <v>0.16</v>
      </c>
      <c r="D50" s="248">
        <f>PMT(C50/12,B50*12,-1)</f>
        <v>3.5157033036350094E-2</v>
      </c>
      <c r="E50" s="1060">
        <f>$F$46*D50</f>
        <v>130748.00104932125</v>
      </c>
      <c r="F50" s="1403">
        <f>E50/0.33</f>
        <v>396206.06378582196</v>
      </c>
      <c r="G50" s="1403"/>
      <c r="H50" s="1403"/>
      <c r="I50" s="1403"/>
      <c r="J50" s="1059"/>
      <c r="K50" s="1521">
        <f t="shared" si="1"/>
        <v>0</v>
      </c>
      <c r="L50" s="1521"/>
      <c r="M50" s="1035" t="str">
        <f t="shared" si="3"/>
        <v/>
      </c>
      <c r="N50" s="1406">
        <f>IF($E$28&gt;32,$F$28,0)</f>
        <v>0</v>
      </c>
      <c r="O50" s="1406"/>
      <c r="P50" s="1666"/>
      <c r="Q50" s="1657"/>
      <c r="R50" s="1020"/>
      <c r="S50" s="1020"/>
      <c r="T50" s="1405" t="s">
        <v>1139</v>
      </c>
      <c r="U50" s="1405"/>
      <c r="V50" s="1020"/>
      <c r="W50" s="1035">
        <f t="shared" si="4"/>
        <v>46909</v>
      </c>
      <c r="X50" s="1020"/>
      <c r="Y50" s="1020"/>
      <c r="Z50" s="1020"/>
      <c r="AA50" s="1020"/>
      <c r="AB50" s="1020"/>
      <c r="AC50" s="1020"/>
      <c r="AD50" s="1241">
        <f t="shared" si="5"/>
        <v>33</v>
      </c>
      <c r="AE50" s="1242"/>
      <c r="AF50" s="1257"/>
      <c r="AG50" s="1257">
        <f t="shared" si="2"/>
        <v>0</v>
      </c>
      <c r="AH50" s="1244"/>
      <c r="AI50" s="1258">
        <f t="shared" si="6"/>
        <v>223731.25523004687</v>
      </c>
      <c r="AJ50" s="1020"/>
      <c r="AK50" s="1020"/>
      <c r="AL50" s="1020"/>
      <c r="AM50" s="1020"/>
      <c r="AN50" s="1020"/>
      <c r="AO50" s="1020"/>
      <c r="AP50" s="1020"/>
      <c r="AQ50" s="1020"/>
      <c r="AR50" s="1020"/>
      <c r="AS50" s="1020"/>
      <c r="AT50" s="1020"/>
      <c r="AU50" s="1020"/>
      <c r="AV50" s="1020"/>
      <c r="AW50" s="1020"/>
      <c r="AX50" s="1020"/>
    </row>
    <row r="51" spans="1:50" ht="15.95">
      <c r="A51" s="1024"/>
      <c r="B51" s="246">
        <v>5</v>
      </c>
      <c r="C51" s="1157">
        <v>0.18</v>
      </c>
      <c r="D51" s="248">
        <f>PMT(C51/12,B51*12,-1)</f>
        <v>2.5393427427109084E-2</v>
      </c>
      <c r="E51" s="1060">
        <f>$F$46*D51</f>
        <v>94437.430839306369</v>
      </c>
      <c r="F51" s="1403">
        <f>E51/0.33</f>
        <v>286174.03284638294</v>
      </c>
      <c r="G51" s="1403"/>
      <c r="H51" s="1403"/>
      <c r="I51" s="1403"/>
      <c r="J51" s="1059"/>
      <c r="K51" s="1521">
        <f t="shared" si="1"/>
        <v>0</v>
      </c>
      <c r="L51" s="1521"/>
      <c r="M51" s="1035" t="str">
        <f t="shared" si="3"/>
        <v/>
      </c>
      <c r="N51" s="1406">
        <f>IF($E$28&gt;33,$F$28,0)</f>
        <v>0</v>
      </c>
      <c r="O51" s="1406"/>
      <c r="P51" s="1666"/>
      <c r="Q51" s="1657"/>
      <c r="R51" s="1020"/>
      <c r="S51" s="1020"/>
      <c r="T51" s="1405" t="s">
        <v>1140</v>
      </c>
      <c r="U51" s="1405"/>
      <c r="V51" s="1020"/>
      <c r="W51" s="1035">
        <f t="shared" si="4"/>
        <v>46939</v>
      </c>
      <c r="X51" s="1020"/>
      <c r="Y51" s="1020"/>
      <c r="Z51" s="1020"/>
      <c r="AA51" s="1020"/>
      <c r="AB51" s="1020"/>
      <c r="AC51" s="1020"/>
      <c r="AD51" s="1241">
        <f t="shared" si="5"/>
        <v>34</v>
      </c>
      <c r="AE51" s="1242"/>
      <c r="AF51" s="1257"/>
      <c r="AG51" s="1257">
        <f t="shared" si="2"/>
        <v>0</v>
      </c>
      <c r="AH51" s="1244"/>
      <c r="AI51" s="1258">
        <f t="shared" si="6"/>
        <v>223731.25523004687</v>
      </c>
      <c r="AJ51" s="1020"/>
      <c r="AK51" s="1020"/>
      <c r="AL51" s="1020"/>
      <c r="AM51" s="1020"/>
      <c r="AN51" s="1020"/>
      <c r="AO51" s="1020"/>
      <c r="AP51" s="1020"/>
      <c r="AQ51" s="1020"/>
      <c r="AR51" s="1020"/>
      <c r="AS51" s="1020"/>
      <c r="AT51" s="1020"/>
      <c r="AU51" s="1020"/>
      <c r="AV51" s="1020"/>
      <c r="AW51" s="1020"/>
      <c r="AX51" s="1020"/>
    </row>
    <row r="52" spans="1:50" ht="15" customHeight="1">
      <c r="A52" s="1024"/>
      <c r="B52" s="246">
        <v>10</v>
      </c>
      <c r="C52" s="1157">
        <v>0.2</v>
      </c>
      <c r="D52" s="248">
        <f>PMT(C52/12,B52*12,-1)</f>
        <v>1.9325567219932577E-2</v>
      </c>
      <c r="E52" s="1060">
        <f>$F$46*D52</f>
        <v>71871.232152552431</v>
      </c>
      <c r="F52" s="1403">
        <f>E52/0.33</f>
        <v>217791.61258349221</v>
      </c>
      <c r="G52" s="1403"/>
      <c r="H52" s="1403"/>
      <c r="I52" s="1403"/>
      <c r="J52" s="1024"/>
      <c r="K52" s="1521">
        <f t="shared" si="1"/>
        <v>0</v>
      </c>
      <c r="L52" s="1521"/>
      <c r="M52" s="1035" t="str">
        <f t="shared" si="3"/>
        <v/>
      </c>
      <c r="N52" s="1406">
        <f>IF($E$28&gt;34,$F$28,0)</f>
        <v>0</v>
      </c>
      <c r="O52" s="1406"/>
      <c r="P52" s="1666"/>
      <c r="Q52" s="1657"/>
      <c r="R52" s="1020"/>
      <c r="S52" s="1020"/>
      <c r="T52" s="1405" t="s">
        <v>1141</v>
      </c>
      <c r="U52" s="1405"/>
      <c r="V52" s="1020"/>
      <c r="W52" s="1035">
        <f t="shared" si="4"/>
        <v>46970</v>
      </c>
      <c r="X52" s="1020"/>
      <c r="Y52" s="1020"/>
      <c r="Z52" s="1020"/>
      <c r="AA52" s="1020"/>
      <c r="AB52" s="1020"/>
      <c r="AC52" s="1020"/>
      <c r="AD52" s="1241">
        <f t="shared" si="5"/>
        <v>35</v>
      </c>
      <c r="AE52" s="1242"/>
      <c r="AF52" s="1257"/>
      <c r="AG52" s="1257">
        <f t="shared" si="2"/>
        <v>0</v>
      </c>
      <c r="AH52" s="1244"/>
      <c r="AI52" s="1258">
        <f t="shared" si="6"/>
        <v>223731.25523004687</v>
      </c>
      <c r="AJ52" s="1020"/>
      <c r="AK52" s="1020"/>
      <c r="AL52" s="1020"/>
      <c r="AM52" s="1020"/>
      <c r="AN52" s="1020"/>
      <c r="AO52" s="1020"/>
      <c r="AP52" s="1020"/>
      <c r="AQ52" s="1020"/>
      <c r="AR52" s="1020"/>
      <c r="AS52" s="1020"/>
      <c r="AT52" s="1020"/>
      <c r="AU52" s="1020"/>
      <c r="AV52" s="1020"/>
      <c r="AW52" s="1020"/>
      <c r="AX52" s="1020"/>
    </row>
    <row r="53" spans="1:50" ht="16.5" thickBot="1">
      <c r="A53" s="1024"/>
      <c r="B53" s="1158" t="s">
        <v>1142</v>
      </c>
      <c r="C53" s="1159"/>
      <c r="D53" s="1159"/>
      <c r="E53" s="1159"/>
      <c r="F53" s="1159"/>
      <c r="G53" s="1159"/>
      <c r="H53" s="1159"/>
      <c r="I53" s="1159"/>
      <c r="J53" s="1024"/>
      <c r="K53" s="1521">
        <f t="shared" si="1"/>
        <v>0</v>
      </c>
      <c r="L53" s="1521"/>
      <c r="M53" s="1035" t="str">
        <f t="shared" si="3"/>
        <v/>
      </c>
      <c r="N53" s="1406">
        <f>IF($E$28&gt;35,$F$28,0)</f>
        <v>0</v>
      </c>
      <c r="O53" s="1406"/>
      <c r="P53" s="1666"/>
      <c r="Q53" s="1657"/>
      <c r="R53" s="1020"/>
      <c r="S53" s="1020"/>
      <c r="T53" s="1405" t="s">
        <v>1143</v>
      </c>
      <c r="U53" s="1405"/>
      <c r="V53" s="1020"/>
      <c r="W53" s="1035">
        <f t="shared" si="4"/>
        <v>47001</v>
      </c>
      <c r="X53" s="1020"/>
      <c r="Y53" s="1020"/>
      <c r="Z53" s="1020"/>
      <c r="AA53" s="1020"/>
      <c r="AB53" s="1020"/>
      <c r="AC53" s="1020"/>
      <c r="AD53" s="1241">
        <f t="shared" si="5"/>
        <v>36</v>
      </c>
      <c r="AE53" s="1242"/>
      <c r="AF53" s="1257"/>
      <c r="AG53" s="1257">
        <f t="shared" si="2"/>
        <v>0</v>
      </c>
      <c r="AH53" s="1244"/>
      <c r="AI53" s="1258">
        <f t="shared" si="6"/>
        <v>223731.25523004687</v>
      </c>
      <c r="AJ53" s="1020"/>
      <c r="AK53" s="1020"/>
      <c r="AL53" s="1020"/>
      <c r="AM53" s="1020"/>
      <c r="AN53" s="1020"/>
      <c r="AO53" s="1020"/>
      <c r="AP53" s="1020"/>
      <c r="AQ53" s="1020"/>
      <c r="AR53" s="1020"/>
      <c r="AS53" s="1020"/>
      <c r="AT53" s="1020"/>
      <c r="AU53" s="1020"/>
      <c r="AV53" s="1020"/>
      <c r="AW53" s="1020"/>
      <c r="AX53" s="1020"/>
    </row>
    <row r="54" spans="1:50" ht="15" customHeight="1">
      <c r="A54" s="1024"/>
      <c r="B54" s="166"/>
      <c r="C54" s="249"/>
      <c r="D54" s="1027"/>
      <c r="E54" s="1024"/>
      <c r="F54" s="1024"/>
      <c r="G54" s="1024"/>
      <c r="H54" s="1024"/>
      <c r="I54" s="1024"/>
      <c r="J54" s="1024"/>
      <c r="K54" s="1521">
        <f t="shared" si="1"/>
        <v>0</v>
      </c>
      <c r="L54" s="1521"/>
      <c r="M54" s="1035" t="str">
        <f t="shared" si="3"/>
        <v/>
      </c>
      <c r="N54" s="1406">
        <f>IF($E$28&gt;36,$F$28,0)</f>
        <v>0</v>
      </c>
      <c r="O54" s="1406"/>
      <c r="P54" s="1666"/>
      <c r="Q54" s="1657"/>
      <c r="R54" s="1020"/>
      <c r="S54" s="1020"/>
      <c r="T54" s="1405" t="s">
        <v>1144</v>
      </c>
      <c r="U54" s="1405"/>
      <c r="V54" s="1020"/>
      <c r="W54" s="1035">
        <f>IF(AND(DAY(W53)&gt;=6,DAY(W53)&lt;=20),DATE(YEAR(W53),MONTH(W53)+1,DAY(20)),IF(AND(DAY(W53)&gt;=21,DAY(W53)&lt;=30),DATE(YEAR(W53),MONTH(W53)+1,IF(DAY(EOMONTH(W53,1))&lt;30,DAY(EOMONTH(W53,1)),DAY(30))),DATE(YEAR(W53),MONTH(W53)+1,DAY(5))))</f>
        <v>47031</v>
      </c>
      <c r="X54" s="1020"/>
      <c r="Y54" s="1020"/>
      <c r="Z54" s="1020"/>
      <c r="AA54" s="1020"/>
      <c r="AB54" s="1020"/>
      <c r="AC54" s="1020"/>
      <c r="AD54" s="1264">
        <f t="shared" si="5"/>
        <v>37</v>
      </c>
      <c r="AE54" s="1248"/>
      <c r="AF54" s="1265"/>
      <c r="AG54" s="1265">
        <f t="shared" si="2"/>
        <v>0</v>
      </c>
      <c r="AH54" s="1250"/>
      <c r="AI54" s="1266">
        <f t="shared" si="6"/>
        <v>223731.25523004687</v>
      </c>
      <c r="AJ54" s="1020"/>
      <c r="AK54" s="1020"/>
      <c r="AL54" s="1020"/>
      <c r="AM54" s="1020"/>
      <c r="AN54" s="1020"/>
      <c r="AO54" s="1020"/>
      <c r="AP54" s="1020"/>
      <c r="AQ54" s="1020"/>
      <c r="AR54" s="1020"/>
      <c r="AS54" s="1020"/>
      <c r="AT54" s="1020"/>
      <c r="AU54" s="1020"/>
      <c r="AV54" s="1020"/>
      <c r="AW54" s="1020"/>
      <c r="AX54" s="1020"/>
    </row>
    <row r="55" spans="1:50" ht="12.6">
      <c r="A55" s="1024"/>
      <c r="B55" s="161"/>
      <c r="C55" s="1024"/>
      <c r="D55" s="1024"/>
      <c r="E55" s="1024"/>
      <c r="F55" s="1024"/>
      <c r="G55" s="1024"/>
      <c r="H55" s="1024"/>
      <c r="I55" s="1024"/>
      <c r="J55" s="1024"/>
      <c r="K55" s="1521">
        <f t="shared" si="1"/>
        <v>0</v>
      </c>
      <c r="L55" s="1521"/>
      <c r="M55" s="1035" t="str">
        <f t="shared" si="3"/>
        <v/>
      </c>
      <c r="N55" s="1406">
        <f>IF($E$28&gt;37,$F$28,0)</f>
        <v>0</v>
      </c>
      <c r="O55" s="1406"/>
      <c r="P55" s="1666"/>
      <c r="Q55" s="1657"/>
      <c r="R55" s="1020"/>
      <c r="S55" s="1020"/>
      <c r="T55" s="1405" t="s">
        <v>1145</v>
      </c>
      <c r="U55" s="1405"/>
      <c r="V55" s="1020"/>
      <c r="W55" s="1035">
        <f t="shared" si="4"/>
        <v>47062</v>
      </c>
      <c r="X55" s="1020"/>
      <c r="Y55" s="1020"/>
      <c r="Z55" s="1020"/>
      <c r="AA55" s="1020"/>
      <c r="AB55" s="1020"/>
      <c r="AC55" s="1020"/>
      <c r="AD55" s="1020"/>
      <c r="AE55" s="1020"/>
      <c r="AF55" s="1020"/>
      <c r="AG55" s="1020"/>
      <c r="AH55" s="1020"/>
      <c r="AI55" s="1020"/>
      <c r="AJ55" s="1020"/>
      <c r="AK55" s="1020"/>
      <c r="AL55" s="1020"/>
      <c r="AM55" s="1020"/>
      <c r="AN55" s="1020"/>
      <c r="AO55" s="1020"/>
      <c r="AP55" s="1020"/>
      <c r="AQ55" s="1020"/>
      <c r="AR55" s="1020"/>
      <c r="AS55" s="1020"/>
      <c r="AT55" s="1020"/>
      <c r="AU55" s="1020"/>
      <c r="AV55" s="1020"/>
      <c r="AW55" s="1020"/>
      <c r="AX55" s="1020"/>
    </row>
    <row r="56" spans="1:50" ht="15" customHeight="1">
      <c r="A56" s="1024"/>
      <c r="B56" s="129" t="s">
        <v>1146</v>
      </c>
      <c r="C56" s="129"/>
      <c r="D56" s="178"/>
      <c r="E56" s="178"/>
      <c r="F56" s="178"/>
      <c r="G56" s="178"/>
      <c r="H56" s="178"/>
      <c r="I56" s="178"/>
      <c r="J56" s="1024"/>
      <c r="K56" s="1521">
        <f t="shared" si="1"/>
        <v>0</v>
      </c>
      <c r="L56" s="1521"/>
      <c r="M56" s="1035" t="str">
        <f t="shared" si="3"/>
        <v/>
      </c>
      <c r="N56" s="1406">
        <f>IF($E$28&gt;38,$F$28,0)</f>
        <v>0</v>
      </c>
      <c r="O56" s="1406"/>
      <c r="P56" s="1666"/>
      <c r="Q56" s="1657"/>
      <c r="R56" s="1020"/>
      <c r="S56" s="1020"/>
      <c r="T56" s="1405" t="s">
        <v>1147</v>
      </c>
      <c r="U56" s="1405"/>
      <c r="V56" s="1020"/>
      <c r="W56" s="1035">
        <f t="shared" si="4"/>
        <v>47092</v>
      </c>
      <c r="X56" s="1020"/>
      <c r="Y56" s="1020"/>
      <c r="Z56" s="1020"/>
      <c r="AA56" s="1020"/>
      <c r="AB56" s="1020"/>
      <c r="AC56" s="1020"/>
      <c r="AD56" s="1020"/>
      <c r="AE56" s="1020"/>
      <c r="AF56" s="1020"/>
      <c r="AG56" s="1020"/>
      <c r="AH56" s="1020"/>
      <c r="AI56" s="1020"/>
      <c r="AJ56" s="1020"/>
      <c r="AK56" s="1020"/>
      <c r="AL56" s="1020"/>
      <c r="AM56" s="1020"/>
      <c r="AN56" s="1020"/>
      <c r="AO56" s="1020"/>
      <c r="AP56" s="1020"/>
      <c r="AQ56" s="1020"/>
      <c r="AR56" s="1020"/>
      <c r="AS56" s="1020"/>
      <c r="AT56" s="1020"/>
      <c r="AU56" s="1020"/>
      <c r="AV56" s="1020"/>
      <c r="AW56" s="1020"/>
      <c r="AX56" s="1020"/>
    </row>
    <row r="57" spans="1:50" ht="12.6">
      <c r="A57" s="1024"/>
      <c r="B57" s="178"/>
      <c r="C57" s="178"/>
      <c r="D57" s="178"/>
      <c r="E57" s="178"/>
      <c r="F57" s="178"/>
      <c r="G57" s="178"/>
      <c r="H57" s="178"/>
      <c r="I57" s="178"/>
      <c r="J57" s="1059"/>
      <c r="K57" s="1521">
        <f t="shared" si="1"/>
        <v>0</v>
      </c>
      <c r="L57" s="1521"/>
      <c r="M57" s="1035" t="str">
        <f t="shared" si="3"/>
        <v/>
      </c>
      <c r="N57" s="1406">
        <f>IF($E$28&gt;39,$F$28,0)</f>
        <v>0</v>
      </c>
      <c r="O57" s="1406"/>
      <c r="P57" s="1666"/>
      <c r="Q57" s="1657"/>
      <c r="R57" s="1020"/>
      <c r="S57" s="1020"/>
      <c r="T57" s="1405" t="s">
        <v>1148</v>
      </c>
      <c r="U57" s="1405"/>
      <c r="V57" s="1020"/>
      <c r="W57" s="1035">
        <f t="shared" si="4"/>
        <v>47123</v>
      </c>
      <c r="X57" s="1020"/>
      <c r="Y57" s="1020"/>
      <c r="Z57" s="1020"/>
      <c r="AA57" s="1020"/>
      <c r="AB57" s="1020"/>
      <c r="AC57" s="1020"/>
      <c r="AD57" s="1020"/>
      <c r="AE57" s="1020"/>
      <c r="AF57" s="1020"/>
      <c r="AG57" s="1020"/>
      <c r="AH57" s="1020"/>
      <c r="AI57" s="1020"/>
      <c r="AJ57" s="1020"/>
      <c r="AK57" s="1020"/>
      <c r="AL57" s="1020"/>
      <c r="AM57" s="1020"/>
      <c r="AN57" s="1020"/>
      <c r="AO57" s="1020"/>
      <c r="AP57" s="1020"/>
      <c r="AQ57" s="1020"/>
      <c r="AR57" s="1020"/>
      <c r="AS57" s="1020"/>
      <c r="AT57" s="1020"/>
      <c r="AU57" s="1020"/>
      <c r="AV57" s="1020"/>
      <c r="AW57" s="1020"/>
      <c r="AX57" s="1020"/>
    </row>
    <row r="58" spans="1:50" ht="12.75" customHeight="1">
      <c r="A58" s="1024"/>
      <c r="B58" s="1402" t="s">
        <v>1149</v>
      </c>
      <c r="C58" s="1402"/>
      <c r="D58" s="1402" t="s">
        <v>991</v>
      </c>
      <c r="E58" s="1402"/>
      <c r="F58" s="1402"/>
      <c r="G58" s="1402" t="s">
        <v>1150</v>
      </c>
      <c r="H58" s="1402"/>
      <c r="I58" s="1402"/>
      <c r="J58" s="1059"/>
      <c r="K58" s="1521">
        <f t="shared" si="1"/>
        <v>0</v>
      </c>
      <c r="L58" s="1521"/>
      <c r="M58" s="1035" t="str">
        <f t="shared" si="3"/>
        <v/>
      </c>
      <c r="N58" s="1406">
        <f>IF($E$28&gt;40,$F$28,0)</f>
        <v>0</v>
      </c>
      <c r="O58" s="1406"/>
      <c r="P58" s="1666"/>
      <c r="Q58" s="1657"/>
      <c r="R58" s="1020"/>
      <c r="S58" s="1020"/>
      <c r="T58" s="1405" t="s">
        <v>1151</v>
      </c>
      <c r="U58" s="1405"/>
      <c r="V58" s="1020"/>
      <c r="W58" s="1035">
        <f t="shared" si="4"/>
        <v>47154</v>
      </c>
      <c r="X58" s="1020"/>
      <c r="Y58" s="1020"/>
      <c r="Z58" s="1020"/>
      <c r="AA58" s="1020"/>
      <c r="AB58" s="1020"/>
      <c r="AC58" s="1020"/>
      <c r="AD58" s="1020"/>
      <c r="AE58" s="1020"/>
      <c r="AF58" s="1020"/>
      <c r="AG58" s="1020"/>
      <c r="AH58" s="1020"/>
      <c r="AI58" s="1020"/>
      <c r="AJ58" s="1020"/>
      <c r="AK58" s="1020"/>
      <c r="AL58" s="1020"/>
      <c r="AM58" s="1020"/>
      <c r="AN58" s="1020"/>
      <c r="AO58" s="1020"/>
      <c r="AP58" s="1020"/>
      <c r="AQ58" s="1020"/>
      <c r="AR58" s="1020"/>
      <c r="AS58" s="1020"/>
      <c r="AT58" s="1020"/>
      <c r="AU58" s="1020"/>
      <c r="AV58" s="1020"/>
      <c r="AW58" s="1020"/>
      <c r="AX58" s="1020"/>
    </row>
    <row r="59" spans="1:50" ht="12.6">
      <c r="A59" s="1024"/>
      <c r="B59" s="1429">
        <f>FORM!O19</f>
        <v>0</v>
      </c>
      <c r="C59" s="1430"/>
      <c r="D59" s="1429">
        <f>FORM!S19</f>
        <v>0</v>
      </c>
      <c r="E59" s="1433"/>
      <c r="F59" s="1430"/>
      <c r="G59" s="1435">
        <f>FORM!V19</f>
        <v>0</v>
      </c>
      <c r="H59" s="1436"/>
      <c r="I59" s="1437"/>
      <c r="J59" s="1059"/>
      <c r="K59" s="1521">
        <f t="shared" si="1"/>
        <v>0</v>
      </c>
      <c r="L59" s="1521"/>
      <c r="M59" s="1035" t="str">
        <f t="shared" si="3"/>
        <v/>
      </c>
      <c r="N59" s="1406">
        <f>IF($E$28&gt;41,$F$28,0)</f>
        <v>0</v>
      </c>
      <c r="O59" s="1406"/>
      <c r="P59" s="1666"/>
      <c r="Q59" s="1657"/>
      <c r="R59" s="1020"/>
      <c r="S59" s="1020"/>
      <c r="T59" s="1405" t="s">
        <v>1152</v>
      </c>
      <c r="U59" s="1405"/>
      <c r="V59" s="1020"/>
      <c r="W59" s="1035">
        <f t="shared" si="4"/>
        <v>47182</v>
      </c>
      <c r="X59" s="1020"/>
      <c r="Y59" s="1020"/>
      <c r="Z59" s="1020"/>
      <c r="AA59" s="1020"/>
      <c r="AB59" s="1020"/>
      <c r="AC59" s="1020"/>
      <c r="AD59" s="1020"/>
      <c r="AE59" s="1020"/>
      <c r="AF59" s="1020"/>
      <c r="AG59" s="1020"/>
      <c r="AH59" s="1020"/>
      <c r="AI59" s="1020"/>
      <c r="AJ59" s="1020"/>
      <c r="AK59" s="1020"/>
      <c r="AL59" s="1020"/>
      <c r="AM59" s="1020"/>
      <c r="AN59" s="1020"/>
      <c r="AO59" s="1020"/>
      <c r="AP59" s="1020"/>
      <c r="AQ59" s="1020"/>
      <c r="AR59" s="1020"/>
      <c r="AS59" s="1020"/>
      <c r="AT59" s="1020"/>
      <c r="AU59" s="1020"/>
      <c r="AV59" s="1020"/>
      <c r="AW59" s="1020"/>
      <c r="AX59" s="1020"/>
    </row>
    <row r="60" spans="1:50" ht="12.6">
      <c r="A60" s="1024"/>
      <c r="B60" s="1431"/>
      <c r="C60" s="1432"/>
      <c r="D60" s="1431"/>
      <c r="E60" s="1434"/>
      <c r="F60" s="1432"/>
      <c r="G60" s="1438"/>
      <c r="H60" s="1439"/>
      <c r="I60" s="1440"/>
      <c r="J60" s="1059"/>
      <c r="K60" s="1521">
        <f t="shared" si="1"/>
        <v>0</v>
      </c>
      <c r="L60" s="1521"/>
      <c r="M60" s="1035" t="str">
        <f t="shared" si="3"/>
        <v/>
      </c>
      <c r="N60" s="1406">
        <f>IF($E$28&gt;42,$F$28,0)</f>
        <v>0</v>
      </c>
      <c r="O60" s="1406"/>
      <c r="P60" s="1666"/>
      <c r="Q60" s="1657"/>
      <c r="R60" s="1020"/>
      <c r="S60" s="1020"/>
      <c r="T60" s="1405" t="s">
        <v>1153</v>
      </c>
      <c r="U60" s="1405"/>
      <c r="V60" s="1020"/>
      <c r="W60" s="1035">
        <f t="shared" si="4"/>
        <v>47213</v>
      </c>
      <c r="X60" s="1020"/>
      <c r="Y60" s="1020"/>
      <c r="Z60" s="1020"/>
      <c r="AA60" s="1020"/>
      <c r="AB60" s="1020"/>
      <c r="AC60" s="1020"/>
      <c r="AD60" s="1020"/>
      <c r="AE60" s="1020"/>
      <c r="AF60" s="1020"/>
      <c r="AG60" s="1020"/>
      <c r="AH60" s="1020"/>
      <c r="AI60" s="1020"/>
      <c r="AJ60" s="1020"/>
      <c r="AK60" s="1020"/>
      <c r="AL60" s="1020"/>
      <c r="AM60" s="1020"/>
      <c r="AN60" s="1020"/>
      <c r="AO60" s="1020"/>
      <c r="AP60" s="1020"/>
      <c r="AQ60" s="1020"/>
      <c r="AR60" s="1020"/>
      <c r="AS60" s="1020"/>
      <c r="AT60" s="1020"/>
      <c r="AU60" s="1020"/>
      <c r="AV60" s="1020"/>
      <c r="AW60" s="1020"/>
      <c r="AX60" s="1020"/>
    </row>
    <row r="61" spans="1:50" ht="12.6">
      <c r="A61" s="1024"/>
      <c r="B61" s="1429">
        <f>FORM!O21</f>
        <v>0</v>
      </c>
      <c r="C61" s="1430"/>
      <c r="D61" s="1429">
        <f>FORM!S21</f>
        <v>0</v>
      </c>
      <c r="E61" s="1433"/>
      <c r="F61" s="1430"/>
      <c r="G61" s="1435">
        <f>FORM!V21</f>
        <v>0</v>
      </c>
      <c r="H61" s="1436"/>
      <c r="I61" s="1437"/>
      <c r="J61" s="1059"/>
      <c r="K61" s="1521">
        <f>IF(N61&gt;1,T61,0)</f>
        <v>0</v>
      </c>
      <c r="L61" s="1521"/>
      <c r="M61" s="1035" t="str">
        <f t="shared" si="3"/>
        <v/>
      </c>
      <c r="N61" s="1406">
        <f>IF($E$28&gt;43,$F$28,0)</f>
        <v>0</v>
      </c>
      <c r="O61" s="1406"/>
      <c r="P61" s="1666"/>
      <c r="Q61" s="1657"/>
      <c r="R61" s="1020"/>
      <c r="S61" s="1020"/>
      <c r="T61" s="1405" t="s">
        <v>1154</v>
      </c>
      <c r="U61" s="1405"/>
      <c r="V61" s="1020"/>
      <c r="W61" s="1035">
        <f t="shared" si="4"/>
        <v>47243</v>
      </c>
      <c r="X61" s="1020"/>
      <c r="Y61" s="1020"/>
      <c r="Z61" s="1020"/>
      <c r="AA61" s="1020"/>
      <c r="AB61" s="1020"/>
      <c r="AC61" s="1020"/>
      <c r="AD61" s="1020"/>
      <c r="AE61" s="1020"/>
      <c r="AF61" s="1020"/>
      <c r="AG61" s="1020"/>
      <c r="AH61" s="1020"/>
      <c r="AI61" s="1020"/>
      <c r="AJ61" s="1020"/>
      <c r="AK61" s="1020"/>
      <c r="AL61" s="1020"/>
      <c r="AM61" s="1020"/>
      <c r="AN61" s="1020"/>
      <c r="AO61" s="1020"/>
      <c r="AP61" s="1020"/>
      <c r="AQ61" s="1020"/>
      <c r="AR61" s="1020"/>
      <c r="AS61" s="1020"/>
      <c r="AT61" s="1020"/>
      <c r="AU61" s="1020"/>
      <c r="AV61" s="1020"/>
      <c r="AW61" s="1020"/>
      <c r="AX61" s="1020"/>
    </row>
    <row r="62" spans="1:50" ht="12.6">
      <c r="A62" s="1024"/>
      <c r="B62" s="1431"/>
      <c r="C62" s="1432"/>
      <c r="D62" s="1431"/>
      <c r="E62" s="1434"/>
      <c r="F62" s="1432"/>
      <c r="G62" s="1438"/>
      <c r="H62" s="1439"/>
      <c r="I62" s="1440"/>
      <c r="J62" s="1059"/>
      <c r="K62" s="1521">
        <f>IF(N62&gt;1,T62,0)</f>
        <v>0</v>
      </c>
      <c r="L62" s="1521"/>
      <c r="M62" s="1035" t="str">
        <f t="shared" si="3"/>
        <v/>
      </c>
      <c r="N62" s="1406">
        <f>IF($E$28&gt;44,$F$28,0)</f>
        <v>0</v>
      </c>
      <c r="O62" s="1406"/>
      <c r="P62" s="1666"/>
      <c r="Q62" s="1657"/>
      <c r="R62" s="1020"/>
      <c r="S62" s="1020"/>
      <c r="T62" s="1405" t="s">
        <v>1155</v>
      </c>
      <c r="U62" s="1405"/>
      <c r="V62" s="1020"/>
      <c r="W62" s="1035">
        <f>IF(AND(DAY(W61)&gt;=6,DAY(W61)&lt;=20),DATE(YEAR(W61),MONTH(W61)+1,DAY(20)),IF(AND(DAY(W61)&gt;=21,DAY(W61)&lt;=30),DATE(YEAR(W61),MONTH(W61)+1,IF(DAY(EOMONTH(W61,1))&lt;30,DAY(EOMONTH(W61,1)),DAY(30))),DATE(YEAR(W61),MONTH(W61)+1,DAY(5))))</f>
        <v>47274</v>
      </c>
      <c r="X62" s="1020"/>
      <c r="Y62" s="1020"/>
      <c r="Z62" s="1020"/>
      <c r="AA62" s="1020"/>
      <c r="AB62" s="1020"/>
      <c r="AC62" s="1020"/>
      <c r="AD62" s="1020"/>
      <c r="AE62" s="1020"/>
      <c r="AF62" s="1020"/>
      <c r="AG62" s="1020"/>
      <c r="AH62" s="1020"/>
      <c r="AI62" s="1020"/>
      <c r="AJ62" s="1020"/>
      <c r="AK62" s="1020"/>
      <c r="AL62" s="1020"/>
      <c r="AM62" s="1020"/>
      <c r="AN62" s="1020"/>
      <c r="AO62" s="1020"/>
      <c r="AP62" s="1020"/>
      <c r="AQ62" s="1020"/>
      <c r="AR62" s="1020"/>
      <c r="AS62" s="1020"/>
      <c r="AT62" s="1020"/>
      <c r="AU62" s="1020"/>
      <c r="AV62" s="1020"/>
      <c r="AW62" s="1020"/>
      <c r="AX62" s="1020"/>
    </row>
    <row r="63" spans="1:50" ht="12.6">
      <c r="A63" s="1024"/>
      <c r="B63" s="1429">
        <f>FORM!O25</f>
        <v>0</v>
      </c>
      <c r="C63" s="1430"/>
      <c r="D63" s="1429">
        <f>FORM!S25</f>
        <v>0</v>
      </c>
      <c r="E63" s="1433"/>
      <c r="F63" s="1430"/>
      <c r="G63" s="1435">
        <f>FORM!V25</f>
        <v>0</v>
      </c>
      <c r="H63" s="1436"/>
      <c r="I63" s="1437"/>
      <c r="J63" s="1059"/>
      <c r="K63" s="1666">
        <f>IF(N63&gt;1,T63,0)</f>
        <v>0</v>
      </c>
      <c r="L63" s="1657"/>
      <c r="M63" s="1035" t="str">
        <f t="shared" si="3"/>
        <v/>
      </c>
      <c r="N63" s="1406">
        <f>IF($E$28&gt;45,$F$28,0)</f>
        <v>0</v>
      </c>
      <c r="O63" s="1406"/>
      <c r="P63" s="1666"/>
      <c r="Q63" s="1657"/>
      <c r="R63" s="1020"/>
      <c r="S63" s="1020"/>
      <c r="T63" s="1405" t="s">
        <v>1156</v>
      </c>
      <c r="U63" s="1405"/>
      <c r="V63" s="1020"/>
      <c r="W63" s="1035">
        <f t="shared" ref="W63:W72" si="9">IF(AND(DAY(W62)&gt;=6,DAY(W62)&lt;=20),DATE(YEAR(W62),MONTH(W62)+1,DAY(20)),IF(AND(DAY(W62)&gt;=21,DAY(W62)&lt;=30),DATE(YEAR(W62),MONTH(W62)+1,IF(DAY(EOMONTH(W62,1))&lt;30,DAY(EOMONTH(W62,1)),DAY(30))),DATE(YEAR(W62),MONTH(W62)+1,DAY(5))))</f>
        <v>47304</v>
      </c>
      <c r="X63" s="1020"/>
      <c r="Y63" s="1020"/>
      <c r="Z63" s="1020"/>
      <c r="AA63" s="1020"/>
      <c r="AB63" s="1020"/>
      <c r="AC63" s="1020"/>
      <c r="AD63" s="1020"/>
      <c r="AE63" s="1020"/>
      <c r="AF63" s="1020"/>
      <c r="AG63" s="1020"/>
      <c r="AH63" s="1020"/>
      <c r="AI63" s="1020"/>
      <c r="AJ63" s="1020"/>
      <c r="AK63" s="1020"/>
      <c r="AL63" s="1020"/>
      <c r="AM63" s="1020"/>
      <c r="AN63" s="1020"/>
      <c r="AO63" s="1020"/>
      <c r="AP63" s="1020"/>
      <c r="AQ63" s="1020"/>
      <c r="AR63" s="1020"/>
      <c r="AS63" s="1020"/>
      <c r="AT63" s="1020"/>
      <c r="AU63" s="1020"/>
      <c r="AV63" s="1020"/>
      <c r="AW63" s="1020"/>
      <c r="AX63" s="1020"/>
    </row>
    <row r="64" spans="1:50" ht="12.6">
      <c r="A64" s="1024"/>
      <c r="B64" s="1431"/>
      <c r="C64" s="1432"/>
      <c r="D64" s="1431"/>
      <c r="E64" s="1434"/>
      <c r="F64" s="1432"/>
      <c r="G64" s="1438"/>
      <c r="H64" s="1439"/>
      <c r="I64" s="1440"/>
      <c r="J64" s="1059"/>
      <c r="K64" s="1666">
        <f t="shared" ref="K64:K68" si="10">IF(N64&gt;1,T64,0)</f>
        <v>0</v>
      </c>
      <c r="L64" s="1657"/>
      <c r="M64" s="1035" t="str">
        <f t="shared" si="3"/>
        <v/>
      </c>
      <c r="N64" s="1406">
        <f>IF($E$28&gt;46,$F$28,0)</f>
        <v>0</v>
      </c>
      <c r="O64" s="1406"/>
      <c r="P64" s="1284"/>
      <c r="Q64" s="1285"/>
      <c r="R64" s="1020"/>
      <c r="S64" s="1020"/>
      <c r="T64" s="1405" t="s">
        <v>1157</v>
      </c>
      <c r="U64" s="1405"/>
      <c r="V64" s="1020"/>
      <c r="W64" s="1035">
        <f t="shared" si="9"/>
        <v>47335</v>
      </c>
      <c r="X64" s="1020"/>
      <c r="Y64" s="1020"/>
      <c r="Z64" s="1020"/>
      <c r="AA64" s="1020"/>
      <c r="AB64" s="1020"/>
      <c r="AC64" s="1020"/>
      <c r="AD64" s="1020"/>
      <c r="AE64" s="1020"/>
      <c r="AF64" s="1020"/>
      <c r="AG64" s="1020"/>
      <c r="AH64" s="1020"/>
      <c r="AI64" s="1020"/>
      <c r="AJ64" s="1020"/>
      <c r="AK64" s="1020"/>
      <c r="AL64" s="1020"/>
      <c r="AM64" s="1020"/>
      <c r="AN64" s="1020"/>
      <c r="AO64" s="1020"/>
      <c r="AP64" s="1020"/>
      <c r="AQ64" s="1020"/>
      <c r="AR64" s="1020"/>
      <c r="AS64" s="1020"/>
      <c r="AT64" s="1020"/>
      <c r="AU64" s="1020"/>
      <c r="AV64" s="1020"/>
      <c r="AW64" s="1020"/>
      <c r="AX64" s="1020"/>
    </row>
    <row r="65" spans="1:50" ht="12.6">
      <c r="A65" s="1024"/>
      <c r="B65" s="1429">
        <f>FORM!O27</f>
        <v>0</v>
      </c>
      <c r="C65" s="1430"/>
      <c r="D65" s="1429">
        <f>FORM!S27</f>
        <v>0</v>
      </c>
      <c r="E65" s="1433"/>
      <c r="F65" s="1430"/>
      <c r="G65" s="1435">
        <f>FORM!V27</f>
        <v>0</v>
      </c>
      <c r="H65" s="1436"/>
      <c r="I65" s="1437"/>
      <c r="J65" s="1059"/>
      <c r="K65" s="1666">
        <f t="shared" si="10"/>
        <v>0</v>
      </c>
      <c r="L65" s="1657"/>
      <c r="M65" s="1035" t="str">
        <f t="shared" si="3"/>
        <v/>
      </c>
      <c r="N65" s="1406">
        <f>IF($E$28&gt;47,$F$28,0)</f>
        <v>0</v>
      </c>
      <c r="O65" s="1406"/>
      <c r="P65" s="1284"/>
      <c r="Q65" s="1285"/>
      <c r="R65" s="1020"/>
      <c r="S65" s="1020"/>
      <c r="T65" s="1405" t="s">
        <v>1158</v>
      </c>
      <c r="U65" s="1405"/>
      <c r="V65" s="1020"/>
      <c r="W65" s="1035">
        <f t="shared" si="9"/>
        <v>47366</v>
      </c>
      <c r="X65" s="1020"/>
      <c r="Y65" s="1020"/>
      <c r="Z65" s="1020"/>
      <c r="AA65" s="1020"/>
      <c r="AB65" s="1020"/>
      <c r="AC65" s="1020"/>
      <c r="AD65" s="1020"/>
      <c r="AE65" s="1020"/>
      <c r="AF65" s="1020"/>
      <c r="AG65" s="1020"/>
      <c r="AH65" s="1020"/>
      <c r="AI65" s="1020"/>
      <c r="AJ65" s="1020"/>
      <c r="AK65" s="1020"/>
      <c r="AL65" s="1020"/>
      <c r="AM65" s="1020"/>
      <c r="AN65" s="1020"/>
      <c r="AO65" s="1020"/>
      <c r="AP65" s="1020"/>
      <c r="AQ65" s="1020"/>
      <c r="AR65" s="1020"/>
      <c r="AS65" s="1020"/>
      <c r="AT65" s="1020"/>
      <c r="AU65" s="1020"/>
      <c r="AV65" s="1020"/>
      <c r="AW65" s="1020"/>
      <c r="AX65" s="1020"/>
    </row>
    <row r="66" spans="1:50" ht="12.6">
      <c r="A66" s="1024"/>
      <c r="B66" s="1431"/>
      <c r="C66" s="1432"/>
      <c r="D66" s="1431"/>
      <c r="E66" s="1434"/>
      <c r="F66" s="1432"/>
      <c r="G66" s="1438"/>
      <c r="H66" s="1439"/>
      <c r="I66" s="1440"/>
      <c r="J66" s="1059"/>
      <c r="K66" s="1666">
        <f t="shared" si="10"/>
        <v>0</v>
      </c>
      <c r="L66" s="1657"/>
      <c r="M66" s="1035" t="str">
        <f t="shared" si="3"/>
        <v/>
      </c>
      <c r="N66" s="1406">
        <f>IF($E$28&gt;48,$F$28,0)</f>
        <v>0</v>
      </c>
      <c r="O66" s="1406"/>
      <c r="P66" s="1284"/>
      <c r="Q66" s="1285"/>
      <c r="R66" s="1020"/>
      <c r="S66" s="1020"/>
      <c r="T66" s="1405" t="s">
        <v>1159</v>
      </c>
      <c r="U66" s="1405"/>
      <c r="V66" s="1020"/>
      <c r="W66" s="1035">
        <f t="shared" si="9"/>
        <v>47396</v>
      </c>
      <c r="X66" s="1020"/>
      <c r="Y66" s="1020"/>
      <c r="Z66" s="1020"/>
      <c r="AA66" s="1020"/>
      <c r="AB66" s="1020"/>
      <c r="AC66" s="1020"/>
      <c r="AD66" s="1020"/>
      <c r="AE66" s="1020"/>
      <c r="AF66" s="1020"/>
      <c r="AG66" s="1020"/>
      <c r="AH66" s="1020"/>
      <c r="AI66" s="1020"/>
      <c r="AJ66" s="1020"/>
      <c r="AK66" s="1020"/>
      <c r="AL66" s="1020"/>
      <c r="AM66" s="1020"/>
      <c r="AN66" s="1020"/>
      <c r="AO66" s="1020"/>
      <c r="AP66" s="1020"/>
      <c r="AQ66" s="1020"/>
      <c r="AR66" s="1020"/>
      <c r="AS66" s="1020"/>
      <c r="AT66" s="1020"/>
      <c r="AU66" s="1020"/>
      <c r="AV66" s="1020"/>
      <c r="AW66" s="1020"/>
      <c r="AX66" s="1020"/>
    </row>
    <row r="67" spans="1:50" ht="12" customHeight="1">
      <c r="A67" s="1024"/>
      <c r="B67" s="1429">
        <f>FORM!O31</f>
        <v>0</v>
      </c>
      <c r="C67" s="1430"/>
      <c r="D67" s="1429">
        <f>FORM!S31</f>
        <v>0</v>
      </c>
      <c r="E67" s="1433"/>
      <c r="F67" s="1430"/>
      <c r="G67" s="1435">
        <f>FORM!V31</f>
        <v>0</v>
      </c>
      <c r="H67" s="1436"/>
      <c r="I67" s="1437"/>
      <c r="J67" s="1059"/>
      <c r="K67" s="1666">
        <f t="shared" si="10"/>
        <v>0</v>
      </c>
      <c r="L67" s="1657"/>
      <c r="M67" s="1035" t="str">
        <f t="shared" si="3"/>
        <v/>
      </c>
      <c r="N67" s="1406">
        <f>IF($E$28&gt;49,$F$28,0)</f>
        <v>0</v>
      </c>
      <c r="O67" s="1406"/>
      <c r="P67" s="1284"/>
      <c r="Q67" s="1285"/>
      <c r="R67" s="1020"/>
      <c r="S67" s="1020"/>
      <c r="T67" s="1405" t="s">
        <v>1160</v>
      </c>
      <c r="U67" s="1405"/>
      <c r="V67" s="1020"/>
      <c r="W67" s="1035">
        <f t="shared" si="9"/>
        <v>47427</v>
      </c>
      <c r="X67" s="1020"/>
      <c r="Y67" s="1020"/>
      <c r="Z67" s="1020"/>
      <c r="AA67" s="1020"/>
      <c r="AB67" s="1020"/>
      <c r="AC67" s="1020"/>
      <c r="AD67" s="1020"/>
      <c r="AE67" s="1020"/>
      <c r="AF67" s="1020"/>
      <c r="AG67" s="1020"/>
      <c r="AH67" s="1020"/>
      <c r="AI67" s="1020"/>
      <c r="AJ67" s="1020"/>
      <c r="AK67" s="1020"/>
      <c r="AL67" s="1020"/>
      <c r="AM67" s="1020"/>
      <c r="AN67" s="1020"/>
      <c r="AO67" s="1020"/>
      <c r="AP67" s="1020"/>
      <c r="AQ67" s="1020"/>
      <c r="AR67" s="1020"/>
      <c r="AS67" s="1020"/>
      <c r="AT67" s="1020"/>
      <c r="AU67" s="1020"/>
      <c r="AV67" s="1020"/>
      <c r="AW67" s="1020"/>
      <c r="AX67" s="1020"/>
    </row>
    <row r="68" spans="1:50" ht="12" customHeight="1">
      <c r="A68" s="1024"/>
      <c r="B68" s="1431"/>
      <c r="C68" s="1432"/>
      <c r="D68" s="1431"/>
      <c r="E68" s="1434"/>
      <c r="F68" s="1432"/>
      <c r="G68" s="1438"/>
      <c r="H68" s="1439"/>
      <c r="I68" s="1440"/>
      <c r="J68" s="1059"/>
      <c r="K68" s="1666">
        <f t="shared" si="10"/>
        <v>0</v>
      </c>
      <c r="L68" s="1657"/>
      <c r="M68" s="1035" t="str">
        <f t="shared" si="3"/>
        <v/>
      </c>
      <c r="N68" s="1406">
        <f>IF($E$28&gt;50,$F$28,0)</f>
        <v>0</v>
      </c>
      <c r="O68" s="1406"/>
      <c r="P68" s="1284"/>
      <c r="Q68" s="1285"/>
      <c r="R68" s="1020"/>
      <c r="S68" s="1020"/>
      <c r="T68" s="1405" t="s">
        <v>1161</v>
      </c>
      <c r="U68" s="1405"/>
      <c r="V68" s="1020"/>
      <c r="W68" s="1035">
        <f t="shared" si="9"/>
        <v>47457</v>
      </c>
      <c r="X68" s="1020"/>
      <c r="Y68" s="1020"/>
      <c r="Z68" s="1020"/>
      <c r="AA68" s="1020"/>
      <c r="AB68" s="1020"/>
      <c r="AC68" s="1020"/>
      <c r="AD68" s="1020"/>
      <c r="AE68" s="1020"/>
      <c r="AF68" s="1020"/>
      <c r="AG68" s="1020"/>
      <c r="AH68" s="1020"/>
      <c r="AI68" s="1020"/>
      <c r="AJ68" s="1020"/>
      <c r="AK68" s="1020"/>
      <c r="AL68" s="1020"/>
      <c r="AM68" s="1020"/>
      <c r="AN68" s="1020"/>
      <c r="AO68" s="1020"/>
      <c r="AP68" s="1020"/>
      <c r="AQ68" s="1020"/>
      <c r="AR68" s="1020"/>
      <c r="AS68" s="1020"/>
      <c r="AT68" s="1020"/>
      <c r="AU68" s="1020"/>
      <c r="AV68" s="1020"/>
      <c r="AW68" s="1020"/>
      <c r="AX68" s="1020"/>
    </row>
    <row r="69" spans="1:50" ht="12" customHeight="1">
      <c r="A69" s="1024"/>
      <c r="B69" s="1429">
        <f>FORM!O33</f>
        <v>0</v>
      </c>
      <c r="C69" s="1430"/>
      <c r="D69" s="1429">
        <f>FORM!S33</f>
        <v>0</v>
      </c>
      <c r="E69" s="1433"/>
      <c r="F69" s="1430"/>
      <c r="G69" s="1435">
        <f>FORM!V33</f>
        <v>0</v>
      </c>
      <c r="H69" s="1436"/>
      <c r="I69" s="1437"/>
      <c r="J69" s="1059"/>
      <c r="K69" s="1666">
        <f t="shared" ref="K69:K70" si="11">IF(N69&gt;1,T69,0)</f>
        <v>0</v>
      </c>
      <c r="L69" s="1657"/>
      <c r="M69" s="1035" t="str">
        <f t="shared" si="3"/>
        <v/>
      </c>
      <c r="N69" s="1406">
        <f>IF($E$28&gt;51,$F$28,0)</f>
        <v>0</v>
      </c>
      <c r="O69" s="1406"/>
      <c r="P69" s="1284"/>
      <c r="Q69" s="1285"/>
      <c r="R69" s="1020"/>
      <c r="S69" s="1020"/>
      <c r="T69" s="1405" t="s">
        <v>1162</v>
      </c>
      <c r="U69" s="1405"/>
      <c r="V69" s="1020"/>
      <c r="W69" s="1035">
        <f t="shared" si="9"/>
        <v>47488</v>
      </c>
      <c r="X69" s="1020"/>
      <c r="Y69" s="1020"/>
      <c r="Z69" s="1020"/>
      <c r="AA69" s="1020"/>
      <c r="AB69" s="1020"/>
      <c r="AC69" s="1020"/>
      <c r="AD69" s="1020"/>
      <c r="AE69" s="1020"/>
      <c r="AF69" s="1020"/>
      <c r="AG69" s="1020"/>
      <c r="AH69" s="1020"/>
      <c r="AI69" s="1020"/>
      <c r="AJ69" s="1020"/>
      <c r="AK69" s="1020"/>
      <c r="AL69" s="1020"/>
      <c r="AM69" s="1020"/>
      <c r="AN69" s="1020"/>
      <c r="AO69" s="1020"/>
      <c r="AP69" s="1020"/>
      <c r="AQ69" s="1020"/>
      <c r="AR69" s="1020"/>
      <c r="AS69" s="1020"/>
      <c r="AT69" s="1020"/>
      <c r="AU69" s="1020"/>
      <c r="AV69" s="1020"/>
      <c r="AW69" s="1020"/>
      <c r="AX69" s="1020"/>
    </row>
    <row r="70" spans="1:50" ht="12" customHeight="1">
      <c r="A70" s="1024"/>
      <c r="B70" s="1431"/>
      <c r="C70" s="1432"/>
      <c r="D70" s="1431"/>
      <c r="E70" s="1434"/>
      <c r="F70" s="1432"/>
      <c r="G70" s="1438"/>
      <c r="H70" s="1439"/>
      <c r="I70" s="1440"/>
      <c r="J70" s="1059"/>
      <c r="K70" s="1666">
        <f t="shared" si="11"/>
        <v>0</v>
      </c>
      <c r="L70" s="1657"/>
      <c r="M70" s="1035" t="str">
        <f t="shared" si="3"/>
        <v/>
      </c>
      <c r="N70" s="1406">
        <f>IF($E$28&gt;52,$F$28,0)</f>
        <v>0</v>
      </c>
      <c r="O70" s="1406"/>
      <c r="P70" s="1284"/>
      <c r="Q70" s="1285"/>
      <c r="R70" s="1020"/>
      <c r="S70" s="1020"/>
      <c r="T70" s="1405" t="s">
        <v>1163</v>
      </c>
      <c r="U70" s="1405"/>
      <c r="V70" s="1020"/>
      <c r="W70" s="1035">
        <f t="shared" si="9"/>
        <v>47519</v>
      </c>
      <c r="X70" s="1020"/>
      <c r="Y70" s="1020"/>
      <c r="Z70" s="1020"/>
      <c r="AA70" s="1020"/>
      <c r="AB70" s="1020"/>
      <c r="AC70" s="1020"/>
      <c r="AD70" s="1020"/>
      <c r="AE70" s="1020"/>
      <c r="AF70" s="1020"/>
      <c r="AG70" s="1020"/>
      <c r="AH70" s="1020"/>
      <c r="AI70" s="1020"/>
      <c r="AJ70" s="1020"/>
      <c r="AK70" s="1020"/>
      <c r="AL70" s="1020"/>
      <c r="AM70" s="1020"/>
      <c r="AN70" s="1020"/>
      <c r="AO70" s="1020"/>
      <c r="AP70" s="1020"/>
      <c r="AQ70" s="1020"/>
      <c r="AR70" s="1020"/>
      <c r="AS70" s="1020"/>
      <c r="AT70" s="1020"/>
      <c r="AU70" s="1020"/>
      <c r="AV70" s="1020"/>
      <c r="AW70" s="1020"/>
      <c r="AX70" s="1020"/>
    </row>
    <row r="71" spans="1:50" ht="12" customHeight="1">
      <c r="A71" s="1024"/>
      <c r="B71" s="161"/>
      <c r="C71" s="1024"/>
      <c r="D71" s="1024" t="s">
        <v>60</v>
      </c>
      <c r="E71" s="1024"/>
      <c r="F71" s="1024"/>
      <c r="G71" s="1024"/>
      <c r="H71" s="1024"/>
      <c r="I71" s="1024"/>
      <c r="J71" s="1059"/>
      <c r="K71" s="1666">
        <f t="shared" ref="K71:K72" si="12">IF(N71&gt;1,T71,0)</f>
        <v>0</v>
      </c>
      <c r="L71" s="1657"/>
      <c r="M71" s="1035" t="str">
        <f t="shared" si="3"/>
        <v/>
      </c>
      <c r="N71" s="1406">
        <f>IF($E$28&gt;53,$F$28,0)</f>
        <v>0</v>
      </c>
      <c r="O71" s="1406"/>
      <c r="P71" s="1284"/>
      <c r="Q71" s="1285"/>
      <c r="R71" s="1020"/>
      <c r="S71" s="1020"/>
      <c r="T71" s="1405" t="s">
        <v>1164</v>
      </c>
      <c r="U71" s="1405"/>
      <c r="V71" s="1020"/>
      <c r="W71" s="1035">
        <f t="shared" si="9"/>
        <v>47547</v>
      </c>
      <c r="X71" s="1020"/>
      <c r="Y71" s="1020"/>
      <c r="Z71" s="1020"/>
      <c r="AA71" s="1020"/>
      <c r="AB71" s="1020"/>
      <c r="AC71" s="1020"/>
      <c r="AD71" s="1020"/>
      <c r="AE71" s="1020"/>
      <c r="AF71" s="1020"/>
      <c r="AG71" s="1020"/>
      <c r="AH71" s="1020"/>
      <c r="AI71" s="1020"/>
      <c r="AJ71" s="1020"/>
      <c r="AK71" s="1020"/>
      <c r="AL71" s="1020"/>
      <c r="AM71" s="1020"/>
      <c r="AN71" s="1020"/>
      <c r="AO71" s="1020"/>
      <c r="AP71" s="1020"/>
      <c r="AQ71" s="1020"/>
      <c r="AR71" s="1020"/>
      <c r="AS71" s="1020"/>
      <c r="AT71" s="1020"/>
      <c r="AU71" s="1020"/>
      <c r="AV71" s="1020"/>
      <c r="AW71" s="1020"/>
      <c r="AX71" s="1020"/>
    </row>
    <row r="72" spans="1:50" ht="12" customHeight="1">
      <c r="A72" s="1024"/>
      <c r="B72" s="1020"/>
      <c r="C72" s="250" t="s">
        <v>1165</v>
      </c>
      <c r="D72" s="1670"/>
      <c r="E72" s="1670"/>
      <c r="F72" s="1670"/>
      <c r="G72" s="1024"/>
      <c r="H72" s="1024"/>
      <c r="I72" s="1024"/>
      <c r="J72" s="1059"/>
      <c r="K72" s="1666">
        <f t="shared" si="12"/>
        <v>0</v>
      </c>
      <c r="L72" s="1657"/>
      <c r="M72" s="1035" t="str">
        <f t="shared" si="3"/>
        <v/>
      </c>
      <c r="N72" s="1406">
        <f>IF($E$28&gt;54,$F$28,0)</f>
        <v>0</v>
      </c>
      <c r="O72" s="1406"/>
      <c r="P72" s="1284"/>
      <c r="Q72" s="1285"/>
      <c r="R72" s="1020"/>
      <c r="S72" s="1020"/>
      <c r="T72" s="1405" t="s">
        <v>1166</v>
      </c>
      <c r="U72" s="1405"/>
      <c r="V72" s="1020"/>
      <c r="W72" s="1035">
        <f t="shared" si="9"/>
        <v>47578</v>
      </c>
      <c r="X72" s="1020"/>
      <c r="Y72" s="1020"/>
      <c r="Z72" s="1020"/>
      <c r="AA72" s="1020"/>
      <c r="AB72" s="1020"/>
      <c r="AC72" s="1020"/>
      <c r="AD72" s="1020"/>
      <c r="AE72" s="1020"/>
      <c r="AF72" s="1020"/>
      <c r="AG72" s="1020"/>
      <c r="AH72" s="1020"/>
      <c r="AI72" s="1020"/>
      <c r="AJ72" s="1020"/>
      <c r="AK72" s="1020"/>
      <c r="AL72" s="1020"/>
      <c r="AM72" s="1020"/>
      <c r="AN72" s="1020"/>
      <c r="AO72" s="1020"/>
      <c r="AP72" s="1020"/>
      <c r="AQ72" s="1020"/>
      <c r="AR72" s="1020"/>
      <c r="AS72" s="1020"/>
      <c r="AT72" s="1020"/>
      <c r="AU72" s="1020"/>
      <c r="AV72" s="1020"/>
      <c r="AW72" s="1020"/>
      <c r="AX72" s="1020"/>
    </row>
    <row r="73" spans="1:50" ht="12" customHeight="1">
      <c r="A73" s="1024"/>
      <c r="B73" s="250"/>
      <c r="C73" s="1024"/>
      <c r="D73" s="1065"/>
      <c r="E73" s="1065"/>
      <c r="F73" s="1024"/>
      <c r="G73" s="1024"/>
      <c r="H73" s="1024"/>
      <c r="I73" s="1024"/>
      <c r="J73" s="1059"/>
      <c r="K73" s="1411" t="s">
        <v>1167</v>
      </c>
      <c r="L73" s="1411"/>
      <c r="M73" s="251">
        <f>IF(DAY(W17)=31,Y19,AA19)</f>
        <v>46817</v>
      </c>
      <c r="N73" s="1412">
        <f>F30</f>
        <v>4067624.9898515767</v>
      </c>
      <c r="O73" s="1412"/>
      <c r="P73" s="1407"/>
      <c r="Q73" s="1408"/>
      <c r="R73" s="1020"/>
      <c r="S73" s="1020"/>
      <c r="T73" s="1036"/>
      <c r="U73" s="1036"/>
      <c r="V73" s="1020"/>
      <c r="W73" s="1020"/>
      <c r="X73" s="1020"/>
      <c r="Y73" s="1020"/>
      <c r="Z73" s="1020"/>
      <c r="AA73" s="1020"/>
      <c r="AB73" s="1020"/>
      <c r="AC73" s="1020"/>
      <c r="AD73" s="1020"/>
      <c r="AE73" s="1020"/>
      <c r="AF73" s="1020"/>
      <c r="AG73" s="1020"/>
      <c r="AH73" s="1020"/>
      <c r="AI73" s="1020"/>
      <c r="AJ73" s="1020"/>
      <c r="AK73" s="1020"/>
      <c r="AL73" s="1020"/>
      <c r="AM73" s="1020"/>
      <c r="AN73" s="1020"/>
      <c r="AO73" s="1020"/>
      <c r="AP73" s="1020"/>
      <c r="AQ73" s="1020"/>
      <c r="AR73" s="1020"/>
      <c r="AS73" s="1020"/>
      <c r="AT73" s="1020"/>
      <c r="AU73" s="1020"/>
      <c r="AV73" s="1020"/>
      <c r="AW73" s="1020"/>
      <c r="AX73" s="1020"/>
    </row>
    <row r="74" spans="1:50" ht="12" customHeight="1">
      <c r="A74" s="1024"/>
      <c r="B74" s="250"/>
      <c r="C74" s="1024"/>
      <c r="D74" s="1065"/>
      <c r="E74" s="1065"/>
      <c r="F74" s="1024"/>
      <c r="G74" s="1024"/>
      <c r="H74" s="1024"/>
      <c r="I74" s="1024"/>
      <c r="J74" s="1059"/>
      <c r="K74" s="1409"/>
      <c r="L74" s="1409"/>
      <c r="M74" s="252"/>
      <c r="N74" s="1410"/>
      <c r="O74" s="1410"/>
      <c r="P74" s="253"/>
      <c r="Q74" s="100"/>
      <c r="R74" s="1020"/>
      <c r="S74" s="1020"/>
      <c r="T74" s="1036"/>
      <c r="U74" s="1036"/>
      <c r="V74" s="1020"/>
      <c r="W74" s="1020"/>
      <c r="X74" s="1020"/>
      <c r="Y74" s="1020"/>
      <c r="Z74" s="1020"/>
      <c r="AA74" s="1020"/>
      <c r="AB74" s="1020"/>
      <c r="AC74" s="1020"/>
      <c r="AD74" s="1020"/>
      <c r="AE74" s="1020"/>
      <c r="AF74" s="1020"/>
      <c r="AG74" s="1020"/>
      <c r="AH74" s="1020"/>
      <c r="AI74" s="1020"/>
      <c r="AJ74" s="1020"/>
      <c r="AK74" s="1020"/>
      <c r="AL74" s="1020"/>
      <c r="AM74" s="1020"/>
      <c r="AN74" s="1020"/>
      <c r="AO74" s="1020"/>
      <c r="AP74" s="1020"/>
      <c r="AQ74" s="1020"/>
      <c r="AR74" s="1020"/>
      <c r="AS74" s="1020"/>
      <c r="AT74" s="1020"/>
      <c r="AU74" s="1020"/>
      <c r="AV74" s="1020"/>
      <c r="AW74" s="1020"/>
      <c r="AX74" s="1020"/>
    </row>
    <row r="75" spans="1:50" ht="12" customHeight="1">
      <c r="A75" s="1024"/>
      <c r="B75" s="250"/>
      <c r="C75" s="1024"/>
      <c r="D75" s="1065"/>
      <c r="E75" s="1065"/>
      <c r="F75" s="1024"/>
      <c r="G75" s="1024"/>
      <c r="H75" s="1024"/>
      <c r="I75" s="1024"/>
      <c r="J75" s="1059"/>
      <c r="K75" s="1020"/>
      <c r="L75" s="1066"/>
      <c r="M75" s="1020"/>
      <c r="N75" s="1020"/>
      <c r="O75" s="1020"/>
      <c r="P75" s="1020"/>
      <c r="Q75" s="1020"/>
      <c r="R75" s="1020"/>
      <c r="S75" s="1020"/>
      <c r="T75" s="1036"/>
      <c r="U75" s="1036"/>
      <c r="V75" s="1020"/>
      <c r="W75" s="1020"/>
      <c r="X75" s="1020"/>
      <c r="Y75" s="1020"/>
      <c r="Z75" s="1020"/>
      <c r="AA75" s="1020"/>
      <c r="AB75" s="1020"/>
      <c r="AC75" s="1020"/>
      <c r="AD75" s="1020"/>
      <c r="AE75" s="1020"/>
      <c r="AF75" s="1020"/>
      <c r="AG75" s="1020"/>
      <c r="AH75" s="1020"/>
      <c r="AI75" s="1020"/>
      <c r="AJ75" s="1020"/>
      <c r="AK75" s="1020"/>
      <c r="AL75" s="1020"/>
      <c r="AM75" s="1020"/>
      <c r="AN75" s="1020"/>
      <c r="AO75" s="1020"/>
      <c r="AP75" s="1020"/>
      <c r="AQ75" s="1020"/>
      <c r="AR75" s="1020"/>
      <c r="AS75" s="1020"/>
      <c r="AT75" s="1020"/>
      <c r="AU75" s="1020"/>
      <c r="AV75" s="1020"/>
      <c r="AW75" s="1020"/>
      <c r="AX75" s="1020"/>
    </row>
    <row r="76" spans="1:50" ht="12" customHeight="1">
      <c r="A76" s="1024"/>
      <c r="B76" s="250"/>
      <c r="C76" s="1024"/>
      <c r="D76" s="1065"/>
      <c r="E76" s="1065"/>
      <c r="F76" s="1024"/>
      <c r="G76" s="1024"/>
      <c r="H76" s="1024"/>
      <c r="I76" s="1024"/>
      <c r="J76" s="1059"/>
      <c r="K76" s="100" t="s">
        <v>1168</v>
      </c>
      <c r="L76" s="1024"/>
      <c r="M76" s="1024"/>
      <c r="N76" s="1024"/>
      <c r="O76" s="100" t="s">
        <v>1169</v>
      </c>
      <c r="P76" s="1024"/>
      <c r="Q76" s="1024"/>
      <c r="R76" s="1020"/>
      <c r="S76" s="1020"/>
      <c r="T76" s="1036"/>
      <c r="U76" s="1036"/>
      <c r="V76" s="1020"/>
      <c r="W76" s="1020"/>
      <c r="X76" s="1020"/>
      <c r="Y76" s="1020"/>
      <c r="Z76" s="1020"/>
      <c r="AA76" s="1020"/>
      <c r="AB76" s="1020"/>
      <c r="AC76" s="1020"/>
      <c r="AD76" s="1020"/>
      <c r="AE76" s="1020"/>
      <c r="AF76" s="1020"/>
      <c r="AG76" s="1020"/>
      <c r="AH76" s="1020"/>
      <c r="AI76" s="1020"/>
      <c r="AJ76" s="1020"/>
      <c r="AK76" s="1020"/>
      <c r="AL76" s="1020"/>
      <c r="AM76" s="1020"/>
      <c r="AN76" s="1020"/>
      <c r="AO76" s="1020"/>
      <c r="AP76" s="1020"/>
      <c r="AQ76" s="1020"/>
      <c r="AR76" s="1020"/>
      <c r="AS76" s="1020"/>
      <c r="AT76" s="1020"/>
      <c r="AU76" s="1020"/>
      <c r="AV76" s="1020"/>
      <c r="AW76" s="1020"/>
      <c r="AX76" s="1020"/>
    </row>
    <row r="77" spans="1:50" ht="12" customHeight="1">
      <c r="A77" s="1024"/>
      <c r="B77" s="250"/>
      <c r="C77" s="1024"/>
      <c r="D77" s="1065"/>
      <c r="E77" s="1065"/>
      <c r="F77" s="1024"/>
      <c r="G77" s="1024"/>
      <c r="H77" s="1024"/>
      <c r="I77" s="1024"/>
      <c r="J77" s="1059"/>
      <c r="K77" s="1024"/>
      <c r="L77" s="1024"/>
      <c r="M77" s="1027"/>
      <c r="N77" s="1024"/>
      <c r="O77" s="1024"/>
      <c r="P77" s="1024"/>
      <c r="Q77" s="1024"/>
      <c r="R77" s="1020"/>
      <c r="S77" s="1020"/>
      <c r="T77" s="1036"/>
      <c r="U77" s="1036"/>
      <c r="V77" s="1020"/>
      <c r="W77" s="1020"/>
      <c r="X77" s="1020"/>
      <c r="Y77" s="1020"/>
      <c r="Z77" s="1020"/>
      <c r="AA77" s="1020"/>
      <c r="AB77" s="1020"/>
      <c r="AC77" s="1020"/>
      <c r="AD77" s="1020"/>
      <c r="AE77" s="1020"/>
      <c r="AF77" s="1020"/>
      <c r="AG77" s="1020"/>
      <c r="AH77" s="1020"/>
      <c r="AI77" s="1020"/>
      <c r="AJ77" s="1020"/>
      <c r="AK77" s="1020"/>
      <c r="AL77" s="1020"/>
      <c r="AM77" s="1020"/>
      <c r="AN77" s="1020"/>
      <c r="AO77" s="1020"/>
      <c r="AP77" s="1020"/>
      <c r="AQ77" s="1020"/>
      <c r="AR77" s="1020"/>
      <c r="AS77" s="1020"/>
      <c r="AT77" s="1020"/>
      <c r="AU77" s="1020"/>
      <c r="AV77" s="1020"/>
      <c r="AW77" s="1020"/>
      <c r="AX77" s="1020"/>
    </row>
    <row r="78" spans="1:50" ht="12" customHeight="1">
      <c r="A78" s="1024"/>
      <c r="B78" s="100" t="s">
        <v>1168</v>
      </c>
      <c r="C78" s="1024"/>
      <c r="D78" s="1024"/>
      <c r="E78" s="1024"/>
      <c r="F78" s="100" t="s">
        <v>1169</v>
      </c>
      <c r="G78" s="1024"/>
      <c r="H78" s="1024"/>
      <c r="I78" s="1024"/>
      <c r="J78" s="1059"/>
      <c r="K78" s="1024"/>
      <c r="L78" s="1024"/>
      <c r="M78" s="1027"/>
      <c r="N78" s="1024"/>
      <c r="O78" s="1024"/>
      <c r="P78" s="1024"/>
      <c r="Q78" s="1024"/>
      <c r="R78" s="1020"/>
      <c r="S78" s="1020"/>
      <c r="T78" s="1036"/>
      <c r="U78" s="1036"/>
      <c r="V78" s="1020"/>
      <c r="W78" s="1020"/>
      <c r="X78" s="1020"/>
      <c r="Y78" s="1020"/>
      <c r="Z78" s="1020"/>
      <c r="AA78" s="1020"/>
      <c r="AB78" s="1020"/>
      <c r="AC78" s="1020"/>
      <c r="AD78" s="1020"/>
      <c r="AE78" s="1020"/>
      <c r="AF78" s="1020"/>
      <c r="AG78" s="1020"/>
      <c r="AH78" s="1020"/>
      <c r="AI78" s="1020"/>
      <c r="AJ78" s="1020"/>
      <c r="AK78" s="1020"/>
      <c r="AL78" s="1020"/>
      <c r="AM78" s="1020"/>
      <c r="AN78" s="1020"/>
      <c r="AO78" s="1020"/>
      <c r="AP78" s="1020"/>
      <c r="AQ78" s="1020"/>
      <c r="AR78" s="1020"/>
      <c r="AS78" s="1020"/>
      <c r="AT78" s="1020"/>
      <c r="AU78" s="1020"/>
      <c r="AV78" s="1020"/>
      <c r="AW78" s="1020"/>
      <c r="AX78" s="1020"/>
    </row>
    <row r="79" spans="1:50" ht="12" customHeight="1">
      <c r="A79" s="1024"/>
      <c r="B79" s="1024"/>
      <c r="C79" s="1024"/>
      <c r="D79" s="1027"/>
      <c r="E79" s="1024"/>
      <c r="F79" s="1024"/>
      <c r="G79" s="1024"/>
      <c r="H79" s="1024"/>
      <c r="I79" s="1024"/>
      <c r="J79" s="1059"/>
      <c r="K79" s="1413" t="str">
        <f>FORM!I28</f>
        <v xml:space="preserve">agent </v>
      </c>
      <c r="L79" s="1413"/>
      <c r="M79" s="1413"/>
      <c r="N79" s="100"/>
      <c r="O79" s="1414" t="str">
        <f>FORM!I26</f>
        <v>buyer</v>
      </c>
      <c r="P79" s="1414"/>
      <c r="Q79" s="1414"/>
      <c r="R79" s="1020"/>
      <c r="S79" s="1020"/>
      <c r="T79" s="1036"/>
      <c r="U79" s="1036"/>
      <c r="V79" s="1020"/>
      <c r="W79" s="1020"/>
      <c r="X79" s="1020"/>
      <c r="Y79" s="1020"/>
      <c r="Z79" s="1020"/>
      <c r="AA79" s="1020"/>
      <c r="AB79" s="1020"/>
      <c r="AC79" s="1020"/>
      <c r="AD79" s="1020"/>
      <c r="AE79" s="1020"/>
      <c r="AF79" s="1020"/>
      <c r="AG79" s="1020"/>
      <c r="AH79" s="1020"/>
      <c r="AI79" s="1020"/>
      <c r="AJ79" s="1020"/>
      <c r="AK79" s="1020"/>
      <c r="AL79" s="1020"/>
      <c r="AM79" s="1020"/>
      <c r="AN79" s="1020"/>
      <c r="AO79" s="1020"/>
      <c r="AP79" s="1020"/>
      <c r="AQ79" s="1020"/>
      <c r="AR79" s="1020"/>
      <c r="AS79" s="1020"/>
      <c r="AT79" s="1020"/>
      <c r="AU79" s="1020"/>
      <c r="AV79" s="1020"/>
      <c r="AW79" s="1020"/>
      <c r="AX79" s="1020"/>
    </row>
    <row r="80" spans="1:50" ht="12" customHeight="1">
      <c r="A80" s="1024"/>
      <c r="B80" s="1024"/>
      <c r="C80" s="1024"/>
      <c r="D80" s="1027"/>
      <c r="E80" s="1024"/>
      <c r="F80" s="1024"/>
      <c r="G80" s="1024"/>
      <c r="H80" s="1024"/>
      <c r="I80" s="1024"/>
      <c r="J80" s="1059"/>
      <c r="K80" s="1068" t="s">
        <v>1170</v>
      </c>
      <c r="L80" s="1672"/>
      <c r="M80" s="1672"/>
      <c r="N80" s="1024"/>
      <c r="O80" s="1673" t="s">
        <v>1171</v>
      </c>
      <c r="P80" s="1673"/>
      <c r="Q80" s="1673"/>
      <c r="R80" s="1020"/>
      <c r="S80" s="1020"/>
      <c r="T80" s="1036"/>
      <c r="U80" s="1036"/>
      <c r="V80" s="1020"/>
      <c r="W80" s="1020"/>
      <c r="X80" s="1020"/>
      <c r="Y80" s="1020"/>
      <c r="Z80" s="1020"/>
      <c r="AA80" s="1020"/>
      <c r="AB80" s="1020"/>
      <c r="AC80" s="1020"/>
      <c r="AD80" s="1020"/>
      <c r="AE80" s="1020"/>
      <c r="AF80" s="1020"/>
      <c r="AG80" s="1020"/>
      <c r="AH80" s="1020"/>
      <c r="AI80" s="1020"/>
      <c r="AJ80" s="1020"/>
      <c r="AK80" s="1020"/>
      <c r="AL80" s="1020"/>
      <c r="AM80" s="1020"/>
      <c r="AN80" s="1020"/>
      <c r="AO80" s="1020"/>
      <c r="AP80" s="1020"/>
      <c r="AQ80" s="1020"/>
      <c r="AR80" s="1020"/>
      <c r="AS80" s="1020"/>
      <c r="AT80" s="1020"/>
      <c r="AU80" s="1020"/>
      <c r="AV80" s="1020"/>
      <c r="AW80" s="1020"/>
      <c r="AX80" s="1020"/>
    </row>
    <row r="81" spans="1:50" ht="12" customHeight="1">
      <c r="A81" s="1024"/>
      <c r="B81" s="1413" t="str">
        <f>FORM!I28</f>
        <v xml:space="preserve">agent </v>
      </c>
      <c r="C81" s="1413"/>
      <c r="D81" s="1413"/>
      <c r="E81" s="100"/>
      <c r="F81" s="1413" t="str">
        <f>FORM!I26</f>
        <v>buyer</v>
      </c>
      <c r="G81" s="1413"/>
      <c r="H81" s="1413"/>
      <c r="I81" s="1413"/>
      <c r="J81" s="1059"/>
      <c r="K81" s="1020"/>
      <c r="L81" s="1020"/>
      <c r="M81" s="1020"/>
      <c r="N81" s="1020"/>
      <c r="O81" s="1020"/>
      <c r="P81" s="1020"/>
      <c r="Q81" s="1020"/>
      <c r="R81" s="1020"/>
      <c r="S81" s="1020"/>
      <c r="T81" s="1036"/>
      <c r="U81" s="1036"/>
      <c r="V81" s="1020"/>
      <c r="W81" s="1020"/>
      <c r="X81" s="1020"/>
      <c r="Y81" s="1020"/>
      <c r="Z81" s="1020"/>
      <c r="AA81" s="1020"/>
      <c r="AB81" s="1020"/>
      <c r="AC81" s="1020"/>
      <c r="AD81" s="1020"/>
      <c r="AE81" s="1020"/>
      <c r="AF81" s="1020"/>
      <c r="AG81" s="1020"/>
      <c r="AH81" s="1020"/>
      <c r="AI81" s="1020"/>
      <c r="AJ81" s="1020"/>
      <c r="AK81" s="1020"/>
      <c r="AL81" s="1020"/>
      <c r="AM81" s="1020"/>
      <c r="AN81" s="1020"/>
      <c r="AO81" s="1020"/>
      <c r="AP81" s="1020"/>
      <c r="AQ81" s="1020"/>
      <c r="AR81" s="1020"/>
      <c r="AS81" s="1020"/>
      <c r="AT81" s="1020"/>
      <c r="AU81" s="1020"/>
      <c r="AV81" s="1020"/>
      <c r="AW81" s="1020"/>
      <c r="AX81" s="1020"/>
    </row>
    <row r="82" spans="1:50" ht="12" customHeight="1">
      <c r="A82" s="1024"/>
      <c r="B82" s="1068" t="s">
        <v>1170</v>
      </c>
      <c r="C82" s="1672"/>
      <c r="D82" s="1672"/>
      <c r="E82" s="1024"/>
      <c r="F82" s="1674" t="s">
        <v>1171</v>
      </c>
      <c r="G82" s="1674"/>
      <c r="H82" s="1674"/>
      <c r="I82" s="1069"/>
      <c r="J82" s="1059"/>
      <c r="K82" s="156"/>
      <c r="L82" s="1024"/>
      <c r="M82" s="1033"/>
      <c r="N82" s="1024"/>
      <c r="O82" s="1024"/>
      <c r="P82" s="1024"/>
      <c r="Q82" s="1024"/>
      <c r="R82" s="1020"/>
      <c r="S82" s="1020"/>
      <c r="T82" s="1036"/>
      <c r="U82" s="1036"/>
      <c r="V82" s="1020"/>
      <c r="W82" s="1020"/>
      <c r="X82" s="1020"/>
      <c r="Y82" s="1020"/>
      <c r="Z82" s="1020"/>
      <c r="AA82" s="1020"/>
      <c r="AB82" s="1020"/>
      <c r="AC82" s="1020"/>
      <c r="AD82" s="1020"/>
      <c r="AE82" s="1020"/>
      <c r="AF82" s="1020"/>
      <c r="AG82" s="1020"/>
      <c r="AH82" s="1020"/>
      <c r="AI82" s="1020"/>
      <c r="AJ82" s="1020"/>
      <c r="AK82" s="1020"/>
      <c r="AL82" s="1020"/>
      <c r="AM82" s="1020"/>
      <c r="AN82" s="1020"/>
      <c r="AO82" s="1020"/>
      <c r="AP82" s="1020"/>
      <c r="AQ82" s="1020"/>
      <c r="AR82" s="1020"/>
      <c r="AS82" s="1020"/>
      <c r="AT82" s="1020"/>
      <c r="AU82" s="1020"/>
      <c r="AV82" s="1020"/>
      <c r="AW82" s="1020"/>
      <c r="AX82" s="1020"/>
    </row>
    <row r="83" spans="1:50" ht="12" customHeight="1">
      <c r="A83" s="1024"/>
      <c r="B83" s="161"/>
      <c r="C83" s="1024"/>
      <c r="D83" s="1024"/>
      <c r="E83" s="1024"/>
      <c r="F83" s="1024"/>
      <c r="G83" s="1024"/>
      <c r="H83" s="1024"/>
      <c r="I83" s="1024"/>
      <c r="J83" s="1059"/>
      <c r="K83" s="156"/>
      <c r="L83" s="1024"/>
      <c r="M83" s="1033"/>
      <c r="N83" s="1024"/>
      <c r="O83" s="1024"/>
      <c r="P83" s="1024"/>
      <c r="Q83" s="1024"/>
      <c r="R83" s="1020"/>
      <c r="S83" s="1020"/>
      <c r="T83" s="1036"/>
      <c r="U83" s="1036"/>
      <c r="V83" s="1020"/>
      <c r="W83" s="1020"/>
      <c r="X83" s="1020"/>
      <c r="Y83" s="1020"/>
      <c r="Z83" s="1020"/>
      <c r="AA83" s="1020"/>
      <c r="AB83" s="1020"/>
      <c r="AC83" s="1020"/>
      <c r="AD83" s="1020"/>
      <c r="AE83" s="1020"/>
      <c r="AF83" s="1020"/>
      <c r="AG83" s="1020"/>
      <c r="AH83" s="1020"/>
      <c r="AI83" s="1020"/>
      <c r="AJ83" s="1020"/>
      <c r="AK83" s="1020"/>
      <c r="AL83" s="1020"/>
      <c r="AM83" s="1020"/>
      <c r="AN83" s="1020"/>
      <c r="AO83" s="1020"/>
      <c r="AP83" s="1020"/>
      <c r="AQ83" s="1020"/>
      <c r="AR83" s="1020"/>
      <c r="AS83" s="1020"/>
      <c r="AT83" s="1020"/>
      <c r="AU83" s="1020"/>
      <c r="AV83" s="1020"/>
      <c r="AW83" s="1020"/>
      <c r="AX83" s="1020"/>
    </row>
    <row r="84" spans="1:50" ht="12" customHeight="1">
      <c r="A84" s="1024"/>
      <c r="B84" s="161"/>
      <c r="C84" s="1024"/>
      <c r="D84" s="1024"/>
      <c r="E84" s="1024"/>
      <c r="F84" s="1024"/>
      <c r="G84" s="1024"/>
      <c r="H84" s="1024"/>
      <c r="I84" s="1024"/>
      <c r="J84" s="1059"/>
      <c r="K84" s="156"/>
      <c r="L84" s="1024"/>
      <c r="M84" s="1033"/>
      <c r="N84" s="1024"/>
      <c r="O84" s="1024"/>
      <c r="P84" s="1024"/>
      <c r="Q84" s="1024"/>
      <c r="R84" s="1020"/>
      <c r="S84" s="1020"/>
      <c r="T84" s="1036"/>
      <c r="U84" s="1036"/>
      <c r="V84" s="1020"/>
      <c r="W84" s="1020"/>
      <c r="X84" s="1020"/>
      <c r="Y84" s="1020"/>
      <c r="Z84" s="1020"/>
      <c r="AA84" s="1020"/>
      <c r="AB84" s="1020"/>
      <c r="AC84" s="1020"/>
      <c r="AD84" s="1020"/>
      <c r="AE84" s="1020"/>
      <c r="AF84" s="1020"/>
      <c r="AG84" s="1020"/>
      <c r="AH84" s="1020"/>
      <c r="AI84" s="1020"/>
      <c r="AJ84" s="1020"/>
      <c r="AK84" s="1020"/>
      <c r="AL84" s="1020"/>
      <c r="AM84" s="1020"/>
      <c r="AN84" s="1020"/>
      <c r="AO84" s="1020"/>
      <c r="AP84" s="1020"/>
      <c r="AQ84" s="1020"/>
      <c r="AR84" s="1020"/>
      <c r="AS84" s="1020"/>
      <c r="AT84" s="1020"/>
      <c r="AU84" s="1020"/>
      <c r="AV84" s="1020"/>
      <c r="AW84" s="1020"/>
      <c r="AX84" s="1020"/>
    </row>
    <row r="85" spans="1:50" ht="12" customHeight="1">
      <c r="A85" s="1024"/>
      <c r="B85" s="161"/>
      <c r="C85" s="1024"/>
      <c r="D85" s="1024"/>
      <c r="E85" s="1024"/>
      <c r="F85" s="1024"/>
      <c r="G85" s="1024"/>
      <c r="H85" s="1024"/>
      <c r="I85" s="1024"/>
      <c r="J85" s="1059"/>
      <c r="K85" s="156"/>
      <c r="L85" s="1024"/>
      <c r="M85" s="1033"/>
      <c r="N85" s="1024"/>
      <c r="O85" s="1024"/>
      <c r="P85" s="1024"/>
      <c r="Q85" s="1024"/>
      <c r="R85" s="1020"/>
      <c r="S85" s="1020"/>
      <c r="T85" s="1036"/>
      <c r="U85" s="1036"/>
      <c r="V85" s="1020"/>
      <c r="W85" s="1020"/>
      <c r="X85" s="1020"/>
      <c r="Y85" s="1020"/>
      <c r="Z85" s="1020"/>
      <c r="AA85" s="1020"/>
      <c r="AB85" s="1020"/>
      <c r="AC85" s="1020"/>
      <c r="AD85" s="1020"/>
      <c r="AE85" s="1020"/>
      <c r="AF85" s="1020"/>
      <c r="AG85" s="1020"/>
      <c r="AH85" s="1020"/>
      <c r="AI85" s="1020"/>
      <c r="AJ85" s="1020"/>
      <c r="AK85" s="1020"/>
      <c r="AL85" s="1020"/>
      <c r="AM85" s="1020"/>
      <c r="AN85" s="1020"/>
      <c r="AO85" s="1020"/>
      <c r="AP85" s="1020"/>
      <c r="AQ85" s="1020"/>
      <c r="AR85" s="1020"/>
      <c r="AS85" s="1020"/>
      <c r="AT85" s="1020"/>
      <c r="AU85" s="1020"/>
      <c r="AV85" s="1020"/>
      <c r="AW85" s="1020"/>
      <c r="AX85" s="1020"/>
    </row>
    <row r="86" spans="1:50" ht="12" customHeight="1">
      <c r="A86" s="1024"/>
      <c r="B86" s="161"/>
      <c r="C86" s="1024"/>
      <c r="D86" s="1024"/>
      <c r="E86" s="1024"/>
      <c r="F86" s="1024"/>
      <c r="G86" s="1024"/>
      <c r="H86" s="1024"/>
      <c r="I86" s="1024"/>
      <c r="J86" s="1059"/>
      <c r="K86" s="156"/>
      <c r="L86" s="1024"/>
      <c r="M86" s="1033"/>
      <c r="N86" s="1024"/>
      <c r="O86" s="1024"/>
      <c r="P86" s="1024"/>
      <c r="Q86" s="1024"/>
      <c r="R86" s="1020"/>
      <c r="S86" s="1020"/>
      <c r="T86" s="1036"/>
      <c r="U86" s="1036"/>
      <c r="V86" s="1020"/>
      <c r="W86" s="1020"/>
      <c r="X86" s="1020"/>
      <c r="Y86" s="1020"/>
      <c r="Z86" s="1020"/>
      <c r="AA86" s="1020"/>
      <c r="AB86" s="1020"/>
      <c r="AC86" s="1020"/>
      <c r="AD86" s="1020"/>
      <c r="AE86" s="1020"/>
      <c r="AF86" s="1020"/>
      <c r="AG86" s="1020"/>
      <c r="AH86" s="1020"/>
      <c r="AI86" s="1020"/>
      <c r="AJ86" s="1020"/>
      <c r="AK86" s="1020"/>
      <c r="AL86" s="1020"/>
      <c r="AM86" s="1020"/>
      <c r="AN86" s="1020"/>
      <c r="AO86" s="1020"/>
      <c r="AP86" s="1020"/>
      <c r="AQ86" s="1020"/>
      <c r="AR86" s="1020"/>
      <c r="AS86" s="1020"/>
      <c r="AT86" s="1020"/>
      <c r="AU86" s="1020"/>
      <c r="AV86" s="1020"/>
      <c r="AW86" s="1020"/>
      <c r="AX86" s="1020"/>
    </row>
    <row r="87" spans="1:50" ht="12" customHeight="1">
      <c r="A87" s="1024"/>
      <c r="B87" s="161"/>
      <c r="C87" s="1024"/>
      <c r="D87" s="1024"/>
      <c r="E87" s="1024"/>
      <c r="F87" s="1024"/>
      <c r="G87" s="1024"/>
      <c r="H87" s="1024"/>
      <c r="I87" s="1024"/>
      <c r="J87" s="1059"/>
      <c r="K87" s="156"/>
      <c r="L87" s="1024"/>
      <c r="M87" s="1033"/>
      <c r="N87" s="1024"/>
      <c r="O87" s="1024"/>
      <c r="P87" s="1024"/>
      <c r="Q87" s="1024"/>
      <c r="R87" s="1020"/>
      <c r="S87" s="1020"/>
      <c r="T87" s="1036"/>
      <c r="U87" s="1036"/>
      <c r="V87" s="1020"/>
      <c r="W87" s="1020"/>
      <c r="X87" s="1020"/>
      <c r="Y87" s="1020"/>
      <c r="Z87" s="1020"/>
      <c r="AA87" s="1020"/>
      <c r="AB87" s="1020"/>
      <c r="AC87" s="1020"/>
      <c r="AD87" s="1020"/>
      <c r="AE87" s="1020"/>
      <c r="AF87" s="1020"/>
      <c r="AG87" s="1020"/>
      <c r="AH87" s="1020"/>
      <c r="AI87" s="1020"/>
      <c r="AJ87" s="1020"/>
      <c r="AK87" s="1020"/>
      <c r="AL87" s="1020"/>
      <c r="AM87" s="1020"/>
      <c r="AN87" s="1020"/>
      <c r="AO87" s="1020"/>
      <c r="AP87" s="1020"/>
      <c r="AQ87" s="1020"/>
      <c r="AR87" s="1020"/>
      <c r="AS87" s="1020"/>
      <c r="AT87" s="1020"/>
      <c r="AU87" s="1020"/>
      <c r="AV87" s="1020"/>
      <c r="AW87" s="1020"/>
      <c r="AX87" s="1020"/>
    </row>
    <row r="88" spans="1:50" ht="12.6">
      <c r="A88" s="1024"/>
      <c r="B88" s="161"/>
      <c r="C88" s="1024"/>
      <c r="D88" s="1027"/>
      <c r="E88" s="1024"/>
      <c r="F88" s="1024"/>
      <c r="G88" s="1024"/>
      <c r="H88" s="1024"/>
      <c r="I88" s="1024"/>
      <c r="J88" s="1059"/>
      <c r="K88" s="156"/>
      <c r="L88" s="1024"/>
      <c r="M88" s="1033"/>
      <c r="N88" s="1024"/>
      <c r="O88" s="1024"/>
      <c r="P88" s="1024"/>
      <c r="Q88" s="1024"/>
      <c r="R88" s="1020"/>
      <c r="S88" s="1020"/>
      <c r="T88" s="1036"/>
      <c r="U88" s="1036"/>
      <c r="V88" s="1020"/>
      <c r="W88" s="1020"/>
      <c r="X88" s="1020"/>
      <c r="Y88" s="1020"/>
      <c r="Z88" s="1020"/>
      <c r="AA88" s="1020"/>
      <c r="AB88" s="1020"/>
      <c r="AC88" s="1020"/>
      <c r="AD88" s="1020"/>
      <c r="AE88" s="1020"/>
      <c r="AF88" s="1020"/>
      <c r="AG88" s="1020"/>
      <c r="AH88" s="1020"/>
      <c r="AI88" s="1020"/>
      <c r="AJ88" s="1020"/>
      <c r="AK88" s="1020"/>
      <c r="AL88" s="1020"/>
      <c r="AM88" s="1020"/>
      <c r="AN88" s="1020"/>
      <c r="AO88" s="1020"/>
      <c r="AP88" s="1020"/>
      <c r="AQ88" s="1020"/>
      <c r="AR88" s="1020"/>
      <c r="AS88" s="1020"/>
      <c r="AT88" s="1020"/>
      <c r="AU88" s="1020"/>
      <c r="AV88" s="1020"/>
      <c r="AW88" s="1020"/>
      <c r="AX88" s="1020"/>
    </row>
    <row r="89" spans="1:50" ht="12" customHeight="1">
      <c r="A89" s="1024"/>
      <c r="B89" s="161"/>
      <c r="C89" s="1024"/>
      <c r="D89" s="1027"/>
      <c r="E89" s="1024"/>
      <c r="F89" s="1024"/>
      <c r="G89" s="1024"/>
      <c r="H89" s="1024"/>
      <c r="I89" s="1024"/>
      <c r="J89" s="1059"/>
      <c r="K89" s="156"/>
      <c r="L89" s="1024"/>
      <c r="M89" s="1033"/>
      <c r="N89" s="1024"/>
      <c r="O89" s="1024"/>
      <c r="P89" s="1024"/>
      <c r="Q89" s="1024"/>
      <c r="R89" s="1020"/>
      <c r="S89" s="1020"/>
      <c r="T89" s="1036"/>
      <c r="U89" s="1036"/>
      <c r="V89" s="1020"/>
      <c r="W89" s="1020"/>
      <c r="X89" s="1020"/>
      <c r="Y89" s="1020"/>
      <c r="Z89" s="1020"/>
      <c r="AA89" s="1020"/>
      <c r="AB89" s="1020"/>
      <c r="AC89" s="1020"/>
      <c r="AD89" s="1020"/>
      <c r="AE89" s="1020"/>
      <c r="AF89" s="1020"/>
      <c r="AG89" s="1020"/>
      <c r="AH89" s="1020"/>
      <c r="AI89" s="1020"/>
      <c r="AJ89" s="1020"/>
      <c r="AK89" s="1020"/>
      <c r="AL89" s="1020"/>
      <c r="AM89" s="1020"/>
      <c r="AN89" s="1020"/>
      <c r="AO89" s="1020"/>
      <c r="AP89" s="1020"/>
      <c r="AQ89" s="1020"/>
      <c r="AR89" s="1020"/>
      <c r="AS89" s="1020"/>
      <c r="AT89" s="1020"/>
      <c r="AU89" s="1020"/>
      <c r="AV89" s="1020"/>
      <c r="AW89" s="1020"/>
      <c r="AX89" s="1020"/>
    </row>
    <row r="90" spans="1:50" ht="12" customHeight="1">
      <c r="A90" s="1024"/>
      <c r="B90" s="161"/>
      <c r="C90" s="1024"/>
      <c r="D90" s="1027"/>
      <c r="E90" s="1024"/>
      <c r="F90" s="1024"/>
      <c r="G90" s="1024"/>
      <c r="H90" s="1024"/>
      <c r="I90" s="1024"/>
      <c r="J90" s="1059"/>
      <c r="K90" s="156"/>
      <c r="L90" s="1024"/>
      <c r="M90" s="1033"/>
      <c r="N90" s="1024"/>
      <c r="O90" s="1024"/>
      <c r="P90" s="1024"/>
      <c r="Q90" s="1024"/>
      <c r="R90" s="1020"/>
      <c r="S90" s="1020"/>
      <c r="T90" s="1036"/>
      <c r="U90" s="1036"/>
      <c r="V90" s="1020"/>
      <c r="W90" s="1020"/>
      <c r="X90" s="1020"/>
      <c r="Y90" s="1020"/>
      <c r="Z90" s="1020"/>
      <c r="AA90" s="1020"/>
      <c r="AB90" s="1020"/>
      <c r="AC90" s="1020"/>
      <c r="AD90" s="1020"/>
      <c r="AE90" s="1020"/>
      <c r="AF90" s="1020"/>
      <c r="AG90" s="1020"/>
      <c r="AH90" s="1020"/>
      <c r="AI90" s="1020"/>
      <c r="AJ90" s="1020"/>
      <c r="AK90" s="1020"/>
      <c r="AL90" s="1020"/>
      <c r="AM90" s="1020"/>
      <c r="AN90" s="1020"/>
      <c r="AO90" s="1020"/>
      <c r="AP90" s="1020"/>
      <c r="AQ90" s="1020"/>
      <c r="AR90" s="1020"/>
      <c r="AS90" s="1020"/>
      <c r="AT90" s="1020"/>
      <c r="AU90" s="1020"/>
      <c r="AV90" s="1020"/>
      <c r="AW90" s="1020"/>
      <c r="AX90" s="1020"/>
    </row>
    <row r="91" spans="1:50" ht="12" customHeight="1">
      <c r="A91" s="1024"/>
      <c r="B91" s="161"/>
      <c r="C91" s="1024"/>
      <c r="D91" s="1024"/>
      <c r="E91" s="1024"/>
      <c r="F91" s="1024"/>
      <c r="G91" s="1024"/>
      <c r="H91" s="1024"/>
      <c r="I91" s="1024"/>
      <c r="J91" s="1059"/>
      <c r="K91" s="156"/>
      <c r="L91" s="1024"/>
      <c r="M91" s="1033"/>
      <c r="N91" s="1024"/>
      <c r="O91" s="1024"/>
      <c r="P91" s="1024"/>
      <c r="Q91" s="1024"/>
      <c r="R91" s="1020"/>
      <c r="S91" s="1020"/>
      <c r="T91" s="1036"/>
      <c r="U91" s="1036"/>
      <c r="V91" s="1020"/>
      <c r="W91" s="1020"/>
      <c r="X91" s="1020"/>
      <c r="Y91" s="1020"/>
      <c r="Z91" s="1020"/>
      <c r="AA91" s="1020"/>
      <c r="AB91" s="1020"/>
      <c r="AC91" s="1020"/>
      <c r="AD91" s="1020"/>
      <c r="AE91" s="1020"/>
      <c r="AF91" s="1020"/>
      <c r="AG91" s="1020"/>
      <c r="AH91" s="1020"/>
      <c r="AI91" s="1020"/>
      <c r="AJ91" s="1020"/>
      <c r="AK91" s="1020"/>
      <c r="AL91" s="1020"/>
      <c r="AM91" s="1020"/>
      <c r="AN91" s="1020"/>
      <c r="AO91" s="1020"/>
      <c r="AP91" s="1020"/>
      <c r="AQ91" s="1020"/>
      <c r="AR91" s="1020"/>
      <c r="AS91" s="1020"/>
      <c r="AT91" s="1020"/>
      <c r="AU91" s="1020"/>
      <c r="AV91" s="1020"/>
      <c r="AW91" s="1020"/>
      <c r="AX91" s="1020"/>
    </row>
    <row r="92" spans="1:50" ht="12" customHeight="1">
      <c r="A92" s="1024"/>
      <c r="B92" s="161"/>
      <c r="C92" s="1024"/>
      <c r="D92" s="1024"/>
      <c r="E92" s="1024"/>
      <c r="F92" s="1024"/>
      <c r="G92" s="1024"/>
      <c r="H92" s="1024"/>
      <c r="I92" s="1024"/>
      <c r="J92" s="1059"/>
      <c r="K92" s="156"/>
      <c r="L92" s="1024"/>
      <c r="M92" s="1033"/>
      <c r="N92" s="1024"/>
      <c r="O92" s="1024"/>
      <c r="P92" s="1024"/>
      <c r="Q92" s="1024"/>
      <c r="R92" s="1020"/>
      <c r="S92" s="1020"/>
      <c r="T92" s="1036"/>
      <c r="U92" s="1036"/>
      <c r="V92" s="1020"/>
      <c r="W92" s="1020"/>
      <c r="X92" s="1020"/>
      <c r="Y92" s="1020"/>
      <c r="Z92" s="1020"/>
      <c r="AA92" s="1020"/>
      <c r="AB92" s="1020"/>
      <c r="AC92" s="1020"/>
      <c r="AD92" s="1020"/>
      <c r="AE92" s="1020"/>
      <c r="AF92" s="1020"/>
      <c r="AG92" s="1020"/>
      <c r="AH92" s="1020"/>
      <c r="AI92" s="1020"/>
      <c r="AJ92" s="1020"/>
      <c r="AK92" s="1020"/>
      <c r="AL92" s="1020"/>
      <c r="AM92" s="1020"/>
      <c r="AN92" s="1020"/>
      <c r="AO92" s="1020"/>
      <c r="AP92" s="1020"/>
      <c r="AQ92" s="1020"/>
      <c r="AR92" s="1020"/>
      <c r="AS92" s="1020"/>
      <c r="AT92" s="1020"/>
      <c r="AU92" s="1020"/>
      <c r="AV92" s="1020"/>
      <c r="AW92" s="1020"/>
      <c r="AX92" s="1020"/>
    </row>
    <row r="93" spans="1:50" ht="12" customHeight="1">
      <c r="A93" s="1024"/>
      <c r="B93" s="161"/>
      <c r="C93" s="1024"/>
      <c r="D93" s="1024"/>
      <c r="E93" s="1024"/>
      <c r="F93" s="1024"/>
      <c r="G93" s="1024"/>
      <c r="H93" s="1024"/>
      <c r="I93" s="1024"/>
      <c r="J93" s="1059"/>
      <c r="K93" s="156"/>
      <c r="L93" s="1024"/>
      <c r="M93" s="1033"/>
      <c r="N93" s="1024"/>
      <c r="O93" s="1024"/>
      <c r="P93" s="1024"/>
      <c r="Q93" s="1024"/>
      <c r="R93" s="1020"/>
      <c r="S93" s="1020"/>
      <c r="T93" s="1036"/>
      <c r="U93" s="1036"/>
      <c r="V93" s="1020"/>
      <c r="W93" s="1020"/>
      <c r="X93" s="1020"/>
      <c r="Y93" s="1020"/>
      <c r="Z93" s="1020"/>
      <c r="AA93" s="1020"/>
      <c r="AB93" s="1020"/>
      <c r="AC93" s="1020"/>
      <c r="AD93" s="1020"/>
      <c r="AE93" s="1020"/>
      <c r="AF93" s="1020"/>
      <c r="AG93" s="1020"/>
      <c r="AH93" s="1020"/>
      <c r="AI93" s="1020"/>
      <c r="AJ93" s="1020"/>
      <c r="AK93" s="1020"/>
      <c r="AL93" s="1020"/>
      <c r="AM93" s="1020"/>
      <c r="AN93" s="1020"/>
      <c r="AO93" s="1020"/>
      <c r="AP93" s="1020"/>
      <c r="AQ93" s="1020"/>
      <c r="AR93" s="1020"/>
      <c r="AS93" s="1020"/>
      <c r="AT93" s="1020"/>
      <c r="AU93" s="1020"/>
      <c r="AV93" s="1020"/>
      <c r="AW93" s="1020"/>
      <c r="AX93" s="1020"/>
    </row>
    <row r="94" spans="1:50" ht="12" customHeight="1">
      <c r="A94" s="1024"/>
      <c r="B94" s="161"/>
      <c r="C94" s="1024"/>
      <c r="D94" s="1024"/>
      <c r="E94" s="1024"/>
      <c r="F94" s="1024"/>
      <c r="G94" s="1024"/>
      <c r="H94" s="1024"/>
      <c r="I94" s="1024"/>
      <c r="J94" s="1059"/>
      <c r="K94" s="156"/>
      <c r="L94" s="1024"/>
      <c r="M94" s="1033"/>
      <c r="N94" s="1024"/>
      <c r="O94" s="1024"/>
      <c r="P94" s="1024"/>
      <c r="Q94" s="1024"/>
      <c r="R94" s="1020"/>
      <c r="S94" s="1020"/>
      <c r="T94" s="1036"/>
      <c r="U94" s="1036"/>
      <c r="V94" s="1020"/>
      <c r="W94" s="1020"/>
      <c r="X94" s="1020"/>
      <c r="Y94" s="1020"/>
      <c r="Z94" s="1020"/>
      <c r="AA94" s="1020"/>
      <c r="AB94" s="1020"/>
      <c r="AC94" s="1020"/>
      <c r="AD94" s="1020"/>
      <c r="AE94" s="1020"/>
      <c r="AF94" s="1020"/>
      <c r="AG94" s="1020"/>
      <c r="AH94" s="1020"/>
      <c r="AI94" s="1020"/>
      <c r="AJ94" s="1020"/>
      <c r="AK94" s="1020"/>
      <c r="AL94" s="1020"/>
      <c r="AM94" s="1020"/>
      <c r="AN94" s="1020"/>
      <c r="AO94" s="1020"/>
      <c r="AP94" s="1020"/>
      <c r="AQ94" s="1020"/>
      <c r="AR94" s="1020"/>
      <c r="AS94" s="1020"/>
      <c r="AT94" s="1020"/>
      <c r="AU94" s="1020"/>
      <c r="AV94" s="1020"/>
      <c r="AW94" s="1020"/>
      <c r="AX94" s="1020"/>
    </row>
    <row r="95" spans="1:50" ht="12" customHeight="1">
      <c r="A95" s="1024"/>
      <c r="B95" s="161"/>
      <c r="C95" s="1024"/>
      <c r="D95" s="1024"/>
      <c r="E95" s="1024"/>
      <c r="F95" s="1024"/>
      <c r="G95" s="1024"/>
      <c r="H95" s="1024"/>
      <c r="I95" s="1024"/>
      <c r="J95" s="1059"/>
      <c r="K95" s="156"/>
      <c r="L95" s="1024"/>
      <c r="M95" s="1033"/>
      <c r="N95" s="1024"/>
      <c r="O95" s="1024"/>
      <c r="P95" s="1024"/>
      <c r="Q95" s="1024"/>
      <c r="R95" s="1020"/>
      <c r="S95" s="1020"/>
      <c r="T95" s="1036"/>
      <c r="U95" s="1036"/>
      <c r="V95" s="1020"/>
      <c r="W95" s="1020"/>
      <c r="X95" s="1020"/>
      <c r="Y95" s="1020"/>
      <c r="Z95" s="1020"/>
      <c r="AA95" s="1020"/>
      <c r="AB95" s="1020"/>
      <c r="AC95" s="1020"/>
      <c r="AD95" s="1020"/>
      <c r="AE95" s="1020"/>
      <c r="AF95" s="1020"/>
      <c r="AG95" s="1020"/>
      <c r="AH95" s="1020"/>
      <c r="AI95" s="1020"/>
      <c r="AJ95" s="1020"/>
      <c r="AK95" s="1020"/>
      <c r="AL95" s="1020"/>
      <c r="AM95" s="1020"/>
      <c r="AN95" s="1020"/>
      <c r="AO95" s="1020"/>
      <c r="AP95" s="1020"/>
      <c r="AQ95" s="1020"/>
      <c r="AR95" s="1020"/>
      <c r="AS95" s="1020"/>
      <c r="AT95" s="1020"/>
      <c r="AU95" s="1020"/>
      <c r="AV95" s="1020"/>
      <c r="AW95" s="1020"/>
      <c r="AX95" s="1020"/>
    </row>
    <row r="96" spans="1:50" ht="12" customHeight="1">
      <c r="A96" s="1024"/>
      <c r="B96" s="161"/>
      <c r="C96" s="1024"/>
      <c r="D96" s="1024"/>
      <c r="E96" s="1024"/>
      <c r="F96" s="1024"/>
      <c r="G96" s="1024"/>
      <c r="H96" s="1024"/>
      <c r="I96" s="1024"/>
      <c r="J96" s="1059"/>
      <c r="K96" s="156"/>
      <c r="L96" s="1024"/>
      <c r="M96" s="1033"/>
      <c r="N96" s="1024"/>
      <c r="O96" s="1024"/>
      <c r="P96" s="1024"/>
      <c r="Q96" s="1024"/>
      <c r="R96" s="1020"/>
      <c r="S96" s="1020"/>
      <c r="T96" s="1036"/>
      <c r="U96" s="1036"/>
      <c r="V96" s="1020"/>
      <c r="W96" s="1020"/>
      <c r="X96" s="1020"/>
      <c r="Y96" s="1020"/>
      <c r="Z96" s="1020"/>
      <c r="AA96" s="1020"/>
      <c r="AB96" s="1020"/>
      <c r="AC96" s="1020"/>
      <c r="AD96" s="1020"/>
      <c r="AE96" s="1020"/>
      <c r="AF96" s="1020"/>
      <c r="AG96" s="1020"/>
      <c r="AH96" s="1020"/>
      <c r="AI96" s="1020"/>
      <c r="AJ96" s="1020"/>
      <c r="AK96" s="1020"/>
      <c r="AL96" s="1020"/>
      <c r="AM96" s="1020"/>
      <c r="AN96" s="1020"/>
      <c r="AO96" s="1020"/>
      <c r="AP96" s="1020"/>
      <c r="AQ96" s="1020"/>
      <c r="AR96" s="1020"/>
      <c r="AS96" s="1020"/>
      <c r="AT96" s="1020"/>
      <c r="AU96" s="1020"/>
      <c r="AV96" s="1020"/>
      <c r="AW96" s="1020"/>
      <c r="AX96" s="1020"/>
    </row>
    <row r="97" spans="1:50" ht="12" customHeight="1">
      <c r="A97" s="1024"/>
      <c r="B97" s="161"/>
      <c r="C97" s="1024"/>
      <c r="D97" s="1024"/>
      <c r="E97" s="1024"/>
      <c r="F97" s="1024"/>
      <c r="G97" s="1024"/>
      <c r="H97" s="1024"/>
      <c r="I97" s="1024"/>
      <c r="J97" s="1059"/>
      <c r="K97" s="156"/>
      <c r="L97" s="1024"/>
      <c r="M97" s="1033"/>
      <c r="N97" s="1024"/>
      <c r="O97" s="1024"/>
      <c r="P97" s="1024"/>
      <c r="Q97" s="1024"/>
      <c r="R97" s="1020"/>
      <c r="S97" s="1020"/>
      <c r="T97" s="1036"/>
      <c r="U97" s="1036"/>
      <c r="V97" s="1020"/>
      <c r="W97" s="1020"/>
      <c r="X97" s="1020"/>
      <c r="Y97" s="1020"/>
      <c r="Z97" s="1020"/>
      <c r="AA97" s="1020"/>
      <c r="AB97" s="1020"/>
      <c r="AC97" s="1020"/>
      <c r="AD97" s="1020"/>
      <c r="AE97" s="1020"/>
      <c r="AF97" s="1020"/>
      <c r="AG97" s="1020"/>
      <c r="AH97" s="1020"/>
      <c r="AI97" s="1020"/>
      <c r="AJ97" s="1020"/>
      <c r="AK97" s="1020"/>
      <c r="AL97" s="1020"/>
      <c r="AM97" s="1020"/>
      <c r="AN97" s="1020"/>
      <c r="AO97" s="1020"/>
      <c r="AP97" s="1020"/>
      <c r="AQ97" s="1020"/>
      <c r="AR97" s="1020"/>
      <c r="AS97" s="1020"/>
      <c r="AT97" s="1020"/>
      <c r="AU97" s="1020"/>
      <c r="AV97" s="1020"/>
      <c r="AW97" s="1020"/>
      <c r="AX97" s="1020"/>
    </row>
    <row r="98" spans="1:50" ht="12" customHeight="1">
      <c r="A98" s="1024"/>
      <c r="B98" s="161"/>
      <c r="C98" s="1024"/>
      <c r="D98" s="1024"/>
      <c r="E98" s="1024"/>
      <c r="F98" s="1024"/>
      <c r="G98" s="1024"/>
      <c r="H98" s="1024"/>
      <c r="I98" s="1024"/>
      <c r="J98" s="1059"/>
      <c r="K98" s="156"/>
      <c r="L98" s="1024"/>
      <c r="M98" s="1033"/>
      <c r="N98" s="1024"/>
      <c r="O98" s="1024"/>
      <c r="P98" s="1024"/>
      <c r="Q98" s="1024"/>
      <c r="R98" s="1020"/>
      <c r="S98" s="1020"/>
      <c r="T98" s="1036"/>
      <c r="U98" s="1036"/>
      <c r="V98" s="1020"/>
      <c r="W98" s="1020"/>
      <c r="X98" s="1020"/>
      <c r="Y98" s="1020"/>
      <c r="Z98" s="1020"/>
      <c r="AA98" s="1020"/>
      <c r="AB98" s="1020"/>
      <c r="AC98" s="1020"/>
      <c r="AD98" s="1020"/>
      <c r="AE98" s="1020"/>
      <c r="AF98" s="1020"/>
      <c r="AG98" s="1020"/>
      <c r="AH98" s="1020"/>
      <c r="AI98" s="1020"/>
      <c r="AJ98" s="1020"/>
      <c r="AK98" s="1020"/>
      <c r="AL98" s="1020"/>
      <c r="AM98" s="1020"/>
      <c r="AN98" s="1020"/>
      <c r="AO98" s="1020"/>
      <c r="AP98" s="1020"/>
      <c r="AQ98" s="1020"/>
      <c r="AR98" s="1020"/>
      <c r="AS98" s="1020"/>
      <c r="AT98" s="1020"/>
      <c r="AU98" s="1020"/>
      <c r="AV98" s="1020"/>
      <c r="AW98" s="1020"/>
      <c r="AX98" s="1020"/>
    </row>
    <row r="99" spans="1:50" ht="12" customHeight="1">
      <c r="A99" s="1024"/>
      <c r="B99" s="161"/>
      <c r="C99" s="1024"/>
      <c r="D99" s="1024"/>
      <c r="E99" s="1024"/>
      <c r="F99" s="1024"/>
      <c r="G99" s="1024"/>
      <c r="H99" s="1024"/>
      <c r="I99" s="1024"/>
      <c r="J99" s="1059"/>
      <c r="K99" s="156"/>
      <c r="L99" s="1024"/>
      <c r="M99" s="1033"/>
      <c r="N99" s="1024"/>
      <c r="O99" s="1024"/>
      <c r="P99" s="1024"/>
      <c r="Q99" s="1024"/>
      <c r="R99" s="1020"/>
      <c r="S99" s="1020"/>
      <c r="T99" s="1036"/>
      <c r="U99" s="1036"/>
      <c r="V99" s="1020"/>
      <c r="W99" s="1020"/>
      <c r="X99" s="1020"/>
      <c r="Y99" s="1020"/>
      <c r="Z99" s="1020"/>
      <c r="AA99" s="1020"/>
      <c r="AB99" s="1020"/>
      <c r="AC99" s="1020"/>
      <c r="AD99" s="1020"/>
      <c r="AE99" s="1020"/>
      <c r="AF99" s="1020"/>
      <c r="AG99" s="1020"/>
      <c r="AH99" s="1020"/>
      <c r="AI99" s="1020"/>
      <c r="AJ99" s="1020"/>
      <c r="AK99" s="1020"/>
      <c r="AL99" s="1020"/>
      <c r="AM99" s="1020"/>
      <c r="AN99" s="1020"/>
      <c r="AO99" s="1020"/>
      <c r="AP99" s="1020"/>
      <c r="AQ99" s="1020"/>
      <c r="AR99" s="1020"/>
      <c r="AS99" s="1020"/>
      <c r="AT99" s="1020"/>
      <c r="AU99" s="1020"/>
      <c r="AV99" s="1020"/>
      <c r="AW99" s="1020"/>
      <c r="AX99" s="1020"/>
    </row>
    <row r="100" spans="1:50" ht="12" customHeight="1">
      <c r="A100" s="1024"/>
      <c r="B100" s="161"/>
      <c r="C100" s="1024"/>
      <c r="D100" s="1024"/>
      <c r="E100" s="1024"/>
      <c r="F100" s="1024"/>
      <c r="G100" s="1024"/>
      <c r="H100" s="1024"/>
      <c r="I100" s="1024"/>
      <c r="J100" s="1059"/>
      <c r="K100" s="156"/>
      <c r="L100" s="1024"/>
      <c r="M100" s="1033"/>
      <c r="N100" s="1024"/>
      <c r="O100" s="1024"/>
      <c r="P100" s="1024"/>
      <c r="Q100" s="1024"/>
      <c r="R100" s="1020"/>
      <c r="S100" s="1020"/>
      <c r="T100" s="1036"/>
      <c r="U100" s="1036"/>
      <c r="V100" s="1020"/>
      <c r="W100" s="1020"/>
      <c r="X100" s="1020"/>
      <c r="Y100" s="1020"/>
      <c r="Z100" s="1020"/>
      <c r="AA100" s="1020"/>
      <c r="AB100" s="1020"/>
      <c r="AC100" s="1020"/>
      <c r="AD100" s="1020"/>
      <c r="AE100" s="1020"/>
      <c r="AF100" s="1020"/>
      <c r="AG100" s="1020"/>
      <c r="AH100" s="1020"/>
      <c r="AI100" s="1020"/>
      <c r="AJ100" s="1020"/>
      <c r="AK100" s="1020"/>
      <c r="AL100" s="1020"/>
      <c r="AM100" s="1020"/>
      <c r="AN100" s="1020"/>
      <c r="AO100" s="1020"/>
      <c r="AP100" s="1020"/>
      <c r="AQ100" s="1020"/>
      <c r="AR100" s="1020"/>
      <c r="AS100" s="1020"/>
      <c r="AT100" s="1020"/>
      <c r="AU100" s="1020"/>
      <c r="AV100" s="1020"/>
      <c r="AW100" s="1020"/>
      <c r="AX100" s="1020"/>
    </row>
    <row r="101" spans="1:50" ht="12" customHeight="1">
      <c r="A101" s="1024"/>
      <c r="B101" s="161"/>
      <c r="C101" s="1024"/>
      <c r="D101" s="1024"/>
      <c r="E101" s="1024"/>
      <c r="F101" s="1024"/>
      <c r="G101" s="1024"/>
      <c r="H101" s="1024"/>
      <c r="I101" s="1024"/>
      <c r="J101" s="1059"/>
      <c r="K101" s="156"/>
      <c r="L101" s="1024"/>
      <c r="M101" s="1033"/>
      <c r="N101" s="1024"/>
      <c r="O101" s="1024"/>
      <c r="P101" s="1024"/>
      <c r="Q101" s="1024"/>
      <c r="R101" s="1020"/>
      <c r="S101" s="1020"/>
      <c r="T101" s="1036"/>
      <c r="U101" s="1036"/>
      <c r="V101" s="1020"/>
      <c r="W101" s="1020"/>
      <c r="X101" s="1020"/>
      <c r="Y101" s="1020"/>
      <c r="Z101" s="1020"/>
      <c r="AA101" s="1020"/>
      <c r="AB101" s="1020"/>
      <c r="AC101" s="1020"/>
      <c r="AD101" s="1020"/>
      <c r="AE101" s="1020"/>
      <c r="AF101" s="1020"/>
      <c r="AG101" s="1020"/>
      <c r="AH101" s="1020"/>
      <c r="AI101" s="1020"/>
      <c r="AJ101" s="1020"/>
      <c r="AK101" s="1020"/>
      <c r="AL101" s="1020"/>
      <c r="AM101" s="1020"/>
      <c r="AN101" s="1020"/>
      <c r="AO101" s="1020"/>
      <c r="AP101" s="1020"/>
      <c r="AQ101" s="1020"/>
      <c r="AR101" s="1020"/>
      <c r="AS101" s="1020"/>
      <c r="AT101" s="1020"/>
      <c r="AU101" s="1020"/>
      <c r="AV101" s="1020"/>
      <c r="AW101" s="1020"/>
      <c r="AX101" s="1020"/>
    </row>
    <row r="102" spans="1:50" ht="12" customHeight="1">
      <c r="A102" s="1024"/>
      <c r="B102" s="161"/>
      <c r="C102" s="1024"/>
      <c r="D102" s="1024"/>
      <c r="E102" s="1024"/>
      <c r="F102" s="1024"/>
      <c r="G102" s="1024"/>
      <c r="H102" s="1024"/>
      <c r="I102" s="1024"/>
      <c r="J102" s="1059"/>
      <c r="K102" s="156"/>
      <c r="L102" s="1024"/>
      <c r="M102" s="1033"/>
      <c r="N102" s="1024"/>
      <c r="O102" s="1024"/>
      <c r="P102" s="1024"/>
      <c r="Q102" s="1024"/>
      <c r="R102" s="1020"/>
      <c r="S102" s="1020"/>
      <c r="T102" s="1036"/>
      <c r="U102" s="1036"/>
      <c r="V102" s="1020"/>
      <c r="W102" s="1020"/>
      <c r="X102" s="1020"/>
      <c r="Y102" s="1020"/>
      <c r="Z102" s="1020"/>
      <c r="AA102" s="1020"/>
      <c r="AB102" s="1020"/>
      <c r="AC102" s="1020"/>
      <c r="AD102" s="1020"/>
      <c r="AE102" s="1020"/>
      <c r="AF102" s="1020"/>
      <c r="AG102" s="1020"/>
      <c r="AH102" s="1020"/>
      <c r="AI102" s="1020"/>
      <c r="AJ102" s="1020"/>
      <c r="AK102" s="1020"/>
      <c r="AL102" s="1020"/>
      <c r="AM102" s="1020"/>
      <c r="AN102" s="1020"/>
      <c r="AO102" s="1020"/>
      <c r="AP102" s="1020"/>
      <c r="AQ102" s="1020"/>
      <c r="AR102" s="1020"/>
      <c r="AS102" s="1020"/>
      <c r="AT102" s="1020"/>
      <c r="AU102" s="1020"/>
      <c r="AV102" s="1020"/>
      <c r="AW102" s="1020"/>
      <c r="AX102" s="1020"/>
    </row>
    <row r="103" spans="1:50" ht="12" customHeight="1">
      <c r="A103" s="1024"/>
      <c r="B103" s="161"/>
      <c r="C103" s="1024"/>
      <c r="D103" s="1024"/>
      <c r="E103" s="1024"/>
      <c r="F103" s="1024"/>
      <c r="G103" s="1024"/>
      <c r="H103" s="1024"/>
      <c r="I103" s="1024"/>
      <c r="J103" s="1059"/>
      <c r="K103" s="156"/>
      <c r="L103" s="1024"/>
      <c r="M103" s="1033"/>
      <c r="N103" s="1024"/>
      <c r="O103" s="1024"/>
      <c r="P103" s="1024"/>
      <c r="Q103" s="1024"/>
      <c r="R103" s="1020"/>
      <c r="S103" s="1020"/>
      <c r="T103" s="1036"/>
      <c r="U103" s="1036"/>
      <c r="V103" s="1020"/>
      <c r="W103" s="1020"/>
      <c r="X103" s="1020"/>
      <c r="Y103" s="1020"/>
      <c r="Z103" s="1020"/>
      <c r="AA103" s="1020"/>
      <c r="AB103" s="1020"/>
      <c r="AC103" s="1020"/>
      <c r="AD103" s="1020"/>
      <c r="AE103" s="1020"/>
      <c r="AF103" s="1020"/>
      <c r="AG103" s="1020"/>
      <c r="AH103" s="1020"/>
      <c r="AI103" s="1020"/>
      <c r="AJ103" s="1020"/>
      <c r="AK103" s="1020"/>
      <c r="AL103" s="1020"/>
      <c r="AM103" s="1020"/>
      <c r="AN103" s="1020"/>
      <c r="AO103" s="1020"/>
      <c r="AP103" s="1020"/>
      <c r="AQ103" s="1020"/>
      <c r="AR103" s="1020"/>
      <c r="AS103" s="1020"/>
      <c r="AT103" s="1020"/>
      <c r="AU103" s="1020"/>
      <c r="AV103" s="1020"/>
      <c r="AW103" s="1020"/>
      <c r="AX103" s="1020"/>
    </row>
    <row r="104" spans="1:50" ht="12" customHeight="1">
      <c r="A104" s="1024"/>
      <c r="B104" s="161"/>
      <c r="C104" s="1024"/>
      <c r="D104" s="1024"/>
      <c r="E104" s="1024"/>
      <c r="F104" s="1024"/>
      <c r="G104" s="1024"/>
      <c r="H104" s="1024"/>
      <c r="I104" s="1024"/>
      <c r="J104" s="1059"/>
      <c r="K104" s="156"/>
      <c r="L104" s="1024"/>
      <c r="M104" s="1033"/>
      <c r="N104" s="1024"/>
      <c r="O104" s="1024"/>
      <c r="P104" s="1024"/>
      <c r="Q104" s="1024"/>
      <c r="R104" s="1020"/>
      <c r="S104" s="1020"/>
      <c r="T104" s="1036"/>
      <c r="U104" s="1036"/>
      <c r="V104" s="1020"/>
      <c r="W104" s="1020"/>
      <c r="X104" s="1020"/>
      <c r="Y104" s="1020"/>
      <c r="Z104" s="1020"/>
      <c r="AA104" s="1020"/>
      <c r="AB104" s="1020"/>
      <c r="AC104" s="1020"/>
      <c r="AD104" s="1020"/>
      <c r="AE104" s="1020"/>
      <c r="AF104" s="1020"/>
      <c r="AG104" s="1020"/>
      <c r="AH104" s="1020"/>
      <c r="AI104" s="1020"/>
      <c r="AJ104" s="1020"/>
      <c r="AK104" s="1020"/>
      <c r="AL104" s="1020"/>
      <c r="AM104" s="1020"/>
      <c r="AN104" s="1020"/>
      <c r="AO104" s="1020"/>
      <c r="AP104" s="1020"/>
      <c r="AQ104" s="1020"/>
      <c r="AR104" s="1020"/>
      <c r="AS104" s="1020"/>
      <c r="AT104" s="1020"/>
      <c r="AU104" s="1020"/>
      <c r="AV104" s="1020"/>
      <c r="AW104" s="1020"/>
      <c r="AX104" s="1020"/>
    </row>
    <row r="105" spans="1:50" ht="12" customHeight="1">
      <c r="A105" s="1024"/>
      <c r="B105" s="161"/>
      <c r="C105" s="1024"/>
      <c r="D105" s="1024"/>
      <c r="E105" s="1024"/>
      <c r="F105" s="1024"/>
      <c r="G105" s="1024"/>
      <c r="H105" s="1024"/>
      <c r="I105" s="1024"/>
      <c r="J105" s="1059"/>
      <c r="K105" s="156"/>
      <c r="L105" s="1024"/>
      <c r="M105" s="1033"/>
      <c r="N105" s="1024"/>
      <c r="O105" s="1024"/>
      <c r="P105" s="1024"/>
      <c r="Q105" s="1024"/>
      <c r="R105" s="1020"/>
      <c r="S105" s="1020"/>
      <c r="T105" s="1036"/>
      <c r="U105" s="1036"/>
      <c r="V105" s="1020"/>
      <c r="W105" s="1020"/>
      <c r="X105" s="1020"/>
      <c r="Y105" s="1020"/>
      <c r="Z105" s="1020"/>
      <c r="AA105" s="1020"/>
      <c r="AB105" s="1020"/>
      <c r="AC105" s="1020"/>
      <c r="AD105" s="1020"/>
      <c r="AE105" s="1020"/>
      <c r="AF105" s="1020"/>
      <c r="AG105" s="1020"/>
      <c r="AH105" s="1020"/>
      <c r="AI105" s="1020"/>
      <c r="AJ105" s="1020"/>
      <c r="AK105" s="1020"/>
      <c r="AL105" s="1020"/>
      <c r="AM105" s="1020"/>
      <c r="AN105" s="1020"/>
      <c r="AO105" s="1020"/>
      <c r="AP105" s="1020"/>
      <c r="AQ105" s="1020"/>
      <c r="AR105" s="1020"/>
      <c r="AS105" s="1020"/>
      <c r="AT105" s="1020"/>
      <c r="AU105" s="1020"/>
      <c r="AV105" s="1020"/>
      <c r="AW105" s="1020"/>
      <c r="AX105" s="1020"/>
    </row>
    <row r="106" spans="1:50" ht="12" customHeight="1">
      <c r="A106" s="1024"/>
      <c r="B106" s="161"/>
      <c r="C106" s="1024"/>
      <c r="D106" s="1024"/>
      <c r="E106" s="1024"/>
      <c r="F106" s="1024"/>
      <c r="G106" s="1024"/>
      <c r="H106" s="1024"/>
      <c r="I106" s="1024"/>
      <c r="J106" s="1059"/>
      <c r="K106" s="156"/>
      <c r="L106" s="1024"/>
      <c r="M106" s="1033"/>
      <c r="N106" s="1024"/>
      <c r="O106" s="1024"/>
      <c r="P106" s="1024"/>
      <c r="Q106" s="1024"/>
      <c r="R106" s="1020"/>
      <c r="S106" s="1020"/>
      <c r="T106" s="1036"/>
      <c r="U106" s="1036"/>
      <c r="V106" s="1020"/>
      <c r="W106" s="1020"/>
      <c r="X106" s="1020"/>
      <c r="Y106" s="1020"/>
      <c r="Z106" s="1020"/>
      <c r="AA106" s="1020"/>
      <c r="AB106" s="1020"/>
      <c r="AC106" s="1020"/>
      <c r="AD106" s="1020"/>
      <c r="AE106" s="1020"/>
      <c r="AF106" s="1020"/>
      <c r="AG106" s="1020"/>
      <c r="AH106" s="1020"/>
      <c r="AI106" s="1020"/>
      <c r="AJ106" s="1020"/>
      <c r="AK106" s="1020"/>
      <c r="AL106" s="1020"/>
      <c r="AM106" s="1020"/>
      <c r="AN106" s="1020"/>
      <c r="AO106" s="1020"/>
      <c r="AP106" s="1020"/>
      <c r="AQ106" s="1020"/>
      <c r="AR106" s="1020"/>
      <c r="AS106" s="1020"/>
      <c r="AT106" s="1020"/>
      <c r="AU106" s="1020"/>
      <c r="AV106" s="1020"/>
      <c r="AW106" s="1020"/>
      <c r="AX106" s="1020"/>
    </row>
    <row r="107" spans="1:50" ht="12" customHeight="1">
      <c r="A107" s="1024"/>
      <c r="B107" s="161"/>
      <c r="C107" s="1024"/>
      <c r="D107" s="1024"/>
      <c r="E107" s="1024"/>
      <c r="F107" s="1024"/>
      <c r="G107" s="1024"/>
      <c r="H107" s="1024"/>
      <c r="I107" s="1024"/>
      <c r="J107" s="1059"/>
      <c r="K107" s="156"/>
      <c r="L107" s="1024"/>
      <c r="M107" s="1033"/>
      <c r="N107" s="1024"/>
      <c r="O107" s="1024"/>
      <c r="P107" s="1024"/>
      <c r="Q107" s="1024"/>
      <c r="R107" s="1020"/>
      <c r="S107" s="1020"/>
      <c r="T107" s="1036"/>
      <c r="U107" s="1036"/>
      <c r="V107" s="1020"/>
      <c r="W107" s="1020"/>
      <c r="X107" s="1020"/>
      <c r="Y107" s="1020"/>
      <c r="Z107" s="1020"/>
      <c r="AA107" s="1020"/>
      <c r="AB107" s="1020"/>
      <c r="AC107" s="1020"/>
      <c r="AD107" s="1020"/>
      <c r="AE107" s="1020"/>
      <c r="AF107" s="1020"/>
      <c r="AG107" s="1020"/>
      <c r="AH107" s="1020"/>
      <c r="AI107" s="1020"/>
      <c r="AJ107" s="1020"/>
      <c r="AK107" s="1020"/>
      <c r="AL107" s="1020"/>
      <c r="AM107" s="1020"/>
      <c r="AN107" s="1020"/>
      <c r="AO107" s="1020"/>
      <c r="AP107" s="1020"/>
      <c r="AQ107" s="1020"/>
      <c r="AR107" s="1020"/>
      <c r="AS107" s="1020"/>
      <c r="AT107" s="1020"/>
      <c r="AU107" s="1020"/>
      <c r="AV107" s="1020"/>
      <c r="AW107" s="1020"/>
      <c r="AX107" s="1020"/>
    </row>
    <row r="108" spans="1:50" ht="12" customHeight="1">
      <c r="A108" s="1024"/>
      <c r="B108" s="161"/>
      <c r="C108" s="1024"/>
      <c r="D108" s="1024"/>
      <c r="E108" s="1024"/>
      <c r="F108" s="1024"/>
      <c r="G108" s="1024"/>
      <c r="H108" s="1024"/>
      <c r="I108" s="1024"/>
      <c r="J108" s="1059"/>
      <c r="K108" s="156"/>
      <c r="L108" s="1024"/>
      <c r="M108" s="1033"/>
      <c r="N108" s="1024"/>
      <c r="O108" s="1024"/>
      <c r="P108" s="1024"/>
      <c r="Q108" s="1024"/>
      <c r="R108" s="1020"/>
      <c r="S108" s="1020"/>
      <c r="T108" s="1036"/>
      <c r="U108" s="1036"/>
      <c r="V108" s="1020"/>
      <c r="W108" s="1020"/>
      <c r="X108" s="1020"/>
      <c r="Y108" s="1020"/>
      <c r="Z108" s="1020"/>
      <c r="AA108" s="1020"/>
      <c r="AB108" s="1020"/>
      <c r="AC108" s="1020"/>
      <c r="AD108" s="1020"/>
      <c r="AE108" s="1020"/>
      <c r="AF108" s="1020"/>
      <c r="AG108" s="1020"/>
      <c r="AH108" s="1020"/>
      <c r="AI108" s="1020"/>
      <c r="AJ108" s="1020"/>
      <c r="AK108" s="1020"/>
      <c r="AL108" s="1020"/>
      <c r="AM108" s="1020"/>
      <c r="AN108" s="1020"/>
      <c r="AO108" s="1020"/>
      <c r="AP108" s="1020"/>
      <c r="AQ108" s="1020"/>
      <c r="AR108" s="1020"/>
      <c r="AS108" s="1020"/>
      <c r="AT108" s="1020"/>
      <c r="AU108" s="1020"/>
      <c r="AV108" s="1020"/>
      <c r="AW108" s="1020"/>
      <c r="AX108" s="1020"/>
    </row>
    <row r="109" spans="1:50" ht="12" customHeight="1">
      <c r="A109" s="1024"/>
      <c r="B109" s="161"/>
      <c r="C109" s="1024"/>
      <c r="D109" s="1024"/>
      <c r="E109" s="1024"/>
      <c r="F109" s="1024"/>
      <c r="G109" s="1024"/>
      <c r="H109" s="1024"/>
      <c r="I109" s="1024"/>
      <c r="J109" s="1059"/>
      <c r="K109" s="156"/>
      <c r="L109" s="1024"/>
      <c r="M109" s="1033"/>
      <c r="N109" s="1024"/>
      <c r="O109" s="1024"/>
      <c r="P109" s="1024"/>
      <c r="Q109" s="1024"/>
      <c r="R109" s="1020"/>
      <c r="S109" s="1020"/>
      <c r="T109" s="1036"/>
      <c r="U109" s="1036"/>
      <c r="V109" s="1020"/>
      <c r="W109" s="1020"/>
      <c r="X109" s="1020"/>
      <c r="Y109" s="1020"/>
      <c r="Z109" s="1020"/>
      <c r="AA109" s="1020"/>
      <c r="AB109" s="1020"/>
      <c r="AC109" s="1020"/>
      <c r="AD109" s="1020"/>
      <c r="AE109" s="1020"/>
      <c r="AF109" s="1020"/>
      <c r="AG109" s="1020"/>
      <c r="AH109" s="1020"/>
      <c r="AI109" s="1020"/>
      <c r="AJ109" s="1020"/>
      <c r="AK109" s="1020"/>
      <c r="AL109" s="1020"/>
      <c r="AM109" s="1020"/>
      <c r="AN109" s="1020"/>
      <c r="AO109" s="1020"/>
      <c r="AP109" s="1020"/>
      <c r="AQ109" s="1020"/>
      <c r="AR109" s="1020"/>
      <c r="AS109" s="1020"/>
      <c r="AT109" s="1020"/>
      <c r="AU109" s="1020"/>
      <c r="AV109" s="1020"/>
      <c r="AW109" s="1020"/>
      <c r="AX109" s="1020"/>
    </row>
    <row r="110" spans="1:50" ht="12" customHeight="1">
      <c r="A110" s="1024"/>
      <c r="B110" s="161"/>
      <c r="C110" s="1024"/>
      <c r="D110" s="1024"/>
      <c r="E110" s="1024"/>
      <c r="F110" s="1024"/>
      <c r="G110" s="1024"/>
      <c r="H110" s="1024"/>
      <c r="I110" s="1024"/>
      <c r="J110" s="1059"/>
      <c r="K110" s="156"/>
      <c r="L110" s="1024"/>
      <c r="M110" s="1033"/>
      <c r="N110" s="1024"/>
      <c r="O110" s="1024"/>
      <c r="P110" s="1024"/>
      <c r="Q110" s="1024"/>
      <c r="R110" s="1020"/>
      <c r="S110" s="1020"/>
      <c r="T110" s="1036"/>
      <c r="U110" s="1036"/>
      <c r="V110" s="1020"/>
      <c r="W110" s="1020"/>
      <c r="X110" s="1020"/>
      <c r="Y110" s="1020"/>
      <c r="Z110" s="1020"/>
      <c r="AA110" s="1020"/>
      <c r="AB110" s="1020"/>
      <c r="AC110" s="1020"/>
      <c r="AD110" s="1020"/>
      <c r="AE110" s="1020"/>
      <c r="AF110" s="1020"/>
      <c r="AG110" s="1020"/>
      <c r="AH110" s="1020"/>
      <c r="AI110" s="1020"/>
      <c r="AJ110" s="1020"/>
      <c r="AK110" s="1020"/>
      <c r="AL110" s="1020"/>
      <c r="AM110" s="1020"/>
      <c r="AN110" s="1020"/>
      <c r="AO110" s="1020"/>
      <c r="AP110" s="1020"/>
      <c r="AQ110" s="1020"/>
      <c r="AR110" s="1020"/>
      <c r="AS110" s="1020"/>
      <c r="AT110" s="1020"/>
      <c r="AU110" s="1020"/>
      <c r="AV110" s="1020"/>
      <c r="AW110" s="1020"/>
      <c r="AX110" s="1020"/>
    </row>
    <row r="111" spans="1:50" ht="12" customHeight="1">
      <c r="A111" s="1024"/>
      <c r="B111" s="161"/>
      <c r="C111" s="1024"/>
      <c r="D111" s="1024"/>
      <c r="E111" s="1024"/>
      <c r="F111" s="1024"/>
      <c r="G111" s="1024"/>
      <c r="H111" s="1024"/>
      <c r="I111" s="1024"/>
      <c r="J111" s="1059"/>
      <c r="K111" s="156"/>
      <c r="L111" s="1024"/>
      <c r="M111" s="1033"/>
      <c r="N111" s="1024"/>
      <c r="O111" s="1024"/>
      <c r="P111" s="1024"/>
      <c r="Q111" s="1024"/>
      <c r="R111" s="1020"/>
      <c r="S111" s="1020"/>
      <c r="T111" s="1036"/>
      <c r="U111" s="1036"/>
      <c r="V111" s="1020"/>
      <c r="W111" s="1020"/>
      <c r="X111" s="1020"/>
      <c r="Y111" s="1020"/>
      <c r="Z111" s="1020"/>
      <c r="AA111" s="1020"/>
      <c r="AB111" s="1020"/>
      <c r="AC111" s="1020"/>
      <c r="AD111" s="1020"/>
      <c r="AE111" s="1020"/>
      <c r="AF111" s="1020"/>
      <c r="AG111" s="1020"/>
      <c r="AH111" s="1020"/>
      <c r="AI111" s="1020"/>
      <c r="AJ111" s="1020"/>
      <c r="AK111" s="1020"/>
      <c r="AL111" s="1020"/>
      <c r="AM111" s="1020"/>
      <c r="AN111" s="1020"/>
      <c r="AO111" s="1020"/>
      <c r="AP111" s="1020"/>
      <c r="AQ111" s="1020"/>
      <c r="AR111" s="1020"/>
      <c r="AS111" s="1020"/>
      <c r="AT111" s="1020"/>
      <c r="AU111" s="1020"/>
      <c r="AV111" s="1020"/>
      <c r="AW111" s="1020"/>
      <c r="AX111" s="1020"/>
    </row>
    <row r="112" spans="1:50" ht="12" customHeight="1">
      <c r="A112" s="1024"/>
      <c r="B112" s="161"/>
      <c r="C112" s="1024"/>
      <c r="D112" s="1024"/>
      <c r="E112" s="1024"/>
      <c r="F112" s="1024"/>
      <c r="G112" s="1024"/>
      <c r="H112" s="1024"/>
      <c r="I112" s="1024"/>
      <c r="J112" s="1059"/>
      <c r="K112" s="156"/>
      <c r="L112" s="1024"/>
      <c r="M112" s="1033"/>
      <c r="N112" s="1024"/>
      <c r="O112" s="1024"/>
      <c r="P112" s="1024"/>
      <c r="Q112" s="1024"/>
      <c r="R112" s="1020"/>
      <c r="S112" s="1020"/>
      <c r="T112" s="1036"/>
      <c r="U112" s="1036"/>
      <c r="V112" s="1020"/>
      <c r="W112" s="1020"/>
      <c r="X112" s="1020"/>
      <c r="Y112" s="1020"/>
      <c r="Z112" s="1020"/>
      <c r="AA112" s="1020"/>
      <c r="AB112" s="1020"/>
      <c r="AC112" s="1020"/>
      <c r="AD112" s="1020"/>
      <c r="AE112" s="1020"/>
      <c r="AF112" s="1020"/>
      <c r="AG112" s="1020"/>
      <c r="AH112" s="1020"/>
      <c r="AI112" s="1020"/>
      <c r="AJ112" s="1020"/>
      <c r="AK112" s="1020"/>
      <c r="AL112" s="1020"/>
      <c r="AM112" s="1020"/>
      <c r="AN112" s="1020"/>
      <c r="AO112" s="1020"/>
      <c r="AP112" s="1020"/>
      <c r="AQ112" s="1020"/>
      <c r="AR112" s="1020"/>
      <c r="AS112" s="1020"/>
      <c r="AT112" s="1020"/>
      <c r="AU112" s="1020"/>
      <c r="AV112" s="1020"/>
      <c r="AW112" s="1020"/>
      <c r="AX112" s="1020"/>
    </row>
    <row r="113" spans="1:50" ht="12" customHeight="1">
      <c r="A113" s="1024"/>
      <c r="B113" s="161"/>
      <c r="C113" s="1024"/>
      <c r="D113" s="1024"/>
      <c r="E113" s="1024"/>
      <c r="F113" s="1024"/>
      <c r="G113" s="1024"/>
      <c r="H113" s="1024"/>
      <c r="I113" s="1024"/>
      <c r="J113" s="1059"/>
      <c r="K113" s="156"/>
      <c r="L113" s="1024"/>
      <c r="M113" s="1033"/>
      <c r="N113" s="1024"/>
      <c r="O113" s="1024"/>
      <c r="P113" s="1024"/>
      <c r="Q113" s="1024"/>
      <c r="R113" s="1020"/>
      <c r="S113" s="1020"/>
      <c r="T113" s="1036"/>
      <c r="U113" s="1036"/>
      <c r="V113" s="1020"/>
      <c r="W113" s="1020"/>
      <c r="X113" s="1020"/>
      <c r="Y113" s="1020"/>
      <c r="Z113" s="1020"/>
      <c r="AA113" s="1020"/>
      <c r="AB113" s="1020"/>
      <c r="AC113" s="1020"/>
      <c r="AD113" s="1020"/>
      <c r="AE113" s="1020"/>
      <c r="AF113" s="1020"/>
      <c r="AG113" s="1020"/>
      <c r="AH113" s="1020"/>
      <c r="AI113" s="1020"/>
      <c r="AJ113" s="1020"/>
      <c r="AK113" s="1020"/>
      <c r="AL113" s="1020"/>
      <c r="AM113" s="1020"/>
      <c r="AN113" s="1020"/>
      <c r="AO113" s="1020"/>
      <c r="AP113" s="1020"/>
      <c r="AQ113" s="1020"/>
      <c r="AR113" s="1020"/>
      <c r="AS113" s="1020"/>
      <c r="AT113" s="1020"/>
      <c r="AU113" s="1020"/>
      <c r="AV113" s="1020"/>
      <c r="AW113" s="1020"/>
      <c r="AX113" s="1020"/>
    </row>
    <row r="114" spans="1:50" ht="12" customHeight="1">
      <c r="A114" s="1024"/>
      <c r="B114" s="161"/>
      <c r="C114" s="1024"/>
      <c r="D114" s="1024"/>
      <c r="E114" s="1024"/>
      <c r="F114" s="1024"/>
      <c r="G114" s="1024"/>
      <c r="H114" s="1024"/>
      <c r="I114" s="1024"/>
      <c r="J114" s="1059"/>
      <c r="K114" s="156"/>
      <c r="L114" s="1024"/>
      <c r="M114" s="1033"/>
      <c r="N114" s="1024"/>
      <c r="O114" s="1024"/>
      <c r="P114" s="1024"/>
      <c r="Q114" s="1024"/>
      <c r="R114" s="1020"/>
      <c r="S114" s="1020"/>
      <c r="T114" s="1036"/>
      <c r="U114" s="1036"/>
      <c r="V114" s="1020"/>
      <c r="W114" s="1020"/>
      <c r="X114" s="1020"/>
      <c r="Y114" s="1020"/>
      <c r="Z114" s="1020"/>
      <c r="AA114" s="1020"/>
      <c r="AB114" s="1020"/>
      <c r="AC114" s="1020"/>
      <c r="AD114" s="1020"/>
      <c r="AE114" s="1020"/>
      <c r="AF114" s="1020"/>
      <c r="AG114" s="1020"/>
      <c r="AH114" s="1020"/>
      <c r="AI114" s="1020"/>
      <c r="AJ114" s="1020"/>
      <c r="AK114" s="1020"/>
      <c r="AL114" s="1020"/>
      <c r="AM114" s="1020"/>
      <c r="AN114" s="1020"/>
      <c r="AO114" s="1020"/>
      <c r="AP114" s="1020"/>
      <c r="AQ114" s="1020"/>
      <c r="AR114" s="1020"/>
      <c r="AS114" s="1020"/>
      <c r="AT114" s="1020"/>
      <c r="AU114" s="1020"/>
      <c r="AV114" s="1020"/>
      <c r="AW114" s="1020"/>
      <c r="AX114" s="1020"/>
    </row>
    <row r="115" spans="1:50" ht="12" customHeight="1">
      <c r="A115" s="1024"/>
      <c r="B115" s="161"/>
      <c r="C115" s="1024"/>
      <c r="D115" s="1024"/>
      <c r="E115" s="1024"/>
      <c r="F115" s="1024"/>
      <c r="G115" s="1024"/>
      <c r="H115" s="1024"/>
      <c r="I115" s="1024"/>
      <c r="J115" s="1059"/>
      <c r="K115" s="156"/>
      <c r="L115" s="1024"/>
      <c r="M115" s="1033"/>
      <c r="N115" s="1024"/>
      <c r="O115" s="1024"/>
      <c r="P115" s="1024"/>
      <c r="Q115" s="1024"/>
      <c r="R115" s="1020"/>
      <c r="S115" s="1020"/>
      <c r="T115" s="1036"/>
      <c r="U115" s="1036"/>
      <c r="V115" s="1020"/>
      <c r="W115" s="1020"/>
      <c r="X115" s="1020"/>
      <c r="Y115" s="1020"/>
      <c r="Z115" s="1020"/>
      <c r="AA115" s="1020"/>
      <c r="AB115" s="1020"/>
      <c r="AC115" s="1020"/>
      <c r="AD115" s="1020"/>
      <c r="AE115" s="1020"/>
      <c r="AF115" s="1020"/>
      <c r="AG115" s="1020"/>
      <c r="AH115" s="1020"/>
      <c r="AI115" s="1020"/>
      <c r="AJ115" s="1020"/>
      <c r="AK115" s="1020"/>
      <c r="AL115" s="1020"/>
      <c r="AM115" s="1020"/>
      <c r="AN115" s="1020"/>
      <c r="AO115" s="1020"/>
      <c r="AP115" s="1020"/>
      <c r="AQ115" s="1020"/>
      <c r="AR115" s="1020"/>
      <c r="AS115" s="1020"/>
      <c r="AT115" s="1020"/>
      <c r="AU115" s="1020"/>
      <c r="AV115" s="1020"/>
      <c r="AW115" s="1020"/>
      <c r="AX115" s="1020"/>
    </row>
    <row r="116" spans="1:50" ht="12" customHeight="1">
      <c r="A116" s="1024"/>
      <c r="B116" s="161"/>
      <c r="C116" s="1024"/>
      <c r="D116" s="1024"/>
      <c r="E116" s="1024"/>
      <c r="F116" s="1024"/>
      <c r="G116" s="1024"/>
      <c r="H116" s="1024"/>
      <c r="I116" s="1024"/>
      <c r="J116" s="1059"/>
      <c r="K116" s="156"/>
      <c r="L116" s="1024"/>
      <c r="M116" s="1033"/>
      <c r="N116" s="1024"/>
      <c r="O116" s="1024"/>
      <c r="P116" s="1024"/>
      <c r="Q116" s="1024"/>
      <c r="R116" s="1020"/>
      <c r="S116" s="1020"/>
      <c r="T116" s="1036"/>
      <c r="U116" s="1036"/>
      <c r="V116" s="1020"/>
      <c r="W116" s="1020"/>
      <c r="X116" s="1020"/>
      <c r="Y116" s="1020"/>
      <c r="Z116" s="1020"/>
      <c r="AA116" s="1020"/>
      <c r="AB116" s="1020"/>
      <c r="AC116" s="1020"/>
      <c r="AD116" s="1020"/>
      <c r="AE116" s="1020"/>
      <c r="AF116" s="1020"/>
      <c r="AG116" s="1020"/>
      <c r="AH116" s="1020"/>
      <c r="AI116" s="1020"/>
      <c r="AJ116" s="1020"/>
      <c r="AK116" s="1020"/>
      <c r="AL116" s="1020"/>
      <c r="AM116" s="1020"/>
      <c r="AN116" s="1020"/>
      <c r="AO116" s="1020"/>
      <c r="AP116" s="1020"/>
      <c r="AQ116" s="1020"/>
      <c r="AR116" s="1020"/>
      <c r="AS116" s="1020"/>
      <c r="AT116" s="1020"/>
      <c r="AU116" s="1020"/>
      <c r="AV116" s="1020"/>
      <c r="AW116" s="1020"/>
      <c r="AX116" s="1020"/>
    </row>
    <row r="117" spans="1:50" ht="12" customHeight="1">
      <c r="A117" s="1024"/>
      <c r="B117" s="161"/>
      <c r="C117" s="1024"/>
      <c r="D117" s="1024"/>
      <c r="E117" s="1024"/>
      <c r="F117" s="1024"/>
      <c r="G117" s="1024"/>
      <c r="H117" s="1024"/>
      <c r="I117" s="1024"/>
      <c r="J117" s="1059"/>
      <c r="K117" s="156"/>
      <c r="L117" s="1024"/>
      <c r="M117" s="1033"/>
      <c r="N117" s="1024"/>
      <c r="O117" s="1024"/>
      <c r="P117" s="1024"/>
      <c r="Q117" s="1024"/>
      <c r="R117" s="1020"/>
      <c r="S117" s="1020"/>
      <c r="T117" s="1036"/>
      <c r="U117" s="1036"/>
      <c r="V117" s="1020"/>
      <c r="W117" s="1020"/>
      <c r="X117" s="1020"/>
      <c r="Y117" s="1020"/>
      <c r="Z117" s="1020"/>
      <c r="AA117" s="1020"/>
      <c r="AB117" s="1020"/>
      <c r="AC117" s="1020"/>
      <c r="AD117" s="1020"/>
      <c r="AE117" s="1020"/>
      <c r="AF117" s="1020"/>
      <c r="AG117" s="1020"/>
      <c r="AH117" s="1020"/>
      <c r="AI117" s="1020"/>
      <c r="AJ117" s="1020"/>
      <c r="AK117" s="1020"/>
      <c r="AL117" s="1020"/>
      <c r="AM117" s="1020"/>
      <c r="AN117" s="1020"/>
      <c r="AO117" s="1020"/>
      <c r="AP117" s="1020"/>
      <c r="AQ117" s="1020"/>
      <c r="AR117" s="1020"/>
      <c r="AS117" s="1020"/>
      <c r="AT117" s="1020"/>
      <c r="AU117" s="1020"/>
      <c r="AV117" s="1020"/>
      <c r="AW117" s="1020"/>
      <c r="AX117" s="1020"/>
    </row>
    <row r="118" spans="1:50" ht="12" customHeight="1">
      <c r="A118" s="1024"/>
      <c r="B118" s="161"/>
      <c r="C118" s="1024"/>
      <c r="D118" s="1024"/>
      <c r="E118" s="1024"/>
      <c r="F118" s="1024"/>
      <c r="G118" s="1024"/>
      <c r="H118" s="1024"/>
      <c r="I118" s="1024"/>
      <c r="J118" s="1059"/>
      <c r="K118" s="156"/>
      <c r="L118" s="1024"/>
      <c r="M118" s="1033"/>
      <c r="N118" s="1024"/>
      <c r="O118" s="1024"/>
      <c r="P118" s="1024"/>
      <c r="Q118" s="1024"/>
      <c r="R118" s="1020"/>
      <c r="S118" s="1020"/>
      <c r="T118" s="1036"/>
      <c r="U118" s="1036"/>
      <c r="V118" s="1020"/>
      <c r="W118" s="1020"/>
      <c r="X118" s="1020"/>
      <c r="Y118" s="1020"/>
      <c r="Z118" s="1020"/>
      <c r="AA118" s="1020"/>
      <c r="AB118" s="1020"/>
      <c r="AC118" s="1020"/>
      <c r="AD118" s="1020"/>
      <c r="AE118" s="1020"/>
      <c r="AF118" s="1020"/>
      <c r="AG118" s="1020"/>
      <c r="AH118" s="1020"/>
      <c r="AI118" s="1020"/>
      <c r="AJ118" s="1020"/>
      <c r="AK118" s="1020"/>
      <c r="AL118" s="1020"/>
      <c r="AM118" s="1020"/>
      <c r="AN118" s="1020"/>
      <c r="AO118" s="1020"/>
      <c r="AP118" s="1020"/>
      <c r="AQ118" s="1020"/>
      <c r="AR118" s="1020"/>
      <c r="AS118" s="1020"/>
      <c r="AT118" s="1020"/>
      <c r="AU118" s="1020"/>
      <c r="AV118" s="1020"/>
      <c r="AW118" s="1020"/>
      <c r="AX118" s="1020"/>
    </row>
    <row r="119" spans="1:50" ht="12" customHeight="1">
      <c r="A119" s="1024"/>
      <c r="B119" s="161"/>
      <c r="C119" s="1024"/>
      <c r="D119" s="1024"/>
      <c r="E119" s="1024"/>
      <c r="F119" s="1024"/>
      <c r="G119" s="1024"/>
      <c r="H119" s="1024"/>
      <c r="I119" s="1024"/>
      <c r="J119" s="1059"/>
      <c r="K119" s="156"/>
      <c r="L119" s="1024"/>
      <c r="M119" s="1033"/>
      <c r="N119" s="1024"/>
      <c r="O119" s="1024"/>
      <c r="P119" s="1024"/>
      <c r="Q119" s="1024"/>
      <c r="R119" s="1020"/>
      <c r="S119" s="1020"/>
      <c r="T119" s="1036"/>
      <c r="U119" s="1036"/>
      <c r="V119" s="1020"/>
      <c r="W119" s="1020"/>
      <c r="X119" s="1020"/>
      <c r="Y119" s="1020"/>
      <c r="Z119" s="1020"/>
      <c r="AA119" s="1020"/>
      <c r="AB119" s="1020"/>
      <c r="AC119" s="1020"/>
      <c r="AD119" s="1020"/>
      <c r="AE119" s="1020"/>
      <c r="AF119" s="1020"/>
      <c r="AG119" s="1020"/>
      <c r="AH119" s="1020"/>
      <c r="AI119" s="1020"/>
      <c r="AJ119" s="1020"/>
      <c r="AK119" s="1020"/>
      <c r="AL119" s="1020"/>
      <c r="AM119" s="1020"/>
      <c r="AN119" s="1020"/>
      <c r="AO119" s="1020"/>
      <c r="AP119" s="1020"/>
      <c r="AQ119" s="1020"/>
      <c r="AR119" s="1020"/>
      <c r="AS119" s="1020"/>
      <c r="AT119" s="1020"/>
      <c r="AU119" s="1020"/>
      <c r="AV119" s="1020"/>
      <c r="AW119" s="1020"/>
      <c r="AX119" s="1020"/>
    </row>
    <row r="120" spans="1:50" ht="12" customHeight="1">
      <c r="A120" s="1024"/>
      <c r="B120" s="161"/>
      <c r="C120" s="1024"/>
      <c r="D120" s="1024"/>
      <c r="E120" s="1024"/>
      <c r="F120" s="1024"/>
      <c r="G120" s="1024"/>
      <c r="H120" s="1024"/>
      <c r="I120" s="1024"/>
      <c r="J120" s="1059"/>
      <c r="K120" s="156"/>
      <c r="L120" s="1024"/>
      <c r="M120" s="1033"/>
      <c r="N120" s="1024"/>
      <c r="O120" s="1024"/>
      <c r="P120" s="1024"/>
      <c r="Q120" s="1024"/>
      <c r="R120" s="1020"/>
      <c r="S120" s="1020"/>
      <c r="T120" s="1036"/>
      <c r="U120" s="1036"/>
      <c r="V120" s="1020"/>
      <c r="W120" s="1020"/>
      <c r="X120" s="1020"/>
      <c r="Y120" s="1020"/>
      <c r="Z120" s="1020"/>
      <c r="AA120" s="1020"/>
      <c r="AB120" s="1020"/>
      <c r="AC120" s="1020"/>
      <c r="AD120" s="1020"/>
      <c r="AE120" s="1020"/>
      <c r="AF120" s="1020"/>
      <c r="AG120" s="1020"/>
      <c r="AH120" s="1020"/>
      <c r="AI120" s="1020"/>
      <c r="AJ120" s="1020"/>
      <c r="AK120" s="1020"/>
      <c r="AL120" s="1020"/>
      <c r="AM120" s="1020"/>
      <c r="AN120" s="1020"/>
      <c r="AO120" s="1020"/>
      <c r="AP120" s="1020"/>
      <c r="AQ120" s="1020"/>
      <c r="AR120" s="1020"/>
      <c r="AS120" s="1020"/>
      <c r="AT120" s="1020"/>
      <c r="AU120" s="1020"/>
      <c r="AV120" s="1020"/>
      <c r="AW120" s="1020"/>
      <c r="AX120" s="1020"/>
    </row>
    <row r="121" spans="1:50" ht="12" customHeight="1">
      <c r="A121" s="1024"/>
      <c r="B121" s="161"/>
      <c r="C121" s="1024"/>
      <c r="D121" s="1024"/>
      <c r="E121" s="1024"/>
      <c r="F121" s="1024"/>
      <c r="G121" s="1024"/>
      <c r="H121" s="1024"/>
      <c r="I121" s="1024"/>
      <c r="J121" s="1059"/>
      <c r="K121" s="156"/>
      <c r="L121" s="1024"/>
      <c r="M121" s="1033"/>
      <c r="N121" s="1024"/>
      <c r="O121" s="1024"/>
      <c r="P121" s="1024"/>
      <c r="Q121" s="1024"/>
      <c r="R121" s="1020"/>
      <c r="S121" s="1020"/>
      <c r="T121" s="1036"/>
      <c r="U121" s="1036"/>
      <c r="V121" s="1020"/>
      <c r="W121" s="1020"/>
      <c r="X121" s="1020"/>
      <c r="Y121" s="1020"/>
      <c r="Z121" s="1020"/>
      <c r="AA121" s="1020"/>
      <c r="AB121" s="1020"/>
      <c r="AC121" s="1020"/>
      <c r="AD121" s="1020"/>
      <c r="AE121" s="1020"/>
      <c r="AF121" s="1020"/>
      <c r="AG121" s="1020"/>
      <c r="AH121" s="1020"/>
      <c r="AI121" s="1020"/>
      <c r="AJ121" s="1020"/>
      <c r="AK121" s="1020"/>
      <c r="AL121" s="1020"/>
      <c r="AM121" s="1020"/>
      <c r="AN121" s="1020"/>
      <c r="AO121" s="1020"/>
      <c r="AP121" s="1020"/>
      <c r="AQ121" s="1020"/>
      <c r="AR121" s="1020"/>
      <c r="AS121" s="1020"/>
      <c r="AT121" s="1020"/>
      <c r="AU121" s="1020"/>
      <c r="AV121" s="1020"/>
      <c r="AW121" s="1020"/>
      <c r="AX121" s="1020"/>
    </row>
    <row r="122" spans="1:50" ht="12" customHeight="1">
      <c r="A122" s="1024"/>
      <c r="B122" s="161"/>
      <c r="C122" s="1024"/>
      <c r="D122" s="1024"/>
      <c r="E122" s="1024"/>
      <c r="F122" s="1024"/>
      <c r="G122" s="1024"/>
      <c r="H122" s="1024"/>
      <c r="I122" s="1024"/>
      <c r="J122" s="1059"/>
      <c r="K122" s="156"/>
      <c r="L122" s="1024"/>
      <c r="M122" s="1033"/>
      <c r="N122" s="1024"/>
      <c r="O122" s="1024"/>
      <c r="P122" s="1024"/>
      <c r="Q122" s="1024"/>
      <c r="R122" s="1020"/>
      <c r="S122" s="1020"/>
      <c r="T122" s="1036"/>
      <c r="U122" s="1036"/>
      <c r="V122" s="1020"/>
      <c r="W122" s="1020"/>
      <c r="X122" s="1020"/>
      <c r="Y122" s="1020"/>
      <c r="Z122" s="1020"/>
      <c r="AA122" s="1020"/>
      <c r="AB122" s="1020"/>
      <c r="AC122" s="1020"/>
      <c r="AD122" s="1020"/>
      <c r="AE122" s="1020"/>
      <c r="AF122" s="1020"/>
      <c r="AG122" s="1020"/>
      <c r="AH122" s="1020"/>
      <c r="AI122" s="1020"/>
      <c r="AJ122" s="1020"/>
      <c r="AK122" s="1020"/>
      <c r="AL122" s="1020"/>
      <c r="AM122" s="1020"/>
      <c r="AN122" s="1020"/>
      <c r="AO122" s="1020"/>
      <c r="AP122" s="1020"/>
      <c r="AQ122" s="1020"/>
      <c r="AR122" s="1020"/>
      <c r="AS122" s="1020"/>
      <c r="AT122" s="1020"/>
      <c r="AU122" s="1020"/>
      <c r="AV122" s="1020"/>
      <c r="AW122" s="1020"/>
      <c r="AX122" s="1020"/>
    </row>
    <row r="123" spans="1:50" ht="12" customHeight="1">
      <c r="A123" s="1024"/>
      <c r="B123" s="161"/>
      <c r="C123" s="1024"/>
      <c r="D123" s="1024"/>
      <c r="E123" s="1024"/>
      <c r="F123" s="1024"/>
      <c r="G123" s="1024"/>
      <c r="H123" s="1024"/>
      <c r="I123" s="1024"/>
      <c r="J123" s="1059"/>
      <c r="K123" s="156"/>
      <c r="L123" s="1024"/>
      <c r="M123" s="1033"/>
      <c r="N123" s="1024"/>
      <c r="O123" s="1024"/>
      <c r="P123" s="1024"/>
      <c r="Q123" s="1024"/>
      <c r="R123" s="1020"/>
      <c r="S123" s="1020"/>
      <c r="T123" s="1036"/>
      <c r="U123" s="1036"/>
      <c r="V123" s="1020"/>
      <c r="W123" s="1020"/>
      <c r="X123" s="1020"/>
      <c r="Y123" s="1020"/>
      <c r="Z123" s="1020"/>
      <c r="AA123" s="1020"/>
      <c r="AB123" s="1020"/>
      <c r="AC123" s="1020"/>
      <c r="AD123" s="1020"/>
      <c r="AE123" s="1020"/>
      <c r="AF123" s="1020"/>
      <c r="AG123" s="1020"/>
      <c r="AH123" s="1020"/>
      <c r="AI123" s="1020"/>
      <c r="AJ123" s="1020"/>
      <c r="AK123" s="1020"/>
      <c r="AL123" s="1020"/>
      <c r="AM123" s="1020"/>
      <c r="AN123" s="1020"/>
      <c r="AO123" s="1020"/>
      <c r="AP123" s="1020"/>
      <c r="AQ123" s="1020"/>
      <c r="AR123" s="1020"/>
      <c r="AS123" s="1020"/>
      <c r="AT123" s="1020"/>
      <c r="AU123" s="1020"/>
      <c r="AV123" s="1020"/>
      <c r="AW123" s="1020"/>
      <c r="AX123" s="1020"/>
    </row>
    <row r="124" spans="1:50" ht="12" customHeight="1">
      <c r="A124" s="1024"/>
      <c r="B124" s="161"/>
      <c r="C124" s="1024"/>
      <c r="D124" s="1024"/>
      <c r="E124" s="1024"/>
      <c r="F124" s="1024"/>
      <c r="G124" s="1024"/>
      <c r="H124" s="1024"/>
      <c r="I124" s="1024"/>
      <c r="J124" s="1059"/>
      <c r="K124" s="156"/>
      <c r="L124" s="1024"/>
      <c r="M124" s="1033"/>
      <c r="N124" s="1024"/>
      <c r="O124" s="1024"/>
      <c r="P124" s="1024"/>
      <c r="Q124" s="1024"/>
      <c r="R124" s="1020"/>
      <c r="S124" s="1020"/>
      <c r="T124" s="1036"/>
      <c r="U124" s="1036"/>
      <c r="V124" s="1020"/>
      <c r="W124" s="1020"/>
      <c r="X124" s="1020"/>
      <c r="Y124" s="1020"/>
      <c r="Z124" s="1020"/>
      <c r="AA124" s="1020"/>
      <c r="AB124" s="1020"/>
      <c r="AC124" s="1020"/>
      <c r="AD124" s="1020"/>
      <c r="AE124" s="1020"/>
      <c r="AF124" s="1020"/>
      <c r="AG124" s="1020"/>
      <c r="AH124" s="1020"/>
      <c r="AI124" s="1020"/>
      <c r="AJ124" s="1020"/>
      <c r="AK124" s="1020"/>
      <c r="AL124" s="1020"/>
      <c r="AM124" s="1020"/>
      <c r="AN124" s="1020"/>
      <c r="AO124" s="1020"/>
      <c r="AP124" s="1020"/>
      <c r="AQ124" s="1020"/>
      <c r="AR124" s="1020"/>
      <c r="AS124" s="1020"/>
      <c r="AT124" s="1020"/>
      <c r="AU124" s="1020"/>
      <c r="AV124" s="1020"/>
      <c r="AW124" s="1020"/>
      <c r="AX124" s="1020"/>
    </row>
    <row r="125" spans="1:50" ht="12" customHeight="1">
      <c r="A125" s="1024"/>
      <c r="B125" s="161"/>
      <c r="C125" s="1024"/>
      <c r="D125" s="1024"/>
      <c r="E125" s="1024"/>
      <c r="F125" s="1024"/>
      <c r="G125" s="1024"/>
      <c r="H125" s="1024"/>
      <c r="I125" s="1024"/>
      <c r="J125" s="1059"/>
      <c r="K125" s="156"/>
      <c r="L125" s="1024"/>
      <c r="M125" s="1033"/>
      <c r="N125" s="1024"/>
      <c r="O125" s="1024"/>
      <c r="P125" s="1024"/>
      <c r="Q125" s="1024"/>
      <c r="R125" s="1020"/>
      <c r="S125" s="1020"/>
      <c r="T125" s="1036"/>
      <c r="U125" s="1036"/>
      <c r="V125" s="1020"/>
      <c r="W125" s="1020"/>
      <c r="X125" s="1020"/>
      <c r="Y125" s="1020"/>
      <c r="Z125" s="1020"/>
      <c r="AA125" s="1020"/>
      <c r="AB125" s="1020"/>
      <c r="AC125" s="1020"/>
      <c r="AD125" s="1020"/>
      <c r="AE125" s="1020"/>
      <c r="AF125" s="1020"/>
      <c r="AG125" s="1020"/>
      <c r="AH125" s="1020"/>
      <c r="AI125" s="1020"/>
      <c r="AJ125" s="1020"/>
      <c r="AK125" s="1020"/>
      <c r="AL125" s="1020"/>
      <c r="AM125" s="1020"/>
      <c r="AN125" s="1020"/>
      <c r="AO125" s="1020"/>
      <c r="AP125" s="1020"/>
      <c r="AQ125" s="1020"/>
      <c r="AR125" s="1020"/>
      <c r="AS125" s="1020"/>
      <c r="AT125" s="1020"/>
      <c r="AU125" s="1020"/>
      <c r="AV125" s="1020"/>
      <c r="AW125" s="1020"/>
      <c r="AX125" s="1020"/>
    </row>
    <row r="126" spans="1:50" ht="12" customHeight="1">
      <c r="A126" s="1024"/>
      <c r="B126" s="161"/>
      <c r="C126" s="1024"/>
      <c r="D126" s="1024"/>
      <c r="E126" s="1024"/>
      <c r="F126" s="1024"/>
      <c r="G126" s="1024"/>
      <c r="H126" s="1024"/>
      <c r="I126" s="1024"/>
      <c r="J126" s="1059"/>
      <c r="K126" s="156"/>
      <c r="L126" s="1024"/>
      <c r="M126" s="1033"/>
      <c r="N126" s="1024"/>
      <c r="O126" s="1024"/>
      <c r="P126" s="1024"/>
      <c r="Q126" s="1024"/>
      <c r="R126" s="1020"/>
      <c r="S126" s="1020"/>
      <c r="T126" s="1036"/>
      <c r="U126" s="1036"/>
      <c r="V126" s="1020"/>
      <c r="W126" s="1020"/>
      <c r="X126" s="1020"/>
      <c r="Y126" s="1020"/>
      <c r="Z126" s="1020"/>
      <c r="AA126" s="1020"/>
      <c r="AB126" s="1020"/>
      <c r="AC126" s="1020"/>
      <c r="AD126" s="1020"/>
      <c r="AE126" s="1020"/>
      <c r="AF126" s="1020"/>
      <c r="AG126" s="1020"/>
      <c r="AH126" s="1020"/>
      <c r="AI126" s="1020"/>
      <c r="AJ126" s="1020"/>
      <c r="AK126" s="1020"/>
      <c r="AL126" s="1020"/>
      <c r="AM126" s="1020"/>
      <c r="AN126" s="1020"/>
      <c r="AO126" s="1020"/>
      <c r="AP126" s="1020"/>
      <c r="AQ126" s="1020"/>
      <c r="AR126" s="1020"/>
      <c r="AS126" s="1020"/>
      <c r="AT126" s="1020"/>
      <c r="AU126" s="1020"/>
      <c r="AV126" s="1020"/>
      <c r="AW126" s="1020"/>
      <c r="AX126" s="1020"/>
    </row>
    <row r="127" spans="1:50" ht="12" customHeight="1">
      <c r="A127" s="1024"/>
      <c r="B127" s="161"/>
      <c r="C127" s="1024"/>
      <c r="D127" s="1024"/>
      <c r="E127" s="1024"/>
      <c r="F127" s="1024"/>
      <c r="G127" s="1024"/>
      <c r="H127" s="1024"/>
      <c r="I127" s="1024"/>
      <c r="J127" s="1059"/>
      <c r="K127" s="156"/>
      <c r="L127" s="1024"/>
      <c r="M127" s="1033"/>
      <c r="N127" s="1024"/>
      <c r="O127" s="1024"/>
      <c r="P127" s="1024"/>
      <c r="Q127" s="1024"/>
      <c r="R127" s="1020"/>
      <c r="S127" s="1020"/>
      <c r="T127" s="1036"/>
      <c r="U127" s="1036"/>
      <c r="V127" s="1020"/>
      <c r="W127" s="1020"/>
      <c r="X127" s="1020"/>
      <c r="Y127" s="1020"/>
      <c r="Z127" s="1020"/>
      <c r="AA127" s="1020"/>
      <c r="AB127" s="1020"/>
      <c r="AC127" s="1020"/>
      <c r="AD127" s="1020"/>
      <c r="AE127" s="1020"/>
      <c r="AF127" s="1020"/>
      <c r="AG127" s="1020"/>
      <c r="AH127" s="1020"/>
      <c r="AI127" s="1020"/>
      <c r="AJ127" s="1020"/>
      <c r="AK127" s="1020"/>
      <c r="AL127" s="1020"/>
      <c r="AM127" s="1020"/>
      <c r="AN127" s="1020"/>
      <c r="AO127" s="1020"/>
      <c r="AP127" s="1020"/>
      <c r="AQ127" s="1020"/>
      <c r="AR127" s="1020"/>
      <c r="AS127" s="1020"/>
      <c r="AT127" s="1020"/>
      <c r="AU127" s="1020"/>
      <c r="AV127" s="1020"/>
      <c r="AW127" s="1020"/>
      <c r="AX127" s="1020"/>
    </row>
    <row r="128" spans="1:50" ht="12" customHeight="1">
      <c r="A128" s="1024"/>
      <c r="B128" s="161"/>
      <c r="C128" s="1024"/>
      <c r="D128" s="1024"/>
      <c r="E128" s="1024"/>
      <c r="F128" s="1024"/>
      <c r="G128" s="1024"/>
      <c r="H128" s="1024"/>
      <c r="I128" s="1024"/>
      <c r="J128" s="1059"/>
      <c r="K128" s="156"/>
      <c r="L128" s="1024"/>
      <c r="M128" s="1033"/>
      <c r="N128" s="1024"/>
      <c r="O128" s="1024"/>
      <c r="P128" s="1024"/>
      <c r="Q128" s="1024"/>
      <c r="R128" s="1020"/>
      <c r="S128" s="1020"/>
      <c r="T128" s="1036"/>
      <c r="U128" s="1036"/>
      <c r="V128" s="1020"/>
      <c r="W128" s="1020"/>
      <c r="X128" s="1020"/>
      <c r="Y128" s="1020"/>
      <c r="Z128" s="1020"/>
      <c r="AA128" s="1020"/>
      <c r="AB128" s="1020"/>
      <c r="AC128" s="1020"/>
      <c r="AD128" s="1020"/>
      <c r="AE128" s="1020"/>
      <c r="AF128" s="1020"/>
      <c r="AG128" s="1020"/>
      <c r="AH128" s="1020"/>
      <c r="AI128" s="1020"/>
      <c r="AJ128" s="1020"/>
      <c r="AK128" s="1020"/>
      <c r="AL128" s="1020"/>
      <c r="AM128" s="1020"/>
      <c r="AN128" s="1020"/>
      <c r="AO128" s="1020"/>
      <c r="AP128" s="1020"/>
      <c r="AQ128" s="1020"/>
      <c r="AR128" s="1020"/>
      <c r="AS128" s="1020"/>
      <c r="AT128" s="1020"/>
      <c r="AU128" s="1020"/>
      <c r="AV128" s="1020"/>
      <c r="AW128" s="1020"/>
      <c r="AX128" s="1020"/>
    </row>
    <row r="129" spans="1:50" ht="12" customHeight="1">
      <c r="A129" s="1024"/>
      <c r="B129" s="161"/>
      <c r="C129" s="1024"/>
      <c r="D129" s="1024"/>
      <c r="E129" s="1024"/>
      <c r="F129" s="1024"/>
      <c r="G129" s="1024"/>
      <c r="H129" s="1024"/>
      <c r="I129" s="1024"/>
      <c r="J129" s="1059"/>
      <c r="K129" s="156"/>
      <c r="L129" s="1024"/>
      <c r="M129" s="1033"/>
      <c r="N129" s="1024"/>
      <c r="O129" s="1024"/>
      <c r="P129" s="1024"/>
      <c r="Q129" s="1024"/>
      <c r="R129" s="1020"/>
      <c r="S129" s="1020"/>
      <c r="T129" s="1036"/>
      <c r="U129" s="1036"/>
      <c r="V129" s="1020"/>
      <c r="W129" s="1020"/>
      <c r="X129" s="1020"/>
      <c r="Y129" s="1020"/>
      <c r="Z129" s="1020"/>
      <c r="AA129" s="1020"/>
      <c r="AB129" s="1020"/>
      <c r="AC129" s="1020"/>
      <c r="AD129" s="1020"/>
      <c r="AE129" s="1020"/>
      <c r="AF129" s="1020"/>
      <c r="AG129" s="1020"/>
      <c r="AH129" s="1020"/>
      <c r="AI129" s="1020"/>
      <c r="AJ129" s="1020"/>
      <c r="AK129" s="1020"/>
      <c r="AL129" s="1020"/>
      <c r="AM129" s="1020"/>
      <c r="AN129" s="1020"/>
      <c r="AO129" s="1020"/>
      <c r="AP129" s="1020"/>
      <c r="AQ129" s="1020"/>
      <c r="AR129" s="1020"/>
      <c r="AS129" s="1020"/>
      <c r="AT129" s="1020"/>
      <c r="AU129" s="1020"/>
      <c r="AV129" s="1020"/>
      <c r="AW129" s="1020"/>
      <c r="AX129" s="1020"/>
    </row>
    <row r="130" spans="1:50" ht="12" customHeight="1">
      <c r="A130" s="1024"/>
      <c r="B130" s="161"/>
      <c r="C130" s="1024"/>
      <c r="D130" s="1024"/>
      <c r="E130" s="1024"/>
      <c r="F130" s="1024"/>
      <c r="G130" s="1024"/>
      <c r="H130" s="1024"/>
      <c r="I130" s="1024"/>
      <c r="J130" s="1059"/>
      <c r="K130" s="156"/>
      <c r="L130" s="1024"/>
      <c r="M130" s="1033"/>
      <c r="N130" s="1024"/>
      <c r="O130" s="1024"/>
      <c r="P130" s="1024"/>
      <c r="Q130" s="1024"/>
      <c r="R130" s="1020"/>
      <c r="S130" s="1020"/>
      <c r="T130" s="1036"/>
      <c r="U130" s="1036"/>
      <c r="V130" s="1020"/>
      <c r="W130" s="1020"/>
      <c r="X130" s="1020"/>
      <c r="Y130" s="1020"/>
      <c r="Z130" s="1020"/>
      <c r="AA130" s="1020"/>
      <c r="AB130" s="1020"/>
      <c r="AC130" s="1020"/>
      <c r="AD130" s="1020"/>
      <c r="AE130" s="1020"/>
      <c r="AF130" s="1020"/>
      <c r="AG130" s="1020"/>
      <c r="AH130" s="1020"/>
      <c r="AI130" s="1020"/>
      <c r="AJ130" s="1020"/>
      <c r="AK130" s="1020"/>
      <c r="AL130" s="1020"/>
      <c r="AM130" s="1020"/>
      <c r="AN130" s="1020"/>
      <c r="AO130" s="1020"/>
      <c r="AP130" s="1020"/>
      <c r="AQ130" s="1020"/>
      <c r="AR130" s="1020"/>
      <c r="AS130" s="1020"/>
      <c r="AT130" s="1020"/>
      <c r="AU130" s="1020"/>
      <c r="AV130" s="1020"/>
      <c r="AW130" s="1020"/>
      <c r="AX130" s="1020"/>
    </row>
    <row r="131" spans="1:50" ht="12" customHeight="1">
      <c r="A131" s="1024"/>
      <c r="B131" s="161"/>
      <c r="C131" s="1024"/>
      <c r="D131" s="1024"/>
      <c r="E131" s="1024"/>
      <c r="F131" s="1024"/>
      <c r="G131" s="1024"/>
      <c r="H131" s="1024"/>
      <c r="I131" s="1024"/>
      <c r="J131" s="1059"/>
      <c r="K131" s="156"/>
      <c r="L131" s="1024"/>
      <c r="M131" s="1033"/>
      <c r="N131" s="1024"/>
      <c r="O131" s="1024"/>
      <c r="P131" s="1024"/>
      <c r="Q131" s="1024"/>
      <c r="R131" s="1020"/>
      <c r="S131" s="1020"/>
      <c r="T131" s="1036"/>
      <c r="U131" s="1036"/>
      <c r="V131" s="1020"/>
      <c r="W131" s="1020"/>
      <c r="X131" s="1020"/>
      <c r="Y131" s="1020"/>
      <c r="Z131" s="1020"/>
      <c r="AA131" s="1020"/>
      <c r="AB131" s="1020"/>
      <c r="AC131" s="1020"/>
      <c r="AD131" s="1020"/>
      <c r="AE131" s="1020"/>
      <c r="AF131" s="1020"/>
      <c r="AG131" s="1020"/>
      <c r="AH131" s="1020"/>
      <c r="AI131" s="1020"/>
      <c r="AJ131" s="1020"/>
      <c r="AK131" s="1020"/>
      <c r="AL131" s="1020"/>
      <c r="AM131" s="1020"/>
      <c r="AN131" s="1020"/>
      <c r="AO131" s="1020"/>
      <c r="AP131" s="1020"/>
      <c r="AQ131" s="1020"/>
      <c r="AR131" s="1020"/>
      <c r="AS131" s="1020"/>
      <c r="AT131" s="1020"/>
      <c r="AU131" s="1020"/>
      <c r="AV131" s="1020"/>
      <c r="AW131" s="1020"/>
      <c r="AX131" s="1020"/>
    </row>
    <row r="132" spans="1:50" ht="12" customHeight="1">
      <c r="A132" s="1024"/>
      <c r="B132" s="161"/>
      <c r="C132" s="1024"/>
      <c r="D132" s="1024"/>
      <c r="E132" s="1024"/>
      <c r="F132" s="1024"/>
      <c r="G132" s="1024"/>
      <c r="H132" s="1024"/>
      <c r="I132" s="1024"/>
      <c r="J132" s="1059"/>
      <c r="K132" s="156"/>
      <c r="L132" s="1024"/>
      <c r="M132" s="1033"/>
      <c r="N132" s="1024"/>
      <c r="O132" s="1024"/>
      <c r="P132" s="1024"/>
      <c r="Q132" s="1024"/>
      <c r="R132" s="1020"/>
      <c r="S132" s="1020"/>
      <c r="T132" s="1036"/>
      <c r="U132" s="1036"/>
      <c r="V132" s="1020"/>
      <c r="W132" s="1020"/>
      <c r="X132" s="1020"/>
      <c r="Y132" s="1020"/>
      <c r="Z132" s="1020"/>
      <c r="AA132" s="1020"/>
      <c r="AB132" s="1020"/>
      <c r="AC132" s="1020"/>
      <c r="AD132" s="1020"/>
      <c r="AE132" s="1020"/>
      <c r="AF132" s="1020"/>
      <c r="AG132" s="1020"/>
      <c r="AH132" s="1020"/>
      <c r="AI132" s="1020"/>
      <c r="AJ132" s="1020"/>
      <c r="AK132" s="1020"/>
      <c r="AL132" s="1020"/>
      <c r="AM132" s="1020"/>
      <c r="AN132" s="1020"/>
      <c r="AO132" s="1020"/>
      <c r="AP132" s="1020"/>
      <c r="AQ132" s="1020"/>
      <c r="AR132" s="1020"/>
      <c r="AS132" s="1020"/>
      <c r="AT132" s="1020"/>
      <c r="AU132" s="1020"/>
      <c r="AV132" s="1020"/>
      <c r="AW132" s="1020"/>
      <c r="AX132" s="1020"/>
    </row>
    <row r="133" spans="1:50" ht="12" customHeight="1">
      <c r="A133" s="1024"/>
      <c r="B133" s="161"/>
      <c r="C133" s="1024"/>
      <c r="D133" s="1024"/>
      <c r="E133" s="1024"/>
      <c r="F133" s="1024"/>
      <c r="G133" s="1024"/>
      <c r="H133" s="1024"/>
      <c r="I133" s="1024"/>
      <c r="J133" s="1059"/>
      <c r="K133" s="156"/>
      <c r="L133" s="1024"/>
      <c r="M133" s="1033"/>
      <c r="N133" s="1024"/>
      <c r="O133" s="1024"/>
      <c r="P133" s="1024"/>
      <c r="Q133" s="1024"/>
      <c r="R133" s="1020"/>
      <c r="S133" s="1020"/>
      <c r="T133" s="1036"/>
      <c r="U133" s="1036"/>
      <c r="V133" s="1020"/>
      <c r="W133" s="1020"/>
      <c r="X133" s="1020"/>
      <c r="Y133" s="1020"/>
      <c r="Z133" s="1020"/>
      <c r="AA133" s="1020"/>
      <c r="AB133" s="1020"/>
      <c r="AC133" s="1020"/>
      <c r="AD133" s="1020"/>
      <c r="AE133" s="1020"/>
      <c r="AF133" s="1020"/>
      <c r="AG133" s="1020"/>
      <c r="AH133" s="1020"/>
      <c r="AI133" s="1020"/>
      <c r="AJ133" s="1020"/>
      <c r="AK133" s="1020"/>
      <c r="AL133" s="1020"/>
      <c r="AM133" s="1020"/>
      <c r="AN133" s="1020"/>
      <c r="AO133" s="1020"/>
      <c r="AP133" s="1020"/>
      <c r="AQ133" s="1020"/>
      <c r="AR133" s="1020"/>
      <c r="AS133" s="1020"/>
      <c r="AT133" s="1020"/>
      <c r="AU133" s="1020"/>
      <c r="AV133" s="1020"/>
      <c r="AW133" s="1020"/>
      <c r="AX133" s="1020"/>
    </row>
    <row r="134" spans="1:50" ht="12" customHeight="1">
      <c r="A134" s="1024"/>
      <c r="B134" s="161"/>
      <c r="C134" s="1024"/>
      <c r="D134" s="1024"/>
      <c r="E134" s="1024"/>
      <c r="F134" s="1024"/>
      <c r="G134" s="1024"/>
      <c r="H134" s="1024"/>
      <c r="I134" s="1024"/>
      <c r="J134" s="1059"/>
      <c r="K134" s="156"/>
      <c r="L134" s="1024"/>
      <c r="M134" s="1033"/>
      <c r="N134" s="1024"/>
      <c r="O134" s="1024"/>
      <c r="P134" s="1024"/>
      <c r="Q134" s="1024"/>
      <c r="R134" s="1020"/>
      <c r="S134" s="1020"/>
      <c r="T134" s="1036"/>
      <c r="U134" s="1036"/>
      <c r="V134" s="1020"/>
      <c r="W134" s="1020"/>
      <c r="X134" s="1020"/>
      <c r="Y134" s="1020"/>
      <c r="Z134" s="1020"/>
      <c r="AA134" s="1020"/>
      <c r="AB134" s="1020"/>
      <c r="AC134" s="1020"/>
      <c r="AD134" s="1020"/>
      <c r="AE134" s="1020"/>
      <c r="AF134" s="1020"/>
      <c r="AG134" s="1020"/>
      <c r="AH134" s="1020"/>
      <c r="AI134" s="1020"/>
      <c r="AJ134" s="1020"/>
      <c r="AK134" s="1020"/>
      <c r="AL134" s="1020"/>
      <c r="AM134" s="1020"/>
      <c r="AN134" s="1020"/>
      <c r="AO134" s="1020"/>
      <c r="AP134" s="1020"/>
      <c r="AQ134" s="1020"/>
      <c r="AR134" s="1020"/>
      <c r="AS134" s="1020"/>
      <c r="AT134" s="1020"/>
      <c r="AU134" s="1020"/>
      <c r="AV134" s="1020"/>
      <c r="AW134" s="1020"/>
      <c r="AX134" s="1020"/>
    </row>
    <row r="135" spans="1:50" ht="12" customHeight="1">
      <c r="A135" s="1024"/>
      <c r="B135" s="161"/>
      <c r="C135" s="1024"/>
      <c r="D135" s="1024"/>
      <c r="E135" s="1024"/>
      <c r="F135" s="1024"/>
      <c r="G135" s="1024"/>
      <c r="H135" s="1024"/>
      <c r="I135" s="1024"/>
      <c r="J135" s="1059"/>
      <c r="K135" s="156"/>
      <c r="L135" s="1024"/>
      <c r="M135" s="1033"/>
      <c r="N135" s="1024"/>
      <c r="O135" s="1024"/>
      <c r="P135" s="1024"/>
      <c r="Q135" s="1024"/>
      <c r="R135" s="1020"/>
      <c r="S135" s="1020"/>
      <c r="T135" s="1036"/>
      <c r="U135" s="1036"/>
      <c r="V135" s="1020"/>
      <c r="W135" s="1020"/>
      <c r="X135" s="1020"/>
      <c r="Y135" s="1020"/>
      <c r="Z135" s="1020"/>
      <c r="AA135" s="1020"/>
      <c r="AB135" s="1020"/>
      <c r="AC135" s="1020"/>
      <c r="AD135" s="1020"/>
      <c r="AE135" s="1020"/>
      <c r="AF135" s="1020"/>
      <c r="AG135" s="1020"/>
      <c r="AH135" s="1020"/>
      <c r="AI135" s="1020"/>
      <c r="AJ135" s="1020"/>
      <c r="AK135" s="1020"/>
      <c r="AL135" s="1020"/>
      <c r="AM135" s="1020"/>
      <c r="AN135" s="1020"/>
      <c r="AO135" s="1020"/>
      <c r="AP135" s="1020"/>
      <c r="AQ135" s="1020"/>
      <c r="AR135" s="1020"/>
      <c r="AS135" s="1020"/>
      <c r="AT135" s="1020"/>
      <c r="AU135" s="1020"/>
      <c r="AV135" s="1020"/>
      <c r="AW135" s="1020"/>
      <c r="AX135" s="1020"/>
    </row>
    <row r="136" spans="1:50" ht="12" customHeight="1">
      <c r="A136" s="1024"/>
      <c r="B136" s="161"/>
      <c r="C136" s="1024"/>
      <c r="D136" s="1024"/>
      <c r="E136" s="1024"/>
      <c r="F136" s="1024"/>
      <c r="G136" s="1024"/>
      <c r="H136" s="1024"/>
      <c r="I136" s="1024"/>
      <c r="J136" s="1059"/>
      <c r="K136" s="156"/>
      <c r="L136" s="1024"/>
      <c r="M136" s="1033"/>
      <c r="N136" s="1024"/>
      <c r="O136" s="1024"/>
      <c r="P136" s="1024"/>
      <c r="Q136" s="1024"/>
      <c r="R136" s="1020"/>
      <c r="S136" s="1020"/>
      <c r="T136" s="1036"/>
      <c r="U136" s="1036"/>
      <c r="V136" s="1020"/>
      <c r="W136" s="1020"/>
      <c r="X136" s="1020"/>
      <c r="Y136" s="1020"/>
      <c r="Z136" s="1020"/>
      <c r="AA136" s="1020"/>
      <c r="AB136" s="1020"/>
      <c r="AC136" s="1020"/>
      <c r="AD136" s="1020"/>
      <c r="AE136" s="1020"/>
      <c r="AF136" s="1020"/>
      <c r="AG136" s="1020"/>
      <c r="AH136" s="1020"/>
      <c r="AI136" s="1020"/>
      <c r="AJ136" s="1020"/>
      <c r="AK136" s="1020"/>
      <c r="AL136" s="1020"/>
      <c r="AM136" s="1020"/>
      <c r="AN136" s="1020"/>
      <c r="AO136" s="1020"/>
      <c r="AP136" s="1020"/>
      <c r="AQ136" s="1020"/>
      <c r="AR136" s="1020"/>
      <c r="AS136" s="1020"/>
      <c r="AT136" s="1020"/>
      <c r="AU136" s="1020"/>
      <c r="AV136" s="1020"/>
      <c r="AW136" s="1020"/>
      <c r="AX136" s="1020"/>
    </row>
    <row r="137" spans="1:50" ht="12" customHeight="1">
      <c r="A137" s="1024"/>
      <c r="B137" s="161"/>
      <c r="C137" s="1024"/>
      <c r="D137" s="1024"/>
      <c r="E137" s="1024"/>
      <c r="F137" s="1024"/>
      <c r="G137" s="1024"/>
      <c r="H137" s="1024"/>
      <c r="I137" s="1024"/>
      <c r="J137" s="1059"/>
      <c r="K137" s="156"/>
      <c r="L137" s="1024"/>
      <c r="M137" s="1033"/>
      <c r="N137" s="1024"/>
      <c r="O137" s="1024"/>
      <c r="P137" s="1024"/>
      <c r="Q137" s="1024"/>
      <c r="R137" s="1020"/>
      <c r="S137" s="1020"/>
      <c r="T137" s="1036"/>
      <c r="U137" s="1036"/>
      <c r="V137" s="1020"/>
      <c r="W137" s="1020"/>
      <c r="X137" s="1020"/>
      <c r="Y137" s="1020"/>
      <c r="Z137" s="1020"/>
      <c r="AA137" s="1020"/>
      <c r="AB137" s="1020"/>
      <c r="AC137" s="1020"/>
      <c r="AD137" s="1020"/>
      <c r="AE137" s="1020"/>
      <c r="AF137" s="1020"/>
      <c r="AG137" s="1020"/>
      <c r="AH137" s="1020"/>
      <c r="AI137" s="1020"/>
      <c r="AJ137" s="1020"/>
      <c r="AK137" s="1020"/>
      <c r="AL137" s="1020"/>
      <c r="AM137" s="1020"/>
      <c r="AN137" s="1020"/>
      <c r="AO137" s="1020"/>
      <c r="AP137" s="1020"/>
      <c r="AQ137" s="1020"/>
      <c r="AR137" s="1020"/>
      <c r="AS137" s="1020"/>
      <c r="AT137" s="1020"/>
      <c r="AU137" s="1020"/>
      <c r="AV137" s="1020"/>
      <c r="AW137" s="1020"/>
      <c r="AX137" s="1020"/>
    </row>
    <row r="138" spans="1:50" ht="12" customHeight="1">
      <c r="A138" s="1024"/>
      <c r="B138" s="161"/>
      <c r="C138" s="1024"/>
      <c r="D138" s="1024"/>
      <c r="E138" s="1024"/>
      <c r="F138" s="1024"/>
      <c r="G138" s="1024"/>
      <c r="H138" s="1024"/>
      <c r="I138" s="1024"/>
      <c r="J138" s="1059"/>
      <c r="K138" s="156"/>
      <c r="L138" s="1024"/>
      <c r="M138" s="1033"/>
      <c r="N138" s="1024"/>
      <c r="O138" s="1024"/>
      <c r="P138" s="1024"/>
      <c r="Q138" s="1024"/>
      <c r="R138" s="1020"/>
      <c r="S138" s="1020"/>
      <c r="T138" s="1036"/>
      <c r="U138" s="1036"/>
      <c r="V138" s="1020"/>
      <c r="W138" s="1020"/>
      <c r="X138" s="1020"/>
      <c r="Y138" s="1020"/>
      <c r="Z138" s="1020"/>
      <c r="AA138" s="1020"/>
      <c r="AB138" s="1020"/>
      <c r="AC138" s="1020"/>
      <c r="AD138" s="1020"/>
      <c r="AE138" s="1020"/>
      <c r="AF138" s="1020"/>
      <c r="AG138" s="1020"/>
      <c r="AH138" s="1020"/>
      <c r="AI138" s="1020"/>
      <c r="AJ138" s="1020"/>
      <c r="AK138" s="1020"/>
      <c r="AL138" s="1020"/>
      <c r="AM138" s="1020"/>
      <c r="AN138" s="1020"/>
      <c r="AO138" s="1020"/>
      <c r="AP138" s="1020"/>
      <c r="AQ138" s="1020"/>
      <c r="AR138" s="1020"/>
      <c r="AS138" s="1020"/>
      <c r="AT138" s="1020"/>
      <c r="AU138" s="1020"/>
      <c r="AV138" s="1020"/>
      <c r="AW138" s="1020"/>
      <c r="AX138" s="1020"/>
    </row>
    <row r="139" spans="1:50" ht="12" customHeight="1">
      <c r="A139" s="1024"/>
      <c r="B139" s="161"/>
      <c r="C139" s="1024"/>
      <c r="D139" s="1024"/>
      <c r="E139" s="1024"/>
      <c r="F139" s="1024"/>
      <c r="G139" s="1024"/>
      <c r="H139" s="1024"/>
      <c r="I139" s="1024"/>
      <c r="J139" s="1059"/>
      <c r="K139" s="156"/>
      <c r="L139" s="1024"/>
      <c r="M139" s="1033"/>
      <c r="N139" s="1024"/>
      <c r="O139" s="1024"/>
      <c r="P139" s="1024"/>
      <c r="Q139" s="1024"/>
      <c r="R139" s="1020"/>
      <c r="S139" s="1020"/>
      <c r="T139" s="1036"/>
      <c r="U139" s="1036"/>
      <c r="V139" s="1020"/>
      <c r="W139" s="1020"/>
      <c r="X139" s="1020"/>
      <c r="Y139" s="1020"/>
      <c r="Z139" s="1020"/>
      <c r="AA139" s="1020"/>
      <c r="AB139" s="1020"/>
      <c r="AC139" s="1020"/>
      <c r="AD139" s="1020"/>
      <c r="AE139" s="1020"/>
      <c r="AF139" s="1020"/>
      <c r="AG139" s="1020"/>
      <c r="AH139" s="1020"/>
      <c r="AI139" s="1020"/>
      <c r="AJ139" s="1020"/>
      <c r="AK139" s="1020"/>
      <c r="AL139" s="1020"/>
      <c r="AM139" s="1020"/>
      <c r="AN139" s="1020"/>
      <c r="AO139" s="1020"/>
      <c r="AP139" s="1020"/>
      <c r="AQ139" s="1020"/>
      <c r="AR139" s="1020"/>
      <c r="AS139" s="1020"/>
      <c r="AT139" s="1020"/>
      <c r="AU139" s="1020"/>
      <c r="AV139" s="1020"/>
      <c r="AW139" s="1020"/>
      <c r="AX139" s="1020"/>
    </row>
    <row r="140" spans="1:50" ht="12" customHeight="1">
      <c r="A140" s="1024"/>
      <c r="B140" s="161"/>
      <c r="C140" s="1024"/>
      <c r="D140" s="1024"/>
      <c r="E140" s="1024"/>
      <c r="F140" s="1024"/>
      <c r="G140" s="1024"/>
      <c r="H140" s="1024"/>
      <c r="I140" s="1024"/>
      <c r="J140" s="1059"/>
      <c r="K140" s="156"/>
      <c r="L140" s="1024"/>
      <c r="M140" s="1033"/>
      <c r="N140" s="1024"/>
      <c r="O140" s="1024"/>
      <c r="P140" s="1024"/>
      <c r="Q140" s="1024"/>
      <c r="R140" s="1020"/>
      <c r="S140" s="1020"/>
      <c r="T140" s="1036"/>
      <c r="U140" s="1036"/>
      <c r="V140" s="1020"/>
      <c r="W140" s="1020"/>
      <c r="X140" s="1020"/>
      <c r="Y140" s="1020"/>
      <c r="Z140" s="1020"/>
      <c r="AA140" s="1020"/>
      <c r="AB140" s="1020"/>
      <c r="AC140" s="1020"/>
      <c r="AD140" s="1020"/>
      <c r="AE140" s="1020"/>
      <c r="AF140" s="1020"/>
      <c r="AG140" s="1020"/>
      <c r="AH140" s="1020"/>
      <c r="AI140" s="1020"/>
      <c r="AJ140" s="1020"/>
      <c r="AK140" s="1020"/>
      <c r="AL140" s="1020"/>
      <c r="AM140" s="1020"/>
      <c r="AN140" s="1020"/>
      <c r="AO140" s="1020"/>
      <c r="AP140" s="1020"/>
      <c r="AQ140" s="1020"/>
      <c r="AR140" s="1020"/>
      <c r="AS140" s="1020"/>
      <c r="AT140" s="1020"/>
      <c r="AU140" s="1020"/>
      <c r="AV140" s="1020"/>
      <c r="AW140" s="1020"/>
      <c r="AX140" s="1020"/>
    </row>
    <row r="141" spans="1:50" ht="12" customHeight="1">
      <c r="A141" s="1024"/>
      <c r="B141" s="161"/>
      <c r="C141" s="1024"/>
      <c r="D141" s="1024"/>
      <c r="E141" s="1024"/>
      <c r="F141" s="1024"/>
      <c r="G141" s="1024"/>
      <c r="H141" s="1024"/>
      <c r="I141" s="1024"/>
      <c r="J141" s="1059"/>
      <c r="K141" s="156"/>
      <c r="L141" s="1024"/>
      <c r="M141" s="1033"/>
      <c r="N141" s="1024"/>
      <c r="O141" s="1024"/>
      <c r="P141" s="1024"/>
      <c r="Q141" s="1024"/>
      <c r="R141" s="1020"/>
      <c r="S141" s="1020"/>
      <c r="T141" s="1036"/>
      <c r="U141" s="1036"/>
      <c r="V141" s="1020"/>
      <c r="W141" s="1020"/>
      <c r="X141" s="1020"/>
      <c r="Y141" s="1020"/>
      <c r="Z141" s="1020"/>
      <c r="AA141" s="1020"/>
      <c r="AB141" s="1020"/>
      <c r="AC141" s="1020"/>
      <c r="AD141" s="1020"/>
      <c r="AE141" s="1020"/>
      <c r="AF141" s="1020"/>
      <c r="AG141" s="1020"/>
      <c r="AH141" s="1020"/>
      <c r="AI141" s="1020"/>
      <c r="AJ141" s="1020"/>
      <c r="AK141" s="1020"/>
      <c r="AL141" s="1020"/>
      <c r="AM141" s="1020"/>
      <c r="AN141" s="1020"/>
      <c r="AO141" s="1020"/>
      <c r="AP141" s="1020"/>
      <c r="AQ141" s="1020"/>
      <c r="AR141" s="1020"/>
      <c r="AS141" s="1020"/>
      <c r="AT141" s="1020"/>
      <c r="AU141" s="1020"/>
      <c r="AV141" s="1020"/>
      <c r="AW141" s="1020"/>
      <c r="AX141" s="1020"/>
    </row>
    <row r="142" spans="1:50" ht="12" customHeight="1">
      <c r="A142" s="1024"/>
      <c r="B142" s="161"/>
      <c r="C142" s="1024"/>
      <c r="D142" s="1024"/>
      <c r="E142" s="1024"/>
      <c r="F142" s="1024"/>
      <c r="G142" s="1024"/>
      <c r="H142" s="1024"/>
      <c r="I142" s="1024"/>
      <c r="J142" s="1059"/>
      <c r="K142" s="156"/>
      <c r="L142" s="1024"/>
      <c r="M142" s="1033"/>
      <c r="N142" s="1024"/>
      <c r="O142" s="1024"/>
      <c r="P142" s="1024"/>
      <c r="Q142" s="1024"/>
      <c r="R142" s="1020"/>
      <c r="S142" s="1020"/>
      <c r="T142" s="1036"/>
      <c r="U142" s="1036"/>
      <c r="V142" s="1020"/>
      <c r="W142" s="1020"/>
      <c r="X142" s="1020"/>
      <c r="Y142" s="1020"/>
      <c r="Z142" s="1020"/>
      <c r="AA142" s="1020"/>
      <c r="AB142" s="1020"/>
      <c r="AC142" s="1020"/>
      <c r="AD142" s="1020"/>
      <c r="AE142" s="1020"/>
      <c r="AF142" s="1020"/>
      <c r="AG142" s="1020"/>
      <c r="AH142" s="1020"/>
      <c r="AI142" s="1020"/>
      <c r="AJ142" s="1020"/>
      <c r="AK142" s="1020"/>
      <c r="AL142" s="1020"/>
      <c r="AM142" s="1020"/>
      <c r="AN142" s="1020"/>
      <c r="AO142" s="1020"/>
      <c r="AP142" s="1020"/>
      <c r="AQ142" s="1020"/>
      <c r="AR142" s="1020"/>
      <c r="AS142" s="1020"/>
      <c r="AT142" s="1020"/>
      <c r="AU142" s="1020"/>
      <c r="AV142" s="1020"/>
      <c r="AW142" s="1020"/>
      <c r="AX142" s="1020"/>
    </row>
    <row r="143" spans="1:50" ht="12" customHeight="1">
      <c r="A143" s="1024"/>
      <c r="B143" s="161"/>
      <c r="C143" s="1024"/>
      <c r="D143" s="1024"/>
      <c r="E143" s="1024"/>
      <c r="F143" s="1024"/>
      <c r="G143" s="1024"/>
      <c r="H143" s="1024"/>
      <c r="I143" s="1024"/>
      <c r="J143" s="1059"/>
      <c r="K143" s="156"/>
      <c r="L143" s="1024"/>
      <c r="M143" s="1033"/>
      <c r="N143" s="1024"/>
      <c r="O143" s="1024"/>
      <c r="P143" s="1024"/>
      <c r="Q143" s="1024"/>
      <c r="R143" s="1020"/>
      <c r="S143" s="1020"/>
      <c r="T143" s="1036"/>
      <c r="U143" s="1036"/>
      <c r="V143" s="1020"/>
      <c r="W143" s="1020"/>
      <c r="X143" s="1020"/>
      <c r="Y143" s="1020"/>
      <c r="Z143" s="1020"/>
      <c r="AA143" s="1020"/>
      <c r="AB143" s="1020"/>
      <c r="AC143" s="1020"/>
      <c r="AD143" s="1020"/>
      <c r="AE143" s="1020"/>
      <c r="AF143" s="1020"/>
      <c r="AG143" s="1020"/>
      <c r="AH143" s="1020"/>
      <c r="AI143" s="1020"/>
      <c r="AJ143" s="1020"/>
      <c r="AK143" s="1020"/>
      <c r="AL143" s="1020"/>
      <c r="AM143" s="1020"/>
      <c r="AN143" s="1020"/>
      <c r="AO143" s="1020"/>
      <c r="AP143" s="1020"/>
      <c r="AQ143" s="1020"/>
      <c r="AR143" s="1020"/>
      <c r="AS143" s="1020"/>
      <c r="AT143" s="1020"/>
      <c r="AU143" s="1020"/>
      <c r="AV143" s="1020"/>
      <c r="AW143" s="1020"/>
      <c r="AX143" s="1020"/>
    </row>
    <row r="144" spans="1:50" ht="12" customHeight="1">
      <c r="A144" s="1024"/>
      <c r="B144" s="161"/>
      <c r="C144" s="1024"/>
      <c r="D144" s="1024"/>
      <c r="E144" s="1024"/>
      <c r="F144" s="1024"/>
      <c r="G144" s="1024"/>
      <c r="H144" s="1024"/>
      <c r="I144" s="1024"/>
      <c r="J144" s="1059"/>
      <c r="K144" s="156"/>
      <c r="L144" s="1024"/>
      <c r="M144" s="1033"/>
      <c r="N144" s="1024"/>
      <c r="O144" s="1024"/>
      <c r="P144" s="1024"/>
      <c r="Q144" s="1024"/>
      <c r="R144" s="1020"/>
      <c r="S144" s="1020"/>
      <c r="T144" s="1036"/>
      <c r="U144" s="1036"/>
      <c r="V144" s="1020"/>
      <c r="W144" s="1020"/>
      <c r="X144" s="1020"/>
      <c r="Y144" s="1020"/>
      <c r="Z144" s="1020"/>
      <c r="AA144" s="1020"/>
      <c r="AB144" s="1020"/>
      <c r="AC144" s="1020"/>
      <c r="AD144" s="1020"/>
      <c r="AE144" s="1020"/>
      <c r="AF144" s="1020"/>
      <c r="AG144" s="1020"/>
      <c r="AH144" s="1020"/>
      <c r="AI144" s="1020"/>
      <c r="AJ144" s="1020"/>
      <c r="AK144" s="1020"/>
      <c r="AL144" s="1020"/>
      <c r="AM144" s="1020"/>
      <c r="AN144" s="1020"/>
      <c r="AO144" s="1020"/>
      <c r="AP144" s="1020"/>
      <c r="AQ144" s="1020"/>
      <c r="AR144" s="1020"/>
      <c r="AS144" s="1020"/>
      <c r="AT144" s="1020"/>
      <c r="AU144" s="1020"/>
      <c r="AV144" s="1020"/>
      <c r="AW144" s="1020"/>
      <c r="AX144" s="1020"/>
    </row>
    <row r="145" spans="1:50" ht="12" customHeight="1">
      <c r="A145" s="1024"/>
      <c r="B145" s="161"/>
      <c r="C145" s="1024"/>
      <c r="D145" s="1024"/>
      <c r="E145" s="1024"/>
      <c r="F145" s="1024"/>
      <c r="G145" s="1024"/>
      <c r="H145" s="1024"/>
      <c r="I145" s="1024"/>
      <c r="J145" s="1059"/>
      <c r="K145" s="156"/>
      <c r="L145" s="1024"/>
      <c r="M145" s="1033"/>
      <c r="N145" s="1024"/>
      <c r="O145" s="1024"/>
      <c r="P145" s="1024"/>
      <c r="Q145" s="1024"/>
      <c r="R145" s="1020"/>
      <c r="S145" s="1020"/>
      <c r="T145" s="1036"/>
      <c r="U145" s="1036"/>
      <c r="V145" s="1020"/>
      <c r="W145" s="1020"/>
      <c r="X145" s="1020"/>
      <c r="Y145" s="1020"/>
      <c r="Z145" s="1020"/>
      <c r="AA145" s="1020"/>
      <c r="AB145" s="1020"/>
      <c r="AC145" s="1020"/>
      <c r="AD145" s="1020"/>
      <c r="AE145" s="1020"/>
      <c r="AF145" s="1020"/>
      <c r="AG145" s="1020"/>
      <c r="AH145" s="1020"/>
      <c r="AI145" s="1020"/>
      <c r="AJ145" s="1020"/>
      <c r="AK145" s="1020"/>
      <c r="AL145" s="1020"/>
      <c r="AM145" s="1020"/>
      <c r="AN145" s="1020"/>
      <c r="AO145" s="1020"/>
      <c r="AP145" s="1020"/>
      <c r="AQ145" s="1020"/>
      <c r="AR145" s="1020"/>
      <c r="AS145" s="1020"/>
      <c r="AT145" s="1020"/>
      <c r="AU145" s="1020"/>
      <c r="AV145" s="1020"/>
      <c r="AW145" s="1020"/>
      <c r="AX145" s="1020"/>
    </row>
    <row r="146" spans="1:50" ht="12" customHeight="1">
      <c r="A146" s="1024"/>
      <c r="B146" s="161"/>
      <c r="C146" s="1024"/>
      <c r="D146" s="1024"/>
      <c r="E146" s="1024"/>
      <c r="F146" s="1024"/>
      <c r="G146" s="1024"/>
      <c r="H146" s="1024"/>
      <c r="I146" s="1024"/>
      <c r="J146" s="1059"/>
      <c r="K146" s="156"/>
      <c r="L146" s="1024"/>
      <c r="M146" s="1033"/>
      <c r="N146" s="1024"/>
      <c r="O146" s="1024"/>
      <c r="P146" s="1024"/>
      <c r="Q146" s="1024"/>
      <c r="R146" s="1020"/>
      <c r="S146" s="1020"/>
      <c r="T146" s="1036"/>
      <c r="U146" s="1036"/>
      <c r="V146" s="1020"/>
      <c r="W146" s="1020"/>
      <c r="X146" s="1020"/>
      <c r="Y146" s="1020"/>
      <c r="Z146" s="1020"/>
      <c r="AA146" s="1020"/>
      <c r="AB146" s="1020"/>
      <c r="AC146" s="1020"/>
      <c r="AD146" s="1020"/>
      <c r="AE146" s="1020"/>
      <c r="AF146" s="1020"/>
      <c r="AG146" s="1020"/>
      <c r="AH146" s="1020"/>
      <c r="AI146" s="1020"/>
      <c r="AJ146" s="1020"/>
      <c r="AK146" s="1020"/>
      <c r="AL146" s="1020"/>
      <c r="AM146" s="1020"/>
      <c r="AN146" s="1020"/>
      <c r="AO146" s="1020"/>
      <c r="AP146" s="1020"/>
      <c r="AQ146" s="1020"/>
      <c r="AR146" s="1020"/>
      <c r="AS146" s="1020"/>
      <c r="AT146" s="1020"/>
      <c r="AU146" s="1020"/>
      <c r="AV146" s="1020"/>
      <c r="AW146" s="1020"/>
      <c r="AX146" s="1020"/>
    </row>
    <row r="147" spans="1:50" ht="12" customHeight="1">
      <c r="A147" s="1024"/>
      <c r="B147" s="161"/>
      <c r="C147" s="1024"/>
      <c r="D147" s="1024"/>
      <c r="E147" s="1024"/>
      <c r="F147" s="1024"/>
      <c r="G147" s="1024"/>
      <c r="H147" s="1024"/>
      <c r="I147" s="1024"/>
      <c r="J147" s="1059"/>
      <c r="K147" s="156"/>
      <c r="L147" s="1024"/>
      <c r="M147" s="1033"/>
      <c r="N147" s="1024"/>
      <c r="O147" s="1024"/>
      <c r="P147" s="1024"/>
      <c r="Q147" s="1024"/>
      <c r="R147" s="1020"/>
      <c r="S147" s="1020"/>
      <c r="T147" s="1036"/>
      <c r="U147" s="1036"/>
      <c r="V147" s="1020"/>
      <c r="W147" s="1020"/>
      <c r="X147" s="1020"/>
      <c r="Y147" s="1020"/>
      <c r="Z147" s="1020"/>
      <c r="AA147" s="1020"/>
      <c r="AB147" s="1020"/>
      <c r="AC147" s="1020"/>
      <c r="AD147" s="1020"/>
      <c r="AE147" s="1020"/>
      <c r="AF147" s="1020"/>
      <c r="AG147" s="1020"/>
      <c r="AH147" s="1020"/>
      <c r="AI147" s="1020"/>
      <c r="AJ147" s="1020"/>
      <c r="AK147" s="1020"/>
      <c r="AL147" s="1020"/>
      <c r="AM147" s="1020"/>
      <c r="AN147" s="1020"/>
      <c r="AO147" s="1020"/>
      <c r="AP147" s="1020"/>
      <c r="AQ147" s="1020"/>
      <c r="AR147" s="1020"/>
      <c r="AS147" s="1020"/>
      <c r="AT147" s="1020"/>
      <c r="AU147" s="1020"/>
      <c r="AV147" s="1020"/>
      <c r="AW147" s="1020"/>
      <c r="AX147" s="1020"/>
    </row>
    <row r="148" spans="1:50" ht="12" customHeight="1">
      <c r="A148" s="1024"/>
      <c r="B148" s="161"/>
      <c r="C148" s="1024"/>
      <c r="D148" s="1024"/>
      <c r="E148" s="1024"/>
      <c r="F148" s="1024"/>
      <c r="G148" s="1024"/>
      <c r="H148" s="1024"/>
      <c r="I148" s="1024"/>
      <c r="J148" s="1059"/>
      <c r="K148" s="156"/>
      <c r="L148" s="1024"/>
      <c r="M148" s="1033"/>
      <c r="N148" s="1024"/>
      <c r="O148" s="1024"/>
      <c r="P148" s="1024"/>
      <c r="Q148" s="1024"/>
      <c r="R148" s="1020"/>
      <c r="S148" s="1020"/>
      <c r="T148" s="1036"/>
      <c r="U148" s="1036"/>
      <c r="V148" s="1020"/>
      <c r="W148" s="1020"/>
      <c r="X148" s="1020"/>
      <c r="Y148" s="1020"/>
      <c r="Z148" s="1020"/>
      <c r="AA148" s="1020"/>
      <c r="AB148" s="1020"/>
      <c r="AC148" s="1020"/>
      <c r="AD148" s="1020"/>
      <c r="AE148" s="1020"/>
      <c r="AF148" s="1020"/>
      <c r="AG148" s="1020"/>
      <c r="AH148" s="1020"/>
      <c r="AI148" s="1020"/>
      <c r="AJ148" s="1020"/>
      <c r="AK148" s="1020"/>
      <c r="AL148" s="1020"/>
      <c r="AM148" s="1020"/>
      <c r="AN148" s="1020"/>
      <c r="AO148" s="1020"/>
      <c r="AP148" s="1020"/>
      <c r="AQ148" s="1020"/>
      <c r="AR148" s="1020"/>
      <c r="AS148" s="1020"/>
      <c r="AT148" s="1020"/>
      <c r="AU148" s="1020"/>
      <c r="AV148" s="1020"/>
      <c r="AW148" s="1020"/>
      <c r="AX148" s="1020"/>
    </row>
    <row r="149" spans="1:50" ht="12" customHeight="1">
      <c r="A149" s="1024"/>
      <c r="B149" s="161"/>
      <c r="C149" s="1024"/>
      <c r="D149" s="1024"/>
      <c r="E149" s="1024"/>
      <c r="F149" s="1024"/>
      <c r="G149" s="1024"/>
      <c r="H149" s="1024"/>
      <c r="I149" s="1024"/>
      <c r="J149" s="1059"/>
      <c r="K149" s="156"/>
      <c r="L149" s="1024"/>
      <c r="M149" s="1033"/>
      <c r="N149" s="1024"/>
      <c r="O149" s="1024"/>
      <c r="P149" s="1024"/>
      <c r="Q149" s="1024"/>
      <c r="R149" s="1020"/>
      <c r="S149" s="1020"/>
      <c r="T149" s="1036"/>
      <c r="U149" s="1036"/>
      <c r="V149" s="1020"/>
      <c r="W149" s="1020"/>
      <c r="X149" s="1020"/>
      <c r="Y149" s="1020"/>
      <c r="Z149" s="1020"/>
      <c r="AA149" s="1020"/>
      <c r="AB149" s="1020"/>
      <c r="AC149" s="1020"/>
      <c r="AD149" s="1020"/>
      <c r="AE149" s="1020"/>
      <c r="AF149" s="1020"/>
      <c r="AG149" s="1020"/>
      <c r="AH149" s="1020"/>
      <c r="AI149" s="1020"/>
      <c r="AJ149" s="1020"/>
      <c r="AK149" s="1020"/>
      <c r="AL149" s="1020"/>
      <c r="AM149" s="1020"/>
      <c r="AN149" s="1020"/>
      <c r="AO149" s="1020"/>
      <c r="AP149" s="1020"/>
      <c r="AQ149" s="1020"/>
      <c r="AR149" s="1020"/>
      <c r="AS149" s="1020"/>
      <c r="AT149" s="1020"/>
      <c r="AU149" s="1020"/>
      <c r="AV149" s="1020"/>
      <c r="AW149" s="1020"/>
      <c r="AX149" s="1020"/>
    </row>
    <row r="150" spans="1:50" ht="12" customHeight="1">
      <c r="A150" s="1024"/>
      <c r="B150" s="161"/>
      <c r="C150" s="1024"/>
      <c r="D150" s="1024"/>
      <c r="E150" s="1024"/>
      <c r="F150" s="1024"/>
      <c r="G150" s="1024"/>
      <c r="H150" s="1024"/>
      <c r="I150" s="1024"/>
      <c r="J150" s="1059"/>
      <c r="K150" s="156"/>
      <c r="L150" s="1024"/>
      <c r="M150" s="1033"/>
      <c r="N150" s="1024"/>
      <c r="O150" s="1024"/>
      <c r="P150" s="1024"/>
      <c r="Q150" s="1024"/>
      <c r="R150" s="1020"/>
      <c r="S150" s="1020"/>
      <c r="T150" s="1036"/>
      <c r="U150" s="1036"/>
      <c r="V150" s="1020"/>
      <c r="W150" s="1020"/>
      <c r="X150" s="1020"/>
      <c r="Y150" s="1020"/>
      <c r="Z150" s="1020"/>
      <c r="AA150" s="1020"/>
      <c r="AB150" s="1020"/>
      <c r="AC150" s="1020"/>
      <c r="AD150" s="1020"/>
      <c r="AE150" s="1020"/>
      <c r="AF150" s="1020"/>
      <c r="AG150" s="1020"/>
      <c r="AH150" s="1020"/>
      <c r="AI150" s="1020"/>
      <c r="AJ150" s="1020"/>
      <c r="AK150" s="1020"/>
      <c r="AL150" s="1020"/>
      <c r="AM150" s="1020"/>
      <c r="AN150" s="1020"/>
      <c r="AO150" s="1020"/>
      <c r="AP150" s="1020"/>
      <c r="AQ150" s="1020"/>
      <c r="AR150" s="1020"/>
      <c r="AS150" s="1020"/>
      <c r="AT150" s="1020"/>
      <c r="AU150" s="1020"/>
      <c r="AV150" s="1020"/>
      <c r="AW150" s="1020"/>
      <c r="AX150" s="1020"/>
    </row>
    <row r="151" spans="1:50" ht="12" customHeight="1">
      <c r="A151" s="1024"/>
      <c r="B151" s="161"/>
      <c r="C151" s="1024"/>
      <c r="D151" s="1024"/>
      <c r="E151" s="1024"/>
      <c r="F151" s="1024"/>
      <c r="G151" s="1024"/>
      <c r="H151" s="1024"/>
      <c r="I151" s="1024"/>
      <c r="J151" s="1059"/>
      <c r="K151" s="156"/>
      <c r="L151" s="1024"/>
      <c r="M151" s="1033"/>
      <c r="N151" s="1024"/>
      <c r="O151" s="1024"/>
      <c r="P151" s="1024"/>
      <c r="Q151" s="1024"/>
      <c r="R151" s="1020"/>
      <c r="S151" s="1020"/>
      <c r="T151" s="1036"/>
      <c r="U151" s="1036"/>
      <c r="V151" s="1020"/>
      <c r="W151" s="1020"/>
      <c r="X151" s="1020"/>
      <c r="Y151" s="1020"/>
      <c r="Z151" s="1020"/>
      <c r="AA151" s="1020"/>
      <c r="AB151" s="1020"/>
      <c r="AC151" s="1020"/>
      <c r="AD151" s="1020"/>
      <c r="AE151" s="1020"/>
      <c r="AF151" s="1020"/>
      <c r="AG151" s="1020"/>
      <c r="AH151" s="1020"/>
      <c r="AI151" s="1020"/>
      <c r="AJ151" s="1020"/>
      <c r="AK151" s="1020"/>
      <c r="AL151" s="1020"/>
      <c r="AM151" s="1020"/>
      <c r="AN151" s="1020"/>
      <c r="AO151" s="1020"/>
      <c r="AP151" s="1020"/>
      <c r="AQ151" s="1020"/>
      <c r="AR151" s="1020"/>
      <c r="AS151" s="1020"/>
      <c r="AT151" s="1020"/>
      <c r="AU151" s="1020"/>
      <c r="AV151" s="1020"/>
      <c r="AW151" s="1020"/>
      <c r="AX151" s="1020"/>
    </row>
    <row r="152" spans="1:50" ht="12" customHeight="1">
      <c r="A152" s="1024"/>
      <c r="B152" s="161"/>
      <c r="C152" s="1024"/>
      <c r="D152" s="1024"/>
      <c r="E152" s="1024"/>
      <c r="F152" s="1024"/>
      <c r="G152" s="1024"/>
      <c r="H152" s="1024"/>
      <c r="I152" s="1024"/>
      <c r="J152" s="1059"/>
      <c r="K152" s="156"/>
      <c r="L152" s="1024"/>
      <c r="M152" s="1033"/>
      <c r="N152" s="1024"/>
      <c r="O152" s="1024"/>
      <c r="P152" s="1024"/>
      <c r="Q152" s="1024"/>
      <c r="R152" s="1020"/>
      <c r="S152" s="1020"/>
      <c r="T152" s="1036"/>
      <c r="U152" s="1036"/>
      <c r="V152" s="1020"/>
      <c r="W152" s="1020"/>
      <c r="X152" s="1020"/>
      <c r="Y152" s="1020"/>
      <c r="Z152" s="1020"/>
      <c r="AA152" s="1020"/>
      <c r="AB152" s="1020"/>
      <c r="AC152" s="1020"/>
      <c r="AD152" s="1020"/>
      <c r="AE152" s="1020"/>
      <c r="AF152" s="1020"/>
      <c r="AG152" s="1020"/>
      <c r="AH152" s="1020"/>
      <c r="AI152" s="1020"/>
      <c r="AJ152" s="1020"/>
      <c r="AK152" s="1020"/>
      <c r="AL152" s="1020"/>
      <c r="AM152" s="1020"/>
      <c r="AN152" s="1020"/>
      <c r="AO152" s="1020"/>
      <c r="AP152" s="1020"/>
      <c r="AQ152" s="1020"/>
      <c r="AR152" s="1020"/>
      <c r="AS152" s="1020"/>
      <c r="AT152" s="1020"/>
      <c r="AU152" s="1020"/>
      <c r="AV152" s="1020"/>
      <c r="AW152" s="1020"/>
      <c r="AX152" s="1020"/>
    </row>
    <row r="153" spans="1:50" ht="12" customHeight="1">
      <c r="A153" s="1024"/>
      <c r="B153" s="161"/>
      <c r="C153" s="1024"/>
      <c r="D153" s="1024"/>
      <c r="E153" s="1024"/>
      <c r="F153" s="1024"/>
      <c r="G153" s="1024"/>
      <c r="H153" s="1024"/>
      <c r="I153" s="1024"/>
      <c r="J153" s="1059"/>
      <c r="K153" s="156"/>
      <c r="L153" s="1024"/>
      <c r="M153" s="1033"/>
      <c r="N153" s="1024"/>
      <c r="O153" s="1024"/>
      <c r="P153" s="1024"/>
      <c r="Q153" s="1024"/>
      <c r="R153" s="1020"/>
      <c r="S153" s="1020"/>
      <c r="T153" s="1036"/>
      <c r="U153" s="1036"/>
      <c r="V153" s="1020"/>
      <c r="W153" s="1020"/>
      <c r="X153" s="1020"/>
      <c r="Y153" s="1020"/>
      <c r="Z153" s="1020"/>
      <c r="AA153" s="1020"/>
      <c r="AB153" s="1020"/>
      <c r="AC153" s="1020"/>
      <c r="AD153" s="1020"/>
      <c r="AE153" s="1020"/>
      <c r="AF153" s="1020"/>
      <c r="AG153" s="1020"/>
      <c r="AH153" s="1020"/>
      <c r="AI153" s="1020"/>
      <c r="AJ153" s="1020"/>
      <c r="AK153" s="1020"/>
      <c r="AL153" s="1020"/>
      <c r="AM153" s="1020"/>
      <c r="AN153" s="1020"/>
      <c r="AO153" s="1020"/>
      <c r="AP153" s="1020"/>
      <c r="AQ153" s="1020"/>
      <c r="AR153" s="1020"/>
      <c r="AS153" s="1020"/>
      <c r="AT153" s="1020"/>
      <c r="AU153" s="1020"/>
      <c r="AV153" s="1020"/>
      <c r="AW153" s="1020"/>
      <c r="AX153" s="1020"/>
    </row>
    <row r="154" spans="1:50" ht="12" customHeight="1">
      <c r="A154" s="1024"/>
      <c r="B154" s="161"/>
      <c r="C154" s="1024"/>
      <c r="D154" s="1024"/>
      <c r="E154" s="1024"/>
      <c r="F154" s="1024"/>
      <c r="G154" s="1024"/>
      <c r="H154" s="1024"/>
      <c r="I154" s="1024"/>
      <c r="J154" s="1059"/>
      <c r="K154" s="156"/>
      <c r="L154" s="1024"/>
      <c r="M154" s="1033"/>
      <c r="N154" s="1024"/>
      <c r="O154" s="1024"/>
      <c r="P154" s="1024"/>
      <c r="Q154" s="1024"/>
      <c r="R154" s="1020"/>
      <c r="S154" s="1020"/>
      <c r="T154" s="1036"/>
      <c r="U154" s="1036"/>
      <c r="V154" s="1020"/>
      <c r="W154" s="1020"/>
      <c r="X154" s="1020"/>
      <c r="Y154" s="1020"/>
      <c r="Z154" s="1020"/>
      <c r="AA154" s="1020"/>
      <c r="AB154" s="1020"/>
      <c r="AC154" s="1020"/>
      <c r="AD154" s="1020"/>
      <c r="AE154" s="1020"/>
      <c r="AF154" s="1020"/>
      <c r="AG154" s="1020"/>
      <c r="AH154" s="1020"/>
      <c r="AI154" s="1020"/>
      <c r="AJ154" s="1020"/>
      <c r="AK154" s="1020"/>
      <c r="AL154" s="1020"/>
      <c r="AM154" s="1020"/>
      <c r="AN154" s="1020"/>
      <c r="AO154" s="1020"/>
      <c r="AP154" s="1020"/>
      <c r="AQ154" s="1020"/>
      <c r="AR154" s="1020"/>
      <c r="AS154" s="1020"/>
      <c r="AT154" s="1020"/>
      <c r="AU154" s="1020"/>
      <c r="AV154" s="1020"/>
      <c r="AW154" s="1020"/>
      <c r="AX154" s="1020"/>
    </row>
    <row r="155" spans="1:50" ht="12" customHeight="1">
      <c r="A155" s="1024"/>
      <c r="B155" s="161"/>
      <c r="C155" s="1024"/>
      <c r="D155" s="1024"/>
      <c r="E155" s="1024"/>
      <c r="F155" s="1024"/>
      <c r="G155" s="1024"/>
      <c r="H155" s="1024"/>
      <c r="I155" s="1024"/>
      <c r="J155" s="1059"/>
      <c r="K155" s="156"/>
      <c r="L155" s="1024"/>
      <c r="M155" s="1033"/>
      <c r="N155" s="1024"/>
      <c r="O155" s="1024"/>
      <c r="P155" s="1024"/>
      <c r="Q155" s="1024"/>
      <c r="R155" s="1020"/>
      <c r="S155" s="1020"/>
      <c r="T155" s="1036"/>
      <c r="U155" s="1036"/>
      <c r="V155" s="1020"/>
      <c r="W155" s="1020"/>
      <c r="X155" s="1020"/>
      <c r="Y155" s="1020"/>
      <c r="Z155" s="1020"/>
      <c r="AA155" s="1020"/>
      <c r="AB155" s="1020"/>
      <c r="AC155" s="1020"/>
      <c r="AD155" s="1020"/>
      <c r="AE155" s="1020"/>
      <c r="AF155" s="1020"/>
      <c r="AG155" s="1020"/>
      <c r="AH155" s="1020"/>
      <c r="AI155" s="1020"/>
      <c r="AJ155" s="1020"/>
      <c r="AK155" s="1020"/>
      <c r="AL155" s="1020"/>
      <c r="AM155" s="1020"/>
      <c r="AN155" s="1020"/>
      <c r="AO155" s="1020"/>
      <c r="AP155" s="1020"/>
      <c r="AQ155" s="1020"/>
      <c r="AR155" s="1020"/>
      <c r="AS155" s="1020"/>
      <c r="AT155" s="1020"/>
      <c r="AU155" s="1020"/>
      <c r="AV155" s="1020"/>
      <c r="AW155" s="1020"/>
      <c r="AX155" s="1020"/>
    </row>
    <row r="156" spans="1:50" ht="12" customHeight="1">
      <c r="A156" s="1024"/>
      <c r="B156" s="161"/>
      <c r="C156" s="1024"/>
      <c r="D156" s="1024"/>
      <c r="E156" s="1024"/>
      <c r="F156" s="1024"/>
      <c r="G156" s="1024"/>
      <c r="H156" s="1024"/>
      <c r="I156" s="1024"/>
      <c r="J156" s="1059"/>
      <c r="K156" s="156"/>
      <c r="L156" s="1024"/>
      <c r="M156" s="1033"/>
      <c r="N156" s="1024"/>
      <c r="O156" s="1024"/>
      <c r="P156" s="1024"/>
      <c r="Q156" s="1024"/>
      <c r="R156" s="1020"/>
      <c r="S156" s="1020"/>
      <c r="T156" s="1036"/>
      <c r="U156" s="1036"/>
      <c r="V156" s="1020"/>
      <c r="W156" s="1020"/>
      <c r="X156" s="1020"/>
      <c r="Y156" s="1020"/>
      <c r="Z156" s="1020"/>
      <c r="AA156" s="1020"/>
      <c r="AB156" s="1020"/>
      <c r="AC156" s="1020"/>
      <c r="AD156" s="1020"/>
      <c r="AE156" s="1020"/>
      <c r="AF156" s="1020"/>
      <c r="AG156" s="1020"/>
      <c r="AH156" s="1020"/>
      <c r="AI156" s="1020"/>
      <c r="AJ156" s="1020"/>
      <c r="AK156" s="1020"/>
      <c r="AL156" s="1020"/>
      <c r="AM156" s="1020"/>
      <c r="AN156" s="1020"/>
      <c r="AO156" s="1020"/>
      <c r="AP156" s="1020"/>
      <c r="AQ156" s="1020"/>
      <c r="AR156" s="1020"/>
      <c r="AS156" s="1020"/>
      <c r="AT156" s="1020"/>
      <c r="AU156" s="1020"/>
      <c r="AV156" s="1020"/>
      <c r="AW156" s="1020"/>
      <c r="AX156" s="1020"/>
    </row>
    <row r="157" spans="1:50" ht="12" customHeight="1">
      <c r="A157" s="1024"/>
      <c r="B157" s="161"/>
      <c r="C157" s="1024"/>
      <c r="D157" s="1024"/>
      <c r="E157" s="1024"/>
      <c r="F157" s="1024"/>
      <c r="G157" s="1024"/>
      <c r="H157" s="1024"/>
      <c r="I157" s="1024"/>
      <c r="J157" s="1059"/>
      <c r="K157" s="156"/>
      <c r="L157" s="1024"/>
      <c r="M157" s="1033"/>
      <c r="N157" s="1024"/>
      <c r="O157" s="1024"/>
      <c r="P157" s="1024"/>
      <c r="Q157" s="1024"/>
      <c r="R157" s="1020"/>
      <c r="S157" s="1020"/>
      <c r="T157" s="1036"/>
      <c r="U157" s="1036"/>
      <c r="V157" s="1020"/>
      <c r="W157" s="1020"/>
      <c r="X157" s="1020"/>
      <c r="Y157" s="1020"/>
      <c r="Z157" s="1020"/>
      <c r="AA157" s="1020"/>
      <c r="AB157" s="1020"/>
      <c r="AC157" s="1020"/>
      <c r="AD157" s="1020"/>
      <c r="AE157" s="1020"/>
      <c r="AF157" s="1020"/>
      <c r="AG157" s="1020"/>
      <c r="AH157" s="1020"/>
      <c r="AI157" s="1020"/>
      <c r="AJ157" s="1020"/>
      <c r="AK157" s="1020"/>
      <c r="AL157" s="1020"/>
      <c r="AM157" s="1020"/>
      <c r="AN157" s="1020"/>
      <c r="AO157" s="1020"/>
      <c r="AP157" s="1020"/>
      <c r="AQ157" s="1020"/>
      <c r="AR157" s="1020"/>
      <c r="AS157" s="1020"/>
      <c r="AT157" s="1020"/>
      <c r="AU157" s="1020"/>
      <c r="AV157" s="1020"/>
      <c r="AW157" s="1020"/>
      <c r="AX157" s="1020"/>
    </row>
    <row r="158" spans="1:50" ht="12" customHeight="1">
      <c r="A158" s="1024"/>
      <c r="B158" s="161"/>
      <c r="C158" s="1024"/>
      <c r="D158" s="1024"/>
      <c r="E158" s="1024"/>
      <c r="F158" s="1024"/>
      <c r="G158" s="1024"/>
      <c r="H158" s="1024"/>
      <c r="I158" s="1024"/>
      <c r="J158" s="1059"/>
      <c r="K158" s="156"/>
      <c r="L158" s="1024"/>
      <c r="M158" s="1033"/>
      <c r="N158" s="1024"/>
      <c r="O158" s="1024"/>
      <c r="P158" s="1024"/>
      <c r="Q158" s="1024"/>
      <c r="R158" s="1020"/>
      <c r="S158" s="1020"/>
      <c r="T158" s="1036"/>
      <c r="U158" s="1036"/>
      <c r="V158" s="1020"/>
      <c r="W158" s="1020"/>
      <c r="X158" s="1020"/>
      <c r="Y158" s="1020"/>
      <c r="Z158" s="1020"/>
      <c r="AA158" s="1020"/>
      <c r="AB158" s="1020"/>
      <c r="AC158" s="1020"/>
      <c r="AD158" s="1020"/>
      <c r="AE158" s="1020"/>
      <c r="AF158" s="1020"/>
      <c r="AG158" s="1020"/>
      <c r="AH158" s="1020"/>
      <c r="AI158" s="1020"/>
      <c r="AJ158" s="1020"/>
      <c r="AK158" s="1020"/>
      <c r="AL158" s="1020"/>
      <c r="AM158" s="1020"/>
      <c r="AN158" s="1020"/>
      <c r="AO158" s="1020"/>
      <c r="AP158" s="1020"/>
      <c r="AQ158" s="1020"/>
      <c r="AR158" s="1020"/>
      <c r="AS158" s="1020"/>
      <c r="AT158" s="1020"/>
      <c r="AU158" s="1020"/>
      <c r="AV158" s="1020"/>
      <c r="AW158" s="1020"/>
      <c r="AX158" s="1020"/>
    </row>
    <row r="159" spans="1:50" ht="12" customHeight="1">
      <c r="A159" s="1024"/>
      <c r="B159" s="161"/>
      <c r="C159" s="1024"/>
      <c r="D159" s="1024"/>
      <c r="E159" s="1024"/>
      <c r="F159" s="1024"/>
      <c r="G159" s="1024"/>
      <c r="H159" s="1024"/>
      <c r="I159" s="1024"/>
      <c r="J159" s="1059"/>
      <c r="K159" s="156"/>
      <c r="L159" s="1024"/>
      <c r="M159" s="1033"/>
      <c r="N159" s="1024"/>
      <c r="O159" s="1024"/>
      <c r="P159" s="1024"/>
      <c r="Q159" s="1024"/>
      <c r="R159" s="1020"/>
      <c r="S159" s="1020"/>
      <c r="T159" s="1036"/>
      <c r="U159" s="1036"/>
      <c r="V159" s="1020"/>
      <c r="W159" s="1020"/>
      <c r="X159" s="1020"/>
      <c r="Y159" s="1020"/>
      <c r="Z159" s="1020"/>
      <c r="AA159" s="1020"/>
      <c r="AB159" s="1020"/>
      <c r="AC159" s="1020"/>
      <c r="AD159" s="1020"/>
      <c r="AE159" s="1020"/>
      <c r="AF159" s="1020"/>
      <c r="AG159" s="1020"/>
      <c r="AH159" s="1020"/>
      <c r="AI159" s="1020"/>
      <c r="AJ159" s="1020"/>
      <c r="AK159" s="1020"/>
      <c r="AL159" s="1020"/>
      <c r="AM159" s="1020"/>
      <c r="AN159" s="1020"/>
      <c r="AO159" s="1020"/>
      <c r="AP159" s="1020"/>
      <c r="AQ159" s="1020"/>
      <c r="AR159" s="1020"/>
      <c r="AS159" s="1020"/>
      <c r="AT159" s="1020"/>
      <c r="AU159" s="1020"/>
      <c r="AV159" s="1020"/>
      <c r="AW159" s="1020"/>
      <c r="AX159" s="1020"/>
    </row>
    <row r="160" spans="1:50" ht="12" customHeight="1">
      <c r="A160" s="1024"/>
      <c r="B160" s="161"/>
      <c r="C160" s="1024"/>
      <c r="D160" s="1024"/>
      <c r="E160" s="1024"/>
      <c r="F160" s="1024"/>
      <c r="G160" s="1024"/>
      <c r="H160" s="1024"/>
      <c r="I160" s="1024"/>
      <c r="J160" s="1059"/>
      <c r="K160" s="156"/>
      <c r="L160" s="1024"/>
      <c r="M160" s="1033"/>
      <c r="N160" s="1024"/>
      <c r="O160" s="1024"/>
      <c r="P160" s="1024"/>
      <c r="Q160" s="1024"/>
      <c r="R160" s="1020"/>
      <c r="S160" s="1020"/>
      <c r="T160" s="1036"/>
      <c r="U160" s="1036"/>
      <c r="V160" s="1020"/>
      <c r="W160" s="1020"/>
      <c r="X160" s="1020"/>
      <c r="Y160" s="1020"/>
      <c r="Z160" s="1020"/>
      <c r="AA160" s="1020"/>
      <c r="AB160" s="1020"/>
      <c r="AC160" s="1020"/>
      <c r="AD160" s="1020"/>
      <c r="AE160" s="1020"/>
      <c r="AF160" s="1020"/>
      <c r="AG160" s="1020"/>
      <c r="AH160" s="1020"/>
      <c r="AI160" s="1020"/>
      <c r="AJ160" s="1020"/>
      <c r="AK160" s="1020"/>
      <c r="AL160" s="1020"/>
      <c r="AM160" s="1020"/>
      <c r="AN160" s="1020"/>
      <c r="AO160" s="1020"/>
      <c r="AP160" s="1020"/>
      <c r="AQ160" s="1020"/>
      <c r="AR160" s="1020"/>
      <c r="AS160" s="1020"/>
      <c r="AT160" s="1020"/>
      <c r="AU160" s="1020"/>
      <c r="AV160" s="1020"/>
      <c r="AW160" s="1020"/>
      <c r="AX160" s="1020"/>
    </row>
    <row r="161" spans="1:50" ht="12" customHeight="1">
      <c r="A161" s="1024"/>
      <c r="B161" s="161"/>
      <c r="C161" s="1024"/>
      <c r="D161" s="1024"/>
      <c r="E161" s="1024"/>
      <c r="F161" s="1024"/>
      <c r="G161" s="1024"/>
      <c r="H161" s="1024"/>
      <c r="I161" s="1024"/>
      <c r="J161" s="1059"/>
      <c r="K161" s="156"/>
      <c r="L161" s="1024"/>
      <c r="M161" s="1033"/>
      <c r="N161" s="1024"/>
      <c r="O161" s="1024"/>
      <c r="P161" s="1024"/>
      <c r="Q161" s="1024"/>
      <c r="R161" s="1020"/>
      <c r="S161" s="1020"/>
      <c r="T161" s="1036"/>
      <c r="U161" s="1036"/>
      <c r="V161" s="1020"/>
      <c r="W161" s="1020"/>
      <c r="X161" s="1020"/>
      <c r="Y161" s="1020"/>
      <c r="Z161" s="1020"/>
      <c r="AA161" s="1020"/>
      <c r="AB161" s="1020"/>
      <c r="AC161" s="1020"/>
      <c r="AD161" s="1020"/>
      <c r="AE161" s="1020"/>
      <c r="AF161" s="1020"/>
      <c r="AG161" s="1020"/>
      <c r="AH161" s="1020"/>
      <c r="AI161" s="1020"/>
      <c r="AJ161" s="1020"/>
      <c r="AK161" s="1020"/>
      <c r="AL161" s="1020"/>
      <c r="AM161" s="1020"/>
      <c r="AN161" s="1020"/>
      <c r="AO161" s="1020"/>
      <c r="AP161" s="1020"/>
      <c r="AQ161" s="1020"/>
      <c r="AR161" s="1020"/>
      <c r="AS161" s="1020"/>
      <c r="AT161" s="1020"/>
      <c r="AU161" s="1020"/>
      <c r="AV161" s="1020"/>
      <c r="AW161" s="1020"/>
      <c r="AX161" s="1020"/>
    </row>
    <row r="162" spans="1:50" ht="12" customHeight="1">
      <c r="A162" s="1024"/>
      <c r="B162" s="161"/>
      <c r="C162" s="1024"/>
      <c r="D162" s="1024"/>
      <c r="E162" s="1024"/>
      <c r="F162" s="1024"/>
      <c r="G162" s="1024"/>
      <c r="H162" s="1024"/>
      <c r="I162" s="1024"/>
      <c r="J162" s="1059"/>
      <c r="K162" s="156"/>
      <c r="L162" s="1024"/>
      <c r="M162" s="1033"/>
      <c r="N162" s="1024"/>
      <c r="O162" s="1024"/>
      <c r="P162" s="1024"/>
      <c r="Q162" s="1024"/>
      <c r="R162" s="1020"/>
      <c r="S162" s="1020"/>
      <c r="T162" s="1036"/>
      <c r="U162" s="1036"/>
      <c r="V162" s="1020"/>
      <c r="W162" s="1020"/>
      <c r="X162" s="1020"/>
      <c r="Y162" s="1020"/>
      <c r="Z162" s="1020"/>
      <c r="AA162" s="1020"/>
      <c r="AB162" s="1020"/>
      <c r="AC162" s="1020"/>
      <c r="AD162" s="1020"/>
      <c r="AE162" s="1020"/>
      <c r="AF162" s="1020"/>
      <c r="AG162" s="1020"/>
      <c r="AH162" s="1020"/>
      <c r="AI162" s="1020"/>
      <c r="AJ162" s="1020"/>
      <c r="AK162" s="1020"/>
      <c r="AL162" s="1020"/>
      <c r="AM162" s="1020"/>
      <c r="AN162" s="1020"/>
      <c r="AO162" s="1020"/>
      <c r="AP162" s="1020"/>
      <c r="AQ162" s="1020"/>
      <c r="AR162" s="1020"/>
      <c r="AS162" s="1020"/>
      <c r="AT162" s="1020"/>
      <c r="AU162" s="1020"/>
      <c r="AV162" s="1020"/>
      <c r="AW162" s="1020"/>
      <c r="AX162" s="1020"/>
    </row>
    <row r="163" spans="1:50" ht="12" customHeight="1">
      <c r="A163" s="1024"/>
      <c r="B163" s="161"/>
      <c r="C163" s="1024"/>
      <c r="D163" s="1024"/>
      <c r="E163" s="1024"/>
      <c r="F163" s="1024"/>
      <c r="G163" s="1024"/>
      <c r="H163" s="1024"/>
      <c r="I163" s="1024"/>
      <c r="J163" s="1059"/>
      <c r="K163" s="156"/>
      <c r="L163" s="1024"/>
      <c r="M163" s="1033"/>
      <c r="N163" s="1024"/>
      <c r="O163" s="1024"/>
      <c r="P163" s="1024"/>
      <c r="Q163" s="1024"/>
      <c r="R163" s="1020"/>
      <c r="S163" s="1020"/>
      <c r="T163" s="1036"/>
      <c r="U163" s="1036"/>
      <c r="V163" s="1020"/>
      <c r="W163" s="1020"/>
      <c r="X163" s="1020"/>
      <c r="Y163" s="1020"/>
      <c r="Z163" s="1020"/>
      <c r="AA163" s="1020"/>
      <c r="AB163" s="1020"/>
      <c r="AC163" s="1020"/>
      <c r="AD163" s="1020"/>
      <c r="AE163" s="1020"/>
      <c r="AF163" s="1020"/>
      <c r="AG163" s="1020"/>
      <c r="AH163" s="1020"/>
      <c r="AI163" s="1020"/>
      <c r="AJ163" s="1020"/>
      <c r="AK163" s="1020"/>
      <c r="AL163" s="1020"/>
      <c r="AM163" s="1020"/>
      <c r="AN163" s="1020"/>
      <c r="AO163" s="1020"/>
      <c r="AP163" s="1020"/>
      <c r="AQ163" s="1020"/>
      <c r="AR163" s="1020"/>
      <c r="AS163" s="1020"/>
      <c r="AT163" s="1020"/>
      <c r="AU163" s="1020"/>
      <c r="AV163" s="1020"/>
      <c r="AW163" s="1020"/>
      <c r="AX163" s="1020"/>
    </row>
    <row r="164" spans="1:50" ht="12" customHeight="1">
      <c r="A164" s="1024"/>
      <c r="B164" s="161"/>
      <c r="C164" s="1024"/>
      <c r="D164" s="1024"/>
      <c r="E164" s="1024"/>
      <c r="F164" s="1024"/>
      <c r="G164" s="1024"/>
      <c r="H164" s="1024"/>
      <c r="I164" s="1024"/>
      <c r="J164" s="1059"/>
      <c r="K164" s="156"/>
      <c r="L164" s="1024"/>
      <c r="M164" s="1033"/>
      <c r="N164" s="1024"/>
      <c r="O164" s="1024"/>
      <c r="P164" s="1024"/>
      <c r="Q164" s="1024"/>
      <c r="R164" s="1020"/>
      <c r="S164" s="1020"/>
      <c r="T164" s="1036"/>
      <c r="U164" s="1036"/>
      <c r="V164" s="1020"/>
      <c r="W164" s="1020"/>
      <c r="X164" s="1020"/>
      <c r="Y164" s="1020"/>
      <c r="Z164" s="1020"/>
      <c r="AA164" s="1020"/>
      <c r="AB164" s="1020"/>
      <c r="AC164" s="1020"/>
      <c r="AD164" s="1020"/>
      <c r="AE164" s="1020"/>
      <c r="AF164" s="1020"/>
      <c r="AG164" s="1020"/>
      <c r="AH164" s="1020"/>
      <c r="AI164" s="1020"/>
      <c r="AJ164" s="1020"/>
      <c r="AK164" s="1020"/>
      <c r="AL164" s="1020"/>
      <c r="AM164" s="1020"/>
      <c r="AN164" s="1020"/>
      <c r="AO164" s="1020"/>
      <c r="AP164" s="1020"/>
      <c r="AQ164" s="1020"/>
      <c r="AR164" s="1020"/>
      <c r="AS164" s="1020"/>
      <c r="AT164" s="1020"/>
      <c r="AU164" s="1020"/>
      <c r="AV164" s="1020"/>
      <c r="AW164" s="1020"/>
      <c r="AX164" s="1020"/>
    </row>
    <row r="165" spans="1:50" ht="12" customHeight="1">
      <c r="A165" s="1024"/>
      <c r="B165" s="161"/>
      <c r="C165" s="1024"/>
      <c r="D165" s="1024"/>
      <c r="E165" s="1024"/>
      <c r="F165" s="1024"/>
      <c r="G165" s="1024"/>
      <c r="H165" s="1024"/>
      <c r="I165" s="1024"/>
      <c r="J165" s="1059"/>
      <c r="K165" s="156"/>
      <c r="L165" s="1024"/>
      <c r="M165" s="1033"/>
      <c r="N165" s="1024"/>
      <c r="O165" s="1024"/>
      <c r="P165" s="1024"/>
      <c r="Q165" s="1024"/>
      <c r="R165" s="1020"/>
      <c r="S165" s="1020"/>
      <c r="T165" s="1036"/>
      <c r="U165" s="1036"/>
      <c r="V165" s="1020"/>
      <c r="W165" s="1020"/>
      <c r="X165" s="1020"/>
      <c r="Y165" s="1020"/>
      <c r="Z165" s="1020"/>
      <c r="AA165" s="1020"/>
      <c r="AB165" s="1020"/>
      <c r="AC165" s="1020"/>
      <c r="AD165" s="1020"/>
      <c r="AE165" s="1020"/>
      <c r="AF165" s="1020"/>
      <c r="AG165" s="1020"/>
      <c r="AH165" s="1020"/>
      <c r="AI165" s="1020"/>
      <c r="AJ165" s="1020"/>
      <c r="AK165" s="1020"/>
      <c r="AL165" s="1020"/>
      <c r="AM165" s="1020"/>
      <c r="AN165" s="1020"/>
      <c r="AO165" s="1020"/>
      <c r="AP165" s="1020"/>
      <c r="AQ165" s="1020"/>
      <c r="AR165" s="1020"/>
      <c r="AS165" s="1020"/>
      <c r="AT165" s="1020"/>
      <c r="AU165" s="1020"/>
      <c r="AV165" s="1020"/>
      <c r="AW165" s="1020"/>
      <c r="AX165" s="1020"/>
    </row>
    <row r="166" spans="1:50" ht="12" customHeight="1">
      <c r="A166" s="1024"/>
      <c r="B166" s="161"/>
      <c r="C166" s="1024"/>
      <c r="D166" s="1024"/>
      <c r="E166" s="1024"/>
      <c r="F166" s="1024"/>
      <c r="G166" s="1024"/>
      <c r="H166" s="1024"/>
      <c r="I166" s="1024"/>
      <c r="J166" s="1059"/>
      <c r="K166" s="156"/>
      <c r="L166" s="1024"/>
      <c r="M166" s="1033"/>
      <c r="N166" s="1024"/>
      <c r="O166" s="1024"/>
      <c r="P166" s="1024"/>
      <c r="Q166" s="1024"/>
      <c r="R166" s="1020"/>
      <c r="S166" s="1020"/>
      <c r="T166" s="1036"/>
      <c r="U166" s="1036"/>
      <c r="V166" s="1020"/>
      <c r="W166" s="1020"/>
      <c r="X166" s="1020"/>
      <c r="Y166" s="1020"/>
      <c r="Z166" s="1020"/>
      <c r="AA166" s="1020"/>
      <c r="AB166" s="1020"/>
      <c r="AC166" s="1020"/>
      <c r="AD166" s="1020"/>
      <c r="AE166" s="1020"/>
      <c r="AF166" s="1020"/>
      <c r="AG166" s="1020"/>
      <c r="AH166" s="1020"/>
      <c r="AI166" s="1020"/>
      <c r="AJ166" s="1020"/>
      <c r="AK166" s="1020"/>
      <c r="AL166" s="1020"/>
      <c r="AM166" s="1020"/>
      <c r="AN166" s="1020"/>
      <c r="AO166" s="1020"/>
      <c r="AP166" s="1020"/>
      <c r="AQ166" s="1020"/>
      <c r="AR166" s="1020"/>
      <c r="AS166" s="1020"/>
      <c r="AT166" s="1020"/>
      <c r="AU166" s="1020"/>
      <c r="AV166" s="1020"/>
      <c r="AW166" s="1020"/>
      <c r="AX166" s="1020"/>
    </row>
    <row r="167" spans="1:50" ht="10.5" customHeight="1">
      <c r="A167" s="1024"/>
      <c r="B167" s="161"/>
      <c r="C167" s="1024"/>
      <c r="D167" s="1024"/>
      <c r="E167" s="1024"/>
      <c r="F167" s="1024"/>
      <c r="G167" s="1024"/>
      <c r="H167" s="1024"/>
      <c r="I167" s="1024"/>
      <c r="J167" s="1059"/>
      <c r="K167" s="156"/>
      <c r="L167" s="1024"/>
      <c r="M167" s="1033"/>
      <c r="N167" s="1024"/>
      <c r="O167" s="1024"/>
      <c r="P167" s="1024"/>
      <c r="Q167" s="1024"/>
      <c r="R167" s="1020"/>
      <c r="S167" s="1020"/>
      <c r="T167" s="1036"/>
      <c r="U167" s="1036"/>
      <c r="V167" s="1020"/>
      <c r="W167" s="1020"/>
      <c r="X167" s="1020"/>
      <c r="Y167" s="1020"/>
      <c r="Z167" s="1020"/>
      <c r="AA167" s="1020"/>
      <c r="AB167" s="1020"/>
      <c r="AC167" s="1020"/>
      <c r="AD167" s="1020"/>
      <c r="AE167" s="1020"/>
      <c r="AF167" s="1020"/>
      <c r="AG167" s="1020"/>
      <c r="AH167" s="1020"/>
      <c r="AI167" s="1020"/>
      <c r="AJ167" s="1020"/>
      <c r="AK167" s="1020"/>
      <c r="AL167" s="1020"/>
      <c r="AM167" s="1020"/>
      <c r="AN167" s="1020"/>
      <c r="AO167" s="1020"/>
      <c r="AP167" s="1020"/>
      <c r="AQ167" s="1020"/>
      <c r="AR167" s="1020"/>
      <c r="AS167" s="1020"/>
      <c r="AT167" s="1020"/>
      <c r="AU167" s="1020"/>
      <c r="AV167" s="1020"/>
      <c r="AW167" s="1020"/>
      <c r="AX167" s="1020"/>
    </row>
    <row r="168" spans="1:50" ht="12" customHeight="1">
      <c r="A168" s="1024"/>
      <c r="B168" s="161"/>
      <c r="C168" s="1024"/>
      <c r="D168" s="1024"/>
      <c r="E168" s="1024"/>
      <c r="F168" s="1024"/>
      <c r="G168" s="1024"/>
      <c r="H168" s="1024"/>
      <c r="I168" s="1024"/>
      <c r="J168" s="1059"/>
      <c r="K168" s="156"/>
      <c r="L168" s="1024"/>
      <c r="M168" s="1033"/>
      <c r="N168" s="1024"/>
      <c r="O168" s="1024"/>
      <c r="P168" s="1024"/>
      <c r="Q168" s="1024"/>
      <c r="R168" s="1020"/>
      <c r="S168" s="1020"/>
      <c r="T168" s="1036"/>
      <c r="U168" s="1036"/>
      <c r="V168" s="1020"/>
      <c r="W168" s="1020"/>
      <c r="X168" s="1020"/>
      <c r="Y168" s="1020"/>
      <c r="Z168" s="1020"/>
      <c r="AA168" s="1020"/>
      <c r="AB168" s="1020"/>
      <c r="AC168" s="1020"/>
      <c r="AD168" s="1020"/>
      <c r="AE168" s="1020"/>
      <c r="AF168" s="1020"/>
      <c r="AG168" s="1020"/>
      <c r="AH168" s="1020"/>
      <c r="AI168" s="1020"/>
      <c r="AJ168" s="1020"/>
      <c r="AK168" s="1020"/>
      <c r="AL168" s="1020"/>
      <c r="AM168" s="1020"/>
      <c r="AN168" s="1020"/>
      <c r="AO168" s="1020"/>
      <c r="AP168" s="1020"/>
      <c r="AQ168" s="1020"/>
      <c r="AR168" s="1020"/>
      <c r="AS168" s="1020"/>
      <c r="AT168" s="1020"/>
      <c r="AU168" s="1020"/>
      <c r="AV168" s="1020"/>
      <c r="AW168" s="1020"/>
      <c r="AX168" s="1020"/>
    </row>
    <row r="169" spans="1:50" ht="12" customHeight="1">
      <c r="A169" s="1024"/>
      <c r="B169" s="161"/>
      <c r="C169" s="1024"/>
      <c r="D169" s="1024"/>
      <c r="E169" s="1024"/>
      <c r="F169" s="1024"/>
      <c r="G169" s="1024"/>
      <c r="H169" s="1024"/>
      <c r="I169" s="1024"/>
      <c r="J169" s="1059"/>
      <c r="K169" s="156"/>
      <c r="L169" s="1024"/>
      <c r="M169" s="1033"/>
      <c r="N169" s="1024"/>
      <c r="O169" s="1024"/>
      <c r="P169" s="1024"/>
      <c r="Q169" s="1024"/>
      <c r="R169" s="1020"/>
      <c r="S169" s="1020"/>
      <c r="T169" s="1036"/>
      <c r="U169" s="1036"/>
      <c r="V169" s="1020"/>
      <c r="W169" s="1020"/>
      <c r="X169" s="1020"/>
      <c r="Y169" s="1020"/>
      <c r="Z169" s="1020"/>
      <c r="AA169" s="1020"/>
      <c r="AB169" s="1020"/>
      <c r="AC169" s="1020"/>
      <c r="AD169" s="1020"/>
      <c r="AE169" s="1020"/>
      <c r="AF169" s="1020"/>
      <c r="AG169" s="1020"/>
      <c r="AH169" s="1020"/>
      <c r="AI169" s="1020"/>
      <c r="AJ169" s="1020"/>
      <c r="AK169" s="1020"/>
      <c r="AL169" s="1020"/>
      <c r="AM169" s="1020"/>
      <c r="AN169" s="1020"/>
      <c r="AO169" s="1020"/>
      <c r="AP169" s="1020"/>
      <c r="AQ169" s="1020"/>
      <c r="AR169" s="1020"/>
      <c r="AS169" s="1020"/>
      <c r="AT169" s="1020"/>
      <c r="AU169" s="1020"/>
      <c r="AV169" s="1020"/>
      <c r="AW169" s="1020"/>
      <c r="AX169" s="1020"/>
    </row>
    <row r="170" spans="1:50" ht="12" customHeight="1">
      <c r="A170" s="1024"/>
      <c r="B170" s="161"/>
      <c r="C170" s="1024"/>
      <c r="D170" s="1024"/>
      <c r="E170" s="1024"/>
      <c r="F170" s="1024"/>
      <c r="G170" s="1024"/>
      <c r="H170" s="1024"/>
      <c r="I170" s="1024"/>
      <c r="J170" s="1059"/>
      <c r="K170" s="156"/>
      <c r="L170" s="1024"/>
      <c r="M170" s="1033"/>
      <c r="N170" s="1024"/>
      <c r="O170" s="1024"/>
      <c r="P170" s="1024"/>
      <c r="Q170" s="1024"/>
      <c r="R170" s="1020"/>
      <c r="S170" s="1020"/>
      <c r="T170" s="1036"/>
      <c r="U170" s="1036"/>
      <c r="V170" s="1020"/>
      <c r="W170" s="1020"/>
      <c r="X170" s="1020"/>
      <c r="Y170" s="1020"/>
      <c r="Z170" s="1020"/>
      <c r="AA170" s="1020"/>
      <c r="AB170" s="1020"/>
      <c r="AC170" s="1020"/>
      <c r="AD170" s="1020"/>
      <c r="AE170" s="1020"/>
      <c r="AF170" s="1020"/>
      <c r="AG170" s="1020"/>
      <c r="AH170" s="1020"/>
      <c r="AI170" s="1020"/>
      <c r="AJ170" s="1020"/>
      <c r="AK170" s="1020"/>
      <c r="AL170" s="1020"/>
      <c r="AM170" s="1020"/>
      <c r="AN170" s="1020"/>
      <c r="AO170" s="1020"/>
      <c r="AP170" s="1020"/>
      <c r="AQ170" s="1020"/>
      <c r="AR170" s="1020"/>
      <c r="AS170" s="1020"/>
      <c r="AT170" s="1020"/>
      <c r="AU170" s="1020"/>
      <c r="AV170" s="1020"/>
      <c r="AW170" s="1020"/>
      <c r="AX170" s="1020"/>
    </row>
    <row r="171" spans="1:50" ht="12" customHeight="1">
      <c r="A171" s="1024"/>
      <c r="B171" s="161"/>
      <c r="C171" s="1024"/>
      <c r="D171" s="1024"/>
      <c r="E171" s="1024"/>
      <c r="F171" s="1024"/>
      <c r="G171" s="1024"/>
      <c r="H171" s="1024"/>
      <c r="I171" s="1024"/>
      <c r="J171" s="1059"/>
      <c r="K171" s="156"/>
      <c r="L171" s="1024"/>
      <c r="M171" s="1033"/>
      <c r="N171" s="1024"/>
      <c r="O171" s="1024"/>
      <c r="P171" s="1024"/>
      <c r="Q171" s="1024"/>
      <c r="R171" s="1020"/>
      <c r="S171" s="1020"/>
      <c r="T171" s="1036"/>
      <c r="U171" s="1036"/>
      <c r="V171" s="1020"/>
      <c r="W171" s="1020"/>
      <c r="X171" s="1020"/>
      <c r="Y171" s="1020"/>
      <c r="Z171" s="1020"/>
      <c r="AA171" s="1020"/>
      <c r="AB171" s="1020"/>
      <c r="AC171" s="1020"/>
      <c r="AD171" s="1020"/>
      <c r="AE171" s="1020"/>
      <c r="AF171" s="1020"/>
      <c r="AG171" s="1020"/>
      <c r="AH171" s="1020"/>
      <c r="AI171" s="1020"/>
      <c r="AJ171" s="1020"/>
      <c r="AK171" s="1020"/>
      <c r="AL171" s="1020"/>
      <c r="AM171" s="1020"/>
      <c r="AN171" s="1020"/>
      <c r="AO171" s="1020"/>
      <c r="AP171" s="1020"/>
      <c r="AQ171" s="1020"/>
      <c r="AR171" s="1020"/>
      <c r="AS171" s="1020"/>
      <c r="AT171" s="1020"/>
      <c r="AU171" s="1020"/>
      <c r="AV171" s="1020"/>
      <c r="AW171" s="1020"/>
      <c r="AX171" s="1020"/>
    </row>
    <row r="172" spans="1:50" ht="12" customHeight="1">
      <c r="A172" s="1024"/>
      <c r="B172" s="161"/>
      <c r="C172" s="1024"/>
      <c r="D172" s="1024"/>
      <c r="E172" s="1024"/>
      <c r="F172" s="1024"/>
      <c r="G172" s="1024"/>
      <c r="H172" s="1024"/>
      <c r="I172" s="1024"/>
      <c r="J172" s="1059"/>
      <c r="K172" s="156"/>
      <c r="L172" s="1024"/>
      <c r="M172" s="1033"/>
      <c r="N172" s="1024"/>
      <c r="O172" s="1024"/>
      <c r="P172" s="1024"/>
      <c r="Q172" s="1024"/>
      <c r="R172" s="1020"/>
      <c r="S172" s="1020"/>
      <c r="T172" s="1036"/>
      <c r="U172" s="1036"/>
      <c r="V172" s="1020"/>
      <c r="W172" s="1020"/>
      <c r="X172" s="1020"/>
      <c r="Y172" s="1020"/>
      <c r="Z172" s="1020"/>
      <c r="AA172" s="1020"/>
      <c r="AB172" s="1020"/>
      <c r="AC172" s="1020"/>
      <c r="AD172" s="1020"/>
      <c r="AE172" s="1020"/>
      <c r="AF172" s="1020"/>
      <c r="AG172" s="1020"/>
      <c r="AH172" s="1020"/>
      <c r="AI172" s="1020"/>
      <c r="AJ172" s="1020"/>
      <c r="AK172" s="1020"/>
      <c r="AL172" s="1020"/>
      <c r="AM172" s="1020"/>
      <c r="AN172" s="1020"/>
      <c r="AO172" s="1020"/>
      <c r="AP172" s="1020"/>
      <c r="AQ172" s="1020"/>
      <c r="AR172" s="1020"/>
      <c r="AS172" s="1020"/>
      <c r="AT172" s="1020"/>
      <c r="AU172" s="1020"/>
      <c r="AV172" s="1020"/>
      <c r="AW172" s="1020"/>
      <c r="AX172" s="1020"/>
    </row>
    <row r="173" spans="1:50" ht="12" customHeight="1">
      <c r="A173" s="1024"/>
      <c r="B173" s="161"/>
      <c r="C173" s="1024"/>
      <c r="D173" s="1024"/>
      <c r="E173" s="1024"/>
      <c r="F173" s="1024"/>
      <c r="G173" s="1024"/>
      <c r="H173" s="1024"/>
      <c r="I173" s="1024"/>
      <c r="J173" s="1059"/>
      <c r="K173" s="156"/>
      <c r="L173" s="1024"/>
      <c r="M173" s="1033"/>
      <c r="N173" s="1024"/>
      <c r="O173" s="1024"/>
      <c r="P173" s="1024"/>
      <c r="Q173" s="1024"/>
      <c r="R173" s="1020"/>
      <c r="S173" s="1020"/>
      <c r="T173" s="1036"/>
      <c r="U173" s="1036"/>
      <c r="V173" s="1020"/>
      <c r="W173" s="1020"/>
      <c r="X173" s="1020"/>
      <c r="Y173" s="1020"/>
      <c r="Z173" s="1020"/>
      <c r="AA173" s="1020"/>
      <c r="AB173" s="1020"/>
      <c r="AC173" s="1020"/>
      <c r="AD173" s="1020"/>
      <c r="AE173" s="1020"/>
      <c r="AF173" s="1020"/>
      <c r="AG173" s="1020"/>
      <c r="AH173" s="1020"/>
      <c r="AI173" s="1020"/>
      <c r="AJ173" s="1020"/>
      <c r="AK173" s="1020"/>
      <c r="AL173" s="1020"/>
      <c r="AM173" s="1020"/>
      <c r="AN173" s="1020"/>
      <c r="AO173" s="1020"/>
      <c r="AP173" s="1020"/>
      <c r="AQ173" s="1020"/>
      <c r="AR173" s="1020"/>
      <c r="AS173" s="1020"/>
      <c r="AT173" s="1020"/>
      <c r="AU173" s="1020"/>
      <c r="AV173" s="1020"/>
      <c r="AW173" s="1020"/>
      <c r="AX173" s="1020"/>
    </row>
    <row r="174" spans="1:50" ht="12" customHeight="1">
      <c r="A174" s="1024"/>
      <c r="B174" s="161"/>
      <c r="C174" s="1024"/>
      <c r="D174" s="1024"/>
      <c r="E174" s="1024"/>
      <c r="F174" s="1024"/>
      <c r="G174" s="1024"/>
      <c r="H174" s="1024"/>
      <c r="I174" s="1024"/>
      <c r="J174" s="1059"/>
      <c r="K174" s="156"/>
      <c r="L174" s="1024"/>
      <c r="M174" s="1033"/>
      <c r="N174" s="1024"/>
      <c r="O174" s="1024"/>
      <c r="P174" s="1024"/>
      <c r="Q174" s="1024"/>
      <c r="R174" s="1020"/>
      <c r="S174" s="1020"/>
      <c r="T174" s="1036"/>
      <c r="U174" s="1036"/>
      <c r="V174" s="1020"/>
      <c r="W174" s="1020"/>
      <c r="X174" s="1020"/>
      <c r="Y174" s="1020"/>
      <c r="Z174" s="1020"/>
      <c r="AA174" s="1020"/>
      <c r="AB174" s="1020"/>
      <c r="AC174" s="1020"/>
      <c r="AD174" s="1020"/>
      <c r="AE174" s="1020"/>
      <c r="AF174" s="1020"/>
      <c r="AG174" s="1020"/>
      <c r="AH174" s="1020"/>
      <c r="AI174" s="1020"/>
      <c r="AJ174" s="1020"/>
      <c r="AK174" s="1020"/>
      <c r="AL174" s="1020"/>
      <c r="AM174" s="1020"/>
      <c r="AN174" s="1020"/>
      <c r="AO174" s="1020"/>
      <c r="AP174" s="1020"/>
      <c r="AQ174" s="1020"/>
      <c r="AR174" s="1020"/>
      <c r="AS174" s="1020"/>
      <c r="AT174" s="1020"/>
      <c r="AU174" s="1020"/>
      <c r="AV174" s="1020"/>
      <c r="AW174" s="1020"/>
      <c r="AX174" s="1020"/>
    </row>
    <row r="175" spans="1:50" ht="12" customHeight="1">
      <c r="A175" s="1024"/>
      <c r="B175" s="161"/>
      <c r="C175" s="1024"/>
      <c r="D175" s="1024"/>
      <c r="E175" s="1024"/>
      <c r="F175" s="1024"/>
      <c r="G175" s="1024"/>
      <c r="H175" s="1024"/>
      <c r="I175" s="1024"/>
      <c r="J175" s="1059"/>
      <c r="K175" s="156"/>
      <c r="L175" s="1024"/>
      <c r="M175" s="1033"/>
      <c r="N175" s="1024"/>
      <c r="O175" s="1024"/>
      <c r="P175" s="1024"/>
      <c r="Q175" s="1024"/>
      <c r="R175" s="1020"/>
      <c r="S175" s="1020"/>
      <c r="T175" s="1036"/>
      <c r="U175" s="1036"/>
      <c r="V175" s="1020"/>
      <c r="W175" s="1020"/>
      <c r="X175" s="1020"/>
      <c r="Y175" s="1020"/>
      <c r="Z175" s="1020"/>
      <c r="AA175" s="1020"/>
      <c r="AB175" s="1020"/>
      <c r="AC175" s="1020"/>
      <c r="AD175" s="1020"/>
      <c r="AE175" s="1020"/>
      <c r="AF175" s="1020"/>
      <c r="AG175" s="1020"/>
      <c r="AH175" s="1020"/>
      <c r="AI175" s="1020"/>
      <c r="AJ175" s="1020"/>
      <c r="AK175" s="1020"/>
      <c r="AL175" s="1020"/>
      <c r="AM175" s="1020"/>
      <c r="AN175" s="1020"/>
      <c r="AO175" s="1020"/>
      <c r="AP175" s="1020"/>
      <c r="AQ175" s="1020"/>
      <c r="AR175" s="1020"/>
      <c r="AS175" s="1020"/>
      <c r="AT175" s="1020"/>
      <c r="AU175" s="1020"/>
      <c r="AV175" s="1020"/>
      <c r="AW175" s="1020"/>
      <c r="AX175" s="1020"/>
    </row>
    <row r="176" spans="1:50" ht="12" customHeight="1">
      <c r="A176" s="1024"/>
      <c r="B176" s="161"/>
      <c r="C176" s="1024"/>
      <c r="D176" s="1024"/>
      <c r="E176" s="1024"/>
      <c r="F176" s="1024"/>
      <c r="G176" s="1024"/>
      <c r="H176" s="1024"/>
      <c r="I176" s="1024"/>
      <c r="J176" s="1059"/>
      <c r="K176" s="156"/>
      <c r="L176" s="1024"/>
      <c r="M176" s="1033"/>
      <c r="N176" s="1024"/>
      <c r="O176" s="1024"/>
      <c r="P176" s="1024"/>
      <c r="Q176" s="1024"/>
      <c r="R176" s="1020"/>
      <c r="S176" s="1020"/>
      <c r="T176" s="1036"/>
      <c r="U176" s="1036"/>
      <c r="V176" s="1020"/>
      <c r="W176" s="1020"/>
      <c r="X176" s="1020"/>
      <c r="Y176" s="1020"/>
      <c r="Z176" s="1020"/>
      <c r="AA176" s="1020"/>
      <c r="AB176" s="1020"/>
      <c r="AC176" s="1020"/>
      <c r="AD176" s="1020"/>
      <c r="AE176" s="1020"/>
      <c r="AF176" s="1020"/>
      <c r="AG176" s="1020"/>
      <c r="AH176" s="1020"/>
      <c r="AI176" s="1020"/>
      <c r="AJ176" s="1020"/>
      <c r="AK176" s="1020"/>
      <c r="AL176" s="1020"/>
      <c r="AM176" s="1020"/>
      <c r="AN176" s="1020"/>
      <c r="AO176" s="1020"/>
      <c r="AP176" s="1020"/>
      <c r="AQ176" s="1020"/>
      <c r="AR176" s="1020"/>
      <c r="AS176" s="1020"/>
      <c r="AT176" s="1020"/>
      <c r="AU176" s="1020"/>
      <c r="AV176" s="1020"/>
      <c r="AW176" s="1020"/>
      <c r="AX176" s="1020"/>
    </row>
    <row r="177" spans="1:50" ht="12" customHeight="1">
      <c r="A177" s="1024"/>
      <c r="B177" s="161"/>
      <c r="C177" s="1024"/>
      <c r="D177" s="1024"/>
      <c r="E177" s="1024"/>
      <c r="F177" s="1024"/>
      <c r="G177" s="1024"/>
      <c r="H177" s="1024"/>
      <c r="I177" s="1024"/>
      <c r="J177" s="1059"/>
      <c r="K177" s="156"/>
      <c r="L177" s="1024"/>
      <c r="M177" s="1033"/>
      <c r="N177" s="1024"/>
      <c r="O177" s="1024"/>
      <c r="P177" s="1024"/>
      <c r="Q177" s="1024"/>
      <c r="R177" s="1020"/>
      <c r="S177" s="1020"/>
      <c r="T177" s="1036"/>
      <c r="U177" s="1036"/>
      <c r="V177" s="1020"/>
      <c r="W177" s="1020"/>
      <c r="X177" s="1020"/>
      <c r="Y177" s="1020"/>
      <c r="Z177" s="1020"/>
      <c r="AA177" s="1020"/>
      <c r="AB177" s="1020"/>
      <c r="AC177" s="1020"/>
      <c r="AD177" s="1020"/>
      <c r="AE177" s="1020"/>
      <c r="AF177" s="1020"/>
      <c r="AG177" s="1020"/>
      <c r="AH177" s="1020"/>
      <c r="AI177" s="1020"/>
      <c r="AJ177" s="1020"/>
      <c r="AK177" s="1020"/>
      <c r="AL177" s="1020"/>
      <c r="AM177" s="1020"/>
      <c r="AN177" s="1020"/>
      <c r="AO177" s="1020"/>
      <c r="AP177" s="1020"/>
      <c r="AQ177" s="1020"/>
      <c r="AR177" s="1020"/>
      <c r="AS177" s="1020"/>
      <c r="AT177" s="1020"/>
      <c r="AU177" s="1020"/>
      <c r="AV177" s="1020"/>
      <c r="AW177" s="1020"/>
      <c r="AX177" s="1020"/>
    </row>
    <row r="178" spans="1:50" ht="12" customHeight="1">
      <c r="A178" s="1024"/>
      <c r="B178" s="161"/>
      <c r="C178" s="1024"/>
      <c r="D178" s="1024"/>
      <c r="E178" s="1024"/>
      <c r="F178" s="1024"/>
      <c r="G178" s="1024"/>
      <c r="H178" s="1024"/>
      <c r="I178" s="1024"/>
      <c r="J178" s="1059"/>
      <c r="K178" s="156"/>
      <c r="L178" s="1024"/>
      <c r="M178" s="1033"/>
      <c r="N178" s="1024"/>
      <c r="O178" s="1024"/>
      <c r="P178" s="1024"/>
      <c r="Q178" s="1024"/>
      <c r="R178" s="1020"/>
      <c r="S178" s="1020"/>
      <c r="T178" s="1036"/>
      <c r="U178" s="1036"/>
      <c r="V178" s="1020"/>
      <c r="W178" s="1020"/>
      <c r="X178" s="1020"/>
      <c r="Y178" s="1020"/>
      <c r="Z178" s="1020"/>
      <c r="AA178" s="1020"/>
      <c r="AB178" s="1020"/>
      <c r="AC178" s="1020"/>
      <c r="AD178" s="1020"/>
      <c r="AE178" s="1020"/>
      <c r="AF178" s="1020"/>
      <c r="AG178" s="1020"/>
      <c r="AH178" s="1020"/>
      <c r="AI178" s="1020"/>
      <c r="AJ178" s="1020"/>
      <c r="AK178" s="1020"/>
      <c r="AL178" s="1020"/>
      <c r="AM178" s="1020"/>
      <c r="AN178" s="1020"/>
      <c r="AO178" s="1020"/>
      <c r="AP178" s="1020"/>
      <c r="AQ178" s="1020"/>
      <c r="AR178" s="1020"/>
      <c r="AS178" s="1020"/>
      <c r="AT178" s="1020"/>
      <c r="AU178" s="1020"/>
      <c r="AV178" s="1020"/>
      <c r="AW178" s="1020"/>
      <c r="AX178" s="1020"/>
    </row>
    <row r="179" spans="1:50" ht="12" customHeight="1">
      <c r="A179" s="1024"/>
      <c r="B179" s="161"/>
      <c r="C179" s="1024"/>
      <c r="D179" s="1024"/>
      <c r="E179" s="1024"/>
      <c r="F179" s="1024"/>
      <c r="G179" s="1024"/>
      <c r="H179" s="1024"/>
      <c r="I179" s="1024"/>
      <c r="J179" s="1059"/>
      <c r="K179" s="156"/>
      <c r="L179" s="1024"/>
      <c r="M179" s="1033"/>
      <c r="N179" s="1024"/>
      <c r="O179" s="1024"/>
      <c r="P179" s="1024"/>
      <c r="Q179" s="1024"/>
      <c r="R179" s="1020"/>
      <c r="S179" s="1020"/>
      <c r="T179" s="1036"/>
      <c r="U179" s="1036"/>
      <c r="V179" s="1020"/>
      <c r="W179" s="1020"/>
      <c r="X179" s="1020"/>
      <c r="Y179" s="1020"/>
      <c r="Z179" s="1020"/>
      <c r="AA179" s="1020"/>
      <c r="AB179" s="1020"/>
      <c r="AC179" s="1020"/>
      <c r="AD179" s="1020"/>
      <c r="AE179" s="1020"/>
      <c r="AF179" s="1020"/>
      <c r="AG179" s="1020"/>
      <c r="AH179" s="1020"/>
      <c r="AI179" s="1020"/>
      <c r="AJ179" s="1020"/>
      <c r="AK179" s="1020"/>
      <c r="AL179" s="1020"/>
      <c r="AM179" s="1020"/>
      <c r="AN179" s="1020"/>
      <c r="AO179" s="1020"/>
      <c r="AP179" s="1020"/>
      <c r="AQ179" s="1020"/>
      <c r="AR179" s="1020"/>
      <c r="AS179" s="1020"/>
      <c r="AT179" s="1020"/>
      <c r="AU179" s="1020"/>
      <c r="AV179" s="1020"/>
      <c r="AW179" s="1020"/>
      <c r="AX179" s="1020"/>
    </row>
    <row r="180" spans="1:50" ht="12" customHeight="1">
      <c r="A180" s="1024"/>
      <c r="B180" s="161"/>
      <c r="C180" s="1024"/>
      <c r="D180" s="1024"/>
      <c r="E180" s="1024"/>
      <c r="F180" s="1024"/>
      <c r="G180" s="1024"/>
      <c r="H180" s="1024"/>
      <c r="I180" s="1024"/>
      <c r="J180" s="1059"/>
      <c r="K180" s="156"/>
      <c r="L180" s="1024"/>
      <c r="M180" s="1033"/>
      <c r="N180" s="1024"/>
      <c r="O180" s="1024"/>
      <c r="P180" s="1024"/>
      <c r="Q180" s="1024"/>
      <c r="R180" s="1020"/>
      <c r="S180" s="1020"/>
      <c r="T180" s="1036"/>
      <c r="U180" s="1036"/>
      <c r="V180" s="1020"/>
      <c r="W180" s="1020"/>
      <c r="X180" s="1020"/>
      <c r="Y180" s="1020"/>
      <c r="Z180" s="1020"/>
      <c r="AA180" s="1020"/>
      <c r="AB180" s="1020"/>
      <c r="AC180" s="1020"/>
      <c r="AD180" s="1020"/>
      <c r="AE180" s="1020"/>
      <c r="AF180" s="1020"/>
      <c r="AG180" s="1020"/>
      <c r="AH180" s="1020"/>
      <c r="AI180" s="1020"/>
      <c r="AJ180" s="1020"/>
      <c r="AK180" s="1020"/>
      <c r="AL180" s="1020"/>
      <c r="AM180" s="1020"/>
      <c r="AN180" s="1020"/>
      <c r="AO180" s="1020"/>
      <c r="AP180" s="1020"/>
      <c r="AQ180" s="1020"/>
      <c r="AR180" s="1020"/>
      <c r="AS180" s="1020"/>
      <c r="AT180" s="1020"/>
      <c r="AU180" s="1020"/>
      <c r="AV180" s="1020"/>
      <c r="AW180" s="1020"/>
      <c r="AX180" s="1020"/>
    </row>
    <row r="181" spans="1:50" ht="12" customHeight="1">
      <c r="A181" s="1024"/>
      <c r="B181" s="161"/>
      <c r="C181" s="1024"/>
      <c r="D181" s="1024"/>
      <c r="E181" s="1024"/>
      <c r="F181" s="1024"/>
      <c r="G181" s="1024"/>
      <c r="H181" s="1024"/>
      <c r="I181" s="1024"/>
      <c r="J181" s="1059"/>
      <c r="K181" s="156"/>
      <c r="L181" s="1024"/>
      <c r="M181" s="1033"/>
      <c r="N181" s="1024"/>
      <c r="O181" s="1024"/>
      <c r="P181" s="1024"/>
      <c r="Q181" s="1024"/>
      <c r="R181" s="1020"/>
      <c r="S181" s="1020"/>
      <c r="T181" s="1036"/>
      <c r="U181" s="1036"/>
      <c r="V181" s="1020"/>
      <c r="W181" s="1020"/>
      <c r="X181" s="1020"/>
      <c r="Y181" s="1020"/>
      <c r="Z181" s="1020"/>
      <c r="AA181" s="1020"/>
      <c r="AB181" s="1020"/>
      <c r="AC181" s="1020"/>
      <c r="AD181" s="1020"/>
      <c r="AE181" s="1020"/>
      <c r="AF181" s="1020"/>
      <c r="AG181" s="1020"/>
      <c r="AH181" s="1020"/>
      <c r="AI181" s="1020"/>
      <c r="AJ181" s="1020"/>
      <c r="AK181" s="1020"/>
      <c r="AL181" s="1020"/>
      <c r="AM181" s="1020"/>
      <c r="AN181" s="1020"/>
      <c r="AO181" s="1020"/>
      <c r="AP181" s="1020"/>
      <c r="AQ181" s="1020"/>
      <c r="AR181" s="1020"/>
      <c r="AS181" s="1020"/>
      <c r="AT181" s="1020"/>
      <c r="AU181" s="1020"/>
      <c r="AV181" s="1020"/>
      <c r="AW181" s="1020"/>
      <c r="AX181" s="1020"/>
    </row>
    <row r="182" spans="1:50" ht="12" customHeight="1">
      <c r="A182" s="1024"/>
      <c r="B182" s="161"/>
      <c r="C182" s="1024"/>
      <c r="D182" s="1024"/>
      <c r="E182" s="1024"/>
      <c r="F182" s="1024"/>
      <c r="G182" s="1024"/>
      <c r="H182" s="1024"/>
      <c r="I182" s="1024"/>
      <c r="J182" s="1059"/>
      <c r="K182" s="156"/>
      <c r="L182" s="1024"/>
      <c r="M182" s="1033"/>
      <c r="N182" s="1024"/>
      <c r="O182" s="1024"/>
      <c r="P182" s="1024"/>
      <c r="Q182" s="1024"/>
      <c r="R182" s="1020"/>
      <c r="S182" s="1020"/>
      <c r="T182" s="1036"/>
      <c r="U182" s="1036"/>
      <c r="V182" s="1020"/>
      <c r="W182" s="1020"/>
      <c r="X182" s="1020"/>
      <c r="Y182" s="1020"/>
      <c r="Z182" s="1020"/>
      <c r="AA182" s="1020"/>
      <c r="AB182" s="1020"/>
      <c r="AC182" s="1020"/>
      <c r="AD182" s="1020"/>
      <c r="AE182" s="1020"/>
      <c r="AF182" s="1020"/>
      <c r="AG182" s="1020"/>
      <c r="AH182" s="1020"/>
      <c r="AI182" s="1020"/>
      <c r="AJ182" s="1020"/>
      <c r="AK182" s="1020"/>
      <c r="AL182" s="1020"/>
      <c r="AM182" s="1020"/>
      <c r="AN182" s="1020"/>
      <c r="AO182" s="1020"/>
      <c r="AP182" s="1020"/>
      <c r="AQ182" s="1020"/>
      <c r="AR182" s="1020"/>
      <c r="AS182" s="1020"/>
      <c r="AT182" s="1020"/>
      <c r="AU182" s="1020"/>
      <c r="AV182" s="1020"/>
      <c r="AW182" s="1020"/>
      <c r="AX182" s="1020"/>
    </row>
    <row r="183" spans="1:50" ht="12" customHeight="1">
      <c r="A183" s="1024"/>
      <c r="B183" s="161"/>
      <c r="C183" s="1024"/>
      <c r="D183" s="1024"/>
      <c r="E183" s="1024"/>
      <c r="F183" s="1024"/>
      <c r="G183" s="1024"/>
      <c r="H183" s="1024"/>
      <c r="I183" s="1024"/>
      <c r="J183" s="1059"/>
      <c r="K183" s="156"/>
      <c r="L183" s="1024"/>
      <c r="M183" s="1033"/>
      <c r="N183" s="1024"/>
      <c r="O183" s="1024"/>
      <c r="P183" s="1024"/>
      <c r="Q183" s="1024"/>
      <c r="R183" s="1020"/>
      <c r="S183" s="1020"/>
      <c r="T183" s="1036"/>
      <c r="U183" s="1036"/>
      <c r="V183" s="1020"/>
      <c r="W183" s="1020"/>
      <c r="X183" s="1020"/>
      <c r="Y183" s="1020"/>
      <c r="Z183" s="1020"/>
      <c r="AA183" s="1020"/>
      <c r="AB183" s="1020"/>
      <c r="AC183" s="1020"/>
      <c r="AD183" s="1020"/>
      <c r="AE183" s="1020"/>
      <c r="AF183" s="1020"/>
      <c r="AG183" s="1020"/>
      <c r="AH183" s="1020"/>
      <c r="AI183" s="1020"/>
      <c r="AJ183" s="1020"/>
      <c r="AK183" s="1020"/>
      <c r="AL183" s="1020"/>
      <c r="AM183" s="1020"/>
      <c r="AN183" s="1020"/>
      <c r="AO183" s="1020"/>
      <c r="AP183" s="1020"/>
      <c r="AQ183" s="1020"/>
      <c r="AR183" s="1020"/>
      <c r="AS183" s="1020"/>
      <c r="AT183" s="1020"/>
      <c r="AU183" s="1020"/>
      <c r="AV183" s="1020"/>
      <c r="AW183" s="1020"/>
      <c r="AX183" s="1020"/>
    </row>
    <row r="184" spans="1:50" ht="12" customHeight="1">
      <c r="A184" s="1024"/>
      <c r="B184" s="161"/>
      <c r="C184" s="1024"/>
      <c r="D184" s="1024"/>
      <c r="E184" s="1024"/>
      <c r="F184" s="1024"/>
      <c r="G184" s="1024"/>
      <c r="H184" s="1024"/>
      <c r="I184" s="1024"/>
      <c r="J184" s="1059"/>
      <c r="K184" s="156"/>
      <c r="L184" s="1024"/>
      <c r="M184" s="1033"/>
      <c r="N184" s="1024"/>
      <c r="O184" s="1024"/>
      <c r="P184" s="1024"/>
      <c r="Q184" s="1024"/>
      <c r="R184" s="1020"/>
      <c r="S184" s="1020"/>
      <c r="T184" s="1036"/>
      <c r="U184" s="1036"/>
      <c r="V184" s="1020"/>
      <c r="W184" s="1020"/>
      <c r="X184" s="1020"/>
      <c r="Y184" s="1020"/>
      <c r="Z184" s="1020"/>
      <c r="AA184" s="1020"/>
      <c r="AB184" s="1020"/>
      <c r="AC184" s="1020"/>
      <c r="AD184" s="1020"/>
      <c r="AE184" s="1020"/>
      <c r="AF184" s="1020"/>
      <c r="AG184" s="1020"/>
      <c r="AH184" s="1020"/>
      <c r="AI184" s="1020"/>
      <c r="AJ184" s="1020"/>
      <c r="AK184" s="1020"/>
      <c r="AL184" s="1020"/>
      <c r="AM184" s="1020"/>
      <c r="AN184" s="1020"/>
      <c r="AO184" s="1020"/>
      <c r="AP184" s="1020"/>
      <c r="AQ184" s="1020"/>
      <c r="AR184" s="1020"/>
      <c r="AS184" s="1020"/>
      <c r="AT184" s="1020"/>
      <c r="AU184" s="1020"/>
      <c r="AV184" s="1020"/>
      <c r="AW184" s="1020"/>
      <c r="AX184" s="1020"/>
    </row>
    <row r="185" spans="1:50" ht="12" customHeight="1">
      <c r="A185" s="1024"/>
      <c r="B185" s="161"/>
      <c r="C185" s="1024"/>
      <c r="D185" s="1024"/>
      <c r="E185" s="1024"/>
      <c r="F185" s="1024"/>
      <c r="G185" s="1024"/>
      <c r="H185" s="1024"/>
      <c r="I185" s="1024"/>
      <c r="J185" s="1059"/>
      <c r="K185" s="156"/>
      <c r="L185" s="1024"/>
      <c r="M185" s="1033"/>
      <c r="N185" s="1024"/>
      <c r="O185" s="1024"/>
      <c r="P185" s="1024"/>
      <c r="Q185" s="1024"/>
      <c r="R185" s="1020"/>
      <c r="S185" s="1020"/>
      <c r="T185" s="1036"/>
      <c r="U185" s="1036"/>
      <c r="V185" s="1020"/>
      <c r="W185" s="1020"/>
      <c r="X185" s="1020"/>
      <c r="Y185" s="1020"/>
      <c r="Z185" s="1020"/>
      <c r="AA185" s="1020"/>
      <c r="AB185" s="1020"/>
      <c r="AC185" s="1020"/>
      <c r="AD185" s="1020"/>
      <c r="AE185" s="1020"/>
      <c r="AF185" s="1020"/>
      <c r="AG185" s="1020"/>
      <c r="AH185" s="1020"/>
      <c r="AI185" s="1020"/>
      <c r="AJ185" s="1020"/>
      <c r="AK185" s="1020"/>
      <c r="AL185" s="1020"/>
      <c r="AM185" s="1020"/>
      <c r="AN185" s="1020"/>
      <c r="AO185" s="1020"/>
      <c r="AP185" s="1020"/>
      <c r="AQ185" s="1020"/>
      <c r="AR185" s="1020"/>
      <c r="AS185" s="1020"/>
      <c r="AT185" s="1020"/>
      <c r="AU185" s="1020"/>
      <c r="AV185" s="1020"/>
      <c r="AW185" s="1020"/>
      <c r="AX185" s="1020"/>
    </row>
    <row r="186" spans="1:50" ht="12" customHeight="1">
      <c r="A186" s="1024"/>
      <c r="B186" s="161"/>
      <c r="C186" s="1024"/>
      <c r="D186" s="1024"/>
      <c r="E186" s="1024"/>
      <c r="F186" s="1024"/>
      <c r="G186" s="1024"/>
      <c r="H186" s="1024"/>
      <c r="I186" s="1024"/>
      <c r="J186" s="1059"/>
      <c r="K186" s="156"/>
      <c r="L186" s="1024"/>
      <c r="M186" s="1033"/>
      <c r="N186" s="1024"/>
      <c r="O186" s="1024"/>
      <c r="P186" s="1024"/>
      <c r="Q186" s="1024"/>
      <c r="R186" s="1020"/>
      <c r="S186" s="1020"/>
      <c r="T186" s="1036"/>
      <c r="U186" s="1036"/>
      <c r="V186" s="1020"/>
      <c r="W186" s="1020"/>
      <c r="X186" s="1020"/>
      <c r="Y186" s="1020"/>
      <c r="Z186" s="1020"/>
      <c r="AA186" s="1020"/>
      <c r="AB186" s="1020"/>
      <c r="AC186" s="1020"/>
      <c r="AD186" s="1020"/>
      <c r="AE186" s="1020"/>
      <c r="AF186" s="1020"/>
      <c r="AG186" s="1020"/>
      <c r="AH186" s="1020"/>
      <c r="AI186" s="1020"/>
      <c r="AJ186" s="1020"/>
      <c r="AK186" s="1020"/>
      <c r="AL186" s="1020"/>
      <c r="AM186" s="1020"/>
      <c r="AN186" s="1020"/>
      <c r="AO186" s="1020"/>
      <c r="AP186" s="1020"/>
      <c r="AQ186" s="1020"/>
      <c r="AR186" s="1020"/>
      <c r="AS186" s="1020"/>
      <c r="AT186" s="1020"/>
      <c r="AU186" s="1020"/>
      <c r="AV186" s="1020"/>
      <c r="AW186" s="1020"/>
      <c r="AX186" s="1020"/>
    </row>
    <row r="187" spans="1:50" ht="12" customHeight="1">
      <c r="A187" s="1024"/>
      <c r="B187" s="161"/>
      <c r="C187" s="1024"/>
      <c r="D187" s="1024"/>
      <c r="E187" s="1024"/>
      <c r="F187" s="1024"/>
      <c r="G187" s="1024"/>
      <c r="H187" s="1024"/>
      <c r="I187" s="1024"/>
      <c r="J187" s="1059"/>
      <c r="K187" s="156"/>
      <c r="L187" s="1024"/>
      <c r="M187" s="1033"/>
      <c r="N187" s="1024"/>
      <c r="O187" s="1024"/>
      <c r="P187" s="1024"/>
      <c r="Q187" s="1024"/>
      <c r="R187" s="1020"/>
      <c r="S187" s="1020"/>
      <c r="T187" s="1036"/>
      <c r="U187" s="1036"/>
      <c r="V187" s="1020"/>
      <c r="W187" s="1020"/>
      <c r="X187" s="1020"/>
      <c r="Y187" s="1020"/>
      <c r="Z187" s="1020"/>
      <c r="AA187" s="1020"/>
      <c r="AB187" s="1020"/>
      <c r="AC187" s="1020"/>
      <c r="AD187" s="1020"/>
      <c r="AE187" s="1020"/>
      <c r="AF187" s="1020"/>
      <c r="AG187" s="1020"/>
      <c r="AH187" s="1020"/>
      <c r="AI187" s="1020"/>
      <c r="AJ187" s="1020"/>
      <c r="AK187" s="1020"/>
      <c r="AL187" s="1020"/>
      <c r="AM187" s="1020"/>
      <c r="AN187" s="1020"/>
      <c r="AO187" s="1020"/>
      <c r="AP187" s="1020"/>
      <c r="AQ187" s="1020"/>
      <c r="AR187" s="1020"/>
      <c r="AS187" s="1020"/>
      <c r="AT187" s="1020"/>
      <c r="AU187" s="1020"/>
      <c r="AV187" s="1020"/>
      <c r="AW187" s="1020"/>
      <c r="AX187" s="1020"/>
    </row>
    <row r="188" spans="1:50" ht="12" customHeight="1">
      <c r="A188" s="1024"/>
      <c r="B188" s="161"/>
      <c r="C188" s="1024"/>
      <c r="D188" s="1024"/>
      <c r="E188" s="1024"/>
      <c r="F188" s="1024"/>
      <c r="G188" s="1024"/>
      <c r="H188" s="1024"/>
      <c r="I188" s="1024"/>
      <c r="J188" s="1059"/>
      <c r="K188" s="156"/>
      <c r="L188" s="1024"/>
      <c r="M188" s="1033"/>
      <c r="N188" s="1024"/>
      <c r="O188" s="1024"/>
      <c r="P188" s="1024"/>
      <c r="Q188" s="1024"/>
      <c r="R188" s="1020"/>
      <c r="S188" s="1020"/>
      <c r="T188" s="1036"/>
      <c r="U188" s="1036"/>
      <c r="V188" s="1020"/>
      <c r="W188" s="1020"/>
      <c r="X188" s="1020"/>
      <c r="Y188" s="1020"/>
      <c r="Z188" s="1020"/>
      <c r="AA188" s="1020"/>
      <c r="AB188" s="1020"/>
      <c r="AC188" s="1020"/>
      <c r="AD188" s="1020"/>
      <c r="AE188" s="1020"/>
      <c r="AF188" s="1020"/>
      <c r="AG188" s="1020"/>
      <c r="AH188" s="1020"/>
      <c r="AI188" s="1020"/>
      <c r="AJ188" s="1020"/>
      <c r="AK188" s="1020"/>
      <c r="AL188" s="1020"/>
      <c r="AM188" s="1020"/>
      <c r="AN188" s="1020"/>
      <c r="AO188" s="1020"/>
      <c r="AP188" s="1020"/>
      <c r="AQ188" s="1020"/>
      <c r="AR188" s="1020"/>
      <c r="AS188" s="1020"/>
      <c r="AT188" s="1020"/>
      <c r="AU188" s="1020"/>
      <c r="AV188" s="1020"/>
      <c r="AW188" s="1020"/>
      <c r="AX188" s="1020"/>
    </row>
    <row r="189" spans="1:50" ht="12" customHeight="1">
      <c r="A189" s="1024"/>
      <c r="B189" s="161"/>
      <c r="C189" s="1024"/>
      <c r="D189" s="1024"/>
      <c r="E189" s="1024"/>
      <c r="F189" s="1024"/>
      <c r="G189" s="1024"/>
      <c r="H189" s="1024"/>
      <c r="I189" s="1024"/>
      <c r="J189" s="1059"/>
      <c r="K189" s="156"/>
      <c r="L189" s="1024"/>
      <c r="M189" s="1033"/>
      <c r="N189" s="1024"/>
      <c r="O189" s="1024"/>
      <c r="P189" s="1024"/>
      <c r="Q189" s="1024"/>
      <c r="R189" s="1020"/>
      <c r="S189" s="1020"/>
      <c r="T189" s="1036"/>
      <c r="U189" s="1036"/>
      <c r="V189" s="1020"/>
      <c r="W189" s="1020"/>
      <c r="X189" s="1020"/>
      <c r="Y189" s="1020"/>
      <c r="Z189" s="1020"/>
      <c r="AA189" s="1020"/>
      <c r="AB189" s="1020"/>
      <c r="AC189" s="1020"/>
      <c r="AD189" s="1020"/>
      <c r="AE189" s="1020"/>
      <c r="AF189" s="1020"/>
      <c r="AG189" s="1020"/>
      <c r="AH189" s="1020"/>
      <c r="AI189" s="1020"/>
      <c r="AJ189" s="1020"/>
      <c r="AK189" s="1020"/>
      <c r="AL189" s="1020"/>
      <c r="AM189" s="1020"/>
      <c r="AN189" s="1020"/>
      <c r="AO189" s="1020"/>
      <c r="AP189" s="1020"/>
      <c r="AQ189" s="1020"/>
      <c r="AR189" s="1020"/>
      <c r="AS189" s="1020"/>
      <c r="AT189" s="1020"/>
      <c r="AU189" s="1020"/>
      <c r="AV189" s="1020"/>
      <c r="AW189" s="1020"/>
      <c r="AX189" s="1020"/>
    </row>
    <row r="190" spans="1:50" ht="12" customHeight="1">
      <c r="A190" s="1024"/>
      <c r="B190" s="161"/>
      <c r="C190" s="1024"/>
      <c r="D190" s="1024"/>
      <c r="E190" s="1024"/>
      <c r="F190" s="1024"/>
      <c r="G190" s="1024"/>
      <c r="H190" s="1024"/>
      <c r="I190" s="1024"/>
      <c r="J190" s="1059"/>
      <c r="K190" s="156"/>
      <c r="L190" s="1024"/>
      <c r="M190" s="1033"/>
      <c r="N190" s="1024"/>
      <c r="O190" s="1024"/>
      <c r="P190" s="1024"/>
      <c r="Q190" s="1024"/>
      <c r="R190" s="1020"/>
      <c r="S190" s="1020"/>
      <c r="T190" s="1036"/>
      <c r="U190" s="1036"/>
      <c r="V190" s="1020"/>
      <c r="W190" s="1020"/>
      <c r="X190" s="1020"/>
      <c r="Y190" s="1020"/>
      <c r="Z190" s="1020"/>
      <c r="AA190" s="1020"/>
      <c r="AB190" s="1020"/>
      <c r="AC190" s="1020"/>
      <c r="AD190" s="1020"/>
      <c r="AE190" s="1020"/>
      <c r="AF190" s="1020"/>
      <c r="AG190" s="1020"/>
      <c r="AH190" s="1020"/>
      <c r="AI190" s="1020"/>
      <c r="AJ190" s="1020"/>
      <c r="AK190" s="1020"/>
      <c r="AL190" s="1020"/>
      <c r="AM190" s="1020"/>
      <c r="AN190" s="1020"/>
      <c r="AO190" s="1020"/>
      <c r="AP190" s="1020"/>
      <c r="AQ190" s="1020"/>
      <c r="AR190" s="1020"/>
      <c r="AS190" s="1020"/>
      <c r="AT190" s="1020"/>
      <c r="AU190" s="1020"/>
      <c r="AV190" s="1020"/>
      <c r="AW190" s="1020"/>
      <c r="AX190" s="1020"/>
    </row>
    <row r="191" spans="1:50" ht="12" customHeight="1">
      <c r="A191" s="1024"/>
      <c r="B191" s="161"/>
      <c r="C191" s="1024"/>
      <c r="D191" s="1024"/>
      <c r="E191" s="1024"/>
      <c r="F191" s="1024"/>
      <c r="G191" s="1024"/>
      <c r="H191" s="1024"/>
      <c r="I191" s="1024"/>
      <c r="J191" s="1059"/>
      <c r="K191" s="156"/>
      <c r="L191" s="1024"/>
      <c r="M191" s="1033"/>
      <c r="N191" s="1024"/>
      <c r="O191" s="1024"/>
      <c r="P191" s="1024"/>
      <c r="Q191" s="1024"/>
      <c r="R191" s="1020"/>
      <c r="S191" s="1020"/>
      <c r="T191" s="1036"/>
      <c r="U191" s="1036"/>
      <c r="V191" s="1020"/>
      <c r="W191" s="1020"/>
      <c r="X191" s="1020"/>
      <c r="Y191" s="1020"/>
      <c r="Z191" s="1020"/>
      <c r="AA191" s="1020"/>
      <c r="AB191" s="1020"/>
      <c r="AC191" s="1020"/>
      <c r="AD191" s="1020"/>
      <c r="AE191" s="1020"/>
      <c r="AF191" s="1020"/>
      <c r="AG191" s="1020"/>
      <c r="AH191" s="1020"/>
      <c r="AI191" s="1020"/>
      <c r="AJ191" s="1020"/>
      <c r="AK191" s="1020"/>
      <c r="AL191" s="1020"/>
      <c r="AM191" s="1020"/>
      <c r="AN191" s="1020"/>
      <c r="AO191" s="1020"/>
      <c r="AP191" s="1020"/>
      <c r="AQ191" s="1020"/>
      <c r="AR191" s="1020"/>
      <c r="AS191" s="1020"/>
      <c r="AT191" s="1020"/>
      <c r="AU191" s="1020"/>
      <c r="AV191" s="1020"/>
      <c r="AW191" s="1020"/>
      <c r="AX191" s="1020"/>
    </row>
    <row r="192" spans="1:50" ht="12" customHeight="1">
      <c r="A192" s="1024"/>
      <c r="B192" s="161"/>
      <c r="C192" s="1024"/>
      <c r="D192" s="1024"/>
      <c r="E192" s="1024"/>
      <c r="F192" s="1024"/>
      <c r="G192" s="1024"/>
      <c r="H192" s="1024"/>
      <c r="I192" s="1024"/>
      <c r="J192" s="1059"/>
      <c r="K192" s="156"/>
      <c r="L192" s="1024"/>
      <c r="M192" s="1033"/>
      <c r="N192" s="1024"/>
      <c r="O192" s="1024"/>
      <c r="P192" s="1024"/>
      <c r="Q192" s="1024"/>
      <c r="R192" s="1020"/>
      <c r="S192" s="1020"/>
      <c r="T192" s="1036"/>
      <c r="U192" s="1036"/>
      <c r="V192" s="1020"/>
      <c r="W192" s="1020"/>
      <c r="X192" s="1020"/>
      <c r="Y192" s="1020"/>
      <c r="Z192" s="1020"/>
      <c r="AA192" s="1020"/>
      <c r="AB192" s="1020"/>
      <c r="AC192" s="1020"/>
      <c r="AD192" s="1020"/>
      <c r="AE192" s="1020"/>
      <c r="AF192" s="1020"/>
      <c r="AG192" s="1020"/>
      <c r="AH192" s="1020"/>
      <c r="AI192" s="1020"/>
      <c r="AJ192" s="1020"/>
      <c r="AK192" s="1020"/>
      <c r="AL192" s="1020"/>
      <c r="AM192" s="1020"/>
      <c r="AN192" s="1020"/>
      <c r="AO192" s="1020"/>
      <c r="AP192" s="1020"/>
      <c r="AQ192" s="1020"/>
      <c r="AR192" s="1020"/>
      <c r="AS192" s="1020"/>
      <c r="AT192" s="1020"/>
      <c r="AU192" s="1020"/>
      <c r="AV192" s="1020"/>
      <c r="AW192" s="1020"/>
      <c r="AX192" s="1020"/>
    </row>
    <row r="193" spans="1:50" ht="12" customHeight="1">
      <c r="A193" s="1024"/>
      <c r="B193" s="161"/>
      <c r="C193" s="1024"/>
      <c r="D193" s="1024"/>
      <c r="E193" s="1024"/>
      <c r="F193" s="1024"/>
      <c r="G193" s="1024"/>
      <c r="H193" s="1024"/>
      <c r="I193" s="1024"/>
      <c r="J193" s="1059"/>
      <c r="K193" s="156"/>
      <c r="L193" s="1024"/>
      <c r="M193" s="1033"/>
      <c r="N193" s="1024"/>
      <c r="O193" s="1024"/>
      <c r="P193" s="1024"/>
      <c r="Q193" s="1024"/>
      <c r="R193" s="1020"/>
      <c r="S193" s="1020"/>
      <c r="T193" s="1036"/>
      <c r="U193" s="1036"/>
      <c r="V193" s="1020"/>
      <c r="W193" s="1020"/>
      <c r="X193" s="1020"/>
      <c r="Y193" s="1020"/>
      <c r="Z193" s="1020"/>
      <c r="AA193" s="1020"/>
      <c r="AB193" s="1020"/>
      <c r="AC193" s="1020"/>
      <c r="AD193" s="1020"/>
      <c r="AE193" s="1020"/>
      <c r="AF193" s="1020"/>
      <c r="AG193" s="1020"/>
      <c r="AH193" s="1020"/>
      <c r="AI193" s="1020"/>
      <c r="AJ193" s="1020"/>
      <c r="AK193" s="1020"/>
      <c r="AL193" s="1020"/>
      <c r="AM193" s="1020"/>
      <c r="AN193" s="1020"/>
      <c r="AO193" s="1020"/>
      <c r="AP193" s="1020"/>
      <c r="AQ193" s="1020"/>
      <c r="AR193" s="1020"/>
      <c r="AS193" s="1020"/>
      <c r="AT193" s="1020"/>
      <c r="AU193" s="1020"/>
      <c r="AV193" s="1020"/>
      <c r="AW193" s="1020"/>
      <c r="AX193" s="1020"/>
    </row>
    <row r="194" spans="1:50" ht="12" customHeight="1">
      <c r="A194" s="1024"/>
      <c r="B194" s="161"/>
      <c r="C194" s="1024"/>
      <c r="D194" s="1024"/>
      <c r="E194" s="1024"/>
      <c r="F194" s="1024"/>
      <c r="G194" s="1024"/>
      <c r="H194" s="1024"/>
      <c r="I194" s="1024"/>
      <c r="J194" s="1059"/>
      <c r="K194" s="156"/>
      <c r="L194" s="1024"/>
      <c r="M194" s="1033"/>
      <c r="N194" s="1024"/>
      <c r="O194" s="1024"/>
      <c r="P194" s="1024"/>
      <c r="Q194" s="1024"/>
      <c r="R194" s="1020"/>
      <c r="S194" s="1020"/>
      <c r="T194" s="1036"/>
      <c r="U194" s="1036"/>
      <c r="V194" s="1020"/>
      <c r="W194" s="1020"/>
      <c r="X194" s="1020"/>
      <c r="Y194" s="1020"/>
      <c r="Z194" s="1020"/>
      <c r="AA194" s="1020"/>
      <c r="AB194" s="1020"/>
      <c r="AC194" s="1020"/>
      <c r="AD194" s="1020"/>
      <c r="AE194" s="1020"/>
      <c r="AF194" s="1020"/>
      <c r="AG194" s="1020"/>
      <c r="AH194" s="1020"/>
      <c r="AI194" s="1020"/>
      <c r="AJ194" s="1020"/>
      <c r="AK194" s="1020"/>
      <c r="AL194" s="1020"/>
      <c r="AM194" s="1020"/>
      <c r="AN194" s="1020"/>
      <c r="AO194" s="1020"/>
      <c r="AP194" s="1020"/>
      <c r="AQ194" s="1020"/>
      <c r="AR194" s="1020"/>
      <c r="AS194" s="1020"/>
      <c r="AT194" s="1020"/>
      <c r="AU194" s="1020"/>
      <c r="AV194" s="1020"/>
      <c r="AW194" s="1020"/>
      <c r="AX194" s="1020"/>
    </row>
    <row r="195" spans="1:50" ht="12" customHeight="1">
      <c r="A195" s="1024"/>
      <c r="B195" s="161"/>
      <c r="C195" s="1024"/>
      <c r="D195" s="1024"/>
      <c r="E195" s="1024"/>
      <c r="F195" s="1024"/>
      <c r="G195" s="1024"/>
      <c r="H195" s="1024"/>
      <c r="I195" s="1024"/>
      <c r="J195" s="1059"/>
      <c r="K195" s="156"/>
      <c r="L195" s="1024"/>
      <c r="M195" s="1033"/>
      <c r="N195" s="1024"/>
      <c r="O195" s="1024"/>
      <c r="P195" s="1024"/>
      <c r="Q195" s="1024"/>
      <c r="R195" s="1020"/>
      <c r="S195" s="1020"/>
      <c r="T195" s="1036"/>
      <c r="U195" s="1036"/>
      <c r="V195" s="1020"/>
      <c r="W195" s="1020"/>
      <c r="X195" s="1020"/>
      <c r="Y195" s="1020"/>
      <c r="Z195" s="1020"/>
      <c r="AA195" s="1020"/>
      <c r="AB195" s="1020"/>
      <c r="AC195" s="1020"/>
      <c r="AD195" s="1020"/>
      <c r="AE195" s="1020"/>
      <c r="AF195" s="1020"/>
      <c r="AG195" s="1020"/>
      <c r="AH195" s="1020"/>
      <c r="AI195" s="1020"/>
      <c r="AJ195" s="1020"/>
      <c r="AK195" s="1020"/>
      <c r="AL195" s="1020"/>
      <c r="AM195" s="1020"/>
      <c r="AN195" s="1020"/>
      <c r="AO195" s="1020"/>
      <c r="AP195" s="1020"/>
      <c r="AQ195" s="1020"/>
      <c r="AR195" s="1020"/>
      <c r="AS195" s="1020"/>
      <c r="AT195" s="1020"/>
      <c r="AU195" s="1020"/>
      <c r="AV195" s="1020"/>
      <c r="AW195" s="1020"/>
      <c r="AX195" s="1020"/>
    </row>
    <row r="196" spans="1:50" ht="12" customHeight="1">
      <c r="A196" s="1024"/>
      <c r="B196" s="161"/>
      <c r="C196" s="1024"/>
      <c r="D196" s="1024"/>
      <c r="E196" s="1024"/>
      <c r="F196" s="1024"/>
      <c r="G196" s="1024"/>
      <c r="H196" s="1024"/>
      <c r="I196" s="1024"/>
      <c r="J196" s="1059"/>
      <c r="K196" s="156"/>
      <c r="L196" s="1024"/>
      <c r="M196" s="1033"/>
      <c r="N196" s="1024"/>
      <c r="O196" s="1024"/>
      <c r="P196" s="1024"/>
      <c r="Q196" s="1024"/>
      <c r="R196" s="1020"/>
      <c r="S196" s="1020"/>
      <c r="T196" s="1036"/>
      <c r="U196" s="1036"/>
      <c r="V196" s="1020"/>
      <c r="W196" s="1020"/>
      <c r="X196" s="1020"/>
      <c r="Y196" s="1020"/>
      <c r="Z196" s="1020"/>
      <c r="AA196" s="1020"/>
      <c r="AB196" s="1020"/>
      <c r="AC196" s="1020"/>
      <c r="AD196" s="1020"/>
      <c r="AE196" s="1020"/>
      <c r="AF196" s="1020"/>
      <c r="AG196" s="1020"/>
      <c r="AH196" s="1020"/>
      <c r="AI196" s="1020"/>
      <c r="AJ196" s="1020"/>
      <c r="AK196" s="1020"/>
      <c r="AL196" s="1020"/>
      <c r="AM196" s="1020"/>
      <c r="AN196" s="1020"/>
      <c r="AO196" s="1020"/>
      <c r="AP196" s="1020"/>
      <c r="AQ196" s="1020"/>
      <c r="AR196" s="1020"/>
      <c r="AS196" s="1020"/>
      <c r="AT196" s="1020"/>
      <c r="AU196" s="1020"/>
      <c r="AV196" s="1020"/>
      <c r="AW196" s="1020"/>
      <c r="AX196" s="1020"/>
    </row>
    <row r="197" spans="1:50" ht="12" customHeight="1">
      <c r="A197" s="1024"/>
      <c r="B197" s="161"/>
      <c r="C197" s="1024"/>
      <c r="D197" s="1024"/>
      <c r="E197" s="1024"/>
      <c r="F197" s="1024"/>
      <c r="G197" s="1024"/>
      <c r="H197" s="1024"/>
      <c r="I197" s="1024"/>
      <c r="J197" s="1059"/>
      <c r="K197" s="156"/>
      <c r="L197" s="1024"/>
      <c r="M197" s="1033"/>
      <c r="N197" s="1024"/>
      <c r="O197" s="1024"/>
      <c r="P197" s="1024"/>
      <c r="Q197" s="1024"/>
      <c r="R197" s="1020"/>
      <c r="S197" s="1020"/>
      <c r="T197" s="1036"/>
      <c r="U197" s="1036"/>
      <c r="V197" s="1020"/>
      <c r="W197" s="1020"/>
      <c r="X197" s="1020"/>
      <c r="Y197" s="1020"/>
      <c r="Z197" s="1020"/>
      <c r="AA197" s="1020"/>
      <c r="AB197" s="1020"/>
      <c r="AC197" s="1020"/>
      <c r="AD197" s="1020"/>
      <c r="AE197" s="1020"/>
      <c r="AF197" s="1020"/>
      <c r="AG197" s="1020"/>
      <c r="AH197" s="1020"/>
      <c r="AI197" s="1020"/>
      <c r="AJ197" s="1020"/>
      <c r="AK197" s="1020"/>
      <c r="AL197" s="1020"/>
      <c r="AM197" s="1020"/>
      <c r="AN197" s="1020"/>
      <c r="AO197" s="1020"/>
      <c r="AP197" s="1020"/>
      <c r="AQ197" s="1020"/>
      <c r="AR197" s="1020"/>
      <c r="AS197" s="1020"/>
      <c r="AT197" s="1020"/>
      <c r="AU197" s="1020"/>
      <c r="AV197" s="1020"/>
      <c r="AW197" s="1020"/>
      <c r="AX197" s="1020"/>
    </row>
    <row r="198" spans="1:50" ht="12" customHeight="1">
      <c r="A198" s="1024"/>
      <c r="B198" s="161"/>
      <c r="C198" s="1024"/>
      <c r="D198" s="1024"/>
      <c r="E198" s="1024"/>
      <c r="F198" s="1024"/>
      <c r="G198" s="1024"/>
      <c r="H198" s="1024"/>
      <c r="I198" s="1024"/>
      <c r="J198" s="1059"/>
      <c r="K198" s="156"/>
      <c r="L198" s="1024"/>
      <c r="M198" s="1033"/>
      <c r="N198" s="1024"/>
      <c r="O198" s="1024"/>
      <c r="P198" s="1024"/>
      <c r="Q198" s="1024"/>
      <c r="R198" s="1020"/>
      <c r="S198" s="1020"/>
      <c r="T198" s="1036"/>
      <c r="U198" s="1036"/>
      <c r="V198" s="1020"/>
      <c r="W198" s="1020"/>
      <c r="X198" s="1020"/>
      <c r="Y198" s="1020"/>
      <c r="Z198" s="1020"/>
      <c r="AA198" s="1020"/>
      <c r="AB198" s="1020"/>
      <c r="AC198" s="1020"/>
      <c r="AD198" s="1020"/>
      <c r="AE198" s="1020"/>
      <c r="AF198" s="1020"/>
      <c r="AG198" s="1020"/>
      <c r="AH198" s="1020"/>
      <c r="AI198" s="1020"/>
      <c r="AJ198" s="1020"/>
      <c r="AK198" s="1020"/>
      <c r="AL198" s="1020"/>
      <c r="AM198" s="1020"/>
      <c r="AN198" s="1020"/>
      <c r="AO198" s="1020"/>
      <c r="AP198" s="1020"/>
      <c r="AQ198" s="1020"/>
      <c r="AR198" s="1020"/>
      <c r="AS198" s="1020"/>
      <c r="AT198" s="1020"/>
      <c r="AU198" s="1020"/>
      <c r="AV198" s="1020"/>
      <c r="AW198" s="1020"/>
      <c r="AX198" s="1020"/>
    </row>
    <row r="199" spans="1:50" ht="12" customHeight="1">
      <c r="A199" s="1024"/>
      <c r="B199" s="161"/>
      <c r="C199" s="1024"/>
      <c r="D199" s="1024"/>
      <c r="E199" s="1024"/>
      <c r="F199" s="1024"/>
      <c r="G199" s="1024"/>
      <c r="H199" s="1024"/>
      <c r="I199" s="1024"/>
      <c r="J199" s="1059"/>
      <c r="K199" s="156"/>
      <c r="L199" s="1024"/>
      <c r="M199" s="1033"/>
      <c r="N199" s="1024"/>
      <c r="O199" s="1024"/>
      <c r="P199" s="1024"/>
      <c r="Q199" s="1024"/>
      <c r="R199" s="1020"/>
      <c r="S199" s="1020"/>
      <c r="T199" s="1036"/>
      <c r="U199" s="1036"/>
      <c r="V199" s="1020"/>
      <c r="W199" s="1020"/>
      <c r="X199" s="1020"/>
      <c r="Y199" s="1020"/>
      <c r="Z199" s="1020"/>
      <c r="AA199" s="1020"/>
      <c r="AB199" s="1020"/>
      <c r="AC199" s="1020"/>
      <c r="AD199" s="1020"/>
      <c r="AE199" s="1020"/>
      <c r="AF199" s="1020"/>
      <c r="AG199" s="1020"/>
      <c r="AH199" s="1020"/>
      <c r="AI199" s="1020"/>
      <c r="AJ199" s="1020"/>
      <c r="AK199" s="1020"/>
      <c r="AL199" s="1020"/>
      <c r="AM199" s="1020"/>
      <c r="AN199" s="1020"/>
      <c r="AO199" s="1020"/>
      <c r="AP199" s="1020"/>
      <c r="AQ199" s="1020"/>
      <c r="AR199" s="1020"/>
      <c r="AS199" s="1020"/>
      <c r="AT199" s="1020"/>
      <c r="AU199" s="1020"/>
      <c r="AV199" s="1020"/>
      <c r="AW199" s="1020"/>
      <c r="AX199" s="1020"/>
    </row>
    <row r="200" spans="1:50" ht="12" customHeight="1">
      <c r="A200" s="1024"/>
      <c r="B200" s="161"/>
      <c r="C200" s="1024"/>
      <c r="D200" s="1024"/>
      <c r="E200" s="1024"/>
      <c r="F200" s="1024"/>
      <c r="G200" s="1024"/>
      <c r="H200" s="1024"/>
      <c r="I200" s="1024"/>
      <c r="J200" s="1059"/>
      <c r="K200" s="156"/>
      <c r="L200" s="1024"/>
      <c r="M200" s="1033"/>
      <c r="N200" s="1024"/>
      <c r="O200" s="1024"/>
      <c r="P200" s="1024"/>
      <c r="Q200" s="1024"/>
      <c r="R200" s="1020"/>
      <c r="S200" s="1020"/>
      <c r="T200" s="1036"/>
      <c r="U200" s="1036"/>
      <c r="V200" s="1020"/>
      <c r="W200" s="1020"/>
      <c r="X200" s="1020"/>
      <c r="Y200" s="1020"/>
      <c r="Z200" s="1020"/>
      <c r="AA200" s="1020"/>
      <c r="AB200" s="1020"/>
      <c r="AC200" s="1020"/>
      <c r="AD200" s="1020"/>
      <c r="AE200" s="1020"/>
      <c r="AF200" s="1020"/>
      <c r="AG200" s="1020"/>
      <c r="AH200" s="1020"/>
      <c r="AI200" s="1020"/>
      <c r="AJ200" s="1020"/>
      <c r="AK200" s="1020"/>
      <c r="AL200" s="1020"/>
      <c r="AM200" s="1020"/>
      <c r="AN200" s="1020"/>
      <c r="AO200" s="1020"/>
      <c r="AP200" s="1020"/>
      <c r="AQ200" s="1020"/>
      <c r="AR200" s="1020"/>
      <c r="AS200" s="1020"/>
      <c r="AT200" s="1020"/>
      <c r="AU200" s="1020"/>
      <c r="AV200" s="1020"/>
      <c r="AW200" s="1020"/>
      <c r="AX200" s="1020"/>
    </row>
    <row r="201" spans="1:50" ht="12" customHeight="1">
      <c r="A201" s="1024"/>
      <c r="B201" s="161"/>
      <c r="C201" s="1024"/>
      <c r="D201" s="1024"/>
      <c r="E201" s="1024"/>
      <c r="F201" s="1024"/>
      <c r="G201" s="1024"/>
      <c r="H201" s="1024"/>
      <c r="I201" s="1024"/>
      <c r="J201" s="1059"/>
      <c r="K201" s="156"/>
      <c r="L201" s="1024"/>
      <c r="M201" s="1033"/>
      <c r="N201" s="1024"/>
      <c r="O201" s="1024"/>
      <c r="P201" s="1024"/>
      <c r="Q201" s="1024"/>
      <c r="R201" s="1020"/>
      <c r="S201" s="1020"/>
      <c r="T201" s="1036"/>
      <c r="U201" s="1036"/>
      <c r="V201" s="1020"/>
      <c r="W201" s="1020"/>
      <c r="X201" s="1020"/>
      <c r="Y201" s="1020"/>
      <c r="Z201" s="1020"/>
      <c r="AA201" s="1020"/>
      <c r="AB201" s="1020"/>
      <c r="AC201" s="1020"/>
      <c r="AD201" s="1020"/>
      <c r="AE201" s="1020"/>
      <c r="AF201" s="1020"/>
      <c r="AG201" s="1020"/>
      <c r="AH201" s="1020"/>
      <c r="AI201" s="1020"/>
      <c r="AJ201" s="1020"/>
      <c r="AK201" s="1020"/>
      <c r="AL201" s="1020"/>
      <c r="AM201" s="1020"/>
      <c r="AN201" s="1020"/>
      <c r="AO201" s="1020"/>
      <c r="AP201" s="1020"/>
      <c r="AQ201" s="1020"/>
      <c r="AR201" s="1020"/>
      <c r="AS201" s="1020"/>
      <c r="AT201" s="1020"/>
      <c r="AU201" s="1020"/>
      <c r="AV201" s="1020"/>
      <c r="AW201" s="1020"/>
      <c r="AX201" s="1020"/>
    </row>
    <row r="202" spans="1:50" ht="12" customHeight="1">
      <c r="A202" s="1024"/>
      <c r="B202" s="161"/>
      <c r="C202" s="1024"/>
      <c r="D202" s="1024"/>
      <c r="E202" s="1024"/>
      <c r="F202" s="1024"/>
      <c r="G202" s="1024"/>
      <c r="H202" s="1024"/>
      <c r="I202" s="1024"/>
      <c r="J202" s="1059"/>
      <c r="K202" s="156"/>
      <c r="L202" s="1024"/>
      <c r="M202" s="1033"/>
      <c r="N202" s="1024"/>
      <c r="O202" s="1024"/>
      <c r="P202" s="1024"/>
      <c r="Q202" s="1024"/>
      <c r="R202" s="1020"/>
      <c r="S202" s="1020"/>
      <c r="T202" s="1036"/>
      <c r="U202" s="1036"/>
      <c r="V202" s="1020"/>
      <c r="W202" s="1020"/>
      <c r="X202" s="1020"/>
      <c r="Y202" s="1020"/>
      <c r="Z202" s="1020"/>
      <c r="AA202" s="1020"/>
      <c r="AB202" s="1020"/>
      <c r="AC202" s="1020"/>
      <c r="AD202" s="1020"/>
      <c r="AE202" s="1020"/>
      <c r="AF202" s="1020"/>
      <c r="AG202" s="1020"/>
      <c r="AH202" s="1020"/>
      <c r="AI202" s="1020"/>
      <c r="AJ202" s="1020"/>
      <c r="AK202" s="1020"/>
      <c r="AL202" s="1020"/>
      <c r="AM202" s="1020"/>
      <c r="AN202" s="1020"/>
      <c r="AO202" s="1020"/>
      <c r="AP202" s="1020"/>
      <c r="AQ202" s="1020"/>
      <c r="AR202" s="1020"/>
      <c r="AS202" s="1020"/>
      <c r="AT202" s="1020"/>
      <c r="AU202" s="1020"/>
      <c r="AV202" s="1020"/>
      <c r="AW202" s="1020"/>
      <c r="AX202" s="1020"/>
    </row>
    <row r="203" spans="1:50" ht="12" customHeight="1">
      <c r="A203" s="1024"/>
      <c r="B203" s="161"/>
      <c r="C203" s="1024"/>
      <c r="D203" s="1024"/>
      <c r="E203" s="1024"/>
      <c r="F203" s="1024"/>
      <c r="G203" s="1024"/>
      <c r="H203" s="1024"/>
      <c r="I203" s="1024"/>
      <c r="J203" s="1059"/>
      <c r="K203" s="156"/>
      <c r="L203" s="1024"/>
      <c r="M203" s="1033"/>
      <c r="N203" s="1024"/>
      <c r="O203" s="1024"/>
      <c r="P203" s="1024"/>
      <c r="Q203" s="1024"/>
      <c r="R203" s="1020"/>
      <c r="S203" s="1020"/>
      <c r="T203" s="1036"/>
      <c r="U203" s="1036"/>
      <c r="V203" s="1020"/>
      <c r="W203" s="1020"/>
      <c r="X203" s="1020"/>
      <c r="Y203" s="1020"/>
      <c r="Z203" s="1020"/>
      <c r="AA203" s="1020"/>
      <c r="AB203" s="1020"/>
      <c r="AC203" s="1020"/>
      <c r="AD203" s="1020"/>
      <c r="AE203" s="1020"/>
      <c r="AF203" s="1020"/>
      <c r="AG203" s="1020"/>
      <c r="AH203" s="1020"/>
      <c r="AI203" s="1020"/>
      <c r="AJ203" s="1020"/>
      <c r="AK203" s="1020"/>
      <c r="AL203" s="1020"/>
      <c r="AM203" s="1020"/>
      <c r="AN203" s="1020"/>
      <c r="AO203" s="1020"/>
      <c r="AP203" s="1020"/>
      <c r="AQ203" s="1020"/>
      <c r="AR203" s="1020"/>
      <c r="AS203" s="1020"/>
      <c r="AT203" s="1020"/>
      <c r="AU203" s="1020"/>
      <c r="AV203" s="1020"/>
      <c r="AW203" s="1020"/>
      <c r="AX203" s="1020"/>
    </row>
    <row r="204" spans="1:50" ht="12" customHeight="1">
      <c r="A204" s="1024"/>
      <c r="B204" s="161"/>
      <c r="C204" s="1024"/>
      <c r="D204" s="1024"/>
      <c r="E204" s="1024"/>
      <c r="F204" s="1024"/>
      <c r="G204" s="1024"/>
      <c r="H204" s="1024"/>
      <c r="I204" s="1024"/>
      <c r="J204" s="1059"/>
      <c r="K204" s="156"/>
      <c r="L204" s="1024"/>
      <c r="M204" s="1033"/>
      <c r="N204" s="1024"/>
      <c r="O204" s="1024"/>
      <c r="P204" s="1024"/>
      <c r="Q204" s="1024"/>
      <c r="R204" s="1020"/>
      <c r="S204" s="1020"/>
      <c r="T204" s="1036"/>
      <c r="U204" s="1036"/>
      <c r="V204" s="1020"/>
      <c r="W204" s="1020"/>
      <c r="X204" s="1020"/>
      <c r="Y204" s="1020"/>
      <c r="Z204" s="1020"/>
      <c r="AA204" s="1020"/>
      <c r="AB204" s="1020"/>
      <c r="AC204" s="1020"/>
      <c r="AD204" s="1020"/>
      <c r="AE204" s="1020"/>
      <c r="AF204" s="1020"/>
      <c r="AG204" s="1020"/>
      <c r="AH204" s="1020"/>
      <c r="AI204" s="1020"/>
      <c r="AJ204" s="1020"/>
      <c r="AK204" s="1020"/>
      <c r="AL204" s="1020"/>
      <c r="AM204" s="1020"/>
      <c r="AN204" s="1020"/>
      <c r="AO204" s="1020"/>
      <c r="AP204" s="1020"/>
      <c r="AQ204" s="1020"/>
      <c r="AR204" s="1020"/>
      <c r="AS204" s="1020"/>
      <c r="AT204" s="1020"/>
      <c r="AU204" s="1020"/>
      <c r="AV204" s="1020"/>
      <c r="AW204" s="1020"/>
      <c r="AX204" s="1020"/>
    </row>
    <row r="205" spans="1:50" ht="12" customHeight="1">
      <c r="A205" s="1024"/>
      <c r="B205" s="161"/>
      <c r="C205" s="1024"/>
      <c r="D205" s="1024"/>
      <c r="E205" s="1024"/>
      <c r="F205" s="1024"/>
      <c r="G205" s="1024"/>
      <c r="H205" s="1024"/>
      <c r="I205" s="1024"/>
      <c r="J205" s="1059"/>
      <c r="K205" s="156"/>
      <c r="L205" s="1024"/>
      <c r="M205" s="1033"/>
      <c r="N205" s="1024"/>
      <c r="O205" s="1024"/>
      <c r="P205" s="1024"/>
      <c r="Q205" s="1024"/>
      <c r="R205" s="1020"/>
      <c r="S205" s="1020"/>
      <c r="T205" s="1036"/>
      <c r="U205" s="1036"/>
      <c r="V205" s="1020"/>
      <c r="W205" s="1020"/>
      <c r="X205" s="1020"/>
      <c r="Y205" s="1020"/>
      <c r="Z205" s="1020"/>
      <c r="AA205" s="1020"/>
      <c r="AB205" s="1020"/>
      <c r="AC205" s="1020"/>
      <c r="AD205" s="1020"/>
      <c r="AE205" s="1020"/>
      <c r="AF205" s="1020"/>
      <c r="AG205" s="1020"/>
      <c r="AH205" s="1020"/>
      <c r="AI205" s="1020"/>
      <c r="AJ205" s="1020"/>
      <c r="AK205" s="1020"/>
      <c r="AL205" s="1020"/>
      <c r="AM205" s="1020"/>
      <c r="AN205" s="1020"/>
      <c r="AO205" s="1020"/>
      <c r="AP205" s="1020"/>
      <c r="AQ205" s="1020"/>
      <c r="AR205" s="1020"/>
      <c r="AS205" s="1020"/>
      <c r="AT205" s="1020"/>
      <c r="AU205" s="1020"/>
      <c r="AV205" s="1020"/>
      <c r="AW205" s="1020"/>
      <c r="AX205" s="1020"/>
    </row>
    <row r="206" spans="1:50" ht="12" customHeight="1">
      <c r="A206" s="1024"/>
      <c r="B206" s="161"/>
      <c r="C206" s="1024"/>
      <c r="D206" s="1024"/>
      <c r="E206" s="1024"/>
      <c r="F206" s="1024"/>
      <c r="G206" s="1024"/>
      <c r="H206" s="1024"/>
      <c r="I206" s="1024"/>
      <c r="J206" s="1059"/>
      <c r="K206" s="156"/>
      <c r="L206" s="1024"/>
      <c r="M206" s="1033"/>
      <c r="N206" s="1024"/>
      <c r="O206" s="1024"/>
      <c r="P206" s="1024"/>
      <c r="Q206" s="1024"/>
      <c r="R206" s="1020"/>
      <c r="S206" s="1020"/>
      <c r="T206" s="1036"/>
      <c r="U206" s="1036"/>
      <c r="V206" s="1020"/>
      <c r="W206" s="1020"/>
      <c r="X206" s="1020"/>
      <c r="Y206" s="1020"/>
      <c r="Z206" s="1020"/>
      <c r="AA206" s="1020"/>
      <c r="AB206" s="1020"/>
      <c r="AC206" s="1020"/>
      <c r="AD206" s="1020"/>
      <c r="AE206" s="1020"/>
      <c r="AF206" s="1020"/>
      <c r="AG206" s="1020"/>
      <c r="AH206" s="1020"/>
      <c r="AI206" s="1020"/>
      <c r="AJ206" s="1020"/>
      <c r="AK206" s="1020"/>
      <c r="AL206" s="1020"/>
      <c r="AM206" s="1020"/>
      <c r="AN206" s="1020"/>
      <c r="AO206" s="1020"/>
      <c r="AP206" s="1020"/>
      <c r="AQ206" s="1020"/>
      <c r="AR206" s="1020"/>
      <c r="AS206" s="1020"/>
      <c r="AT206" s="1020"/>
      <c r="AU206" s="1020"/>
      <c r="AV206" s="1020"/>
      <c r="AW206" s="1020"/>
      <c r="AX206" s="1020"/>
    </row>
    <row r="207" spans="1:50" ht="12" customHeight="1">
      <c r="A207" s="1024"/>
      <c r="B207" s="161"/>
      <c r="C207" s="1024"/>
      <c r="D207" s="1024"/>
      <c r="E207" s="1024"/>
      <c r="F207" s="1024"/>
      <c r="G207" s="1024"/>
      <c r="H207" s="1024"/>
      <c r="I207" s="1024"/>
      <c r="J207" s="1059"/>
      <c r="K207" s="156"/>
      <c r="L207" s="1024"/>
      <c r="M207" s="1033"/>
      <c r="N207" s="1024"/>
      <c r="O207" s="1024"/>
      <c r="P207" s="1024"/>
      <c r="Q207" s="1024"/>
      <c r="R207" s="1020"/>
      <c r="S207" s="1020"/>
      <c r="T207" s="1036"/>
      <c r="U207" s="1036"/>
      <c r="V207" s="1020"/>
      <c r="W207" s="1020"/>
      <c r="X207" s="1020"/>
      <c r="Y207" s="1020"/>
      <c r="Z207" s="1020"/>
      <c r="AA207" s="1020"/>
      <c r="AB207" s="1020"/>
      <c r="AC207" s="1020"/>
      <c r="AD207" s="1020"/>
      <c r="AE207" s="1020"/>
      <c r="AF207" s="1020"/>
      <c r="AG207" s="1020"/>
      <c r="AH207" s="1020"/>
      <c r="AI207" s="1020"/>
      <c r="AJ207" s="1020"/>
      <c r="AK207" s="1020"/>
      <c r="AL207" s="1020"/>
      <c r="AM207" s="1020"/>
      <c r="AN207" s="1020"/>
      <c r="AO207" s="1020"/>
      <c r="AP207" s="1020"/>
      <c r="AQ207" s="1020"/>
      <c r="AR207" s="1020"/>
      <c r="AS207" s="1020"/>
      <c r="AT207" s="1020"/>
      <c r="AU207" s="1020"/>
      <c r="AV207" s="1020"/>
      <c r="AW207" s="1020"/>
      <c r="AX207" s="1020"/>
    </row>
    <row r="208" spans="1:50" ht="12" customHeight="1">
      <c r="A208" s="1024"/>
      <c r="B208" s="161"/>
      <c r="C208" s="1024"/>
      <c r="D208" s="1024"/>
      <c r="E208" s="1024"/>
      <c r="F208" s="1024"/>
      <c r="G208" s="1024"/>
      <c r="H208" s="1024"/>
      <c r="I208" s="1024"/>
      <c r="J208" s="1059"/>
      <c r="K208" s="156"/>
      <c r="L208" s="1024"/>
      <c r="M208" s="1033"/>
      <c r="N208" s="1024"/>
      <c r="O208" s="1024"/>
      <c r="P208" s="1024"/>
      <c r="Q208" s="1024"/>
      <c r="R208" s="1020"/>
      <c r="S208" s="1020"/>
      <c r="T208" s="1036"/>
      <c r="U208" s="1036"/>
      <c r="V208" s="1020"/>
      <c r="W208" s="1020"/>
      <c r="X208" s="1020"/>
      <c r="Y208" s="1020"/>
      <c r="Z208" s="1020"/>
      <c r="AA208" s="1020"/>
      <c r="AB208" s="1020"/>
      <c r="AC208" s="1020"/>
      <c r="AD208" s="1020"/>
      <c r="AE208" s="1020"/>
      <c r="AF208" s="1020"/>
      <c r="AG208" s="1020"/>
      <c r="AH208" s="1020"/>
      <c r="AI208" s="1020"/>
      <c r="AJ208" s="1020"/>
      <c r="AK208" s="1020"/>
      <c r="AL208" s="1020"/>
      <c r="AM208" s="1020"/>
      <c r="AN208" s="1020"/>
      <c r="AO208" s="1020"/>
      <c r="AP208" s="1020"/>
      <c r="AQ208" s="1020"/>
      <c r="AR208" s="1020"/>
      <c r="AS208" s="1020"/>
      <c r="AT208" s="1020"/>
      <c r="AU208" s="1020"/>
      <c r="AV208" s="1020"/>
      <c r="AW208" s="1020"/>
      <c r="AX208" s="1020"/>
    </row>
    <row r="209" spans="1:50" ht="12" customHeight="1">
      <c r="A209" s="1024"/>
      <c r="B209" s="161"/>
      <c r="C209" s="1024"/>
      <c r="D209" s="1024"/>
      <c r="E209" s="1024"/>
      <c r="F209" s="1024"/>
      <c r="G209" s="1024"/>
      <c r="H209" s="1024"/>
      <c r="I209" s="1024"/>
      <c r="J209" s="1059"/>
      <c r="K209" s="156"/>
      <c r="L209" s="1024"/>
      <c r="M209" s="1033"/>
      <c r="N209" s="1024"/>
      <c r="O209" s="1024"/>
      <c r="P209" s="1024"/>
      <c r="Q209" s="1024"/>
      <c r="R209" s="1020"/>
      <c r="S209" s="1020"/>
      <c r="T209" s="1036"/>
      <c r="U209" s="1036"/>
      <c r="V209" s="1020"/>
      <c r="W209" s="1020"/>
      <c r="X209" s="1020"/>
      <c r="Y209" s="1020"/>
      <c r="Z209" s="1020"/>
      <c r="AA209" s="1020"/>
      <c r="AB209" s="1020"/>
      <c r="AC209" s="1020"/>
      <c r="AD209" s="1020"/>
      <c r="AE209" s="1020"/>
      <c r="AF209" s="1020"/>
      <c r="AG209" s="1020"/>
      <c r="AH209" s="1020"/>
      <c r="AI209" s="1020"/>
      <c r="AJ209" s="1020"/>
      <c r="AK209" s="1020"/>
      <c r="AL209" s="1020"/>
      <c r="AM209" s="1020"/>
      <c r="AN209" s="1020"/>
      <c r="AO209" s="1020"/>
      <c r="AP209" s="1020"/>
      <c r="AQ209" s="1020"/>
      <c r="AR209" s="1020"/>
      <c r="AS209" s="1020"/>
      <c r="AT209" s="1020"/>
      <c r="AU209" s="1020"/>
      <c r="AV209" s="1020"/>
      <c r="AW209" s="1020"/>
      <c r="AX209" s="1020"/>
    </row>
    <row r="210" spans="1:50" ht="12" customHeight="1">
      <c r="A210" s="1024"/>
      <c r="B210" s="161"/>
      <c r="C210" s="1024"/>
      <c r="D210" s="1024"/>
      <c r="E210" s="1024"/>
      <c r="F210" s="1024"/>
      <c r="G210" s="1024"/>
      <c r="H210" s="1024"/>
      <c r="I210" s="1024"/>
      <c r="J210" s="1059"/>
      <c r="K210" s="156"/>
      <c r="L210" s="1024"/>
      <c r="M210" s="1033"/>
      <c r="N210" s="1024"/>
      <c r="O210" s="1024"/>
      <c r="P210" s="1024"/>
      <c r="Q210" s="1024"/>
      <c r="R210" s="1020"/>
      <c r="S210" s="1020"/>
      <c r="T210" s="1036"/>
      <c r="U210" s="1036"/>
      <c r="V210" s="1020"/>
      <c r="W210" s="1020"/>
      <c r="X210" s="1020"/>
      <c r="Y210" s="1020"/>
      <c r="Z210" s="1020"/>
      <c r="AA210" s="1020"/>
      <c r="AB210" s="1020"/>
      <c r="AC210" s="1020"/>
      <c r="AD210" s="1020"/>
      <c r="AE210" s="1020"/>
      <c r="AF210" s="1020"/>
      <c r="AG210" s="1020"/>
      <c r="AH210" s="1020"/>
      <c r="AI210" s="1020"/>
      <c r="AJ210" s="1020"/>
      <c r="AK210" s="1020"/>
      <c r="AL210" s="1020"/>
      <c r="AM210" s="1020"/>
      <c r="AN210" s="1020"/>
      <c r="AO210" s="1020"/>
      <c r="AP210" s="1020"/>
      <c r="AQ210" s="1020"/>
      <c r="AR210" s="1020"/>
      <c r="AS210" s="1020"/>
      <c r="AT210" s="1020"/>
      <c r="AU210" s="1020"/>
      <c r="AV210" s="1020"/>
      <c r="AW210" s="1020"/>
      <c r="AX210" s="1020"/>
    </row>
    <row r="211" spans="1:50" ht="12" customHeight="1">
      <c r="A211" s="1024"/>
      <c r="B211" s="161"/>
      <c r="C211" s="1024"/>
      <c r="D211" s="1024"/>
      <c r="E211" s="1024"/>
      <c r="F211" s="1024"/>
      <c r="G211" s="1024"/>
      <c r="H211" s="1024"/>
      <c r="I211" s="1024"/>
      <c r="J211" s="1059"/>
      <c r="K211" s="156"/>
      <c r="L211" s="1024"/>
      <c r="M211" s="1033"/>
      <c r="N211" s="1024"/>
      <c r="O211" s="1024"/>
      <c r="P211" s="1024"/>
      <c r="Q211" s="1024"/>
      <c r="R211" s="1020"/>
      <c r="S211" s="1020"/>
      <c r="T211" s="1036"/>
      <c r="U211" s="1036"/>
      <c r="V211" s="1020"/>
      <c r="W211" s="1020"/>
      <c r="X211" s="1020"/>
      <c r="Y211" s="1020"/>
      <c r="Z211" s="1020"/>
      <c r="AA211" s="1020"/>
      <c r="AB211" s="1020"/>
      <c r="AC211" s="1020"/>
      <c r="AD211" s="1020"/>
      <c r="AE211" s="1020"/>
      <c r="AF211" s="1020"/>
      <c r="AG211" s="1020"/>
      <c r="AH211" s="1020"/>
      <c r="AI211" s="1020"/>
      <c r="AJ211" s="1020"/>
      <c r="AK211" s="1020"/>
      <c r="AL211" s="1020"/>
      <c r="AM211" s="1020"/>
      <c r="AN211" s="1020"/>
      <c r="AO211" s="1020"/>
      <c r="AP211" s="1020"/>
      <c r="AQ211" s="1020"/>
      <c r="AR211" s="1020"/>
      <c r="AS211" s="1020"/>
      <c r="AT211" s="1020"/>
      <c r="AU211" s="1020"/>
      <c r="AV211" s="1020"/>
      <c r="AW211" s="1020"/>
      <c r="AX211" s="1020"/>
    </row>
    <row r="212" spans="1:50" ht="12" customHeight="1">
      <c r="A212" s="1024"/>
      <c r="B212" s="161"/>
      <c r="C212" s="1024"/>
      <c r="D212" s="1024"/>
      <c r="E212" s="1024"/>
      <c r="F212" s="1024"/>
      <c r="G212" s="1024"/>
      <c r="H212" s="1024"/>
      <c r="I212" s="1024"/>
      <c r="J212" s="1059"/>
      <c r="K212" s="156"/>
      <c r="L212" s="1024"/>
      <c r="M212" s="1033"/>
      <c r="N212" s="1024"/>
      <c r="O212" s="1024"/>
      <c r="P212" s="1024"/>
      <c r="Q212" s="1024"/>
      <c r="R212" s="1020"/>
      <c r="S212" s="1020"/>
      <c r="T212" s="1036"/>
      <c r="U212" s="1036"/>
      <c r="V212" s="1020"/>
      <c r="W212" s="1020"/>
      <c r="X212" s="1020"/>
      <c r="Y212" s="1020"/>
      <c r="Z212" s="1020"/>
      <c r="AA212" s="1020"/>
      <c r="AB212" s="1020"/>
      <c r="AC212" s="1020"/>
      <c r="AD212" s="1020"/>
      <c r="AE212" s="1020"/>
      <c r="AF212" s="1020"/>
      <c r="AG212" s="1020"/>
      <c r="AH212" s="1020"/>
      <c r="AI212" s="1020"/>
      <c r="AJ212" s="1020"/>
      <c r="AK212" s="1020"/>
      <c r="AL212" s="1020"/>
      <c r="AM212" s="1020"/>
      <c r="AN212" s="1020"/>
      <c r="AO212" s="1020"/>
      <c r="AP212" s="1020"/>
      <c r="AQ212" s="1020"/>
      <c r="AR212" s="1020"/>
      <c r="AS212" s="1020"/>
      <c r="AT212" s="1020"/>
      <c r="AU212" s="1020"/>
      <c r="AV212" s="1020"/>
      <c r="AW212" s="1020"/>
      <c r="AX212" s="1020"/>
    </row>
    <row r="213" spans="1:50" ht="12" customHeight="1">
      <c r="A213" s="1024"/>
      <c r="B213" s="161"/>
      <c r="C213" s="1024"/>
      <c r="D213" s="1024"/>
      <c r="E213" s="1024"/>
      <c r="F213" s="1024"/>
      <c r="G213" s="1024"/>
      <c r="H213" s="1024"/>
      <c r="I213" s="1024"/>
      <c r="J213" s="1059"/>
      <c r="K213" s="156"/>
      <c r="L213" s="1024"/>
      <c r="M213" s="1033"/>
      <c r="N213" s="1024"/>
      <c r="O213" s="1024"/>
      <c r="P213" s="1024"/>
      <c r="Q213" s="1024"/>
      <c r="R213" s="1020"/>
      <c r="S213" s="1020"/>
      <c r="T213" s="1036"/>
      <c r="U213" s="1036"/>
      <c r="V213" s="1020"/>
      <c r="W213" s="1020"/>
      <c r="X213" s="1020"/>
      <c r="Y213" s="1020"/>
      <c r="Z213" s="1020"/>
      <c r="AA213" s="1020"/>
      <c r="AB213" s="1020"/>
      <c r="AC213" s="1020"/>
      <c r="AD213" s="1020"/>
      <c r="AE213" s="1020"/>
      <c r="AF213" s="1020"/>
      <c r="AG213" s="1020"/>
      <c r="AH213" s="1020"/>
      <c r="AI213" s="1020"/>
      <c r="AJ213" s="1020"/>
      <c r="AK213" s="1020"/>
      <c r="AL213" s="1020"/>
      <c r="AM213" s="1020"/>
      <c r="AN213" s="1020"/>
      <c r="AO213" s="1020"/>
      <c r="AP213" s="1020"/>
      <c r="AQ213" s="1020"/>
      <c r="AR213" s="1020"/>
      <c r="AS213" s="1020"/>
      <c r="AT213" s="1020"/>
      <c r="AU213" s="1020"/>
      <c r="AV213" s="1020"/>
      <c r="AW213" s="1020"/>
      <c r="AX213" s="1020"/>
    </row>
    <row r="214" spans="1:50" ht="12" customHeight="1">
      <c r="A214" s="1024"/>
      <c r="B214" s="161"/>
      <c r="C214" s="1024"/>
      <c r="D214" s="1024"/>
      <c r="E214" s="1024"/>
      <c r="F214" s="1024"/>
      <c r="G214" s="1024"/>
      <c r="H214" s="1024"/>
      <c r="I214" s="1024"/>
      <c r="J214" s="1059"/>
      <c r="K214" s="156"/>
      <c r="L214" s="1024"/>
      <c r="M214" s="1033"/>
      <c r="N214" s="1024"/>
      <c r="O214" s="1024"/>
      <c r="P214" s="1024"/>
      <c r="Q214" s="1024"/>
      <c r="R214" s="1020"/>
      <c r="S214" s="1020"/>
      <c r="T214" s="1036"/>
      <c r="U214" s="1036"/>
      <c r="V214" s="1020"/>
      <c r="W214" s="1020"/>
      <c r="X214" s="1020"/>
      <c r="Y214" s="1020"/>
      <c r="Z214" s="1020"/>
      <c r="AA214" s="1020"/>
      <c r="AB214" s="1020"/>
      <c r="AC214" s="1020"/>
      <c r="AD214" s="1020"/>
      <c r="AE214" s="1020"/>
      <c r="AF214" s="1020"/>
      <c r="AG214" s="1020"/>
      <c r="AH214" s="1020"/>
      <c r="AI214" s="1020"/>
      <c r="AJ214" s="1020"/>
      <c r="AK214" s="1020"/>
      <c r="AL214" s="1020"/>
      <c r="AM214" s="1020"/>
      <c r="AN214" s="1020"/>
      <c r="AO214" s="1020"/>
      <c r="AP214" s="1020"/>
      <c r="AQ214" s="1020"/>
      <c r="AR214" s="1020"/>
      <c r="AS214" s="1020"/>
      <c r="AT214" s="1020"/>
      <c r="AU214" s="1020"/>
      <c r="AV214" s="1020"/>
      <c r="AW214" s="1020"/>
      <c r="AX214" s="1020"/>
    </row>
    <row r="215" spans="1:50" ht="12" customHeight="1">
      <c r="A215" s="1024"/>
      <c r="B215" s="161"/>
      <c r="C215" s="1024"/>
      <c r="D215" s="1024"/>
      <c r="E215" s="1024"/>
      <c r="F215" s="1024"/>
      <c r="G215" s="1024"/>
      <c r="H215" s="1024"/>
      <c r="I215" s="1024"/>
      <c r="J215" s="1059"/>
      <c r="K215" s="156"/>
      <c r="L215" s="1024"/>
      <c r="M215" s="1033"/>
      <c r="N215" s="1024"/>
      <c r="O215" s="1024"/>
      <c r="P215" s="1024"/>
      <c r="Q215" s="1024"/>
      <c r="R215" s="1020"/>
      <c r="S215" s="1020"/>
      <c r="T215" s="1036"/>
      <c r="U215" s="1036"/>
      <c r="V215" s="1020"/>
      <c r="W215" s="1020"/>
      <c r="X215" s="1020"/>
      <c r="Y215" s="1020"/>
      <c r="Z215" s="1020"/>
      <c r="AA215" s="1020"/>
      <c r="AB215" s="1020"/>
      <c r="AC215" s="1020"/>
      <c r="AD215" s="1020"/>
      <c r="AE215" s="1020"/>
      <c r="AF215" s="1020"/>
      <c r="AG215" s="1020"/>
      <c r="AH215" s="1020"/>
      <c r="AI215" s="1020"/>
      <c r="AJ215" s="1020"/>
      <c r="AK215" s="1020"/>
      <c r="AL215" s="1020"/>
      <c r="AM215" s="1020"/>
      <c r="AN215" s="1020"/>
      <c r="AO215" s="1020"/>
      <c r="AP215" s="1020"/>
      <c r="AQ215" s="1020"/>
      <c r="AR215" s="1020"/>
      <c r="AS215" s="1020"/>
      <c r="AT215" s="1020"/>
      <c r="AU215" s="1020"/>
      <c r="AV215" s="1020"/>
      <c r="AW215" s="1020"/>
      <c r="AX215" s="1020"/>
    </row>
    <row r="216" spans="1:50" ht="12" customHeight="1">
      <c r="A216" s="1024"/>
      <c r="B216" s="161"/>
      <c r="C216" s="1024"/>
      <c r="D216" s="1024"/>
      <c r="E216" s="1024"/>
      <c r="F216" s="1024"/>
      <c r="G216" s="1024"/>
      <c r="H216" s="1024"/>
      <c r="I216" s="1024"/>
      <c r="J216" s="1059"/>
      <c r="K216" s="156"/>
      <c r="L216" s="1024"/>
      <c r="M216" s="1033"/>
      <c r="N216" s="1024"/>
      <c r="O216" s="1024"/>
      <c r="P216" s="1024"/>
      <c r="Q216" s="1024"/>
      <c r="R216" s="1020"/>
      <c r="S216" s="1020"/>
      <c r="T216" s="1036"/>
      <c r="U216" s="1036"/>
      <c r="V216" s="1020"/>
      <c r="W216" s="1020"/>
      <c r="X216" s="1020"/>
      <c r="Y216" s="1020"/>
      <c r="Z216" s="1020"/>
      <c r="AA216" s="1020"/>
      <c r="AB216" s="1020"/>
      <c r="AC216" s="1020"/>
      <c r="AD216" s="1020"/>
      <c r="AE216" s="1020"/>
      <c r="AF216" s="1020"/>
      <c r="AG216" s="1020"/>
      <c r="AH216" s="1020"/>
      <c r="AI216" s="1020"/>
      <c r="AJ216" s="1020"/>
      <c r="AK216" s="1020"/>
      <c r="AL216" s="1020"/>
      <c r="AM216" s="1020"/>
      <c r="AN216" s="1020"/>
      <c r="AO216" s="1020"/>
      <c r="AP216" s="1020"/>
      <c r="AQ216" s="1020"/>
      <c r="AR216" s="1020"/>
      <c r="AS216" s="1020"/>
      <c r="AT216" s="1020"/>
      <c r="AU216" s="1020"/>
      <c r="AV216" s="1020"/>
      <c r="AW216" s="1020"/>
      <c r="AX216" s="1020"/>
    </row>
    <row r="217" spans="1:50" ht="12" customHeight="1">
      <c r="A217" s="1024"/>
      <c r="B217" s="161"/>
      <c r="C217" s="1024"/>
      <c r="D217" s="1024"/>
      <c r="E217" s="1024"/>
      <c r="F217" s="1024"/>
      <c r="G217" s="1024"/>
      <c r="H217" s="1024"/>
      <c r="I217" s="1024"/>
      <c r="J217" s="1059"/>
      <c r="K217" s="156"/>
      <c r="L217" s="1024"/>
      <c r="M217" s="1033"/>
      <c r="N217" s="1024"/>
      <c r="O217" s="1024"/>
      <c r="P217" s="1024"/>
      <c r="Q217" s="1024"/>
      <c r="R217" s="1020"/>
      <c r="S217" s="1020"/>
      <c r="T217" s="1036"/>
      <c r="U217" s="1036"/>
      <c r="V217" s="1020"/>
      <c r="W217" s="1020"/>
      <c r="X217" s="1020"/>
      <c r="Y217" s="1020"/>
      <c r="Z217" s="1020"/>
      <c r="AA217" s="1020"/>
      <c r="AB217" s="1020"/>
      <c r="AC217" s="1020"/>
      <c r="AD217" s="1020"/>
      <c r="AE217" s="1020"/>
      <c r="AF217" s="1020"/>
      <c r="AG217" s="1020"/>
      <c r="AH217" s="1020"/>
      <c r="AI217" s="1020"/>
      <c r="AJ217" s="1020"/>
      <c r="AK217" s="1020"/>
      <c r="AL217" s="1020"/>
      <c r="AM217" s="1020"/>
      <c r="AN217" s="1020"/>
      <c r="AO217" s="1020"/>
      <c r="AP217" s="1020"/>
      <c r="AQ217" s="1020"/>
      <c r="AR217" s="1020"/>
      <c r="AS217" s="1020"/>
      <c r="AT217" s="1020"/>
      <c r="AU217" s="1020"/>
      <c r="AV217" s="1020"/>
      <c r="AW217" s="1020"/>
      <c r="AX217" s="1020"/>
    </row>
    <row r="218" spans="1:50" ht="12" customHeight="1">
      <c r="A218" s="1024"/>
      <c r="B218" s="161"/>
      <c r="C218" s="1024"/>
      <c r="D218" s="1024"/>
      <c r="E218" s="1024"/>
      <c r="F218" s="1024"/>
      <c r="G218" s="1024"/>
      <c r="H218" s="1024"/>
      <c r="I218" s="1024"/>
      <c r="J218" s="1059"/>
      <c r="K218" s="156"/>
      <c r="L218" s="1024"/>
      <c r="M218" s="1033"/>
      <c r="N218" s="1024"/>
      <c r="O218" s="1024"/>
      <c r="P218" s="1024"/>
      <c r="Q218" s="1024"/>
      <c r="R218" s="1020"/>
      <c r="S218" s="1020"/>
      <c r="T218" s="1036"/>
      <c r="U218" s="1036"/>
      <c r="V218" s="1020"/>
      <c r="W218" s="1020"/>
      <c r="X218" s="1020"/>
      <c r="Y218" s="1020"/>
      <c r="Z218" s="1020"/>
      <c r="AA218" s="1020"/>
      <c r="AB218" s="1020"/>
      <c r="AC218" s="1020"/>
      <c r="AD218" s="1020"/>
      <c r="AE218" s="1020"/>
      <c r="AF218" s="1020"/>
      <c r="AG218" s="1020"/>
      <c r="AH218" s="1020"/>
      <c r="AI218" s="1020"/>
      <c r="AJ218" s="1020"/>
      <c r="AK218" s="1020"/>
      <c r="AL218" s="1020"/>
      <c r="AM218" s="1020"/>
      <c r="AN218" s="1020"/>
      <c r="AO218" s="1020"/>
      <c r="AP218" s="1020"/>
      <c r="AQ218" s="1020"/>
      <c r="AR218" s="1020"/>
      <c r="AS218" s="1020"/>
      <c r="AT218" s="1020"/>
      <c r="AU218" s="1020"/>
      <c r="AV218" s="1020"/>
      <c r="AW218" s="1020"/>
      <c r="AX218" s="1020"/>
    </row>
    <row r="219" spans="1:50" ht="13.5" customHeight="1">
      <c r="A219" s="1024"/>
      <c r="B219" s="161"/>
      <c r="C219" s="1024"/>
      <c r="D219" s="1024"/>
      <c r="E219" s="1024"/>
      <c r="F219" s="1024"/>
      <c r="G219" s="1024"/>
      <c r="H219" s="1024"/>
      <c r="I219" s="1024"/>
      <c r="J219" s="1059"/>
      <c r="K219" s="156"/>
      <c r="L219" s="1024"/>
      <c r="M219" s="1033"/>
      <c r="N219" s="1024"/>
      <c r="O219" s="1024"/>
      <c r="P219" s="1024"/>
      <c r="Q219" s="1024"/>
      <c r="R219" s="1020"/>
      <c r="S219" s="1020"/>
      <c r="T219" s="1036"/>
      <c r="U219" s="1036"/>
      <c r="V219" s="1020"/>
      <c r="W219" s="1020"/>
      <c r="X219" s="1020"/>
      <c r="Y219" s="1020"/>
      <c r="Z219" s="1020"/>
      <c r="AA219" s="1020"/>
      <c r="AB219" s="1020"/>
      <c r="AC219" s="1020"/>
      <c r="AD219" s="1020"/>
      <c r="AE219" s="1020"/>
      <c r="AF219" s="1020"/>
      <c r="AG219" s="1020"/>
      <c r="AH219" s="1020"/>
      <c r="AI219" s="1020"/>
      <c r="AJ219" s="1020"/>
      <c r="AK219" s="1020"/>
      <c r="AL219" s="1020"/>
      <c r="AM219" s="1020"/>
      <c r="AN219" s="1020"/>
      <c r="AO219" s="1020"/>
      <c r="AP219" s="1020"/>
      <c r="AQ219" s="1020"/>
      <c r="AR219" s="1020"/>
      <c r="AS219" s="1020"/>
      <c r="AT219" s="1020"/>
      <c r="AU219" s="1020"/>
      <c r="AV219" s="1020"/>
      <c r="AW219" s="1020"/>
      <c r="AX219" s="1020"/>
    </row>
    <row r="220" spans="1:50" ht="12" customHeight="1">
      <c r="A220" s="1024"/>
      <c r="B220" s="161"/>
      <c r="C220" s="1024"/>
      <c r="D220" s="1024"/>
      <c r="E220" s="1024"/>
      <c r="F220" s="1024"/>
      <c r="G220" s="1024"/>
      <c r="H220" s="1024"/>
      <c r="I220" s="1024"/>
      <c r="J220" s="1059"/>
      <c r="K220" s="156"/>
      <c r="L220" s="1024"/>
      <c r="M220" s="1033"/>
      <c r="N220" s="1024"/>
      <c r="O220" s="1024"/>
      <c r="P220" s="1024"/>
      <c r="Q220" s="1024"/>
      <c r="R220" s="1020"/>
      <c r="S220" s="1020"/>
      <c r="T220" s="1036"/>
      <c r="U220" s="1036"/>
      <c r="V220" s="1020"/>
      <c r="W220" s="1020"/>
      <c r="X220" s="1020"/>
      <c r="Y220" s="1020"/>
      <c r="Z220" s="1020"/>
      <c r="AA220" s="1020"/>
      <c r="AB220" s="1020"/>
      <c r="AC220" s="1020"/>
      <c r="AD220" s="1020"/>
      <c r="AE220" s="1020"/>
      <c r="AF220" s="1020"/>
      <c r="AG220" s="1020"/>
      <c r="AH220" s="1020"/>
      <c r="AI220" s="1020"/>
      <c r="AJ220" s="1020"/>
      <c r="AK220" s="1020"/>
      <c r="AL220" s="1020"/>
      <c r="AM220" s="1020"/>
      <c r="AN220" s="1020"/>
      <c r="AO220" s="1020"/>
      <c r="AP220" s="1020"/>
      <c r="AQ220" s="1020"/>
      <c r="AR220" s="1020"/>
      <c r="AS220" s="1020"/>
      <c r="AT220" s="1020"/>
      <c r="AU220" s="1020"/>
      <c r="AV220" s="1020"/>
      <c r="AW220" s="1020"/>
      <c r="AX220" s="1020"/>
    </row>
    <row r="221" spans="1:50" ht="12" customHeight="1">
      <c r="A221" s="1024"/>
      <c r="B221" s="161"/>
      <c r="C221" s="1024"/>
      <c r="D221" s="1024"/>
      <c r="E221" s="1024"/>
      <c r="F221" s="1024"/>
      <c r="G221" s="1024"/>
      <c r="H221" s="1024"/>
      <c r="I221" s="1024"/>
      <c r="J221" s="1059"/>
      <c r="K221" s="156"/>
      <c r="L221" s="1024"/>
      <c r="M221" s="1033"/>
      <c r="N221" s="1024"/>
      <c r="O221" s="1024"/>
      <c r="P221" s="1024"/>
      <c r="Q221" s="1024"/>
      <c r="R221" s="1020"/>
      <c r="S221" s="1020"/>
      <c r="T221" s="1036"/>
      <c r="U221" s="1036"/>
      <c r="V221" s="1020"/>
      <c r="W221" s="1020"/>
      <c r="X221" s="1020"/>
      <c r="Y221" s="1020"/>
      <c r="Z221" s="1020"/>
      <c r="AA221" s="1020"/>
      <c r="AB221" s="1020"/>
      <c r="AC221" s="1020"/>
      <c r="AD221" s="1020"/>
      <c r="AE221" s="1020"/>
      <c r="AF221" s="1020"/>
      <c r="AG221" s="1020"/>
      <c r="AH221" s="1020"/>
      <c r="AI221" s="1020"/>
      <c r="AJ221" s="1020"/>
      <c r="AK221" s="1020"/>
      <c r="AL221" s="1020"/>
      <c r="AM221" s="1020"/>
      <c r="AN221" s="1020"/>
      <c r="AO221" s="1020"/>
      <c r="AP221" s="1020"/>
      <c r="AQ221" s="1020"/>
      <c r="AR221" s="1020"/>
      <c r="AS221" s="1020"/>
      <c r="AT221" s="1020"/>
      <c r="AU221" s="1020"/>
      <c r="AV221" s="1020"/>
      <c r="AW221" s="1020"/>
      <c r="AX221" s="1020"/>
    </row>
    <row r="222" spans="1:50" ht="12" customHeight="1">
      <c r="A222" s="1024"/>
      <c r="B222" s="161"/>
      <c r="C222" s="1024"/>
      <c r="D222" s="1024"/>
      <c r="E222" s="1024"/>
      <c r="F222" s="1024"/>
      <c r="G222" s="1024"/>
      <c r="H222" s="1024"/>
      <c r="I222" s="1024"/>
      <c r="J222" s="1059"/>
      <c r="K222" s="156"/>
      <c r="L222" s="1024"/>
      <c r="M222" s="1033"/>
      <c r="N222" s="1024"/>
      <c r="O222" s="1024"/>
      <c r="P222" s="1024"/>
      <c r="Q222" s="1024"/>
      <c r="R222" s="1020"/>
      <c r="S222" s="1020"/>
      <c r="T222" s="1036"/>
      <c r="U222" s="1036"/>
      <c r="V222" s="1020"/>
      <c r="W222" s="1020"/>
      <c r="X222" s="1020"/>
      <c r="Y222" s="1020"/>
      <c r="Z222" s="1020"/>
      <c r="AA222" s="1020"/>
      <c r="AB222" s="1020"/>
      <c r="AC222" s="1020"/>
      <c r="AD222" s="1020"/>
      <c r="AE222" s="1020"/>
      <c r="AF222" s="1020"/>
      <c r="AG222" s="1020"/>
      <c r="AH222" s="1020"/>
      <c r="AI222" s="1020"/>
      <c r="AJ222" s="1020"/>
      <c r="AK222" s="1020"/>
      <c r="AL222" s="1020"/>
      <c r="AM222" s="1020"/>
      <c r="AN222" s="1020"/>
      <c r="AO222" s="1020"/>
      <c r="AP222" s="1020"/>
      <c r="AQ222" s="1020"/>
      <c r="AR222" s="1020"/>
      <c r="AS222" s="1020"/>
      <c r="AT222" s="1020"/>
      <c r="AU222" s="1020"/>
      <c r="AV222" s="1020"/>
      <c r="AW222" s="1020"/>
      <c r="AX222" s="1020"/>
    </row>
    <row r="223" spans="1:50" ht="12" customHeight="1">
      <c r="A223" s="1024"/>
      <c r="B223" s="161"/>
      <c r="C223" s="1024"/>
      <c r="D223" s="1024"/>
      <c r="E223" s="1024"/>
      <c r="F223" s="1024"/>
      <c r="G223" s="1024"/>
      <c r="H223" s="1024"/>
      <c r="I223" s="1024"/>
      <c r="J223" s="1059"/>
      <c r="K223" s="156"/>
      <c r="L223" s="1024"/>
      <c r="M223" s="1033"/>
      <c r="N223" s="1024"/>
      <c r="O223" s="1024"/>
      <c r="P223" s="1024"/>
      <c r="Q223" s="1024"/>
      <c r="R223" s="1020"/>
      <c r="S223" s="1020"/>
      <c r="T223" s="1036"/>
      <c r="U223" s="1036"/>
      <c r="V223" s="1020"/>
      <c r="W223" s="1020"/>
      <c r="X223" s="1020"/>
      <c r="Y223" s="1020"/>
      <c r="Z223" s="1020"/>
      <c r="AA223" s="1020"/>
      <c r="AB223" s="1020"/>
      <c r="AC223" s="1020"/>
      <c r="AD223" s="1020"/>
      <c r="AE223" s="1020"/>
      <c r="AF223" s="1020"/>
      <c r="AG223" s="1020"/>
      <c r="AH223" s="1020"/>
      <c r="AI223" s="1020"/>
      <c r="AJ223" s="1020"/>
      <c r="AK223" s="1020"/>
      <c r="AL223" s="1020"/>
      <c r="AM223" s="1020"/>
      <c r="AN223" s="1020"/>
      <c r="AO223" s="1020"/>
      <c r="AP223" s="1020"/>
      <c r="AQ223" s="1020"/>
      <c r="AR223" s="1020"/>
      <c r="AS223" s="1020"/>
      <c r="AT223" s="1020"/>
      <c r="AU223" s="1020"/>
      <c r="AV223" s="1020"/>
      <c r="AW223" s="1020"/>
      <c r="AX223" s="1020"/>
    </row>
    <row r="224" spans="1:50" ht="12" customHeight="1">
      <c r="A224" s="1024"/>
      <c r="B224" s="161"/>
      <c r="C224" s="1024"/>
      <c r="D224" s="1024"/>
      <c r="E224" s="1024"/>
      <c r="F224" s="1024"/>
      <c r="G224" s="1024"/>
      <c r="H224" s="1024"/>
      <c r="I224" s="1024"/>
      <c r="J224" s="1059"/>
      <c r="K224" s="156"/>
      <c r="L224" s="1024"/>
      <c r="M224" s="1033"/>
      <c r="N224" s="1024"/>
      <c r="O224" s="1024"/>
      <c r="P224" s="1024"/>
      <c r="Q224" s="1024"/>
      <c r="R224" s="1020"/>
      <c r="S224" s="1020"/>
      <c r="T224" s="1036"/>
      <c r="U224" s="1036"/>
      <c r="V224" s="1020"/>
      <c r="W224" s="1020"/>
      <c r="X224" s="1020"/>
      <c r="Y224" s="1020"/>
      <c r="Z224" s="1020"/>
      <c r="AA224" s="1020"/>
      <c r="AB224" s="1020"/>
      <c r="AC224" s="1020"/>
      <c r="AD224" s="1020"/>
      <c r="AE224" s="1020"/>
      <c r="AF224" s="1020"/>
      <c r="AG224" s="1020"/>
      <c r="AH224" s="1020"/>
      <c r="AI224" s="1020"/>
      <c r="AJ224" s="1020"/>
      <c r="AK224" s="1020"/>
      <c r="AL224" s="1020"/>
      <c r="AM224" s="1020"/>
      <c r="AN224" s="1020"/>
      <c r="AO224" s="1020"/>
      <c r="AP224" s="1020"/>
      <c r="AQ224" s="1020"/>
      <c r="AR224" s="1020"/>
      <c r="AS224" s="1020"/>
      <c r="AT224" s="1020"/>
      <c r="AU224" s="1020"/>
      <c r="AV224" s="1020"/>
      <c r="AW224" s="1020"/>
      <c r="AX224" s="1020"/>
    </row>
    <row r="225" spans="1:50" ht="12" customHeight="1">
      <c r="A225" s="1024"/>
      <c r="B225" s="161"/>
      <c r="C225" s="1024"/>
      <c r="D225" s="1024"/>
      <c r="E225" s="1024"/>
      <c r="F225" s="1024"/>
      <c r="G225" s="1024"/>
      <c r="H225" s="1024"/>
      <c r="I225" s="1024"/>
      <c r="J225" s="1059"/>
      <c r="K225" s="156"/>
      <c r="L225" s="1024"/>
      <c r="M225" s="1033"/>
      <c r="N225" s="1024"/>
      <c r="O225" s="1024"/>
      <c r="P225" s="1024"/>
      <c r="Q225" s="1024"/>
      <c r="R225" s="1020"/>
      <c r="S225" s="1020"/>
      <c r="T225" s="1036"/>
      <c r="U225" s="1036"/>
      <c r="V225" s="1020"/>
      <c r="W225" s="1020"/>
      <c r="X225" s="1020"/>
      <c r="Y225" s="1020"/>
      <c r="Z225" s="1020"/>
      <c r="AA225" s="1020"/>
      <c r="AB225" s="1020"/>
      <c r="AC225" s="1020"/>
      <c r="AD225" s="1020"/>
      <c r="AE225" s="1020"/>
      <c r="AF225" s="1020"/>
      <c r="AG225" s="1020"/>
      <c r="AH225" s="1020"/>
      <c r="AI225" s="1020"/>
      <c r="AJ225" s="1020"/>
      <c r="AK225" s="1020"/>
      <c r="AL225" s="1020"/>
      <c r="AM225" s="1020"/>
      <c r="AN225" s="1020"/>
      <c r="AO225" s="1020"/>
      <c r="AP225" s="1020"/>
      <c r="AQ225" s="1020"/>
      <c r="AR225" s="1020"/>
      <c r="AS225" s="1020"/>
      <c r="AT225" s="1020"/>
      <c r="AU225" s="1020"/>
      <c r="AV225" s="1020"/>
      <c r="AW225" s="1020"/>
      <c r="AX225" s="1020"/>
    </row>
    <row r="226" spans="1:50" ht="12" customHeight="1">
      <c r="A226" s="1024"/>
      <c r="B226" s="161"/>
      <c r="C226" s="1024"/>
      <c r="D226" s="1024"/>
      <c r="E226" s="1024"/>
      <c r="F226" s="1024"/>
      <c r="G226" s="1024"/>
      <c r="H226" s="1024"/>
      <c r="I226" s="1024"/>
      <c r="J226" s="1059"/>
      <c r="K226" s="156"/>
      <c r="L226" s="1024"/>
      <c r="M226" s="1033"/>
      <c r="N226" s="1024"/>
      <c r="O226" s="1024"/>
      <c r="P226" s="1024"/>
      <c r="Q226" s="1024"/>
      <c r="R226" s="1020"/>
      <c r="S226" s="1020"/>
      <c r="T226" s="1036"/>
      <c r="U226" s="1036"/>
      <c r="V226" s="1020"/>
      <c r="W226" s="1020"/>
      <c r="X226" s="1020"/>
      <c r="Y226" s="1020"/>
      <c r="Z226" s="1020"/>
      <c r="AA226" s="1020"/>
      <c r="AB226" s="1020"/>
      <c r="AC226" s="1020"/>
      <c r="AD226" s="1020"/>
      <c r="AE226" s="1020"/>
      <c r="AF226" s="1020"/>
      <c r="AG226" s="1020"/>
      <c r="AH226" s="1020"/>
      <c r="AI226" s="1020"/>
      <c r="AJ226" s="1020"/>
      <c r="AK226" s="1020"/>
      <c r="AL226" s="1020"/>
      <c r="AM226" s="1020"/>
      <c r="AN226" s="1020"/>
      <c r="AO226" s="1020"/>
      <c r="AP226" s="1020"/>
      <c r="AQ226" s="1020"/>
      <c r="AR226" s="1020"/>
      <c r="AS226" s="1020"/>
      <c r="AT226" s="1020"/>
      <c r="AU226" s="1020"/>
      <c r="AV226" s="1020"/>
      <c r="AW226" s="1020"/>
      <c r="AX226" s="1020"/>
    </row>
    <row r="227" spans="1:50" ht="12" customHeight="1">
      <c r="A227" s="1024"/>
      <c r="B227" s="161"/>
      <c r="C227" s="1024"/>
      <c r="D227" s="1024"/>
      <c r="E227" s="1024"/>
      <c r="F227" s="1024"/>
      <c r="G227" s="1024"/>
      <c r="H227" s="1024"/>
      <c r="I227" s="1024"/>
      <c r="J227" s="1059"/>
      <c r="K227" s="156"/>
      <c r="L227" s="1024"/>
      <c r="M227" s="1033"/>
      <c r="N227" s="1024"/>
      <c r="O227" s="1024"/>
      <c r="P227" s="1024"/>
      <c r="Q227" s="1024"/>
      <c r="R227" s="1020"/>
      <c r="S227" s="1020"/>
      <c r="T227" s="1036"/>
      <c r="U227" s="1036"/>
      <c r="V227" s="1020"/>
      <c r="W227" s="1020"/>
      <c r="X227" s="1020"/>
      <c r="Y227" s="1020"/>
      <c r="Z227" s="1020"/>
      <c r="AA227" s="1020"/>
      <c r="AB227" s="1020"/>
      <c r="AC227" s="1020"/>
      <c r="AD227" s="1020"/>
      <c r="AE227" s="1020"/>
      <c r="AF227" s="1020"/>
      <c r="AG227" s="1020"/>
      <c r="AH227" s="1020"/>
      <c r="AI227" s="1020"/>
      <c r="AJ227" s="1020"/>
      <c r="AK227" s="1020"/>
      <c r="AL227" s="1020"/>
      <c r="AM227" s="1020"/>
      <c r="AN227" s="1020"/>
      <c r="AO227" s="1020"/>
      <c r="AP227" s="1020"/>
      <c r="AQ227" s="1020"/>
      <c r="AR227" s="1020"/>
      <c r="AS227" s="1020"/>
      <c r="AT227" s="1020"/>
      <c r="AU227" s="1020"/>
      <c r="AV227" s="1020"/>
      <c r="AW227" s="1020"/>
      <c r="AX227" s="1020"/>
    </row>
    <row r="228" spans="1:50" ht="12" customHeight="1">
      <c r="A228" s="1024"/>
      <c r="B228" s="161"/>
      <c r="C228" s="1024"/>
      <c r="D228" s="1024"/>
      <c r="E228" s="1024"/>
      <c r="F228" s="1024"/>
      <c r="G228" s="1024"/>
      <c r="H228" s="1024"/>
      <c r="I228" s="1024"/>
      <c r="J228" s="1059"/>
      <c r="K228" s="156"/>
      <c r="L228" s="1024"/>
      <c r="M228" s="1033"/>
      <c r="N228" s="1024"/>
      <c r="O228" s="1024"/>
      <c r="P228" s="1024"/>
      <c r="Q228" s="1024"/>
      <c r="R228" s="1020"/>
      <c r="S228" s="1020"/>
      <c r="T228" s="1036"/>
      <c r="U228" s="1036"/>
      <c r="V228" s="1020"/>
      <c r="W228" s="1020"/>
      <c r="X228" s="1020"/>
      <c r="Y228" s="1020"/>
      <c r="Z228" s="1020"/>
      <c r="AA228" s="1020"/>
      <c r="AB228" s="1020"/>
      <c r="AC228" s="1020"/>
      <c r="AD228" s="1020"/>
      <c r="AE228" s="1020"/>
      <c r="AF228" s="1020"/>
      <c r="AG228" s="1020"/>
      <c r="AH228" s="1020"/>
      <c r="AI228" s="1020"/>
      <c r="AJ228" s="1020"/>
      <c r="AK228" s="1020"/>
      <c r="AL228" s="1020"/>
      <c r="AM228" s="1020"/>
      <c r="AN228" s="1020"/>
      <c r="AO228" s="1020"/>
      <c r="AP228" s="1020"/>
      <c r="AQ228" s="1020"/>
      <c r="AR228" s="1020"/>
      <c r="AS228" s="1020"/>
      <c r="AT228" s="1020"/>
      <c r="AU228" s="1020"/>
      <c r="AV228" s="1020"/>
      <c r="AW228" s="1020"/>
      <c r="AX228" s="1020"/>
    </row>
    <row r="229" spans="1:50" ht="12" customHeight="1">
      <c r="A229" s="1024"/>
      <c r="B229" s="161"/>
      <c r="C229" s="1024"/>
      <c r="D229" s="1024"/>
      <c r="E229" s="1024"/>
      <c r="F229" s="1024"/>
      <c r="G229" s="1024"/>
      <c r="H229" s="1024"/>
      <c r="I229" s="1024"/>
      <c r="J229" s="1059"/>
      <c r="K229" s="156"/>
      <c r="L229" s="1024"/>
      <c r="M229" s="1033"/>
      <c r="N229" s="1024"/>
      <c r="O229" s="1024"/>
      <c r="P229" s="1024"/>
      <c r="Q229" s="1024"/>
      <c r="R229" s="1020"/>
      <c r="S229" s="1020"/>
      <c r="T229" s="1036"/>
      <c r="U229" s="1036"/>
      <c r="V229" s="1020"/>
      <c r="W229" s="1020"/>
      <c r="X229" s="1020"/>
      <c r="Y229" s="1020"/>
      <c r="Z229" s="1020"/>
      <c r="AA229" s="1020"/>
      <c r="AB229" s="1020"/>
      <c r="AC229" s="1020"/>
      <c r="AD229" s="1020"/>
      <c r="AE229" s="1020"/>
      <c r="AF229" s="1020"/>
      <c r="AG229" s="1020"/>
      <c r="AH229" s="1020"/>
      <c r="AI229" s="1020"/>
      <c r="AJ229" s="1020"/>
      <c r="AK229" s="1020"/>
      <c r="AL229" s="1020"/>
      <c r="AM229" s="1020"/>
      <c r="AN229" s="1020"/>
      <c r="AO229" s="1020"/>
      <c r="AP229" s="1020"/>
      <c r="AQ229" s="1020"/>
      <c r="AR229" s="1020"/>
      <c r="AS229" s="1020"/>
      <c r="AT229" s="1020"/>
      <c r="AU229" s="1020"/>
      <c r="AV229" s="1020"/>
      <c r="AW229" s="1020"/>
      <c r="AX229" s="1020"/>
    </row>
    <row r="230" spans="1:50" ht="12" customHeight="1">
      <c r="A230" s="1024"/>
      <c r="B230" s="161"/>
      <c r="C230" s="1024"/>
      <c r="D230" s="1024"/>
      <c r="E230" s="1024"/>
      <c r="F230" s="1024"/>
      <c r="G230" s="1024"/>
      <c r="H230" s="1024"/>
      <c r="I230" s="1024"/>
      <c r="J230" s="1059"/>
      <c r="K230" s="156"/>
      <c r="L230" s="1024"/>
      <c r="M230" s="1033"/>
      <c r="N230" s="1024"/>
      <c r="O230" s="1024"/>
      <c r="P230" s="1024"/>
      <c r="Q230" s="1024"/>
      <c r="R230" s="1020"/>
      <c r="S230" s="1020"/>
      <c r="T230" s="1036"/>
      <c r="U230" s="1036"/>
      <c r="V230" s="1020"/>
      <c r="W230" s="1020"/>
      <c r="X230" s="1020"/>
      <c r="Y230" s="1020"/>
      <c r="Z230" s="1020"/>
      <c r="AA230" s="1020"/>
      <c r="AB230" s="1020"/>
      <c r="AC230" s="1020"/>
      <c r="AD230" s="1020"/>
      <c r="AE230" s="1020"/>
      <c r="AF230" s="1020"/>
      <c r="AG230" s="1020"/>
      <c r="AH230" s="1020"/>
      <c r="AI230" s="1020"/>
      <c r="AJ230" s="1020"/>
      <c r="AK230" s="1020"/>
      <c r="AL230" s="1020"/>
      <c r="AM230" s="1020"/>
      <c r="AN230" s="1020"/>
      <c r="AO230" s="1020"/>
      <c r="AP230" s="1020"/>
      <c r="AQ230" s="1020"/>
      <c r="AR230" s="1020"/>
      <c r="AS230" s="1020"/>
      <c r="AT230" s="1020"/>
      <c r="AU230" s="1020"/>
      <c r="AV230" s="1020"/>
      <c r="AW230" s="1020"/>
      <c r="AX230" s="1020"/>
    </row>
    <row r="231" spans="1:50" ht="12" customHeight="1">
      <c r="A231" s="88"/>
      <c r="B231" s="161"/>
      <c r="C231" s="1024"/>
      <c r="D231" s="1024"/>
      <c r="E231" s="1024"/>
      <c r="F231" s="1024"/>
      <c r="G231" s="1024"/>
      <c r="H231" s="1024"/>
      <c r="I231" s="1024"/>
      <c r="J231" s="1059"/>
      <c r="K231" s="156"/>
      <c r="L231" s="1024"/>
      <c r="M231" s="1033"/>
      <c r="N231" s="1024"/>
      <c r="O231" s="1024"/>
      <c r="P231" s="1024"/>
      <c r="Q231" s="1024"/>
      <c r="R231" s="1020"/>
      <c r="S231" s="1020"/>
      <c r="T231" s="1036"/>
      <c r="U231" s="1036"/>
      <c r="V231" s="1020"/>
      <c r="W231" s="1020"/>
      <c r="X231" s="1020"/>
      <c r="Y231" s="1020"/>
      <c r="Z231" s="1020"/>
      <c r="AA231" s="1020"/>
      <c r="AB231" s="1020"/>
      <c r="AC231" s="1020"/>
      <c r="AD231" s="1020"/>
      <c r="AE231" s="1020"/>
      <c r="AF231" s="1020"/>
      <c r="AG231" s="1020"/>
      <c r="AH231" s="1020"/>
      <c r="AI231" s="1020"/>
      <c r="AJ231" s="1020"/>
      <c r="AK231" s="1020"/>
      <c r="AL231" s="1020"/>
      <c r="AM231" s="1020"/>
      <c r="AN231" s="1020"/>
      <c r="AO231" s="1020"/>
      <c r="AP231" s="1020"/>
      <c r="AQ231" s="1020"/>
      <c r="AR231" s="1020"/>
      <c r="AS231" s="1020"/>
      <c r="AT231" s="1020"/>
      <c r="AU231" s="1020"/>
      <c r="AV231" s="1020"/>
      <c r="AW231" s="1020"/>
      <c r="AX231" s="1020"/>
    </row>
    <row r="232" spans="1:50" ht="12" customHeight="1">
      <c r="A232" s="88"/>
      <c r="B232" s="161"/>
      <c r="C232" s="1024"/>
      <c r="D232" s="1024"/>
      <c r="E232" s="1024"/>
      <c r="F232" s="1024"/>
      <c r="G232" s="1024"/>
      <c r="H232" s="1024"/>
      <c r="I232" s="1024"/>
      <c r="J232" s="1059"/>
      <c r="K232" s="156"/>
      <c r="L232" s="1024"/>
      <c r="M232" s="1033"/>
      <c r="N232" s="1024"/>
      <c r="O232" s="1024"/>
      <c r="P232" s="1024"/>
      <c r="Q232" s="1024"/>
      <c r="R232" s="1020"/>
      <c r="S232" s="1020"/>
      <c r="T232" s="1036"/>
      <c r="U232" s="1036"/>
      <c r="V232" s="1020"/>
      <c r="W232" s="1020"/>
      <c r="X232" s="1020"/>
      <c r="Y232" s="1020"/>
      <c r="Z232" s="1020"/>
      <c r="AA232" s="1020"/>
      <c r="AB232" s="1020"/>
      <c r="AC232" s="1020"/>
      <c r="AD232" s="1020"/>
      <c r="AE232" s="1020"/>
      <c r="AF232" s="1020"/>
      <c r="AG232" s="1020"/>
      <c r="AH232" s="1020"/>
      <c r="AI232" s="1020"/>
      <c r="AJ232" s="1020"/>
      <c r="AK232" s="1020"/>
      <c r="AL232" s="1020"/>
      <c r="AM232" s="1020"/>
      <c r="AN232" s="1020"/>
      <c r="AO232" s="1020"/>
      <c r="AP232" s="1020"/>
      <c r="AQ232" s="1020"/>
      <c r="AR232" s="1020"/>
      <c r="AS232" s="1020"/>
      <c r="AT232" s="1020"/>
      <c r="AU232" s="1020"/>
      <c r="AV232" s="1020"/>
      <c r="AW232" s="1020"/>
      <c r="AX232" s="1020"/>
    </row>
    <row r="233" spans="1:50" ht="12" customHeight="1">
      <c r="A233" s="88"/>
      <c r="B233" s="161"/>
      <c r="C233" s="1024"/>
      <c r="D233" s="1024"/>
      <c r="E233" s="1024"/>
      <c r="F233" s="1024"/>
      <c r="G233" s="1024"/>
      <c r="H233" s="1024"/>
      <c r="I233" s="1024"/>
      <c r="J233" s="1059"/>
      <c r="K233" s="156"/>
      <c r="L233" s="1024"/>
      <c r="M233" s="1033"/>
      <c r="N233" s="1024"/>
      <c r="O233" s="1024"/>
      <c r="P233" s="1024"/>
      <c r="Q233" s="1024"/>
      <c r="R233" s="1020"/>
      <c r="S233" s="1020"/>
      <c r="T233" s="1036"/>
      <c r="U233" s="1036"/>
      <c r="V233" s="1020"/>
      <c r="W233" s="1020"/>
      <c r="X233" s="1020"/>
      <c r="Y233" s="1020"/>
      <c r="Z233" s="1020"/>
      <c r="AA233" s="1020"/>
      <c r="AB233" s="1020"/>
      <c r="AC233" s="1020"/>
      <c r="AD233" s="1020"/>
      <c r="AE233" s="1020"/>
      <c r="AF233" s="1020"/>
      <c r="AG233" s="1020"/>
      <c r="AH233" s="1020"/>
      <c r="AI233" s="1020"/>
      <c r="AJ233" s="1020"/>
      <c r="AK233" s="1020"/>
      <c r="AL233" s="1020"/>
      <c r="AM233" s="1020"/>
      <c r="AN233" s="1020"/>
      <c r="AO233" s="1020"/>
      <c r="AP233" s="1020"/>
      <c r="AQ233" s="1020"/>
      <c r="AR233" s="1020"/>
      <c r="AS233" s="1020"/>
      <c r="AT233" s="1020"/>
      <c r="AU233" s="1020"/>
      <c r="AV233" s="1020"/>
      <c r="AW233" s="1020"/>
      <c r="AX233" s="1020"/>
    </row>
    <row r="234" spans="1:50" ht="12" customHeight="1">
      <c r="A234" s="88"/>
      <c r="B234" s="161"/>
      <c r="C234" s="1024"/>
      <c r="D234" s="1024"/>
      <c r="E234" s="1024"/>
      <c r="F234" s="1024"/>
      <c r="G234" s="1024"/>
      <c r="H234" s="1024"/>
      <c r="I234" s="1024"/>
      <c r="J234" s="1059"/>
      <c r="K234" s="156"/>
      <c r="L234" s="1024"/>
      <c r="M234" s="1033"/>
      <c r="N234" s="1024"/>
      <c r="O234" s="1024"/>
      <c r="P234" s="1024"/>
      <c r="Q234" s="1024"/>
      <c r="R234" s="1020"/>
      <c r="S234" s="1020"/>
      <c r="T234" s="1036"/>
      <c r="U234" s="1036"/>
      <c r="V234" s="1020"/>
      <c r="W234" s="1020"/>
      <c r="X234" s="1020"/>
      <c r="Y234" s="1020"/>
      <c r="Z234" s="1020"/>
      <c r="AA234" s="1020"/>
      <c r="AB234" s="1020"/>
      <c r="AC234" s="1020"/>
      <c r="AD234" s="1020"/>
      <c r="AE234" s="1020"/>
      <c r="AF234" s="1020"/>
      <c r="AG234" s="1020"/>
      <c r="AH234" s="1020"/>
      <c r="AI234" s="1020"/>
      <c r="AJ234" s="1020"/>
      <c r="AK234" s="1020"/>
      <c r="AL234" s="1020"/>
      <c r="AM234" s="1020"/>
      <c r="AN234" s="1020"/>
      <c r="AO234" s="1020"/>
      <c r="AP234" s="1020"/>
      <c r="AQ234" s="1020"/>
      <c r="AR234" s="1020"/>
      <c r="AS234" s="1020"/>
      <c r="AT234" s="1020"/>
      <c r="AU234" s="1020"/>
      <c r="AV234" s="1020"/>
      <c r="AW234" s="1020"/>
      <c r="AX234" s="1020"/>
    </row>
    <row r="235" spans="1:50" ht="12" customHeight="1">
      <c r="A235" s="88"/>
      <c r="B235" s="161"/>
      <c r="C235" s="1024"/>
      <c r="D235" s="1024"/>
      <c r="E235" s="1024"/>
      <c r="F235" s="1024"/>
      <c r="G235" s="1024"/>
      <c r="H235" s="1024"/>
      <c r="I235" s="1024"/>
      <c r="J235" s="1059"/>
      <c r="K235" s="156"/>
      <c r="L235" s="1024"/>
      <c r="M235" s="1033"/>
      <c r="N235" s="1024"/>
      <c r="O235" s="1024"/>
      <c r="P235" s="1024"/>
      <c r="Q235" s="1024"/>
      <c r="R235" s="1020"/>
      <c r="S235" s="1020"/>
      <c r="T235" s="1036"/>
      <c r="U235" s="1036"/>
      <c r="V235" s="1020"/>
      <c r="W235" s="1020"/>
      <c r="X235" s="1020"/>
      <c r="Y235" s="1020"/>
      <c r="Z235" s="1020"/>
      <c r="AA235" s="1020"/>
      <c r="AB235" s="1020"/>
      <c r="AC235" s="1020"/>
      <c r="AD235" s="1020"/>
      <c r="AE235" s="1020"/>
      <c r="AF235" s="1020"/>
      <c r="AG235" s="1020"/>
      <c r="AH235" s="1020"/>
      <c r="AI235" s="1020"/>
      <c r="AJ235" s="1020"/>
      <c r="AK235" s="1020"/>
      <c r="AL235" s="1020"/>
      <c r="AM235" s="1020"/>
      <c r="AN235" s="1020"/>
      <c r="AO235" s="1020"/>
      <c r="AP235" s="1020"/>
      <c r="AQ235" s="1020"/>
      <c r="AR235" s="1020"/>
      <c r="AS235" s="1020"/>
      <c r="AT235" s="1020"/>
      <c r="AU235" s="1020"/>
      <c r="AV235" s="1020"/>
      <c r="AW235" s="1020"/>
      <c r="AX235" s="1020"/>
    </row>
    <row r="236" spans="1:50" ht="12" customHeight="1">
      <c r="A236" s="88"/>
      <c r="B236" s="161"/>
      <c r="C236" s="1024"/>
      <c r="D236" s="1024"/>
      <c r="E236" s="1024"/>
      <c r="F236" s="1024"/>
      <c r="G236" s="1024"/>
      <c r="H236" s="1024"/>
      <c r="I236" s="1024"/>
      <c r="J236" s="1059"/>
      <c r="K236" s="156"/>
      <c r="L236" s="1024"/>
      <c r="M236" s="1033"/>
      <c r="N236" s="1024"/>
      <c r="O236" s="1024"/>
      <c r="P236" s="1024"/>
      <c r="Q236" s="1024"/>
      <c r="R236" s="1020"/>
      <c r="S236" s="1020"/>
      <c r="T236" s="1036"/>
      <c r="U236" s="1036"/>
      <c r="V236" s="1020"/>
      <c r="W236" s="1020"/>
      <c r="X236" s="1020"/>
      <c r="Y236" s="1020"/>
      <c r="Z236" s="1020"/>
      <c r="AA236" s="1020"/>
      <c r="AB236" s="1020"/>
      <c r="AC236" s="1020"/>
      <c r="AD236" s="1020"/>
      <c r="AE236" s="1020"/>
      <c r="AF236" s="1020"/>
      <c r="AG236" s="1020"/>
      <c r="AH236" s="1020"/>
      <c r="AI236" s="1020"/>
      <c r="AJ236" s="1020"/>
      <c r="AK236" s="1020"/>
      <c r="AL236" s="1020"/>
      <c r="AM236" s="1020"/>
      <c r="AN236" s="1020"/>
      <c r="AO236" s="1020"/>
      <c r="AP236" s="1020"/>
      <c r="AQ236" s="1020"/>
      <c r="AR236" s="1020"/>
      <c r="AS236" s="1020"/>
      <c r="AT236" s="1020"/>
      <c r="AU236" s="1020"/>
      <c r="AV236" s="1020"/>
      <c r="AW236" s="1020"/>
      <c r="AX236" s="1020"/>
    </row>
    <row r="237" spans="1:50" ht="12" customHeight="1">
      <c r="A237" s="88"/>
      <c r="B237" s="161"/>
      <c r="C237" s="1024"/>
      <c r="D237" s="1024"/>
      <c r="E237" s="1024"/>
      <c r="F237" s="1024"/>
      <c r="G237" s="1024"/>
      <c r="H237" s="1024"/>
      <c r="I237" s="1024"/>
      <c r="J237" s="1024"/>
      <c r="K237" s="156"/>
      <c r="L237" s="1024"/>
      <c r="M237" s="1033"/>
      <c r="N237" s="1024"/>
      <c r="O237" s="1024"/>
      <c r="P237" s="1024"/>
      <c r="Q237" s="1024"/>
      <c r="R237" s="1020"/>
      <c r="S237" s="1020"/>
      <c r="T237" s="1036"/>
      <c r="U237" s="1036"/>
      <c r="V237" s="1020"/>
      <c r="W237" s="1020"/>
      <c r="X237" s="1020"/>
      <c r="Y237" s="1020"/>
      <c r="Z237" s="1020"/>
      <c r="AA237" s="1020"/>
      <c r="AB237" s="1020"/>
      <c r="AC237" s="1020"/>
      <c r="AD237" s="1020"/>
      <c r="AE237" s="1020"/>
      <c r="AF237" s="1020"/>
      <c r="AG237" s="1020"/>
      <c r="AH237" s="1020"/>
      <c r="AI237" s="1020"/>
      <c r="AJ237" s="1020"/>
      <c r="AK237" s="1020"/>
      <c r="AL237" s="1020"/>
      <c r="AM237" s="1020"/>
      <c r="AN237" s="1020"/>
      <c r="AO237" s="1020"/>
      <c r="AP237" s="1020"/>
      <c r="AQ237" s="1020"/>
      <c r="AR237" s="1020"/>
      <c r="AS237" s="1020"/>
      <c r="AT237" s="1020"/>
      <c r="AU237" s="1020"/>
      <c r="AV237" s="1020"/>
      <c r="AW237" s="1020"/>
      <c r="AX237" s="1020"/>
    </row>
    <row r="238" spans="1:50" ht="12" customHeight="1">
      <c r="A238" s="86"/>
      <c r="B238" s="161"/>
      <c r="C238" s="1024"/>
      <c r="D238" s="1024"/>
      <c r="E238" s="1024"/>
      <c r="F238" s="1024"/>
      <c r="G238" s="1024"/>
      <c r="H238" s="1024"/>
      <c r="I238" s="1024"/>
      <c r="J238" s="1024"/>
      <c r="K238" s="156"/>
      <c r="L238" s="1024"/>
      <c r="M238" s="1033"/>
      <c r="N238" s="1024"/>
      <c r="O238" s="1024"/>
      <c r="P238" s="1024"/>
      <c r="Q238" s="1024"/>
      <c r="R238" s="1020"/>
      <c r="S238" s="1020"/>
      <c r="T238" s="1036"/>
      <c r="U238" s="1036"/>
      <c r="V238" s="1020"/>
      <c r="W238" s="1020"/>
      <c r="X238" s="1020"/>
      <c r="Y238" s="1020"/>
      <c r="Z238" s="1020"/>
      <c r="AA238" s="1020"/>
      <c r="AB238" s="1020"/>
      <c r="AC238" s="1020"/>
      <c r="AD238" s="1020"/>
      <c r="AE238" s="1020"/>
      <c r="AF238" s="1020"/>
      <c r="AG238" s="1020"/>
      <c r="AH238" s="1020"/>
      <c r="AI238" s="1020"/>
      <c r="AJ238" s="1020"/>
      <c r="AK238" s="1020"/>
      <c r="AL238" s="1020"/>
      <c r="AM238" s="1020"/>
      <c r="AN238" s="1020"/>
      <c r="AO238" s="1020"/>
      <c r="AP238" s="1020"/>
      <c r="AQ238" s="1020"/>
      <c r="AR238" s="1020"/>
      <c r="AS238" s="1020"/>
      <c r="AT238" s="1020"/>
      <c r="AU238" s="1020"/>
      <c r="AV238" s="1020"/>
      <c r="AW238" s="1020"/>
      <c r="AX238" s="1020"/>
    </row>
    <row r="239" spans="1:50" ht="12" customHeight="1">
      <c r="A239" s="254" t="e">
        <f>(F15-#REF!)*12%</f>
        <v>#REF!</v>
      </c>
      <c r="B239" s="161"/>
      <c r="C239" s="1024"/>
      <c r="D239" s="1024"/>
      <c r="E239" s="1024"/>
      <c r="F239" s="1024"/>
      <c r="G239" s="1024"/>
      <c r="H239" s="1024"/>
      <c r="I239" s="1024"/>
      <c r="J239" s="1024"/>
      <c r="K239" s="156"/>
      <c r="L239" s="1024"/>
      <c r="M239" s="1033"/>
      <c r="N239" s="1024"/>
      <c r="O239" s="1024"/>
      <c r="P239" s="1024"/>
      <c r="Q239" s="1024"/>
      <c r="R239" s="1020"/>
      <c r="S239" s="1020"/>
      <c r="T239" s="1036"/>
      <c r="U239" s="1036"/>
      <c r="V239" s="1020"/>
      <c r="W239" s="1020"/>
      <c r="X239" s="1020"/>
      <c r="Y239" s="1020"/>
      <c r="Z239" s="1020"/>
      <c r="AA239" s="1020"/>
      <c r="AB239" s="1020"/>
      <c r="AC239" s="1020"/>
      <c r="AD239" s="1020"/>
      <c r="AE239" s="1020"/>
      <c r="AF239" s="1020"/>
      <c r="AG239" s="1020"/>
      <c r="AH239" s="1020"/>
      <c r="AI239" s="1020"/>
      <c r="AJ239" s="1020"/>
      <c r="AK239" s="1020"/>
      <c r="AL239" s="1020"/>
      <c r="AM239" s="1020"/>
      <c r="AN239" s="1020"/>
      <c r="AO239" s="1020"/>
      <c r="AP239" s="1020"/>
      <c r="AQ239" s="1020"/>
      <c r="AR239" s="1020"/>
      <c r="AS239" s="1020"/>
      <c r="AT239" s="1020"/>
      <c r="AU239" s="1020"/>
      <c r="AV239" s="1020"/>
      <c r="AW239" s="1020"/>
      <c r="AX239" s="1020"/>
    </row>
    <row r="240" spans="1:50" ht="12" customHeight="1">
      <c r="A240" s="255"/>
      <c r="B240" s="161"/>
      <c r="C240" s="1024"/>
      <c r="D240" s="1024"/>
      <c r="E240" s="1024"/>
      <c r="F240" s="1024"/>
      <c r="G240" s="1024"/>
      <c r="H240" s="1024"/>
      <c r="I240" s="1024"/>
      <c r="J240" s="1024"/>
      <c r="K240" s="156"/>
      <c r="L240" s="1024"/>
      <c r="M240" s="1033"/>
      <c r="N240" s="1024"/>
      <c r="O240" s="1024"/>
      <c r="P240" s="1024"/>
      <c r="Q240" s="1024"/>
      <c r="R240" s="1020"/>
      <c r="S240" s="1020"/>
      <c r="T240" s="1036"/>
      <c r="U240" s="1036"/>
      <c r="V240" s="1020"/>
      <c r="W240" s="1020"/>
      <c r="X240" s="1020"/>
      <c r="Y240" s="1020"/>
      <c r="Z240" s="1020"/>
      <c r="AA240" s="1020"/>
      <c r="AB240" s="1020"/>
      <c r="AC240" s="1020"/>
      <c r="AD240" s="1020"/>
      <c r="AE240" s="1020"/>
      <c r="AF240" s="1020"/>
      <c r="AG240" s="1020"/>
      <c r="AH240" s="1020"/>
      <c r="AI240" s="1020"/>
      <c r="AJ240" s="1020"/>
      <c r="AK240" s="1020"/>
      <c r="AL240" s="1020"/>
      <c r="AM240" s="1020"/>
      <c r="AN240" s="1020"/>
      <c r="AO240" s="1020"/>
      <c r="AP240" s="1020"/>
      <c r="AQ240" s="1020"/>
      <c r="AR240" s="1020"/>
      <c r="AS240" s="1020"/>
      <c r="AT240" s="1020"/>
      <c r="AU240" s="1020"/>
      <c r="AV240" s="1020"/>
      <c r="AW240" s="1020"/>
      <c r="AX240" s="1020"/>
    </row>
    <row r="241" spans="1:50" ht="12" customHeight="1">
      <c r="A241" s="86"/>
      <c r="B241" s="161"/>
      <c r="C241" s="1024"/>
      <c r="D241" s="1024"/>
      <c r="E241" s="1024"/>
      <c r="F241" s="1024"/>
      <c r="G241" s="1024"/>
      <c r="H241" s="1024"/>
      <c r="I241" s="1024"/>
      <c r="J241" s="1024"/>
      <c r="K241" s="156"/>
      <c r="L241" s="1024"/>
      <c r="M241" s="1033"/>
      <c r="N241" s="1024"/>
      <c r="O241" s="1024"/>
      <c r="P241" s="1024"/>
      <c r="Q241" s="1024"/>
      <c r="R241" s="1020"/>
      <c r="S241" s="1020"/>
      <c r="T241" s="1036"/>
      <c r="U241" s="1036"/>
      <c r="V241" s="1020"/>
      <c r="W241" s="1020"/>
      <c r="X241" s="1020"/>
      <c r="Y241" s="1020"/>
      <c r="Z241" s="1020"/>
      <c r="AA241" s="1020"/>
      <c r="AB241" s="1020"/>
      <c r="AC241" s="1020"/>
      <c r="AD241" s="1020"/>
      <c r="AE241" s="1020"/>
      <c r="AF241" s="1020"/>
      <c r="AG241" s="1020"/>
      <c r="AH241" s="1020"/>
      <c r="AI241" s="1020"/>
      <c r="AJ241" s="1020"/>
      <c r="AK241" s="1020"/>
      <c r="AL241" s="1020"/>
      <c r="AM241" s="1020"/>
      <c r="AN241" s="1020"/>
      <c r="AO241" s="1020"/>
      <c r="AP241" s="1020"/>
      <c r="AQ241" s="1020"/>
      <c r="AR241" s="1020"/>
      <c r="AS241" s="1020"/>
      <c r="AT241" s="1020"/>
      <c r="AU241" s="1020"/>
      <c r="AV241" s="1020"/>
      <c r="AW241" s="1020"/>
      <c r="AX241" s="1020"/>
    </row>
    <row r="242" spans="1:50" ht="17.25" customHeight="1">
      <c r="A242" s="1020"/>
      <c r="B242" s="161"/>
      <c r="C242" s="1024"/>
      <c r="D242" s="1024"/>
      <c r="E242" s="1024"/>
      <c r="F242" s="1024"/>
      <c r="G242" s="1024"/>
      <c r="H242" s="1024"/>
      <c r="I242" s="1024"/>
      <c r="J242" s="1024"/>
      <c r="K242" s="156"/>
      <c r="L242" s="1024"/>
      <c r="M242" s="1033"/>
      <c r="N242" s="1024"/>
      <c r="O242" s="1024"/>
      <c r="P242" s="1024"/>
      <c r="Q242" s="1024"/>
      <c r="R242" s="1020"/>
      <c r="S242" s="1020"/>
      <c r="T242" s="1036"/>
      <c r="U242" s="1036"/>
      <c r="V242" s="1020"/>
      <c r="W242" s="1020"/>
      <c r="X242" s="1020"/>
      <c r="Y242" s="1020"/>
      <c r="Z242" s="1020"/>
      <c r="AA242" s="1020"/>
      <c r="AB242" s="1020"/>
      <c r="AC242" s="1020"/>
      <c r="AD242" s="1020"/>
      <c r="AE242" s="1020"/>
      <c r="AF242" s="1020"/>
      <c r="AG242" s="1020"/>
      <c r="AH242" s="1020"/>
      <c r="AI242" s="1020"/>
      <c r="AJ242" s="1020"/>
      <c r="AK242" s="1020"/>
      <c r="AL242" s="1020"/>
      <c r="AM242" s="1020"/>
      <c r="AN242" s="1020"/>
      <c r="AO242" s="1020"/>
      <c r="AP242" s="1020"/>
      <c r="AQ242" s="1020"/>
      <c r="AR242" s="1020"/>
      <c r="AS242" s="1020"/>
      <c r="AT242" s="1020"/>
      <c r="AU242" s="1020"/>
      <c r="AV242" s="1020"/>
      <c r="AW242" s="1020"/>
      <c r="AX242" s="1020"/>
    </row>
    <row r="243" spans="1:50" ht="15.75" customHeight="1">
      <c r="A243" s="1020"/>
      <c r="B243" s="161"/>
      <c r="C243" s="1024"/>
      <c r="D243" s="1024"/>
      <c r="E243" s="1024"/>
      <c r="F243" s="1024"/>
      <c r="G243" s="1024"/>
      <c r="H243" s="1024"/>
      <c r="I243" s="1024"/>
      <c r="J243" s="1024"/>
      <c r="K243" s="156"/>
      <c r="L243" s="1024"/>
      <c r="M243" s="1033"/>
      <c r="N243" s="1024"/>
      <c r="O243" s="1024"/>
      <c r="P243" s="1024"/>
      <c r="Q243" s="1024"/>
      <c r="R243" s="1020"/>
      <c r="S243" s="1020"/>
      <c r="T243" s="1036"/>
      <c r="U243" s="1036"/>
      <c r="V243" s="1020"/>
      <c r="W243" s="1020"/>
      <c r="X243" s="1020"/>
      <c r="Y243" s="1020"/>
      <c r="Z243" s="1020"/>
      <c r="AA243" s="1020"/>
      <c r="AB243" s="1020"/>
      <c r="AC243" s="1020"/>
      <c r="AD243" s="1020"/>
      <c r="AE243" s="1020"/>
      <c r="AF243" s="1020"/>
      <c r="AG243" s="1020"/>
      <c r="AH243" s="1020"/>
      <c r="AI243" s="1020"/>
      <c r="AJ243" s="1020"/>
      <c r="AK243" s="1020"/>
      <c r="AL243" s="1020"/>
      <c r="AM243" s="1020"/>
      <c r="AN243" s="1020"/>
      <c r="AO243" s="1020"/>
      <c r="AP243" s="1020"/>
      <c r="AQ243" s="1020"/>
      <c r="AR243" s="1020"/>
      <c r="AS243" s="1020"/>
      <c r="AT243" s="1020"/>
      <c r="AU243" s="1020"/>
      <c r="AV243" s="1020"/>
      <c r="AW243" s="1020"/>
      <c r="AX243" s="1020"/>
    </row>
    <row r="244" spans="1:50" ht="12.75" customHeight="1">
      <c r="A244" s="1020"/>
      <c r="B244" s="161"/>
      <c r="C244" s="1024"/>
      <c r="D244" s="1024"/>
      <c r="E244" s="1024"/>
      <c r="F244" s="1024"/>
      <c r="G244" s="1024"/>
      <c r="H244" s="1024"/>
      <c r="I244" s="1024"/>
      <c r="J244" s="1024"/>
      <c r="K244" s="156"/>
      <c r="L244" s="1024"/>
      <c r="M244" s="1033"/>
      <c r="N244" s="1024"/>
      <c r="O244" s="1024"/>
      <c r="P244" s="1024"/>
      <c r="Q244" s="1024"/>
      <c r="R244" s="1020"/>
      <c r="S244" s="1020"/>
      <c r="T244" s="1036"/>
      <c r="U244" s="1036"/>
      <c r="V244" s="1020"/>
      <c r="W244" s="1020"/>
      <c r="X244" s="1020"/>
      <c r="Y244" s="1020"/>
      <c r="Z244" s="1020"/>
      <c r="AA244" s="1020"/>
      <c r="AB244" s="1020"/>
      <c r="AC244" s="1020"/>
      <c r="AD244" s="1020"/>
      <c r="AE244" s="1020"/>
      <c r="AF244" s="1020"/>
      <c r="AG244" s="1020"/>
      <c r="AH244" s="1020"/>
      <c r="AI244" s="1020"/>
      <c r="AJ244" s="1020"/>
      <c r="AK244" s="1020"/>
      <c r="AL244" s="1020"/>
      <c r="AM244" s="1020"/>
      <c r="AN244" s="1020"/>
      <c r="AO244" s="1020"/>
      <c r="AP244" s="1020"/>
      <c r="AQ244" s="1020"/>
      <c r="AR244" s="1020"/>
      <c r="AS244" s="1020"/>
      <c r="AT244" s="1020"/>
      <c r="AU244" s="1020"/>
      <c r="AV244" s="1020"/>
      <c r="AW244" s="1020"/>
      <c r="AX244" s="1020"/>
    </row>
    <row r="245" spans="1:50" ht="12.75" customHeight="1">
      <c r="A245" s="1020"/>
      <c r="B245" s="88"/>
      <c r="C245" s="88"/>
      <c r="D245" s="92"/>
      <c r="E245" s="1024"/>
      <c r="F245" s="1024"/>
      <c r="G245" s="1024"/>
      <c r="H245" s="1024"/>
      <c r="I245" s="1024"/>
      <c r="J245" s="1020"/>
      <c r="K245" s="156"/>
      <c r="L245" s="1024"/>
      <c r="M245" s="1033"/>
      <c r="N245" s="1024"/>
      <c r="O245" s="1024"/>
      <c r="P245" s="1024"/>
      <c r="Q245" s="1024"/>
      <c r="R245" s="1020"/>
      <c r="S245" s="1020"/>
      <c r="T245" s="1036"/>
      <c r="U245" s="1036"/>
      <c r="V245" s="1020"/>
      <c r="W245" s="1020"/>
      <c r="X245" s="1020"/>
      <c r="Y245" s="1020"/>
      <c r="Z245" s="1020"/>
      <c r="AA245" s="1020"/>
      <c r="AB245" s="1020"/>
      <c r="AC245" s="1020"/>
      <c r="AD245" s="1020"/>
      <c r="AE245" s="1020"/>
      <c r="AF245" s="1020"/>
      <c r="AG245" s="1020"/>
      <c r="AH245" s="1020"/>
      <c r="AI245" s="1020"/>
      <c r="AJ245" s="1020"/>
      <c r="AK245" s="1020"/>
      <c r="AL245" s="1020"/>
      <c r="AM245" s="1020"/>
      <c r="AN245" s="1020"/>
      <c r="AO245" s="1020"/>
      <c r="AP245" s="1020"/>
      <c r="AQ245" s="1020"/>
      <c r="AR245" s="1020"/>
      <c r="AS245" s="1020"/>
      <c r="AT245" s="1020"/>
      <c r="AU245" s="1020"/>
      <c r="AV245" s="1020"/>
      <c r="AW245" s="1020"/>
      <c r="AX245" s="1020"/>
    </row>
    <row r="246" spans="1:50" ht="12.75" customHeight="1">
      <c r="A246" s="1020"/>
      <c r="B246" s="88"/>
      <c r="C246" s="88"/>
      <c r="D246" s="92"/>
      <c r="E246" s="1024"/>
      <c r="F246" s="1024"/>
      <c r="G246" s="1024"/>
      <c r="H246" s="1024"/>
      <c r="I246" s="1024"/>
      <c r="J246" s="1020"/>
      <c r="K246" s="156"/>
      <c r="L246" s="1024"/>
      <c r="M246" s="1033"/>
      <c r="N246" s="1024"/>
      <c r="O246" s="1024"/>
      <c r="P246" s="1024"/>
      <c r="Q246" s="1024"/>
      <c r="R246" s="1020"/>
      <c r="S246" s="1020"/>
      <c r="T246" s="1036"/>
      <c r="U246" s="1036"/>
      <c r="V246" s="1020"/>
      <c r="W246" s="1020"/>
      <c r="X246" s="1020"/>
      <c r="Y246" s="1020"/>
      <c r="Z246" s="1020"/>
      <c r="AA246" s="1020"/>
      <c r="AB246" s="1020"/>
      <c r="AC246" s="1020"/>
      <c r="AD246" s="1020"/>
      <c r="AE246" s="1020"/>
      <c r="AF246" s="1020"/>
      <c r="AG246" s="1020"/>
      <c r="AH246" s="1020"/>
      <c r="AI246" s="1020"/>
      <c r="AJ246" s="1020"/>
      <c r="AK246" s="1020"/>
      <c r="AL246" s="1020"/>
      <c r="AM246" s="1020"/>
      <c r="AN246" s="1020"/>
      <c r="AO246" s="1020"/>
      <c r="AP246" s="1020"/>
      <c r="AQ246" s="1020"/>
      <c r="AR246" s="1020"/>
      <c r="AS246" s="1020"/>
      <c r="AT246" s="1020"/>
      <c r="AU246" s="1020"/>
      <c r="AV246" s="1020"/>
      <c r="AW246" s="1020"/>
      <c r="AX246" s="1020"/>
    </row>
    <row r="247" spans="1:50" ht="12.75" customHeight="1">
      <c r="A247" s="1020"/>
      <c r="B247" s="88"/>
      <c r="C247" s="88"/>
      <c r="D247" s="92"/>
      <c r="E247" s="1024"/>
      <c r="F247" s="1024"/>
      <c r="G247" s="1024"/>
      <c r="H247" s="1024"/>
      <c r="I247" s="1024"/>
      <c r="J247" s="186"/>
      <c r="K247" s="156"/>
      <c r="L247" s="1024"/>
      <c r="M247" s="1033"/>
      <c r="N247" s="1024"/>
      <c r="O247" s="1024"/>
      <c r="P247" s="1024"/>
      <c r="Q247" s="1024"/>
      <c r="R247" s="1020"/>
      <c r="S247" s="1020"/>
      <c r="T247" s="1036"/>
      <c r="U247" s="1036"/>
      <c r="V247" s="1020"/>
      <c r="W247" s="1020"/>
      <c r="X247" s="1020"/>
      <c r="Y247" s="1020"/>
      <c r="Z247" s="1020"/>
      <c r="AA247" s="1020"/>
      <c r="AB247" s="1020"/>
      <c r="AC247" s="1020"/>
      <c r="AD247" s="1020"/>
      <c r="AE247" s="1020"/>
      <c r="AF247" s="1020"/>
      <c r="AG247" s="1020"/>
      <c r="AH247" s="1020"/>
      <c r="AI247" s="1020"/>
      <c r="AJ247" s="1020"/>
      <c r="AK247" s="1020"/>
      <c r="AL247" s="1020"/>
      <c r="AM247" s="1020"/>
      <c r="AN247" s="1020"/>
      <c r="AO247" s="1020"/>
      <c r="AP247" s="1020"/>
      <c r="AQ247" s="1020"/>
      <c r="AR247" s="1020"/>
      <c r="AS247" s="1020"/>
      <c r="AT247" s="1020"/>
      <c r="AU247" s="1020"/>
      <c r="AV247" s="1020"/>
      <c r="AW247" s="1020"/>
      <c r="AX247" s="1020"/>
    </row>
    <row r="248" spans="1:50" ht="12.75" customHeight="1">
      <c r="A248" s="1020"/>
      <c r="B248" s="88"/>
      <c r="C248" s="88"/>
      <c r="D248" s="92"/>
      <c r="E248" s="1024"/>
      <c r="F248" s="1024"/>
      <c r="G248" s="1024"/>
      <c r="H248" s="1024"/>
      <c r="I248" s="1024"/>
      <c r="J248" s="182"/>
      <c r="K248" s="156"/>
      <c r="L248" s="1024"/>
      <c r="M248" s="1033"/>
      <c r="N248" s="1024"/>
      <c r="O248" s="1024"/>
      <c r="P248" s="1024"/>
      <c r="Q248" s="1024"/>
      <c r="R248" s="1020"/>
      <c r="S248" s="1020"/>
      <c r="T248" s="1036"/>
      <c r="U248" s="1036"/>
      <c r="V248" s="1020"/>
      <c r="W248" s="1020"/>
      <c r="X248" s="1020"/>
      <c r="Y248" s="1020"/>
      <c r="Z248" s="1020"/>
      <c r="AA248" s="1020"/>
      <c r="AB248" s="1020"/>
      <c r="AC248" s="1020"/>
      <c r="AD248" s="1020"/>
      <c r="AE248" s="1020"/>
      <c r="AF248" s="1020"/>
      <c r="AG248" s="1020"/>
      <c r="AH248" s="1020"/>
      <c r="AI248" s="1020"/>
      <c r="AJ248" s="1020"/>
      <c r="AK248" s="1020"/>
      <c r="AL248" s="1020"/>
      <c r="AM248" s="1020"/>
      <c r="AN248" s="1020"/>
      <c r="AO248" s="1020"/>
      <c r="AP248" s="1020"/>
      <c r="AQ248" s="1020"/>
      <c r="AR248" s="1020"/>
      <c r="AS248" s="1020"/>
      <c r="AT248" s="1020"/>
      <c r="AU248" s="1020"/>
      <c r="AV248" s="1020"/>
      <c r="AW248" s="1020"/>
      <c r="AX248" s="1020"/>
    </row>
    <row r="249" spans="1:50" ht="12.75" customHeight="1">
      <c r="A249" s="1020"/>
      <c r="B249" s="88"/>
      <c r="C249" s="88"/>
      <c r="D249" s="88"/>
      <c r="E249" s="1024"/>
      <c r="F249" s="1027"/>
      <c r="G249" s="1027"/>
      <c r="H249" s="1027"/>
      <c r="I249" s="1027"/>
      <c r="J249" s="170"/>
      <c r="K249" s="156"/>
      <c r="L249" s="1024"/>
      <c r="M249" s="1033"/>
      <c r="N249" s="1024"/>
      <c r="O249" s="1024"/>
      <c r="P249" s="1024"/>
      <c r="Q249" s="1024"/>
      <c r="R249" s="1020"/>
      <c r="S249" s="1020"/>
      <c r="T249" s="1036"/>
      <c r="U249" s="1036"/>
      <c r="V249" s="1020"/>
      <c r="W249" s="1020"/>
      <c r="X249" s="1020"/>
      <c r="Y249" s="1020"/>
      <c r="Z249" s="1020"/>
      <c r="AA249" s="1020"/>
      <c r="AB249" s="1020"/>
      <c r="AC249" s="1020"/>
      <c r="AD249" s="1020"/>
      <c r="AE249" s="1020"/>
      <c r="AF249" s="1020"/>
      <c r="AG249" s="1020"/>
      <c r="AH249" s="1020"/>
      <c r="AI249" s="1020"/>
      <c r="AJ249" s="1020"/>
      <c r="AK249" s="1020"/>
      <c r="AL249" s="1020"/>
      <c r="AM249" s="1020"/>
      <c r="AN249" s="1020"/>
      <c r="AO249" s="1020"/>
      <c r="AP249" s="1020"/>
      <c r="AQ249" s="1020"/>
      <c r="AR249" s="1020"/>
      <c r="AS249" s="1020"/>
      <c r="AT249" s="1020"/>
      <c r="AU249" s="1020"/>
      <c r="AV249" s="1020"/>
      <c r="AW249" s="1020"/>
      <c r="AX249" s="1020"/>
    </row>
    <row r="250" spans="1:50" ht="12.75" customHeight="1">
      <c r="A250" s="1020"/>
      <c r="B250" s="88"/>
      <c r="C250" s="88"/>
      <c r="D250" s="88"/>
      <c r="E250" s="1024"/>
      <c r="F250" s="1024"/>
      <c r="G250" s="1024"/>
      <c r="H250" s="1024"/>
      <c r="I250" s="1024"/>
      <c r="J250" s="182"/>
      <c r="K250" s="156"/>
      <c r="L250" s="1024"/>
      <c r="M250" s="1033"/>
      <c r="N250" s="1024"/>
      <c r="O250" s="1024"/>
      <c r="P250" s="1024"/>
      <c r="Q250" s="1024"/>
      <c r="R250" s="1020"/>
      <c r="S250" s="1020"/>
      <c r="T250" s="1036"/>
      <c r="U250" s="1036"/>
      <c r="V250" s="1020"/>
      <c r="W250" s="1020"/>
      <c r="X250" s="1020"/>
      <c r="Y250" s="1020"/>
      <c r="Z250" s="1020"/>
      <c r="AA250" s="1020"/>
      <c r="AB250" s="1020"/>
      <c r="AC250" s="1020"/>
      <c r="AD250" s="1020"/>
      <c r="AE250" s="1020"/>
      <c r="AF250" s="1020"/>
      <c r="AG250" s="1020"/>
      <c r="AH250" s="1020"/>
      <c r="AI250" s="1020"/>
      <c r="AJ250" s="1020"/>
      <c r="AK250" s="1020"/>
      <c r="AL250" s="1020"/>
      <c r="AM250" s="1020"/>
      <c r="AN250" s="1020"/>
      <c r="AO250" s="1020"/>
      <c r="AP250" s="1020"/>
      <c r="AQ250" s="1020"/>
      <c r="AR250" s="1020"/>
      <c r="AS250" s="1020"/>
      <c r="AT250" s="1020"/>
      <c r="AU250" s="1020"/>
      <c r="AV250" s="1020"/>
      <c r="AW250" s="1020"/>
      <c r="AX250" s="1020"/>
    </row>
    <row r="251" spans="1:50" ht="12.75" customHeight="1">
      <c r="A251" s="1020"/>
      <c r="B251" s="88"/>
      <c r="C251" s="88"/>
      <c r="D251" s="180"/>
      <c r="E251" s="181"/>
      <c r="F251" s="181"/>
      <c r="G251" s="181"/>
      <c r="H251" s="181"/>
      <c r="I251" s="182"/>
      <c r="J251" s="185"/>
      <c r="K251" s="156"/>
      <c r="L251" s="1024"/>
      <c r="M251" s="1033"/>
      <c r="N251" s="1024"/>
      <c r="O251" s="1024"/>
      <c r="P251" s="1024"/>
      <c r="Q251" s="1024"/>
      <c r="R251" s="1020"/>
      <c r="S251" s="1020"/>
      <c r="T251" s="1036"/>
      <c r="U251" s="1036"/>
      <c r="V251" s="1020"/>
      <c r="W251" s="1020"/>
      <c r="X251" s="1020"/>
      <c r="Y251" s="1020"/>
      <c r="Z251" s="1020"/>
      <c r="AA251" s="1020"/>
      <c r="AB251" s="1020"/>
      <c r="AC251" s="1020"/>
      <c r="AD251" s="1020"/>
      <c r="AE251" s="1020"/>
      <c r="AF251" s="1020"/>
      <c r="AG251" s="1020"/>
      <c r="AH251" s="1020"/>
      <c r="AI251" s="1020"/>
      <c r="AJ251" s="1020"/>
      <c r="AK251" s="1020"/>
      <c r="AL251" s="1020"/>
      <c r="AM251" s="1020"/>
      <c r="AN251" s="1020"/>
      <c r="AO251" s="1020"/>
      <c r="AP251" s="1020"/>
      <c r="AQ251" s="1020"/>
      <c r="AR251" s="1020"/>
      <c r="AS251" s="1020"/>
      <c r="AT251" s="1020"/>
      <c r="AU251" s="1020"/>
      <c r="AV251" s="1020"/>
      <c r="AW251" s="1020"/>
      <c r="AX251" s="1020"/>
    </row>
    <row r="252" spans="1:50" ht="12.75" customHeight="1">
      <c r="A252" s="1020"/>
      <c r="B252" s="88"/>
      <c r="C252" s="88"/>
      <c r="D252" s="180"/>
      <c r="E252" s="181"/>
      <c r="F252" s="181"/>
      <c r="G252" s="181"/>
      <c r="H252" s="181"/>
      <c r="I252" s="170"/>
      <c r="J252" s="1020"/>
      <c r="K252" s="156"/>
      <c r="L252" s="1024"/>
      <c r="M252" s="1033"/>
      <c r="N252" s="1024"/>
      <c r="O252" s="1024"/>
      <c r="P252" s="1024"/>
      <c r="Q252" s="1024"/>
      <c r="R252" s="1020"/>
      <c r="S252" s="1020"/>
      <c r="T252" s="1036"/>
      <c r="U252" s="1036"/>
      <c r="V252" s="1020"/>
      <c r="W252" s="1020"/>
      <c r="X252" s="1020"/>
      <c r="Y252" s="1020"/>
      <c r="Z252" s="1020"/>
      <c r="AA252" s="1020"/>
      <c r="AB252" s="1020"/>
      <c r="AC252" s="1020"/>
      <c r="AD252" s="1020"/>
      <c r="AE252" s="1020"/>
      <c r="AF252" s="1020"/>
      <c r="AG252" s="1020"/>
      <c r="AH252" s="1020"/>
      <c r="AI252" s="1020"/>
      <c r="AJ252" s="1020"/>
      <c r="AK252" s="1020"/>
      <c r="AL252" s="1020"/>
      <c r="AM252" s="1020"/>
      <c r="AN252" s="1020"/>
      <c r="AO252" s="1020"/>
      <c r="AP252" s="1020"/>
      <c r="AQ252" s="1020"/>
      <c r="AR252" s="1020"/>
      <c r="AS252" s="1020"/>
      <c r="AT252" s="1020"/>
      <c r="AU252" s="1020"/>
      <c r="AV252" s="1020"/>
      <c r="AW252" s="1020"/>
      <c r="AX252" s="1020"/>
    </row>
    <row r="253" spans="1:50" ht="12.75" customHeight="1">
      <c r="A253" s="1020"/>
      <c r="B253" s="254"/>
      <c r="C253" s="86"/>
      <c r="D253" s="183"/>
      <c r="E253" s="1070"/>
      <c r="F253" s="184"/>
      <c r="G253" s="184"/>
      <c r="H253" s="184"/>
      <c r="I253" s="182"/>
      <c r="J253" s="1020"/>
      <c r="K253" s="156"/>
      <c r="L253" s="1024"/>
      <c r="M253" s="1033"/>
      <c r="N253" s="1024"/>
      <c r="O253" s="1024"/>
      <c r="P253" s="1024"/>
      <c r="Q253" s="1024"/>
      <c r="R253" s="1020"/>
      <c r="S253" s="1020"/>
      <c r="T253" s="1036"/>
      <c r="U253" s="1036"/>
      <c r="V253" s="1020"/>
      <c r="W253" s="1020"/>
      <c r="X253" s="1020"/>
      <c r="Y253" s="1020"/>
      <c r="Z253" s="1020"/>
      <c r="AA253" s="1020"/>
      <c r="AB253" s="1020"/>
      <c r="AC253" s="1020"/>
      <c r="AD253" s="1020"/>
      <c r="AE253" s="1020"/>
      <c r="AF253" s="1020"/>
      <c r="AG253" s="1020"/>
      <c r="AH253" s="1020"/>
      <c r="AI253" s="1020"/>
      <c r="AJ253" s="1020"/>
      <c r="AK253" s="1020"/>
      <c r="AL253" s="1020"/>
      <c r="AM253" s="1020"/>
      <c r="AN253" s="1020"/>
      <c r="AO253" s="1020"/>
      <c r="AP253" s="1020"/>
      <c r="AQ253" s="1020"/>
      <c r="AR253" s="1020"/>
      <c r="AS253" s="1020"/>
      <c r="AT253" s="1020"/>
      <c r="AU253" s="1020"/>
      <c r="AV253" s="1020"/>
      <c r="AW253" s="1020"/>
      <c r="AX253" s="1020"/>
    </row>
    <row r="254" spans="1:50" ht="12.75" customHeight="1">
      <c r="A254" s="1020"/>
      <c r="B254" s="86"/>
      <c r="C254" s="86"/>
      <c r="D254" s="183"/>
      <c r="E254" s="1020"/>
      <c r="F254" s="184"/>
      <c r="G254" s="184"/>
      <c r="H254" s="184"/>
      <c r="I254" s="185"/>
      <c r="J254" s="1020"/>
      <c r="K254" s="156"/>
      <c r="L254" s="1024"/>
      <c r="M254" s="1033"/>
      <c r="N254" s="1024"/>
      <c r="O254" s="1024"/>
      <c r="P254" s="1024"/>
      <c r="Q254" s="1024"/>
      <c r="R254" s="1020"/>
      <c r="S254" s="1020"/>
      <c r="T254" s="1036"/>
      <c r="U254" s="1036"/>
      <c r="V254" s="1020"/>
      <c r="W254" s="1020"/>
      <c r="X254" s="1020"/>
      <c r="Y254" s="1020"/>
      <c r="Z254" s="1020"/>
      <c r="AA254" s="1020"/>
      <c r="AB254" s="1020"/>
      <c r="AC254" s="1020"/>
      <c r="AD254" s="1020"/>
      <c r="AE254" s="1020"/>
      <c r="AF254" s="1020"/>
      <c r="AG254" s="1020"/>
      <c r="AH254" s="1020"/>
      <c r="AI254" s="1020"/>
      <c r="AJ254" s="1020"/>
      <c r="AK254" s="1020"/>
      <c r="AL254" s="1020"/>
      <c r="AM254" s="1020"/>
      <c r="AN254" s="1020"/>
      <c r="AO254" s="1020"/>
      <c r="AP254" s="1020"/>
      <c r="AQ254" s="1020"/>
      <c r="AR254" s="1020"/>
      <c r="AS254" s="1020"/>
      <c r="AT254" s="1020"/>
      <c r="AU254" s="1020"/>
      <c r="AV254" s="1020"/>
      <c r="AW254" s="1020"/>
      <c r="AX254" s="1020"/>
    </row>
    <row r="255" spans="1:50" ht="12.75" customHeight="1">
      <c r="A255" s="1020"/>
      <c r="B255" s="86"/>
      <c r="C255" s="86"/>
      <c r="D255" s="183"/>
      <c r="E255" s="1070"/>
      <c r="F255" s="1070"/>
      <c r="G255" s="1070"/>
      <c r="H255" s="1070"/>
      <c r="I255" s="1020"/>
      <c r="J255" s="1020"/>
      <c r="K255" s="156"/>
      <c r="L255" s="1024"/>
      <c r="M255" s="1033"/>
      <c r="N255" s="1024"/>
      <c r="O255" s="1024"/>
      <c r="P255" s="1024"/>
      <c r="Q255" s="1024"/>
      <c r="R255" s="1020"/>
      <c r="S255" s="1020"/>
      <c r="T255" s="1036"/>
      <c r="U255" s="1036"/>
      <c r="V255" s="1020"/>
      <c r="W255" s="1020"/>
      <c r="X255" s="1020"/>
      <c r="Y255" s="1020"/>
      <c r="Z255" s="1020"/>
      <c r="AA255" s="1020"/>
      <c r="AB255" s="1020"/>
      <c r="AC255" s="1020"/>
      <c r="AD255" s="1020"/>
      <c r="AE255" s="1020"/>
      <c r="AF255" s="1020"/>
      <c r="AG255" s="1020"/>
      <c r="AH255" s="1020"/>
      <c r="AI255" s="1020"/>
      <c r="AJ255" s="1020"/>
      <c r="AK255" s="1020"/>
      <c r="AL255" s="1020"/>
      <c r="AM255" s="1020"/>
      <c r="AN255" s="1020"/>
      <c r="AO255" s="1020"/>
      <c r="AP255" s="1020"/>
      <c r="AQ255" s="1020"/>
      <c r="AR255" s="1020"/>
      <c r="AS255" s="1020"/>
      <c r="AT255" s="1020"/>
      <c r="AU255" s="1020"/>
      <c r="AV255" s="1020"/>
      <c r="AW255" s="1020"/>
      <c r="AX255" s="1020"/>
    </row>
    <row r="256" spans="1:50" ht="12.75" customHeight="1">
      <c r="A256" s="1020"/>
      <c r="B256" s="1020"/>
      <c r="C256" s="1020"/>
      <c r="D256" s="1071"/>
      <c r="E256" s="1070"/>
      <c r="F256" s="1070"/>
      <c r="G256" s="1070"/>
      <c r="H256" s="1070"/>
      <c r="I256" s="1020"/>
      <c r="J256" s="1020"/>
      <c r="K256" s="156"/>
      <c r="L256" s="1024"/>
      <c r="M256" s="1033"/>
      <c r="N256" s="1024"/>
      <c r="O256" s="1024"/>
      <c r="P256" s="1024"/>
      <c r="Q256" s="1024"/>
      <c r="R256" s="1020"/>
      <c r="S256" s="1020"/>
      <c r="T256" s="1036"/>
      <c r="U256" s="1036"/>
      <c r="V256" s="1020"/>
      <c r="W256" s="1020"/>
      <c r="X256" s="1020"/>
      <c r="Y256" s="1020"/>
      <c r="Z256" s="1020"/>
      <c r="AA256" s="1020"/>
      <c r="AB256" s="1020"/>
      <c r="AC256" s="1020"/>
      <c r="AD256" s="1020"/>
      <c r="AE256" s="1020"/>
      <c r="AF256" s="1020"/>
      <c r="AG256" s="1020"/>
      <c r="AH256" s="1020"/>
      <c r="AI256" s="1020"/>
      <c r="AJ256" s="1020"/>
      <c r="AK256" s="1020"/>
      <c r="AL256" s="1020"/>
      <c r="AM256" s="1020"/>
      <c r="AN256" s="1020"/>
      <c r="AO256" s="1020"/>
      <c r="AP256" s="1020"/>
      <c r="AQ256" s="1020"/>
      <c r="AR256" s="1020"/>
      <c r="AS256" s="1020"/>
      <c r="AT256" s="1020"/>
      <c r="AU256" s="1020"/>
      <c r="AV256" s="1020"/>
      <c r="AW256" s="1020"/>
      <c r="AX256" s="1020"/>
    </row>
    <row r="257" spans="4:50" ht="12.75" customHeight="1">
      <c r="D257" s="1071"/>
      <c r="E257" s="1070"/>
      <c r="F257" s="1070"/>
      <c r="G257" s="1070"/>
      <c r="H257" s="1070"/>
      <c r="I257" s="1020"/>
      <c r="J257" s="1020"/>
      <c r="K257" s="156"/>
      <c r="L257" s="1024"/>
      <c r="M257" s="1033"/>
      <c r="N257" s="1024"/>
      <c r="O257" s="1024"/>
      <c r="P257" s="1024"/>
      <c r="Q257" s="1024"/>
      <c r="R257" s="1020"/>
      <c r="S257" s="1020"/>
      <c r="T257" s="1036"/>
      <c r="U257" s="1036"/>
      <c r="V257" s="1020"/>
      <c r="W257" s="1020"/>
      <c r="X257" s="1020"/>
      <c r="Y257" s="1020"/>
      <c r="Z257" s="1020"/>
      <c r="AA257" s="1020"/>
      <c r="AB257" s="1020"/>
      <c r="AC257" s="1020"/>
      <c r="AD257" s="1020"/>
      <c r="AE257" s="1020"/>
      <c r="AF257" s="1020"/>
      <c r="AG257" s="1020"/>
      <c r="AH257" s="1020"/>
      <c r="AI257" s="1020"/>
      <c r="AJ257" s="1020"/>
      <c r="AK257" s="1020"/>
      <c r="AL257" s="1020"/>
      <c r="AM257" s="1020"/>
      <c r="AN257" s="1020"/>
      <c r="AO257" s="1020"/>
      <c r="AP257" s="1020"/>
      <c r="AQ257" s="1020"/>
      <c r="AR257" s="1020"/>
      <c r="AS257" s="1020"/>
      <c r="AT257" s="1020"/>
      <c r="AU257" s="1020"/>
      <c r="AV257" s="1020"/>
      <c r="AW257" s="1020"/>
      <c r="AX257" s="1020"/>
    </row>
    <row r="258" spans="4:50" ht="12.75" customHeight="1">
      <c r="D258" s="1071"/>
      <c r="E258" s="1070"/>
      <c r="F258" s="1070"/>
      <c r="G258" s="1070"/>
      <c r="H258" s="1070"/>
      <c r="I258" s="1020"/>
      <c r="J258" s="1020"/>
      <c r="K258" s="156"/>
      <c r="L258" s="1024"/>
      <c r="M258" s="1033"/>
      <c r="N258" s="1024"/>
      <c r="O258" s="1024"/>
      <c r="P258" s="1024"/>
      <c r="Q258" s="1024"/>
      <c r="R258" s="1020"/>
      <c r="S258" s="1020"/>
      <c r="T258" s="1036"/>
      <c r="U258" s="1036"/>
      <c r="V258" s="1020"/>
      <c r="W258" s="1020"/>
      <c r="X258" s="1020"/>
      <c r="Y258" s="1020"/>
      <c r="Z258" s="1020"/>
      <c r="AA258" s="1020"/>
      <c r="AB258" s="1020"/>
      <c r="AC258" s="1020"/>
      <c r="AD258" s="1020"/>
      <c r="AE258" s="1020"/>
      <c r="AF258" s="1020"/>
      <c r="AG258" s="1020"/>
      <c r="AH258" s="1020"/>
      <c r="AI258" s="1020"/>
      <c r="AJ258" s="1020"/>
      <c r="AK258" s="1020"/>
      <c r="AL258" s="1020"/>
      <c r="AM258" s="1020"/>
      <c r="AN258" s="1020"/>
      <c r="AO258" s="1020"/>
      <c r="AP258" s="1020"/>
      <c r="AQ258" s="1020"/>
      <c r="AR258" s="1020"/>
      <c r="AS258" s="1020"/>
      <c r="AT258" s="1020"/>
      <c r="AU258" s="1020"/>
      <c r="AV258" s="1020"/>
      <c r="AW258" s="1020"/>
      <c r="AX258" s="1020"/>
    </row>
    <row r="259" spans="4:50" ht="12.75" customHeight="1">
      <c r="D259" s="1071"/>
      <c r="E259" s="1070"/>
      <c r="F259" s="1070"/>
      <c r="G259" s="1070"/>
      <c r="H259" s="1070"/>
      <c r="I259" s="1020"/>
      <c r="J259" s="1020"/>
      <c r="K259" s="156"/>
      <c r="L259" s="1024"/>
      <c r="M259" s="1033"/>
      <c r="N259" s="1024"/>
      <c r="O259" s="1024"/>
      <c r="P259" s="1024"/>
      <c r="Q259" s="1024"/>
      <c r="R259" s="1020"/>
      <c r="S259" s="1020"/>
      <c r="T259" s="1036"/>
      <c r="U259" s="1036"/>
      <c r="V259" s="1020"/>
      <c r="W259" s="1020"/>
      <c r="X259" s="1020"/>
      <c r="Y259" s="1020"/>
      <c r="Z259" s="1020"/>
      <c r="AA259" s="1020"/>
      <c r="AB259" s="1020"/>
      <c r="AC259" s="1020"/>
      <c r="AD259" s="1020"/>
      <c r="AE259" s="1020"/>
      <c r="AF259" s="1020"/>
      <c r="AG259" s="1020"/>
      <c r="AH259" s="1020"/>
      <c r="AI259" s="1020"/>
      <c r="AJ259" s="1020"/>
      <c r="AK259" s="1020"/>
      <c r="AL259" s="1020"/>
      <c r="AM259" s="1020"/>
      <c r="AN259" s="1020"/>
      <c r="AO259" s="1020"/>
      <c r="AP259" s="1020"/>
      <c r="AQ259" s="1020"/>
      <c r="AR259" s="1020"/>
      <c r="AS259" s="1020"/>
      <c r="AT259" s="1020"/>
      <c r="AU259" s="1020"/>
      <c r="AV259" s="1020"/>
      <c r="AW259" s="1020"/>
      <c r="AX259" s="1020"/>
    </row>
    <row r="260" spans="4:50" ht="12.75" customHeight="1">
      <c r="D260" s="1071"/>
      <c r="E260" s="1070"/>
      <c r="F260" s="1070"/>
      <c r="G260" s="1070"/>
      <c r="H260" s="1070"/>
      <c r="I260" s="1020"/>
      <c r="J260" s="1020"/>
      <c r="K260" s="156"/>
      <c r="L260" s="1024"/>
      <c r="M260" s="1033"/>
      <c r="N260" s="1024"/>
      <c r="O260" s="1024"/>
      <c r="P260" s="1024"/>
      <c r="Q260" s="1024"/>
      <c r="R260" s="1020"/>
      <c r="S260" s="1020"/>
      <c r="T260" s="1036"/>
      <c r="U260" s="1036"/>
      <c r="V260" s="1020"/>
      <c r="W260" s="1020"/>
      <c r="X260" s="1020"/>
      <c r="Y260" s="1020"/>
      <c r="Z260" s="1020"/>
      <c r="AA260" s="1020"/>
      <c r="AB260" s="1020"/>
      <c r="AC260" s="1020"/>
      <c r="AD260" s="1020"/>
      <c r="AE260" s="1020"/>
      <c r="AF260" s="1020"/>
      <c r="AG260" s="1020"/>
      <c r="AH260" s="1020"/>
      <c r="AI260" s="1020"/>
      <c r="AJ260" s="1020"/>
      <c r="AK260" s="1020"/>
      <c r="AL260" s="1020"/>
      <c r="AM260" s="1020"/>
      <c r="AN260" s="1020"/>
      <c r="AO260" s="1020"/>
      <c r="AP260" s="1020"/>
      <c r="AQ260" s="1020"/>
      <c r="AR260" s="1020"/>
      <c r="AS260" s="1020"/>
      <c r="AT260" s="1020"/>
      <c r="AU260" s="1020"/>
      <c r="AV260" s="1020"/>
      <c r="AW260" s="1020"/>
      <c r="AX260" s="1020"/>
    </row>
    <row r="261" spans="4:50" ht="12.75" customHeight="1">
      <c r="D261" s="1071"/>
      <c r="E261" s="1070"/>
      <c r="F261" s="1070"/>
      <c r="G261" s="1070"/>
      <c r="H261" s="1070"/>
      <c r="I261" s="1020"/>
      <c r="J261" s="1020"/>
      <c r="K261" s="156"/>
      <c r="L261" s="1024"/>
      <c r="M261" s="1033"/>
      <c r="N261" s="1024"/>
      <c r="O261" s="1024"/>
      <c r="P261" s="1024"/>
      <c r="Q261" s="1024"/>
      <c r="R261" s="1020"/>
      <c r="S261" s="1020"/>
      <c r="T261" s="1036"/>
      <c r="U261" s="1036"/>
      <c r="V261" s="1020"/>
      <c r="W261" s="1020"/>
      <c r="X261" s="1020"/>
      <c r="Y261" s="1020"/>
      <c r="Z261" s="1020"/>
      <c r="AA261" s="1020"/>
      <c r="AB261" s="1020"/>
      <c r="AC261" s="1020"/>
      <c r="AD261" s="1020"/>
      <c r="AE261" s="1020"/>
      <c r="AF261" s="1020"/>
      <c r="AG261" s="1020"/>
      <c r="AH261" s="1020"/>
      <c r="AI261" s="1020"/>
      <c r="AJ261" s="1020"/>
      <c r="AK261" s="1020"/>
      <c r="AL261" s="1020"/>
      <c r="AM261" s="1020"/>
      <c r="AN261" s="1020"/>
      <c r="AO261" s="1020"/>
      <c r="AP261" s="1020"/>
      <c r="AQ261" s="1020"/>
      <c r="AR261" s="1020"/>
      <c r="AS261" s="1020"/>
      <c r="AT261" s="1020"/>
      <c r="AU261" s="1020"/>
      <c r="AV261" s="1020"/>
      <c r="AW261" s="1020"/>
      <c r="AX261" s="1020"/>
    </row>
    <row r="262" spans="4:50" ht="12.75" customHeight="1">
      <c r="D262" s="1071"/>
      <c r="E262" s="1070"/>
      <c r="F262" s="1070"/>
      <c r="G262" s="1070"/>
      <c r="H262" s="1070"/>
      <c r="I262" s="1020"/>
      <c r="J262" s="1020"/>
      <c r="K262" s="1024"/>
      <c r="L262" s="1024"/>
      <c r="M262" s="1033"/>
      <c r="N262" s="1024"/>
      <c r="O262" s="1024"/>
      <c r="P262" s="1024"/>
      <c r="Q262" s="1024"/>
      <c r="R262" s="1020"/>
      <c r="S262" s="1020"/>
      <c r="T262" s="1036"/>
      <c r="U262" s="1036"/>
      <c r="V262" s="1020"/>
      <c r="W262" s="1020"/>
      <c r="X262" s="1020"/>
      <c r="Y262" s="1020"/>
      <c r="Z262" s="1020"/>
      <c r="AA262" s="1020"/>
      <c r="AB262" s="1020"/>
      <c r="AC262" s="1020"/>
      <c r="AD262" s="1020"/>
      <c r="AE262" s="1020"/>
      <c r="AF262" s="1020"/>
      <c r="AG262" s="1020"/>
      <c r="AH262" s="1020"/>
      <c r="AI262" s="1020"/>
      <c r="AJ262" s="1020"/>
      <c r="AK262" s="1020"/>
      <c r="AL262" s="1020"/>
      <c r="AM262" s="1020"/>
      <c r="AN262" s="1020"/>
      <c r="AO262" s="1020"/>
      <c r="AP262" s="1020"/>
      <c r="AQ262" s="1020"/>
      <c r="AR262" s="1020"/>
      <c r="AS262" s="1020"/>
      <c r="AT262" s="1020"/>
      <c r="AU262" s="1020"/>
      <c r="AV262" s="1020"/>
      <c r="AW262" s="1020"/>
      <c r="AX262" s="1020"/>
    </row>
    <row r="263" spans="4:50" ht="12.75" customHeight="1">
      <c r="D263" s="1071"/>
      <c r="E263" s="1070"/>
      <c r="F263" s="1070"/>
      <c r="G263" s="1070"/>
      <c r="H263" s="1070"/>
      <c r="I263" s="1020"/>
      <c r="J263" s="1020"/>
      <c r="K263" s="1024"/>
      <c r="L263" s="1024"/>
      <c r="M263" s="1027"/>
      <c r="N263" s="1024"/>
      <c r="O263" s="1024"/>
      <c r="P263" s="1024"/>
      <c r="Q263" s="1024"/>
      <c r="R263" s="1020"/>
      <c r="S263" s="1020"/>
      <c r="T263" s="1036"/>
      <c r="U263" s="1036"/>
      <c r="V263" s="1020"/>
      <c r="W263" s="1020"/>
      <c r="X263" s="1020"/>
      <c r="Y263" s="1020"/>
      <c r="Z263" s="1020"/>
      <c r="AA263" s="1020"/>
      <c r="AB263" s="1020"/>
      <c r="AC263" s="1020"/>
      <c r="AD263" s="1020"/>
      <c r="AE263" s="1020"/>
      <c r="AF263" s="1020"/>
      <c r="AG263" s="1020"/>
      <c r="AH263" s="1020"/>
      <c r="AI263" s="1020"/>
      <c r="AJ263" s="1020"/>
      <c r="AK263" s="1020"/>
      <c r="AL263" s="1020"/>
      <c r="AM263" s="1020"/>
      <c r="AN263" s="1020"/>
      <c r="AO263" s="1020"/>
      <c r="AP263" s="1020"/>
      <c r="AQ263" s="1020"/>
      <c r="AR263" s="1020"/>
      <c r="AS263" s="1020"/>
      <c r="AT263" s="1020"/>
      <c r="AU263" s="1020"/>
      <c r="AV263" s="1020"/>
      <c r="AW263" s="1020"/>
      <c r="AX263" s="1020"/>
    </row>
    <row r="264" spans="4:50" ht="12.75" customHeight="1">
      <c r="D264" s="1071"/>
      <c r="E264" s="1070"/>
      <c r="F264" s="1070"/>
      <c r="G264" s="1070"/>
      <c r="H264" s="1070"/>
      <c r="I264" s="1020"/>
      <c r="J264" s="1020"/>
      <c r="K264" s="1024"/>
      <c r="L264" s="1024"/>
      <c r="M264" s="1027"/>
      <c r="N264" s="1024"/>
      <c r="O264" s="1024"/>
      <c r="P264" s="1024"/>
      <c r="Q264" s="1024"/>
      <c r="R264" s="1020"/>
      <c r="S264" s="1020"/>
      <c r="T264" s="1036"/>
      <c r="U264" s="1036"/>
      <c r="V264" s="1020"/>
      <c r="W264" s="1020"/>
      <c r="X264" s="1020"/>
      <c r="Y264" s="1020"/>
      <c r="Z264" s="1020"/>
      <c r="AA264" s="1020"/>
      <c r="AB264" s="1020"/>
      <c r="AC264" s="1020"/>
      <c r="AD264" s="1020"/>
      <c r="AE264" s="1020"/>
      <c r="AF264" s="1020"/>
      <c r="AG264" s="1020"/>
      <c r="AH264" s="1020"/>
      <c r="AI264" s="1020"/>
      <c r="AJ264" s="1020"/>
      <c r="AK264" s="1020"/>
      <c r="AL264" s="1020"/>
      <c r="AM264" s="1020"/>
      <c r="AN264" s="1020"/>
      <c r="AO264" s="1020"/>
      <c r="AP264" s="1020"/>
      <c r="AQ264" s="1020"/>
      <c r="AR264" s="1020"/>
      <c r="AS264" s="1020"/>
      <c r="AT264" s="1020"/>
      <c r="AU264" s="1020"/>
      <c r="AV264" s="1020"/>
      <c r="AW264" s="1020"/>
      <c r="AX264" s="1020"/>
    </row>
    <row r="265" spans="4:50" ht="12.75" customHeight="1">
      <c r="D265" s="1071"/>
      <c r="E265" s="1070"/>
      <c r="F265" s="1070"/>
      <c r="G265" s="1070"/>
      <c r="H265" s="1070"/>
      <c r="I265" s="1020"/>
      <c r="J265" s="1020"/>
      <c r="K265" s="1024"/>
      <c r="L265" s="1024"/>
      <c r="M265" s="1027"/>
      <c r="N265" s="1024"/>
      <c r="O265" s="1024"/>
      <c r="P265" s="1024"/>
      <c r="Q265" s="1024"/>
      <c r="R265" s="1020"/>
      <c r="S265" s="1020"/>
      <c r="T265" s="1036"/>
      <c r="U265" s="1036"/>
      <c r="V265" s="1020"/>
      <c r="W265" s="1020"/>
      <c r="X265" s="1020"/>
      <c r="Y265" s="1020"/>
      <c r="Z265" s="1020"/>
      <c r="AA265" s="1020"/>
      <c r="AB265" s="1020"/>
      <c r="AC265" s="1020"/>
      <c r="AD265" s="1020"/>
      <c r="AE265" s="1020"/>
      <c r="AF265" s="1020"/>
      <c r="AG265" s="1020"/>
      <c r="AH265" s="1020"/>
      <c r="AI265" s="1020"/>
      <c r="AJ265" s="1020"/>
      <c r="AK265" s="1020"/>
      <c r="AL265" s="1020"/>
      <c r="AM265" s="1020"/>
      <c r="AN265" s="1020"/>
      <c r="AO265" s="1020"/>
      <c r="AP265" s="1020"/>
      <c r="AQ265" s="1020"/>
      <c r="AR265" s="1020"/>
      <c r="AS265" s="1020"/>
      <c r="AT265" s="1020"/>
      <c r="AU265" s="1020"/>
      <c r="AV265" s="1020"/>
      <c r="AW265" s="1020"/>
      <c r="AX265" s="1020"/>
    </row>
    <row r="266" spans="4:50" ht="12.75" customHeight="1">
      <c r="D266" s="1071"/>
      <c r="E266" s="1070"/>
      <c r="F266" s="1070"/>
      <c r="G266" s="1070"/>
      <c r="H266" s="1070"/>
      <c r="I266" s="1020"/>
      <c r="J266" s="1020"/>
      <c r="K266" s="1675"/>
      <c r="L266" s="1675"/>
      <c r="M266" s="1675"/>
      <c r="N266" s="1024"/>
      <c r="O266" s="1024"/>
      <c r="P266" s="1675"/>
      <c r="Q266" s="1675"/>
      <c r="R266" s="1020"/>
      <c r="S266" s="1020"/>
      <c r="T266" s="1036"/>
      <c r="U266" s="1036"/>
      <c r="V266" s="1020"/>
      <c r="W266" s="1020"/>
      <c r="X266" s="1020"/>
      <c r="Y266" s="1020"/>
      <c r="Z266" s="1020"/>
      <c r="AA266" s="1020"/>
      <c r="AB266" s="1020"/>
      <c r="AC266" s="1020"/>
      <c r="AD266" s="1020"/>
      <c r="AE266" s="1020"/>
      <c r="AF266" s="1020"/>
      <c r="AG266" s="1020"/>
      <c r="AH266" s="1020"/>
      <c r="AI266" s="1020"/>
      <c r="AJ266" s="1020"/>
      <c r="AK266" s="1020"/>
      <c r="AL266" s="1020"/>
      <c r="AM266" s="1020"/>
      <c r="AN266" s="1020"/>
      <c r="AO266" s="1020"/>
      <c r="AP266" s="1020"/>
      <c r="AQ266" s="1020"/>
      <c r="AR266" s="1020"/>
      <c r="AS266" s="1020"/>
      <c r="AT266" s="1020"/>
      <c r="AU266" s="1020"/>
      <c r="AV266" s="1020"/>
      <c r="AW266" s="1020"/>
      <c r="AX266" s="1020"/>
    </row>
    <row r="267" spans="4:50" ht="12.75" customHeight="1">
      <c r="D267" s="1071"/>
      <c r="E267" s="1070"/>
      <c r="F267" s="1070"/>
      <c r="G267" s="1070"/>
      <c r="H267" s="1070"/>
      <c r="I267" s="1020"/>
      <c r="J267" s="1020"/>
      <c r="K267" s="1024"/>
      <c r="L267" s="1671"/>
      <c r="M267" s="1671"/>
      <c r="N267" s="1024"/>
      <c r="O267" s="1024"/>
      <c r="P267" s="1024"/>
      <c r="Q267" s="1024"/>
      <c r="R267" s="1020"/>
      <c r="S267" s="1020"/>
      <c r="T267" s="1036"/>
      <c r="U267" s="1036"/>
      <c r="V267" s="1020"/>
      <c r="W267" s="1020"/>
      <c r="X267" s="1020"/>
      <c r="Y267" s="1020"/>
      <c r="Z267" s="1020"/>
      <c r="AA267" s="1020"/>
      <c r="AB267" s="1020"/>
      <c r="AC267" s="1020"/>
      <c r="AD267" s="1020"/>
      <c r="AE267" s="1020"/>
      <c r="AF267" s="1020"/>
      <c r="AG267" s="1020"/>
      <c r="AH267" s="1020"/>
      <c r="AI267" s="1020"/>
      <c r="AJ267" s="1020"/>
      <c r="AK267" s="1020"/>
      <c r="AL267" s="1020"/>
      <c r="AM267" s="1020"/>
      <c r="AN267" s="1020"/>
      <c r="AO267" s="1020"/>
      <c r="AP267" s="1020"/>
      <c r="AQ267" s="1020"/>
      <c r="AR267" s="1020"/>
      <c r="AS267" s="1020"/>
      <c r="AT267" s="1020"/>
      <c r="AU267" s="1020"/>
      <c r="AV267" s="1020"/>
      <c r="AW267" s="1020"/>
      <c r="AX267" s="1020"/>
    </row>
    <row r="268" spans="4:50" ht="12.75" customHeight="1">
      <c r="D268" s="1071"/>
      <c r="E268" s="1070"/>
      <c r="F268" s="1070"/>
      <c r="G268" s="1070"/>
      <c r="H268" s="1070"/>
      <c r="I268" s="1020"/>
      <c r="J268" s="1020"/>
      <c r="K268" s="182"/>
      <c r="L268" s="94"/>
      <c r="M268" s="1024"/>
      <c r="N268" s="1024"/>
      <c r="O268" s="1024"/>
      <c r="P268" s="1024"/>
      <c r="Q268" s="1024"/>
      <c r="R268" s="1020"/>
      <c r="S268" s="1020"/>
      <c r="T268" s="1036"/>
      <c r="U268" s="1036"/>
      <c r="V268" s="1020"/>
      <c r="W268" s="1020"/>
      <c r="X268" s="1020"/>
      <c r="Y268" s="1020"/>
      <c r="Z268" s="1020"/>
      <c r="AA268" s="1020"/>
      <c r="AB268" s="1020"/>
      <c r="AC268" s="1020"/>
      <c r="AD268" s="1020"/>
      <c r="AE268" s="1020"/>
      <c r="AF268" s="1020"/>
      <c r="AG268" s="1020"/>
      <c r="AH268" s="1020"/>
      <c r="AI268" s="1020"/>
      <c r="AJ268" s="1020"/>
      <c r="AK268" s="1020"/>
      <c r="AL268" s="1020"/>
      <c r="AM268" s="1020"/>
      <c r="AN268" s="1020"/>
      <c r="AO268" s="1020"/>
      <c r="AP268" s="1020"/>
      <c r="AQ268" s="1020"/>
      <c r="AR268" s="1020"/>
      <c r="AS268" s="1020"/>
      <c r="AT268" s="1020"/>
      <c r="AU268" s="1020"/>
      <c r="AV268" s="1020"/>
      <c r="AW268" s="1020"/>
      <c r="AX268" s="1020"/>
    </row>
    <row r="269" spans="4:50" ht="12.75" customHeight="1">
      <c r="D269" s="1071"/>
      <c r="E269" s="1070"/>
      <c r="F269" s="1070"/>
      <c r="G269" s="1070"/>
      <c r="H269" s="1070"/>
      <c r="I269" s="1020"/>
      <c r="J269" s="1020"/>
      <c r="K269" s="170"/>
      <c r="L269" s="94"/>
      <c r="M269" s="1024"/>
      <c r="N269" s="1024"/>
      <c r="O269" s="1024"/>
      <c r="P269" s="1024"/>
      <c r="Q269" s="1024"/>
      <c r="R269" s="1020"/>
      <c r="S269" s="1020"/>
      <c r="T269" s="1036"/>
      <c r="U269" s="1036"/>
      <c r="V269" s="1020"/>
      <c r="W269" s="1020"/>
      <c r="X269" s="1020"/>
      <c r="Y269" s="1020"/>
      <c r="Z269" s="1020"/>
      <c r="AA269" s="1020"/>
      <c r="AB269" s="1020"/>
      <c r="AC269" s="1020"/>
      <c r="AD269" s="1020"/>
      <c r="AE269" s="1020"/>
      <c r="AF269" s="1020"/>
      <c r="AG269" s="1020"/>
      <c r="AH269" s="1020"/>
      <c r="AI269" s="1020"/>
      <c r="AJ269" s="1020"/>
      <c r="AK269" s="1020"/>
      <c r="AL269" s="1020"/>
      <c r="AM269" s="1020"/>
      <c r="AN269" s="1020"/>
      <c r="AO269" s="1020"/>
      <c r="AP269" s="1020"/>
      <c r="AQ269" s="1020"/>
      <c r="AR269" s="1020"/>
      <c r="AS269" s="1020"/>
      <c r="AT269" s="1020"/>
      <c r="AU269" s="1020"/>
      <c r="AV269" s="1020"/>
      <c r="AW269" s="1020"/>
      <c r="AX269" s="1020"/>
    </row>
    <row r="270" spans="4:50" ht="12.75" customHeight="1">
      <c r="D270" s="1071"/>
      <c r="E270" s="1070"/>
      <c r="F270" s="1070"/>
      <c r="G270" s="1070"/>
      <c r="H270" s="1070"/>
      <c r="I270" s="1020"/>
      <c r="J270" s="1020"/>
      <c r="K270" s="182"/>
      <c r="L270" s="185"/>
      <c r="M270" s="1020"/>
      <c r="N270" s="1020"/>
      <c r="O270" s="1020"/>
      <c r="P270" s="1020"/>
      <c r="Q270" s="1020"/>
      <c r="R270" s="1020"/>
      <c r="S270" s="1020"/>
      <c r="T270" s="1036"/>
      <c r="U270" s="1036"/>
      <c r="V270" s="1020"/>
      <c r="W270" s="1020"/>
      <c r="X270" s="1020"/>
      <c r="Y270" s="1020"/>
      <c r="Z270" s="1020"/>
      <c r="AA270" s="1020"/>
      <c r="AB270" s="1020"/>
      <c r="AC270" s="1020"/>
      <c r="AD270" s="1020"/>
      <c r="AE270" s="1020"/>
      <c r="AF270" s="1020"/>
      <c r="AG270" s="1020"/>
      <c r="AH270" s="1020"/>
      <c r="AI270" s="1020"/>
      <c r="AJ270" s="1020"/>
      <c r="AK270" s="1020"/>
      <c r="AL270" s="1020"/>
      <c r="AM270" s="1020"/>
      <c r="AN270" s="1020"/>
      <c r="AO270" s="1020"/>
      <c r="AP270" s="1020"/>
      <c r="AQ270" s="1020"/>
      <c r="AR270" s="1020"/>
      <c r="AS270" s="1020"/>
      <c r="AT270" s="1020"/>
      <c r="AU270" s="1020"/>
      <c r="AV270" s="1020"/>
      <c r="AW270" s="1020"/>
      <c r="AX270" s="1020"/>
    </row>
    <row r="271" spans="4:50" ht="12.75" customHeight="1">
      <c r="D271" s="1071"/>
      <c r="E271" s="1070"/>
      <c r="F271" s="1070"/>
      <c r="G271" s="1070"/>
      <c r="H271" s="1070"/>
      <c r="I271" s="1020"/>
      <c r="J271" s="1020"/>
      <c r="K271" s="186"/>
      <c r="L271" s="185"/>
      <c r="M271" s="1020"/>
      <c r="N271" s="1020"/>
      <c r="O271" s="1020"/>
      <c r="P271" s="1020"/>
      <c r="Q271" s="1020"/>
      <c r="R271" s="1020"/>
      <c r="S271" s="1020"/>
      <c r="T271" s="1036"/>
      <c r="U271" s="1036"/>
      <c r="V271" s="1020"/>
      <c r="W271" s="1020"/>
      <c r="X271" s="1020"/>
      <c r="Y271" s="1020"/>
      <c r="Z271" s="1020"/>
      <c r="AA271" s="1020"/>
      <c r="AB271" s="1020"/>
      <c r="AC271" s="1020"/>
      <c r="AD271" s="1020"/>
      <c r="AE271" s="1020"/>
      <c r="AF271" s="1020"/>
      <c r="AG271" s="1020"/>
      <c r="AH271" s="1020"/>
      <c r="AI271" s="1020"/>
      <c r="AJ271" s="1020"/>
      <c r="AK271" s="1020"/>
      <c r="AL271" s="1020"/>
      <c r="AM271" s="1020"/>
      <c r="AN271" s="1020"/>
      <c r="AO271" s="1020"/>
      <c r="AP271" s="1020"/>
      <c r="AQ271" s="1020"/>
      <c r="AR271" s="1020"/>
      <c r="AS271" s="1020"/>
      <c r="AT271" s="1020"/>
      <c r="AU271" s="1020"/>
      <c r="AV271" s="1020"/>
      <c r="AW271" s="1020"/>
      <c r="AX271" s="1020"/>
    </row>
    <row r="272" spans="4:50" ht="12.75" customHeight="1">
      <c r="D272" s="1071"/>
      <c r="E272" s="1070"/>
      <c r="F272" s="1070"/>
      <c r="G272" s="1070"/>
      <c r="H272" s="1070"/>
      <c r="I272" s="1020"/>
      <c r="J272" s="1020"/>
      <c r="K272" s="1066"/>
      <c r="L272" s="1020"/>
      <c r="M272" s="1020"/>
      <c r="N272" s="1020"/>
      <c r="O272" s="1020"/>
      <c r="P272" s="1020"/>
      <c r="Q272" s="1020"/>
      <c r="R272" s="1020"/>
      <c r="S272" s="1020"/>
      <c r="T272" s="1036"/>
      <c r="U272" s="1036"/>
      <c r="V272" s="1020"/>
      <c r="W272" s="1020"/>
      <c r="X272" s="1020"/>
      <c r="Y272" s="1020"/>
      <c r="Z272" s="1020"/>
      <c r="AA272" s="1020"/>
      <c r="AB272" s="1020"/>
      <c r="AC272" s="1020"/>
      <c r="AD272" s="1020"/>
      <c r="AE272" s="1020"/>
      <c r="AF272" s="1020"/>
      <c r="AG272" s="1020"/>
      <c r="AH272" s="1020"/>
      <c r="AI272" s="1020"/>
      <c r="AJ272" s="1020"/>
      <c r="AK272" s="1020"/>
      <c r="AL272" s="1020"/>
      <c r="AM272" s="1020"/>
      <c r="AN272" s="1020"/>
      <c r="AO272" s="1020"/>
      <c r="AP272" s="1020"/>
      <c r="AQ272" s="1020"/>
      <c r="AR272" s="1020"/>
      <c r="AS272" s="1020"/>
      <c r="AT272" s="1020"/>
      <c r="AU272" s="1020"/>
      <c r="AV272" s="1020"/>
      <c r="AW272" s="1020"/>
      <c r="AX272" s="1020"/>
    </row>
    <row r="273" spans="4:50" ht="12.75" customHeight="1">
      <c r="D273" s="1071"/>
      <c r="E273" s="1070"/>
      <c r="F273" s="1070"/>
      <c r="G273" s="1070"/>
      <c r="H273" s="1070"/>
      <c r="I273" s="1020"/>
      <c r="J273" s="1020"/>
      <c r="K273" s="1066"/>
      <c r="L273" s="1020"/>
      <c r="M273" s="1020"/>
      <c r="N273" s="1020"/>
      <c r="O273" s="1020"/>
      <c r="P273" s="1020"/>
      <c r="Q273" s="1020"/>
      <c r="R273" s="1020"/>
      <c r="S273" s="1020"/>
      <c r="T273" s="1036"/>
      <c r="U273" s="1036"/>
      <c r="V273" s="1020"/>
      <c r="W273" s="1020"/>
      <c r="X273" s="1020"/>
      <c r="Y273" s="1020"/>
      <c r="Z273" s="1020"/>
      <c r="AA273" s="1020"/>
      <c r="AB273" s="1020"/>
      <c r="AC273" s="1020"/>
      <c r="AD273" s="1020"/>
      <c r="AE273" s="1020"/>
      <c r="AF273" s="1020"/>
      <c r="AG273" s="1020"/>
      <c r="AH273" s="1020"/>
      <c r="AI273" s="1020"/>
      <c r="AJ273" s="1020"/>
      <c r="AK273" s="1020"/>
      <c r="AL273" s="1020"/>
      <c r="AM273" s="1020"/>
      <c r="AN273" s="1020"/>
      <c r="AO273" s="1020"/>
      <c r="AP273" s="1020"/>
      <c r="AQ273" s="1020"/>
      <c r="AR273" s="1020"/>
      <c r="AS273" s="1020"/>
      <c r="AT273" s="1020"/>
      <c r="AU273" s="1020"/>
      <c r="AV273" s="1020"/>
      <c r="AW273" s="1020"/>
      <c r="AX273" s="1020"/>
    </row>
    <row r="274" spans="4:50" ht="12.75" customHeight="1">
      <c r="D274" s="1071"/>
      <c r="E274" s="1070"/>
      <c r="F274" s="1070"/>
      <c r="G274" s="1070"/>
      <c r="H274" s="1070"/>
      <c r="I274" s="1020"/>
      <c r="J274" s="1020"/>
      <c r="K274" s="1066"/>
      <c r="L274" s="1020"/>
      <c r="M274" s="1020"/>
      <c r="N274" s="1020"/>
      <c r="O274" s="1020"/>
      <c r="P274" s="1020"/>
      <c r="Q274" s="1020"/>
      <c r="R274" s="1020"/>
      <c r="S274" s="1020"/>
      <c r="T274" s="1036"/>
      <c r="U274" s="1036"/>
      <c r="V274" s="1020"/>
      <c r="W274" s="1020"/>
      <c r="X274" s="1020"/>
      <c r="Y274" s="1020"/>
      <c r="Z274" s="1020"/>
      <c r="AA274" s="1020"/>
      <c r="AB274" s="1020"/>
      <c r="AC274" s="1020"/>
      <c r="AD274" s="1020"/>
      <c r="AE274" s="1020"/>
      <c r="AF274" s="1020"/>
      <c r="AG274" s="1020"/>
      <c r="AH274" s="1020"/>
      <c r="AI274" s="1020"/>
      <c r="AJ274" s="1020"/>
      <c r="AK274" s="1020"/>
      <c r="AL274" s="1020"/>
      <c r="AM274" s="1020"/>
      <c r="AN274" s="1020"/>
      <c r="AO274" s="1020"/>
      <c r="AP274" s="1020"/>
      <c r="AQ274" s="1020"/>
      <c r="AR274" s="1020"/>
      <c r="AS274" s="1020"/>
      <c r="AT274" s="1020"/>
      <c r="AU274" s="1020"/>
      <c r="AV274" s="1020"/>
      <c r="AW274" s="1020"/>
      <c r="AX274" s="1020"/>
    </row>
    <row r="275" spans="4:50" ht="12.75" customHeight="1">
      <c r="D275" s="1071"/>
      <c r="E275" s="1070"/>
      <c r="F275" s="1070"/>
      <c r="G275" s="1070"/>
      <c r="H275" s="1070"/>
      <c r="I275" s="1020"/>
      <c r="J275" s="1020"/>
      <c r="K275" s="1066"/>
      <c r="L275" s="1020"/>
      <c r="M275" s="1020"/>
      <c r="N275" s="1020"/>
      <c r="O275" s="1020"/>
      <c r="P275" s="1020"/>
      <c r="Q275" s="1020"/>
      <c r="R275" s="1020"/>
      <c r="S275" s="1020"/>
      <c r="T275" s="1036"/>
      <c r="U275" s="1036"/>
      <c r="V275" s="1020"/>
      <c r="W275" s="1020"/>
      <c r="X275" s="1020"/>
      <c r="Y275" s="1020"/>
      <c r="Z275" s="1020"/>
      <c r="AA275" s="1020"/>
      <c r="AB275" s="1020"/>
      <c r="AC275" s="1020"/>
      <c r="AD275" s="1020"/>
      <c r="AE275" s="1020"/>
      <c r="AF275" s="1020"/>
      <c r="AG275" s="1020"/>
      <c r="AH275" s="1020"/>
      <c r="AI275" s="1020"/>
      <c r="AJ275" s="1020"/>
      <c r="AK275" s="1020"/>
      <c r="AL275" s="1020"/>
      <c r="AM275" s="1020"/>
      <c r="AN275" s="1020"/>
      <c r="AO275" s="1020"/>
      <c r="AP275" s="1020"/>
      <c r="AQ275" s="1020"/>
      <c r="AR275" s="1020"/>
      <c r="AS275" s="1020"/>
      <c r="AT275" s="1020"/>
      <c r="AU275" s="1020"/>
      <c r="AV275" s="1020"/>
      <c r="AW275" s="1020"/>
      <c r="AX275" s="1020"/>
    </row>
    <row r="276" spans="4:50" ht="12.75" customHeight="1">
      <c r="D276" s="1071"/>
      <c r="E276" s="1070"/>
      <c r="F276" s="1070"/>
      <c r="G276" s="1070"/>
      <c r="H276" s="1070"/>
      <c r="I276" s="1020"/>
      <c r="J276" s="1020"/>
      <c r="K276" s="1066"/>
      <c r="L276" s="1020"/>
      <c r="M276" s="1020"/>
      <c r="N276" s="1020"/>
      <c r="O276" s="1020"/>
      <c r="P276" s="1020"/>
      <c r="Q276" s="1020"/>
      <c r="R276" s="1020"/>
      <c r="S276" s="1020"/>
      <c r="T276" s="1036"/>
      <c r="U276" s="1036"/>
      <c r="V276" s="1020"/>
      <c r="W276" s="1020"/>
      <c r="X276" s="1020"/>
      <c r="Y276" s="1020"/>
      <c r="Z276" s="1020"/>
      <c r="AA276" s="1020"/>
      <c r="AB276" s="1020"/>
      <c r="AC276" s="1020"/>
      <c r="AD276" s="1020"/>
      <c r="AE276" s="1020"/>
      <c r="AF276" s="1020"/>
      <c r="AG276" s="1020"/>
      <c r="AH276" s="1020"/>
      <c r="AI276" s="1020"/>
      <c r="AJ276" s="1020"/>
      <c r="AK276" s="1020"/>
      <c r="AL276" s="1020"/>
      <c r="AM276" s="1020"/>
      <c r="AN276" s="1020"/>
      <c r="AO276" s="1020"/>
      <c r="AP276" s="1020"/>
      <c r="AQ276" s="1020"/>
      <c r="AR276" s="1020"/>
      <c r="AS276" s="1020"/>
      <c r="AT276" s="1020"/>
      <c r="AU276" s="1020"/>
      <c r="AV276" s="1020"/>
      <c r="AW276" s="1020"/>
      <c r="AX276" s="1020"/>
    </row>
    <row r="277" spans="4:50" ht="12.75" customHeight="1">
      <c r="D277" s="1071"/>
      <c r="E277" s="1070"/>
      <c r="F277" s="1070"/>
      <c r="G277" s="1070"/>
      <c r="H277" s="1070"/>
      <c r="I277" s="1020"/>
      <c r="J277" s="1020"/>
      <c r="K277" s="1066"/>
      <c r="L277" s="1020"/>
      <c r="M277" s="1020"/>
      <c r="N277" s="1020"/>
      <c r="O277" s="1020"/>
      <c r="P277" s="1020"/>
      <c r="Q277" s="1020"/>
      <c r="R277" s="1020"/>
      <c r="S277" s="1020"/>
      <c r="T277" s="1036"/>
      <c r="U277" s="1036"/>
      <c r="V277" s="1020"/>
      <c r="W277" s="1020"/>
      <c r="X277" s="1020"/>
      <c r="Y277" s="1020"/>
      <c r="Z277" s="1020"/>
      <c r="AA277" s="1020"/>
      <c r="AB277" s="1020"/>
      <c r="AC277" s="1020"/>
      <c r="AD277" s="1020"/>
      <c r="AE277" s="1020"/>
      <c r="AF277" s="1020"/>
      <c r="AG277" s="1020"/>
      <c r="AH277" s="1020"/>
      <c r="AI277" s="1020"/>
      <c r="AJ277" s="1020"/>
      <c r="AK277" s="1020"/>
      <c r="AL277" s="1020"/>
      <c r="AM277" s="1020"/>
      <c r="AN277" s="1020"/>
      <c r="AO277" s="1020"/>
      <c r="AP277" s="1020"/>
      <c r="AQ277" s="1020"/>
      <c r="AR277" s="1020"/>
      <c r="AS277" s="1020"/>
      <c r="AT277" s="1020"/>
      <c r="AU277" s="1020"/>
      <c r="AV277" s="1020"/>
      <c r="AW277" s="1020"/>
      <c r="AX277" s="1020"/>
    </row>
    <row r="278" spans="4:50" ht="12.75" customHeight="1">
      <c r="D278" s="1071"/>
      <c r="E278" s="1070"/>
      <c r="F278" s="1070"/>
      <c r="G278" s="1070"/>
      <c r="H278" s="1070"/>
      <c r="I278" s="1020"/>
      <c r="J278" s="1020"/>
      <c r="K278" s="1066"/>
      <c r="L278" s="1020"/>
      <c r="M278" s="1020"/>
      <c r="N278" s="1020"/>
      <c r="O278" s="1020"/>
      <c r="P278" s="1020"/>
      <c r="Q278" s="1020"/>
      <c r="R278" s="1020"/>
      <c r="S278" s="1020"/>
      <c r="T278" s="1036"/>
      <c r="U278" s="1036"/>
      <c r="V278" s="1020"/>
      <c r="W278" s="1020"/>
      <c r="X278" s="1020"/>
      <c r="Y278" s="1020"/>
      <c r="Z278" s="1020"/>
      <c r="AA278" s="1020"/>
      <c r="AB278" s="1020"/>
      <c r="AC278" s="1020"/>
      <c r="AD278" s="1020"/>
      <c r="AE278" s="1020"/>
      <c r="AF278" s="1020"/>
      <c r="AG278" s="1020"/>
      <c r="AH278" s="1020"/>
      <c r="AI278" s="1020"/>
      <c r="AJ278" s="1020"/>
      <c r="AK278" s="1020"/>
      <c r="AL278" s="1020"/>
      <c r="AM278" s="1020"/>
      <c r="AN278" s="1020"/>
      <c r="AO278" s="1020"/>
      <c r="AP278" s="1020"/>
      <c r="AQ278" s="1020"/>
      <c r="AR278" s="1020"/>
      <c r="AS278" s="1020"/>
      <c r="AT278" s="1020"/>
      <c r="AU278" s="1020"/>
      <c r="AV278" s="1020"/>
      <c r="AW278" s="1020"/>
      <c r="AX278" s="1020"/>
    </row>
    <row r="279" spans="4:50" ht="12.75" customHeight="1">
      <c r="D279" s="1071"/>
      <c r="E279" s="1070"/>
      <c r="F279" s="1070"/>
      <c r="G279" s="1070"/>
      <c r="H279" s="1070"/>
      <c r="I279" s="1020"/>
      <c r="J279" s="1020"/>
      <c r="K279" s="1066"/>
      <c r="L279" s="1020"/>
      <c r="M279" s="1020"/>
      <c r="N279" s="1020"/>
      <c r="O279" s="1020"/>
      <c r="P279" s="1020"/>
      <c r="Q279" s="1020"/>
      <c r="R279" s="1020"/>
      <c r="S279" s="1020"/>
      <c r="T279" s="1036"/>
      <c r="U279" s="1036"/>
      <c r="V279" s="1020"/>
      <c r="W279" s="1020"/>
      <c r="X279" s="1020"/>
      <c r="Y279" s="1020"/>
      <c r="Z279" s="1020"/>
      <c r="AA279" s="1020"/>
      <c r="AB279" s="1020"/>
      <c r="AC279" s="1020"/>
      <c r="AD279" s="1020"/>
      <c r="AE279" s="1020"/>
      <c r="AF279" s="1020"/>
      <c r="AG279" s="1020"/>
      <c r="AH279" s="1020"/>
      <c r="AI279" s="1020"/>
      <c r="AJ279" s="1020"/>
      <c r="AK279" s="1020"/>
      <c r="AL279" s="1020"/>
      <c r="AM279" s="1020"/>
      <c r="AN279" s="1020"/>
      <c r="AO279" s="1020"/>
      <c r="AP279" s="1020"/>
      <c r="AQ279" s="1020"/>
      <c r="AR279" s="1020"/>
      <c r="AS279" s="1020"/>
      <c r="AT279" s="1020"/>
      <c r="AU279" s="1020"/>
      <c r="AV279" s="1020"/>
      <c r="AW279" s="1020"/>
      <c r="AX279" s="1020"/>
    </row>
    <row r="280" spans="4:50" ht="12.75" customHeight="1">
      <c r="D280" s="1071"/>
      <c r="E280" s="1070"/>
      <c r="F280" s="1070"/>
      <c r="G280" s="1070"/>
      <c r="H280" s="1070"/>
      <c r="I280" s="1020"/>
      <c r="J280" s="1020"/>
      <c r="K280" s="1066"/>
      <c r="L280" s="1020"/>
      <c r="M280" s="1020"/>
      <c r="N280" s="1020"/>
      <c r="O280" s="1020"/>
      <c r="P280" s="1020"/>
      <c r="Q280" s="1020"/>
      <c r="R280" s="1020"/>
      <c r="S280" s="1020"/>
      <c r="T280" s="1036"/>
      <c r="U280" s="1036"/>
      <c r="V280" s="1020"/>
      <c r="W280" s="1020"/>
      <c r="X280" s="1020"/>
      <c r="Y280" s="1020"/>
      <c r="Z280" s="1020"/>
      <c r="AA280" s="1020"/>
      <c r="AB280" s="1020"/>
      <c r="AC280" s="1020"/>
      <c r="AD280" s="1020"/>
      <c r="AE280" s="1020"/>
      <c r="AF280" s="1020"/>
      <c r="AG280" s="1020"/>
      <c r="AH280" s="1020"/>
      <c r="AI280" s="1020"/>
      <c r="AJ280" s="1020"/>
      <c r="AK280" s="1020"/>
      <c r="AL280" s="1020"/>
      <c r="AM280" s="1020"/>
      <c r="AN280" s="1020"/>
      <c r="AO280" s="1020"/>
      <c r="AP280" s="1020"/>
      <c r="AQ280" s="1020"/>
      <c r="AR280" s="1020"/>
      <c r="AS280" s="1020"/>
      <c r="AT280" s="1020"/>
      <c r="AU280" s="1020"/>
      <c r="AV280" s="1020"/>
      <c r="AW280" s="1020"/>
      <c r="AX280" s="1020"/>
    </row>
    <row r="281" spans="4:50" ht="12.75" customHeight="1">
      <c r="D281" s="1071"/>
      <c r="E281" s="1070"/>
      <c r="F281" s="1070"/>
      <c r="G281" s="1070"/>
      <c r="H281" s="1070"/>
      <c r="I281" s="1020"/>
      <c r="J281" s="1020"/>
      <c r="K281" s="1066"/>
      <c r="L281" s="1020"/>
      <c r="M281" s="1020"/>
      <c r="N281" s="1020"/>
      <c r="O281" s="1020"/>
      <c r="P281" s="1020"/>
      <c r="Q281" s="1020"/>
      <c r="R281" s="1020"/>
      <c r="S281" s="1020"/>
      <c r="T281" s="1036"/>
      <c r="U281" s="1036"/>
      <c r="V281" s="1020"/>
      <c r="W281" s="1020"/>
      <c r="X281" s="1020"/>
      <c r="Y281" s="1020"/>
      <c r="Z281" s="1020"/>
      <c r="AA281" s="1020"/>
      <c r="AB281" s="1020"/>
      <c r="AC281" s="1020"/>
      <c r="AD281" s="1020"/>
      <c r="AE281" s="1020"/>
      <c r="AF281" s="1020"/>
      <c r="AG281" s="1020"/>
      <c r="AH281" s="1020"/>
      <c r="AI281" s="1020"/>
      <c r="AJ281" s="1020"/>
      <c r="AK281" s="1020"/>
      <c r="AL281" s="1020"/>
      <c r="AM281" s="1020"/>
      <c r="AN281" s="1020"/>
      <c r="AO281" s="1020"/>
      <c r="AP281" s="1020"/>
      <c r="AQ281" s="1020"/>
      <c r="AR281" s="1020"/>
      <c r="AS281" s="1020"/>
      <c r="AT281" s="1020"/>
      <c r="AU281" s="1020"/>
      <c r="AV281" s="1020"/>
      <c r="AW281" s="1020"/>
      <c r="AX281" s="1020"/>
    </row>
    <row r="282" spans="4:50" ht="12.75" customHeight="1">
      <c r="D282" s="1071"/>
      <c r="E282" s="1070"/>
      <c r="F282" s="1070"/>
      <c r="G282" s="1070"/>
      <c r="H282" s="1070"/>
      <c r="I282" s="1020"/>
      <c r="J282" s="1020"/>
      <c r="K282" s="1066"/>
      <c r="L282" s="1020"/>
      <c r="M282" s="1020"/>
      <c r="N282" s="1020"/>
      <c r="O282" s="1020"/>
      <c r="P282" s="1020"/>
      <c r="Q282" s="1020"/>
      <c r="R282" s="1020"/>
      <c r="S282" s="1020"/>
      <c r="T282" s="1036"/>
      <c r="U282" s="1036"/>
      <c r="V282" s="1020"/>
      <c r="W282" s="1020"/>
      <c r="X282" s="1020"/>
      <c r="Y282" s="1020"/>
      <c r="Z282" s="1020"/>
      <c r="AA282" s="1020"/>
      <c r="AB282" s="1020"/>
      <c r="AC282" s="1020"/>
      <c r="AD282" s="1020"/>
      <c r="AE282" s="1020"/>
      <c r="AF282" s="1020"/>
      <c r="AG282" s="1020"/>
      <c r="AH282" s="1020"/>
      <c r="AI282" s="1020"/>
      <c r="AJ282" s="1020"/>
      <c r="AK282" s="1020"/>
      <c r="AL282" s="1020"/>
      <c r="AM282" s="1020"/>
      <c r="AN282" s="1020"/>
      <c r="AO282" s="1020"/>
      <c r="AP282" s="1020"/>
      <c r="AQ282" s="1020"/>
      <c r="AR282" s="1020"/>
      <c r="AS282" s="1020"/>
      <c r="AT282" s="1020"/>
      <c r="AU282" s="1020"/>
      <c r="AV282" s="1020"/>
      <c r="AW282" s="1020"/>
      <c r="AX282" s="1020"/>
    </row>
    <row r="283" spans="4:50" ht="12.75" customHeight="1">
      <c r="D283" s="1071"/>
      <c r="E283" s="1070"/>
      <c r="F283" s="1070"/>
      <c r="G283" s="1070"/>
      <c r="H283" s="1070"/>
      <c r="I283" s="1020"/>
      <c r="J283" s="1020"/>
      <c r="K283" s="1066"/>
      <c r="L283" s="1020"/>
      <c r="M283" s="1020"/>
      <c r="N283" s="1020"/>
      <c r="O283" s="1020"/>
      <c r="P283" s="1020"/>
      <c r="Q283" s="1020"/>
      <c r="R283" s="1020"/>
      <c r="S283" s="1020"/>
      <c r="T283" s="1036"/>
      <c r="U283" s="1036"/>
      <c r="V283" s="1020"/>
      <c r="W283" s="1020"/>
      <c r="X283" s="1020"/>
      <c r="Y283" s="1020"/>
      <c r="Z283" s="1020"/>
      <c r="AA283" s="1020"/>
      <c r="AB283" s="1020"/>
      <c r="AC283" s="1020"/>
      <c r="AD283" s="1020"/>
      <c r="AE283" s="1020"/>
      <c r="AF283" s="1020"/>
      <c r="AG283" s="1020"/>
      <c r="AH283" s="1020"/>
      <c r="AI283" s="1020"/>
      <c r="AJ283" s="1020"/>
      <c r="AK283" s="1020"/>
      <c r="AL283" s="1020"/>
      <c r="AM283" s="1020"/>
      <c r="AN283" s="1020"/>
      <c r="AO283" s="1020"/>
      <c r="AP283" s="1020"/>
      <c r="AQ283" s="1020"/>
      <c r="AR283" s="1020"/>
      <c r="AS283" s="1020"/>
      <c r="AT283" s="1020"/>
      <c r="AU283" s="1020"/>
      <c r="AV283" s="1020"/>
      <c r="AW283" s="1020"/>
      <c r="AX283" s="1020"/>
    </row>
    <row r="284" spans="4:50" ht="12.75" customHeight="1">
      <c r="D284" s="1071"/>
      <c r="E284" s="1070"/>
      <c r="F284" s="1070"/>
      <c r="G284" s="1070"/>
      <c r="H284" s="1070"/>
      <c r="I284" s="1020"/>
      <c r="J284" s="1020"/>
      <c r="K284" s="1020"/>
      <c r="L284" s="1066"/>
      <c r="M284" s="1020"/>
      <c r="N284" s="1020"/>
      <c r="O284" s="1020"/>
      <c r="P284" s="1020"/>
      <c r="Q284" s="1020"/>
      <c r="R284" s="1020"/>
      <c r="S284" s="1020"/>
      <c r="T284" s="1036"/>
      <c r="U284" s="1036"/>
      <c r="V284" s="1020"/>
      <c r="W284" s="1020"/>
      <c r="X284" s="1020"/>
      <c r="Y284" s="1020"/>
      <c r="Z284" s="1020"/>
      <c r="AA284" s="1020"/>
      <c r="AB284" s="1020"/>
      <c r="AC284" s="1020"/>
      <c r="AD284" s="1020"/>
      <c r="AE284" s="1020"/>
      <c r="AF284" s="1020"/>
      <c r="AG284" s="1020"/>
      <c r="AH284" s="1020"/>
      <c r="AI284" s="1020"/>
      <c r="AJ284" s="1020"/>
      <c r="AK284" s="1020"/>
      <c r="AL284" s="1020"/>
      <c r="AM284" s="1020"/>
      <c r="AN284" s="1020"/>
      <c r="AO284" s="1020"/>
      <c r="AP284" s="1020"/>
      <c r="AQ284" s="1020"/>
      <c r="AR284" s="1020"/>
      <c r="AS284" s="1020"/>
      <c r="AT284" s="1020"/>
      <c r="AU284" s="1020"/>
      <c r="AV284" s="1020"/>
      <c r="AW284" s="1020"/>
      <c r="AX284" s="1020"/>
    </row>
    <row r="285" spans="4:50" ht="12.75" customHeight="1">
      <c r="D285" s="1071"/>
      <c r="E285" s="1070"/>
      <c r="F285" s="1070"/>
      <c r="G285" s="1070"/>
      <c r="H285" s="1070"/>
      <c r="I285" s="1020"/>
      <c r="J285" s="1020"/>
      <c r="K285" s="1020"/>
      <c r="L285" s="1066"/>
      <c r="M285" s="1020"/>
      <c r="N285" s="1020"/>
      <c r="O285" s="1020"/>
      <c r="P285" s="1020"/>
      <c r="Q285" s="1020"/>
      <c r="R285" s="1020"/>
      <c r="S285" s="1020"/>
      <c r="T285" s="1036"/>
      <c r="U285" s="1036"/>
      <c r="V285" s="1020"/>
      <c r="W285" s="1020"/>
      <c r="X285" s="1020"/>
      <c r="Y285" s="1020"/>
      <c r="Z285" s="1020"/>
      <c r="AA285" s="1020"/>
      <c r="AB285" s="1020"/>
      <c r="AC285" s="1020"/>
      <c r="AD285" s="1020"/>
      <c r="AE285" s="1020"/>
      <c r="AF285" s="1020"/>
      <c r="AG285" s="1020"/>
      <c r="AH285" s="1020"/>
      <c r="AI285" s="1020"/>
      <c r="AJ285" s="1020"/>
      <c r="AK285" s="1020"/>
      <c r="AL285" s="1020"/>
      <c r="AM285" s="1020"/>
      <c r="AN285" s="1020"/>
      <c r="AO285" s="1020"/>
      <c r="AP285" s="1020"/>
      <c r="AQ285" s="1020"/>
      <c r="AR285" s="1020"/>
      <c r="AS285" s="1020"/>
      <c r="AT285" s="1020"/>
      <c r="AU285" s="1020"/>
      <c r="AV285" s="1020"/>
      <c r="AW285" s="1020"/>
      <c r="AX285" s="1020"/>
    </row>
    <row r="286" spans="4:50" ht="12.75" customHeight="1">
      <c r="D286" s="1071"/>
      <c r="E286" s="1070"/>
      <c r="F286" s="1070"/>
      <c r="G286" s="1070"/>
      <c r="H286" s="1070"/>
      <c r="I286" s="1020"/>
      <c r="J286" s="1020"/>
      <c r="K286" s="1020"/>
      <c r="L286" s="1066"/>
      <c r="M286" s="1020"/>
      <c r="N286" s="1020"/>
      <c r="O286" s="1020"/>
      <c r="P286" s="1020"/>
      <c r="Q286" s="1020"/>
      <c r="R286" s="1020"/>
      <c r="S286" s="1020"/>
      <c r="T286" s="1036"/>
      <c r="U286" s="1036"/>
      <c r="V286" s="1020"/>
      <c r="W286" s="1020"/>
      <c r="X286" s="1020"/>
      <c r="Y286" s="1020"/>
      <c r="Z286" s="1020"/>
      <c r="AA286" s="1020"/>
      <c r="AB286" s="1020"/>
      <c r="AC286" s="1020"/>
      <c r="AD286" s="1020"/>
      <c r="AE286" s="1020"/>
      <c r="AF286" s="1020"/>
      <c r="AG286" s="1020"/>
      <c r="AH286" s="1020"/>
      <c r="AI286" s="1020"/>
      <c r="AJ286" s="1020"/>
      <c r="AK286" s="1020"/>
      <c r="AL286" s="1020"/>
      <c r="AM286" s="1020"/>
      <c r="AN286" s="1020"/>
      <c r="AO286" s="1020"/>
      <c r="AP286" s="1020"/>
      <c r="AQ286" s="1020"/>
      <c r="AR286" s="1020"/>
      <c r="AS286" s="1020"/>
      <c r="AT286" s="1020"/>
      <c r="AU286" s="1020"/>
      <c r="AV286" s="1020"/>
      <c r="AW286" s="1020"/>
      <c r="AX286" s="1020"/>
    </row>
    <row r="287" spans="4:50" ht="12.75" customHeight="1">
      <c r="D287" s="1071"/>
      <c r="E287" s="1070"/>
      <c r="F287" s="1070"/>
      <c r="G287" s="1070"/>
      <c r="H287" s="1070"/>
      <c r="I287" s="1020"/>
      <c r="J287" s="1020"/>
      <c r="K287" s="1020"/>
      <c r="L287" s="1066"/>
      <c r="M287" s="1020"/>
      <c r="N287" s="1020"/>
      <c r="O287" s="1020"/>
      <c r="P287" s="1020"/>
      <c r="Q287" s="1020"/>
      <c r="R287" s="1020"/>
      <c r="S287" s="1020"/>
      <c r="T287" s="1036"/>
      <c r="U287" s="1036"/>
      <c r="V287" s="1020"/>
      <c r="W287" s="1020"/>
      <c r="X287" s="1020"/>
      <c r="Y287" s="1020"/>
      <c r="Z287" s="1020"/>
      <c r="AA287" s="1020"/>
      <c r="AB287" s="1020"/>
      <c r="AC287" s="1020"/>
      <c r="AD287" s="1020"/>
      <c r="AE287" s="1020"/>
      <c r="AF287" s="1020"/>
      <c r="AG287" s="1020"/>
      <c r="AH287" s="1020"/>
      <c r="AI287" s="1020"/>
      <c r="AJ287" s="1020"/>
      <c r="AK287" s="1020"/>
      <c r="AL287" s="1020"/>
      <c r="AM287" s="1020"/>
      <c r="AN287" s="1020"/>
      <c r="AO287" s="1020"/>
      <c r="AP287" s="1020"/>
      <c r="AQ287" s="1020"/>
      <c r="AR287" s="1020"/>
      <c r="AS287" s="1020"/>
      <c r="AT287" s="1020"/>
      <c r="AU287" s="1020"/>
      <c r="AV287" s="1020"/>
      <c r="AW287" s="1020"/>
      <c r="AX287" s="1020"/>
    </row>
    <row r="288" spans="4:50" ht="12.75" customHeight="1">
      <c r="D288" s="1071"/>
      <c r="E288" s="1070"/>
      <c r="F288" s="1070"/>
      <c r="G288" s="1070"/>
      <c r="H288" s="1070"/>
      <c r="I288" s="1020"/>
      <c r="J288" s="1020"/>
      <c r="K288" s="1020"/>
      <c r="L288" s="1066"/>
      <c r="M288" s="1020"/>
      <c r="N288" s="1020"/>
      <c r="O288" s="1020"/>
      <c r="P288" s="1020"/>
      <c r="Q288" s="1020"/>
      <c r="R288" s="1020"/>
      <c r="S288" s="1020"/>
      <c r="T288" s="1036"/>
      <c r="U288" s="1036"/>
      <c r="V288" s="1020"/>
      <c r="W288" s="1020"/>
      <c r="X288" s="1020"/>
      <c r="Y288" s="1020"/>
      <c r="Z288" s="1020"/>
      <c r="AA288" s="1020"/>
      <c r="AB288" s="1020"/>
      <c r="AC288" s="1020"/>
      <c r="AD288" s="1020"/>
      <c r="AE288" s="1020"/>
      <c r="AF288" s="1020"/>
      <c r="AG288" s="1020"/>
      <c r="AH288" s="1020"/>
      <c r="AI288" s="1020"/>
      <c r="AJ288" s="1020"/>
      <c r="AK288" s="1020"/>
      <c r="AL288" s="1020"/>
      <c r="AM288" s="1020"/>
      <c r="AN288" s="1020"/>
      <c r="AO288" s="1020"/>
      <c r="AP288" s="1020"/>
      <c r="AQ288" s="1020"/>
      <c r="AR288" s="1020"/>
      <c r="AS288" s="1020"/>
      <c r="AT288" s="1020"/>
      <c r="AU288" s="1020"/>
      <c r="AV288" s="1020"/>
      <c r="AW288" s="1020"/>
      <c r="AX288" s="1020"/>
    </row>
    <row r="289" spans="4:50" ht="12.75" customHeight="1">
      <c r="D289" s="1071"/>
      <c r="E289" s="1070"/>
      <c r="F289" s="1070"/>
      <c r="G289" s="1070"/>
      <c r="H289" s="1070"/>
      <c r="I289" s="1020"/>
      <c r="J289" s="1020"/>
      <c r="K289" s="1020"/>
      <c r="L289" s="1066"/>
      <c r="M289" s="1020"/>
      <c r="N289" s="1020"/>
      <c r="O289" s="1020"/>
      <c r="P289" s="1020"/>
      <c r="Q289" s="1020"/>
      <c r="R289" s="1020"/>
      <c r="S289" s="1020"/>
      <c r="T289" s="1036"/>
      <c r="U289" s="1036"/>
      <c r="V289" s="1020"/>
      <c r="W289" s="1020"/>
      <c r="X289" s="1020"/>
      <c r="Y289" s="1020"/>
      <c r="Z289" s="1020"/>
      <c r="AA289" s="1020"/>
      <c r="AB289" s="1020"/>
      <c r="AC289" s="1020"/>
      <c r="AD289" s="1020"/>
      <c r="AE289" s="1020"/>
      <c r="AF289" s="1020"/>
      <c r="AG289" s="1020"/>
      <c r="AH289" s="1020"/>
      <c r="AI289" s="1020"/>
      <c r="AJ289" s="1020"/>
      <c r="AK289" s="1020"/>
      <c r="AL289" s="1020"/>
      <c r="AM289" s="1020"/>
      <c r="AN289" s="1020"/>
      <c r="AO289" s="1020"/>
      <c r="AP289" s="1020"/>
      <c r="AQ289" s="1020"/>
      <c r="AR289" s="1020"/>
      <c r="AS289" s="1020"/>
      <c r="AT289" s="1020"/>
      <c r="AU289" s="1020"/>
      <c r="AV289" s="1020"/>
      <c r="AW289" s="1020"/>
      <c r="AX289" s="1020"/>
    </row>
    <row r="290" spans="4:50" ht="12.75" customHeight="1">
      <c r="D290" s="1071"/>
      <c r="E290" s="1070"/>
      <c r="F290" s="1070"/>
      <c r="G290" s="1070"/>
      <c r="H290" s="1070"/>
      <c r="I290" s="1020"/>
      <c r="J290" s="1020"/>
      <c r="K290" s="1020"/>
      <c r="L290" s="1066"/>
      <c r="M290" s="1020"/>
      <c r="N290" s="1020"/>
      <c r="O290" s="1020"/>
      <c r="P290" s="1020"/>
      <c r="Q290" s="1020"/>
      <c r="R290" s="1020"/>
      <c r="S290" s="1020"/>
      <c r="T290" s="1036"/>
      <c r="U290" s="1036"/>
      <c r="V290" s="1020"/>
      <c r="W290" s="1020"/>
      <c r="X290" s="1020"/>
      <c r="Y290" s="1020"/>
      <c r="Z290" s="1020"/>
      <c r="AA290" s="1020"/>
      <c r="AB290" s="1020"/>
      <c r="AC290" s="1020"/>
      <c r="AD290" s="1020"/>
      <c r="AE290" s="1020"/>
      <c r="AF290" s="1020"/>
      <c r="AG290" s="1020"/>
      <c r="AH290" s="1020"/>
      <c r="AI290" s="1020"/>
      <c r="AJ290" s="1020"/>
      <c r="AK290" s="1020"/>
      <c r="AL290" s="1020"/>
      <c r="AM290" s="1020"/>
      <c r="AN290" s="1020"/>
      <c r="AO290" s="1020"/>
      <c r="AP290" s="1020"/>
      <c r="AQ290" s="1020"/>
      <c r="AR290" s="1020"/>
      <c r="AS290" s="1020"/>
      <c r="AT290" s="1020"/>
      <c r="AU290" s="1020"/>
      <c r="AV290" s="1020"/>
      <c r="AW290" s="1020"/>
      <c r="AX290" s="1020"/>
    </row>
    <row r="291" spans="4:50" ht="12.75" customHeight="1">
      <c r="D291" s="1071"/>
      <c r="E291" s="1070"/>
      <c r="F291" s="1070"/>
      <c r="G291" s="1070"/>
      <c r="H291" s="1070"/>
      <c r="I291" s="1020"/>
      <c r="J291" s="1020"/>
      <c r="K291" s="1020"/>
      <c r="L291" s="1066"/>
      <c r="M291" s="1020"/>
      <c r="N291" s="1020"/>
      <c r="O291" s="1020"/>
      <c r="P291" s="1020"/>
      <c r="Q291" s="1020"/>
      <c r="R291" s="1020"/>
      <c r="S291" s="1020"/>
      <c r="T291" s="1036"/>
      <c r="U291" s="1036"/>
      <c r="V291" s="1020"/>
      <c r="W291" s="1020"/>
      <c r="X291" s="1020"/>
      <c r="Y291" s="1020"/>
      <c r="Z291" s="1020"/>
      <c r="AA291" s="1020"/>
      <c r="AB291" s="1020"/>
      <c r="AC291" s="1020"/>
      <c r="AD291" s="1020"/>
      <c r="AE291" s="1020"/>
      <c r="AF291" s="1020"/>
      <c r="AG291" s="1020"/>
      <c r="AH291" s="1020"/>
      <c r="AI291" s="1020"/>
      <c r="AJ291" s="1020"/>
      <c r="AK291" s="1020"/>
      <c r="AL291" s="1020"/>
      <c r="AM291" s="1020"/>
      <c r="AN291" s="1020"/>
      <c r="AO291" s="1020"/>
      <c r="AP291" s="1020"/>
      <c r="AQ291" s="1020"/>
      <c r="AR291" s="1020"/>
      <c r="AS291" s="1020"/>
      <c r="AT291" s="1020"/>
      <c r="AU291" s="1020"/>
      <c r="AV291" s="1020"/>
      <c r="AW291" s="1020"/>
      <c r="AX291" s="1020"/>
    </row>
    <row r="292" spans="4:50" ht="12.75" customHeight="1">
      <c r="D292" s="1071"/>
      <c r="E292" s="1070"/>
      <c r="F292" s="1070"/>
      <c r="G292" s="1070"/>
      <c r="H292" s="1070"/>
      <c r="I292" s="1020"/>
      <c r="J292" s="1020"/>
      <c r="K292" s="1020"/>
      <c r="L292" s="1066"/>
      <c r="M292" s="1020"/>
      <c r="N292" s="1020"/>
      <c r="O292" s="1020"/>
      <c r="P292" s="1020"/>
      <c r="Q292" s="1020"/>
      <c r="R292" s="1020"/>
      <c r="S292" s="1020"/>
      <c r="T292" s="1036"/>
      <c r="U292" s="1036"/>
      <c r="V292" s="1020"/>
      <c r="W292" s="1020"/>
      <c r="X292" s="1020"/>
      <c r="Y292" s="1020"/>
      <c r="Z292" s="1020"/>
      <c r="AA292" s="1020"/>
      <c r="AB292" s="1020"/>
      <c r="AC292" s="1020"/>
      <c r="AD292" s="1020"/>
      <c r="AE292" s="1020"/>
      <c r="AF292" s="1020"/>
      <c r="AG292" s="1020"/>
      <c r="AH292" s="1020"/>
      <c r="AI292" s="1020"/>
      <c r="AJ292" s="1020"/>
      <c r="AK292" s="1020"/>
      <c r="AL292" s="1020"/>
      <c r="AM292" s="1020"/>
      <c r="AN292" s="1020"/>
      <c r="AO292" s="1020"/>
      <c r="AP292" s="1020"/>
      <c r="AQ292" s="1020"/>
      <c r="AR292" s="1020"/>
      <c r="AS292" s="1020"/>
      <c r="AT292" s="1020"/>
      <c r="AU292" s="1020"/>
      <c r="AV292" s="1020"/>
      <c r="AW292" s="1020"/>
      <c r="AX292" s="1020"/>
    </row>
    <row r="293" spans="4:50" ht="12.75" customHeight="1">
      <c r="D293" s="1071"/>
      <c r="E293" s="1070"/>
      <c r="F293" s="1070"/>
      <c r="G293" s="1070"/>
      <c r="H293" s="1070"/>
      <c r="I293" s="1020"/>
      <c r="J293" s="1020"/>
      <c r="K293" s="1020"/>
      <c r="L293" s="1066"/>
      <c r="M293" s="1020"/>
      <c r="N293" s="1020"/>
      <c r="O293" s="1020"/>
      <c r="P293" s="1020"/>
      <c r="Q293" s="1020"/>
      <c r="R293" s="1020"/>
      <c r="S293" s="1020"/>
      <c r="T293" s="1036"/>
      <c r="U293" s="1036"/>
      <c r="V293" s="1020"/>
      <c r="W293" s="1020"/>
      <c r="X293" s="1020"/>
      <c r="Y293" s="1020"/>
      <c r="Z293" s="1020"/>
      <c r="AA293" s="1020"/>
      <c r="AB293" s="1020"/>
      <c r="AC293" s="1020"/>
      <c r="AD293" s="1020"/>
      <c r="AE293" s="1020"/>
      <c r="AF293" s="1020"/>
      <c r="AG293" s="1020"/>
      <c r="AH293" s="1020"/>
      <c r="AI293" s="1020"/>
      <c r="AJ293" s="1020"/>
      <c r="AK293" s="1020"/>
      <c r="AL293" s="1020"/>
      <c r="AM293" s="1020"/>
      <c r="AN293" s="1020"/>
      <c r="AO293" s="1020"/>
      <c r="AP293" s="1020"/>
      <c r="AQ293" s="1020"/>
      <c r="AR293" s="1020"/>
      <c r="AS293" s="1020"/>
      <c r="AT293" s="1020"/>
      <c r="AU293" s="1020"/>
      <c r="AV293" s="1020"/>
      <c r="AW293" s="1020"/>
      <c r="AX293" s="1020"/>
    </row>
    <row r="294" spans="4:50" ht="12.75" customHeight="1">
      <c r="D294" s="1071"/>
      <c r="E294" s="1070"/>
      <c r="F294" s="1070"/>
      <c r="G294" s="1070"/>
      <c r="H294" s="1070"/>
      <c r="I294" s="1020"/>
      <c r="J294" s="1020"/>
      <c r="K294" s="1020"/>
      <c r="L294" s="1066"/>
      <c r="M294" s="1020"/>
      <c r="N294" s="1020"/>
      <c r="O294" s="1020"/>
      <c r="P294" s="1020"/>
      <c r="Q294" s="1020"/>
      <c r="R294" s="1020"/>
      <c r="S294" s="1020"/>
      <c r="T294" s="1036"/>
      <c r="U294" s="1036"/>
      <c r="V294" s="1020"/>
      <c r="W294" s="1020"/>
      <c r="X294" s="1020"/>
      <c r="Y294" s="1020"/>
      <c r="Z294" s="1020"/>
      <c r="AA294" s="1020"/>
      <c r="AB294" s="1020"/>
      <c r="AC294" s="1020"/>
      <c r="AD294" s="1020"/>
      <c r="AE294" s="1020"/>
      <c r="AF294" s="1020"/>
      <c r="AG294" s="1020"/>
      <c r="AH294" s="1020"/>
      <c r="AI294" s="1020"/>
      <c r="AJ294" s="1020"/>
      <c r="AK294" s="1020"/>
      <c r="AL294" s="1020"/>
      <c r="AM294" s="1020"/>
      <c r="AN294" s="1020"/>
      <c r="AO294" s="1020"/>
      <c r="AP294" s="1020"/>
      <c r="AQ294" s="1020"/>
      <c r="AR294" s="1020"/>
      <c r="AS294" s="1020"/>
      <c r="AT294" s="1020"/>
      <c r="AU294" s="1020"/>
      <c r="AV294" s="1020"/>
      <c r="AW294" s="1020"/>
      <c r="AX294" s="1020"/>
    </row>
    <row r="295" spans="4:50" ht="12.75" customHeight="1">
      <c r="D295" s="1071"/>
      <c r="E295" s="1070"/>
      <c r="F295" s="1070"/>
      <c r="G295" s="1070"/>
      <c r="H295" s="1070"/>
      <c r="I295" s="1020"/>
      <c r="J295" s="1020"/>
      <c r="K295" s="1020"/>
      <c r="L295" s="1066"/>
      <c r="M295" s="1020"/>
      <c r="N295" s="1020"/>
      <c r="O295" s="1020"/>
      <c r="P295" s="1020"/>
      <c r="Q295" s="1020"/>
      <c r="R295" s="1020"/>
      <c r="S295" s="1020"/>
      <c r="T295" s="1036"/>
      <c r="U295" s="1036"/>
      <c r="V295" s="1020"/>
      <c r="W295" s="1020"/>
      <c r="X295" s="1020"/>
      <c r="Y295" s="1020"/>
      <c r="Z295" s="1020"/>
      <c r="AA295" s="1020"/>
      <c r="AB295" s="1020"/>
      <c r="AC295" s="1020"/>
      <c r="AD295" s="1020"/>
      <c r="AE295" s="1020"/>
      <c r="AF295" s="1020"/>
      <c r="AG295" s="1020"/>
      <c r="AH295" s="1020"/>
      <c r="AI295" s="1020"/>
      <c r="AJ295" s="1020"/>
      <c r="AK295" s="1020"/>
      <c r="AL295" s="1020"/>
      <c r="AM295" s="1020"/>
      <c r="AN295" s="1020"/>
      <c r="AO295" s="1020"/>
      <c r="AP295" s="1020"/>
      <c r="AQ295" s="1020"/>
      <c r="AR295" s="1020"/>
      <c r="AS295" s="1020"/>
      <c r="AT295" s="1020"/>
      <c r="AU295" s="1020"/>
      <c r="AV295" s="1020"/>
      <c r="AW295" s="1020"/>
      <c r="AX295" s="1020"/>
    </row>
    <row r="296" spans="4:50" ht="12.75" customHeight="1">
      <c r="D296" s="1071"/>
      <c r="E296" s="1070"/>
      <c r="F296" s="1070"/>
      <c r="G296" s="1070"/>
      <c r="H296" s="1070"/>
      <c r="I296" s="1020"/>
      <c r="J296" s="1020"/>
      <c r="K296" s="1020"/>
      <c r="L296" s="1066"/>
      <c r="M296" s="1020"/>
      <c r="N296" s="1020"/>
      <c r="O296" s="1020"/>
      <c r="P296" s="1020"/>
      <c r="Q296" s="1020"/>
      <c r="R296" s="1020"/>
      <c r="S296" s="1020"/>
      <c r="T296" s="1036"/>
      <c r="U296" s="1036"/>
      <c r="V296" s="1020"/>
      <c r="W296" s="1020"/>
      <c r="X296" s="1020"/>
      <c r="Y296" s="1020"/>
      <c r="Z296" s="1020"/>
      <c r="AA296" s="1020"/>
      <c r="AB296" s="1020"/>
      <c r="AC296" s="1020"/>
      <c r="AD296" s="1020"/>
      <c r="AE296" s="1020"/>
      <c r="AF296" s="1020"/>
      <c r="AG296" s="1020"/>
      <c r="AH296" s="1020"/>
      <c r="AI296" s="1020"/>
      <c r="AJ296" s="1020"/>
      <c r="AK296" s="1020"/>
      <c r="AL296" s="1020"/>
      <c r="AM296" s="1020"/>
      <c r="AN296" s="1020"/>
      <c r="AO296" s="1020"/>
      <c r="AP296" s="1020"/>
      <c r="AQ296" s="1020"/>
      <c r="AR296" s="1020"/>
      <c r="AS296" s="1020"/>
      <c r="AT296" s="1020"/>
      <c r="AU296" s="1020"/>
      <c r="AV296" s="1020"/>
      <c r="AW296" s="1020"/>
      <c r="AX296" s="1020"/>
    </row>
    <row r="297" spans="4:50" ht="12.75" customHeight="1">
      <c r="D297" s="1071"/>
      <c r="E297" s="1070"/>
      <c r="F297" s="1070"/>
      <c r="G297" s="1070"/>
      <c r="H297" s="1070"/>
      <c r="I297" s="1020"/>
      <c r="J297" s="1020"/>
      <c r="K297" s="1020"/>
      <c r="L297" s="1066"/>
      <c r="M297" s="1020"/>
      <c r="N297" s="1020"/>
      <c r="O297" s="1020"/>
      <c r="P297" s="1020"/>
      <c r="Q297" s="1020"/>
      <c r="R297" s="1020"/>
      <c r="S297" s="1020"/>
      <c r="T297" s="1036"/>
      <c r="U297" s="1036"/>
      <c r="V297" s="1020"/>
      <c r="W297" s="1020"/>
      <c r="X297" s="1020"/>
      <c r="Y297" s="1020"/>
      <c r="Z297" s="1020"/>
      <c r="AA297" s="1020"/>
      <c r="AB297" s="1020"/>
      <c r="AC297" s="1020"/>
      <c r="AD297" s="1020"/>
      <c r="AE297" s="1020"/>
      <c r="AF297" s="1020"/>
      <c r="AG297" s="1020"/>
      <c r="AH297" s="1020"/>
      <c r="AI297" s="1020"/>
      <c r="AJ297" s="1020"/>
      <c r="AK297" s="1020"/>
      <c r="AL297" s="1020"/>
      <c r="AM297" s="1020"/>
      <c r="AN297" s="1020"/>
      <c r="AO297" s="1020"/>
      <c r="AP297" s="1020"/>
      <c r="AQ297" s="1020"/>
      <c r="AR297" s="1020"/>
      <c r="AS297" s="1020"/>
      <c r="AT297" s="1020"/>
      <c r="AU297" s="1020"/>
      <c r="AV297" s="1020"/>
      <c r="AW297" s="1020"/>
      <c r="AX297" s="1020"/>
    </row>
    <row r="298" spans="4:50" ht="12.75" customHeight="1">
      <c r="D298" s="1071"/>
      <c r="E298" s="1070"/>
      <c r="F298" s="1070"/>
      <c r="G298" s="1070"/>
      <c r="H298" s="1070"/>
      <c r="I298" s="1020"/>
      <c r="J298" s="1020"/>
      <c r="K298" s="1020"/>
      <c r="L298" s="1066"/>
      <c r="M298" s="1020"/>
      <c r="N298" s="1020"/>
      <c r="O298" s="1020"/>
      <c r="P298" s="1020"/>
      <c r="Q298" s="1020"/>
      <c r="R298" s="1020"/>
      <c r="S298" s="1020"/>
      <c r="T298" s="1036"/>
      <c r="U298" s="1036"/>
      <c r="V298" s="1020"/>
      <c r="W298" s="1020"/>
      <c r="X298" s="1020"/>
      <c r="Y298" s="1020"/>
      <c r="Z298" s="1020"/>
      <c r="AA298" s="1020"/>
      <c r="AB298" s="1020"/>
      <c r="AC298" s="1020"/>
      <c r="AD298" s="1020"/>
      <c r="AE298" s="1020"/>
      <c r="AF298" s="1020"/>
      <c r="AG298" s="1020"/>
      <c r="AH298" s="1020"/>
      <c r="AI298" s="1020"/>
      <c r="AJ298" s="1020"/>
      <c r="AK298" s="1020"/>
      <c r="AL298" s="1020"/>
      <c r="AM298" s="1020"/>
      <c r="AN298" s="1020"/>
      <c r="AO298" s="1020"/>
      <c r="AP298" s="1020"/>
      <c r="AQ298" s="1020"/>
      <c r="AR298" s="1020"/>
      <c r="AS298" s="1020"/>
      <c r="AT298" s="1020"/>
      <c r="AU298" s="1020"/>
      <c r="AV298" s="1020"/>
      <c r="AW298" s="1020"/>
      <c r="AX298" s="1020"/>
    </row>
    <row r="299" spans="4:50" ht="12.75" customHeight="1">
      <c r="D299" s="1071"/>
      <c r="E299" s="1070"/>
      <c r="F299" s="1070"/>
      <c r="G299" s="1070"/>
      <c r="H299" s="1070"/>
      <c r="I299" s="1020"/>
      <c r="J299" s="1020"/>
      <c r="K299" s="1020"/>
      <c r="L299" s="1066"/>
      <c r="M299" s="1020"/>
      <c r="N299" s="1020"/>
      <c r="O299" s="1020"/>
      <c r="P299" s="1020"/>
      <c r="Q299" s="1020"/>
      <c r="R299" s="1020"/>
      <c r="S299" s="1020"/>
      <c r="T299" s="1036"/>
      <c r="U299" s="1036"/>
      <c r="V299" s="1020"/>
      <c r="W299" s="1020"/>
      <c r="X299" s="1020"/>
      <c r="Y299" s="1020"/>
      <c r="Z299" s="1020"/>
      <c r="AA299" s="1020"/>
      <c r="AB299" s="1020"/>
      <c r="AC299" s="1020"/>
      <c r="AD299" s="1020"/>
      <c r="AE299" s="1020"/>
      <c r="AF299" s="1020"/>
      <c r="AG299" s="1020"/>
      <c r="AH299" s="1020"/>
      <c r="AI299" s="1020"/>
      <c r="AJ299" s="1020"/>
      <c r="AK299" s="1020"/>
      <c r="AL299" s="1020"/>
      <c r="AM299" s="1020"/>
      <c r="AN299" s="1020"/>
      <c r="AO299" s="1020"/>
      <c r="AP299" s="1020"/>
      <c r="AQ299" s="1020"/>
      <c r="AR299" s="1020"/>
      <c r="AS299" s="1020"/>
      <c r="AT299" s="1020"/>
      <c r="AU299" s="1020"/>
      <c r="AV299" s="1020"/>
      <c r="AW299" s="1020"/>
      <c r="AX299" s="1020"/>
    </row>
    <row r="300" spans="4:50" ht="12.75" customHeight="1">
      <c r="D300" s="1071"/>
      <c r="E300" s="1070"/>
      <c r="F300" s="1070"/>
      <c r="G300" s="1070"/>
      <c r="H300" s="1070"/>
      <c r="I300" s="1020"/>
      <c r="J300" s="1020"/>
      <c r="K300" s="1020"/>
      <c r="L300" s="1066"/>
      <c r="M300" s="1020"/>
      <c r="N300" s="1020"/>
      <c r="O300" s="1020"/>
      <c r="P300" s="1020"/>
      <c r="Q300" s="1020"/>
      <c r="R300" s="1020"/>
      <c r="S300" s="1020"/>
      <c r="T300" s="1036"/>
      <c r="U300" s="1036"/>
      <c r="V300" s="1020"/>
      <c r="W300" s="1020"/>
      <c r="X300" s="1020"/>
      <c r="Y300" s="1020"/>
      <c r="Z300" s="1020"/>
      <c r="AA300" s="1020"/>
      <c r="AB300" s="1020"/>
      <c r="AC300" s="1020"/>
      <c r="AD300" s="1020"/>
      <c r="AE300" s="1020"/>
      <c r="AF300" s="1020"/>
      <c r="AG300" s="1020"/>
      <c r="AH300" s="1020"/>
      <c r="AI300" s="1020"/>
      <c r="AJ300" s="1020"/>
      <c r="AK300" s="1020"/>
      <c r="AL300" s="1020"/>
      <c r="AM300" s="1020"/>
      <c r="AN300" s="1020"/>
      <c r="AO300" s="1020"/>
      <c r="AP300" s="1020"/>
      <c r="AQ300" s="1020"/>
      <c r="AR300" s="1020"/>
      <c r="AS300" s="1020"/>
      <c r="AT300" s="1020"/>
      <c r="AU300" s="1020"/>
      <c r="AV300" s="1020"/>
      <c r="AW300" s="1020"/>
      <c r="AX300" s="1020"/>
    </row>
    <row r="301" spans="4:50" ht="12.75" customHeight="1">
      <c r="D301" s="1071"/>
      <c r="E301" s="1070"/>
      <c r="F301" s="1070"/>
      <c r="G301" s="1070"/>
      <c r="H301" s="1070"/>
      <c r="I301" s="1020"/>
      <c r="J301" s="1020"/>
      <c r="K301" s="1020"/>
      <c r="L301" s="1066"/>
      <c r="M301" s="1020"/>
      <c r="N301" s="1020"/>
      <c r="O301" s="1020"/>
      <c r="P301" s="1020"/>
      <c r="Q301" s="1020"/>
      <c r="R301" s="1020"/>
      <c r="S301" s="1020"/>
      <c r="T301" s="1036"/>
      <c r="U301" s="1036"/>
      <c r="V301" s="1020"/>
      <c r="W301" s="1020"/>
      <c r="X301" s="1020"/>
      <c r="Y301" s="1020"/>
      <c r="Z301" s="1020"/>
      <c r="AA301" s="1020"/>
      <c r="AB301" s="1020"/>
      <c r="AC301" s="1020"/>
      <c r="AD301" s="1020"/>
      <c r="AE301" s="1020"/>
      <c r="AF301" s="1020"/>
      <c r="AG301" s="1020"/>
      <c r="AH301" s="1020"/>
      <c r="AI301" s="1020"/>
      <c r="AJ301" s="1020"/>
      <c r="AK301" s="1020"/>
      <c r="AL301" s="1020"/>
      <c r="AM301" s="1020"/>
      <c r="AN301" s="1020"/>
      <c r="AO301" s="1020"/>
      <c r="AP301" s="1020"/>
      <c r="AQ301" s="1020"/>
      <c r="AR301" s="1020"/>
      <c r="AS301" s="1020"/>
      <c r="AT301" s="1020"/>
      <c r="AU301" s="1020"/>
      <c r="AV301" s="1020"/>
      <c r="AW301" s="1020"/>
      <c r="AX301" s="1020"/>
    </row>
    <row r="302" spans="4:50" ht="12.75" customHeight="1">
      <c r="D302" s="1071"/>
      <c r="E302" s="1070"/>
      <c r="F302" s="1070"/>
      <c r="G302" s="1070"/>
      <c r="H302" s="1070"/>
      <c r="I302" s="1020"/>
      <c r="J302" s="1020"/>
      <c r="K302" s="1020"/>
      <c r="L302" s="1066"/>
      <c r="M302" s="1020"/>
      <c r="N302" s="1020"/>
      <c r="O302" s="1020"/>
      <c r="P302" s="1020"/>
      <c r="Q302" s="1020"/>
      <c r="R302" s="1020"/>
      <c r="S302" s="1020"/>
      <c r="T302" s="1036"/>
      <c r="U302" s="1036"/>
      <c r="V302" s="1020"/>
      <c r="W302" s="1020"/>
      <c r="X302" s="1020"/>
      <c r="Y302" s="1020"/>
      <c r="Z302" s="1020"/>
      <c r="AA302" s="1020"/>
      <c r="AB302" s="1020"/>
      <c r="AC302" s="1020"/>
      <c r="AD302" s="1020"/>
      <c r="AE302" s="1020"/>
      <c r="AF302" s="1020"/>
      <c r="AG302" s="1020"/>
      <c r="AH302" s="1020"/>
      <c r="AI302" s="1020"/>
      <c r="AJ302" s="1020"/>
      <c r="AK302" s="1020"/>
      <c r="AL302" s="1020"/>
      <c r="AM302" s="1020"/>
      <c r="AN302" s="1020"/>
      <c r="AO302" s="1020"/>
      <c r="AP302" s="1020"/>
      <c r="AQ302" s="1020"/>
      <c r="AR302" s="1020"/>
      <c r="AS302" s="1020"/>
      <c r="AT302" s="1020"/>
      <c r="AU302" s="1020"/>
      <c r="AV302" s="1020"/>
      <c r="AW302" s="1020"/>
      <c r="AX302" s="1020"/>
    </row>
    <row r="303" spans="4:50" ht="12.75" customHeight="1">
      <c r="D303" s="1071"/>
      <c r="E303" s="1070"/>
      <c r="F303" s="1070"/>
      <c r="G303" s="1070"/>
      <c r="H303" s="1070"/>
      <c r="I303" s="1020"/>
      <c r="J303" s="1020"/>
      <c r="K303" s="1020"/>
      <c r="L303" s="1066"/>
      <c r="M303" s="1020"/>
      <c r="N303" s="1020"/>
      <c r="O303" s="1020"/>
      <c r="P303" s="1020"/>
      <c r="Q303" s="1020"/>
      <c r="R303" s="1020"/>
      <c r="S303" s="1020"/>
      <c r="T303" s="1036"/>
      <c r="U303" s="1036"/>
      <c r="V303" s="1020"/>
      <c r="W303" s="1020"/>
      <c r="X303" s="1020"/>
      <c r="Y303" s="1020"/>
      <c r="Z303" s="1020"/>
      <c r="AA303" s="1020"/>
      <c r="AB303" s="1020"/>
      <c r="AC303" s="1020"/>
      <c r="AD303" s="1020"/>
      <c r="AE303" s="1020"/>
      <c r="AF303" s="1020"/>
      <c r="AG303" s="1020"/>
      <c r="AH303" s="1020"/>
      <c r="AI303" s="1020"/>
      <c r="AJ303" s="1020"/>
      <c r="AK303" s="1020"/>
      <c r="AL303" s="1020"/>
      <c r="AM303" s="1020"/>
      <c r="AN303" s="1020"/>
      <c r="AO303" s="1020"/>
      <c r="AP303" s="1020"/>
      <c r="AQ303" s="1020"/>
      <c r="AR303" s="1020"/>
      <c r="AS303" s="1020"/>
      <c r="AT303" s="1020"/>
      <c r="AU303" s="1020"/>
      <c r="AV303" s="1020"/>
      <c r="AW303" s="1020"/>
      <c r="AX303" s="1020"/>
    </row>
    <row r="304" spans="4:50" ht="12.75" customHeight="1">
      <c r="D304" s="1071"/>
      <c r="E304" s="1070"/>
      <c r="F304" s="1070"/>
      <c r="G304" s="1070"/>
      <c r="H304" s="1070"/>
      <c r="I304" s="1020"/>
      <c r="J304" s="1020"/>
      <c r="K304" s="1020"/>
      <c r="L304" s="1066"/>
      <c r="M304" s="1020"/>
      <c r="N304" s="1020"/>
      <c r="O304" s="1020"/>
      <c r="P304" s="1020"/>
      <c r="Q304" s="1020"/>
      <c r="R304" s="1020"/>
      <c r="S304" s="1020"/>
      <c r="T304" s="1036"/>
      <c r="U304" s="1036"/>
      <c r="V304" s="1020"/>
      <c r="W304" s="1020"/>
      <c r="X304" s="1020"/>
      <c r="Y304" s="1020"/>
      <c r="Z304" s="1020"/>
      <c r="AA304" s="1020"/>
      <c r="AB304" s="1020"/>
      <c r="AC304" s="1020"/>
      <c r="AD304" s="1020"/>
      <c r="AE304" s="1020"/>
      <c r="AF304" s="1020"/>
      <c r="AG304" s="1020"/>
      <c r="AH304" s="1020"/>
      <c r="AI304" s="1020"/>
      <c r="AJ304" s="1020"/>
      <c r="AK304" s="1020"/>
      <c r="AL304" s="1020"/>
      <c r="AM304" s="1020"/>
      <c r="AN304" s="1020"/>
      <c r="AO304" s="1020"/>
      <c r="AP304" s="1020"/>
      <c r="AQ304" s="1020"/>
      <c r="AR304" s="1020"/>
      <c r="AS304" s="1020"/>
      <c r="AT304" s="1020"/>
      <c r="AU304" s="1020"/>
      <c r="AV304" s="1020"/>
      <c r="AW304" s="1020"/>
      <c r="AX304" s="1020"/>
    </row>
    <row r="305" spans="4:50" ht="12.75" customHeight="1">
      <c r="D305" s="1071"/>
      <c r="E305" s="1070"/>
      <c r="F305" s="1070"/>
      <c r="G305" s="1070"/>
      <c r="H305" s="1070"/>
      <c r="I305" s="1020"/>
      <c r="J305" s="1020"/>
      <c r="K305" s="1020"/>
      <c r="L305" s="1066"/>
      <c r="M305" s="1020"/>
      <c r="N305" s="1020"/>
      <c r="O305" s="1020"/>
      <c r="P305" s="1020"/>
      <c r="Q305" s="1020"/>
      <c r="R305" s="1020"/>
      <c r="S305" s="1020"/>
      <c r="T305" s="1036"/>
      <c r="U305" s="1036"/>
      <c r="V305" s="1020"/>
      <c r="W305" s="1020"/>
      <c r="X305" s="1020"/>
      <c r="Y305" s="1020"/>
      <c r="Z305" s="1020"/>
      <c r="AA305" s="1020"/>
      <c r="AB305" s="1020"/>
      <c r="AC305" s="1020"/>
      <c r="AD305" s="1020"/>
      <c r="AE305" s="1020"/>
      <c r="AF305" s="1020"/>
      <c r="AG305" s="1020"/>
      <c r="AH305" s="1020"/>
      <c r="AI305" s="1020"/>
      <c r="AJ305" s="1020"/>
      <c r="AK305" s="1020"/>
      <c r="AL305" s="1020"/>
      <c r="AM305" s="1020"/>
      <c r="AN305" s="1020"/>
      <c r="AO305" s="1020"/>
      <c r="AP305" s="1020"/>
      <c r="AQ305" s="1020"/>
      <c r="AR305" s="1020"/>
      <c r="AS305" s="1020"/>
      <c r="AT305" s="1020"/>
      <c r="AU305" s="1020"/>
      <c r="AV305" s="1020"/>
      <c r="AW305" s="1020"/>
      <c r="AX305" s="1020"/>
    </row>
    <row r="306" spans="4:50" ht="12.75" customHeight="1">
      <c r="D306" s="1071"/>
      <c r="E306" s="1070"/>
      <c r="F306" s="1070"/>
      <c r="G306" s="1070"/>
      <c r="H306" s="1070"/>
      <c r="I306" s="1020"/>
      <c r="J306" s="1020"/>
      <c r="K306" s="1020"/>
      <c r="L306" s="1066"/>
      <c r="M306" s="1020"/>
      <c r="N306" s="1020"/>
      <c r="O306" s="1020"/>
      <c r="P306" s="1020"/>
      <c r="Q306" s="1020"/>
      <c r="R306" s="1020"/>
      <c r="S306" s="1020"/>
      <c r="T306" s="1036"/>
      <c r="U306" s="1036"/>
      <c r="V306" s="1020"/>
      <c r="W306" s="1020"/>
      <c r="X306" s="1020"/>
      <c r="Y306" s="1020"/>
      <c r="Z306" s="1020"/>
      <c r="AA306" s="1020"/>
      <c r="AB306" s="1020"/>
      <c r="AC306" s="1020"/>
      <c r="AD306" s="1020"/>
      <c r="AE306" s="1020"/>
      <c r="AF306" s="1020"/>
      <c r="AG306" s="1020"/>
      <c r="AH306" s="1020"/>
      <c r="AI306" s="1020"/>
      <c r="AJ306" s="1020"/>
      <c r="AK306" s="1020"/>
      <c r="AL306" s="1020"/>
      <c r="AM306" s="1020"/>
      <c r="AN306" s="1020"/>
      <c r="AO306" s="1020"/>
      <c r="AP306" s="1020"/>
      <c r="AQ306" s="1020"/>
      <c r="AR306" s="1020"/>
      <c r="AS306" s="1020"/>
      <c r="AT306" s="1020"/>
      <c r="AU306" s="1020"/>
      <c r="AV306" s="1020"/>
      <c r="AW306" s="1020"/>
      <c r="AX306" s="1020"/>
    </row>
    <row r="307" spans="4:50" ht="12.75" customHeight="1">
      <c r="D307" s="1071"/>
      <c r="E307" s="1070"/>
      <c r="F307" s="1070"/>
      <c r="G307" s="1070"/>
      <c r="H307" s="1070"/>
      <c r="I307" s="1020"/>
      <c r="J307" s="1020"/>
      <c r="K307" s="1020"/>
      <c r="L307" s="1066"/>
      <c r="M307" s="1020"/>
      <c r="N307" s="1020"/>
      <c r="O307" s="1020"/>
      <c r="P307" s="1020"/>
      <c r="Q307" s="1020"/>
      <c r="R307" s="1020"/>
      <c r="S307" s="1020"/>
      <c r="T307" s="1036"/>
      <c r="U307" s="1036"/>
      <c r="V307" s="1020"/>
      <c r="W307" s="1020"/>
      <c r="X307" s="1020"/>
      <c r="Y307" s="1020"/>
      <c r="Z307" s="1020"/>
      <c r="AA307" s="1020"/>
      <c r="AB307" s="1020"/>
      <c r="AC307" s="1020"/>
      <c r="AD307" s="1020"/>
      <c r="AE307" s="1020"/>
      <c r="AF307" s="1020"/>
      <c r="AG307" s="1020"/>
      <c r="AH307" s="1020"/>
      <c r="AI307" s="1020"/>
      <c r="AJ307" s="1020"/>
      <c r="AK307" s="1020"/>
      <c r="AL307" s="1020"/>
      <c r="AM307" s="1020"/>
      <c r="AN307" s="1020"/>
      <c r="AO307" s="1020"/>
      <c r="AP307" s="1020"/>
      <c r="AQ307" s="1020"/>
      <c r="AR307" s="1020"/>
      <c r="AS307" s="1020"/>
      <c r="AT307" s="1020"/>
      <c r="AU307" s="1020"/>
      <c r="AV307" s="1020"/>
      <c r="AW307" s="1020"/>
      <c r="AX307" s="1020"/>
    </row>
    <row r="308" spans="4:50" ht="12.75" customHeight="1">
      <c r="D308" s="1071"/>
      <c r="E308" s="1070"/>
      <c r="F308" s="1070"/>
      <c r="G308" s="1070"/>
      <c r="H308" s="1070"/>
      <c r="I308" s="1020"/>
      <c r="J308" s="1020"/>
      <c r="K308" s="1020"/>
      <c r="L308" s="1066"/>
      <c r="M308" s="1020"/>
      <c r="N308" s="1020"/>
      <c r="O308" s="1020"/>
      <c r="P308" s="1020"/>
      <c r="Q308" s="1020"/>
      <c r="R308" s="1020"/>
      <c r="S308" s="1020"/>
      <c r="T308" s="1036"/>
      <c r="U308" s="1036"/>
      <c r="V308" s="1020"/>
      <c r="W308" s="1020"/>
      <c r="X308" s="1020"/>
      <c r="Y308" s="1020"/>
      <c r="Z308" s="1020"/>
      <c r="AA308" s="1020"/>
      <c r="AB308" s="1020"/>
      <c r="AC308" s="1020"/>
      <c r="AD308" s="1020"/>
      <c r="AE308" s="1020"/>
      <c r="AF308" s="1020"/>
      <c r="AG308" s="1020"/>
      <c r="AH308" s="1020"/>
      <c r="AI308" s="1020"/>
      <c r="AJ308" s="1020"/>
      <c r="AK308" s="1020"/>
      <c r="AL308" s="1020"/>
      <c r="AM308" s="1020"/>
      <c r="AN308" s="1020"/>
      <c r="AO308" s="1020"/>
      <c r="AP308" s="1020"/>
      <c r="AQ308" s="1020"/>
      <c r="AR308" s="1020"/>
      <c r="AS308" s="1020"/>
      <c r="AT308" s="1020"/>
      <c r="AU308" s="1020"/>
      <c r="AV308" s="1020"/>
      <c r="AW308" s="1020"/>
      <c r="AX308" s="1020"/>
    </row>
    <row r="309" spans="4:50" ht="12.75" customHeight="1">
      <c r="D309" s="1071"/>
      <c r="E309" s="1070"/>
      <c r="F309" s="1070"/>
      <c r="G309" s="1070"/>
      <c r="H309" s="1070"/>
      <c r="I309" s="1020"/>
      <c r="J309" s="1020"/>
      <c r="K309" s="1020"/>
      <c r="L309" s="1066"/>
      <c r="M309" s="1020"/>
      <c r="N309" s="1020"/>
      <c r="O309" s="1020"/>
      <c r="P309" s="1020"/>
      <c r="Q309" s="1020"/>
      <c r="R309" s="1020"/>
      <c r="S309" s="1020"/>
      <c r="T309" s="1036"/>
      <c r="U309" s="1036"/>
      <c r="V309" s="1020"/>
      <c r="W309" s="1020"/>
      <c r="X309" s="1020"/>
      <c r="Y309" s="1020"/>
      <c r="Z309" s="1020"/>
      <c r="AA309" s="1020"/>
      <c r="AB309" s="1020"/>
      <c r="AC309" s="1020"/>
      <c r="AD309" s="1020"/>
      <c r="AE309" s="1020"/>
      <c r="AF309" s="1020"/>
      <c r="AG309" s="1020"/>
      <c r="AH309" s="1020"/>
      <c r="AI309" s="1020"/>
      <c r="AJ309" s="1020"/>
      <c r="AK309" s="1020"/>
      <c r="AL309" s="1020"/>
      <c r="AM309" s="1020"/>
      <c r="AN309" s="1020"/>
      <c r="AO309" s="1020"/>
      <c r="AP309" s="1020"/>
      <c r="AQ309" s="1020"/>
      <c r="AR309" s="1020"/>
      <c r="AS309" s="1020"/>
      <c r="AT309" s="1020"/>
      <c r="AU309" s="1020"/>
      <c r="AV309" s="1020"/>
      <c r="AW309" s="1020"/>
      <c r="AX309" s="1020"/>
    </row>
    <row r="310" spans="4:50" ht="12.75" customHeight="1">
      <c r="D310" s="1071"/>
      <c r="E310" s="1070"/>
      <c r="F310" s="1070"/>
      <c r="G310" s="1070"/>
      <c r="H310" s="1070"/>
      <c r="I310" s="1020"/>
      <c r="J310" s="1020"/>
      <c r="K310" s="1020"/>
      <c r="L310" s="1066"/>
      <c r="M310" s="1020"/>
      <c r="N310" s="1020"/>
      <c r="O310" s="1020"/>
      <c r="P310" s="1020"/>
      <c r="Q310" s="1020"/>
      <c r="R310" s="1020"/>
      <c r="S310" s="1020"/>
      <c r="T310" s="1036"/>
      <c r="U310" s="1036"/>
      <c r="V310" s="1020"/>
      <c r="W310" s="1020"/>
      <c r="X310" s="1020"/>
      <c r="Y310" s="1020"/>
      <c r="Z310" s="1020"/>
      <c r="AA310" s="1020"/>
      <c r="AB310" s="1020"/>
      <c r="AC310" s="1020"/>
      <c r="AD310" s="1020"/>
      <c r="AE310" s="1020"/>
      <c r="AF310" s="1020"/>
      <c r="AG310" s="1020"/>
      <c r="AH310" s="1020"/>
      <c r="AI310" s="1020"/>
      <c r="AJ310" s="1020"/>
      <c r="AK310" s="1020"/>
      <c r="AL310" s="1020"/>
      <c r="AM310" s="1020"/>
      <c r="AN310" s="1020"/>
      <c r="AO310" s="1020"/>
      <c r="AP310" s="1020"/>
      <c r="AQ310" s="1020"/>
      <c r="AR310" s="1020"/>
      <c r="AS310" s="1020"/>
      <c r="AT310" s="1020"/>
      <c r="AU310" s="1020"/>
      <c r="AV310" s="1020"/>
      <c r="AW310" s="1020"/>
      <c r="AX310" s="1020"/>
    </row>
    <row r="311" spans="4:50" ht="12.75" customHeight="1">
      <c r="D311" s="1071"/>
      <c r="E311" s="1070"/>
      <c r="F311" s="1070"/>
      <c r="G311" s="1070"/>
      <c r="H311" s="1070"/>
      <c r="I311" s="1020"/>
      <c r="J311" s="1020"/>
      <c r="K311" s="1020"/>
      <c r="L311" s="1066"/>
      <c r="M311" s="1020"/>
      <c r="N311" s="1020"/>
      <c r="O311" s="1020"/>
      <c r="P311" s="1020"/>
      <c r="Q311" s="1020"/>
      <c r="R311" s="1020"/>
      <c r="S311" s="1020"/>
      <c r="T311" s="1036"/>
      <c r="U311" s="1036"/>
      <c r="V311" s="1020"/>
      <c r="W311" s="1020"/>
      <c r="X311" s="1020"/>
      <c r="Y311" s="1020"/>
      <c r="Z311" s="1020"/>
      <c r="AA311" s="1020"/>
      <c r="AB311" s="1020"/>
      <c r="AC311" s="1020"/>
      <c r="AD311" s="1020"/>
      <c r="AE311" s="1020"/>
      <c r="AF311" s="1020"/>
      <c r="AG311" s="1020"/>
      <c r="AH311" s="1020"/>
      <c r="AI311" s="1020"/>
      <c r="AJ311" s="1020"/>
      <c r="AK311" s="1020"/>
      <c r="AL311" s="1020"/>
      <c r="AM311" s="1020"/>
      <c r="AN311" s="1020"/>
      <c r="AO311" s="1020"/>
      <c r="AP311" s="1020"/>
      <c r="AQ311" s="1020"/>
      <c r="AR311" s="1020"/>
      <c r="AS311" s="1020"/>
      <c r="AT311" s="1020"/>
      <c r="AU311" s="1020"/>
      <c r="AV311" s="1020"/>
      <c r="AW311" s="1020"/>
      <c r="AX311" s="1020"/>
    </row>
    <row r="312" spans="4:50" ht="12.75" customHeight="1">
      <c r="D312" s="1071"/>
      <c r="E312" s="1070"/>
      <c r="F312" s="1070"/>
      <c r="G312" s="1070"/>
      <c r="H312" s="1070"/>
      <c r="I312" s="1020"/>
      <c r="J312" s="1020"/>
      <c r="K312" s="1020"/>
      <c r="L312" s="1066"/>
      <c r="M312" s="1020"/>
      <c r="N312" s="1020"/>
      <c r="O312" s="1020"/>
      <c r="P312" s="1020"/>
      <c r="Q312" s="1020"/>
      <c r="R312" s="1020"/>
      <c r="S312" s="1020"/>
      <c r="T312" s="1036"/>
      <c r="U312" s="1036"/>
      <c r="V312" s="1020"/>
      <c r="W312" s="1020"/>
      <c r="X312" s="1020"/>
      <c r="Y312" s="1020"/>
      <c r="Z312" s="1020"/>
      <c r="AA312" s="1020"/>
      <c r="AB312" s="1020"/>
      <c r="AC312" s="1020"/>
      <c r="AD312" s="1020"/>
      <c r="AE312" s="1020"/>
      <c r="AF312" s="1020"/>
      <c r="AG312" s="1020"/>
      <c r="AH312" s="1020"/>
      <c r="AI312" s="1020"/>
      <c r="AJ312" s="1020"/>
      <c r="AK312" s="1020"/>
      <c r="AL312" s="1020"/>
      <c r="AM312" s="1020"/>
      <c r="AN312" s="1020"/>
      <c r="AO312" s="1020"/>
      <c r="AP312" s="1020"/>
      <c r="AQ312" s="1020"/>
      <c r="AR312" s="1020"/>
      <c r="AS312" s="1020"/>
      <c r="AT312" s="1020"/>
      <c r="AU312" s="1020"/>
      <c r="AV312" s="1020"/>
      <c r="AW312" s="1020"/>
      <c r="AX312" s="1020"/>
    </row>
    <row r="313" spans="4:50" ht="12.75" customHeight="1">
      <c r="D313" s="1071"/>
      <c r="E313" s="1070"/>
      <c r="F313" s="1070"/>
      <c r="G313" s="1070"/>
      <c r="H313" s="1070"/>
      <c r="I313" s="1020"/>
      <c r="J313" s="1020"/>
      <c r="K313" s="1020"/>
      <c r="L313" s="1066"/>
      <c r="M313" s="1020"/>
      <c r="N313" s="1020"/>
      <c r="O313" s="1020"/>
      <c r="P313" s="1020"/>
      <c r="Q313" s="1020"/>
      <c r="R313" s="1020"/>
      <c r="S313" s="1020"/>
      <c r="T313" s="1036"/>
      <c r="U313" s="1036"/>
      <c r="V313" s="1020"/>
      <c r="W313" s="1020"/>
      <c r="X313" s="1020"/>
      <c r="Y313" s="1020"/>
      <c r="Z313" s="1020"/>
      <c r="AA313" s="1020"/>
      <c r="AB313" s="1020"/>
      <c r="AC313" s="1020"/>
      <c r="AD313" s="1020"/>
      <c r="AE313" s="1020"/>
      <c r="AF313" s="1020"/>
      <c r="AG313" s="1020"/>
      <c r="AH313" s="1020"/>
      <c r="AI313" s="1020"/>
      <c r="AJ313" s="1020"/>
      <c r="AK313" s="1020"/>
      <c r="AL313" s="1020"/>
      <c r="AM313" s="1020"/>
      <c r="AN313" s="1020"/>
      <c r="AO313" s="1020"/>
      <c r="AP313" s="1020"/>
      <c r="AQ313" s="1020"/>
      <c r="AR313" s="1020"/>
      <c r="AS313" s="1020"/>
      <c r="AT313" s="1020"/>
      <c r="AU313" s="1020"/>
      <c r="AV313" s="1020"/>
      <c r="AW313" s="1020"/>
      <c r="AX313" s="1020"/>
    </row>
    <row r="314" spans="4:50" ht="12.75" customHeight="1">
      <c r="D314" s="1071"/>
      <c r="E314" s="1070"/>
      <c r="F314" s="1070"/>
      <c r="G314" s="1070"/>
      <c r="H314" s="1070"/>
      <c r="I314" s="1020"/>
      <c r="J314" s="1020"/>
      <c r="K314" s="1020"/>
      <c r="L314" s="1066"/>
      <c r="M314" s="1020"/>
      <c r="N314" s="1020"/>
      <c r="O314" s="1020"/>
      <c r="P314" s="1020"/>
      <c r="Q314" s="1020"/>
      <c r="R314" s="1020"/>
      <c r="S314" s="1020"/>
      <c r="T314" s="1036"/>
      <c r="U314" s="1036"/>
      <c r="V314" s="1020"/>
      <c r="W314" s="1020"/>
      <c r="X314" s="1020"/>
      <c r="Y314" s="1020"/>
      <c r="Z314" s="1020"/>
      <c r="AA314" s="1020"/>
      <c r="AB314" s="1020"/>
      <c r="AC314" s="1020"/>
      <c r="AD314" s="1020"/>
      <c r="AE314" s="1020"/>
      <c r="AF314" s="1020"/>
      <c r="AG314" s="1020"/>
      <c r="AH314" s="1020"/>
      <c r="AI314" s="1020"/>
      <c r="AJ314" s="1020"/>
      <c r="AK314" s="1020"/>
      <c r="AL314" s="1020"/>
      <c r="AM314" s="1020"/>
      <c r="AN314" s="1020"/>
      <c r="AO314" s="1020"/>
      <c r="AP314" s="1020"/>
      <c r="AQ314" s="1020"/>
      <c r="AR314" s="1020"/>
      <c r="AS314" s="1020"/>
      <c r="AT314" s="1020"/>
      <c r="AU314" s="1020"/>
      <c r="AV314" s="1020"/>
      <c r="AW314" s="1020"/>
      <c r="AX314" s="1020"/>
    </row>
    <row r="315" spans="4:50" ht="12.75" customHeight="1">
      <c r="D315" s="1071"/>
      <c r="E315" s="1070"/>
      <c r="F315" s="1070"/>
      <c r="G315" s="1070"/>
      <c r="H315" s="1070"/>
      <c r="I315" s="1020"/>
      <c r="J315" s="1020"/>
      <c r="K315" s="1020"/>
      <c r="L315" s="1066"/>
      <c r="M315" s="1020"/>
      <c r="N315" s="1020"/>
      <c r="O315" s="1020"/>
      <c r="P315" s="1020"/>
      <c r="Q315" s="1020"/>
      <c r="R315" s="1020"/>
      <c r="S315" s="1020"/>
      <c r="T315" s="1036"/>
      <c r="U315" s="1036"/>
      <c r="V315" s="1020"/>
      <c r="W315" s="1020"/>
      <c r="X315" s="1020"/>
      <c r="Y315" s="1020"/>
      <c r="Z315" s="1020"/>
      <c r="AA315" s="1020"/>
      <c r="AB315" s="1020"/>
      <c r="AC315" s="1020"/>
      <c r="AD315" s="1020"/>
      <c r="AE315" s="1020"/>
      <c r="AF315" s="1020"/>
      <c r="AG315" s="1020"/>
      <c r="AH315" s="1020"/>
      <c r="AI315" s="1020"/>
      <c r="AJ315" s="1020"/>
      <c r="AK315" s="1020"/>
      <c r="AL315" s="1020"/>
      <c r="AM315" s="1020"/>
      <c r="AN315" s="1020"/>
      <c r="AO315" s="1020"/>
      <c r="AP315" s="1020"/>
      <c r="AQ315" s="1020"/>
      <c r="AR315" s="1020"/>
      <c r="AS315" s="1020"/>
      <c r="AT315" s="1020"/>
      <c r="AU315" s="1020"/>
      <c r="AV315" s="1020"/>
      <c r="AW315" s="1020"/>
      <c r="AX315" s="1020"/>
    </row>
    <row r="316" spans="4:50" ht="12.75" customHeight="1">
      <c r="D316" s="1071"/>
      <c r="E316" s="1070"/>
      <c r="F316" s="1070"/>
      <c r="G316" s="1070"/>
      <c r="H316" s="1070"/>
      <c r="I316" s="1020"/>
      <c r="J316" s="1020"/>
      <c r="K316" s="1020"/>
      <c r="L316" s="1066"/>
      <c r="M316" s="1020"/>
      <c r="N316" s="1020"/>
      <c r="O316" s="1020"/>
      <c r="P316" s="1020"/>
      <c r="Q316" s="1020"/>
      <c r="R316" s="1020"/>
      <c r="S316" s="1020"/>
      <c r="T316" s="1036"/>
      <c r="U316" s="1036"/>
      <c r="V316" s="1020"/>
      <c r="W316" s="1020"/>
      <c r="X316" s="1020"/>
      <c r="Y316" s="1020"/>
      <c r="Z316" s="1020"/>
      <c r="AA316" s="1020"/>
      <c r="AB316" s="1020"/>
      <c r="AC316" s="1020"/>
      <c r="AD316" s="1020"/>
      <c r="AE316" s="1020"/>
      <c r="AF316" s="1020"/>
      <c r="AG316" s="1020"/>
      <c r="AH316" s="1020"/>
      <c r="AI316" s="1020"/>
      <c r="AJ316" s="1020"/>
      <c r="AK316" s="1020"/>
      <c r="AL316" s="1020"/>
      <c r="AM316" s="1020"/>
      <c r="AN316" s="1020"/>
      <c r="AO316" s="1020"/>
      <c r="AP316" s="1020"/>
      <c r="AQ316" s="1020"/>
      <c r="AR316" s="1020"/>
      <c r="AS316" s="1020"/>
      <c r="AT316" s="1020"/>
      <c r="AU316" s="1020"/>
      <c r="AV316" s="1020"/>
      <c r="AW316" s="1020"/>
      <c r="AX316" s="1020"/>
    </row>
    <row r="317" spans="4:50" ht="12.75" customHeight="1">
      <c r="D317" s="1071"/>
      <c r="E317" s="1070"/>
      <c r="F317" s="1070"/>
      <c r="G317" s="1070"/>
      <c r="H317" s="1070"/>
      <c r="I317" s="1020"/>
      <c r="J317" s="1020"/>
      <c r="K317" s="1020"/>
      <c r="L317" s="1066"/>
      <c r="M317" s="1020"/>
      <c r="N317" s="1020"/>
      <c r="O317" s="1020"/>
      <c r="P317" s="1020"/>
      <c r="Q317" s="1020"/>
      <c r="R317" s="1020"/>
      <c r="S317" s="1020"/>
      <c r="T317" s="1036"/>
      <c r="U317" s="1036"/>
      <c r="V317" s="1020"/>
      <c r="W317" s="1020"/>
      <c r="X317" s="1020"/>
      <c r="Y317" s="1020"/>
      <c r="Z317" s="1020"/>
      <c r="AA317" s="1020"/>
      <c r="AB317" s="1020"/>
      <c r="AC317" s="1020"/>
      <c r="AD317" s="1020"/>
      <c r="AE317" s="1020"/>
      <c r="AF317" s="1020"/>
      <c r="AG317" s="1020"/>
      <c r="AH317" s="1020"/>
      <c r="AI317" s="1020"/>
      <c r="AJ317" s="1020"/>
      <c r="AK317" s="1020"/>
      <c r="AL317" s="1020"/>
      <c r="AM317" s="1020"/>
      <c r="AN317" s="1020"/>
      <c r="AO317" s="1020"/>
      <c r="AP317" s="1020"/>
      <c r="AQ317" s="1020"/>
      <c r="AR317" s="1020"/>
      <c r="AS317" s="1020"/>
      <c r="AT317" s="1020"/>
      <c r="AU317" s="1020"/>
      <c r="AV317" s="1020"/>
      <c r="AW317" s="1020"/>
      <c r="AX317" s="1020"/>
    </row>
    <row r="318" spans="4:50" ht="12.75" customHeight="1">
      <c r="D318" s="1071"/>
      <c r="E318" s="1070"/>
      <c r="F318" s="1070"/>
      <c r="G318" s="1070"/>
      <c r="H318" s="1070"/>
      <c r="I318" s="1020"/>
      <c r="J318" s="1020"/>
      <c r="K318" s="1020"/>
      <c r="L318" s="1066"/>
      <c r="M318" s="1020"/>
      <c r="N318" s="1020"/>
      <c r="O318" s="1020"/>
      <c r="P318" s="1020"/>
      <c r="Q318" s="1020"/>
      <c r="R318" s="1020"/>
      <c r="S318" s="1020"/>
      <c r="T318" s="1036"/>
      <c r="U318" s="1036"/>
      <c r="V318" s="1020"/>
      <c r="W318" s="1020"/>
      <c r="X318" s="1020"/>
      <c r="Y318" s="1020"/>
      <c r="Z318" s="1020"/>
      <c r="AA318" s="1020"/>
      <c r="AB318" s="1020"/>
      <c r="AC318" s="1020"/>
      <c r="AD318" s="1020"/>
      <c r="AE318" s="1020"/>
      <c r="AF318" s="1020"/>
      <c r="AG318" s="1020"/>
      <c r="AH318" s="1020"/>
      <c r="AI318" s="1020"/>
      <c r="AJ318" s="1020"/>
      <c r="AK318" s="1020"/>
      <c r="AL318" s="1020"/>
      <c r="AM318" s="1020"/>
      <c r="AN318" s="1020"/>
      <c r="AO318" s="1020"/>
      <c r="AP318" s="1020"/>
      <c r="AQ318" s="1020"/>
      <c r="AR318" s="1020"/>
      <c r="AS318" s="1020"/>
      <c r="AT318" s="1020"/>
      <c r="AU318" s="1020"/>
      <c r="AV318" s="1020"/>
      <c r="AW318" s="1020"/>
      <c r="AX318" s="1020"/>
    </row>
    <row r="319" spans="4:50" ht="12.75" customHeight="1">
      <c r="D319" s="1071"/>
      <c r="E319" s="1070"/>
      <c r="F319" s="1070"/>
      <c r="G319" s="1070"/>
      <c r="H319" s="1070"/>
      <c r="I319" s="1020"/>
      <c r="J319" s="1020"/>
      <c r="K319" s="1020"/>
      <c r="L319" s="1066"/>
      <c r="M319" s="1020"/>
      <c r="N319" s="1020"/>
      <c r="O319" s="1020"/>
      <c r="P319" s="1020"/>
      <c r="Q319" s="1020"/>
      <c r="R319" s="1020"/>
      <c r="S319" s="1020"/>
      <c r="T319" s="1036"/>
      <c r="U319" s="1036"/>
      <c r="V319" s="1020"/>
      <c r="W319" s="1020"/>
      <c r="X319" s="1020"/>
      <c r="Y319" s="1020"/>
      <c r="Z319" s="1020"/>
      <c r="AA319" s="1020"/>
      <c r="AB319" s="1020"/>
      <c r="AC319" s="1020"/>
      <c r="AD319" s="1020"/>
      <c r="AE319" s="1020"/>
      <c r="AF319" s="1020"/>
      <c r="AG319" s="1020"/>
      <c r="AH319" s="1020"/>
      <c r="AI319" s="1020"/>
      <c r="AJ319" s="1020"/>
      <c r="AK319" s="1020"/>
      <c r="AL319" s="1020"/>
      <c r="AM319" s="1020"/>
      <c r="AN319" s="1020"/>
      <c r="AO319" s="1020"/>
      <c r="AP319" s="1020"/>
      <c r="AQ319" s="1020"/>
      <c r="AR319" s="1020"/>
      <c r="AS319" s="1020"/>
      <c r="AT319" s="1020"/>
      <c r="AU319" s="1020"/>
      <c r="AV319" s="1020"/>
      <c r="AW319" s="1020"/>
      <c r="AX319" s="1020"/>
    </row>
    <row r="320" spans="4:50" ht="12.75" customHeight="1">
      <c r="D320" s="1071"/>
      <c r="E320" s="1070"/>
      <c r="F320" s="1070"/>
      <c r="G320" s="1070"/>
      <c r="H320" s="1070"/>
      <c r="I320" s="1020"/>
      <c r="J320" s="1020"/>
      <c r="K320" s="1020"/>
      <c r="L320" s="1066"/>
      <c r="M320" s="1020"/>
      <c r="N320" s="1020"/>
      <c r="O320" s="1020"/>
      <c r="P320" s="1020"/>
      <c r="Q320" s="1020"/>
      <c r="R320" s="1020"/>
      <c r="S320" s="1020"/>
      <c r="T320" s="1036"/>
      <c r="U320" s="1036"/>
      <c r="V320" s="1020"/>
      <c r="W320" s="1020"/>
      <c r="X320" s="1020"/>
      <c r="Y320" s="1020"/>
      <c r="Z320" s="1020"/>
      <c r="AA320" s="1020"/>
      <c r="AB320" s="1020"/>
      <c r="AC320" s="1020"/>
      <c r="AD320" s="1020"/>
      <c r="AE320" s="1020"/>
      <c r="AF320" s="1020"/>
      <c r="AG320" s="1020"/>
      <c r="AH320" s="1020"/>
      <c r="AI320" s="1020"/>
      <c r="AJ320" s="1020"/>
      <c r="AK320" s="1020"/>
      <c r="AL320" s="1020"/>
      <c r="AM320" s="1020"/>
      <c r="AN320" s="1020"/>
      <c r="AO320" s="1020"/>
      <c r="AP320" s="1020"/>
      <c r="AQ320" s="1020"/>
      <c r="AR320" s="1020"/>
      <c r="AS320" s="1020"/>
      <c r="AT320" s="1020"/>
      <c r="AU320" s="1020"/>
      <c r="AV320" s="1020"/>
      <c r="AW320" s="1020"/>
      <c r="AX320" s="1020"/>
    </row>
    <row r="321" spans="4:50" ht="12.75" customHeight="1">
      <c r="D321" s="1071"/>
      <c r="E321" s="1070"/>
      <c r="F321" s="1070"/>
      <c r="G321" s="1070"/>
      <c r="H321" s="1070"/>
      <c r="I321" s="1020"/>
      <c r="J321" s="1020"/>
      <c r="K321" s="1020"/>
      <c r="L321" s="1066"/>
      <c r="M321" s="1020"/>
      <c r="N321" s="1020"/>
      <c r="O321" s="1020"/>
      <c r="P321" s="1020"/>
      <c r="Q321" s="1020"/>
      <c r="R321" s="1020"/>
      <c r="S321" s="1020"/>
      <c r="T321" s="1036"/>
      <c r="U321" s="1036"/>
      <c r="V321" s="1020"/>
      <c r="W321" s="1020"/>
      <c r="X321" s="1020"/>
      <c r="Y321" s="1020"/>
      <c r="Z321" s="1020"/>
      <c r="AA321" s="1020"/>
      <c r="AB321" s="1020"/>
      <c r="AC321" s="1020"/>
      <c r="AD321" s="1020"/>
      <c r="AE321" s="1020"/>
      <c r="AF321" s="1020"/>
      <c r="AG321" s="1020"/>
      <c r="AH321" s="1020"/>
      <c r="AI321" s="1020"/>
      <c r="AJ321" s="1020"/>
      <c r="AK321" s="1020"/>
      <c r="AL321" s="1020"/>
      <c r="AM321" s="1020"/>
      <c r="AN321" s="1020"/>
      <c r="AO321" s="1020"/>
      <c r="AP321" s="1020"/>
      <c r="AQ321" s="1020"/>
      <c r="AR321" s="1020"/>
      <c r="AS321" s="1020"/>
      <c r="AT321" s="1020"/>
      <c r="AU321" s="1020"/>
      <c r="AV321" s="1020"/>
      <c r="AW321" s="1020"/>
      <c r="AX321" s="1020"/>
    </row>
    <row r="322" spans="4:50" ht="12.75" customHeight="1">
      <c r="D322" s="1071"/>
      <c r="E322" s="1070"/>
      <c r="F322" s="1070"/>
      <c r="G322" s="1070"/>
      <c r="H322" s="1070"/>
      <c r="I322" s="1020"/>
      <c r="J322" s="1020"/>
      <c r="K322" s="1020"/>
      <c r="L322" s="1066"/>
      <c r="M322" s="1020"/>
      <c r="N322" s="1020"/>
      <c r="O322" s="1020"/>
      <c r="P322" s="1020"/>
      <c r="Q322" s="1020"/>
      <c r="R322" s="1020"/>
      <c r="S322" s="1020"/>
      <c r="T322" s="1036"/>
      <c r="U322" s="1036"/>
      <c r="V322" s="1020"/>
      <c r="W322" s="1020"/>
      <c r="X322" s="1020"/>
      <c r="Y322" s="1020"/>
      <c r="Z322" s="1020"/>
      <c r="AA322" s="1020"/>
      <c r="AB322" s="1020"/>
      <c r="AC322" s="1020"/>
      <c r="AD322" s="1020"/>
      <c r="AE322" s="1020"/>
      <c r="AF322" s="1020"/>
      <c r="AG322" s="1020"/>
      <c r="AH322" s="1020"/>
      <c r="AI322" s="1020"/>
      <c r="AJ322" s="1020"/>
      <c r="AK322" s="1020"/>
      <c r="AL322" s="1020"/>
      <c r="AM322" s="1020"/>
      <c r="AN322" s="1020"/>
      <c r="AO322" s="1020"/>
      <c r="AP322" s="1020"/>
      <c r="AQ322" s="1020"/>
      <c r="AR322" s="1020"/>
      <c r="AS322" s="1020"/>
      <c r="AT322" s="1020"/>
      <c r="AU322" s="1020"/>
      <c r="AV322" s="1020"/>
      <c r="AW322" s="1020"/>
      <c r="AX322" s="1020"/>
    </row>
    <row r="323" spans="4:50" ht="12.75" customHeight="1">
      <c r="D323" s="1071"/>
      <c r="E323" s="1070"/>
      <c r="F323" s="1070"/>
      <c r="G323" s="1070"/>
      <c r="H323" s="1070"/>
      <c r="I323" s="1020"/>
      <c r="J323" s="1020"/>
      <c r="K323" s="1020"/>
      <c r="L323" s="1066"/>
      <c r="M323" s="1020"/>
      <c r="N323" s="1020"/>
      <c r="O323" s="1020"/>
      <c r="P323" s="1020"/>
      <c r="Q323" s="1020"/>
      <c r="R323" s="1020"/>
      <c r="S323" s="1020"/>
      <c r="T323" s="1036"/>
      <c r="U323" s="1036"/>
      <c r="V323" s="1020"/>
      <c r="W323" s="1020"/>
      <c r="X323" s="1020"/>
      <c r="Y323" s="1020"/>
      <c r="Z323" s="1020"/>
      <c r="AA323" s="1020"/>
      <c r="AB323" s="1020"/>
      <c r="AC323" s="1020"/>
      <c r="AD323" s="1020"/>
      <c r="AE323" s="1020"/>
      <c r="AF323" s="1020"/>
      <c r="AG323" s="1020"/>
      <c r="AH323" s="1020"/>
      <c r="AI323" s="1020"/>
      <c r="AJ323" s="1020"/>
      <c r="AK323" s="1020"/>
      <c r="AL323" s="1020"/>
      <c r="AM323" s="1020"/>
      <c r="AN323" s="1020"/>
      <c r="AO323" s="1020"/>
      <c r="AP323" s="1020"/>
      <c r="AQ323" s="1020"/>
      <c r="AR323" s="1020"/>
      <c r="AS323" s="1020"/>
      <c r="AT323" s="1020"/>
      <c r="AU323" s="1020"/>
      <c r="AV323" s="1020"/>
      <c r="AW323" s="1020"/>
      <c r="AX323" s="1020"/>
    </row>
    <row r="324" spans="4:50" ht="12.75" customHeight="1">
      <c r="D324" s="1071"/>
      <c r="E324" s="1070"/>
      <c r="F324" s="1070"/>
      <c r="G324" s="1070"/>
      <c r="H324" s="1070"/>
      <c r="I324" s="1020"/>
      <c r="J324" s="1020"/>
      <c r="K324" s="1020"/>
      <c r="L324" s="1066"/>
      <c r="M324" s="1020"/>
      <c r="N324" s="1020"/>
      <c r="O324" s="1020"/>
      <c r="P324" s="1020"/>
      <c r="Q324" s="1020"/>
      <c r="R324" s="1020"/>
      <c r="S324" s="1020"/>
      <c r="T324" s="1036"/>
      <c r="U324" s="1036"/>
      <c r="V324" s="1020"/>
      <c r="W324" s="1020"/>
      <c r="X324" s="1020"/>
      <c r="Y324" s="1020"/>
      <c r="Z324" s="1020"/>
      <c r="AA324" s="1020"/>
      <c r="AB324" s="1020"/>
      <c r="AC324" s="1020"/>
      <c r="AD324" s="1020"/>
      <c r="AE324" s="1020"/>
      <c r="AF324" s="1020"/>
      <c r="AG324" s="1020"/>
      <c r="AH324" s="1020"/>
      <c r="AI324" s="1020"/>
      <c r="AJ324" s="1020"/>
      <c r="AK324" s="1020"/>
      <c r="AL324" s="1020"/>
      <c r="AM324" s="1020"/>
      <c r="AN324" s="1020"/>
      <c r="AO324" s="1020"/>
      <c r="AP324" s="1020"/>
      <c r="AQ324" s="1020"/>
      <c r="AR324" s="1020"/>
      <c r="AS324" s="1020"/>
      <c r="AT324" s="1020"/>
      <c r="AU324" s="1020"/>
      <c r="AV324" s="1020"/>
      <c r="AW324" s="1020"/>
      <c r="AX324" s="1020"/>
    </row>
    <row r="325" spans="4:50" ht="12.75" customHeight="1">
      <c r="D325" s="1071"/>
      <c r="E325" s="1070"/>
      <c r="F325" s="1070"/>
      <c r="G325" s="1070"/>
      <c r="H325" s="1070"/>
      <c r="I325" s="1020"/>
      <c r="J325" s="1020"/>
      <c r="K325" s="1020"/>
      <c r="L325" s="1066"/>
      <c r="M325" s="1020"/>
      <c r="N325" s="1020"/>
      <c r="O325" s="1020"/>
      <c r="P325" s="1020"/>
      <c r="Q325" s="1020"/>
      <c r="R325" s="1020"/>
      <c r="S325" s="1020"/>
      <c r="T325" s="1036"/>
      <c r="U325" s="1036"/>
      <c r="V325" s="1020"/>
      <c r="W325" s="1020"/>
      <c r="X325" s="1020"/>
      <c r="Y325" s="1020"/>
      <c r="Z325" s="1020"/>
      <c r="AA325" s="1020"/>
      <c r="AB325" s="1020"/>
      <c r="AC325" s="1020"/>
      <c r="AD325" s="1020"/>
      <c r="AE325" s="1020"/>
      <c r="AF325" s="1020"/>
      <c r="AG325" s="1020"/>
      <c r="AH325" s="1020"/>
      <c r="AI325" s="1020"/>
      <c r="AJ325" s="1020"/>
      <c r="AK325" s="1020"/>
      <c r="AL325" s="1020"/>
      <c r="AM325" s="1020"/>
      <c r="AN325" s="1020"/>
      <c r="AO325" s="1020"/>
      <c r="AP325" s="1020"/>
      <c r="AQ325" s="1020"/>
      <c r="AR325" s="1020"/>
      <c r="AS325" s="1020"/>
      <c r="AT325" s="1020"/>
      <c r="AU325" s="1020"/>
      <c r="AV325" s="1020"/>
      <c r="AW325" s="1020"/>
      <c r="AX325" s="1020"/>
    </row>
    <row r="326" spans="4:50" ht="12.75" customHeight="1">
      <c r="D326" s="1071"/>
      <c r="E326" s="1070"/>
      <c r="F326" s="1070"/>
      <c r="G326" s="1070"/>
      <c r="H326" s="1070"/>
      <c r="I326" s="1020"/>
      <c r="J326" s="1020"/>
      <c r="K326" s="1020"/>
      <c r="L326" s="1066"/>
      <c r="M326" s="1020"/>
      <c r="N326" s="1020"/>
      <c r="O326" s="1020"/>
      <c r="P326" s="1020"/>
      <c r="Q326" s="1020"/>
      <c r="R326" s="1020"/>
      <c r="S326" s="1020"/>
      <c r="T326" s="1036"/>
      <c r="U326" s="1036"/>
      <c r="V326" s="1020"/>
      <c r="W326" s="1020"/>
      <c r="X326" s="1020"/>
      <c r="Y326" s="1020"/>
      <c r="Z326" s="1020"/>
      <c r="AA326" s="1020"/>
      <c r="AB326" s="1020"/>
      <c r="AC326" s="1020"/>
      <c r="AD326" s="1020"/>
      <c r="AE326" s="1020"/>
      <c r="AF326" s="1020"/>
      <c r="AG326" s="1020"/>
      <c r="AH326" s="1020"/>
      <c r="AI326" s="1020"/>
      <c r="AJ326" s="1020"/>
      <c r="AK326" s="1020"/>
      <c r="AL326" s="1020"/>
      <c r="AM326" s="1020"/>
      <c r="AN326" s="1020"/>
      <c r="AO326" s="1020"/>
      <c r="AP326" s="1020"/>
      <c r="AQ326" s="1020"/>
      <c r="AR326" s="1020"/>
      <c r="AS326" s="1020"/>
      <c r="AT326" s="1020"/>
      <c r="AU326" s="1020"/>
      <c r="AV326" s="1020"/>
      <c r="AW326" s="1020"/>
      <c r="AX326" s="1020"/>
    </row>
    <row r="327" spans="4:50" ht="12.75" customHeight="1">
      <c r="D327" s="1071"/>
      <c r="E327" s="1070"/>
      <c r="F327" s="1070"/>
      <c r="G327" s="1070"/>
      <c r="H327" s="1070"/>
      <c r="I327" s="1020"/>
      <c r="J327" s="1020"/>
      <c r="K327" s="1020"/>
      <c r="L327" s="1066"/>
      <c r="M327" s="1020"/>
      <c r="N327" s="1020"/>
      <c r="O327" s="1020"/>
      <c r="P327" s="1020"/>
      <c r="Q327" s="1020"/>
      <c r="R327" s="1020"/>
      <c r="S327" s="1020"/>
      <c r="T327" s="1036"/>
      <c r="U327" s="1036"/>
      <c r="V327" s="1020"/>
      <c r="W327" s="1020"/>
      <c r="X327" s="1020"/>
      <c r="Y327" s="1020"/>
      <c r="Z327" s="1020"/>
      <c r="AA327" s="1020"/>
      <c r="AB327" s="1020"/>
      <c r="AC327" s="1020"/>
      <c r="AD327" s="1020"/>
      <c r="AE327" s="1020"/>
      <c r="AF327" s="1020"/>
      <c r="AG327" s="1020"/>
      <c r="AH327" s="1020"/>
      <c r="AI327" s="1020"/>
      <c r="AJ327" s="1020"/>
      <c r="AK327" s="1020"/>
      <c r="AL327" s="1020"/>
      <c r="AM327" s="1020"/>
      <c r="AN327" s="1020"/>
      <c r="AO327" s="1020"/>
      <c r="AP327" s="1020"/>
      <c r="AQ327" s="1020"/>
      <c r="AR327" s="1020"/>
      <c r="AS327" s="1020"/>
      <c r="AT327" s="1020"/>
      <c r="AU327" s="1020"/>
      <c r="AV327" s="1020"/>
      <c r="AW327" s="1020"/>
      <c r="AX327" s="1020"/>
    </row>
    <row r="328" spans="4:50" ht="12.75" customHeight="1">
      <c r="D328" s="1071"/>
      <c r="E328" s="1070"/>
      <c r="F328" s="1070"/>
      <c r="G328" s="1070"/>
      <c r="H328" s="1070"/>
      <c r="I328" s="1020"/>
      <c r="J328" s="1020"/>
      <c r="K328" s="1020"/>
      <c r="L328" s="1066"/>
      <c r="M328" s="1020"/>
      <c r="N328" s="1020"/>
      <c r="O328" s="1020"/>
      <c r="P328" s="1020"/>
      <c r="Q328" s="1020"/>
      <c r="R328" s="1020"/>
      <c r="S328" s="1020"/>
      <c r="T328" s="1036"/>
      <c r="U328" s="1036"/>
      <c r="V328" s="1020"/>
      <c r="W328" s="1020"/>
      <c r="X328" s="1020"/>
      <c r="Y328" s="1020"/>
      <c r="Z328" s="1020"/>
      <c r="AA328" s="1020"/>
      <c r="AB328" s="1020"/>
      <c r="AC328" s="1020"/>
      <c r="AD328" s="1020"/>
      <c r="AE328" s="1020"/>
      <c r="AF328" s="1020"/>
      <c r="AG328" s="1020"/>
      <c r="AH328" s="1020"/>
      <c r="AI328" s="1020"/>
      <c r="AJ328" s="1020"/>
      <c r="AK328" s="1020"/>
      <c r="AL328" s="1020"/>
      <c r="AM328" s="1020"/>
      <c r="AN328" s="1020"/>
      <c r="AO328" s="1020"/>
      <c r="AP328" s="1020"/>
      <c r="AQ328" s="1020"/>
      <c r="AR328" s="1020"/>
      <c r="AS328" s="1020"/>
      <c r="AT328" s="1020"/>
      <c r="AU328" s="1020"/>
      <c r="AV328" s="1020"/>
      <c r="AW328" s="1020"/>
      <c r="AX328" s="1020"/>
    </row>
    <row r="329" spans="4:50" ht="12.75" customHeight="1">
      <c r="D329" s="1071"/>
      <c r="E329" s="1070"/>
      <c r="F329" s="1070"/>
      <c r="G329" s="1070"/>
      <c r="H329" s="1070"/>
      <c r="I329" s="1020"/>
      <c r="J329" s="1020"/>
      <c r="K329" s="1020"/>
      <c r="L329" s="1066"/>
      <c r="M329" s="1020"/>
      <c r="N329" s="1020"/>
      <c r="O329" s="1020"/>
      <c r="P329" s="1020"/>
      <c r="Q329" s="1020"/>
      <c r="R329" s="1020"/>
      <c r="S329" s="1020"/>
      <c r="T329" s="1036"/>
      <c r="U329" s="1036"/>
      <c r="V329" s="1020"/>
      <c r="W329" s="1020"/>
      <c r="X329" s="1020"/>
      <c r="Y329" s="1020"/>
      <c r="Z329" s="1020"/>
      <c r="AA329" s="1020"/>
      <c r="AB329" s="1020"/>
      <c r="AC329" s="1020"/>
      <c r="AD329" s="1020"/>
      <c r="AE329" s="1020"/>
      <c r="AF329" s="1020"/>
      <c r="AG329" s="1020"/>
      <c r="AH329" s="1020"/>
      <c r="AI329" s="1020"/>
      <c r="AJ329" s="1020"/>
      <c r="AK329" s="1020"/>
      <c r="AL329" s="1020"/>
      <c r="AM329" s="1020"/>
      <c r="AN329" s="1020"/>
      <c r="AO329" s="1020"/>
      <c r="AP329" s="1020"/>
      <c r="AQ329" s="1020"/>
      <c r="AR329" s="1020"/>
      <c r="AS329" s="1020"/>
      <c r="AT329" s="1020"/>
      <c r="AU329" s="1020"/>
      <c r="AV329" s="1020"/>
      <c r="AW329" s="1020"/>
      <c r="AX329" s="1020"/>
    </row>
    <row r="330" spans="4:50" ht="12.75" customHeight="1">
      <c r="D330" s="1071"/>
      <c r="E330" s="1070"/>
      <c r="F330" s="1070"/>
      <c r="G330" s="1070"/>
      <c r="H330" s="1070"/>
      <c r="I330" s="1020"/>
      <c r="J330" s="1020"/>
      <c r="K330" s="1020"/>
      <c r="L330" s="1066"/>
      <c r="M330" s="1020"/>
      <c r="N330" s="1020"/>
      <c r="O330" s="1020"/>
      <c r="P330" s="1020"/>
      <c r="Q330" s="1020"/>
      <c r="R330" s="1020"/>
      <c r="S330" s="1020"/>
      <c r="T330" s="1036"/>
      <c r="U330" s="1036"/>
      <c r="V330" s="1020"/>
      <c r="W330" s="1020"/>
      <c r="X330" s="1020"/>
      <c r="Y330" s="1020"/>
      <c r="Z330" s="1020"/>
      <c r="AA330" s="1020"/>
      <c r="AB330" s="1020"/>
      <c r="AC330" s="1020"/>
      <c r="AD330" s="1020"/>
      <c r="AE330" s="1020"/>
      <c r="AF330" s="1020"/>
      <c r="AG330" s="1020"/>
      <c r="AH330" s="1020"/>
      <c r="AI330" s="1020"/>
      <c r="AJ330" s="1020"/>
      <c r="AK330" s="1020"/>
      <c r="AL330" s="1020"/>
      <c r="AM330" s="1020"/>
      <c r="AN330" s="1020"/>
      <c r="AO330" s="1020"/>
      <c r="AP330" s="1020"/>
      <c r="AQ330" s="1020"/>
      <c r="AR330" s="1020"/>
      <c r="AS330" s="1020"/>
      <c r="AT330" s="1020"/>
      <c r="AU330" s="1020"/>
      <c r="AV330" s="1020"/>
      <c r="AW330" s="1020"/>
      <c r="AX330" s="1020"/>
    </row>
    <row r="331" spans="4:50" ht="12.75" customHeight="1">
      <c r="D331" s="1071"/>
      <c r="E331" s="1070"/>
      <c r="F331" s="1070"/>
      <c r="G331" s="1070"/>
      <c r="H331" s="1070"/>
      <c r="I331" s="1020"/>
      <c r="J331" s="1020"/>
      <c r="K331" s="1020"/>
      <c r="L331" s="1066"/>
      <c r="M331" s="1020"/>
      <c r="N331" s="1020"/>
      <c r="O331" s="1020"/>
      <c r="P331" s="1020"/>
      <c r="Q331" s="1020"/>
      <c r="R331" s="1020"/>
      <c r="S331" s="1020"/>
      <c r="T331" s="1036"/>
      <c r="U331" s="1036"/>
      <c r="V331" s="1020"/>
      <c r="W331" s="1020"/>
      <c r="X331" s="1020"/>
      <c r="Y331" s="1020"/>
      <c r="Z331" s="1020"/>
      <c r="AA331" s="1020"/>
      <c r="AB331" s="1020"/>
      <c r="AC331" s="1020"/>
      <c r="AD331" s="1020"/>
      <c r="AE331" s="1020"/>
      <c r="AF331" s="1020"/>
      <c r="AG331" s="1020"/>
      <c r="AH331" s="1020"/>
      <c r="AI331" s="1020"/>
      <c r="AJ331" s="1020"/>
      <c r="AK331" s="1020"/>
      <c r="AL331" s="1020"/>
      <c r="AM331" s="1020"/>
      <c r="AN331" s="1020"/>
      <c r="AO331" s="1020"/>
      <c r="AP331" s="1020"/>
      <c r="AQ331" s="1020"/>
      <c r="AR331" s="1020"/>
      <c r="AS331" s="1020"/>
      <c r="AT331" s="1020"/>
      <c r="AU331" s="1020"/>
      <c r="AV331" s="1020"/>
      <c r="AW331" s="1020"/>
      <c r="AX331" s="1020"/>
    </row>
    <row r="332" spans="4:50" ht="12.75" customHeight="1">
      <c r="D332" s="1071"/>
      <c r="E332" s="1070"/>
      <c r="F332" s="1070"/>
      <c r="G332" s="1070"/>
      <c r="H332" s="1070"/>
      <c r="I332" s="1020"/>
      <c r="J332" s="1020"/>
      <c r="K332" s="1020"/>
      <c r="L332" s="1066"/>
      <c r="M332" s="1020"/>
      <c r="N332" s="1020"/>
      <c r="O332" s="1020"/>
      <c r="P332" s="1020"/>
      <c r="Q332" s="1020"/>
      <c r="R332" s="1020"/>
      <c r="S332" s="1020"/>
      <c r="T332" s="1036"/>
      <c r="U332" s="1036"/>
      <c r="V332" s="1020"/>
      <c r="W332" s="1020"/>
      <c r="X332" s="1020"/>
      <c r="Y332" s="1020"/>
      <c r="Z332" s="1020"/>
      <c r="AA332" s="1020"/>
      <c r="AB332" s="1020"/>
      <c r="AC332" s="1020"/>
      <c r="AD332" s="1020"/>
      <c r="AE332" s="1020"/>
      <c r="AF332" s="1020"/>
      <c r="AG332" s="1020"/>
      <c r="AH332" s="1020"/>
      <c r="AI332" s="1020"/>
      <c r="AJ332" s="1020"/>
      <c r="AK332" s="1020"/>
      <c r="AL332" s="1020"/>
      <c r="AM332" s="1020"/>
      <c r="AN332" s="1020"/>
      <c r="AO332" s="1020"/>
      <c r="AP332" s="1020"/>
      <c r="AQ332" s="1020"/>
      <c r="AR332" s="1020"/>
      <c r="AS332" s="1020"/>
      <c r="AT332" s="1020"/>
      <c r="AU332" s="1020"/>
      <c r="AV332" s="1020"/>
      <c r="AW332" s="1020"/>
      <c r="AX332" s="1020"/>
    </row>
    <row r="333" spans="4:50" ht="12.75" customHeight="1">
      <c r="D333" s="1071"/>
      <c r="E333" s="1070"/>
      <c r="F333" s="1070"/>
      <c r="G333" s="1070"/>
      <c r="H333" s="1070"/>
      <c r="I333" s="1020"/>
      <c r="J333" s="1020"/>
      <c r="K333" s="1020"/>
      <c r="L333" s="1066"/>
      <c r="M333" s="1020"/>
      <c r="N333" s="1020"/>
      <c r="O333" s="1020"/>
      <c r="P333" s="1020"/>
      <c r="Q333" s="1020"/>
      <c r="R333" s="1020"/>
      <c r="S333" s="1020"/>
      <c r="T333" s="1036"/>
      <c r="U333" s="1036"/>
      <c r="V333" s="1020"/>
      <c r="W333" s="1020"/>
      <c r="X333" s="1020"/>
      <c r="Y333" s="1020"/>
      <c r="Z333" s="1020"/>
      <c r="AA333" s="1020"/>
      <c r="AB333" s="1020"/>
      <c r="AC333" s="1020"/>
      <c r="AD333" s="1020"/>
      <c r="AE333" s="1020"/>
      <c r="AF333" s="1020"/>
      <c r="AG333" s="1020"/>
      <c r="AH333" s="1020"/>
      <c r="AI333" s="1020"/>
      <c r="AJ333" s="1020"/>
      <c r="AK333" s="1020"/>
      <c r="AL333" s="1020"/>
      <c r="AM333" s="1020"/>
      <c r="AN333" s="1020"/>
      <c r="AO333" s="1020"/>
      <c r="AP333" s="1020"/>
      <c r="AQ333" s="1020"/>
      <c r="AR333" s="1020"/>
      <c r="AS333" s="1020"/>
      <c r="AT333" s="1020"/>
      <c r="AU333" s="1020"/>
      <c r="AV333" s="1020"/>
      <c r="AW333" s="1020"/>
      <c r="AX333" s="1020"/>
    </row>
    <row r="334" spans="4:50" ht="12.75" customHeight="1">
      <c r="D334" s="1071"/>
      <c r="E334" s="1070"/>
      <c r="F334" s="1070"/>
      <c r="G334" s="1070"/>
      <c r="H334" s="1070"/>
      <c r="I334" s="1020"/>
      <c r="J334" s="1020"/>
      <c r="K334" s="1020"/>
      <c r="L334" s="1066"/>
      <c r="M334" s="1020"/>
      <c r="N334" s="1020"/>
      <c r="O334" s="1020"/>
      <c r="P334" s="1020"/>
      <c r="Q334" s="1020"/>
      <c r="R334" s="1020"/>
      <c r="S334" s="1020"/>
      <c r="T334" s="1036"/>
      <c r="U334" s="1036"/>
      <c r="V334" s="1020"/>
      <c r="W334" s="1020"/>
      <c r="X334" s="1020"/>
      <c r="Y334" s="1020"/>
      <c r="Z334" s="1020"/>
      <c r="AA334" s="1020"/>
      <c r="AB334" s="1020"/>
      <c r="AC334" s="1020"/>
      <c r="AD334" s="1020"/>
      <c r="AE334" s="1020"/>
      <c r="AF334" s="1020"/>
      <c r="AG334" s="1020"/>
      <c r="AH334" s="1020"/>
      <c r="AI334" s="1020"/>
      <c r="AJ334" s="1020"/>
      <c r="AK334" s="1020"/>
      <c r="AL334" s="1020"/>
      <c r="AM334" s="1020"/>
      <c r="AN334" s="1020"/>
      <c r="AO334" s="1020"/>
      <c r="AP334" s="1020"/>
      <c r="AQ334" s="1020"/>
      <c r="AR334" s="1020"/>
      <c r="AS334" s="1020"/>
      <c r="AT334" s="1020"/>
      <c r="AU334" s="1020"/>
      <c r="AV334" s="1020"/>
      <c r="AW334" s="1020"/>
      <c r="AX334" s="1020"/>
    </row>
    <row r="335" spans="4:50" ht="12.75" customHeight="1">
      <c r="D335" s="1071"/>
      <c r="E335" s="1070"/>
      <c r="F335" s="1070"/>
      <c r="G335" s="1070"/>
      <c r="H335" s="1070"/>
      <c r="I335" s="1020"/>
      <c r="J335" s="1020"/>
      <c r="K335" s="1020"/>
      <c r="L335" s="1066"/>
      <c r="M335" s="1020"/>
      <c r="N335" s="1020"/>
      <c r="O335" s="1020"/>
      <c r="P335" s="1020"/>
      <c r="Q335" s="1020"/>
      <c r="R335" s="1020"/>
      <c r="S335" s="1020"/>
      <c r="T335" s="1036"/>
      <c r="U335" s="1036"/>
      <c r="V335" s="1020"/>
      <c r="W335" s="1020"/>
      <c r="X335" s="1020"/>
      <c r="Y335" s="1020"/>
      <c r="Z335" s="1020"/>
      <c r="AA335" s="1020"/>
      <c r="AB335" s="1020"/>
      <c r="AC335" s="1020"/>
      <c r="AD335" s="1020"/>
      <c r="AE335" s="1020"/>
      <c r="AF335" s="1020"/>
      <c r="AG335" s="1020"/>
      <c r="AH335" s="1020"/>
      <c r="AI335" s="1020"/>
      <c r="AJ335" s="1020"/>
      <c r="AK335" s="1020"/>
      <c r="AL335" s="1020"/>
      <c r="AM335" s="1020"/>
      <c r="AN335" s="1020"/>
      <c r="AO335" s="1020"/>
      <c r="AP335" s="1020"/>
      <c r="AQ335" s="1020"/>
      <c r="AR335" s="1020"/>
      <c r="AS335" s="1020"/>
      <c r="AT335" s="1020"/>
      <c r="AU335" s="1020"/>
      <c r="AV335" s="1020"/>
      <c r="AW335" s="1020"/>
      <c r="AX335" s="1020"/>
    </row>
    <row r="336" spans="4:50" ht="12.75" customHeight="1">
      <c r="D336" s="1071"/>
      <c r="E336" s="1070"/>
      <c r="F336" s="1070"/>
      <c r="G336" s="1070"/>
      <c r="H336" s="1070"/>
      <c r="I336" s="1020"/>
      <c r="J336" s="1020"/>
      <c r="K336" s="1020"/>
      <c r="L336" s="1066"/>
      <c r="M336" s="1020"/>
      <c r="N336" s="1020"/>
      <c r="O336" s="1020"/>
      <c r="P336" s="1020"/>
      <c r="Q336" s="1020"/>
      <c r="R336" s="1020"/>
      <c r="S336" s="1020"/>
      <c r="T336" s="1036"/>
      <c r="U336" s="1036"/>
      <c r="V336" s="1020"/>
      <c r="W336" s="1020"/>
      <c r="X336" s="1020"/>
      <c r="Y336" s="1020"/>
      <c r="Z336" s="1020"/>
      <c r="AA336" s="1020"/>
      <c r="AB336" s="1020"/>
      <c r="AC336" s="1020"/>
      <c r="AD336" s="1020"/>
      <c r="AE336" s="1020"/>
      <c r="AF336" s="1020"/>
      <c r="AG336" s="1020"/>
      <c r="AH336" s="1020"/>
      <c r="AI336" s="1020"/>
      <c r="AJ336" s="1020"/>
      <c r="AK336" s="1020"/>
      <c r="AL336" s="1020"/>
      <c r="AM336" s="1020"/>
      <c r="AN336" s="1020"/>
      <c r="AO336" s="1020"/>
      <c r="AP336" s="1020"/>
      <c r="AQ336" s="1020"/>
      <c r="AR336" s="1020"/>
      <c r="AS336" s="1020"/>
      <c r="AT336" s="1020"/>
      <c r="AU336" s="1020"/>
      <c r="AV336" s="1020"/>
      <c r="AW336" s="1020"/>
      <c r="AX336" s="1020"/>
    </row>
    <row r="337" spans="4:50" ht="12.75" customHeight="1">
      <c r="D337" s="1071"/>
      <c r="E337" s="1070"/>
      <c r="F337" s="1070"/>
      <c r="G337" s="1070"/>
      <c r="H337" s="1070"/>
      <c r="I337" s="1020"/>
      <c r="J337" s="1020"/>
      <c r="K337" s="1020"/>
      <c r="L337" s="1066"/>
      <c r="M337" s="1020"/>
      <c r="N337" s="1020"/>
      <c r="O337" s="1020"/>
      <c r="P337" s="1020"/>
      <c r="Q337" s="1020"/>
      <c r="R337" s="1020"/>
      <c r="S337" s="1020"/>
      <c r="T337" s="1036"/>
      <c r="U337" s="1036"/>
      <c r="V337" s="1020"/>
      <c r="W337" s="1020"/>
      <c r="X337" s="1020"/>
      <c r="Y337" s="1020"/>
      <c r="Z337" s="1020"/>
      <c r="AA337" s="1020"/>
      <c r="AB337" s="1020"/>
      <c r="AC337" s="1020"/>
      <c r="AD337" s="1020"/>
      <c r="AE337" s="1020"/>
      <c r="AF337" s="1020"/>
      <c r="AG337" s="1020"/>
      <c r="AH337" s="1020"/>
      <c r="AI337" s="1020"/>
      <c r="AJ337" s="1020"/>
      <c r="AK337" s="1020"/>
      <c r="AL337" s="1020"/>
      <c r="AM337" s="1020"/>
      <c r="AN337" s="1020"/>
      <c r="AO337" s="1020"/>
      <c r="AP337" s="1020"/>
      <c r="AQ337" s="1020"/>
      <c r="AR337" s="1020"/>
      <c r="AS337" s="1020"/>
      <c r="AT337" s="1020"/>
      <c r="AU337" s="1020"/>
      <c r="AV337" s="1020"/>
      <c r="AW337" s="1020"/>
      <c r="AX337" s="1020"/>
    </row>
    <row r="338" spans="4:50" ht="12.75" customHeight="1">
      <c r="D338" s="1071"/>
      <c r="E338" s="1070"/>
      <c r="F338" s="1070"/>
      <c r="G338" s="1070"/>
      <c r="H338" s="1070"/>
      <c r="I338" s="1020"/>
      <c r="J338" s="1020"/>
      <c r="K338" s="1020"/>
      <c r="L338" s="1066"/>
      <c r="M338" s="1020"/>
      <c r="N338" s="1020"/>
      <c r="O338" s="1020"/>
      <c r="P338" s="1020"/>
      <c r="Q338" s="1020"/>
      <c r="R338" s="1020"/>
      <c r="S338" s="1020"/>
      <c r="T338" s="1036"/>
      <c r="U338" s="1036"/>
      <c r="V338" s="1020"/>
      <c r="W338" s="1020"/>
      <c r="X338" s="1020"/>
      <c r="Y338" s="1020"/>
      <c r="Z338" s="1020"/>
      <c r="AA338" s="1020"/>
      <c r="AB338" s="1020"/>
      <c r="AC338" s="1020"/>
      <c r="AD338" s="1020"/>
      <c r="AE338" s="1020"/>
      <c r="AF338" s="1020"/>
      <c r="AG338" s="1020"/>
      <c r="AH338" s="1020"/>
      <c r="AI338" s="1020"/>
      <c r="AJ338" s="1020"/>
      <c r="AK338" s="1020"/>
      <c r="AL338" s="1020"/>
      <c r="AM338" s="1020"/>
      <c r="AN338" s="1020"/>
      <c r="AO338" s="1020"/>
      <c r="AP338" s="1020"/>
      <c r="AQ338" s="1020"/>
      <c r="AR338" s="1020"/>
      <c r="AS338" s="1020"/>
      <c r="AT338" s="1020"/>
      <c r="AU338" s="1020"/>
      <c r="AV338" s="1020"/>
      <c r="AW338" s="1020"/>
      <c r="AX338" s="1020"/>
    </row>
    <row r="339" spans="4:50" ht="12.75" customHeight="1">
      <c r="D339" s="1071"/>
      <c r="E339" s="1070"/>
      <c r="F339" s="1070"/>
      <c r="G339" s="1070"/>
      <c r="H339" s="1070"/>
      <c r="I339" s="1020"/>
      <c r="J339" s="1020"/>
      <c r="K339" s="1020"/>
      <c r="L339" s="1066"/>
      <c r="M339" s="1020"/>
      <c r="N339" s="1020"/>
      <c r="O339" s="1020"/>
      <c r="P339" s="1020"/>
      <c r="Q339" s="1020"/>
      <c r="R339" s="1020"/>
      <c r="S339" s="1020"/>
      <c r="T339" s="1036"/>
      <c r="U339" s="1036"/>
      <c r="V339" s="1020"/>
      <c r="W339" s="1020"/>
      <c r="X339" s="1020"/>
      <c r="Y339" s="1020"/>
      <c r="Z339" s="1020"/>
      <c r="AA339" s="1020"/>
      <c r="AB339" s="1020"/>
      <c r="AC339" s="1020"/>
      <c r="AD339" s="1020"/>
      <c r="AE339" s="1020"/>
      <c r="AF339" s="1020"/>
      <c r="AG339" s="1020"/>
      <c r="AH339" s="1020"/>
      <c r="AI339" s="1020"/>
      <c r="AJ339" s="1020"/>
      <c r="AK339" s="1020"/>
      <c r="AL339" s="1020"/>
      <c r="AM339" s="1020"/>
      <c r="AN339" s="1020"/>
      <c r="AO339" s="1020"/>
      <c r="AP339" s="1020"/>
      <c r="AQ339" s="1020"/>
      <c r="AR339" s="1020"/>
      <c r="AS339" s="1020"/>
      <c r="AT339" s="1020"/>
      <c r="AU339" s="1020"/>
      <c r="AV339" s="1020"/>
      <c r="AW339" s="1020"/>
      <c r="AX339" s="1020"/>
    </row>
    <row r="340" spans="4:50" ht="12.75" customHeight="1">
      <c r="D340" s="1071"/>
      <c r="E340" s="1070"/>
      <c r="F340" s="1070"/>
      <c r="G340" s="1070"/>
      <c r="H340" s="1070"/>
      <c r="I340" s="1020"/>
      <c r="J340" s="1020"/>
      <c r="K340" s="1020"/>
      <c r="L340" s="1066"/>
      <c r="M340" s="1020"/>
      <c r="N340" s="1020"/>
      <c r="O340" s="1020"/>
      <c r="P340" s="1020"/>
      <c r="Q340" s="1020"/>
      <c r="R340" s="1020"/>
      <c r="S340" s="1020"/>
      <c r="T340" s="1036"/>
      <c r="U340" s="1036"/>
      <c r="V340" s="1020"/>
      <c r="W340" s="1020"/>
      <c r="X340" s="1020"/>
      <c r="Y340" s="1020"/>
      <c r="Z340" s="1020"/>
      <c r="AA340" s="1020"/>
      <c r="AB340" s="1020"/>
      <c r="AC340" s="1020"/>
      <c r="AD340" s="1020"/>
      <c r="AE340" s="1020"/>
      <c r="AF340" s="1020"/>
      <c r="AG340" s="1020"/>
      <c r="AH340" s="1020"/>
      <c r="AI340" s="1020"/>
      <c r="AJ340" s="1020"/>
      <c r="AK340" s="1020"/>
      <c r="AL340" s="1020"/>
      <c r="AM340" s="1020"/>
      <c r="AN340" s="1020"/>
      <c r="AO340" s="1020"/>
      <c r="AP340" s="1020"/>
      <c r="AQ340" s="1020"/>
      <c r="AR340" s="1020"/>
      <c r="AS340" s="1020"/>
      <c r="AT340" s="1020"/>
      <c r="AU340" s="1020"/>
      <c r="AV340" s="1020"/>
      <c r="AW340" s="1020"/>
      <c r="AX340" s="1020"/>
    </row>
    <row r="341" spans="4:50" ht="12.75" customHeight="1">
      <c r="D341" s="1071"/>
      <c r="E341" s="1070"/>
      <c r="F341" s="1070"/>
      <c r="G341" s="1070"/>
      <c r="H341" s="1070"/>
      <c r="I341" s="1020"/>
      <c r="J341" s="1020"/>
      <c r="K341" s="1020"/>
      <c r="L341" s="1066"/>
      <c r="M341" s="1020"/>
      <c r="N341" s="1020"/>
      <c r="O341" s="1020"/>
      <c r="P341" s="1020"/>
      <c r="Q341" s="1020"/>
      <c r="R341" s="1020"/>
      <c r="S341" s="1020"/>
      <c r="T341" s="1036"/>
      <c r="U341" s="1036"/>
      <c r="V341" s="1020"/>
      <c r="W341" s="1020"/>
      <c r="X341" s="1020"/>
      <c r="Y341" s="1020"/>
      <c r="Z341" s="1020"/>
      <c r="AA341" s="1020"/>
      <c r="AB341" s="1020"/>
      <c r="AC341" s="1020"/>
      <c r="AD341" s="1020"/>
      <c r="AE341" s="1020"/>
      <c r="AF341" s="1020"/>
      <c r="AG341" s="1020"/>
      <c r="AH341" s="1020"/>
      <c r="AI341" s="1020"/>
      <c r="AJ341" s="1020"/>
      <c r="AK341" s="1020"/>
      <c r="AL341" s="1020"/>
      <c r="AM341" s="1020"/>
      <c r="AN341" s="1020"/>
      <c r="AO341" s="1020"/>
      <c r="AP341" s="1020"/>
      <c r="AQ341" s="1020"/>
      <c r="AR341" s="1020"/>
      <c r="AS341" s="1020"/>
      <c r="AT341" s="1020"/>
      <c r="AU341" s="1020"/>
      <c r="AV341" s="1020"/>
      <c r="AW341" s="1020"/>
      <c r="AX341" s="1020"/>
    </row>
    <row r="342" spans="4:50" ht="12.75" customHeight="1">
      <c r="D342" s="1071"/>
      <c r="E342" s="1070"/>
      <c r="F342" s="1070"/>
      <c r="G342" s="1070"/>
      <c r="H342" s="1070"/>
      <c r="I342" s="1020"/>
      <c r="J342" s="1020"/>
      <c r="K342" s="1020"/>
      <c r="L342" s="1066"/>
      <c r="M342" s="1020"/>
      <c r="N342" s="1020"/>
      <c r="O342" s="1020"/>
      <c r="P342" s="1020"/>
      <c r="Q342" s="1020"/>
      <c r="R342" s="1020"/>
      <c r="S342" s="1020"/>
      <c r="T342" s="1036"/>
      <c r="U342" s="1036"/>
      <c r="V342" s="1020"/>
      <c r="W342" s="1020"/>
      <c r="X342" s="1020"/>
      <c r="Y342" s="1020"/>
      <c r="Z342" s="1020"/>
      <c r="AA342" s="1020"/>
      <c r="AB342" s="1020"/>
      <c r="AC342" s="1020"/>
      <c r="AD342" s="1020"/>
      <c r="AE342" s="1020"/>
      <c r="AF342" s="1020"/>
      <c r="AG342" s="1020"/>
      <c r="AH342" s="1020"/>
      <c r="AI342" s="1020"/>
      <c r="AJ342" s="1020"/>
      <c r="AK342" s="1020"/>
      <c r="AL342" s="1020"/>
      <c r="AM342" s="1020"/>
      <c r="AN342" s="1020"/>
      <c r="AO342" s="1020"/>
      <c r="AP342" s="1020"/>
      <c r="AQ342" s="1020"/>
      <c r="AR342" s="1020"/>
      <c r="AS342" s="1020"/>
      <c r="AT342" s="1020"/>
      <c r="AU342" s="1020"/>
      <c r="AV342" s="1020"/>
      <c r="AW342" s="1020"/>
      <c r="AX342" s="1020"/>
    </row>
    <row r="343" spans="4:50" ht="12.75" customHeight="1">
      <c r="D343" s="1071"/>
      <c r="E343" s="1070"/>
      <c r="F343" s="1070"/>
      <c r="G343" s="1070"/>
      <c r="H343" s="1070"/>
      <c r="I343" s="1020"/>
      <c r="J343" s="1020"/>
      <c r="K343" s="1020"/>
      <c r="L343" s="1066"/>
      <c r="M343" s="1020"/>
      <c r="N343" s="1020"/>
      <c r="O343" s="1020"/>
      <c r="P343" s="1020"/>
      <c r="Q343" s="1020"/>
      <c r="R343" s="1020"/>
      <c r="S343" s="1020"/>
      <c r="T343" s="1036"/>
      <c r="U343" s="1036"/>
      <c r="V343" s="1020"/>
      <c r="W343" s="1020"/>
      <c r="X343" s="1020"/>
      <c r="Y343" s="1020"/>
      <c r="Z343" s="1020"/>
      <c r="AA343" s="1020"/>
      <c r="AB343" s="1020"/>
      <c r="AC343" s="1020"/>
      <c r="AD343" s="1020"/>
      <c r="AE343" s="1020"/>
      <c r="AF343" s="1020"/>
      <c r="AG343" s="1020"/>
      <c r="AH343" s="1020"/>
      <c r="AI343" s="1020"/>
      <c r="AJ343" s="1020"/>
      <c r="AK343" s="1020"/>
      <c r="AL343" s="1020"/>
      <c r="AM343" s="1020"/>
      <c r="AN343" s="1020"/>
      <c r="AO343" s="1020"/>
      <c r="AP343" s="1020"/>
      <c r="AQ343" s="1020"/>
      <c r="AR343" s="1020"/>
      <c r="AS343" s="1020"/>
      <c r="AT343" s="1020"/>
      <c r="AU343" s="1020"/>
      <c r="AV343" s="1020"/>
      <c r="AW343" s="1020"/>
      <c r="AX343" s="1020"/>
    </row>
    <row r="344" spans="4:50" ht="12.75" customHeight="1">
      <c r="D344" s="1071"/>
      <c r="E344" s="1070"/>
      <c r="F344" s="1070"/>
      <c r="G344" s="1070"/>
      <c r="H344" s="1070"/>
      <c r="I344" s="1020"/>
      <c r="J344" s="1020"/>
      <c r="K344" s="1020"/>
      <c r="L344" s="1066"/>
      <c r="M344" s="1020"/>
      <c r="N344" s="1020"/>
      <c r="O344" s="1020"/>
      <c r="P344" s="1020"/>
      <c r="Q344" s="1020"/>
      <c r="R344" s="1020"/>
      <c r="S344" s="1020"/>
      <c r="T344" s="1036"/>
      <c r="U344" s="1036"/>
      <c r="V344" s="1020"/>
      <c r="W344" s="1020"/>
      <c r="X344" s="1020"/>
      <c r="Y344" s="1020"/>
      <c r="Z344" s="1020"/>
      <c r="AA344" s="1020"/>
      <c r="AB344" s="1020"/>
      <c r="AC344" s="1020"/>
      <c r="AD344" s="1020"/>
      <c r="AE344" s="1020"/>
      <c r="AF344" s="1020"/>
      <c r="AG344" s="1020"/>
      <c r="AH344" s="1020"/>
      <c r="AI344" s="1020"/>
      <c r="AJ344" s="1020"/>
      <c r="AK344" s="1020"/>
      <c r="AL344" s="1020"/>
      <c r="AM344" s="1020"/>
      <c r="AN344" s="1020"/>
      <c r="AO344" s="1020"/>
      <c r="AP344" s="1020"/>
      <c r="AQ344" s="1020"/>
      <c r="AR344" s="1020"/>
      <c r="AS344" s="1020"/>
      <c r="AT344" s="1020"/>
      <c r="AU344" s="1020"/>
      <c r="AV344" s="1020"/>
      <c r="AW344" s="1020"/>
      <c r="AX344" s="1020"/>
    </row>
    <row r="345" spans="4:50" ht="12.75" customHeight="1">
      <c r="D345" s="1071"/>
      <c r="E345" s="1070"/>
      <c r="F345" s="1070"/>
      <c r="G345" s="1070"/>
      <c r="H345" s="1070"/>
      <c r="I345" s="1020"/>
      <c r="J345" s="1020"/>
      <c r="K345" s="1020"/>
      <c r="L345" s="1066"/>
      <c r="M345" s="1020"/>
      <c r="N345" s="1020"/>
      <c r="O345" s="1020"/>
      <c r="P345" s="1020"/>
      <c r="Q345" s="1020"/>
      <c r="R345" s="1020"/>
      <c r="S345" s="1020"/>
      <c r="T345" s="1036"/>
      <c r="U345" s="1036"/>
      <c r="V345" s="1020"/>
      <c r="W345" s="1020"/>
      <c r="X345" s="1020"/>
      <c r="Y345" s="1020"/>
      <c r="Z345" s="1020"/>
      <c r="AA345" s="1020"/>
      <c r="AB345" s="1020"/>
      <c r="AC345" s="1020"/>
      <c r="AD345" s="1020"/>
      <c r="AE345" s="1020"/>
      <c r="AF345" s="1020"/>
      <c r="AG345" s="1020"/>
      <c r="AH345" s="1020"/>
      <c r="AI345" s="1020"/>
      <c r="AJ345" s="1020"/>
      <c r="AK345" s="1020"/>
      <c r="AL345" s="1020"/>
      <c r="AM345" s="1020"/>
      <c r="AN345" s="1020"/>
      <c r="AO345" s="1020"/>
      <c r="AP345" s="1020"/>
      <c r="AQ345" s="1020"/>
      <c r="AR345" s="1020"/>
      <c r="AS345" s="1020"/>
      <c r="AT345" s="1020"/>
      <c r="AU345" s="1020"/>
      <c r="AV345" s="1020"/>
      <c r="AW345" s="1020"/>
      <c r="AX345" s="1020"/>
    </row>
    <row r="346" spans="4:50" ht="12.75" customHeight="1">
      <c r="D346" s="1071"/>
      <c r="E346" s="1070"/>
      <c r="F346" s="1070"/>
      <c r="G346" s="1070"/>
      <c r="H346" s="1070"/>
      <c r="I346" s="1020"/>
      <c r="J346" s="1020"/>
      <c r="K346" s="1020"/>
      <c r="L346" s="1066"/>
      <c r="M346" s="1020"/>
      <c r="N346" s="1020"/>
      <c r="O346" s="1020"/>
      <c r="P346" s="1020"/>
      <c r="Q346" s="1020"/>
      <c r="R346" s="1020"/>
      <c r="S346" s="1020"/>
      <c r="T346" s="1036"/>
      <c r="U346" s="1036"/>
      <c r="V346" s="1020"/>
      <c r="W346" s="1020"/>
      <c r="X346" s="1020"/>
      <c r="Y346" s="1020"/>
      <c r="Z346" s="1020"/>
      <c r="AA346" s="1020"/>
      <c r="AB346" s="1020"/>
      <c r="AC346" s="1020"/>
      <c r="AD346" s="1020"/>
      <c r="AE346" s="1020"/>
      <c r="AF346" s="1020"/>
      <c r="AG346" s="1020"/>
      <c r="AH346" s="1020"/>
      <c r="AI346" s="1020"/>
      <c r="AJ346" s="1020"/>
      <c r="AK346" s="1020"/>
      <c r="AL346" s="1020"/>
      <c r="AM346" s="1020"/>
      <c r="AN346" s="1020"/>
      <c r="AO346" s="1020"/>
      <c r="AP346" s="1020"/>
      <c r="AQ346" s="1020"/>
      <c r="AR346" s="1020"/>
      <c r="AS346" s="1020"/>
      <c r="AT346" s="1020"/>
      <c r="AU346" s="1020"/>
      <c r="AV346" s="1020"/>
      <c r="AW346" s="1020"/>
      <c r="AX346" s="1020"/>
    </row>
    <row r="347" spans="4:50" ht="12.75" customHeight="1">
      <c r="D347" s="1071"/>
      <c r="E347" s="1070"/>
      <c r="F347" s="1070"/>
      <c r="G347" s="1070"/>
      <c r="H347" s="1070"/>
      <c r="I347" s="1020"/>
      <c r="J347" s="1020"/>
      <c r="K347" s="1020"/>
      <c r="L347" s="1066"/>
      <c r="M347" s="1020"/>
      <c r="N347" s="1020"/>
      <c r="O347" s="1020"/>
      <c r="P347" s="1020"/>
      <c r="Q347" s="1020"/>
      <c r="R347" s="1020"/>
      <c r="S347" s="1020"/>
      <c r="T347" s="1036"/>
      <c r="U347" s="1036"/>
      <c r="V347" s="1020"/>
      <c r="W347" s="1020"/>
      <c r="X347" s="1020"/>
      <c r="Y347" s="1020"/>
      <c r="Z347" s="1020"/>
      <c r="AA347" s="1020"/>
      <c r="AB347" s="1020"/>
      <c r="AC347" s="1020"/>
      <c r="AD347" s="1020"/>
      <c r="AE347" s="1020"/>
      <c r="AF347" s="1020"/>
      <c r="AG347" s="1020"/>
      <c r="AH347" s="1020"/>
      <c r="AI347" s="1020"/>
      <c r="AJ347" s="1020"/>
      <c r="AK347" s="1020"/>
      <c r="AL347" s="1020"/>
      <c r="AM347" s="1020"/>
      <c r="AN347" s="1020"/>
      <c r="AO347" s="1020"/>
      <c r="AP347" s="1020"/>
      <c r="AQ347" s="1020"/>
      <c r="AR347" s="1020"/>
      <c r="AS347" s="1020"/>
      <c r="AT347" s="1020"/>
      <c r="AU347" s="1020"/>
      <c r="AV347" s="1020"/>
      <c r="AW347" s="1020"/>
      <c r="AX347" s="1020"/>
    </row>
    <row r="348" spans="4:50" ht="12.75" customHeight="1">
      <c r="D348" s="1071"/>
      <c r="E348" s="1070"/>
      <c r="F348" s="1070"/>
      <c r="G348" s="1070"/>
      <c r="H348" s="1070"/>
      <c r="I348" s="1020"/>
      <c r="J348" s="1020"/>
      <c r="K348" s="1020"/>
      <c r="L348" s="1066"/>
      <c r="M348" s="1020"/>
      <c r="N348" s="1020"/>
      <c r="O348" s="1020"/>
      <c r="P348" s="1020"/>
      <c r="Q348" s="1020"/>
      <c r="R348" s="1020"/>
      <c r="S348" s="1020"/>
      <c r="T348" s="1036"/>
      <c r="U348" s="1036"/>
      <c r="V348" s="1020"/>
      <c r="W348" s="1020"/>
      <c r="X348" s="1020"/>
      <c r="Y348" s="1020"/>
      <c r="Z348" s="1020"/>
      <c r="AA348" s="1020"/>
      <c r="AB348" s="1020"/>
      <c r="AC348" s="1020"/>
      <c r="AD348" s="1020"/>
      <c r="AE348" s="1020"/>
      <c r="AF348" s="1020"/>
      <c r="AG348" s="1020"/>
      <c r="AH348" s="1020"/>
      <c r="AI348" s="1020"/>
      <c r="AJ348" s="1020"/>
      <c r="AK348" s="1020"/>
      <c r="AL348" s="1020"/>
      <c r="AM348" s="1020"/>
      <c r="AN348" s="1020"/>
      <c r="AO348" s="1020"/>
      <c r="AP348" s="1020"/>
      <c r="AQ348" s="1020"/>
      <c r="AR348" s="1020"/>
      <c r="AS348" s="1020"/>
      <c r="AT348" s="1020"/>
      <c r="AU348" s="1020"/>
      <c r="AV348" s="1020"/>
      <c r="AW348" s="1020"/>
      <c r="AX348" s="1020"/>
    </row>
    <row r="349" spans="4:50" ht="12.75" customHeight="1">
      <c r="D349" s="1071"/>
      <c r="E349" s="1070"/>
      <c r="F349" s="1070"/>
      <c r="G349" s="1070"/>
      <c r="H349" s="1070"/>
      <c r="I349" s="1020"/>
      <c r="J349" s="1020"/>
      <c r="K349" s="1020"/>
      <c r="L349" s="1066"/>
      <c r="M349" s="1020"/>
      <c r="N349" s="1020"/>
      <c r="O349" s="1020"/>
      <c r="P349" s="1020"/>
      <c r="Q349" s="1020"/>
      <c r="R349" s="1020"/>
      <c r="S349" s="1020"/>
      <c r="T349" s="1036"/>
      <c r="U349" s="1036"/>
      <c r="V349" s="1020"/>
      <c r="W349" s="1020"/>
      <c r="X349" s="1020"/>
      <c r="Y349" s="1020"/>
      <c r="Z349" s="1020"/>
      <c r="AA349" s="1020"/>
      <c r="AB349" s="1020"/>
      <c r="AC349" s="1020"/>
      <c r="AD349" s="1020"/>
      <c r="AE349" s="1020"/>
      <c r="AF349" s="1020"/>
      <c r="AG349" s="1020"/>
      <c r="AH349" s="1020"/>
      <c r="AI349" s="1020"/>
      <c r="AJ349" s="1020"/>
      <c r="AK349" s="1020"/>
      <c r="AL349" s="1020"/>
      <c r="AM349" s="1020"/>
      <c r="AN349" s="1020"/>
      <c r="AO349" s="1020"/>
      <c r="AP349" s="1020"/>
      <c r="AQ349" s="1020"/>
      <c r="AR349" s="1020"/>
      <c r="AS349" s="1020"/>
      <c r="AT349" s="1020"/>
      <c r="AU349" s="1020"/>
      <c r="AV349" s="1020"/>
      <c r="AW349" s="1020"/>
      <c r="AX349" s="1020"/>
    </row>
    <row r="350" spans="4:50" ht="12.75" customHeight="1">
      <c r="D350" s="1071"/>
      <c r="E350" s="1070"/>
      <c r="F350" s="1070"/>
      <c r="G350" s="1070"/>
      <c r="H350" s="1070"/>
      <c r="I350" s="1020"/>
      <c r="J350" s="1020"/>
      <c r="K350" s="1020"/>
      <c r="L350" s="1066"/>
      <c r="M350" s="1020"/>
      <c r="N350" s="1020"/>
      <c r="O350" s="1020"/>
      <c r="P350" s="1020"/>
      <c r="Q350" s="1020"/>
      <c r="R350" s="1020"/>
      <c r="S350" s="1020"/>
      <c r="T350" s="1036"/>
      <c r="U350" s="1036"/>
      <c r="V350" s="1020"/>
      <c r="W350" s="1020"/>
      <c r="X350" s="1020"/>
      <c r="Y350" s="1020"/>
      <c r="Z350" s="1020"/>
      <c r="AA350" s="1020"/>
      <c r="AB350" s="1020"/>
      <c r="AC350" s="1020"/>
      <c r="AD350" s="1020"/>
      <c r="AE350" s="1020"/>
      <c r="AF350" s="1020"/>
      <c r="AG350" s="1020"/>
      <c r="AH350" s="1020"/>
      <c r="AI350" s="1020"/>
      <c r="AJ350" s="1020"/>
      <c r="AK350" s="1020"/>
      <c r="AL350" s="1020"/>
      <c r="AM350" s="1020"/>
      <c r="AN350" s="1020"/>
      <c r="AO350" s="1020"/>
      <c r="AP350" s="1020"/>
      <c r="AQ350" s="1020"/>
      <c r="AR350" s="1020"/>
      <c r="AS350" s="1020"/>
      <c r="AT350" s="1020"/>
      <c r="AU350" s="1020"/>
      <c r="AV350" s="1020"/>
      <c r="AW350" s="1020"/>
      <c r="AX350" s="1020"/>
    </row>
    <row r="351" spans="4:50" ht="12.75" customHeight="1">
      <c r="D351" s="1071"/>
      <c r="E351" s="1070"/>
      <c r="F351" s="1070"/>
      <c r="G351" s="1070"/>
      <c r="H351" s="1070"/>
      <c r="I351" s="1020"/>
      <c r="J351" s="1020"/>
      <c r="K351" s="1020"/>
      <c r="L351" s="1066"/>
      <c r="M351" s="1020"/>
      <c r="N351" s="1020"/>
      <c r="O351" s="1020"/>
      <c r="P351" s="1020"/>
      <c r="Q351" s="1020"/>
      <c r="R351" s="1020"/>
      <c r="S351" s="1020"/>
      <c r="T351" s="1036"/>
      <c r="U351" s="1036"/>
      <c r="V351" s="1020"/>
      <c r="W351" s="1020"/>
      <c r="X351" s="1020"/>
      <c r="Y351" s="1020"/>
      <c r="Z351" s="1020"/>
      <c r="AA351" s="1020"/>
      <c r="AB351" s="1020"/>
      <c r="AC351" s="1020"/>
      <c r="AD351" s="1020"/>
      <c r="AE351" s="1020"/>
      <c r="AF351" s="1020"/>
      <c r="AG351" s="1020"/>
      <c r="AH351" s="1020"/>
      <c r="AI351" s="1020"/>
      <c r="AJ351" s="1020"/>
      <c r="AK351" s="1020"/>
      <c r="AL351" s="1020"/>
      <c r="AM351" s="1020"/>
      <c r="AN351" s="1020"/>
      <c r="AO351" s="1020"/>
      <c r="AP351" s="1020"/>
      <c r="AQ351" s="1020"/>
      <c r="AR351" s="1020"/>
      <c r="AS351" s="1020"/>
      <c r="AT351" s="1020"/>
      <c r="AU351" s="1020"/>
      <c r="AV351" s="1020"/>
      <c r="AW351" s="1020"/>
      <c r="AX351" s="1020"/>
    </row>
    <row r="352" spans="4:50" ht="12.75" customHeight="1">
      <c r="D352" s="1071"/>
      <c r="E352" s="1070"/>
      <c r="F352" s="1070"/>
      <c r="G352" s="1070"/>
      <c r="H352" s="1070"/>
      <c r="I352" s="1020"/>
      <c r="J352" s="1020"/>
      <c r="K352" s="1020"/>
      <c r="L352" s="1066"/>
      <c r="M352" s="1020"/>
      <c r="N352" s="1020"/>
      <c r="O352" s="1020"/>
      <c r="P352" s="1020"/>
      <c r="Q352" s="1020"/>
      <c r="R352" s="1020"/>
      <c r="S352" s="1020"/>
      <c r="T352" s="1036"/>
      <c r="U352" s="1036"/>
      <c r="V352" s="1020"/>
      <c r="W352" s="1020"/>
      <c r="X352" s="1020"/>
      <c r="Y352" s="1020"/>
      <c r="Z352" s="1020"/>
      <c r="AA352" s="1020"/>
      <c r="AB352" s="1020"/>
      <c r="AC352" s="1020"/>
      <c r="AD352" s="1020"/>
      <c r="AE352" s="1020"/>
      <c r="AF352" s="1020"/>
      <c r="AG352" s="1020"/>
      <c r="AH352" s="1020"/>
      <c r="AI352" s="1020"/>
      <c r="AJ352" s="1020"/>
      <c r="AK352" s="1020"/>
      <c r="AL352" s="1020"/>
      <c r="AM352" s="1020"/>
      <c r="AN352" s="1020"/>
      <c r="AO352" s="1020"/>
      <c r="AP352" s="1020"/>
      <c r="AQ352" s="1020"/>
      <c r="AR352" s="1020"/>
      <c r="AS352" s="1020"/>
      <c r="AT352" s="1020"/>
      <c r="AU352" s="1020"/>
      <c r="AV352" s="1020"/>
      <c r="AW352" s="1020"/>
      <c r="AX352" s="1020"/>
    </row>
    <row r="353" spans="4:50" ht="12.75" customHeight="1">
      <c r="D353" s="1071"/>
      <c r="E353" s="1070"/>
      <c r="F353" s="1070"/>
      <c r="G353" s="1070"/>
      <c r="H353" s="1070"/>
      <c r="I353" s="1020"/>
      <c r="J353" s="1020"/>
      <c r="K353" s="1020"/>
      <c r="L353" s="1066"/>
      <c r="M353" s="1020"/>
      <c r="N353" s="1020"/>
      <c r="O353" s="1020"/>
      <c r="P353" s="1020"/>
      <c r="Q353" s="1020"/>
      <c r="R353" s="1020"/>
      <c r="S353" s="1020"/>
      <c r="T353" s="1036"/>
      <c r="U353" s="1036"/>
      <c r="V353" s="1020"/>
      <c r="W353" s="1020"/>
      <c r="X353" s="1020"/>
      <c r="Y353" s="1020"/>
      <c r="Z353" s="1020"/>
      <c r="AA353" s="1020"/>
      <c r="AB353" s="1020"/>
      <c r="AC353" s="1020"/>
      <c r="AD353" s="1020"/>
      <c r="AE353" s="1020"/>
      <c r="AF353" s="1020"/>
      <c r="AG353" s="1020"/>
      <c r="AH353" s="1020"/>
      <c r="AI353" s="1020"/>
      <c r="AJ353" s="1020"/>
      <c r="AK353" s="1020"/>
      <c r="AL353" s="1020"/>
      <c r="AM353" s="1020"/>
      <c r="AN353" s="1020"/>
      <c r="AO353" s="1020"/>
      <c r="AP353" s="1020"/>
      <c r="AQ353" s="1020"/>
      <c r="AR353" s="1020"/>
      <c r="AS353" s="1020"/>
      <c r="AT353" s="1020"/>
      <c r="AU353" s="1020"/>
      <c r="AV353" s="1020"/>
      <c r="AW353" s="1020"/>
      <c r="AX353" s="1020"/>
    </row>
    <row r="354" spans="4:50" ht="12.75" customHeight="1">
      <c r="D354" s="1071"/>
      <c r="E354" s="1070"/>
      <c r="F354" s="1070"/>
      <c r="G354" s="1070"/>
      <c r="H354" s="1070"/>
      <c r="I354" s="1020"/>
      <c r="J354" s="1020"/>
      <c r="K354" s="1020"/>
      <c r="L354" s="1066"/>
      <c r="M354" s="1020"/>
      <c r="N354" s="1020"/>
      <c r="O354" s="1020"/>
      <c r="P354" s="1020"/>
      <c r="Q354" s="1020"/>
      <c r="R354" s="1020"/>
      <c r="S354" s="1020"/>
      <c r="T354" s="1036"/>
      <c r="U354" s="1036"/>
      <c r="V354" s="1020"/>
      <c r="W354" s="1020"/>
      <c r="X354" s="1020"/>
      <c r="Y354" s="1020"/>
      <c r="Z354" s="1020"/>
      <c r="AA354" s="1020"/>
      <c r="AB354" s="1020"/>
      <c r="AC354" s="1020"/>
      <c r="AD354" s="1020"/>
      <c r="AE354" s="1020"/>
      <c r="AF354" s="1020"/>
      <c r="AG354" s="1020"/>
      <c r="AH354" s="1020"/>
      <c r="AI354" s="1020"/>
      <c r="AJ354" s="1020"/>
      <c r="AK354" s="1020"/>
      <c r="AL354" s="1020"/>
      <c r="AM354" s="1020"/>
      <c r="AN354" s="1020"/>
      <c r="AO354" s="1020"/>
      <c r="AP354" s="1020"/>
      <c r="AQ354" s="1020"/>
      <c r="AR354" s="1020"/>
      <c r="AS354" s="1020"/>
      <c r="AT354" s="1020"/>
      <c r="AU354" s="1020"/>
      <c r="AV354" s="1020"/>
      <c r="AW354" s="1020"/>
      <c r="AX354" s="1020"/>
    </row>
    <row r="355" spans="4:50" ht="12.75" customHeight="1">
      <c r="D355" s="1071"/>
      <c r="E355" s="1070"/>
      <c r="F355" s="1070"/>
      <c r="G355" s="1070"/>
      <c r="H355" s="1070"/>
      <c r="I355" s="1020"/>
      <c r="J355" s="1020"/>
      <c r="K355" s="1020"/>
      <c r="L355" s="1066"/>
      <c r="M355" s="1020"/>
      <c r="N355" s="1020"/>
      <c r="O355" s="1020"/>
      <c r="P355" s="1020"/>
      <c r="Q355" s="1020"/>
      <c r="R355" s="1020"/>
      <c r="S355" s="1020"/>
      <c r="T355" s="1036"/>
      <c r="U355" s="1036"/>
      <c r="V355" s="1020"/>
      <c r="W355" s="1020"/>
      <c r="X355" s="1020"/>
      <c r="Y355" s="1020"/>
      <c r="Z355" s="1020"/>
      <c r="AA355" s="1020"/>
      <c r="AB355" s="1020"/>
      <c r="AC355" s="1020"/>
      <c r="AD355" s="1020"/>
      <c r="AE355" s="1020"/>
      <c r="AF355" s="1020"/>
      <c r="AG355" s="1020"/>
      <c r="AH355" s="1020"/>
      <c r="AI355" s="1020"/>
      <c r="AJ355" s="1020"/>
      <c r="AK355" s="1020"/>
      <c r="AL355" s="1020"/>
      <c r="AM355" s="1020"/>
      <c r="AN355" s="1020"/>
      <c r="AO355" s="1020"/>
      <c r="AP355" s="1020"/>
      <c r="AQ355" s="1020"/>
      <c r="AR355" s="1020"/>
      <c r="AS355" s="1020"/>
      <c r="AT355" s="1020"/>
      <c r="AU355" s="1020"/>
      <c r="AV355" s="1020"/>
      <c r="AW355" s="1020"/>
      <c r="AX355" s="1020"/>
    </row>
    <row r="356" spans="4:50" ht="12.75" customHeight="1">
      <c r="D356" s="1071"/>
      <c r="E356" s="1070"/>
      <c r="F356" s="1070"/>
      <c r="G356" s="1070"/>
      <c r="H356" s="1070"/>
      <c r="I356" s="1020"/>
      <c r="J356" s="1020"/>
      <c r="K356" s="1020"/>
      <c r="L356" s="1066"/>
      <c r="M356" s="1020"/>
      <c r="N356" s="1020"/>
      <c r="O356" s="1020"/>
      <c r="P356" s="1020"/>
      <c r="Q356" s="1020"/>
      <c r="R356" s="1020"/>
      <c r="S356" s="1020"/>
      <c r="T356" s="1036"/>
      <c r="U356" s="1036"/>
      <c r="V356" s="1020"/>
      <c r="W356" s="1020"/>
      <c r="X356" s="1020"/>
      <c r="Y356" s="1020"/>
      <c r="Z356" s="1020"/>
      <c r="AA356" s="1020"/>
      <c r="AB356" s="1020"/>
      <c r="AC356" s="1020"/>
      <c r="AD356" s="1020"/>
      <c r="AE356" s="1020"/>
      <c r="AF356" s="1020"/>
      <c r="AG356" s="1020"/>
      <c r="AH356" s="1020"/>
      <c r="AI356" s="1020"/>
      <c r="AJ356" s="1020"/>
      <c r="AK356" s="1020"/>
      <c r="AL356" s="1020"/>
      <c r="AM356" s="1020"/>
      <c r="AN356" s="1020"/>
      <c r="AO356" s="1020"/>
      <c r="AP356" s="1020"/>
      <c r="AQ356" s="1020"/>
      <c r="AR356" s="1020"/>
      <c r="AS356" s="1020"/>
      <c r="AT356" s="1020"/>
      <c r="AU356" s="1020"/>
      <c r="AV356" s="1020"/>
      <c r="AW356" s="1020"/>
      <c r="AX356" s="1020"/>
    </row>
    <row r="357" spans="4:50" ht="12.75" customHeight="1">
      <c r="D357" s="1071"/>
      <c r="E357" s="1070"/>
      <c r="F357" s="1070"/>
      <c r="G357" s="1070"/>
      <c r="H357" s="1070"/>
      <c r="I357" s="1020"/>
      <c r="J357" s="1020"/>
      <c r="K357" s="1020"/>
      <c r="L357" s="1066"/>
      <c r="M357" s="1020"/>
      <c r="N357" s="1020"/>
      <c r="O357" s="1020"/>
      <c r="P357" s="1020"/>
      <c r="Q357" s="1020"/>
      <c r="R357" s="1020"/>
      <c r="S357" s="1020"/>
      <c r="T357" s="1036"/>
      <c r="U357" s="1036"/>
      <c r="V357" s="1020"/>
      <c r="W357" s="1020"/>
      <c r="X357" s="1020"/>
      <c r="Y357" s="1020"/>
      <c r="Z357" s="1020"/>
      <c r="AA357" s="1020"/>
      <c r="AB357" s="1020"/>
      <c r="AC357" s="1020"/>
      <c r="AD357" s="1020"/>
      <c r="AE357" s="1020"/>
      <c r="AF357" s="1020"/>
      <c r="AG357" s="1020"/>
      <c r="AH357" s="1020"/>
      <c r="AI357" s="1020"/>
      <c r="AJ357" s="1020"/>
      <c r="AK357" s="1020"/>
      <c r="AL357" s="1020"/>
      <c r="AM357" s="1020"/>
      <c r="AN357" s="1020"/>
      <c r="AO357" s="1020"/>
      <c r="AP357" s="1020"/>
      <c r="AQ357" s="1020"/>
      <c r="AR357" s="1020"/>
      <c r="AS357" s="1020"/>
      <c r="AT357" s="1020"/>
      <c r="AU357" s="1020"/>
      <c r="AV357" s="1020"/>
      <c r="AW357" s="1020"/>
      <c r="AX357" s="1020"/>
    </row>
    <row r="358" spans="4:50" ht="12.75" customHeight="1">
      <c r="D358" s="1071"/>
      <c r="E358" s="1070"/>
      <c r="F358" s="1070"/>
      <c r="G358" s="1070"/>
      <c r="H358" s="1070"/>
      <c r="I358" s="1020"/>
      <c r="J358" s="1020"/>
      <c r="K358" s="1020"/>
      <c r="L358" s="1066"/>
      <c r="M358" s="1020"/>
      <c r="N358" s="1020"/>
      <c r="O358" s="1020"/>
      <c r="P358" s="1020"/>
      <c r="Q358" s="1020"/>
      <c r="R358" s="1020"/>
      <c r="S358" s="1020"/>
      <c r="T358" s="1036"/>
      <c r="U358" s="1036"/>
      <c r="V358" s="1020"/>
      <c r="W358" s="1020"/>
      <c r="X358" s="1020"/>
      <c r="Y358" s="1020"/>
      <c r="Z358" s="1020"/>
      <c r="AA358" s="1020"/>
      <c r="AB358" s="1020"/>
      <c r="AC358" s="1020"/>
      <c r="AD358" s="1020"/>
      <c r="AE358" s="1020"/>
      <c r="AF358" s="1020"/>
      <c r="AG358" s="1020"/>
      <c r="AH358" s="1020"/>
      <c r="AI358" s="1020"/>
      <c r="AJ358" s="1020"/>
      <c r="AK358" s="1020"/>
      <c r="AL358" s="1020"/>
      <c r="AM358" s="1020"/>
      <c r="AN358" s="1020"/>
      <c r="AO358" s="1020"/>
      <c r="AP358" s="1020"/>
      <c r="AQ358" s="1020"/>
      <c r="AR358" s="1020"/>
      <c r="AS358" s="1020"/>
      <c r="AT358" s="1020"/>
      <c r="AU358" s="1020"/>
      <c r="AV358" s="1020"/>
      <c r="AW358" s="1020"/>
      <c r="AX358" s="1020"/>
    </row>
    <row r="359" spans="4:50" ht="12.75" customHeight="1">
      <c r="D359" s="1071"/>
      <c r="E359" s="1070"/>
      <c r="F359" s="1070"/>
      <c r="G359" s="1070"/>
      <c r="H359" s="1070"/>
      <c r="I359" s="1020"/>
      <c r="J359" s="1020"/>
      <c r="K359" s="1020"/>
      <c r="L359" s="1066"/>
      <c r="M359" s="1020"/>
      <c r="N359" s="1020"/>
      <c r="O359" s="1020"/>
      <c r="P359" s="1020"/>
      <c r="Q359" s="1020"/>
      <c r="R359" s="1020"/>
      <c r="S359" s="1020"/>
      <c r="T359" s="1036"/>
      <c r="U359" s="1036"/>
      <c r="V359" s="1020"/>
      <c r="W359" s="1020"/>
      <c r="X359" s="1020"/>
      <c r="Y359" s="1020"/>
      <c r="Z359" s="1020"/>
      <c r="AA359" s="1020"/>
      <c r="AB359" s="1020"/>
      <c r="AC359" s="1020"/>
      <c r="AD359" s="1020"/>
      <c r="AE359" s="1020"/>
      <c r="AF359" s="1020"/>
      <c r="AG359" s="1020"/>
      <c r="AH359" s="1020"/>
      <c r="AI359" s="1020"/>
      <c r="AJ359" s="1020"/>
      <c r="AK359" s="1020"/>
      <c r="AL359" s="1020"/>
      <c r="AM359" s="1020"/>
      <c r="AN359" s="1020"/>
      <c r="AO359" s="1020"/>
      <c r="AP359" s="1020"/>
      <c r="AQ359" s="1020"/>
      <c r="AR359" s="1020"/>
      <c r="AS359" s="1020"/>
      <c r="AT359" s="1020"/>
      <c r="AU359" s="1020"/>
      <c r="AV359" s="1020"/>
      <c r="AW359" s="1020"/>
      <c r="AX359" s="1020"/>
    </row>
    <row r="360" spans="4:50" ht="12.75" customHeight="1">
      <c r="D360" s="1071"/>
      <c r="E360" s="1070"/>
      <c r="F360" s="1070"/>
      <c r="G360" s="1070"/>
      <c r="H360" s="1070"/>
      <c r="I360" s="1020"/>
      <c r="J360" s="1020"/>
      <c r="K360" s="1020"/>
      <c r="L360" s="1066"/>
      <c r="M360" s="1020"/>
      <c r="N360" s="1020"/>
      <c r="O360" s="1020"/>
      <c r="P360" s="1020"/>
      <c r="Q360" s="1020"/>
      <c r="R360" s="1020"/>
      <c r="S360" s="1020"/>
      <c r="T360" s="1036"/>
      <c r="U360" s="1036"/>
      <c r="V360" s="1020"/>
      <c r="W360" s="1020"/>
      <c r="X360" s="1020"/>
      <c r="Y360" s="1020"/>
      <c r="Z360" s="1020"/>
      <c r="AA360" s="1020"/>
      <c r="AB360" s="1020"/>
      <c r="AC360" s="1020"/>
      <c r="AD360" s="1020"/>
      <c r="AE360" s="1020"/>
      <c r="AF360" s="1020"/>
      <c r="AG360" s="1020"/>
      <c r="AH360" s="1020"/>
      <c r="AI360" s="1020"/>
      <c r="AJ360" s="1020"/>
      <c r="AK360" s="1020"/>
      <c r="AL360" s="1020"/>
      <c r="AM360" s="1020"/>
      <c r="AN360" s="1020"/>
      <c r="AO360" s="1020"/>
      <c r="AP360" s="1020"/>
      <c r="AQ360" s="1020"/>
      <c r="AR360" s="1020"/>
      <c r="AS360" s="1020"/>
      <c r="AT360" s="1020"/>
      <c r="AU360" s="1020"/>
      <c r="AV360" s="1020"/>
      <c r="AW360" s="1020"/>
      <c r="AX360" s="1020"/>
    </row>
    <row r="361" spans="4:50" ht="12.75" customHeight="1">
      <c r="D361" s="1071"/>
      <c r="E361" s="1070"/>
      <c r="F361" s="1070"/>
      <c r="G361" s="1070"/>
      <c r="H361" s="1070"/>
      <c r="I361" s="1020"/>
      <c r="J361" s="1020"/>
      <c r="K361" s="1020"/>
      <c r="L361" s="1066"/>
      <c r="M361" s="1020"/>
      <c r="N361" s="1020"/>
      <c r="O361" s="1020"/>
      <c r="P361" s="1020"/>
      <c r="Q361" s="1020"/>
      <c r="R361" s="1020"/>
      <c r="S361" s="1020"/>
      <c r="T361" s="1036"/>
      <c r="U361" s="1036"/>
      <c r="V361" s="1020"/>
      <c r="W361" s="1020"/>
      <c r="X361" s="1020"/>
      <c r="Y361" s="1020"/>
      <c r="Z361" s="1020"/>
      <c r="AA361" s="1020"/>
      <c r="AB361" s="1020"/>
      <c r="AC361" s="1020"/>
      <c r="AD361" s="1020"/>
      <c r="AE361" s="1020"/>
      <c r="AF361" s="1020"/>
      <c r="AG361" s="1020"/>
      <c r="AH361" s="1020"/>
      <c r="AI361" s="1020"/>
      <c r="AJ361" s="1020"/>
      <c r="AK361" s="1020"/>
      <c r="AL361" s="1020"/>
      <c r="AM361" s="1020"/>
      <c r="AN361" s="1020"/>
      <c r="AO361" s="1020"/>
      <c r="AP361" s="1020"/>
      <c r="AQ361" s="1020"/>
      <c r="AR361" s="1020"/>
      <c r="AS361" s="1020"/>
      <c r="AT361" s="1020"/>
      <c r="AU361" s="1020"/>
      <c r="AV361" s="1020"/>
      <c r="AW361" s="1020"/>
      <c r="AX361" s="1020"/>
    </row>
    <row r="362" spans="4:50" ht="12.75" customHeight="1">
      <c r="D362" s="1071"/>
      <c r="E362" s="1070"/>
      <c r="F362" s="1070"/>
      <c r="G362" s="1070"/>
      <c r="H362" s="1070"/>
      <c r="I362" s="1020"/>
      <c r="J362" s="1020"/>
      <c r="K362" s="1020"/>
      <c r="L362" s="1066"/>
      <c r="M362" s="1020"/>
      <c r="N362" s="1020"/>
      <c r="O362" s="1020"/>
      <c r="P362" s="1020"/>
      <c r="Q362" s="1020"/>
      <c r="R362" s="1020"/>
      <c r="S362" s="1020"/>
      <c r="T362" s="1036"/>
      <c r="U362" s="1036"/>
      <c r="V362" s="1020"/>
      <c r="W362" s="1020"/>
      <c r="X362" s="1020"/>
      <c r="Y362" s="1020"/>
      <c r="Z362" s="1020"/>
      <c r="AA362" s="1020"/>
      <c r="AB362" s="1020"/>
      <c r="AC362" s="1020"/>
      <c r="AD362" s="1020"/>
      <c r="AE362" s="1020"/>
      <c r="AF362" s="1020"/>
      <c r="AG362" s="1020"/>
      <c r="AH362" s="1020"/>
      <c r="AI362" s="1020"/>
      <c r="AJ362" s="1020"/>
      <c r="AK362" s="1020"/>
      <c r="AL362" s="1020"/>
      <c r="AM362" s="1020"/>
      <c r="AN362" s="1020"/>
      <c r="AO362" s="1020"/>
      <c r="AP362" s="1020"/>
      <c r="AQ362" s="1020"/>
      <c r="AR362" s="1020"/>
      <c r="AS362" s="1020"/>
      <c r="AT362" s="1020"/>
      <c r="AU362" s="1020"/>
      <c r="AV362" s="1020"/>
      <c r="AW362" s="1020"/>
      <c r="AX362" s="1020"/>
    </row>
    <row r="363" spans="4:50" ht="12.75" customHeight="1">
      <c r="D363" s="1071"/>
      <c r="E363" s="1070"/>
      <c r="F363" s="1070"/>
      <c r="G363" s="1070"/>
      <c r="H363" s="1070"/>
      <c r="I363" s="1020"/>
      <c r="J363" s="1020"/>
      <c r="K363" s="1020"/>
      <c r="L363" s="1066"/>
      <c r="M363" s="1020"/>
      <c r="N363" s="1020"/>
      <c r="O363" s="1020"/>
      <c r="P363" s="1020"/>
      <c r="Q363" s="1020"/>
      <c r="R363" s="1020"/>
      <c r="S363" s="1020"/>
      <c r="T363" s="1036"/>
      <c r="U363" s="1036"/>
      <c r="V363" s="1020"/>
      <c r="W363" s="1020"/>
      <c r="X363" s="1020"/>
      <c r="Y363" s="1020"/>
      <c r="Z363" s="1020"/>
      <c r="AA363" s="1020"/>
      <c r="AB363" s="1020"/>
      <c r="AC363" s="1020"/>
      <c r="AD363" s="1020"/>
      <c r="AE363" s="1020"/>
      <c r="AF363" s="1020"/>
      <c r="AG363" s="1020"/>
      <c r="AH363" s="1020"/>
      <c r="AI363" s="1020"/>
      <c r="AJ363" s="1020"/>
      <c r="AK363" s="1020"/>
      <c r="AL363" s="1020"/>
      <c r="AM363" s="1020"/>
      <c r="AN363" s="1020"/>
      <c r="AO363" s="1020"/>
      <c r="AP363" s="1020"/>
      <c r="AQ363" s="1020"/>
      <c r="AR363" s="1020"/>
      <c r="AS363" s="1020"/>
      <c r="AT363" s="1020"/>
      <c r="AU363" s="1020"/>
      <c r="AV363" s="1020"/>
      <c r="AW363" s="1020"/>
      <c r="AX363" s="1020"/>
    </row>
    <row r="364" spans="4:50" ht="12.75" customHeight="1">
      <c r="D364" s="1071"/>
      <c r="E364" s="1070"/>
      <c r="F364" s="1070"/>
      <c r="G364" s="1070"/>
      <c r="H364" s="1070"/>
      <c r="I364" s="1020"/>
      <c r="J364" s="1020"/>
      <c r="K364" s="1020"/>
      <c r="L364" s="1066"/>
      <c r="M364" s="1020"/>
      <c r="N364" s="1020"/>
      <c r="O364" s="1020"/>
      <c r="P364" s="1020"/>
      <c r="Q364" s="1020"/>
      <c r="R364" s="1020"/>
      <c r="S364" s="1020"/>
      <c r="T364" s="1036"/>
      <c r="U364" s="1036"/>
      <c r="V364" s="1020"/>
      <c r="W364" s="1020"/>
      <c r="X364" s="1020"/>
      <c r="Y364" s="1020"/>
      <c r="Z364" s="1020"/>
      <c r="AA364" s="1020"/>
      <c r="AB364" s="1020"/>
      <c r="AC364" s="1020"/>
      <c r="AD364" s="1020"/>
      <c r="AE364" s="1020"/>
      <c r="AF364" s="1020"/>
      <c r="AG364" s="1020"/>
      <c r="AH364" s="1020"/>
      <c r="AI364" s="1020"/>
      <c r="AJ364" s="1020"/>
      <c r="AK364" s="1020"/>
      <c r="AL364" s="1020"/>
      <c r="AM364" s="1020"/>
      <c r="AN364" s="1020"/>
      <c r="AO364" s="1020"/>
      <c r="AP364" s="1020"/>
      <c r="AQ364" s="1020"/>
      <c r="AR364" s="1020"/>
      <c r="AS364" s="1020"/>
      <c r="AT364" s="1020"/>
      <c r="AU364" s="1020"/>
      <c r="AV364" s="1020"/>
      <c r="AW364" s="1020"/>
      <c r="AX364" s="1020"/>
    </row>
    <row r="365" spans="4:50" ht="12.75" customHeight="1">
      <c r="D365" s="1071"/>
      <c r="E365" s="1070"/>
      <c r="F365" s="1070"/>
      <c r="G365" s="1070"/>
      <c r="H365" s="1070"/>
      <c r="I365" s="1020"/>
      <c r="J365" s="1020"/>
      <c r="K365" s="1020"/>
      <c r="L365" s="1066"/>
      <c r="M365" s="1020"/>
      <c r="N365" s="1020"/>
      <c r="O365" s="1020"/>
      <c r="P365" s="1020"/>
      <c r="Q365" s="1020"/>
      <c r="R365" s="1020"/>
      <c r="S365" s="1020"/>
      <c r="T365" s="1036"/>
      <c r="U365" s="1036"/>
      <c r="V365" s="1020"/>
      <c r="W365" s="1020"/>
      <c r="X365" s="1020"/>
      <c r="Y365" s="1020"/>
      <c r="Z365" s="1020"/>
      <c r="AA365" s="1020"/>
      <c r="AB365" s="1020"/>
      <c r="AC365" s="1020"/>
      <c r="AD365" s="1020"/>
      <c r="AE365" s="1020"/>
      <c r="AF365" s="1020"/>
      <c r="AG365" s="1020"/>
      <c r="AH365" s="1020"/>
      <c r="AI365" s="1020"/>
      <c r="AJ365" s="1020"/>
      <c r="AK365" s="1020"/>
      <c r="AL365" s="1020"/>
      <c r="AM365" s="1020"/>
      <c r="AN365" s="1020"/>
      <c r="AO365" s="1020"/>
      <c r="AP365" s="1020"/>
      <c r="AQ365" s="1020"/>
      <c r="AR365" s="1020"/>
      <c r="AS365" s="1020"/>
      <c r="AT365" s="1020"/>
      <c r="AU365" s="1020"/>
      <c r="AV365" s="1020"/>
      <c r="AW365" s="1020"/>
      <c r="AX365" s="1020"/>
    </row>
    <row r="366" spans="4:50" ht="12.75" customHeight="1">
      <c r="D366" s="1071"/>
      <c r="E366" s="1070"/>
      <c r="F366" s="1070"/>
      <c r="G366" s="1070"/>
      <c r="H366" s="1070"/>
      <c r="I366" s="1020"/>
      <c r="J366" s="1020"/>
      <c r="K366" s="1020"/>
      <c r="L366" s="1066"/>
      <c r="M366" s="1020"/>
      <c r="N366" s="1020"/>
      <c r="O366" s="1020"/>
      <c r="P366" s="1020"/>
      <c r="Q366" s="1020"/>
      <c r="R366" s="1020"/>
      <c r="S366" s="1020"/>
      <c r="T366" s="1036"/>
      <c r="U366" s="1036"/>
      <c r="V366" s="1020"/>
      <c r="W366" s="1020"/>
      <c r="X366" s="1020"/>
      <c r="Y366" s="1020"/>
      <c r="Z366" s="1020"/>
      <c r="AA366" s="1020"/>
      <c r="AB366" s="1020"/>
      <c r="AC366" s="1020"/>
      <c r="AD366" s="1020"/>
      <c r="AE366" s="1020"/>
      <c r="AF366" s="1020"/>
      <c r="AG366" s="1020"/>
      <c r="AH366" s="1020"/>
      <c r="AI366" s="1020"/>
      <c r="AJ366" s="1020"/>
      <c r="AK366" s="1020"/>
      <c r="AL366" s="1020"/>
      <c r="AM366" s="1020"/>
      <c r="AN366" s="1020"/>
      <c r="AO366" s="1020"/>
      <c r="AP366" s="1020"/>
      <c r="AQ366" s="1020"/>
      <c r="AR366" s="1020"/>
      <c r="AS366" s="1020"/>
      <c r="AT366" s="1020"/>
      <c r="AU366" s="1020"/>
      <c r="AV366" s="1020"/>
      <c r="AW366" s="1020"/>
      <c r="AX366" s="1020"/>
    </row>
    <row r="367" spans="4:50" ht="12.75" customHeight="1">
      <c r="D367" s="1071"/>
      <c r="E367" s="1070"/>
      <c r="F367" s="1070"/>
      <c r="G367" s="1070"/>
      <c r="H367" s="1070"/>
      <c r="I367" s="1020"/>
      <c r="J367" s="1020"/>
      <c r="K367" s="1020"/>
      <c r="L367" s="1066"/>
      <c r="M367" s="1020"/>
      <c r="N367" s="1020"/>
      <c r="O367" s="1020"/>
      <c r="P367" s="1020"/>
      <c r="Q367" s="1020"/>
      <c r="R367" s="1020"/>
      <c r="S367" s="1020"/>
      <c r="T367" s="1036"/>
      <c r="U367" s="1036"/>
      <c r="V367" s="1020"/>
      <c r="W367" s="1020"/>
      <c r="X367" s="1020"/>
      <c r="Y367" s="1020"/>
      <c r="Z367" s="1020"/>
      <c r="AA367" s="1020"/>
      <c r="AB367" s="1020"/>
      <c r="AC367" s="1020"/>
      <c r="AD367" s="1020"/>
      <c r="AE367" s="1020"/>
      <c r="AF367" s="1020"/>
      <c r="AG367" s="1020"/>
      <c r="AH367" s="1020"/>
      <c r="AI367" s="1020"/>
      <c r="AJ367" s="1020"/>
      <c r="AK367" s="1020"/>
      <c r="AL367" s="1020"/>
      <c r="AM367" s="1020"/>
      <c r="AN367" s="1020"/>
      <c r="AO367" s="1020"/>
      <c r="AP367" s="1020"/>
      <c r="AQ367" s="1020"/>
      <c r="AR367" s="1020"/>
      <c r="AS367" s="1020"/>
      <c r="AT367" s="1020"/>
      <c r="AU367" s="1020"/>
      <c r="AV367" s="1020"/>
      <c r="AW367" s="1020"/>
      <c r="AX367" s="1020"/>
    </row>
    <row r="368" spans="4:50" ht="12.75" customHeight="1">
      <c r="D368" s="1071"/>
      <c r="E368" s="1070"/>
      <c r="F368" s="1070"/>
      <c r="G368" s="1070"/>
      <c r="H368" s="1070"/>
      <c r="I368" s="1020"/>
      <c r="J368" s="1020"/>
      <c r="K368" s="1020"/>
      <c r="L368" s="1066"/>
      <c r="M368" s="1020"/>
      <c r="N368" s="1020"/>
      <c r="O368" s="1020"/>
      <c r="P368" s="1020"/>
      <c r="Q368" s="1020"/>
      <c r="R368" s="1020"/>
      <c r="S368" s="1020"/>
      <c r="T368" s="1036"/>
      <c r="U368" s="1036"/>
      <c r="V368" s="1020"/>
      <c r="W368" s="1020"/>
      <c r="X368" s="1020"/>
      <c r="Y368" s="1020"/>
      <c r="Z368" s="1020"/>
      <c r="AA368" s="1020"/>
      <c r="AB368" s="1020"/>
      <c r="AC368" s="1020"/>
      <c r="AD368" s="1020"/>
      <c r="AE368" s="1020"/>
      <c r="AF368" s="1020"/>
      <c r="AG368" s="1020"/>
      <c r="AH368" s="1020"/>
      <c r="AI368" s="1020"/>
      <c r="AJ368" s="1020"/>
      <c r="AK368" s="1020"/>
      <c r="AL368" s="1020"/>
      <c r="AM368" s="1020"/>
      <c r="AN368" s="1020"/>
      <c r="AO368" s="1020"/>
      <c r="AP368" s="1020"/>
      <c r="AQ368" s="1020"/>
      <c r="AR368" s="1020"/>
      <c r="AS368" s="1020"/>
      <c r="AT368" s="1020"/>
      <c r="AU368" s="1020"/>
      <c r="AV368" s="1020"/>
      <c r="AW368" s="1020"/>
      <c r="AX368" s="1020"/>
    </row>
    <row r="369" spans="4:50" ht="12.75" customHeight="1">
      <c r="D369" s="1071"/>
      <c r="E369" s="1070"/>
      <c r="F369" s="1070"/>
      <c r="G369" s="1070"/>
      <c r="H369" s="1070"/>
      <c r="I369" s="1020"/>
      <c r="J369" s="1020"/>
      <c r="K369" s="1020"/>
      <c r="L369" s="1066"/>
      <c r="M369" s="1020"/>
      <c r="N369" s="1020"/>
      <c r="O369" s="1020"/>
      <c r="P369" s="1020"/>
      <c r="Q369" s="1020"/>
      <c r="R369" s="1020"/>
      <c r="S369" s="1020"/>
      <c r="T369" s="1036"/>
      <c r="U369" s="1036"/>
      <c r="V369" s="1020"/>
      <c r="W369" s="1020"/>
      <c r="X369" s="1020"/>
      <c r="Y369" s="1020"/>
      <c r="Z369" s="1020"/>
      <c r="AA369" s="1020"/>
      <c r="AB369" s="1020"/>
      <c r="AC369" s="1020"/>
      <c r="AD369" s="1020"/>
      <c r="AE369" s="1020"/>
      <c r="AF369" s="1020"/>
      <c r="AG369" s="1020"/>
      <c r="AH369" s="1020"/>
      <c r="AI369" s="1020"/>
      <c r="AJ369" s="1020"/>
      <c r="AK369" s="1020"/>
      <c r="AL369" s="1020"/>
      <c r="AM369" s="1020"/>
      <c r="AN369" s="1020"/>
      <c r="AO369" s="1020"/>
      <c r="AP369" s="1020"/>
      <c r="AQ369" s="1020"/>
      <c r="AR369" s="1020"/>
      <c r="AS369" s="1020"/>
      <c r="AT369" s="1020"/>
      <c r="AU369" s="1020"/>
      <c r="AV369" s="1020"/>
      <c r="AW369" s="1020"/>
      <c r="AX369" s="1020"/>
    </row>
    <row r="370" spans="4:50" ht="12.75" customHeight="1">
      <c r="D370" s="1071"/>
      <c r="E370" s="1070"/>
      <c r="F370" s="1070"/>
      <c r="G370" s="1070"/>
      <c r="H370" s="1070"/>
      <c r="I370" s="1020"/>
      <c r="J370" s="1020"/>
      <c r="K370" s="1020"/>
      <c r="L370" s="1066"/>
      <c r="M370" s="1020"/>
      <c r="N370" s="1020"/>
      <c r="O370" s="1020"/>
      <c r="P370" s="1020"/>
      <c r="Q370" s="1020"/>
      <c r="R370" s="1020"/>
      <c r="S370" s="1020"/>
      <c r="T370" s="1036"/>
      <c r="U370" s="1036"/>
      <c r="V370" s="1020"/>
      <c r="W370" s="1020"/>
      <c r="X370" s="1020"/>
      <c r="Y370" s="1020"/>
      <c r="Z370" s="1020"/>
      <c r="AA370" s="1020"/>
      <c r="AB370" s="1020"/>
      <c r="AC370" s="1020"/>
      <c r="AD370" s="1020"/>
      <c r="AE370" s="1020"/>
      <c r="AF370" s="1020"/>
      <c r="AG370" s="1020"/>
      <c r="AH370" s="1020"/>
      <c r="AI370" s="1020"/>
      <c r="AJ370" s="1020"/>
      <c r="AK370" s="1020"/>
      <c r="AL370" s="1020"/>
      <c r="AM370" s="1020"/>
      <c r="AN370" s="1020"/>
      <c r="AO370" s="1020"/>
      <c r="AP370" s="1020"/>
      <c r="AQ370" s="1020"/>
      <c r="AR370" s="1020"/>
      <c r="AS370" s="1020"/>
      <c r="AT370" s="1020"/>
      <c r="AU370" s="1020"/>
      <c r="AV370" s="1020"/>
      <c r="AW370" s="1020"/>
      <c r="AX370" s="1020"/>
    </row>
    <row r="371" spans="4:50" ht="12.75" customHeight="1">
      <c r="D371" s="1071"/>
      <c r="E371" s="1070"/>
      <c r="F371" s="1070"/>
      <c r="G371" s="1070"/>
      <c r="H371" s="1070"/>
      <c r="I371" s="1020"/>
      <c r="J371" s="1020"/>
      <c r="K371" s="1020"/>
      <c r="L371" s="1066"/>
      <c r="M371" s="1020"/>
      <c r="N371" s="1020"/>
      <c r="O371" s="1020"/>
      <c r="P371" s="1020"/>
      <c r="Q371" s="1020"/>
      <c r="R371" s="1020"/>
      <c r="S371" s="1020"/>
      <c r="T371" s="1036"/>
      <c r="U371" s="1036"/>
      <c r="V371" s="1020"/>
      <c r="W371" s="1020"/>
      <c r="X371" s="1020"/>
      <c r="Y371" s="1020"/>
      <c r="Z371" s="1020"/>
      <c r="AA371" s="1020"/>
      <c r="AB371" s="1020"/>
      <c r="AC371" s="1020"/>
      <c r="AD371" s="1020"/>
      <c r="AE371" s="1020"/>
      <c r="AF371" s="1020"/>
      <c r="AG371" s="1020"/>
      <c r="AH371" s="1020"/>
      <c r="AI371" s="1020"/>
      <c r="AJ371" s="1020"/>
      <c r="AK371" s="1020"/>
      <c r="AL371" s="1020"/>
      <c r="AM371" s="1020"/>
      <c r="AN371" s="1020"/>
      <c r="AO371" s="1020"/>
      <c r="AP371" s="1020"/>
      <c r="AQ371" s="1020"/>
      <c r="AR371" s="1020"/>
      <c r="AS371" s="1020"/>
      <c r="AT371" s="1020"/>
      <c r="AU371" s="1020"/>
      <c r="AV371" s="1020"/>
      <c r="AW371" s="1020"/>
      <c r="AX371" s="1020"/>
    </row>
    <row r="372" spans="4:50" ht="12.75" customHeight="1">
      <c r="D372" s="1071"/>
      <c r="E372" s="1070"/>
      <c r="F372" s="1070"/>
      <c r="G372" s="1070"/>
      <c r="H372" s="1070"/>
      <c r="I372" s="1020"/>
      <c r="J372" s="1020"/>
      <c r="K372" s="1020"/>
      <c r="L372" s="1066"/>
      <c r="M372" s="1020"/>
      <c r="N372" s="1020"/>
      <c r="O372" s="1020"/>
      <c r="P372" s="1020"/>
      <c r="Q372" s="1020"/>
      <c r="R372" s="1020"/>
      <c r="S372" s="1020"/>
      <c r="T372" s="1036"/>
      <c r="U372" s="1036"/>
      <c r="V372" s="1020"/>
      <c r="W372" s="1020"/>
      <c r="X372" s="1020"/>
      <c r="Y372" s="1020"/>
      <c r="Z372" s="1020"/>
      <c r="AA372" s="1020"/>
      <c r="AB372" s="1020"/>
      <c r="AC372" s="1020"/>
      <c r="AD372" s="1020"/>
      <c r="AE372" s="1020"/>
      <c r="AF372" s="1020"/>
      <c r="AG372" s="1020"/>
      <c r="AH372" s="1020"/>
      <c r="AI372" s="1020"/>
      <c r="AJ372" s="1020"/>
      <c r="AK372" s="1020"/>
      <c r="AL372" s="1020"/>
      <c r="AM372" s="1020"/>
      <c r="AN372" s="1020"/>
      <c r="AO372" s="1020"/>
      <c r="AP372" s="1020"/>
      <c r="AQ372" s="1020"/>
      <c r="AR372" s="1020"/>
      <c r="AS372" s="1020"/>
      <c r="AT372" s="1020"/>
      <c r="AU372" s="1020"/>
      <c r="AV372" s="1020"/>
      <c r="AW372" s="1020"/>
      <c r="AX372" s="1020"/>
    </row>
    <row r="373" spans="4:50" ht="12.75" customHeight="1">
      <c r="D373" s="1071"/>
      <c r="E373" s="1070"/>
      <c r="F373" s="1070"/>
      <c r="G373" s="1070"/>
      <c r="H373" s="1070"/>
      <c r="I373" s="1020"/>
      <c r="J373" s="1020"/>
      <c r="K373" s="1020"/>
      <c r="L373" s="1066"/>
      <c r="M373" s="1020"/>
      <c r="N373" s="1020"/>
      <c r="O373" s="1020"/>
      <c r="P373" s="1020"/>
      <c r="Q373" s="1020"/>
      <c r="R373" s="1020"/>
      <c r="S373" s="1020"/>
      <c r="T373" s="1036"/>
      <c r="U373" s="1036"/>
      <c r="V373" s="1020"/>
      <c r="W373" s="1020"/>
      <c r="X373" s="1020"/>
      <c r="Y373" s="1020"/>
      <c r="Z373" s="1020"/>
      <c r="AA373" s="1020"/>
      <c r="AB373" s="1020"/>
      <c r="AC373" s="1020"/>
      <c r="AD373" s="1020"/>
      <c r="AE373" s="1020"/>
      <c r="AF373" s="1020"/>
      <c r="AG373" s="1020"/>
      <c r="AH373" s="1020"/>
      <c r="AI373" s="1020"/>
      <c r="AJ373" s="1020"/>
      <c r="AK373" s="1020"/>
      <c r="AL373" s="1020"/>
      <c r="AM373" s="1020"/>
      <c r="AN373" s="1020"/>
      <c r="AO373" s="1020"/>
      <c r="AP373" s="1020"/>
      <c r="AQ373" s="1020"/>
      <c r="AR373" s="1020"/>
      <c r="AS373" s="1020"/>
      <c r="AT373" s="1020"/>
      <c r="AU373" s="1020"/>
      <c r="AV373" s="1020"/>
      <c r="AW373" s="1020"/>
      <c r="AX373" s="1020"/>
    </row>
    <row r="374" spans="4:50" ht="12.75" customHeight="1">
      <c r="D374" s="1071"/>
      <c r="E374" s="1070"/>
      <c r="F374" s="1070"/>
      <c r="G374" s="1070"/>
      <c r="H374" s="1070"/>
      <c r="I374" s="1020"/>
      <c r="J374" s="1020"/>
      <c r="K374" s="1020"/>
      <c r="L374" s="1066"/>
      <c r="M374" s="1020"/>
      <c r="N374" s="1020"/>
      <c r="O374" s="1020"/>
      <c r="P374" s="1020"/>
      <c r="Q374" s="1020"/>
      <c r="R374" s="1020"/>
      <c r="S374" s="1020"/>
      <c r="T374" s="1036"/>
      <c r="U374" s="1036"/>
      <c r="V374" s="1020"/>
      <c r="W374" s="1020"/>
      <c r="X374" s="1020"/>
      <c r="Y374" s="1020"/>
      <c r="Z374" s="1020"/>
      <c r="AA374" s="1020"/>
      <c r="AB374" s="1020"/>
      <c r="AC374" s="1020"/>
      <c r="AD374" s="1020"/>
      <c r="AE374" s="1020"/>
      <c r="AF374" s="1020"/>
      <c r="AG374" s="1020"/>
      <c r="AH374" s="1020"/>
      <c r="AI374" s="1020"/>
      <c r="AJ374" s="1020"/>
      <c r="AK374" s="1020"/>
      <c r="AL374" s="1020"/>
      <c r="AM374" s="1020"/>
      <c r="AN374" s="1020"/>
      <c r="AO374" s="1020"/>
      <c r="AP374" s="1020"/>
      <c r="AQ374" s="1020"/>
      <c r="AR374" s="1020"/>
      <c r="AS374" s="1020"/>
      <c r="AT374" s="1020"/>
      <c r="AU374" s="1020"/>
      <c r="AV374" s="1020"/>
      <c r="AW374" s="1020"/>
      <c r="AX374" s="1020"/>
    </row>
    <row r="375" spans="4:50" ht="12.75" customHeight="1">
      <c r="D375" s="1071"/>
      <c r="E375" s="1070"/>
      <c r="F375" s="1070"/>
      <c r="G375" s="1070"/>
      <c r="H375" s="1070"/>
      <c r="I375" s="1020"/>
      <c r="J375" s="1020"/>
      <c r="K375" s="1020"/>
      <c r="L375" s="1066"/>
      <c r="M375" s="1020"/>
      <c r="N375" s="1020"/>
      <c r="O375" s="1020"/>
      <c r="P375" s="1020"/>
      <c r="Q375" s="1020"/>
      <c r="R375" s="1020"/>
      <c r="S375" s="1020"/>
      <c r="T375" s="1036"/>
      <c r="U375" s="1036"/>
      <c r="V375" s="1020"/>
      <c r="W375" s="1020"/>
      <c r="X375" s="1020"/>
      <c r="Y375" s="1020"/>
      <c r="Z375" s="1020"/>
      <c r="AA375" s="1020"/>
      <c r="AB375" s="1020"/>
      <c r="AC375" s="1020"/>
      <c r="AD375" s="1020"/>
      <c r="AE375" s="1020"/>
      <c r="AF375" s="1020"/>
      <c r="AG375" s="1020"/>
      <c r="AH375" s="1020"/>
      <c r="AI375" s="1020"/>
      <c r="AJ375" s="1020"/>
      <c r="AK375" s="1020"/>
      <c r="AL375" s="1020"/>
      <c r="AM375" s="1020"/>
      <c r="AN375" s="1020"/>
      <c r="AO375" s="1020"/>
      <c r="AP375" s="1020"/>
      <c r="AQ375" s="1020"/>
      <c r="AR375" s="1020"/>
      <c r="AS375" s="1020"/>
      <c r="AT375" s="1020"/>
      <c r="AU375" s="1020"/>
      <c r="AV375" s="1020"/>
      <c r="AW375" s="1020"/>
      <c r="AX375" s="1020"/>
    </row>
    <row r="376" spans="4:50" ht="12.75" customHeight="1">
      <c r="D376" s="1071"/>
      <c r="E376" s="1070"/>
      <c r="F376" s="1070"/>
      <c r="G376" s="1070"/>
      <c r="H376" s="1070"/>
      <c r="I376" s="1020"/>
      <c r="J376" s="1020"/>
      <c r="K376" s="1020"/>
      <c r="L376" s="1066"/>
      <c r="M376" s="1020"/>
      <c r="N376" s="1020"/>
      <c r="O376" s="1020"/>
      <c r="P376" s="1020"/>
      <c r="Q376" s="1020"/>
      <c r="R376" s="1020"/>
      <c r="S376" s="1020"/>
      <c r="T376" s="1036"/>
      <c r="U376" s="1036"/>
      <c r="V376" s="1020"/>
      <c r="W376" s="1020"/>
      <c r="X376" s="1020"/>
      <c r="Y376" s="1020"/>
      <c r="Z376" s="1020"/>
      <c r="AA376" s="1020"/>
      <c r="AB376" s="1020"/>
      <c r="AC376" s="1020"/>
      <c r="AD376" s="1020"/>
      <c r="AE376" s="1020"/>
      <c r="AF376" s="1020"/>
      <c r="AG376" s="1020"/>
      <c r="AH376" s="1020"/>
      <c r="AI376" s="1020"/>
      <c r="AJ376" s="1020"/>
      <c r="AK376" s="1020"/>
      <c r="AL376" s="1020"/>
      <c r="AM376" s="1020"/>
      <c r="AN376" s="1020"/>
      <c r="AO376" s="1020"/>
      <c r="AP376" s="1020"/>
      <c r="AQ376" s="1020"/>
      <c r="AR376" s="1020"/>
      <c r="AS376" s="1020"/>
      <c r="AT376" s="1020"/>
      <c r="AU376" s="1020"/>
      <c r="AV376" s="1020"/>
      <c r="AW376" s="1020"/>
      <c r="AX376" s="1020"/>
    </row>
    <row r="377" spans="4:50" ht="12.75" customHeight="1">
      <c r="D377" s="1071"/>
      <c r="E377" s="1070"/>
      <c r="F377" s="1070"/>
      <c r="G377" s="1070"/>
      <c r="H377" s="1070"/>
      <c r="I377" s="1020"/>
      <c r="J377" s="1020"/>
      <c r="K377" s="1020"/>
      <c r="L377" s="1066"/>
      <c r="M377" s="1020"/>
      <c r="N377" s="1020"/>
      <c r="O377" s="1020"/>
      <c r="P377" s="1020"/>
      <c r="Q377" s="1020"/>
      <c r="R377" s="1020"/>
      <c r="S377" s="1020"/>
      <c r="T377" s="1036"/>
      <c r="U377" s="1036"/>
      <c r="V377" s="1020"/>
      <c r="W377" s="1020"/>
      <c r="X377" s="1020"/>
      <c r="Y377" s="1020"/>
      <c r="Z377" s="1020"/>
      <c r="AA377" s="1020"/>
      <c r="AB377" s="1020"/>
      <c r="AC377" s="1020"/>
      <c r="AD377" s="1020"/>
      <c r="AE377" s="1020"/>
      <c r="AF377" s="1020"/>
      <c r="AG377" s="1020"/>
      <c r="AH377" s="1020"/>
      <c r="AI377" s="1020"/>
      <c r="AJ377" s="1020"/>
      <c r="AK377" s="1020"/>
      <c r="AL377" s="1020"/>
      <c r="AM377" s="1020"/>
      <c r="AN377" s="1020"/>
      <c r="AO377" s="1020"/>
      <c r="AP377" s="1020"/>
      <c r="AQ377" s="1020"/>
      <c r="AR377" s="1020"/>
      <c r="AS377" s="1020"/>
      <c r="AT377" s="1020"/>
      <c r="AU377" s="1020"/>
      <c r="AV377" s="1020"/>
      <c r="AW377" s="1020"/>
      <c r="AX377" s="1020"/>
    </row>
    <row r="378" spans="4:50" ht="12.75" customHeight="1">
      <c r="D378" s="1071"/>
      <c r="E378" s="1070"/>
      <c r="F378" s="1070"/>
      <c r="G378" s="1070"/>
      <c r="H378" s="1070"/>
      <c r="I378" s="1020"/>
      <c r="J378" s="1020"/>
      <c r="K378" s="1020"/>
      <c r="L378" s="1066"/>
      <c r="M378" s="1020"/>
      <c r="N378" s="1020"/>
      <c r="O378" s="1020"/>
      <c r="P378" s="1020"/>
      <c r="Q378" s="1020"/>
      <c r="R378" s="1020"/>
      <c r="S378" s="1020"/>
      <c r="T378" s="1036"/>
      <c r="U378" s="1036"/>
      <c r="V378" s="1020"/>
      <c r="W378" s="1020"/>
      <c r="X378" s="1020"/>
      <c r="Y378" s="1020"/>
      <c r="Z378" s="1020"/>
      <c r="AA378" s="1020"/>
      <c r="AB378" s="1020"/>
      <c r="AC378" s="1020"/>
      <c r="AD378" s="1020"/>
      <c r="AE378" s="1020"/>
      <c r="AF378" s="1020"/>
      <c r="AG378" s="1020"/>
      <c r="AH378" s="1020"/>
      <c r="AI378" s="1020"/>
      <c r="AJ378" s="1020"/>
      <c r="AK378" s="1020"/>
      <c r="AL378" s="1020"/>
      <c r="AM378" s="1020"/>
      <c r="AN378" s="1020"/>
      <c r="AO378" s="1020"/>
      <c r="AP378" s="1020"/>
      <c r="AQ378" s="1020"/>
      <c r="AR378" s="1020"/>
      <c r="AS378" s="1020"/>
      <c r="AT378" s="1020"/>
      <c r="AU378" s="1020"/>
      <c r="AV378" s="1020"/>
      <c r="AW378" s="1020"/>
      <c r="AX378" s="1020"/>
    </row>
    <row r="379" spans="4:50" ht="12.75" customHeight="1">
      <c r="D379" s="1071"/>
      <c r="E379" s="1070"/>
      <c r="F379" s="1070"/>
      <c r="G379" s="1070"/>
      <c r="H379" s="1070"/>
      <c r="I379" s="1020"/>
      <c r="J379" s="1020"/>
      <c r="K379" s="1020"/>
      <c r="L379" s="1066"/>
      <c r="M379" s="1020"/>
      <c r="N379" s="1020"/>
      <c r="O379" s="1020"/>
      <c r="P379" s="1020"/>
      <c r="Q379" s="1020"/>
      <c r="R379" s="1020"/>
      <c r="S379" s="1020"/>
      <c r="T379" s="1036"/>
      <c r="U379" s="1036"/>
      <c r="V379" s="1020"/>
      <c r="W379" s="1020"/>
      <c r="X379" s="1020"/>
      <c r="Y379" s="1020"/>
      <c r="Z379" s="1020"/>
      <c r="AA379" s="1020"/>
      <c r="AB379" s="1020"/>
      <c r="AC379" s="1020"/>
      <c r="AD379" s="1020"/>
      <c r="AE379" s="1020"/>
      <c r="AF379" s="1020"/>
      <c r="AG379" s="1020"/>
      <c r="AH379" s="1020"/>
      <c r="AI379" s="1020"/>
      <c r="AJ379" s="1020"/>
      <c r="AK379" s="1020"/>
      <c r="AL379" s="1020"/>
      <c r="AM379" s="1020"/>
      <c r="AN379" s="1020"/>
      <c r="AO379" s="1020"/>
      <c r="AP379" s="1020"/>
      <c r="AQ379" s="1020"/>
      <c r="AR379" s="1020"/>
      <c r="AS379" s="1020"/>
      <c r="AT379" s="1020"/>
      <c r="AU379" s="1020"/>
      <c r="AV379" s="1020"/>
      <c r="AW379" s="1020"/>
      <c r="AX379" s="1020"/>
    </row>
    <row r="380" spans="4:50" ht="12.75" customHeight="1">
      <c r="D380" s="1071"/>
      <c r="E380" s="1070"/>
      <c r="F380" s="1070"/>
      <c r="G380" s="1070"/>
      <c r="H380" s="1070"/>
      <c r="I380" s="1020"/>
      <c r="J380" s="1020"/>
      <c r="K380" s="1020"/>
      <c r="L380" s="1066"/>
      <c r="M380" s="1020"/>
      <c r="N380" s="1020"/>
      <c r="O380" s="1020"/>
      <c r="P380" s="1020"/>
      <c r="Q380" s="1020"/>
      <c r="R380" s="1020"/>
      <c r="S380" s="1020"/>
      <c r="T380" s="1036"/>
      <c r="U380" s="1036"/>
      <c r="V380" s="1020"/>
      <c r="W380" s="1020"/>
      <c r="X380" s="1020"/>
      <c r="Y380" s="1020"/>
      <c r="Z380" s="1020"/>
      <c r="AA380" s="1020"/>
      <c r="AB380" s="1020"/>
      <c r="AC380" s="1020"/>
      <c r="AD380" s="1020"/>
      <c r="AE380" s="1020"/>
      <c r="AF380" s="1020"/>
      <c r="AG380" s="1020"/>
      <c r="AH380" s="1020"/>
      <c r="AI380" s="1020"/>
      <c r="AJ380" s="1020"/>
      <c r="AK380" s="1020"/>
      <c r="AL380" s="1020"/>
      <c r="AM380" s="1020"/>
      <c r="AN380" s="1020"/>
      <c r="AO380" s="1020"/>
      <c r="AP380" s="1020"/>
      <c r="AQ380" s="1020"/>
      <c r="AR380" s="1020"/>
      <c r="AS380" s="1020"/>
      <c r="AT380" s="1020"/>
      <c r="AU380" s="1020"/>
      <c r="AV380" s="1020"/>
      <c r="AW380" s="1020"/>
      <c r="AX380" s="1020"/>
    </row>
    <row r="381" spans="4:50" ht="12.75" customHeight="1">
      <c r="D381" s="1071"/>
      <c r="E381" s="1070"/>
      <c r="F381" s="1070"/>
      <c r="G381" s="1070"/>
      <c r="H381" s="1070"/>
      <c r="I381" s="1020"/>
      <c r="J381" s="1020"/>
      <c r="K381" s="1020"/>
      <c r="L381" s="1066"/>
      <c r="M381" s="1020"/>
      <c r="N381" s="1020"/>
      <c r="O381" s="1020"/>
      <c r="P381" s="1020"/>
      <c r="Q381" s="1020"/>
      <c r="R381" s="1020"/>
      <c r="S381" s="1020"/>
      <c r="T381" s="1036"/>
      <c r="U381" s="1036"/>
      <c r="V381" s="1020"/>
      <c r="W381" s="1020"/>
      <c r="X381" s="1020"/>
      <c r="Y381" s="1020"/>
      <c r="Z381" s="1020"/>
      <c r="AA381" s="1020"/>
      <c r="AB381" s="1020"/>
      <c r="AC381" s="1020"/>
      <c r="AD381" s="1020"/>
      <c r="AE381" s="1020"/>
      <c r="AF381" s="1020"/>
      <c r="AG381" s="1020"/>
      <c r="AH381" s="1020"/>
      <c r="AI381" s="1020"/>
      <c r="AJ381" s="1020"/>
      <c r="AK381" s="1020"/>
      <c r="AL381" s="1020"/>
      <c r="AM381" s="1020"/>
      <c r="AN381" s="1020"/>
      <c r="AO381" s="1020"/>
      <c r="AP381" s="1020"/>
      <c r="AQ381" s="1020"/>
      <c r="AR381" s="1020"/>
      <c r="AS381" s="1020"/>
      <c r="AT381" s="1020"/>
      <c r="AU381" s="1020"/>
      <c r="AV381" s="1020"/>
      <c r="AW381" s="1020"/>
      <c r="AX381" s="1020"/>
    </row>
    <row r="382" spans="4:50" ht="12.75" customHeight="1">
      <c r="D382" s="1071"/>
      <c r="E382" s="1070"/>
      <c r="F382" s="1070"/>
      <c r="G382" s="1070"/>
      <c r="H382" s="1070"/>
      <c r="I382" s="1020"/>
      <c r="J382" s="1020"/>
      <c r="K382" s="1020"/>
      <c r="L382" s="1066"/>
      <c r="M382" s="1020"/>
      <c r="N382" s="1020"/>
      <c r="O382" s="1020"/>
      <c r="P382" s="1020"/>
      <c r="Q382" s="1020"/>
      <c r="R382" s="1020"/>
      <c r="S382" s="1020"/>
      <c r="T382" s="1036"/>
      <c r="U382" s="1036"/>
      <c r="V382" s="1020"/>
      <c r="W382" s="1020"/>
      <c r="X382" s="1020"/>
      <c r="Y382" s="1020"/>
      <c r="Z382" s="1020"/>
      <c r="AA382" s="1020"/>
      <c r="AB382" s="1020"/>
      <c r="AC382" s="1020"/>
      <c r="AD382" s="1020"/>
      <c r="AE382" s="1020"/>
      <c r="AF382" s="1020"/>
      <c r="AG382" s="1020"/>
      <c r="AH382" s="1020"/>
      <c r="AI382" s="1020"/>
      <c r="AJ382" s="1020"/>
      <c r="AK382" s="1020"/>
      <c r="AL382" s="1020"/>
      <c r="AM382" s="1020"/>
      <c r="AN382" s="1020"/>
      <c r="AO382" s="1020"/>
      <c r="AP382" s="1020"/>
      <c r="AQ382" s="1020"/>
      <c r="AR382" s="1020"/>
      <c r="AS382" s="1020"/>
      <c r="AT382" s="1020"/>
      <c r="AU382" s="1020"/>
      <c r="AV382" s="1020"/>
      <c r="AW382" s="1020"/>
      <c r="AX382" s="1020"/>
    </row>
    <row r="383" spans="4:50" ht="12.75" customHeight="1">
      <c r="D383" s="1071"/>
      <c r="E383" s="1070"/>
      <c r="F383" s="1070"/>
      <c r="G383" s="1070"/>
      <c r="H383" s="1070"/>
      <c r="I383" s="1020"/>
      <c r="J383" s="1020"/>
      <c r="K383" s="1020"/>
      <c r="L383" s="1066"/>
      <c r="M383" s="1020"/>
      <c r="N383" s="1020"/>
      <c r="O383" s="1020"/>
      <c r="P383" s="1020"/>
      <c r="Q383" s="1020"/>
      <c r="R383" s="1020"/>
      <c r="S383" s="1020"/>
      <c r="T383" s="1036"/>
      <c r="U383" s="1036"/>
      <c r="V383" s="1020"/>
      <c r="W383" s="1020"/>
      <c r="X383" s="1020"/>
      <c r="Y383" s="1020"/>
      <c r="Z383" s="1020"/>
      <c r="AA383" s="1020"/>
      <c r="AB383" s="1020"/>
      <c r="AC383" s="1020"/>
      <c r="AD383" s="1020"/>
      <c r="AE383" s="1020"/>
      <c r="AF383" s="1020"/>
      <c r="AG383" s="1020"/>
      <c r="AH383" s="1020"/>
      <c r="AI383" s="1020"/>
      <c r="AJ383" s="1020"/>
      <c r="AK383" s="1020"/>
      <c r="AL383" s="1020"/>
      <c r="AM383" s="1020"/>
      <c r="AN383" s="1020"/>
      <c r="AO383" s="1020"/>
      <c r="AP383" s="1020"/>
      <c r="AQ383" s="1020"/>
      <c r="AR383" s="1020"/>
      <c r="AS383" s="1020"/>
      <c r="AT383" s="1020"/>
      <c r="AU383" s="1020"/>
      <c r="AV383" s="1020"/>
      <c r="AW383" s="1020"/>
      <c r="AX383" s="1020"/>
    </row>
    <row r="384" spans="4:50" ht="12.75" customHeight="1">
      <c r="D384" s="1071"/>
      <c r="E384" s="1070"/>
      <c r="F384" s="1070"/>
      <c r="G384" s="1070"/>
      <c r="H384" s="1070"/>
      <c r="I384" s="1020"/>
      <c r="J384" s="1020"/>
      <c r="K384" s="1020"/>
      <c r="L384" s="1066"/>
      <c r="M384" s="1020"/>
      <c r="N384" s="1020"/>
      <c r="O384" s="1020"/>
      <c r="P384" s="1020"/>
      <c r="Q384" s="1020"/>
      <c r="R384" s="1020"/>
      <c r="S384" s="1020"/>
      <c r="T384" s="1036"/>
      <c r="U384" s="1036"/>
      <c r="V384" s="1020"/>
      <c r="W384" s="1020"/>
      <c r="X384" s="1020"/>
      <c r="Y384" s="1020"/>
      <c r="Z384" s="1020"/>
      <c r="AA384" s="1020"/>
      <c r="AB384" s="1020"/>
      <c r="AC384" s="1020"/>
      <c r="AD384" s="1020"/>
      <c r="AE384" s="1020"/>
      <c r="AF384" s="1072"/>
      <c r="AG384" s="1073"/>
      <c r="AH384" s="1072"/>
      <c r="AI384" s="1020"/>
      <c r="AJ384" s="1020"/>
      <c r="AK384" s="1020"/>
      <c r="AL384" s="1020"/>
      <c r="AM384" s="1020"/>
      <c r="AN384" s="1020"/>
      <c r="AO384" s="1020"/>
      <c r="AP384" s="1020"/>
      <c r="AQ384" s="1020"/>
      <c r="AR384" s="1020"/>
      <c r="AS384" s="1020"/>
      <c r="AT384" s="1020"/>
      <c r="AU384" s="1020"/>
      <c r="AV384" s="1020"/>
      <c r="AW384" s="1020"/>
      <c r="AX384" s="1020"/>
    </row>
    <row r="385" spans="4:53" ht="12.75" customHeight="1">
      <c r="D385" s="1071"/>
      <c r="E385" s="1070"/>
      <c r="F385" s="1070"/>
      <c r="G385" s="1070"/>
      <c r="H385" s="1070"/>
      <c r="I385" s="1020"/>
      <c r="J385" s="1020"/>
      <c r="K385" s="1020"/>
      <c r="L385" s="1066"/>
      <c r="M385" s="1020"/>
      <c r="N385" s="1020"/>
      <c r="O385" s="1020"/>
      <c r="P385" s="1020"/>
      <c r="Q385" s="1020"/>
      <c r="R385" s="1020"/>
      <c r="S385" s="1020"/>
      <c r="T385" s="1036"/>
      <c r="U385" s="1036"/>
      <c r="V385" s="1020"/>
      <c r="W385" s="1020"/>
      <c r="X385" s="1020"/>
      <c r="Y385" s="1020"/>
      <c r="Z385" s="1020"/>
      <c r="AA385" s="1020"/>
      <c r="AB385" s="1020"/>
      <c r="AC385" s="1020"/>
      <c r="AD385" s="1020"/>
      <c r="AE385" s="1020"/>
      <c r="AF385" s="1074"/>
      <c r="AG385" s="1074"/>
      <c r="AH385" s="1072"/>
      <c r="AI385" s="1073"/>
      <c r="AJ385" s="1075"/>
      <c r="AK385" s="256"/>
      <c r="AL385" s="257"/>
      <c r="AM385" s="1076"/>
      <c r="AN385" s="1076"/>
      <c r="AO385" s="1077"/>
      <c r="AP385" s="1078"/>
      <c r="AQ385" s="1076"/>
      <c r="AR385" s="1076"/>
      <c r="AS385" s="1079">
        <v>20000</v>
      </c>
      <c r="AT385" s="1076"/>
      <c r="AU385" s="1072">
        <v>24</v>
      </c>
      <c r="AV385" s="1080"/>
      <c r="AW385" s="1081"/>
      <c r="AX385" s="1080"/>
      <c r="AY385" s="1076"/>
      <c r="AZ385" s="1076"/>
      <c r="BA385" s="1076"/>
    </row>
    <row r="386" spans="4:53" ht="12.75" customHeight="1">
      <c r="D386" s="1071"/>
      <c r="E386" s="1070"/>
      <c r="F386" s="1070"/>
      <c r="G386" s="1070"/>
      <c r="H386" s="1070"/>
      <c r="I386" s="1020"/>
      <c r="J386" s="1020"/>
      <c r="K386" s="1020"/>
      <c r="L386" s="1066"/>
      <c r="M386" s="1020"/>
      <c r="N386" s="1020"/>
      <c r="O386" s="1020"/>
      <c r="P386" s="1020"/>
      <c r="Q386" s="1020"/>
      <c r="R386" s="1020"/>
      <c r="S386" s="1020"/>
      <c r="T386" s="1036"/>
      <c r="U386" s="1036"/>
      <c r="V386" s="1020"/>
      <c r="W386" s="1020"/>
      <c r="X386" s="1020"/>
      <c r="Y386" s="1020"/>
      <c r="Z386" s="1020"/>
      <c r="AA386" s="1020"/>
      <c r="AB386" s="1020"/>
      <c r="AC386" s="1020"/>
      <c r="AD386" s="1020"/>
      <c r="AE386" s="1020"/>
      <c r="AF386" s="1074"/>
      <c r="AG386" s="1074"/>
      <c r="AH386" s="1072"/>
      <c r="AI386" s="1074"/>
      <c r="AJ386" s="1082"/>
      <c r="AK386" s="258"/>
      <c r="AL386" s="259"/>
      <c r="AM386" s="1079"/>
      <c r="AN386" s="1079"/>
      <c r="AO386" s="1083"/>
      <c r="AP386" s="1084"/>
      <c r="AQ386" s="1079"/>
      <c r="AR386" s="1079"/>
      <c r="AS386" s="1079">
        <v>15000</v>
      </c>
      <c r="AT386" s="1079"/>
      <c r="AU386" s="1074"/>
      <c r="AV386" s="1085"/>
      <c r="AW386" s="1086"/>
      <c r="AX386" s="1085"/>
      <c r="AY386" s="1079"/>
      <c r="AZ386" s="1079"/>
      <c r="BA386" s="1079"/>
    </row>
    <row r="387" spans="4:53" ht="12.75" customHeight="1">
      <c r="D387" s="1071"/>
      <c r="E387" s="1070"/>
      <c r="F387" s="1070"/>
      <c r="G387" s="1070"/>
      <c r="H387" s="1070"/>
      <c r="I387" s="1020"/>
      <c r="J387" s="1020"/>
      <c r="K387" s="1020"/>
      <c r="L387" s="1066"/>
      <c r="M387" s="1020"/>
      <c r="N387" s="1020"/>
      <c r="O387" s="1020"/>
      <c r="P387" s="1020"/>
      <c r="Q387" s="1020"/>
      <c r="R387" s="1020"/>
      <c r="S387" s="1020"/>
      <c r="T387" s="1036"/>
      <c r="U387" s="1036"/>
      <c r="V387" s="1020"/>
      <c r="W387" s="1020"/>
      <c r="X387" s="1020"/>
      <c r="Y387" s="1020"/>
      <c r="Z387" s="1020"/>
      <c r="AA387" s="1020"/>
      <c r="AB387" s="1020"/>
      <c r="AC387" s="1020"/>
      <c r="AD387" s="1020"/>
      <c r="AE387" s="1020"/>
      <c r="AF387" s="1074"/>
      <c r="AG387" s="1074"/>
      <c r="AH387" s="1072"/>
      <c r="AI387" s="1074"/>
      <c r="AJ387" s="1082"/>
      <c r="AK387" s="258"/>
      <c r="AL387" s="259"/>
      <c r="AM387" s="1079"/>
      <c r="AN387" s="1079"/>
      <c r="AO387" s="1083"/>
      <c r="AP387" s="1084"/>
      <c r="AQ387" s="1079"/>
      <c r="AR387" s="1079"/>
      <c r="AS387" s="1079"/>
      <c r="AT387" s="1079"/>
      <c r="AU387" s="1074"/>
      <c r="AV387" s="1085"/>
      <c r="AW387" s="1086"/>
      <c r="AX387" s="1085"/>
      <c r="AY387" s="1079"/>
      <c r="AZ387" s="1079"/>
      <c r="BA387" s="1079"/>
    </row>
    <row r="388" spans="4:53" ht="12.75" customHeight="1">
      <c r="D388" s="1071"/>
      <c r="E388" s="1070"/>
      <c r="F388" s="1070"/>
      <c r="G388" s="1070"/>
      <c r="H388" s="1070"/>
      <c r="I388" s="1020"/>
      <c r="J388" s="1020"/>
      <c r="K388" s="1020"/>
      <c r="L388" s="1066"/>
      <c r="M388" s="1020"/>
      <c r="N388" s="1020"/>
      <c r="O388" s="1020"/>
      <c r="P388" s="1020"/>
      <c r="Q388" s="1020"/>
      <c r="R388" s="1020"/>
      <c r="S388" s="1020"/>
      <c r="T388" s="1036"/>
      <c r="U388" s="1036"/>
      <c r="V388" s="1020"/>
      <c r="W388" s="1020"/>
      <c r="X388" s="1020"/>
      <c r="Y388" s="1020"/>
      <c r="Z388" s="1020"/>
      <c r="AA388" s="1020"/>
      <c r="AB388" s="1020"/>
      <c r="AC388" s="1020"/>
      <c r="AD388" s="1020"/>
      <c r="AE388" s="1020"/>
      <c r="AF388" s="1074"/>
      <c r="AG388" s="1074"/>
      <c r="AH388" s="1072"/>
      <c r="AI388" s="1074"/>
      <c r="AJ388" s="1082"/>
      <c r="AK388" s="258"/>
      <c r="AL388" s="259"/>
      <c r="AM388" s="1079"/>
      <c r="AN388" s="1079"/>
      <c r="AO388" s="1083"/>
      <c r="AP388" s="1084"/>
      <c r="AQ388" s="1079"/>
      <c r="AR388" s="1079"/>
      <c r="AS388" s="1079"/>
      <c r="AT388" s="1079"/>
      <c r="AU388" s="1074"/>
      <c r="AV388" s="1085"/>
      <c r="AW388" s="1086"/>
      <c r="AX388" s="1085"/>
      <c r="AY388" s="1079"/>
      <c r="AZ388" s="1079"/>
      <c r="BA388" s="1079"/>
    </row>
    <row r="389" spans="4:53" ht="12.75" customHeight="1">
      <c r="D389" s="1071"/>
      <c r="E389" s="1070"/>
      <c r="F389" s="1070"/>
      <c r="G389" s="1070"/>
      <c r="H389" s="1070"/>
      <c r="I389" s="1020"/>
      <c r="J389" s="1020"/>
      <c r="K389" s="1020"/>
      <c r="L389" s="1066"/>
      <c r="M389" s="1020"/>
      <c r="N389" s="1020"/>
      <c r="O389" s="1020"/>
      <c r="P389" s="1020"/>
      <c r="Q389" s="1020"/>
      <c r="R389" s="1020"/>
      <c r="S389" s="1020"/>
      <c r="T389" s="1036"/>
      <c r="U389" s="1036"/>
      <c r="V389" s="1020"/>
      <c r="W389" s="1020"/>
      <c r="X389" s="1020"/>
      <c r="Y389" s="1020"/>
      <c r="Z389" s="1020"/>
      <c r="AA389" s="1020"/>
      <c r="AB389" s="1020"/>
      <c r="AC389" s="1020"/>
      <c r="AD389" s="1020"/>
      <c r="AE389" s="1020"/>
      <c r="AF389" s="1074"/>
      <c r="AG389" s="1074"/>
      <c r="AH389" s="1072"/>
      <c r="AI389" s="1074"/>
      <c r="AJ389" s="1082"/>
      <c r="AK389" s="258"/>
      <c r="AL389" s="259"/>
      <c r="AM389" s="1079"/>
      <c r="AN389" s="1079"/>
      <c r="AO389" s="1083"/>
      <c r="AP389" s="1084"/>
      <c r="AQ389" s="1079"/>
      <c r="AR389" s="1079"/>
      <c r="AS389" s="1079"/>
      <c r="AT389" s="1079"/>
      <c r="AU389" s="1074"/>
      <c r="AV389" s="1085"/>
      <c r="AW389" s="1086"/>
      <c r="AX389" s="1085"/>
      <c r="AY389" s="1079"/>
      <c r="AZ389" s="1079"/>
      <c r="BA389" s="1079"/>
    </row>
    <row r="390" spans="4:53" ht="12.75" customHeight="1">
      <c r="D390" s="1071"/>
      <c r="E390" s="1070"/>
      <c r="F390" s="1070"/>
      <c r="G390" s="1070"/>
      <c r="H390" s="1070"/>
      <c r="I390" s="1020"/>
      <c r="J390" s="1020"/>
      <c r="K390" s="1020"/>
      <c r="L390" s="1066"/>
      <c r="M390" s="1020"/>
      <c r="N390" s="1020"/>
      <c r="O390" s="1020"/>
      <c r="P390" s="1020"/>
      <c r="Q390" s="1020"/>
      <c r="R390" s="1020"/>
      <c r="S390" s="1020"/>
      <c r="T390" s="1036"/>
      <c r="U390" s="1036"/>
      <c r="V390" s="1020"/>
      <c r="W390" s="1020"/>
      <c r="X390" s="1020"/>
      <c r="Y390" s="1020"/>
      <c r="Z390" s="1020"/>
      <c r="AA390" s="1020"/>
      <c r="AB390" s="1020"/>
      <c r="AC390" s="1020"/>
      <c r="AD390" s="1020"/>
      <c r="AE390" s="1020"/>
      <c r="AF390" s="1074"/>
      <c r="AG390" s="1074"/>
      <c r="AH390" s="1072"/>
      <c r="AI390" s="1074"/>
      <c r="AJ390" s="1082"/>
      <c r="AK390" s="258"/>
      <c r="AL390" s="259"/>
      <c r="AM390" s="1079"/>
      <c r="AN390" s="1079"/>
      <c r="AO390" s="1083"/>
      <c r="AP390" s="1084"/>
      <c r="AQ390" s="1079"/>
      <c r="AR390" s="1079"/>
      <c r="AS390" s="1079"/>
      <c r="AT390" s="1079"/>
      <c r="AU390" s="1074"/>
      <c r="AV390" s="1085"/>
      <c r="AW390" s="1086"/>
      <c r="AX390" s="1085"/>
      <c r="AY390" s="1079"/>
      <c r="AZ390" s="1079"/>
      <c r="BA390" s="1079"/>
    </row>
    <row r="391" spans="4:53" ht="12.75" customHeight="1">
      <c r="D391" s="1071"/>
      <c r="E391" s="1070"/>
      <c r="F391" s="1070"/>
      <c r="G391" s="1070"/>
      <c r="H391" s="1070"/>
      <c r="I391" s="1020"/>
      <c r="J391" s="1020"/>
      <c r="K391" s="1020"/>
      <c r="L391" s="1066"/>
      <c r="M391" s="1020"/>
      <c r="N391" s="1020"/>
      <c r="O391" s="1020"/>
      <c r="P391" s="1020"/>
      <c r="Q391" s="1020"/>
      <c r="R391" s="1020"/>
      <c r="S391" s="1020"/>
      <c r="T391" s="1036"/>
      <c r="U391" s="1036"/>
      <c r="V391" s="1020"/>
      <c r="W391" s="1020"/>
      <c r="X391" s="1020"/>
      <c r="Y391" s="1020"/>
      <c r="Z391" s="1020"/>
      <c r="AA391" s="1020"/>
      <c r="AB391" s="1020"/>
      <c r="AC391" s="1020"/>
      <c r="AD391" s="1020"/>
      <c r="AE391" s="1020"/>
      <c r="AF391" s="1074"/>
      <c r="AG391" s="1074"/>
      <c r="AH391" s="1072"/>
      <c r="AI391" s="1074"/>
      <c r="AJ391" s="1082"/>
      <c r="AK391" s="258"/>
      <c r="AL391" s="259"/>
      <c r="AM391" s="1079"/>
      <c r="AN391" s="1079"/>
      <c r="AO391" s="1083"/>
      <c r="AP391" s="1084"/>
      <c r="AQ391" s="1079"/>
      <c r="AR391" s="1079"/>
      <c r="AS391" s="1079"/>
      <c r="AT391" s="1079"/>
      <c r="AU391" s="1074"/>
      <c r="AV391" s="1085"/>
      <c r="AW391" s="1086"/>
      <c r="AX391" s="1085"/>
      <c r="AY391" s="1079"/>
      <c r="AZ391" s="1079"/>
      <c r="BA391" s="1079"/>
    </row>
    <row r="392" spans="4:53" ht="12.75" customHeight="1">
      <c r="D392" s="1071"/>
      <c r="E392" s="1070"/>
      <c r="F392" s="1070"/>
      <c r="G392" s="1070"/>
      <c r="H392" s="1070"/>
      <c r="I392" s="1020"/>
      <c r="J392" s="1020"/>
      <c r="K392" s="1020"/>
      <c r="L392" s="1066"/>
      <c r="M392" s="1020"/>
      <c r="N392" s="1020"/>
      <c r="O392" s="1020"/>
      <c r="P392" s="1020"/>
      <c r="Q392" s="1020"/>
      <c r="R392" s="1020"/>
      <c r="S392" s="1020"/>
      <c r="T392" s="1036"/>
      <c r="U392" s="1036"/>
      <c r="V392" s="1020"/>
      <c r="W392" s="1020"/>
      <c r="X392" s="1020"/>
      <c r="Y392" s="1020"/>
      <c r="Z392" s="1020"/>
      <c r="AA392" s="1020"/>
      <c r="AB392" s="1020"/>
      <c r="AC392" s="1020"/>
      <c r="AD392" s="1020"/>
      <c r="AE392" s="1020"/>
      <c r="AF392" s="1074"/>
      <c r="AG392" s="1074"/>
      <c r="AH392" s="1072"/>
      <c r="AI392" s="1074"/>
      <c r="AJ392" s="1082"/>
      <c r="AK392" s="258"/>
      <c r="AL392" s="259"/>
      <c r="AM392" s="1079"/>
      <c r="AN392" s="1079"/>
      <c r="AO392" s="1083"/>
      <c r="AP392" s="1084"/>
      <c r="AQ392" s="1079"/>
      <c r="AR392" s="1079"/>
      <c r="AS392" s="1079"/>
      <c r="AT392" s="1079"/>
      <c r="AU392" s="1074"/>
      <c r="AV392" s="1085"/>
      <c r="AW392" s="1086"/>
      <c r="AX392" s="1085"/>
      <c r="AY392" s="1079"/>
      <c r="AZ392" s="1079"/>
      <c r="BA392" s="1079"/>
    </row>
    <row r="393" spans="4:53" ht="12.75" customHeight="1">
      <c r="D393" s="1071"/>
      <c r="E393" s="1070"/>
      <c r="F393" s="1070"/>
      <c r="G393" s="1070"/>
      <c r="H393" s="1070"/>
      <c r="I393" s="1020"/>
      <c r="J393" s="1020"/>
      <c r="K393" s="1020"/>
      <c r="L393" s="1066"/>
      <c r="M393" s="1020"/>
      <c r="N393" s="1020"/>
      <c r="O393" s="1020"/>
      <c r="P393" s="1020"/>
      <c r="Q393" s="1020"/>
      <c r="R393" s="1020"/>
      <c r="S393" s="1020"/>
      <c r="T393" s="1036"/>
      <c r="U393" s="1036"/>
      <c r="V393" s="1020"/>
      <c r="W393" s="1020"/>
      <c r="X393" s="1020"/>
      <c r="Y393" s="1020"/>
      <c r="Z393" s="1020"/>
      <c r="AA393" s="1020"/>
      <c r="AB393" s="1020"/>
      <c r="AC393" s="1020"/>
      <c r="AD393" s="1020"/>
      <c r="AE393" s="1020"/>
      <c r="AF393" s="1074"/>
      <c r="AG393" s="1074"/>
      <c r="AH393" s="1072"/>
      <c r="AI393" s="1074"/>
      <c r="AJ393" s="1082"/>
      <c r="AK393" s="258"/>
      <c r="AL393" s="259"/>
      <c r="AM393" s="1079"/>
      <c r="AN393" s="1079"/>
      <c r="AO393" s="1083"/>
      <c r="AP393" s="1084"/>
      <c r="AQ393" s="1079"/>
      <c r="AR393" s="1079"/>
      <c r="AS393" s="1079"/>
      <c r="AT393" s="1079"/>
      <c r="AU393" s="1074"/>
      <c r="AV393" s="1085"/>
      <c r="AW393" s="1086"/>
      <c r="AX393" s="1085"/>
      <c r="AY393" s="1079"/>
      <c r="AZ393" s="1079"/>
      <c r="BA393" s="1079"/>
    </row>
    <row r="394" spans="4:53" ht="12.75" customHeight="1">
      <c r="D394" s="1071"/>
      <c r="E394" s="1070"/>
      <c r="F394" s="1070"/>
      <c r="G394" s="1070"/>
      <c r="H394" s="1070"/>
      <c r="I394" s="1020"/>
      <c r="J394" s="1020"/>
      <c r="K394" s="1020"/>
      <c r="L394" s="1066"/>
      <c r="M394" s="1020"/>
      <c r="N394" s="1020"/>
      <c r="O394" s="1020"/>
      <c r="P394" s="1020"/>
      <c r="Q394" s="1020"/>
      <c r="R394" s="1020"/>
      <c r="S394" s="1020"/>
      <c r="T394" s="1036"/>
      <c r="U394" s="1036"/>
      <c r="V394" s="1020"/>
      <c r="W394" s="1020"/>
      <c r="X394" s="1020"/>
      <c r="Y394" s="1020"/>
      <c r="Z394" s="1020"/>
      <c r="AA394" s="1020"/>
      <c r="AB394" s="1020"/>
      <c r="AC394" s="1020"/>
      <c r="AD394" s="1020"/>
      <c r="AE394" s="1020"/>
      <c r="AF394" s="1066"/>
      <c r="AG394" s="1020"/>
      <c r="AH394" s="1020"/>
      <c r="AI394" s="1074"/>
      <c r="AJ394" s="1082"/>
      <c r="AK394" s="258"/>
      <c r="AL394" s="259"/>
      <c r="AM394" s="1079"/>
      <c r="AN394" s="1079"/>
      <c r="AO394" s="1083"/>
      <c r="AP394" s="1084"/>
      <c r="AQ394" s="1079"/>
      <c r="AR394" s="1079"/>
      <c r="AS394" s="1079"/>
      <c r="AT394" s="1079"/>
      <c r="AU394" s="1074"/>
      <c r="AV394" s="1085"/>
      <c r="AW394" s="1086"/>
      <c r="AX394" s="1085"/>
      <c r="AY394" s="1079"/>
      <c r="AZ394" s="1079"/>
      <c r="BA394" s="1079"/>
    </row>
    <row r="395" spans="4:53" ht="12.75" customHeight="1">
      <c r="D395" s="1071"/>
      <c r="E395" s="1070"/>
      <c r="F395" s="1070"/>
      <c r="G395" s="1070"/>
      <c r="H395" s="1070"/>
      <c r="I395" s="1020"/>
      <c r="J395" s="1020"/>
      <c r="K395" s="1020"/>
      <c r="L395" s="1066"/>
      <c r="M395" s="1020"/>
      <c r="N395" s="1020"/>
      <c r="O395" s="1020"/>
      <c r="P395" s="1020"/>
      <c r="Q395" s="1020"/>
      <c r="R395" s="1020"/>
      <c r="S395" s="1020"/>
      <c r="T395" s="1036"/>
      <c r="U395" s="1036"/>
      <c r="V395" s="1020"/>
      <c r="W395" s="1020"/>
      <c r="X395" s="1020"/>
      <c r="Y395" s="1020"/>
      <c r="Z395" s="1020"/>
      <c r="AA395" s="1020"/>
      <c r="AB395" s="1020"/>
      <c r="AC395" s="1020"/>
      <c r="AD395" s="1020"/>
      <c r="AE395" s="1020"/>
      <c r="AF395" s="1066"/>
      <c r="AG395" s="1020"/>
      <c r="AH395" s="1020"/>
      <c r="AI395" s="1020"/>
      <c r="AJ395" s="1087"/>
      <c r="AK395" s="1020"/>
      <c r="AL395" s="1020"/>
      <c r="AM395" s="1020"/>
      <c r="AN395" s="1020"/>
      <c r="AO395" s="1020"/>
      <c r="AP395" s="1020"/>
      <c r="AQ395" s="1020"/>
      <c r="AR395" s="1020"/>
      <c r="AS395" s="1088"/>
      <c r="AT395" s="1020"/>
      <c r="AU395" s="1020"/>
      <c r="AV395" s="1020"/>
      <c r="AW395" s="1039"/>
      <c r="AX395" s="1040"/>
      <c r="AY395" s="1020"/>
      <c r="AZ395" s="1020"/>
      <c r="BA395" s="1020"/>
    </row>
    <row r="396" spans="4:53" ht="12.75" customHeight="1">
      <c r="D396" s="1071"/>
      <c r="E396" s="1070"/>
      <c r="F396" s="1070"/>
      <c r="G396" s="1070"/>
      <c r="H396" s="1070"/>
      <c r="I396" s="1020"/>
      <c r="J396" s="1020"/>
      <c r="K396" s="1020"/>
      <c r="L396" s="1066"/>
      <c r="M396" s="1020"/>
      <c r="N396" s="1020"/>
      <c r="O396" s="1020"/>
      <c r="P396" s="1020"/>
      <c r="Q396" s="1020"/>
      <c r="R396" s="1020"/>
      <c r="S396" s="1020"/>
      <c r="T396" s="1036"/>
      <c r="U396" s="1036"/>
      <c r="V396" s="1020"/>
      <c r="W396" s="1020"/>
      <c r="X396" s="1020"/>
      <c r="Y396" s="1020"/>
      <c r="Z396" s="1020"/>
      <c r="AA396" s="1020"/>
      <c r="AB396" s="1020"/>
      <c r="AC396" s="1020"/>
      <c r="AD396" s="1020"/>
      <c r="AE396" s="1020"/>
      <c r="AF396" s="1066"/>
      <c r="AG396" s="1020"/>
      <c r="AH396" s="1020"/>
      <c r="AI396" s="1020"/>
      <c r="AJ396" s="1087"/>
      <c r="AK396" s="1020"/>
      <c r="AL396" s="1020"/>
      <c r="AM396" s="1020"/>
      <c r="AN396" s="1020"/>
      <c r="AO396" s="1020"/>
      <c r="AP396" s="1020"/>
      <c r="AQ396" s="1020"/>
      <c r="AR396" s="1020"/>
      <c r="AS396" s="1088"/>
      <c r="AT396" s="1020"/>
      <c r="AU396" s="1020"/>
      <c r="AV396" s="1020"/>
      <c r="AW396" s="1039"/>
      <c r="AX396" s="1040"/>
      <c r="AY396" s="1020"/>
      <c r="AZ396" s="1020"/>
      <c r="BA396" s="1020"/>
    </row>
    <row r="397" spans="4:53" ht="12.75" customHeight="1">
      <c r="D397" s="1071"/>
      <c r="E397" s="1070"/>
      <c r="F397" s="1070"/>
      <c r="G397" s="1070"/>
      <c r="H397" s="1070"/>
      <c r="I397" s="1020"/>
      <c r="J397" s="1020"/>
      <c r="K397" s="1020"/>
      <c r="L397" s="1066"/>
      <c r="M397" s="1020"/>
      <c r="N397" s="1020"/>
      <c r="O397" s="1020"/>
      <c r="P397" s="1020"/>
      <c r="Q397" s="1020"/>
      <c r="R397" s="1020"/>
      <c r="S397" s="1020"/>
      <c r="T397" s="1036"/>
      <c r="U397" s="1036"/>
      <c r="V397" s="1020"/>
      <c r="W397" s="1020"/>
      <c r="X397" s="1020"/>
      <c r="Y397" s="1020"/>
      <c r="Z397" s="1020"/>
      <c r="AA397" s="1020"/>
      <c r="AB397" s="1020"/>
      <c r="AC397" s="1020"/>
      <c r="AD397" s="1020"/>
      <c r="AE397" s="1020"/>
      <c r="AF397" s="1066"/>
      <c r="AG397" s="1020"/>
      <c r="AH397" s="1020"/>
      <c r="AI397" s="1020"/>
      <c r="AJ397" s="1087"/>
      <c r="AK397" s="1020"/>
      <c r="AL397" s="1020"/>
      <c r="AM397" s="1020"/>
      <c r="AN397" s="1020"/>
      <c r="AO397" s="1020"/>
      <c r="AP397" s="1020"/>
      <c r="AQ397" s="1020"/>
      <c r="AR397" s="1020"/>
      <c r="AS397" s="1088"/>
      <c r="AT397" s="1020"/>
      <c r="AU397" s="1020"/>
      <c r="AV397" s="1020"/>
      <c r="AW397" s="1039"/>
      <c r="AX397" s="1040"/>
      <c r="AY397" s="1020"/>
      <c r="AZ397" s="1020"/>
      <c r="BA397" s="1020"/>
    </row>
    <row r="398" spans="4:53" ht="12.75" customHeight="1">
      <c r="D398" s="1071"/>
      <c r="E398" s="1070"/>
      <c r="F398" s="1070"/>
      <c r="G398" s="1070"/>
      <c r="H398" s="1070"/>
      <c r="I398" s="1020"/>
      <c r="J398" s="1020"/>
      <c r="K398" s="1020"/>
      <c r="L398" s="1066"/>
      <c r="M398" s="1020"/>
      <c r="N398" s="1020"/>
      <c r="O398" s="1020"/>
      <c r="P398" s="1020"/>
      <c r="Q398" s="1020"/>
      <c r="R398" s="1020"/>
      <c r="S398" s="1020"/>
      <c r="T398" s="1036"/>
      <c r="U398" s="1036"/>
      <c r="V398" s="1020"/>
      <c r="W398" s="1020"/>
      <c r="X398" s="1020"/>
      <c r="Y398" s="1020"/>
      <c r="Z398" s="1020"/>
      <c r="AA398" s="1020"/>
      <c r="AB398" s="1020"/>
      <c r="AC398" s="1020"/>
      <c r="AD398" s="1020"/>
      <c r="AE398" s="1020"/>
      <c r="AF398" s="1066"/>
      <c r="AG398" s="1020"/>
      <c r="AH398" s="1020"/>
      <c r="AI398" s="1020"/>
      <c r="AJ398" s="1087"/>
      <c r="AK398" s="1020"/>
      <c r="AL398" s="1020"/>
      <c r="AM398" s="1020"/>
      <c r="AN398" s="1020"/>
      <c r="AO398" s="1020"/>
      <c r="AP398" s="1020"/>
      <c r="AQ398" s="1020"/>
      <c r="AR398" s="1020"/>
      <c r="AS398" s="1088"/>
      <c r="AT398" s="1020"/>
      <c r="AU398" s="1020"/>
      <c r="AV398" s="1020"/>
      <c r="AW398" s="1039"/>
      <c r="AX398" s="1040"/>
      <c r="AY398" s="1020"/>
      <c r="AZ398" s="1020"/>
      <c r="BA398" s="1020"/>
    </row>
    <row r="399" spans="4:53" ht="12.75" customHeight="1">
      <c r="D399" s="1071"/>
      <c r="E399" s="1070"/>
      <c r="F399" s="1070"/>
      <c r="G399" s="1070"/>
      <c r="H399" s="1070"/>
      <c r="I399" s="1020"/>
      <c r="J399" s="1020"/>
      <c r="K399" s="1020"/>
      <c r="L399" s="1066"/>
      <c r="M399" s="1020"/>
      <c r="N399" s="1020"/>
      <c r="O399" s="1020"/>
      <c r="P399" s="1020"/>
      <c r="Q399" s="1020"/>
      <c r="R399" s="1020"/>
      <c r="S399" s="1020"/>
      <c r="T399" s="1036"/>
      <c r="U399" s="1036"/>
      <c r="V399" s="1020"/>
      <c r="W399" s="1020"/>
      <c r="X399" s="1020"/>
      <c r="Y399" s="1020"/>
      <c r="Z399" s="1020"/>
      <c r="AA399" s="1020"/>
      <c r="AB399" s="1020"/>
      <c r="AC399" s="1020"/>
      <c r="AD399" s="1020"/>
      <c r="AE399" s="1020"/>
      <c r="AF399" s="1066"/>
      <c r="AG399" s="1020"/>
      <c r="AH399" s="1020"/>
      <c r="AI399" s="1020"/>
      <c r="AJ399" s="1087"/>
      <c r="AK399" s="1020"/>
      <c r="AL399" s="1020"/>
      <c r="AM399" s="1020"/>
      <c r="AN399" s="1020"/>
      <c r="AO399" s="1020"/>
      <c r="AP399" s="1020"/>
      <c r="AQ399" s="1020"/>
      <c r="AR399" s="1020"/>
      <c r="AS399" s="1088"/>
      <c r="AT399" s="1020"/>
      <c r="AU399" s="1020"/>
      <c r="AV399" s="1020"/>
      <c r="AW399" s="1039"/>
      <c r="AX399" s="1040"/>
      <c r="AY399" s="1020"/>
      <c r="AZ399" s="1020"/>
      <c r="BA399" s="1020"/>
    </row>
    <row r="400" spans="4:53" ht="12.75" customHeight="1">
      <c r="D400" s="1071"/>
      <c r="E400" s="1070"/>
      <c r="F400" s="1070"/>
      <c r="G400" s="1070"/>
      <c r="H400" s="1070"/>
      <c r="I400" s="1020"/>
      <c r="J400" s="1020"/>
      <c r="K400" s="1020"/>
      <c r="L400" s="1066"/>
      <c r="M400" s="1020"/>
      <c r="N400" s="1020"/>
      <c r="O400" s="1020"/>
      <c r="P400" s="1020"/>
      <c r="Q400" s="1020"/>
      <c r="R400" s="1020"/>
      <c r="S400" s="1020"/>
      <c r="T400" s="1036"/>
      <c r="U400" s="1036"/>
      <c r="V400" s="1020"/>
      <c r="W400" s="1020"/>
      <c r="X400" s="1020"/>
      <c r="Y400" s="1020"/>
      <c r="Z400" s="1020"/>
      <c r="AA400" s="1020"/>
      <c r="AB400" s="1020"/>
      <c r="AC400" s="1020"/>
      <c r="AD400" s="1020"/>
      <c r="AE400" s="1020"/>
      <c r="AF400" s="1066"/>
      <c r="AG400" s="1020"/>
      <c r="AH400" s="1020"/>
      <c r="AI400" s="1020"/>
      <c r="AJ400" s="1087"/>
      <c r="AK400" s="1020"/>
      <c r="AL400" s="1020"/>
      <c r="AM400" s="1020"/>
      <c r="AN400" s="1020"/>
      <c r="AO400" s="1020"/>
      <c r="AP400" s="1020"/>
      <c r="AQ400" s="1020"/>
      <c r="AR400" s="1020"/>
      <c r="AS400" s="1088"/>
      <c r="AT400" s="1020"/>
      <c r="AU400" s="1020"/>
      <c r="AV400" s="1020"/>
      <c r="AW400" s="1039"/>
      <c r="AX400" s="1040"/>
      <c r="AY400" s="1020"/>
      <c r="AZ400" s="1020"/>
      <c r="BA400" s="1020"/>
    </row>
    <row r="401" spans="4:45" ht="12.75" customHeight="1">
      <c r="D401" s="1071"/>
      <c r="E401" s="1070"/>
      <c r="F401" s="1070"/>
      <c r="G401" s="1070"/>
      <c r="H401" s="1070"/>
      <c r="I401" s="1020"/>
      <c r="J401" s="1020"/>
      <c r="K401" s="1020"/>
      <c r="L401" s="1066"/>
      <c r="M401" s="1020"/>
      <c r="N401" s="1020"/>
      <c r="O401" s="1020"/>
      <c r="P401" s="1020"/>
      <c r="Q401" s="1020"/>
      <c r="R401" s="1020"/>
      <c r="S401" s="1020"/>
      <c r="T401" s="1036"/>
      <c r="U401" s="1036"/>
      <c r="V401" s="1020"/>
      <c r="W401" s="1020"/>
      <c r="X401" s="1020"/>
      <c r="Y401" s="1020"/>
      <c r="Z401" s="1020"/>
      <c r="AA401" s="1020"/>
      <c r="AB401" s="1020"/>
      <c r="AC401" s="1020"/>
      <c r="AD401" s="1020"/>
      <c r="AE401" s="1020"/>
      <c r="AF401" s="1066"/>
      <c r="AG401" s="1020"/>
      <c r="AH401" s="1020"/>
      <c r="AI401" s="1020"/>
      <c r="AJ401" s="1087"/>
      <c r="AK401" s="1020"/>
      <c r="AL401" s="1020"/>
      <c r="AM401" s="1020"/>
      <c r="AN401" s="1020"/>
      <c r="AO401" s="1020"/>
      <c r="AP401" s="1020"/>
      <c r="AQ401" s="1020"/>
      <c r="AR401" s="1020"/>
      <c r="AS401" s="1088"/>
    </row>
    <row r="402" spans="4:45" ht="12.75" customHeight="1">
      <c r="D402" s="1071"/>
      <c r="E402" s="1070"/>
      <c r="F402" s="1070"/>
      <c r="G402" s="1070"/>
      <c r="H402" s="1070"/>
      <c r="I402" s="1020"/>
      <c r="J402" s="1020"/>
      <c r="K402" s="1020"/>
      <c r="L402" s="1066"/>
      <c r="M402" s="1020"/>
      <c r="N402" s="1020"/>
      <c r="O402" s="1020"/>
      <c r="P402" s="1020"/>
      <c r="Q402" s="1020"/>
      <c r="R402" s="1020"/>
      <c r="S402" s="1020"/>
      <c r="T402" s="1036"/>
      <c r="U402" s="1036"/>
      <c r="V402" s="1020"/>
      <c r="W402" s="1020"/>
      <c r="X402" s="1020"/>
      <c r="Y402" s="1020"/>
      <c r="Z402" s="1020"/>
      <c r="AA402" s="1020"/>
      <c r="AB402" s="1020"/>
      <c r="AC402" s="1020"/>
      <c r="AD402" s="1020"/>
      <c r="AE402" s="1020"/>
      <c r="AF402" s="1020"/>
      <c r="AG402" s="1020"/>
      <c r="AH402" s="1020"/>
      <c r="AI402" s="1020"/>
      <c r="AJ402" s="1087"/>
      <c r="AK402" s="1020"/>
      <c r="AL402" s="1020"/>
      <c r="AM402" s="1020"/>
      <c r="AN402" s="1020"/>
      <c r="AO402" s="1020"/>
      <c r="AP402" s="1020"/>
      <c r="AQ402" s="1020"/>
      <c r="AR402" s="1020"/>
      <c r="AS402" s="1088"/>
    </row>
    <row r="403" spans="4:45" ht="12.75" customHeight="1">
      <c r="D403" s="1071"/>
      <c r="E403" s="1070"/>
      <c r="F403" s="1070"/>
      <c r="G403" s="1070"/>
      <c r="H403" s="1070"/>
      <c r="I403" s="1020"/>
      <c r="J403" s="1020"/>
      <c r="K403" s="1020"/>
      <c r="L403" s="1066"/>
      <c r="M403" s="1020"/>
      <c r="N403" s="1020"/>
      <c r="O403" s="1020"/>
      <c r="P403" s="1020"/>
      <c r="Q403" s="1020"/>
      <c r="R403" s="1020"/>
      <c r="S403" s="1020"/>
      <c r="T403" s="1036"/>
      <c r="U403" s="1036"/>
      <c r="V403" s="1020"/>
      <c r="W403" s="1020"/>
      <c r="X403" s="1020"/>
      <c r="Y403" s="1020"/>
      <c r="Z403" s="1020"/>
      <c r="AA403" s="1020"/>
      <c r="AB403" s="1020"/>
      <c r="AC403" s="1020"/>
      <c r="AD403" s="1020"/>
      <c r="AE403" s="1020"/>
      <c r="AF403" s="1020"/>
      <c r="AG403" s="1020"/>
      <c r="AH403" s="1020"/>
      <c r="AI403" s="1020"/>
      <c r="AJ403" s="1087"/>
      <c r="AK403" s="1020"/>
      <c r="AL403" s="1020"/>
      <c r="AM403" s="1020"/>
      <c r="AN403" s="1020"/>
      <c r="AO403" s="1020"/>
      <c r="AP403" s="1020"/>
      <c r="AQ403" s="1020"/>
      <c r="AR403" s="1020"/>
      <c r="AS403" s="1020"/>
    </row>
    <row r="404" spans="4:45" ht="12.75" customHeight="1">
      <c r="D404" s="1071"/>
      <c r="E404" s="1070"/>
      <c r="F404" s="1070"/>
      <c r="G404" s="1070"/>
      <c r="H404" s="1070"/>
      <c r="I404" s="1020"/>
      <c r="J404" s="1020"/>
      <c r="K404" s="1020"/>
      <c r="L404" s="1066"/>
      <c r="M404" s="1020"/>
      <c r="N404" s="1020"/>
      <c r="O404" s="1020"/>
      <c r="P404" s="1020"/>
      <c r="Q404" s="1020"/>
      <c r="R404" s="1020"/>
      <c r="S404" s="1020"/>
      <c r="T404" s="1036"/>
      <c r="U404" s="1036"/>
      <c r="V404" s="1020"/>
      <c r="W404" s="1020"/>
      <c r="X404" s="1020"/>
      <c r="Y404" s="1020"/>
      <c r="Z404" s="1020"/>
      <c r="AA404" s="1020"/>
      <c r="AB404" s="1020"/>
      <c r="AC404" s="1020"/>
      <c r="AD404" s="1020"/>
      <c r="AE404" s="1020"/>
      <c r="AF404" s="1020"/>
      <c r="AG404" s="1020"/>
      <c r="AH404" s="1020"/>
      <c r="AI404" s="1020"/>
      <c r="AJ404" s="1087"/>
      <c r="AK404" s="1020"/>
      <c r="AL404" s="1020"/>
      <c r="AM404" s="1020"/>
      <c r="AN404" s="1020"/>
      <c r="AO404" s="1020"/>
      <c r="AP404" s="1020"/>
      <c r="AQ404" s="1020"/>
      <c r="AR404" s="1020"/>
      <c r="AS404" s="1020"/>
    </row>
    <row r="405" spans="4:45" ht="12.75" customHeight="1">
      <c r="D405" s="1071"/>
      <c r="E405" s="1070"/>
      <c r="F405" s="1070"/>
      <c r="G405" s="1070"/>
      <c r="H405" s="1070"/>
      <c r="I405" s="1020"/>
      <c r="J405" s="1020"/>
      <c r="K405" s="1020"/>
      <c r="L405" s="1066"/>
      <c r="M405" s="1020"/>
      <c r="N405" s="1020"/>
      <c r="O405" s="1020"/>
      <c r="P405" s="1020"/>
      <c r="Q405" s="1020"/>
      <c r="R405" s="1020"/>
      <c r="S405" s="1020"/>
      <c r="T405" s="1036"/>
      <c r="U405" s="1036"/>
      <c r="V405" s="1020"/>
      <c r="W405" s="1020"/>
      <c r="X405" s="1020"/>
      <c r="Y405" s="1020"/>
      <c r="Z405" s="1020"/>
      <c r="AA405" s="1020"/>
      <c r="AB405" s="1020"/>
      <c r="AC405" s="1020"/>
      <c r="AD405" s="1020"/>
      <c r="AE405" s="1020"/>
      <c r="AF405" s="1020"/>
      <c r="AG405" s="1020"/>
      <c r="AH405" s="1020"/>
      <c r="AI405" s="1020"/>
      <c r="AJ405" s="1087"/>
      <c r="AK405" s="1020"/>
      <c r="AL405" s="1020"/>
      <c r="AM405" s="1020"/>
      <c r="AN405" s="1020"/>
      <c r="AO405" s="1020"/>
      <c r="AP405" s="1020"/>
      <c r="AQ405" s="1020"/>
      <c r="AR405" s="1020"/>
      <c r="AS405" s="1020"/>
    </row>
    <row r="406" spans="4:45" ht="12.75" customHeight="1">
      <c r="D406" s="1071"/>
      <c r="E406" s="1070"/>
      <c r="F406" s="1070"/>
      <c r="G406" s="1070"/>
      <c r="H406" s="1070"/>
      <c r="I406" s="1020"/>
      <c r="J406" s="1020"/>
      <c r="K406" s="1020"/>
      <c r="L406" s="1066"/>
      <c r="M406" s="1020"/>
      <c r="N406" s="1020"/>
      <c r="O406" s="1020"/>
      <c r="P406" s="1020"/>
      <c r="Q406" s="1020"/>
      <c r="R406" s="1020"/>
      <c r="S406" s="1020"/>
      <c r="T406" s="1036"/>
      <c r="U406" s="1036"/>
      <c r="V406" s="1020"/>
      <c r="W406" s="1020"/>
      <c r="X406" s="1020"/>
      <c r="Y406" s="1020"/>
      <c r="Z406" s="1020"/>
      <c r="AA406" s="1020"/>
      <c r="AB406" s="1020"/>
      <c r="AC406" s="1020"/>
      <c r="AD406" s="1020"/>
      <c r="AE406" s="1020"/>
      <c r="AF406" s="1020"/>
      <c r="AG406" s="1020"/>
      <c r="AH406" s="1020"/>
      <c r="AI406" s="1020"/>
      <c r="AJ406" s="1087"/>
      <c r="AK406" s="1020"/>
      <c r="AL406" s="1020"/>
      <c r="AM406" s="1020"/>
      <c r="AN406" s="1020"/>
      <c r="AO406" s="1020"/>
      <c r="AP406" s="1020"/>
      <c r="AQ406" s="1020"/>
      <c r="AR406" s="1020"/>
      <c r="AS406" s="1020"/>
    </row>
    <row r="407" spans="4:45" ht="12.75" customHeight="1">
      <c r="D407" s="1071"/>
      <c r="E407" s="1070"/>
      <c r="F407" s="1070"/>
      <c r="G407" s="1070"/>
      <c r="H407" s="1070"/>
      <c r="I407" s="1020"/>
      <c r="J407" s="1020"/>
      <c r="K407" s="1020"/>
      <c r="L407" s="1066"/>
      <c r="M407" s="1020"/>
      <c r="N407" s="1020"/>
      <c r="O407" s="1020"/>
      <c r="P407" s="1020"/>
      <c r="Q407" s="1020"/>
      <c r="R407" s="1020"/>
      <c r="S407" s="1020"/>
      <c r="T407" s="1036"/>
      <c r="U407" s="1036"/>
      <c r="V407" s="1020"/>
      <c r="W407" s="1020"/>
      <c r="X407" s="1020"/>
      <c r="Y407" s="1020"/>
      <c r="Z407" s="1020"/>
      <c r="AA407" s="1020"/>
      <c r="AB407" s="1020"/>
      <c r="AC407" s="1020"/>
      <c r="AD407" s="1020"/>
      <c r="AE407" s="1020"/>
      <c r="AF407" s="1020"/>
      <c r="AG407" s="1020"/>
      <c r="AH407" s="1020"/>
      <c r="AI407" s="1020"/>
      <c r="AJ407" s="1087"/>
      <c r="AK407" s="1020"/>
      <c r="AL407" s="1020"/>
      <c r="AM407" s="1020"/>
      <c r="AN407" s="1020"/>
      <c r="AO407" s="1020"/>
      <c r="AP407" s="1020"/>
      <c r="AQ407" s="1020"/>
      <c r="AR407" s="1020"/>
      <c r="AS407" s="1020"/>
    </row>
    <row r="408" spans="4:45" ht="12.75" customHeight="1">
      <c r="D408" s="1071"/>
      <c r="E408" s="1070"/>
      <c r="F408" s="1070"/>
      <c r="G408" s="1070"/>
      <c r="H408" s="1070"/>
      <c r="I408" s="1020"/>
      <c r="J408" s="1020"/>
      <c r="K408" s="1020"/>
      <c r="L408" s="1066"/>
      <c r="M408" s="1020"/>
      <c r="N408" s="1020"/>
      <c r="O408" s="1020"/>
      <c r="P408" s="1020"/>
      <c r="Q408" s="1020"/>
      <c r="R408" s="1020"/>
      <c r="S408" s="1020"/>
      <c r="T408" s="1036"/>
      <c r="U408" s="1036"/>
      <c r="V408" s="1020"/>
      <c r="W408" s="1020"/>
      <c r="X408" s="1020"/>
      <c r="Y408" s="1020"/>
      <c r="Z408" s="1020"/>
      <c r="AA408" s="1020"/>
      <c r="AB408" s="1020"/>
      <c r="AC408" s="1020"/>
      <c r="AD408" s="1020"/>
      <c r="AE408" s="1020"/>
      <c r="AF408" s="1020"/>
      <c r="AG408" s="1020"/>
      <c r="AH408" s="1020"/>
      <c r="AI408" s="1020"/>
      <c r="AJ408" s="1087"/>
      <c r="AK408" s="1020"/>
      <c r="AL408" s="1020"/>
      <c r="AM408" s="1020"/>
      <c r="AN408" s="1020"/>
      <c r="AO408" s="1020"/>
      <c r="AP408" s="1020"/>
      <c r="AQ408" s="1020"/>
      <c r="AR408" s="1020"/>
      <c r="AS408" s="1020"/>
    </row>
    <row r="409" spans="4:45" ht="12.75" customHeight="1">
      <c r="D409" s="1071"/>
      <c r="E409" s="1070"/>
      <c r="F409" s="1070"/>
      <c r="G409" s="1070"/>
      <c r="H409" s="1070"/>
      <c r="I409" s="1020"/>
      <c r="J409" s="1020"/>
      <c r="K409" s="1020"/>
      <c r="L409" s="1066"/>
      <c r="M409" s="1020"/>
      <c r="N409" s="1020"/>
      <c r="O409" s="1020"/>
      <c r="P409" s="1020"/>
      <c r="Q409" s="1020"/>
      <c r="R409" s="1020"/>
      <c r="S409" s="1020"/>
      <c r="T409" s="1036"/>
      <c r="U409" s="1036"/>
      <c r="V409" s="1020"/>
      <c r="W409" s="1020"/>
      <c r="X409" s="1020"/>
      <c r="Y409" s="1020"/>
      <c r="Z409" s="1020"/>
      <c r="AA409" s="1020"/>
      <c r="AB409" s="1020"/>
      <c r="AC409" s="1020"/>
      <c r="AD409" s="1020"/>
      <c r="AE409" s="1020"/>
      <c r="AF409" s="1020"/>
      <c r="AG409" s="1020"/>
      <c r="AH409" s="1020"/>
      <c r="AI409" s="1020"/>
      <c r="AJ409" s="1087"/>
      <c r="AK409" s="1020"/>
      <c r="AL409" s="1020"/>
      <c r="AM409" s="1020"/>
      <c r="AN409" s="1020"/>
      <c r="AO409" s="1020"/>
      <c r="AP409" s="1020"/>
      <c r="AQ409" s="1020"/>
      <c r="AR409" s="1020"/>
      <c r="AS409" s="1020"/>
    </row>
    <row r="410" spans="4:45" ht="12.75" customHeight="1">
      <c r="D410" s="1071"/>
      <c r="E410" s="1070"/>
      <c r="F410" s="1070"/>
      <c r="G410" s="1070"/>
      <c r="H410" s="1070"/>
      <c r="I410" s="1020"/>
      <c r="J410" s="1020"/>
      <c r="K410" s="1020"/>
      <c r="L410" s="1066"/>
      <c r="M410" s="1020"/>
      <c r="N410" s="1020"/>
      <c r="O410" s="1020"/>
      <c r="P410" s="1020"/>
      <c r="Q410" s="1020"/>
      <c r="R410" s="1020"/>
      <c r="S410" s="1020"/>
      <c r="T410" s="1036"/>
      <c r="U410" s="1036"/>
      <c r="V410" s="1020"/>
      <c r="W410" s="1020"/>
      <c r="X410" s="1020"/>
      <c r="Y410" s="1020"/>
      <c r="Z410" s="1020"/>
      <c r="AA410" s="1020"/>
      <c r="AB410" s="1020"/>
      <c r="AC410" s="1020"/>
      <c r="AD410" s="1020"/>
      <c r="AE410" s="1020"/>
      <c r="AF410" s="1020"/>
      <c r="AG410" s="1020"/>
      <c r="AH410" s="1020"/>
      <c r="AI410" s="1020"/>
      <c r="AJ410" s="1038"/>
      <c r="AK410" s="1020"/>
      <c r="AL410" s="1020"/>
      <c r="AM410" s="1020"/>
      <c r="AN410" s="1020"/>
      <c r="AO410" s="1020"/>
      <c r="AP410" s="1020"/>
      <c r="AQ410" s="1020"/>
      <c r="AR410" s="1020"/>
      <c r="AS410" s="1020"/>
    </row>
    <row r="411" spans="4:45" ht="12.75" customHeight="1">
      <c r="D411" s="1071"/>
      <c r="E411" s="1070"/>
      <c r="F411" s="1070"/>
      <c r="G411" s="1070"/>
      <c r="H411" s="1070"/>
      <c r="I411" s="1020"/>
      <c r="J411" s="1020"/>
      <c r="K411" s="1020"/>
      <c r="L411" s="1066"/>
      <c r="M411" s="1020"/>
      <c r="N411" s="1020"/>
      <c r="O411" s="1020"/>
      <c r="P411" s="1020"/>
      <c r="Q411" s="1020"/>
      <c r="R411" s="1020"/>
      <c r="S411" s="1020"/>
      <c r="T411" s="1036"/>
      <c r="U411" s="1036"/>
      <c r="V411" s="1020"/>
      <c r="W411" s="1020"/>
      <c r="X411" s="1020"/>
      <c r="Y411" s="1020"/>
      <c r="Z411" s="1020"/>
      <c r="AA411" s="1020"/>
      <c r="AB411" s="1020"/>
      <c r="AC411" s="1020"/>
      <c r="AD411" s="1020"/>
      <c r="AE411" s="1020"/>
      <c r="AF411" s="1020"/>
      <c r="AG411" s="1020"/>
      <c r="AH411" s="1020"/>
      <c r="AI411" s="1020"/>
      <c r="AJ411" s="1038"/>
      <c r="AK411" s="1020"/>
      <c r="AL411" s="1020"/>
      <c r="AM411" s="1020"/>
      <c r="AN411" s="1020"/>
      <c r="AO411" s="1020"/>
      <c r="AP411" s="1020"/>
      <c r="AQ411" s="1020"/>
      <c r="AR411" s="1020"/>
      <c r="AS411" s="1020"/>
    </row>
    <row r="412" spans="4:45" ht="12.75" customHeight="1">
      <c r="D412" s="1071"/>
      <c r="E412" s="1070"/>
      <c r="F412" s="1070"/>
      <c r="G412" s="1070"/>
      <c r="H412" s="1070"/>
      <c r="I412" s="1020"/>
      <c r="J412" s="1020"/>
      <c r="K412" s="1020"/>
      <c r="L412" s="1066"/>
      <c r="M412" s="1020"/>
      <c r="N412" s="1020"/>
      <c r="O412" s="1020"/>
      <c r="P412" s="1020"/>
      <c r="Q412" s="1020"/>
      <c r="R412" s="1020"/>
      <c r="S412" s="1020"/>
      <c r="T412" s="1036"/>
      <c r="U412" s="1036"/>
      <c r="V412" s="1020"/>
      <c r="W412" s="1020"/>
      <c r="X412" s="1020"/>
      <c r="Y412" s="1020"/>
      <c r="Z412" s="1020"/>
      <c r="AA412" s="1020"/>
      <c r="AB412" s="1020"/>
      <c r="AC412" s="1020"/>
      <c r="AD412" s="1020"/>
      <c r="AE412" s="1020"/>
      <c r="AF412" s="1020"/>
      <c r="AG412" s="1020"/>
      <c r="AH412" s="1020"/>
      <c r="AI412" s="1020"/>
      <c r="AJ412" s="1038"/>
      <c r="AK412" s="1020"/>
      <c r="AL412" s="1020"/>
      <c r="AM412" s="1020"/>
      <c r="AN412" s="1020"/>
      <c r="AO412" s="1020"/>
      <c r="AP412" s="1020"/>
      <c r="AQ412" s="1020"/>
      <c r="AR412" s="1020"/>
      <c r="AS412" s="1020"/>
    </row>
    <row r="413" spans="4:45" ht="12.75" customHeight="1">
      <c r="D413" s="1071"/>
      <c r="E413" s="1070"/>
      <c r="F413" s="1070"/>
      <c r="G413" s="1070"/>
      <c r="H413" s="1070"/>
      <c r="I413" s="1020"/>
      <c r="J413" s="1020"/>
      <c r="K413" s="1020"/>
      <c r="L413" s="1066"/>
      <c r="M413" s="1020"/>
      <c r="N413" s="1020"/>
      <c r="O413" s="1020"/>
      <c r="P413" s="1020"/>
      <c r="Q413" s="1020"/>
      <c r="R413" s="1020"/>
      <c r="S413" s="1020"/>
      <c r="T413" s="1036"/>
      <c r="U413" s="1036"/>
      <c r="V413" s="1020"/>
      <c r="W413" s="1020"/>
      <c r="X413" s="1020"/>
      <c r="Y413" s="1020"/>
      <c r="Z413" s="1020"/>
      <c r="AA413" s="1020"/>
      <c r="AB413" s="1020"/>
      <c r="AC413" s="1020"/>
      <c r="AD413" s="1020"/>
      <c r="AE413" s="1020"/>
      <c r="AF413" s="1020"/>
      <c r="AG413" s="1020"/>
      <c r="AH413" s="1020"/>
      <c r="AI413" s="1020"/>
      <c r="AJ413" s="1038"/>
      <c r="AK413" s="1020"/>
      <c r="AL413" s="1020"/>
      <c r="AM413" s="1020"/>
      <c r="AN413" s="1020"/>
      <c r="AO413" s="1020"/>
      <c r="AP413" s="1020"/>
      <c r="AQ413" s="1020"/>
      <c r="AR413" s="1020"/>
      <c r="AS413" s="1020"/>
    </row>
    <row r="414" spans="4:45" ht="12.75" customHeight="1">
      <c r="D414" s="1071"/>
      <c r="E414" s="1070"/>
      <c r="F414" s="1070"/>
      <c r="G414" s="1070"/>
      <c r="H414" s="1070"/>
      <c r="I414" s="1020"/>
      <c r="J414" s="1020"/>
      <c r="K414" s="1020"/>
      <c r="L414" s="1066"/>
      <c r="M414" s="1020"/>
      <c r="N414" s="1020"/>
      <c r="O414" s="1020"/>
      <c r="P414" s="1020"/>
      <c r="Q414" s="1020"/>
      <c r="R414" s="1020"/>
      <c r="S414" s="1020"/>
      <c r="T414" s="1036"/>
      <c r="U414" s="1036"/>
      <c r="V414" s="1020"/>
      <c r="W414" s="1020"/>
      <c r="X414" s="1020"/>
      <c r="Y414" s="1020"/>
      <c r="Z414" s="1020"/>
      <c r="AA414" s="1020"/>
      <c r="AB414" s="1020"/>
      <c r="AC414" s="1020"/>
      <c r="AD414" s="1020"/>
      <c r="AE414" s="1020"/>
      <c r="AF414" s="1020"/>
      <c r="AG414" s="1020"/>
      <c r="AH414" s="1020"/>
      <c r="AI414" s="1020"/>
      <c r="AJ414" s="1038"/>
      <c r="AK414" s="1020"/>
      <c r="AL414" s="1020"/>
      <c r="AM414" s="1020"/>
      <c r="AN414" s="1020"/>
      <c r="AO414" s="1020"/>
      <c r="AP414" s="1020"/>
      <c r="AQ414" s="1020"/>
      <c r="AR414" s="1020"/>
      <c r="AS414" s="1020"/>
    </row>
    <row r="415" spans="4:45" ht="12.75" customHeight="1">
      <c r="D415" s="1071"/>
      <c r="E415" s="1070"/>
      <c r="F415" s="1070"/>
      <c r="G415" s="1070"/>
      <c r="H415" s="1070"/>
      <c r="I415" s="1020"/>
      <c r="J415" s="1020"/>
      <c r="K415" s="1020"/>
      <c r="L415" s="1066"/>
      <c r="M415" s="1020"/>
      <c r="N415" s="1020"/>
      <c r="O415" s="1020"/>
      <c r="P415" s="1020"/>
      <c r="Q415" s="1020"/>
      <c r="R415" s="1020"/>
      <c r="S415" s="1020"/>
      <c r="T415" s="1036"/>
      <c r="U415" s="1036"/>
      <c r="V415" s="1020"/>
      <c r="W415" s="1020"/>
      <c r="X415" s="1020"/>
      <c r="Y415" s="1020"/>
      <c r="Z415" s="1020"/>
      <c r="AA415" s="1020"/>
      <c r="AB415" s="1020"/>
      <c r="AC415" s="1020"/>
      <c r="AD415" s="1020"/>
      <c r="AE415" s="1020"/>
      <c r="AF415" s="1020"/>
      <c r="AG415" s="1020"/>
      <c r="AH415" s="1020"/>
      <c r="AI415" s="1020"/>
      <c r="AJ415" s="1038"/>
      <c r="AK415" s="1020"/>
      <c r="AL415" s="1020"/>
      <c r="AM415" s="1020"/>
      <c r="AN415" s="1020"/>
      <c r="AO415" s="1020"/>
      <c r="AP415" s="1020"/>
      <c r="AQ415" s="1020"/>
      <c r="AR415" s="1020"/>
      <c r="AS415" s="1020"/>
    </row>
    <row r="416" spans="4:45" ht="12.75" customHeight="1">
      <c r="D416" s="1071"/>
      <c r="E416" s="1070"/>
      <c r="F416" s="1070"/>
      <c r="G416" s="1070"/>
      <c r="H416" s="1070"/>
      <c r="I416" s="1020"/>
      <c r="J416" s="1020"/>
      <c r="K416" s="1020"/>
      <c r="L416" s="1066"/>
      <c r="M416" s="1020"/>
      <c r="N416" s="1020"/>
      <c r="O416" s="1020"/>
      <c r="P416" s="1020"/>
      <c r="Q416" s="1020"/>
      <c r="R416" s="1020"/>
      <c r="S416" s="1020"/>
      <c r="T416" s="1036"/>
      <c r="U416" s="1036"/>
      <c r="V416" s="1020"/>
      <c r="W416" s="1020"/>
      <c r="X416" s="1020"/>
      <c r="Y416" s="1020"/>
      <c r="Z416" s="1020"/>
      <c r="AA416" s="1020"/>
      <c r="AB416" s="1020"/>
      <c r="AC416" s="1020"/>
      <c r="AD416" s="1020"/>
      <c r="AE416" s="1020"/>
      <c r="AF416" s="1020"/>
      <c r="AG416" s="1020"/>
      <c r="AH416" s="1020"/>
      <c r="AI416" s="1020"/>
      <c r="AJ416" s="1038"/>
      <c r="AK416" s="1020"/>
      <c r="AL416" s="1020"/>
      <c r="AM416" s="1020"/>
      <c r="AN416" s="1020"/>
      <c r="AO416" s="1020"/>
      <c r="AP416" s="1020"/>
      <c r="AQ416" s="1020"/>
      <c r="AR416" s="1020"/>
      <c r="AS416" s="1020"/>
    </row>
    <row r="417" spans="4:8" ht="12.75" customHeight="1">
      <c r="D417" s="1071"/>
      <c r="E417" s="1070"/>
      <c r="F417" s="1070"/>
      <c r="G417" s="1070"/>
      <c r="H417" s="1070"/>
    </row>
    <row r="418" spans="4:8" ht="12.75" customHeight="1">
      <c r="D418" s="1071"/>
      <c r="E418" s="1070"/>
      <c r="F418" s="1070"/>
      <c r="G418" s="1070"/>
      <c r="H418" s="1070"/>
    </row>
    <row r="419" spans="4:8" ht="12.75" customHeight="1">
      <c r="D419" s="1071"/>
      <c r="E419" s="1070"/>
      <c r="F419" s="1070"/>
      <c r="G419" s="1070"/>
      <c r="H419" s="1070"/>
    </row>
    <row r="420" spans="4:8" ht="12.75" customHeight="1">
      <c r="D420" s="1071"/>
      <c r="E420" s="1070"/>
      <c r="F420" s="1070"/>
      <c r="G420" s="1070"/>
      <c r="H420" s="1070"/>
    </row>
    <row r="421" spans="4:8" ht="12.75" customHeight="1">
      <c r="D421" s="1071"/>
      <c r="E421" s="1070"/>
      <c r="F421" s="1070"/>
      <c r="G421" s="1070"/>
      <c r="H421" s="1070"/>
    </row>
    <row r="422" spans="4:8" ht="12.75" customHeight="1">
      <c r="D422" s="1071"/>
      <c r="E422" s="1070"/>
      <c r="F422" s="1070"/>
      <c r="G422" s="1070"/>
      <c r="H422" s="1070"/>
    </row>
    <row r="423" spans="4:8" ht="12.75" customHeight="1">
      <c r="D423" s="1071"/>
      <c r="E423" s="1070"/>
      <c r="F423" s="1070"/>
      <c r="G423" s="1070"/>
      <c r="H423" s="1070"/>
    </row>
    <row r="424" spans="4:8" ht="12.75" customHeight="1">
      <c r="D424" s="1071"/>
      <c r="E424" s="1070"/>
      <c r="F424" s="1070"/>
      <c r="G424" s="1070"/>
      <c r="H424" s="1070"/>
    </row>
    <row r="425" spans="4:8" ht="12.75" customHeight="1">
      <c r="D425" s="1071"/>
      <c r="E425" s="1070"/>
      <c r="F425" s="1070"/>
      <c r="G425" s="1070"/>
      <c r="H425" s="1070"/>
    </row>
    <row r="426" spans="4:8" ht="12.75" customHeight="1">
      <c r="D426" s="1071"/>
      <c r="E426" s="1070"/>
      <c r="F426" s="1070"/>
      <c r="G426" s="1070"/>
      <c r="H426" s="1070"/>
    </row>
    <row r="427" spans="4:8" ht="12.75" customHeight="1">
      <c r="D427" s="1071"/>
      <c r="E427" s="1070"/>
      <c r="F427" s="1070"/>
      <c r="G427" s="1070"/>
      <c r="H427" s="1070"/>
    </row>
    <row r="428" spans="4:8" ht="12.75" customHeight="1">
      <c r="D428" s="1071"/>
      <c r="E428" s="1070"/>
      <c r="F428" s="1070"/>
      <c r="G428" s="1070"/>
      <c r="H428" s="1070"/>
    </row>
    <row r="429" spans="4:8" ht="12.75" customHeight="1">
      <c r="D429" s="1071"/>
      <c r="E429" s="1070"/>
      <c r="F429" s="1070"/>
      <c r="G429" s="1070"/>
      <c r="H429" s="1070"/>
    </row>
    <row r="430" spans="4:8" ht="12.75" customHeight="1">
      <c r="D430" s="1071"/>
      <c r="E430" s="1070"/>
      <c r="F430" s="1070"/>
      <c r="G430" s="1070"/>
      <c r="H430" s="1070"/>
    </row>
    <row r="431" spans="4:8" ht="12.75" customHeight="1">
      <c r="D431" s="1071"/>
      <c r="E431" s="1070"/>
      <c r="F431" s="1070"/>
      <c r="G431" s="1070"/>
      <c r="H431" s="1070"/>
    </row>
    <row r="432" spans="4:8" ht="12.75" customHeight="1">
      <c r="D432" s="1071"/>
      <c r="E432" s="1070"/>
      <c r="F432" s="1070"/>
      <c r="G432" s="1070"/>
      <c r="H432" s="1070"/>
    </row>
    <row r="433" spans="4:8" ht="12.75" customHeight="1">
      <c r="D433" s="1071"/>
      <c r="E433" s="1070"/>
      <c r="F433" s="1070"/>
      <c r="G433" s="1070"/>
      <c r="H433" s="1070"/>
    </row>
    <row r="434" spans="4:8" ht="12.75" customHeight="1">
      <c r="D434" s="1071"/>
      <c r="E434" s="1070"/>
      <c r="F434" s="1070"/>
      <c r="G434" s="1070"/>
      <c r="H434" s="1070"/>
    </row>
    <row r="435" spans="4:8" ht="12.75" customHeight="1">
      <c r="D435" s="1071"/>
      <c r="E435" s="1070"/>
      <c r="F435" s="1070"/>
      <c r="G435" s="1070"/>
      <c r="H435" s="1070"/>
    </row>
    <row r="436" spans="4:8" ht="12.75" customHeight="1">
      <c r="D436" s="1071"/>
      <c r="E436" s="1070"/>
      <c r="F436" s="1070"/>
      <c r="G436" s="1070"/>
      <c r="H436" s="1070"/>
    </row>
    <row r="437" spans="4:8" ht="12.75" customHeight="1">
      <c r="D437" s="1071"/>
      <c r="E437" s="1070"/>
      <c r="F437" s="1070"/>
      <c r="G437" s="1070"/>
      <c r="H437" s="1070"/>
    </row>
    <row r="438" spans="4:8" ht="12.75" customHeight="1">
      <c r="D438" s="1071"/>
      <c r="E438" s="1070"/>
      <c r="F438" s="1070"/>
      <c r="G438" s="1070"/>
      <c r="H438" s="1070"/>
    </row>
    <row r="439" spans="4:8" ht="12.75" customHeight="1">
      <c r="D439" s="1071"/>
      <c r="E439" s="1070"/>
      <c r="F439" s="1070"/>
      <c r="G439" s="1070"/>
      <c r="H439" s="1070"/>
    </row>
    <row r="440" spans="4:8" ht="12.75" customHeight="1">
      <c r="D440" s="1071"/>
      <c r="E440" s="1070"/>
      <c r="F440" s="1070"/>
      <c r="G440" s="1070"/>
      <c r="H440" s="1070"/>
    </row>
    <row r="441" spans="4:8" ht="12.75" customHeight="1">
      <c r="D441" s="1071"/>
      <c r="E441" s="1070"/>
      <c r="F441" s="1070"/>
      <c r="G441" s="1070"/>
      <c r="H441" s="1070"/>
    </row>
    <row r="442" spans="4:8" ht="12.75" customHeight="1">
      <c r="D442" s="1071"/>
      <c r="E442" s="1070"/>
      <c r="F442" s="1070"/>
      <c r="G442" s="1070"/>
      <c r="H442" s="1070"/>
    </row>
    <row r="443" spans="4:8" ht="12.75" customHeight="1">
      <c r="D443" s="1071"/>
      <c r="E443" s="1070"/>
      <c r="F443" s="1070"/>
      <c r="G443" s="1070"/>
      <c r="H443" s="1070"/>
    </row>
    <row r="444" spans="4:8" ht="12.75" customHeight="1">
      <c r="D444" s="1071"/>
      <c r="E444" s="1070"/>
      <c r="F444" s="1070"/>
      <c r="G444" s="1070"/>
      <c r="H444" s="1070"/>
    </row>
    <row r="445" spans="4:8" ht="12.75" customHeight="1">
      <c r="D445" s="1071"/>
      <c r="E445" s="1070"/>
      <c r="F445" s="1070"/>
      <c r="G445" s="1070"/>
      <c r="H445" s="1070"/>
    </row>
    <row r="446" spans="4:8" ht="12.75" customHeight="1">
      <c r="D446" s="1071"/>
      <c r="E446" s="1070"/>
      <c r="F446" s="1070"/>
      <c r="G446" s="1070"/>
      <c r="H446" s="1070"/>
    </row>
    <row r="447" spans="4:8" ht="12.75" customHeight="1">
      <c r="D447" s="1071"/>
      <c r="E447" s="1070"/>
      <c r="F447" s="1070"/>
      <c r="G447" s="1070"/>
      <c r="H447" s="1070"/>
    </row>
    <row r="448" spans="4:8" ht="12.75" customHeight="1">
      <c r="D448" s="1071"/>
      <c r="E448" s="1070"/>
      <c r="F448" s="1070"/>
      <c r="G448" s="1070"/>
      <c r="H448" s="1070"/>
    </row>
    <row r="449" spans="4:8" ht="12.75" customHeight="1">
      <c r="D449" s="1071"/>
      <c r="E449" s="1070"/>
      <c r="F449" s="1070"/>
      <c r="G449" s="1070"/>
      <c r="H449" s="1070"/>
    </row>
    <row r="450" spans="4:8" ht="12.75" customHeight="1">
      <c r="D450" s="1071"/>
      <c r="E450" s="1070"/>
      <c r="F450" s="1070"/>
      <c r="G450" s="1070"/>
      <c r="H450" s="1070"/>
    </row>
    <row r="451" spans="4:8" ht="12.75" customHeight="1">
      <c r="D451" s="1071"/>
      <c r="E451" s="1070"/>
      <c r="F451" s="1070"/>
      <c r="G451" s="1070"/>
      <c r="H451" s="1070"/>
    </row>
    <row r="452" spans="4:8" ht="12.75" customHeight="1">
      <c r="D452" s="1071"/>
      <c r="E452" s="1070"/>
      <c r="F452" s="1070"/>
      <c r="G452" s="1070"/>
      <c r="H452" s="1070"/>
    </row>
    <row r="453" spans="4:8" ht="12.75" customHeight="1">
      <c r="D453" s="1071"/>
      <c r="E453" s="1070"/>
      <c r="F453" s="1070"/>
      <c r="G453" s="1070"/>
      <c r="H453" s="1070"/>
    </row>
    <row r="454" spans="4:8" ht="12.75" customHeight="1">
      <c r="D454" s="1071"/>
      <c r="E454" s="1070"/>
      <c r="F454" s="1070"/>
      <c r="G454" s="1070"/>
      <c r="H454" s="1070"/>
    </row>
    <row r="455" spans="4:8" ht="12.75" customHeight="1">
      <c r="D455" s="1071"/>
      <c r="E455" s="1070"/>
      <c r="F455" s="1070"/>
      <c r="G455" s="1070"/>
      <c r="H455" s="1070"/>
    </row>
    <row r="456" spans="4:8" ht="12.75" customHeight="1">
      <c r="D456" s="1071"/>
      <c r="E456" s="1070"/>
      <c r="F456" s="1070"/>
      <c r="G456" s="1070"/>
      <c r="H456" s="1070"/>
    </row>
    <row r="457" spans="4:8" ht="12.75" customHeight="1">
      <c r="D457" s="1071"/>
      <c r="E457" s="1070"/>
      <c r="F457" s="1070"/>
      <c r="G457" s="1070"/>
      <c r="H457" s="1070"/>
    </row>
    <row r="458" spans="4:8" ht="12.75" customHeight="1">
      <c r="D458" s="1071"/>
      <c r="E458" s="1070"/>
      <c r="F458" s="1070"/>
      <c r="G458" s="1070"/>
      <c r="H458" s="1070"/>
    </row>
    <row r="459" spans="4:8" ht="12.75" customHeight="1">
      <c r="D459" s="1071"/>
      <c r="E459" s="1070"/>
      <c r="F459" s="1070"/>
      <c r="G459" s="1070"/>
      <c r="H459" s="1070"/>
    </row>
    <row r="460" spans="4:8" ht="12.75" customHeight="1">
      <c r="D460" s="1071"/>
      <c r="E460" s="1070"/>
      <c r="F460" s="1070"/>
      <c r="G460" s="1070"/>
      <c r="H460" s="1070"/>
    </row>
    <row r="461" spans="4:8" ht="12.75" customHeight="1">
      <c r="D461" s="1071"/>
      <c r="E461" s="1070"/>
      <c r="F461" s="1070"/>
      <c r="G461" s="1070"/>
      <c r="H461" s="1070"/>
    </row>
    <row r="462" spans="4:8" ht="12.75" customHeight="1">
      <c r="D462" s="1071"/>
      <c r="E462" s="1070"/>
      <c r="F462" s="1070"/>
      <c r="G462" s="1070"/>
      <c r="H462" s="1070"/>
    </row>
    <row r="463" spans="4:8" ht="12.75" customHeight="1">
      <c r="D463" s="1071"/>
      <c r="E463" s="1070"/>
      <c r="F463" s="1070"/>
      <c r="G463" s="1070"/>
      <c r="H463" s="1070"/>
    </row>
    <row r="464" spans="4:8" ht="12.75" customHeight="1">
      <c r="D464" s="1071"/>
      <c r="E464" s="1070"/>
      <c r="F464" s="1070"/>
      <c r="G464" s="1070"/>
      <c r="H464" s="1070"/>
    </row>
    <row r="465" spans="4:8" ht="12.75" customHeight="1">
      <c r="D465" s="1071"/>
      <c r="E465" s="1070"/>
      <c r="F465" s="1070"/>
      <c r="G465" s="1070"/>
      <c r="H465" s="1070"/>
    </row>
    <row r="466" spans="4:8" ht="12.75" customHeight="1">
      <c r="D466" s="1071"/>
      <c r="E466" s="1070"/>
      <c r="F466" s="1070"/>
      <c r="G466" s="1070"/>
      <c r="H466" s="1070"/>
    </row>
    <row r="467" spans="4:8" ht="12.75" customHeight="1">
      <c r="D467" s="1071"/>
      <c r="E467" s="1070"/>
      <c r="F467" s="1070"/>
      <c r="G467" s="1070"/>
      <c r="H467" s="1070"/>
    </row>
    <row r="468" spans="4:8" ht="12.75" customHeight="1">
      <c r="D468" s="1071"/>
      <c r="E468" s="1070"/>
      <c r="F468" s="1070"/>
      <c r="G468" s="1070"/>
      <c r="H468" s="1070"/>
    </row>
    <row r="469" spans="4:8" ht="12.75" customHeight="1">
      <c r="D469" s="1071"/>
      <c r="E469" s="1070"/>
      <c r="F469" s="1070"/>
      <c r="G469" s="1070"/>
      <c r="H469" s="1070"/>
    </row>
    <row r="470" spans="4:8" ht="12.75" customHeight="1">
      <c r="D470" s="1071"/>
      <c r="E470" s="1070"/>
      <c r="F470" s="1070"/>
      <c r="G470" s="1070"/>
      <c r="H470" s="1070"/>
    </row>
    <row r="471" spans="4:8" ht="12.75" customHeight="1">
      <c r="D471" s="1071"/>
      <c r="E471" s="1070"/>
      <c r="F471" s="1070"/>
      <c r="G471" s="1070"/>
      <c r="H471" s="1070"/>
    </row>
    <row r="472" spans="4:8" ht="12.75" customHeight="1">
      <c r="D472" s="1071"/>
      <c r="E472" s="1070"/>
      <c r="F472" s="1070"/>
      <c r="G472" s="1070"/>
      <c r="H472" s="1070"/>
    </row>
    <row r="473" spans="4:8" ht="12.75" customHeight="1">
      <c r="D473" s="1071"/>
      <c r="E473" s="1070"/>
      <c r="F473" s="1070"/>
      <c r="G473" s="1070"/>
      <c r="H473" s="1070"/>
    </row>
    <row r="474" spans="4:8" ht="12.75" customHeight="1">
      <c r="D474" s="1071"/>
      <c r="E474" s="1070"/>
      <c r="F474" s="1070"/>
      <c r="G474" s="1070"/>
      <c r="H474" s="1070"/>
    </row>
    <row r="475" spans="4:8" ht="12.75" customHeight="1">
      <c r="D475" s="1071"/>
      <c r="E475" s="1070"/>
      <c r="F475" s="1070"/>
      <c r="G475" s="1070"/>
      <c r="H475" s="1070"/>
    </row>
    <row r="476" spans="4:8" ht="12.75" customHeight="1">
      <c r="D476" s="1071"/>
      <c r="E476" s="1070"/>
      <c r="F476" s="1070"/>
      <c r="G476" s="1070"/>
      <c r="H476" s="1070"/>
    </row>
    <row r="477" spans="4:8" ht="12.75" customHeight="1">
      <c r="D477" s="1071"/>
      <c r="E477" s="1070"/>
      <c r="F477" s="1070"/>
      <c r="G477" s="1070"/>
      <c r="H477" s="1070"/>
    </row>
    <row r="478" spans="4:8" ht="12.75" customHeight="1">
      <c r="D478" s="1071"/>
      <c r="E478" s="1070"/>
      <c r="F478" s="1070"/>
      <c r="G478" s="1070"/>
      <c r="H478" s="1070"/>
    </row>
    <row r="479" spans="4:8" ht="12.75" customHeight="1">
      <c r="D479" s="1071"/>
      <c r="E479" s="1070"/>
      <c r="F479" s="1070"/>
      <c r="G479" s="1070"/>
      <c r="H479" s="1070"/>
    </row>
    <row r="480" spans="4:8" ht="12.75" customHeight="1">
      <c r="D480" s="1071"/>
      <c r="E480" s="1070"/>
      <c r="F480" s="1070"/>
      <c r="G480" s="1070"/>
      <c r="H480" s="1070"/>
    </row>
    <row r="481" spans="4:8" ht="12.75" customHeight="1">
      <c r="D481" s="1071"/>
      <c r="E481" s="1070"/>
      <c r="F481" s="1070"/>
      <c r="G481" s="1070"/>
      <c r="H481" s="1070"/>
    </row>
    <row r="482" spans="4:8" ht="12.75" customHeight="1">
      <c r="D482" s="1071"/>
      <c r="E482" s="1070"/>
      <c r="F482" s="1070"/>
      <c r="G482" s="1070"/>
      <c r="H482" s="1070"/>
    </row>
    <row r="483" spans="4:8" ht="12.75" customHeight="1">
      <c r="D483" s="1071"/>
      <c r="E483" s="1070"/>
      <c r="F483" s="1070"/>
      <c r="G483" s="1070"/>
      <c r="H483" s="1070"/>
    </row>
    <row r="484" spans="4:8" ht="12.75" customHeight="1">
      <c r="D484" s="1071"/>
      <c r="E484" s="1070"/>
      <c r="F484" s="1070"/>
      <c r="G484" s="1070"/>
      <c r="H484" s="1070"/>
    </row>
    <row r="485" spans="4:8" ht="12.75" customHeight="1">
      <c r="D485" s="1071"/>
      <c r="E485" s="1070"/>
      <c r="F485" s="1070"/>
      <c r="G485" s="1070"/>
      <c r="H485" s="1070"/>
    </row>
    <row r="486" spans="4:8" ht="12.75" customHeight="1">
      <c r="D486" s="1071"/>
      <c r="E486" s="1070"/>
      <c r="F486" s="1070"/>
      <c r="G486" s="1070"/>
      <c r="H486" s="1070"/>
    </row>
    <row r="487" spans="4:8" ht="12.75" customHeight="1">
      <c r="D487" s="1071"/>
      <c r="E487" s="1070"/>
      <c r="F487" s="1070"/>
      <c r="G487" s="1070"/>
      <c r="H487" s="1070"/>
    </row>
    <row r="488" spans="4:8" ht="12.75" customHeight="1">
      <c r="D488" s="1071"/>
      <c r="E488" s="1070"/>
      <c r="F488" s="1070"/>
      <c r="G488" s="1070"/>
      <c r="H488" s="1070"/>
    </row>
    <row r="489" spans="4:8" ht="12.75" customHeight="1">
      <c r="D489" s="1071"/>
      <c r="E489" s="1070"/>
      <c r="F489" s="1070"/>
      <c r="G489" s="1070"/>
      <c r="H489" s="1070"/>
    </row>
    <row r="490" spans="4:8" ht="12.75" customHeight="1">
      <c r="D490" s="1071"/>
      <c r="E490" s="1070"/>
      <c r="F490" s="1070"/>
      <c r="G490" s="1070"/>
      <c r="H490" s="1070"/>
    </row>
    <row r="491" spans="4:8" ht="12.75" customHeight="1">
      <c r="D491" s="1071"/>
      <c r="E491" s="1070"/>
      <c r="F491" s="1070"/>
      <c r="G491" s="1070"/>
      <c r="H491" s="1070"/>
    </row>
    <row r="492" spans="4:8" ht="12.75" customHeight="1">
      <c r="D492" s="1071"/>
      <c r="E492" s="1070"/>
      <c r="F492" s="1070"/>
      <c r="G492" s="1070"/>
      <c r="H492" s="1070"/>
    </row>
    <row r="493" spans="4:8" ht="12.75" customHeight="1">
      <c r="D493" s="1071"/>
      <c r="E493" s="1070"/>
      <c r="F493" s="1070"/>
      <c r="G493" s="1070"/>
      <c r="H493" s="1070"/>
    </row>
    <row r="494" spans="4:8" ht="12.75" customHeight="1">
      <c r="D494" s="1071"/>
      <c r="E494" s="1070"/>
      <c r="F494" s="1070"/>
      <c r="G494" s="1070"/>
      <c r="H494" s="1070"/>
    </row>
    <row r="495" spans="4:8" ht="12.75" customHeight="1">
      <c r="D495" s="1071"/>
      <c r="E495" s="1070"/>
      <c r="F495" s="1070"/>
      <c r="G495" s="1070"/>
      <c r="H495" s="1070"/>
    </row>
    <row r="496" spans="4:8" ht="12.75" customHeight="1">
      <c r="D496" s="1071"/>
      <c r="E496" s="1070"/>
      <c r="F496" s="1070"/>
      <c r="G496" s="1070"/>
      <c r="H496" s="1070"/>
    </row>
    <row r="497" spans="4:8" ht="12.75" customHeight="1">
      <c r="D497" s="1071"/>
      <c r="E497" s="1070"/>
      <c r="F497" s="1070"/>
      <c r="G497" s="1070"/>
      <c r="H497" s="1070"/>
    </row>
    <row r="498" spans="4:8" ht="12.75" customHeight="1">
      <c r="D498" s="1071"/>
      <c r="E498" s="1070"/>
      <c r="F498" s="1070"/>
      <c r="G498" s="1070"/>
      <c r="H498" s="1070"/>
    </row>
    <row r="499" spans="4:8" ht="12.75" customHeight="1">
      <c r="D499" s="1071"/>
      <c r="E499" s="1070"/>
      <c r="F499" s="1070"/>
      <c r="G499" s="1070"/>
      <c r="H499" s="1070"/>
    </row>
    <row r="500" spans="4:8" ht="12.75" customHeight="1">
      <c r="D500" s="1071"/>
      <c r="E500" s="1070"/>
      <c r="F500" s="1070"/>
      <c r="G500" s="1070"/>
      <c r="H500" s="1070"/>
    </row>
    <row r="501" spans="4:8" ht="12.75" customHeight="1">
      <c r="D501" s="1071"/>
      <c r="E501" s="1070"/>
      <c r="F501" s="1070"/>
      <c r="G501" s="1070"/>
      <c r="H501" s="1070"/>
    </row>
    <row r="502" spans="4:8" ht="12.75" customHeight="1">
      <c r="D502" s="1071"/>
      <c r="E502" s="1070"/>
      <c r="F502" s="1070"/>
      <c r="G502" s="1070"/>
      <c r="H502" s="1070"/>
    </row>
    <row r="503" spans="4:8" ht="12.75" customHeight="1">
      <c r="D503" s="1071"/>
      <c r="E503" s="1070"/>
      <c r="F503" s="1070"/>
      <c r="G503" s="1070"/>
      <c r="H503" s="1070"/>
    </row>
    <row r="504" spans="4:8" ht="12.75" customHeight="1">
      <c r="D504" s="1071"/>
      <c r="E504" s="1070"/>
      <c r="F504" s="1070"/>
      <c r="G504" s="1070"/>
      <c r="H504" s="1070"/>
    </row>
    <row r="505" spans="4:8" ht="12.75" customHeight="1">
      <c r="D505" s="1071"/>
      <c r="E505" s="1070"/>
      <c r="F505" s="1070"/>
      <c r="G505" s="1070"/>
      <c r="H505" s="1070"/>
    </row>
    <row r="506" spans="4:8" ht="12.75" customHeight="1">
      <c r="D506" s="1071"/>
      <c r="E506" s="1070"/>
      <c r="F506" s="1070"/>
      <c r="G506" s="1070"/>
      <c r="H506" s="1070"/>
    </row>
    <row r="507" spans="4:8" ht="12.75" customHeight="1">
      <c r="D507" s="1071"/>
      <c r="E507" s="1070"/>
      <c r="F507" s="1070"/>
      <c r="G507" s="1070"/>
      <c r="H507" s="1070"/>
    </row>
    <row r="508" spans="4:8" ht="12.75" customHeight="1">
      <c r="D508" s="1071"/>
      <c r="E508" s="1070"/>
      <c r="F508" s="1070"/>
      <c r="G508" s="1070"/>
      <c r="H508" s="1070"/>
    </row>
    <row r="509" spans="4:8" ht="12.75" customHeight="1">
      <c r="D509" s="1071"/>
      <c r="E509" s="1070"/>
      <c r="F509" s="1070"/>
      <c r="G509" s="1070"/>
      <c r="H509" s="1070"/>
    </row>
    <row r="510" spans="4:8" ht="12.75" customHeight="1">
      <c r="D510" s="1071"/>
      <c r="E510" s="1070"/>
      <c r="F510" s="1070"/>
      <c r="G510" s="1070"/>
      <c r="H510" s="1070"/>
    </row>
    <row r="511" spans="4:8" ht="12.75" customHeight="1">
      <c r="D511" s="1071"/>
      <c r="E511" s="1070"/>
      <c r="F511" s="1070"/>
      <c r="G511" s="1070"/>
      <c r="H511" s="1070"/>
    </row>
    <row r="512" spans="4:8" ht="12.75" customHeight="1">
      <c r="D512" s="1071"/>
      <c r="E512" s="1070"/>
      <c r="F512" s="1070"/>
      <c r="G512" s="1070"/>
      <c r="H512" s="1070"/>
    </row>
    <row r="513" spans="4:8" ht="12.75" customHeight="1">
      <c r="D513" s="1071"/>
      <c r="E513" s="1070"/>
      <c r="F513" s="1070"/>
      <c r="G513" s="1070"/>
      <c r="H513" s="1070"/>
    </row>
    <row r="514" spans="4:8" ht="12.75" customHeight="1">
      <c r="D514" s="1071"/>
      <c r="E514" s="1070"/>
      <c r="F514" s="1070"/>
      <c r="G514" s="1070"/>
      <c r="H514" s="1070"/>
    </row>
    <row r="515" spans="4:8" ht="12.75" customHeight="1">
      <c r="D515" s="1071"/>
      <c r="E515" s="1070"/>
      <c r="F515" s="1070"/>
      <c r="G515" s="1070"/>
      <c r="H515" s="1070"/>
    </row>
    <row r="516" spans="4:8" ht="12.75" customHeight="1">
      <c r="D516" s="1071"/>
      <c r="E516" s="1070"/>
      <c r="F516" s="1070"/>
      <c r="G516" s="1070"/>
      <c r="H516" s="1070"/>
    </row>
    <row r="517" spans="4:8" ht="12.75" customHeight="1">
      <c r="D517" s="1071"/>
      <c r="E517" s="1070"/>
      <c r="F517" s="1070"/>
      <c r="G517" s="1070"/>
      <c r="H517" s="1070"/>
    </row>
    <row r="518" spans="4:8" ht="12.75" customHeight="1">
      <c r="D518" s="1071"/>
      <c r="E518" s="1070"/>
      <c r="F518" s="1070"/>
      <c r="G518" s="1070"/>
      <c r="H518" s="1070"/>
    </row>
    <row r="519" spans="4:8" ht="12.75" customHeight="1">
      <c r="D519" s="1071"/>
      <c r="E519" s="1070"/>
      <c r="F519" s="1070"/>
      <c r="G519" s="1070"/>
      <c r="H519" s="1070"/>
    </row>
    <row r="520" spans="4:8" ht="12.75" customHeight="1">
      <c r="D520" s="1071"/>
      <c r="E520" s="1070"/>
      <c r="F520" s="1070"/>
      <c r="G520" s="1070"/>
      <c r="H520" s="1070"/>
    </row>
    <row r="521" spans="4:8" ht="12.75" customHeight="1">
      <c r="D521" s="1071"/>
      <c r="E521" s="1070"/>
      <c r="F521" s="1070"/>
      <c r="G521" s="1070"/>
      <c r="H521" s="1070"/>
    </row>
    <row r="522" spans="4:8" ht="12.75" customHeight="1">
      <c r="D522" s="1071"/>
      <c r="E522" s="1070"/>
      <c r="F522" s="1070"/>
      <c r="G522" s="1070"/>
      <c r="H522" s="1070"/>
    </row>
    <row r="523" spans="4:8" ht="12.75" customHeight="1">
      <c r="D523" s="1071"/>
      <c r="E523" s="1070"/>
      <c r="F523" s="1070"/>
      <c r="G523" s="1070"/>
      <c r="H523" s="1070"/>
    </row>
    <row r="524" spans="4:8" ht="12.75" customHeight="1">
      <c r="D524" s="1071"/>
      <c r="E524" s="1070"/>
      <c r="F524" s="1070"/>
      <c r="G524" s="1070"/>
      <c r="H524" s="1070"/>
    </row>
    <row r="525" spans="4:8" ht="12.75" customHeight="1">
      <c r="D525" s="1071"/>
      <c r="E525" s="1070"/>
      <c r="F525" s="1070"/>
      <c r="G525" s="1070"/>
      <c r="H525" s="1070"/>
    </row>
    <row r="526" spans="4:8" ht="12.75" customHeight="1">
      <c r="D526" s="1071"/>
      <c r="E526" s="1070"/>
      <c r="F526" s="1070"/>
      <c r="G526" s="1070"/>
      <c r="H526" s="1070"/>
    </row>
    <row r="527" spans="4:8" ht="12.75" customHeight="1">
      <c r="D527" s="1071"/>
      <c r="E527" s="1070"/>
      <c r="F527" s="1070"/>
      <c r="G527" s="1070"/>
      <c r="H527" s="1070"/>
    </row>
    <row r="528" spans="4:8" ht="12.75" customHeight="1">
      <c r="D528" s="1071"/>
      <c r="E528" s="1070"/>
      <c r="F528" s="1070"/>
      <c r="G528" s="1070"/>
      <c r="H528" s="1070"/>
    </row>
    <row r="529" spans="4:8" ht="12.75" customHeight="1">
      <c r="D529" s="1071"/>
      <c r="E529" s="1070"/>
      <c r="F529" s="1070"/>
      <c r="G529" s="1070"/>
      <c r="H529" s="1070"/>
    </row>
    <row r="530" spans="4:8" ht="12.75" customHeight="1">
      <c r="D530" s="1071"/>
      <c r="E530" s="1070"/>
      <c r="F530" s="1070"/>
      <c r="G530" s="1070"/>
      <c r="H530" s="1070"/>
    </row>
    <row r="531" spans="4:8" ht="12.75" customHeight="1">
      <c r="D531" s="1071"/>
      <c r="E531" s="1070"/>
      <c r="F531" s="1070"/>
      <c r="G531" s="1070"/>
      <c r="H531" s="1070"/>
    </row>
    <row r="532" spans="4:8" ht="12.75" customHeight="1">
      <c r="D532" s="1071"/>
      <c r="E532" s="1070"/>
      <c r="F532" s="1070"/>
      <c r="G532" s="1070"/>
      <c r="H532" s="1070"/>
    </row>
    <row r="533" spans="4:8" ht="12.75" customHeight="1">
      <c r="D533" s="1071"/>
      <c r="E533" s="1070"/>
      <c r="F533" s="1070"/>
      <c r="G533" s="1070"/>
      <c r="H533" s="1070"/>
    </row>
    <row r="534" spans="4:8" ht="12.75" customHeight="1">
      <c r="D534" s="1071"/>
      <c r="E534" s="1070"/>
      <c r="F534" s="1070"/>
      <c r="G534" s="1070"/>
      <c r="H534" s="1070"/>
    </row>
    <row r="535" spans="4:8" ht="12.75" customHeight="1">
      <c r="D535" s="1071"/>
      <c r="E535" s="1070"/>
      <c r="F535" s="1070"/>
      <c r="G535" s="1070"/>
      <c r="H535" s="1070"/>
    </row>
    <row r="536" spans="4:8" ht="12.75" customHeight="1">
      <c r="D536" s="1071"/>
      <c r="E536" s="1070"/>
      <c r="F536" s="1070"/>
      <c r="G536" s="1070"/>
      <c r="H536" s="1070"/>
    </row>
    <row r="537" spans="4:8" ht="12.75" customHeight="1">
      <c r="D537" s="1071"/>
      <c r="E537" s="1070"/>
      <c r="F537" s="1070"/>
      <c r="G537" s="1070"/>
      <c r="H537" s="1070"/>
    </row>
    <row r="538" spans="4:8" ht="12.75" customHeight="1">
      <c r="D538" s="1071"/>
      <c r="E538" s="1070"/>
      <c r="F538" s="1070"/>
      <c r="G538" s="1070"/>
      <c r="H538" s="1070"/>
    </row>
    <row r="539" spans="4:8" ht="12.75" customHeight="1">
      <c r="D539" s="1071"/>
      <c r="E539" s="1070"/>
      <c r="F539" s="1070"/>
      <c r="G539" s="1070"/>
      <c r="H539" s="1070"/>
    </row>
    <row r="540" spans="4:8" ht="12.75" customHeight="1">
      <c r="D540" s="1071"/>
      <c r="E540" s="1070"/>
      <c r="F540" s="1070"/>
      <c r="G540" s="1070"/>
      <c r="H540" s="1070"/>
    </row>
    <row r="541" spans="4:8" ht="12.75" customHeight="1">
      <c r="D541" s="1071"/>
      <c r="E541" s="1070"/>
      <c r="F541" s="1070"/>
      <c r="G541" s="1070"/>
      <c r="H541" s="1070"/>
    </row>
    <row r="542" spans="4:8" ht="12.75" customHeight="1">
      <c r="D542" s="1071"/>
      <c r="E542" s="1070"/>
      <c r="F542" s="1070"/>
      <c r="G542" s="1070"/>
      <c r="H542" s="1070"/>
    </row>
    <row r="543" spans="4:8" ht="12.75" customHeight="1">
      <c r="D543" s="1071"/>
      <c r="E543" s="1070"/>
      <c r="F543" s="1070"/>
      <c r="G543" s="1070"/>
      <c r="H543" s="1070"/>
    </row>
    <row r="544" spans="4:8" ht="12.75" customHeight="1">
      <c r="D544" s="1071"/>
      <c r="E544" s="1070"/>
      <c r="F544" s="1070"/>
      <c r="G544" s="1070"/>
      <c r="H544" s="1070"/>
    </row>
    <row r="545" spans="4:8" ht="12.75" customHeight="1">
      <c r="D545" s="1071"/>
      <c r="E545" s="1070"/>
      <c r="F545" s="1070"/>
      <c r="G545" s="1070"/>
      <c r="H545" s="1070"/>
    </row>
    <row r="546" spans="4:8" ht="12.75" customHeight="1">
      <c r="D546" s="1071"/>
      <c r="E546" s="1070"/>
      <c r="F546" s="1070"/>
      <c r="G546" s="1070"/>
      <c r="H546" s="1070"/>
    </row>
    <row r="547" spans="4:8" ht="12.75" customHeight="1">
      <c r="D547" s="1071"/>
      <c r="E547" s="1070"/>
      <c r="F547" s="1070"/>
      <c r="G547" s="1070"/>
      <c r="H547" s="1070"/>
    </row>
    <row r="548" spans="4:8" ht="12.75" customHeight="1">
      <c r="D548" s="1071"/>
      <c r="E548" s="1070"/>
      <c r="F548" s="1070"/>
      <c r="G548" s="1070"/>
      <c r="H548" s="1070"/>
    </row>
    <row r="549" spans="4:8" ht="12.75" customHeight="1">
      <c r="D549" s="1071"/>
      <c r="E549" s="1070"/>
      <c r="F549" s="1070"/>
      <c r="G549" s="1070"/>
      <c r="H549" s="1070"/>
    </row>
    <row r="550" spans="4:8" ht="12.75" customHeight="1">
      <c r="D550" s="1071"/>
      <c r="E550" s="1070"/>
      <c r="F550" s="1070"/>
      <c r="G550" s="1070"/>
      <c r="H550" s="1070"/>
    </row>
    <row r="551" spans="4:8" ht="12.75" customHeight="1">
      <c r="D551" s="1071"/>
      <c r="E551" s="1070"/>
      <c r="F551" s="1070"/>
      <c r="G551" s="1070"/>
      <c r="H551" s="1070"/>
    </row>
    <row r="552" spans="4:8" ht="12.75" customHeight="1">
      <c r="D552" s="1071"/>
      <c r="E552" s="1070"/>
      <c r="F552" s="1070"/>
      <c r="G552" s="1070"/>
      <c r="H552" s="1070"/>
    </row>
    <row r="553" spans="4:8" ht="12.75" customHeight="1">
      <c r="D553" s="1071"/>
      <c r="E553" s="1070"/>
      <c r="F553" s="1070"/>
      <c r="G553" s="1070"/>
      <c r="H553" s="1070"/>
    </row>
    <row r="554" spans="4:8" ht="12.75" customHeight="1">
      <c r="D554" s="1071"/>
      <c r="E554" s="1070"/>
      <c r="F554" s="1070"/>
      <c r="G554" s="1070"/>
      <c r="H554" s="1070"/>
    </row>
    <row r="555" spans="4:8" ht="12.75" customHeight="1">
      <c r="D555" s="1071"/>
      <c r="E555" s="1070"/>
      <c r="F555" s="1070"/>
      <c r="G555" s="1070"/>
      <c r="H555" s="1070"/>
    </row>
    <row r="556" spans="4:8" ht="12.75" customHeight="1">
      <c r="D556" s="1071"/>
      <c r="E556" s="1070"/>
      <c r="F556" s="1070"/>
      <c r="G556" s="1070"/>
      <c r="H556" s="1070"/>
    </row>
    <row r="557" spans="4:8" ht="12.75" customHeight="1">
      <c r="D557" s="1071"/>
      <c r="E557" s="1070"/>
      <c r="F557" s="1070"/>
      <c r="G557" s="1070"/>
      <c r="H557" s="1070"/>
    </row>
    <row r="558" spans="4:8" ht="12.75" customHeight="1">
      <c r="D558" s="1071"/>
      <c r="E558" s="1070"/>
      <c r="F558" s="1070"/>
      <c r="G558" s="1070"/>
      <c r="H558" s="1070"/>
    </row>
    <row r="559" spans="4:8" ht="12.75" customHeight="1">
      <c r="D559" s="1071"/>
      <c r="E559" s="1070"/>
      <c r="F559" s="1070"/>
      <c r="G559" s="1070"/>
      <c r="H559" s="1070"/>
    </row>
    <row r="560" spans="4:8" ht="12.75" customHeight="1">
      <c r="D560" s="1071"/>
      <c r="E560" s="1070"/>
      <c r="F560" s="1070"/>
      <c r="G560" s="1070"/>
      <c r="H560" s="1070"/>
    </row>
    <row r="561" spans="4:8" ht="12.75" customHeight="1">
      <c r="D561" s="1071"/>
      <c r="E561" s="1070"/>
      <c r="F561" s="1070"/>
      <c r="G561" s="1070"/>
      <c r="H561" s="1070"/>
    </row>
    <row r="562" spans="4:8" ht="12.75" customHeight="1">
      <c r="D562" s="1071"/>
      <c r="E562" s="1070"/>
      <c r="F562" s="1070"/>
      <c r="G562" s="1070"/>
      <c r="H562" s="1070"/>
    </row>
    <row r="563" spans="4:8" ht="12.75" customHeight="1">
      <c r="D563" s="1071"/>
      <c r="E563" s="1070"/>
      <c r="F563" s="1070"/>
      <c r="G563" s="1070"/>
      <c r="H563" s="1070"/>
    </row>
    <row r="564" spans="4:8" ht="12.75" customHeight="1">
      <c r="D564" s="1071"/>
      <c r="E564" s="1070"/>
      <c r="F564" s="1070"/>
      <c r="G564" s="1070"/>
      <c r="H564" s="1070"/>
    </row>
    <row r="565" spans="4:8" ht="12.75" customHeight="1">
      <c r="D565" s="1071"/>
      <c r="E565" s="1070"/>
      <c r="F565" s="1070"/>
      <c r="G565" s="1070"/>
      <c r="H565" s="1070"/>
    </row>
    <row r="566" spans="4:8" ht="12.75" customHeight="1">
      <c r="D566" s="1071"/>
      <c r="E566" s="1070"/>
      <c r="F566" s="1070"/>
      <c r="G566" s="1070"/>
      <c r="H566" s="1070"/>
    </row>
    <row r="567" spans="4:8" ht="12.75" customHeight="1">
      <c r="D567" s="1071"/>
      <c r="E567" s="1070"/>
      <c r="F567" s="1070"/>
      <c r="G567" s="1070"/>
      <c r="H567" s="1070"/>
    </row>
    <row r="568" spans="4:8" ht="12.75" customHeight="1">
      <c r="D568" s="1071"/>
      <c r="E568" s="1070"/>
      <c r="F568" s="1070"/>
      <c r="G568" s="1070"/>
      <c r="H568" s="1070"/>
    </row>
    <row r="569" spans="4:8" ht="12.75" customHeight="1">
      <c r="D569" s="1071"/>
      <c r="E569" s="1070"/>
      <c r="F569" s="1070"/>
      <c r="G569" s="1070"/>
      <c r="H569" s="1070"/>
    </row>
    <row r="570" spans="4:8" ht="12.75" customHeight="1">
      <c r="D570" s="1071"/>
      <c r="E570" s="1070"/>
      <c r="F570" s="1070"/>
      <c r="G570" s="1070"/>
      <c r="H570" s="1070"/>
    </row>
    <row r="571" spans="4:8" ht="12.75" customHeight="1">
      <c r="D571" s="1071"/>
      <c r="E571" s="1070"/>
      <c r="F571" s="1070"/>
      <c r="G571" s="1070"/>
      <c r="H571" s="1070"/>
    </row>
    <row r="572" spans="4:8" ht="12.75" customHeight="1">
      <c r="D572" s="1071"/>
      <c r="E572" s="1070"/>
      <c r="F572" s="1070"/>
      <c r="G572" s="1070"/>
      <c r="H572" s="1070"/>
    </row>
    <row r="573" spans="4:8" ht="12.75" customHeight="1">
      <c r="D573" s="1071"/>
      <c r="E573" s="1070"/>
      <c r="F573" s="1070"/>
      <c r="G573" s="1070"/>
      <c r="H573" s="1070"/>
    </row>
    <row r="574" spans="4:8" ht="12.75" customHeight="1">
      <c r="D574" s="1071"/>
      <c r="E574" s="1070"/>
      <c r="F574" s="1070"/>
      <c r="G574" s="1070"/>
      <c r="H574" s="1070"/>
    </row>
    <row r="575" spans="4:8" ht="12.75" customHeight="1">
      <c r="D575" s="1071"/>
      <c r="E575" s="1070"/>
      <c r="F575" s="1070"/>
      <c r="G575" s="1070"/>
      <c r="H575" s="1070"/>
    </row>
    <row r="576" spans="4:8" ht="12.75" customHeight="1">
      <c r="D576" s="1071"/>
      <c r="E576" s="1070"/>
      <c r="F576" s="1070"/>
      <c r="G576" s="1070"/>
      <c r="H576" s="1070"/>
    </row>
    <row r="577" spans="4:8" ht="12.75" customHeight="1">
      <c r="D577" s="1071"/>
      <c r="E577" s="1070"/>
      <c r="F577" s="1070"/>
      <c r="G577" s="1070"/>
      <c r="H577" s="1070"/>
    </row>
    <row r="578" spans="4:8" ht="12.75" customHeight="1">
      <c r="D578" s="1071"/>
      <c r="E578" s="1070"/>
      <c r="F578" s="1070"/>
      <c r="G578" s="1070"/>
      <c r="H578" s="1070"/>
    </row>
    <row r="579" spans="4:8" ht="12.75" customHeight="1">
      <c r="D579" s="1071"/>
      <c r="E579" s="1070"/>
      <c r="F579" s="1070"/>
      <c r="G579" s="1070"/>
      <c r="H579" s="1070"/>
    </row>
    <row r="580" spans="4:8" ht="12.75" customHeight="1">
      <c r="D580" s="1071"/>
      <c r="E580" s="1070"/>
      <c r="F580" s="1070"/>
      <c r="G580" s="1070"/>
      <c r="H580" s="1070"/>
    </row>
    <row r="581" spans="4:8" ht="12.75" customHeight="1">
      <c r="D581" s="1071"/>
      <c r="E581" s="1070"/>
      <c r="F581" s="1070"/>
      <c r="G581" s="1070"/>
      <c r="H581" s="1070"/>
    </row>
    <row r="582" spans="4:8" ht="12.75" customHeight="1">
      <c r="D582" s="1071"/>
      <c r="E582" s="1070"/>
      <c r="F582" s="1070"/>
      <c r="G582" s="1070"/>
      <c r="H582" s="1070"/>
    </row>
    <row r="583" spans="4:8" ht="12.75" customHeight="1">
      <c r="D583" s="1071"/>
      <c r="E583" s="1070"/>
      <c r="F583" s="1070"/>
      <c r="G583" s="1070"/>
      <c r="H583" s="1070"/>
    </row>
    <row r="584" spans="4:8" ht="12.75" customHeight="1">
      <c r="D584" s="1071"/>
      <c r="E584" s="1070"/>
      <c r="F584" s="1070"/>
      <c r="G584" s="1070"/>
      <c r="H584" s="1070"/>
    </row>
    <row r="585" spans="4:8" ht="12.75" customHeight="1">
      <c r="D585" s="1071"/>
      <c r="E585" s="1070"/>
      <c r="F585" s="1070"/>
      <c r="G585" s="1070"/>
      <c r="H585" s="1070"/>
    </row>
    <row r="586" spans="4:8" ht="12.75" customHeight="1">
      <c r="D586" s="1071"/>
      <c r="E586" s="1070"/>
      <c r="F586" s="1070"/>
      <c r="G586" s="1070"/>
      <c r="H586" s="1070"/>
    </row>
    <row r="587" spans="4:8" ht="12.75" customHeight="1">
      <c r="D587" s="1071"/>
      <c r="E587" s="1070"/>
      <c r="F587" s="1070"/>
      <c r="G587" s="1070"/>
      <c r="H587" s="1070"/>
    </row>
    <row r="588" spans="4:8" ht="12.75" customHeight="1">
      <c r="D588" s="1071"/>
      <c r="E588" s="1070"/>
      <c r="F588" s="1070"/>
      <c r="G588" s="1070"/>
      <c r="H588" s="1070"/>
    </row>
    <row r="589" spans="4:8" ht="12.75" customHeight="1">
      <c r="D589" s="1071"/>
      <c r="E589" s="1070"/>
      <c r="F589" s="1070"/>
      <c r="G589" s="1070"/>
      <c r="H589" s="1070"/>
    </row>
    <row r="590" spans="4:8" ht="12.75" customHeight="1">
      <c r="D590" s="1071"/>
      <c r="E590" s="1070"/>
      <c r="F590" s="1070"/>
      <c r="G590" s="1070"/>
      <c r="H590" s="1070"/>
    </row>
    <row r="591" spans="4:8" ht="12.75" customHeight="1">
      <c r="D591" s="1071"/>
      <c r="E591" s="1070"/>
      <c r="F591" s="1070"/>
      <c r="G591" s="1070"/>
      <c r="H591" s="1070"/>
    </row>
    <row r="592" spans="4:8" ht="12.75" customHeight="1">
      <c r="D592" s="1071"/>
      <c r="E592" s="1070"/>
      <c r="F592" s="1070"/>
      <c r="G592" s="1070"/>
      <c r="H592" s="1070"/>
    </row>
    <row r="593" spans="4:8" ht="12.75" customHeight="1">
      <c r="D593" s="1071"/>
      <c r="E593" s="1070"/>
      <c r="F593" s="1070"/>
      <c r="G593" s="1070"/>
      <c r="H593" s="1070"/>
    </row>
    <row r="594" spans="4:8" ht="12.75" customHeight="1">
      <c r="D594" s="1071"/>
      <c r="E594" s="1070"/>
      <c r="F594" s="1070"/>
      <c r="G594" s="1070"/>
      <c r="H594" s="1070"/>
    </row>
    <row r="595" spans="4:8" ht="12.75" customHeight="1">
      <c r="D595" s="1071"/>
      <c r="E595" s="1070"/>
      <c r="F595" s="1070"/>
      <c r="G595" s="1070"/>
      <c r="H595" s="1070"/>
    </row>
    <row r="596" spans="4:8" ht="12.75" customHeight="1">
      <c r="D596" s="1071"/>
      <c r="E596" s="1070"/>
      <c r="F596" s="1070"/>
      <c r="G596" s="1070"/>
      <c r="H596" s="1070"/>
    </row>
    <row r="597" spans="4:8" ht="12.75" customHeight="1">
      <c r="D597" s="1071"/>
      <c r="E597" s="1070"/>
      <c r="F597" s="1070"/>
      <c r="G597" s="1070"/>
      <c r="H597" s="1070"/>
    </row>
    <row r="598" spans="4:8" ht="12.75" customHeight="1">
      <c r="D598" s="1071"/>
      <c r="E598" s="1070"/>
      <c r="F598" s="1070"/>
      <c r="G598" s="1070"/>
      <c r="H598" s="1070"/>
    </row>
    <row r="599" spans="4:8" ht="12.75" customHeight="1">
      <c r="D599" s="1071"/>
      <c r="E599" s="1070"/>
      <c r="F599" s="1070"/>
      <c r="G599" s="1070"/>
      <c r="H599" s="1070"/>
    </row>
    <row r="600" spans="4:8" ht="12.75" customHeight="1">
      <c r="D600" s="1071"/>
      <c r="E600" s="1070"/>
      <c r="F600" s="1070"/>
      <c r="G600" s="1070"/>
      <c r="H600" s="1070"/>
    </row>
    <row r="601" spans="4:8" ht="12.75" customHeight="1">
      <c r="D601" s="1071"/>
      <c r="E601" s="1070"/>
      <c r="F601" s="1070"/>
      <c r="G601" s="1070"/>
      <c r="H601" s="1070"/>
    </row>
    <row r="602" spans="4:8" ht="12.75" customHeight="1">
      <c r="D602" s="1071"/>
      <c r="E602" s="1070"/>
      <c r="F602" s="1070"/>
      <c r="G602" s="1070"/>
      <c r="H602" s="1070"/>
    </row>
    <row r="603" spans="4:8" ht="12.75" customHeight="1">
      <c r="D603" s="1071"/>
      <c r="E603" s="1070"/>
      <c r="F603" s="1070"/>
      <c r="G603" s="1070"/>
      <c r="H603" s="1070"/>
    </row>
    <row r="604" spans="4:8" ht="12.75" customHeight="1">
      <c r="D604" s="1071"/>
      <c r="E604" s="1070"/>
      <c r="F604" s="1070"/>
      <c r="G604" s="1070"/>
      <c r="H604" s="1070"/>
    </row>
    <row r="605" spans="4:8" ht="12.75" customHeight="1">
      <c r="D605" s="1071"/>
      <c r="E605" s="1070"/>
      <c r="F605" s="1070"/>
      <c r="G605" s="1070"/>
      <c r="H605" s="1070"/>
    </row>
    <row r="606" spans="4:8" ht="12.75" customHeight="1">
      <c r="D606" s="1071"/>
      <c r="E606" s="1070"/>
      <c r="F606" s="1070"/>
      <c r="G606" s="1070"/>
      <c r="H606" s="1070"/>
    </row>
    <row r="607" spans="4:8" ht="12.75" customHeight="1">
      <c r="D607" s="1071"/>
      <c r="E607" s="1070"/>
      <c r="F607" s="1070"/>
      <c r="G607" s="1070"/>
      <c r="H607" s="1070"/>
    </row>
    <row r="608" spans="4:8" ht="12.75" customHeight="1">
      <c r="D608" s="1071"/>
      <c r="E608" s="1070"/>
      <c r="F608" s="1070"/>
      <c r="G608" s="1070"/>
      <c r="H608" s="1070"/>
    </row>
    <row r="609" spans="4:8" ht="12.75" customHeight="1">
      <c r="D609" s="1071"/>
      <c r="E609" s="1070"/>
      <c r="F609" s="1070"/>
      <c r="G609" s="1070"/>
      <c r="H609" s="1070"/>
    </row>
    <row r="610" spans="4:8" ht="12.75" customHeight="1">
      <c r="D610" s="1071"/>
      <c r="E610" s="1070"/>
      <c r="F610" s="1070"/>
      <c r="G610" s="1070"/>
      <c r="H610" s="1070"/>
    </row>
    <row r="611" spans="4:8" ht="12.75" customHeight="1">
      <c r="D611" s="1071"/>
      <c r="E611" s="1070"/>
      <c r="F611" s="1070"/>
      <c r="G611" s="1070"/>
      <c r="H611" s="1070"/>
    </row>
    <row r="612" spans="4:8" ht="12.75" customHeight="1">
      <c r="D612" s="1071"/>
      <c r="E612" s="1070"/>
      <c r="F612" s="1070"/>
      <c r="G612" s="1070"/>
      <c r="H612" s="1070"/>
    </row>
    <row r="613" spans="4:8" ht="12.75" customHeight="1">
      <c r="D613" s="1071"/>
      <c r="E613" s="1070"/>
      <c r="F613" s="1070"/>
      <c r="G613" s="1070"/>
      <c r="H613" s="1070"/>
    </row>
    <row r="614" spans="4:8" ht="12.75" customHeight="1">
      <c r="D614" s="1071"/>
      <c r="E614" s="1070"/>
      <c r="F614" s="1070"/>
      <c r="G614" s="1070"/>
      <c r="H614" s="1070"/>
    </row>
    <row r="615" spans="4:8" ht="12.75" customHeight="1">
      <c r="D615" s="1071"/>
      <c r="E615" s="1070"/>
      <c r="F615" s="1070"/>
      <c r="G615" s="1070"/>
      <c r="H615" s="1070"/>
    </row>
    <row r="616" spans="4:8" ht="12.75" customHeight="1">
      <c r="D616" s="1071"/>
      <c r="E616" s="1070"/>
      <c r="F616" s="1070"/>
      <c r="G616" s="1070"/>
      <c r="H616" s="1070"/>
    </row>
    <row r="617" spans="4:8" ht="12.75" customHeight="1">
      <c r="D617" s="1071"/>
      <c r="E617" s="1070"/>
      <c r="F617" s="1070"/>
      <c r="G617" s="1070"/>
      <c r="H617" s="1070"/>
    </row>
    <row r="618" spans="4:8" ht="12.75" customHeight="1">
      <c r="D618" s="1071"/>
      <c r="E618" s="1070"/>
      <c r="F618" s="1070"/>
      <c r="G618" s="1070"/>
      <c r="H618" s="1070"/>
    </row>
    <row r="619" spans="4:8" ht="12.75" customHeight="1">
      <c r="D619" s="1071"/>
      <c r="E619" s="1070"/>
      <c r="F619" s="1070"/>
      <c r="G619" s="1070"/>
      <c r="H619" s="1070"/>
    </row>
    <row r="620" spans="4:8" ht="12.75" customHeight="1">
      <c r="D620" s="1071"/>
      <c r="E620" s="1070"/>
      <c r="F620" s="1070"/>
      <c r="G620" s="1070"/>
      <c r="H620" s="1070"/>
    </row>
    <row r="621" spans="4:8" ht="12.75" customHeight="1">
      <c r="D621" s="1071"/>
      <c r="E621" s="1070"/>
      <c r="F621" s="1070"/>
      <c r="G621" s="1070"/>
      <c r="H621" s="1070"/>
    </row>
    <row r="622" spans="4:8" ht="12.75" customHeight="1">
      <c r="D622" s="1071"/>
      <c r="E622" s="1070"/>
      <c r="F622" s="1070"/>
      <c r="G622" s="1070"/>
      <c r="H622" s="1070"/>
    </row>
    <row r="623" spans="4:8" ht="12.75" customHeight="1">
      <c r="D623" s="1071"/>
      <c r="E623" s="1070"/>
      <c r="F623" s="1070"/>
      <c r="G623" s="1070"/>
      <c r="H623" s="1070"/>
    </row>
    <row r="624" spans="4:8" ht="12.75" customHeight="1">
      <c r="D624" s="1071"/>
      <c r="E624" s="1070"/>
      <c r="F624" s="1070"/>
      <c r="G624" s="1070"/>
      <c r="H624" s="1070"/>
    </row>
    <row r="625" spans="4:8" ht="12.75" customHeight="1">
      <c r="D625" s="1071"/>
      <c r="E625" s="1070"/>
      <c r="F625" s="1070"/>
      <c r="G625" s="1070"/>
      <c r="H625" s="1070"/>
    </row>
    <row r="626" spans="4:8" ht="12.75" customHeight="1">
      <c r="D626" s="1071"/>
      <c r="E626" s="1070"/>
      <c r="F626" s="1070"/>
      <c r="G626" s="1070"/>
      <c r="H626" s="1070"/>
    </row>
    <row r="627" spans="4:8" ht="12.75" customHeight="1">
      <c r="D627" s="1071"/>
      <c r="E627" s="1070"/>
      <c r="F627" s="1070"/>
      <c r="G627" s="1070"/>
      <c r="H627" s="1070"/>
    </row>
    <row r="628" spans="4:8" ht="12.75" customHeight="1">
      <c r="D628" s="1071"/>
      <c r="E628" s="1070"/>
      <c r="F628" s="1070"/>
      <c r="G628" s="1070"/>
      <c r="H628" s="1070"/>
    </row>
    <row r="629" spans="4:8" ht="12.75" customHeight="1">
      <c r="D629" s="1071"/>
      <c r="E629" s="1070"/>
      <c r="F629" s="1070"/>
      <c r="G629" s="1070"/>
      <c r="H629" s="1070"/>
    </row>
    <row r="630" spans="4:8" ht="12.75" customHeight="1">
      <c r="D630" s="1071"/>
      <c r="E630" s="1070"/>
      <c r="F630" s="1070"/>
      <c r="G630" s="1070"/>
      <c r="H630" s="1070"/>
    </row>
    <row r="631" spans="4:8" ht="12.75" customHeight="1">
      <c r="D631" s="1071"/>
      <c r="E631" s="1070"/>
      <c r="F631" s="1070"/>
      <c r="G631" s="1070"/>
      <c r="H631" s="1070"/>
    </row>
    <row r="632" spans="4:8" ht="12.75" customHeight="1">
      <c r="D632" s="1071"/>
      <c r="E632" s="1070"/>
      <c r="F632" s="1070"/>
      <c r="G632" s="1070"/>
      <c r="H632" s="1070"/>
    </row>
    <row r="633" spans="4:8" ht="12.75" customHeight="1">
      <c r="D633" s="1071"/>
      <c r="E633" s="1070"/>
      <c r="F633" s="1070"/>
      <c r="G633" s="1070"/>
      <c r="H633" s="1070"/>
    </row>
    <row r="634" spans="4:8" ht="12.75" customHeight="1">
      <c r="D634" s="1071"/>
      <c r="E634" s="1070"/>
      <c r="F634" s="1070"/>
      <c r="G634" s="1070"/>
      <c r="H634" s="1070"/>
    </row>
    <row r="635" spans="4:8" ht="12.75" customHeight="1">
      <c r="D635" s="1071"/>
      <c r="E635" s="1070"/>
      <c r="F635" s="1070"/>
      <c r="G635" s="1070"/>
      <c r="H635" s="1070"/>
    </row>
    <row r="636" spans="4:8" ht="12.75" customHeight="1">
      <c r="D636" s="1071"/>
      <c r="E636" s="1070"/>
      <c r="F636" s="1070"/>
      <c r="G636" s="1070"/>
      <c r="H636" s="1070"/>
    </row>
    <row r="637" spans="4:8" ht="12.75" customHeight="1">
      <c r="D637" s="1071"/>
      <c r="E637" s="1070"/>
      <c r="F637" s="1070"/>
      <c r="G637" s="1070"/>
      <c r="H637" s="1070"/>
    </row>
    <row r="638" spans="4:8" ht="12.75" customHeight="1">
      <c r="D638" s="1071"/>
      <c r="E638" s="1070"/>
      <c r="F638" s="1070"/>
      <c r="G638" s="1070"/>
      <c r="H638" s="1070"/>
    </row>
    <row r="639" spans="4:8" ht="12.75" customHeight="1">
      <c r="D639" s="1071"/>
      <c r="E639" s="1070"/>
      <c r="F639" s="1070"/>
      <c r="G639" s="1070"/>
      <c r="H639" s="1070"/>
    </row>
    <row r="640" spans="4:8" ht="12.75" customHeight="1">
      <c r="D640" s="1071"/>
      <c r="E640" s="1070"/>
      <c r="F640" s="1070"/>
      <c r="G640" s="1070"/>
      <c r="H640" s="1070"/>
    </row>
    <row r="641" spans="4:8" ht="12.75" customHeight="1">
      <c r="D641" s="1071"/>
      <c r="E641" s="1070"/>
      <c r="F641" s="1070"/>
      <c r="G641" s="1070"/>
      <c r="H641" s="1070"/>
    </row>
    <row r="642" spans="4:8" ht="12.75" customHeight="1">
      <c r="D642" s="1071"/>
      <c r="E642" s="1070"/>
      <c r="F642" s="1070"/>
      <c r="G642" s="1070"/>
      <c r="H642" s="1070"/>
    </row>
    <row r="643" spans="4:8" ht="12.75" customHeight="1">
      <c r="D643" s="1071"/>
      <c r="E643" s="1070"/>
      <c r="F643" s="1070"/>
      <c r="G643" s="1070"/>
      <c r="H643" s="1070"/>
    </row>
    <row r="644" spans="4:8" ht="12.75" customHeight="1">
      <c r="D644" s="1071"/>
      <c r="E644" s="1070"/>
      <c r="F644" s="1070"/>
      <c r="G644" s="1070"/>
      <c r="H644" s="1070"/>
    </row>
    <row r="645" spans="4:8" ht="12.75" customHeight="1">
      <c r="D645" s="1071"/>
      <c r="E645" s="1070"/>
      <c r="F645" s="1070"/>
      <c r="G645" s="1070"/>
      <c r="H645" s="1070"/>
    </row>
    <row r="646" spans="4:8" ht="12.75" customHeight="1">
      <c r="D646" s="1071"/>
      <c r="E646" s="1070"/>
      <c r="F646" s="1070"/>
      <c r="G646" s="1070"/>
      <c r="H646" s="1070"/>
    </row>
    <row r="647" spans="4:8" ht="12.75" customHeight="1">
      <c r="D647" s="1071"/>
      <c r="E647" s="1070"/>
      <c r="F647" s="1070"/>
      <c r="G647" s="1070"/>
      <c r="H647" s="1070"/>
    </row>
    <row r="648" spans="4:8" ht="12.75" customHeight="1">
      <c r="D648" s="1071"/>
      <c r="E648" s="1070"/>
      <c r="F648" s="1070"/>
      <c r="G648" s="1070"/>
      <c r="H648" s="1070"/>
    </row>
    <row r="649" spans="4:8" ht="12.75" customHeight="1">
      <c r="D649" s="1071"/>
      <c r="E649" s="1070"/>
      <c r="F649" s="1070"/>
      <c r="G649" s="1070"/>
      <c r="H649" s="1070"/>
    </row>
    <row r="650" spans="4:8" ht="12.75" customHeight="1">
      <c r="D650" s="1071"/>
      <c r="E650" s="1070"/>
      <c r="F650" s="1070"/>
      <c r="G650" s="1070"/>
      <c r="H650" s="1070"/>
    </row>
    <row r="651" spans="4:8" ht="12.75" customHeight="1">
      <c r="D651" s="1071"/>
      <c r="E651" s="1070"/>
      <c r="F651" s="1070"/>
      <c r="G651" s="1070"/>
      <c r="H651" s="1070"/>
    </row>
    <row r="652" spans="4:8" ht="12.75" customHeight="1">
      <c r="D652" s="1071"/>
      <c r="E652" s="1070"/>
      <c r="F652" s="1070"/>
      <c r="G652" s="1070"/>
      <c r="H652" s="1070"/>
    </row>
    <row r="653" spans="4:8" ht="12.75" customHeight="1">
      <c r="D653" s="1071"/>
      <c r="E653" s="1070"/>
      <c r="F653" s="1070"/>
      <c r="G653" s="1070"/>
      <c r="H653" s="1070"/>
    </row>
    <row r="654" spans="4:8" ht="12.75" customHeight="1">
      <c r="D654" s="1071"/>
      <c r="E654" s="1070"/>
      <c r="F654" s="1070"/>
      <c r="G654" s="1070"/>
      <c r="H654" s="1070"/>
    </row>
    <row r="655" spans="4:8" ht="12.75" customHeight="1">
      <c r="D655" s="1071"/>
      <c r="E655" s="1070"/>
      <c r="F655" s="1070"/>
      <c r="G655" s="1070"/>
      <c r="H655" s="1070"/>
    </row>
    <row r="656" spans="4:8" ht="12.75" customHeight="1">
      <c r="D656" s="1071"/>
      <c r="E656" s="1070"/>
      <c r="F656" s="1070"/>
      <c r="G656" s="1070"/>
      <c r="H656" s="1070"/>
    </row>
    <row r="657" spans="4:8" ht="12.75" customHeight="1">
      <c r="D657" s="1071"/>
      <c r="E657" s="1070"/>
      <c r="F657" s="1070"/>
      <c r="G657" s="1070"/>
      <c r="H657" s="1070"/>
    </row>
    <row r="658" spans="4:8" ht="12.75" customHeight="1">
      <c r="D658" s="1071"/>
      <c r="E658" s="1070"/>
      <c r="F658" s="1070"/>
      <c r="G658" s="1070"/>
      <c r="H658" s="1070"/>
    </row>
    <row r="659" spans="4:8" ht="12.75" customHeight="1">
      <c r="D659" s="1071"/>
      <c r="E659" s="1070"/>
      <c r="F659" s="1070"/>
      <c r="G659" s="1070"/>
      <c r="H659" s="1070"/>
    </row>
    <row r="660" spans="4:8" ht="12.75" customHeight="1">
      <c r="D660" s="1071"/>
      <c r="E660" s="1070"/>
      <c r="F660" s="1070"/>
      <c r="G660" s="1070"/>
      <c r="H660" s="1070"/>
    </row>
    <row r="661" spans="4:8" ht="12.75" customHeight="1">
      <c r="D661" s="1071"/>
      <c r="E661" s="1070"/>
      <c r="F661" s="1070"/>
      <c r="G661" s="1070"/>
      <c r="H661" s="1070"/>
    </row>
    <row r="662" spans="4:8" ht="12.75" customHeight="1">
      <c r="D662" s="1071"/>
      <c r="E662" s="1070"/>
      <c r="F662" s="1070"/>
      <c r="G662" s="1070"/>
      <c r="H662" s="1070"/>
    </row>
    <row r="663" spans="4:8" ht="12.75" customHeight="1">
      <c r="D663" s="1071"/>
      <c r="E663" s="1070"/>
      <c r="F663" s="1070"/>
      <c r="G663" s="1070"/>
      <c r="H663" s="1070"/>
    </row>
    <row r="664" spans="4:8" ht="12.75" customHeight="1">
      <c r="D664" s="1071"/>
      <c r="E664" s="1070"/>
      <c r="F664" s="1070"/>
      <c r="G664" s="1070"/>
      <c r="H664" s="1070"/>
    </row>
    <row r="665" spans="4:8" ht="12.75" customHeight="1">
      <c r="D665" s="1071"/>
      <c r="E665" s="1070"/>
      <c r="F665" s="1070"/>
      <c r="G665" s="1070"/>
      <c r="H665" s="1070"/>
    </row>
    <row r="666" spans="4:8" ht="12.75" customHeight="1">
      <c r="D666" s="1071"/>
      <c r="E666" s="1070"/>
      <c r="F666" s="1070"/>
      <c r="G666" s="1070"/>
      <c r="H666" s="1070"/>
    </row>
    <row r="667" spans="4:8" ht="12.75" customHeight="1">
      <c r="D667" s="1071"/>
      <c r="E667" s="1070"/>
      <c r="F667" s="1070"/>
      <c r="G667" s="1070"/>
      <c r="H667" s="1070"/>
    </row>
    <row r="668" spans="4:8" ht="12.75" customHeight="1">
      <c r="D668" s="1071"/>
      <c r="E668" s="1070"/>
      <c r="F668" s="1070"/>
      <c r="G668" s="1070"/>
      <c r="H668" s="1070"/>
    </row>
    <row r="669" spans="4:8" ht="12.75" customHeight="1">
      <c r="D669" s="1071"/>
      <c r="E669" s="1070"/>
      <c r="F669" s="1070"/>
      <c r="G669" s="1070"/>
      <c r="H669" s="1070"/>
    </row>
    <row r="670" spans="4:8" ht="12.75" customHeight="1">
      <c r="D670" s="1071"/>
      <c r="E670" s="1070"/>
      <c r="F670" s="1070"/>
      <c r="G670" s="1070"/>
      <c r="H670" s="1070"/>
    </row>
    <row r="671" spans="4:8" ht="12.75" customHeight="1">
      <c r="D671" s="1071"/>
      <c r="E671" s="1070"/>
      <c r="F671" s="1070"/>
      <c r="G671" s="1070"/>
      <c r="H671" s="1070"/>
    </row>
    <row r="672" spans="4:8" ht="12.75" customHeight="1">
      <c r="D672" s="1071"/>
      <c r="E672" s="1070"/>
      <c r="F672" s="1070"/>
      <c r="G672" s="1070"/>
      <c r="H672" s="1070"/>
    </row>
    <row r="673" spans="4:8" ht="12.75" customHeight="1">
      <c r="D673" s="1071"/>
      <c r="E673" s="1070"/>
      <c r="F673" s="1070"/>
      <c r="G673" s="1070"/>
      <c r="H673" s="1070"/>
    </row>
    <row r="674" spans="4:8" ht="12.75" customHeight="1">
      <c r="D674" s="1071"/>
      <c r="E674" s="1070"/>
      <c r="F674" s="1070"/>
      <c r="G674" s="1070"/>
      <c r="H674" s="1070"/>
    </row>
    <row r="675" spans="4:8" ht="12.75" customHeight="1">
      <c r="D675" s="1071"/>
      <c r="E675" s="1070"/>
      <c r="F675" s="1070"/>
      <c r="G675" s="1070"/>
      <c r="H675" s="1070"/>
    </row>
    <row r="676" spans="4:8" ht="12.75" customHeight="1">
      <c r="D676" s="1071"/>
      <c r="E676" s="1070"/>
      <c r="F676" s="1070"/>
      <c r="G676" s="1070"/>
      <c r="H676" s="1070"/>
    </row>
    <row r="677" spans="4:8" ht="12.75" customHeight="1">
      <c r="D677" s="1071"/>
      <c r="E677" s="1070"/>
      <c r="F677" s="1070"/>
      <c r="G677" s="1070"/>
      <c r="H677" s="1070"/>
    </row>
    <row r="678" spans="4:8" ht="12.75" customHeight="1">
      <c r="D678" s="1071"/>
      <c r="E678" s="1070"/>
      <c r="F678" s="1070"/>
      <c r="G678" s="1070"/>
      <c r="H678" s="1070"/>
    </row>
    <row r="679" spans="4:8" ht="12.75" customHeight="1">
      <c r="D679" s="1071"/>
      <c r="E679" s="1070"/>
      <c r="F679" s="1070"/>
      <c r="G679" s="1070"/>
      <c r="H679" s="1070"/>
    </row>
    <row r="680" spans="4:8" ht="12.75" customHeight="1">
      <c r="D680" s="1071"/>
      <c r="E680" s="1070"/>
      <c r="F680" s="1070"/>
      <c r="G680" s="1070"/>
      <c r="H680" s="1070"/>
    </row>
    <row r="681" spans="4:8" ht="12.75" customHeight="1">
      <c r="D681" s="1071"/>
      <c r="E681" s="1070"/>
      <c r="F681" s="1070"/>
      <c r="G681" s="1070"/>
      <c r="H681" s="1070"/>
    </row>
    <row r="682" spans="4:8" ht="12.75" customHeight="1">
      <c r="D682" s="1071"/>
      <c r="E682" s="1070"/>
      <c r="F682" s="1070"/>
      <c r="G682" s="1070"/>
      <c r="H682" s="1070"/>
    </row>
    <row r="683" spans="4:8" ht="12.75" customHeight="1">
      <c r="D683" s="1071"/>
      <c r="E683" s="1070"/>
      <c r="F683" s="1070"/>
      <c r="G683" s="1070"/>
      <c r="H683" s="1070"/>
    </row>
    <row r="684" spans="4:8" ht="12.75" customHeight="1">
      <c r="D684" s="1071"/>
      <c r="E684" s="1070"/>
      <c r="F684" s="1070"/>
      <c r="G684" s="1070"/>
      <c r="H684" s="1070"/>
    </row>
    <row r="685" spans="4:8" ht="12.75" customHeight="1">
      <c r="D685" s="1071"/>
      <c r="E685" s="1070"/>
      <c r="F685" s="1070"/>
      <c r="G685" s="1070"/>
      <c r="H685" s="1070"/>
    </row>
    <row r="686" spans="4:8" ht="12.75" customHeight="1">
      <c r="D686" s="1071"/>
      <c r="E686" s="1070"/>
      <c r="F686" s="1070"/>
      <c r="G686" s="1070"/>
      <c r="H686" s="1070"/>
    </row>
    <row r="687" spans="4:8" ht="12.75" customHeight="1">
      <c r="D687" s="1071"/>
      <c r="E687" s="1070"/>
      <c r="F687" s="1070"/>
      <c r="G687" s="1070"/>
      <c r="H687" s="1070"/>
    </row>
    <row r="688" spans="4:8" ht="12.75" customHeight="1">
      <c r="D688" s="1071"/>
      <c r="E688" s="1070"/>
      <c r="F688" s="1070"/>
      <c r="G688" s="1070"/>
      <c r="H688" s="1070"/>
    </row>
    <row r="689" spans="4:8" ht="12.75" customHeight="1">
      <c r="D689" s="1071"/>
      <c r="E689" s="1070"/>
      <c r="F689" s="1070"/>
      <c r="G689" s="1070"/>
      <c r="H689" s="1070"/>
    </row>
    <row r="690" spans="4:8" ht="12.75" customHeight="1">
      <c r="D690" s="1071"/>
      <c r="E690" s="1070"/>
      <c r="F690" s="1070"/>
      <c r="G690" s="1070"/>
      <c r="H690" s="1070"/>
    </row>
    <row r="691" spans="4:8" ht="12.75" customHeight="1">
      <c r="D691" s="1071"/>
      <c r="E691" s="1070"/>
      <c r="F691" s="1070"/>
      <c r="G691" s="1070"/>
      <c r="H691" s="1070"/>
    </row>
    <row r="692" spans="4:8" ht="12.75" customHeight="1">
      <c r="D692" s="1071"/>
      <c r="E692" s="1070"/>
      <c r="F692" s="1070"/>
      <c r="G692" s="1070"/>
      <c r="H692" s="1070"/>
    </row>
    <row r="693" spans="4:8" ht="12.75" customHeight="1">
      <c r="D693" s="1071"/>
      <c r="E693" s="1070"/>
      <c r="F693" s="1070"/>
      <c r="G693" s="1070"/>
      <c r="H693" s="1070"/>
    </row>
    <row r="694" spans="4:8" ht="12.75" customHeight="1">
      <c r="D694" s="1071"/>
      <c r="E694" s="1070"/>
      <c r="F694" s="1070"/>
      <c r="G694" s="1070"/>
      <c r="H694" s="1070"/>
    </row>
    <row r="695" spans="4:8" ht="12.75" customHeight="1">
      <c r="D695" s="1071"/>
      <c r="E695" s="1070"/>
      <c r="F695" s="1070"/>
      <c r="G695" s="1070"/>
      <c r="H695" s="1070"/>
    </row>
    <row r="696" spans="4:8" ht="12.75" customHeight="1">
      <c r="D696" s="1071"/>
      <c r="E696" s="1070"/>
      <c r="F696" s="1070"/>
      <c r="G696" s="1070"/>
      <c r="H696" s="1070"/>
    </row>
    <row r="697" spans="4:8" ht="12.75" customHeight="1">
      <c r="D697" s="1071"/>
      <c r="E697" s="1070"/>
      <c r="F697" s="1070"/>
      <c r="G697" s="1070"/>
      <c r="H697" s="1070"/>
    </row>
    <row r="698" spans="4:8" ht="12.75" customHeight="1">
      <c r="D698" s="1071"/>
      <c r="E698" s="1070"/>
      <c r="F698" s="1070"/>
      <c r="G698" s="1070"/>
      <c r="H698" s="1070"/>
    </row>
    <row r="699" spans="4:8" ht="12.75" customHeight="1">
      <c r="D699" s="1071"/>
      <c r="E699" s="1070"/>
      <c r="F699" s="1070"/>
      <c r="G699" s="1070"/>
      <c r="H699" s="1070"/>
    </row>
    <row r="700" spans="4:8" ht="12.75" customHeight="1">
      <c r="D700" s="1071"/>
      <c r="E700" s="1070"/>
      <c r="F700" s="1070"/>
      <c r="G700" s="1070"/>
      <c r="H700" s="1070"/>
    </row>
    <row r="701" spans="4:8" ht="12.75" customHeight="1">
      <c r="D701" s="1071"/>
      <c r="E701" s="1070"/>
      <c r="F701" s="1070"/>
      <c r="G701" s="1070"/>
      <c r="H701" s="1070"/>
    </row>
    <row r="702" spans="4:8" ht="12.75" customHeight="1">
      <c r="D702" s="1071"/>
      <c r="E702" s="1070"/>
      <c r="F702" s="1070"/>
      <c r="G702" s="1070"/>
      <c r="H702" s="1070"/>
    </row>
    <row r="703" spans="4:8" ht="12.75" customHeight="1">
      <c r="D703" s="1071"/>
      <c r="E703" s="1070"/>
      <c r="F703" s="1070"/>
      <c r="G703" s="1070"/>
      <c r="H703" s="1070"/>
    </row>
    <row r="704" spans="4:8" ht="12.75" customHeight="1">
      <c r="D704" s="1071"/>
      <c r="E704" s="1070"/>
      <c r="F704" s="1070"/>
      <c r="G704" s="1070"/>
      <c r="H704" s="1070"/>
    </row>
    <row r="705" spans="4:8" ht="12.75" customHeight="1">
      <c r="D705" s="1071"/>
      <c r="E705" s="1070"/>
      <c r="F705" s="1070"/>
      <c r="G705" s="1070"/>
      <c r="H705" s="1070"/>
    </row>
    <row r="706" spans="4:8" ht="12.75" customHeight="1">
      <c r="D706" s="1071"/>
      <c r="E706" s="1070"/>
      <c r="F706" s="1070"/>
      <c r="G706" s="1070"/>
      <c r="H706" s="1070"/>
    </row>
    <row r="707" spans="4:8" ht="12.75" customHeight="1">
      <c r="D707" s="1071"/>
      <c r="E707" s="1070"/>
      <c r="F707" s="1070"/>
      <c r="G707" s="1070"/>
      <c r="H707" s="1070"/>
    </row>
    <row r="708" spans="4:8" ht="12.75" customHeight="1">
      <c r="D708" s="1071"/>
      <c r="E708" s="1070"/>
      <c r="F708" s="1070"/>
      <c r="G708" s="1070"/>
      <c r="H708" s="1070"/>
    </row>
    <row r="709" spans="4:8" ht="12.75" customHeight="1">
      <c r="D709" s="1071"/>
      <c r="E709" s="1070"/>
      <c r="F709" s="1070"/>
      <c r="G709" s="1070"/>
      <c r="H709" s="1070"/>
    </row>
    <row r="710" spans="4:8" ht="12.75" customHeight="1">
      <c r="D710" s="1071"/>
      <c r="E710" s="1070"/>
      <c r="F710" s="1070"/>
      <c r="G710" s="1070"/>
      <c r="H710" s="1070"/>
    </row>
    <row r="711" spans="4:8" ht="12.75" customHeight="1">
      <c r="D711" s="1071"/>
      <c r="E711" s="1070"/>
      <c r="F711" s="1070"/>
      <c r="G711" s="1070"/>
      <c r="H711" s="1070"/>
    </row>
    <row r="712" spans="4:8" ht="12.75" customHeight="1">
      <c r="D712" s="1071"/>
      <c r="E712" s="1070"/>
      <c r="F712" s="1070"/>
      <c r="G712" s="1070"/>
      <c r="H712" s="1070"/>
    </row>
    <row r="713" spans="4:8" ht="12.75" customHeight="1">
      <c r="D713" s="1071"/>
      <c r="E713" s="1070"/>
      <c r="F713" s="1070"/>
      <c r="G713" s="1070"/>
      <c r="H713" s="1070"/>
    </row>
    <row r="714" spans="4:8" ht="12.75" customHeight="1">
      <c r="D714" s="1071"/>
      <c r="E714" s="1070"/>
      <c r="F714" s="1070"/>
      <c r="G714" s="1070"/>
      <c r="H714" s="1070"/>
    </row>
    <row r="715" spans="4:8" ht="12.75" customHeight="1">
      <c r="D715" s="1071"/>
      <c r="E715" s="1070"/>
      <c r="F715" s="1070"/>
      <c r="G715" s="1070"/>
      <c r="H715" s="1070"/>
    </row>
    <row r="716" spans="4:8" ht="12.75" customHeight="1">
      <c r="D716" s="1071"/>
      <c r="E716" s="1070"/>
      <c r="F716" s="1070"/>
      <c r="G716" s="1070"/>
      <c r="H716" s="1070"/>
    </row>
    <row r="717" spans="4:8" ht="12.75" customHeight="1">
      <c r="D717" s="1071"/>
      <c r="E717" s="1070"/>
      <c r="F717" s="1070"/>
      <c r="G717" s="1070"/>
      <c r="H717" s="1070"/>
    </row>
    <row r="718" spans="4:8" ht="12.75" customHeight="1">
      <c r="D718" s="1071"/>
      <c r="E718" s="1070"/>
      <c r="F718" s="1070"/>
      <c r="G718" s="1070"/>
      <c r="H718" s="1070"/>
    </row>
    <row r="719" spans="4:8" ht="12.75" customHeight="1">
      <c r="D719" s="1071"/>
      <c r="E719" s="1070"/>
      <c r="F719" s="1070"/>
      <c r="G719" s="1070"/>
      <c r="H719" s="1070"/>
    </row>
    <row r="720" spans="4:8" ht="12.75" customHeight="1">
      <c r="D720" s="1071"/>
      <c r="E720" s="1070"/>
      <c r="F720" s="1070"/>
      <c r="G720" s="1070"/>
      <c r="H720" s="1070"/>
    </row>
    <row r="721" spans="4:8" ht="12.75" customHeight="1">
      <c r="D721" s="1071"/>
      <c r="E721" s="1070"/>
      <c r="F721" s="1070"/>
      <c r="G721" s="1070"/>
      <c r="H721" s="1070"/>
    </row>
    <row r="722" spans="4:8" ht="12.75" customHeight="1">
      <c r="D722" s="1071"/>
      <c r="E722" s="1070"/>
      <c r="F722" s="1070"/>
      <c r="G722" s="1070"/>
      <c r="H722" s="1070"/>
    </row>
    <row r="723" spans="4:8" ht="12.75" customHeight="1">
      <c r="D723" s="1071"/>
      <c r="E723" s="1070"/>
      <c r="F723" s="1070"/>
      <c r="G723" s="1070"/>
      <c r="H723" s="1070"/>
    </row>
    <row r="724" spans="4:8" ht="12.75" customHeight="1">
      <c r="D724" s="1071"/>
      <c r="E724" s="1070"/>
      <c r="F724" s="1070"/>
      <c r="G724" s="1070"/>
      <c r="H724" s="1070"/>
    </row>
    <row r="725" spans="4:8" ht="12.75" customHeight="1">
      <c r="D725" s="1071"/>
      <c r="E725" s="1070"/>
      <c r="F725" s="1070"/>
      <c r="G725" s="1070"/>
      <c r="H725" s="1070"/>
    </row>
    <row r="726" spans="4:8" ht="12.75" customHeight="1">
      <c r="D726" s="1071"/>
      <c r="E726" s="1070"/>
      <c r="F726" s="1070"/>
      <c r="G726" s="1070"/>
      <c r="H726" s="1070"/>
    </row>
    <row r="727" spans="4:8" ht="12.75" customHeight="1">
      <c r="D727" s="1071"/>
      <c r="E727" s="1070"/>
      <c r="F727" s="1070"/>
      <c r="G727" s="1070"/>
      <c r="H727" s="1070"/>
    </row>
    <row r="728" spans="4:8" ht="12.75" customHeight="1">
      <c r="D728" s="1071"/>
      <c r="E728" s="1070"/>
      <c r="F728" s="1070"/>
      <c r="G728" s="1070"/>
      <c r="H728" s="1070"/>
    </row>
    <row r="729" spans="4:8" ht="12.75" customHeight="1">
      <c r="D729" s="1071"/>
      <c r="E729" s="1070"/>
      <c r="F729" s="1070"/>
      <c r="G729" s="1070"/>
      <c r="H729" s="1070"/>
    </row>
    <row r="730" spans="4:8" ht="12.75" customHeight="1">
      <c r="D730" s="1071"/>
      <c r="E730" s="1070"/>
      <c r="F730" s="1070"/>
      <c r="G730" s="1070"/>
      <c r="H730" s="1070"/>
    </row>
    <row r="731" spans="4:8" ht="12.75" customHeight="1">
      <c r="D731" s="1071"/>
      <c r="E731" s="1070"/>
      <c r="F731" s="1070"/>
      <c r="G731" s="1070"/>
      <c r="H731" s="1070"/>
    </row>
    <row r="732" spans="4:8" ht="12.75" customHeight="1">
      <c r="D732" s="1071"/>
      <c r="E732" s="1070"/>
      <c r="F732" s="1070"/>
      <c r="G732" s="1070"/>
      <c r="H732" s="1070"/>
    </row>
    <row r="733" spans="4:8" ht="12.75" customHeight="1">
      <c r="D733" s="1071"/>
      <c r="E733" s="1070"/>
      <c r="F733" s="1070"/>
      <c r="G733" s="1070"/>
      <c r="H733" s="1070"/>
    </row>
    <row r="734" spans="4:8" ht="12.75" customHeight="1">
      <c r="D734" s="1071"/>
      <c r="E734" s="1070"/>
      <c r="F734" s="1070"/>
      <c r="G734" s="1070"/>
      <c r="H734" s="1070"/>
    </row>
    <row r="735" spans="4:8" ht="12.75" customHeight="1">
      <c r="D735" s="1071"/>
      <c r="E735" s="1070"/>
      <c r="F735" s="1070"/>
      <c r="G735" s="1070"/>
      <c r="H735" s="1070"/>
    </row>
    <row r="736" spans="4:8" ht="12.75" customHeight="1">
      <c r="D736" s="1071"/>
      <c r="E736" s="1070"/>
      <c r="F736" s="1070"/>
      <c r="G736" s="1070"/>
      <c r="H736" s="1070"/>
    </row>
    <row r="737" spans="4:8" ht="12.75" customHeight="1">
      <c r="D737" s="1071"/>
      <c r="E737" s="1070"/>
      <c r="F737" s="1070"/>
      <c r="G737" s="1070"/>
      <c r="H737" s="1070"/>
    </row>
    <row r="738" spans="4:8" ht="12.75" customHeight="1">
      <c r="D738" s="1071"/>
      <c r="E738" s="1070"/>
      <c r="F738" s="1070"/>
      <c r="G738" s="1070"/>
      <c r="H738" s="1070"/>
    </row>
    <row r="739" spans="4:8" ht="12.75" customHeight="1">
      <c r="D739" s="1071"/>
      <c r="E739" s="1070"/>
      <c r="F739" s="1070"/>
      <c r="G739" s="1070"/>
      <c r="H739" s="1070"/>
    </row>
    <row r="740" spans="4:8" ht="12.75" customHeight="1">
      <c r="D740" s="1071"/>
      <c r="E740" s="1070"/>
      <c r="F740" s="1070"/>
      <c r="G740" s="1070"/>
      <c r="H740" s="1070"/>
    </row>
    <row r="741" spans="4:8" ht="12.75" customHeight="1">
      <c r="D741" s="1071"/>
      <c r="E741" s="1070"/>
      <c r="F741" s="1070"/>
      <c r="G741" s="1070"/>
      <c r="H741" s="1070"/>
    </row>
    <row r="742" spans="4:8" ht="12.75" customHeight="1">
      <c r="D742" s="1071"/>
      <c r="E742" s="1070"/>
      <c r="F742" s="1070"/>
      <c r="G742" s="1070"/>
      <c r="H742" s="1070"/>
    </row>
    <row r="743" spans="4:8" ht="13.5" customHeight="1">
      <c r="D743" s="1071"/>
      <c r="E743" s="1070"/>
      <c r="F743" s="1070"/>
      <c r="G743" s="1070"/>
      <c r="H743" s="1070"/>
    </row>
    <row r="744" spans="4:8" ht="12.75" customHeight="1">
      <c r="D744" s="1071"/>
      <c r="E744" s="1070"/>
      <c r="F744" s="1070"/>
      <c r="G744" s="1070"/>
      <c r="H744" s="1070"/>
    </row>
    <row r="745" spans="4:8" ht="12.75" customHeight="1">
      <c r="D745" s="1071"/>
      <c r="E745" s="1070"/>
      <c r="F745" s="1070"/>
      <c r="G745" s="1070"/>
      <c r="H745" s="1070"/>
    </row>
    <row r="746" spans="4:8" ht="12.75" customHeight="1">
      <c r="D746" s="1071"/>
      <c r="E746" s="1070"/>
      <c r="F746" s="1070"/>
      <c r="G746" s="1070"/>
      <c r="H746" s="1070"/>
    </row>
    <row r="747" spans="4:8" ht="12.75" customHeight="1">
      <c r="D747" s="1071"/>
      <c r="E747" s="1070"/>
      <c r="F747" s="1070"/>
      <c r="G747" s="1070"/>
      <c r="H747" s="1070"/>
    </row>
    <row r="748" spans="4:8" ht="12.75" customHeight="1">
      <c r="D748" s="1071"/>
      <c r="E748" s="1070"/>
      <c r="F748" s="1070"/>
      <c r="G748" s="1070"/>
      <c r="H748" s="1070"/>
    </row>
    <row r="749" spans="4:8" ht="12.75" customHeight="1">
      <c r="D749" s="1071"/>
      <c r="E749" s="1070"/>
      <c r="F749" s="1070"/>
      <c r="G749" s="1070"/>
      <c r="H749" s="1070"/>
    </row>
    <row r="750" spans="4:8" ht="12.75" customHeight="1">
      <c r="D750" s="1071"/>
      <c r="E750" s="1070"/>
      <c r="F750" s="1070"/>
      <c r="G750" s="1070"/>
      <c r="H750" s="1070"/>
    </row>
    <row r="751" spans="4:8" ht="12.75" customHeight="1">
      <c r="D751" s="1071"/>
      <c r="E751" s="1070"/>
      <c r="F751" s="1070"/>
      <c r="G751" s="1070"/>
      <c r="H751" s="1070"/>
    </row>
    <row r="752" spans="4:8" ht="12.75" customHeight="1">
      <c r="D752" s="1071"/>
      <c r="E752" s="1070"/>
      <c r="F752" s="1070"/>
      <c r="G752" s="1070"/>
      <c r="H752" s="1070"/>
    </row>
    <row r="753" spans="4:8" ht="12.75" customHeight="1">
      <c r="D753" s="1071"/>
      <c r="E753" s="1070"/>
      <c r="F753" s="1070"/>
      <c r="G753" s="1070"/>
      <c r="H753" s="1070"/>
    </row>
    <row r="754" spans="4:8" ht="12.75" customHeight="1">
      <c r="D754" s="1071"/>
      <c r="E754" s="1070"/>
      <c r="F754" s="1070"/>
      <c r="G754" s="1070"/>
      <c r="H754" s="1070"/>
    </row>
    <row r="755" spans="4:8" ht="12.75" customHeight="1">
      <c r="D755" s="1071"/>
      <c r="E755" s="1070"/>
      <c r="F755" s="1070"/>
      <c r="G755" s="1070"/>
      <c r="H755" s="1070"/>
    </row>
    <row r="756" spans="4:8" ht="12.75" customHeight="1">
      <c r="D756" s="1071"/>
      <c r="E756" s="1070"/>
      <c r="F756" s="1070"/>
      <c r="G756" s="1070"/>
      <c r="H756" s="1070"/>
    </row>
    <row r="757" spans="4:8" ht="12.75" customHeight="1">
      <c r="D757" s="1071"/>
      <c r="E757" s="1070"/>
      <c r="F757" s="1070"/>
      <c r="G757" s="1070"/>
      <c r="H757" s="1070"/>
    </row>
    <row r="758" spans="4:8" ht="12.75" customHeight="1">
      <c r="D758" s="1071"/>
      <c r="E758" s="1070"/>
      <c r="F758" s="1070"/>
      <c r="G758" s="1070"/>
      <c r="H758" s="1070"/>
    </row>
    <row r="759" spans="4:8" ht="12.75" customHeight="1">
      <c r="D759" s="1071"/>
      <c r="E759" s="1070"/>
      <c r="F759" s="1070"/>
      <c r="G759" s="1070"/>
      <c r="H759" s="1070"/>
    </row>
    <row r="760" spans="4:8" ht="12.75" customHeight="1">
      <c r="D760" s="1071"/>
      <c r="E760" s="1070"/>
      <c r="F760" s="1070"/>
      <c r="G760" s="1070"/>
      <c r="H760" s="1070"/>
    </row>
    <row r="761" spans="4:8" ht="12.75" customHeight="1">
      <c r="D761" s="1071"/>
      <c r="E761" s="1070"/>
      <c r="F761" s="1070"/>
      <c r="G761" s="1070"/>
      <c r="H761" s="1070"/>
    </row>
    <row r="762" spans="4:8" ht="12.75" customHeight="1">
      <c r="D762" s="1071"/>
      <c r="E762" s="1070"/>
      <c r="F762" s="1070"/>
      <c r="G762" s="1070"/>
      <c r="H762" s="1070"/>
    </row>
    <row r="763" spans="4:8" ht="12.75" customHeight="1">
      <c r="D763" s="1071"/>
      <c r="E763" s="1070"/>
      <c r="F763" s="1070"/>
      <c r="G763" s="1070"/>
      <c r="H763" s="1070"/>
    </row>
    <row r="764" spans="4:8" ht="12.75" customHeight="1">
      <c r="D764" s="1071"/>
      <c r="E764" s="1070"/>
      <c r="F764" s="1070"/>
      <c r="G764" s="1070"/>
      <c r="H764" s="1070"/>
    </row>
    <row r="765" spans="4:8" ht="12.75" customHeight="1">
      <c r="D765" s="1071"/>
      <c r="E765" s="1070"/>
      <c r="F765" s="1070"/>
      <c r="G765" s="1070"/>
      <c r="H765" s="1070"/>
    </row>
    <row r="766" spans="4:8" ht="12.75" customHeight="1">
      <c r="D766" s="1071"/>
      <c r="E766" s="1070"/>
      <c r="F766" s="1070"/>
      <c r="G766" s="1070"/>
      <c r="H766" s="1070"/>
    </row>
    <row r="767" spans="4:8" ht="12.75" customHeight="1">
      <c r="D767" s="1071"/>
      <c r="E767" s="1070"/>
      <c r="F767" s="1070"/>
      <c r="G767" s="1070"/>
      <c r="H767" s="1070"/>
    </row>
    <row r="768" spans="4:8" ht="12.75" customHeight="1">
      <c r="D768" s="1071"/>
      <c r="E768" s="1070"/>
      <c r="F768" s="1070"/>
      <c r="G768" s="1070"/>
      <c r="H768" s="1070"/>
    </row>
    <row r="769" spans="4:30" ht="12.75" customHeight="1">
      <c r="D769" s="1071"/>
      <c r="E769" s="1070"/>
      <c r="F769" s="1070"/>
      <c r="G769" s="1070"/>
      <c r="H769" s="1070"/>
      <c r="I769" s="1020"/>
      <c r="J769" s="1020"/>
      <c r="K769" s="1020"/>
      <c r="L769" s="1066"/>
      <c r="M769" s="1020"/>
      <c r="N769" s="1020"/>
      <c r="O769" s="1020"/>
      <c r="P769" s="1020"/>
      <c r="Q769" s="1020"/>
      <c r="R769" s="1020"/>
      <c r="S769" s="1020"/>
      <c r="T769" s="1036"/>
      <c r="U769" s="1036"/>
      <c r="V769" s="1020"/>
      <c r="W769" s="1020"/>
      <c r="X769" s="1020"/>
      <c r="Y769" s="1020"/>
      <c r="Z769" s="1020"/>
      <c r="AA769" s="1020"/>
      <c r="AB769" s="1020"/>
      <c r="AC769" s="1020"/>
      <c r="AD769" s="1020"/>
    </row>
    <row r="770" spans="4:30" ht="12.75" customHeight="1">
      <c r="D770" s="1071"/>
      <c r="E770" s="1070"/>
      <c r="F770" s="1070"/>
      <c r="G770" s="1070"/>
      <c r="H770" s="1070"/>
      <c r="I770" s="1020"/>
      <c r="J770" s="1020"/>
      <c r="K770" s="1020"/>
      <c r="L770" s="1066"/>
      <c r="M770" s="1020"/>
      <c r="N770" s="1020"/>
      <c r="O770" s="1020"/>
      <c r="P770" s="1020"/>
      <c r="Q770" s="1020"/>
      <c r="R770" s="1020"/>
      <c r="S770" s="1020"/>
      <c r="T770" s="1036"/>
      <c r="U770" s="1036"/>
      <c r="V770" s="1020"/>
      <c r="W770" s="1020"/>
      <c r="X770" s="1020"/>
      <c r="Y770" s="1020"/>
      <c r="Z770" s="1020"/>
      <c r="AA770" s="1020"/>
      <c r="AB770" s="1020"/>
      <c r="AC770" s="1020"/>
      <c r="AD770" s="1020">
        <v>1</v>
      </c>
    </row>
    <row r="771" spans="4:30" ht="12.75" customHeight="1">
      <c r="D771" s="1071"/>
      <c r="E771" s="1070"/>
      <c r="F771" s="1070"/>
      <c r="G771" s="1070"/>
      <c r="H771" s="1070"/>
      <c r="I771" s="1020"/>
      <c r="J771" s="1020"/>
      <c r="K771" s="1020"/>
      <c r="L771" s="1066"/>
      <c r="M771" s="1020"/>
      <c r="N771" s="1020"/>
      <c r="O771" s="1020"/>
      <c r="P771" s="1020"/>
      <c r="Q771" s="1020"/>
      <c r="R771" s="1020"/>
      <c r="S771" s="1020"/>
      <c r="T771" s="1036"/>
      <c r="U771" s="1036"/>
      <c r="V771" s="1020"/>
      <c r="W771" s="1020"/>
      <c r="X771" s="1020"/>
      <c r="Y771" s="1020"/>
      <c r="Z771" s="1020"/>
      <c r="AA771" s="1020"/>
      <c r="AB771" s="1020"/>
      <c r="AC771" s="1020"/>
      <c r="AD771" s="1020"/>
    </row>
    <row r="772" spans="4:30" ht="12.75" customHeight="1">
      <c r="D772" s="1071"/>
      <c r="E772" s="1070"/>
      <c r="F772" s="1070"/>
      <c r="G772" s="1070"/>
      <c r="H772" s="1070"/>
      <c r="I772" s="1020"/>
      <c r="J772" s="1020"/>
      <c r="K772" s="1020"/>
      <c r="L772" s="1066"/>
      <c r="M772" s="1020"/>
      <c r="N772" s="1020"/>
      <c r="O772" s="1020"/>
      <c r="P772" s="1020"/>
      <c r="Q772" s="1020"/>
      <c r="R772" s="1020"/>
      <c r="S772" s="1020"/>
      <c r="T772" s="1036"/>
      <c r="U772" s="1036"/>
      <c r="V772" s="1020"/>
      <c r="W772" s="1020"/>
      <c r="X772" s="1020"/>
      <c r="Y772" s="1020"/>
      <c r="Z772" s="1020"/>
      <c r="AA772" s="1020"/>
      <c r="AB772" s="1020"/>
      <c r="AC772" s="1020"/>
      <c r="AD772" s="1020"/>
    </row>
    <row r="773" spans="4:30" ht="12.75" customHeight="1">
      <c r="D773" s="1071"/>
      <c r="E773" s="1070"/>
      <c r="F773" s="1070"/>
      <c r="G773" s="1070"/>
      <c r="H773" s="1070"/>
      <c r="I773" s="1020"/>
      <c r="J773" s="1020"/>
      <c r="K773" s="1020"/>
      <c r="L773" s="1066"/>
      <c r="M773" s="1020"/>
      <c r="N773" s="1020"/>
      <c r="O773" s="1020"/>
      <c r="P773" s="1020"/>
      <c r="Q773" s="1020"/>
      <c r="R773" s="1020"/>
      <c r="S773" s="1020"/>
      <c r="T773" s="1036"/>
      <c r="U773" s="1036"/>
      <c r="V773" s="1020"/>
      <c r="W773" s="1020"/>
      <c r="X773" s="1020"/>
      <c r="Y773" s="1020"/>
      <c r="Z773" s="1020"/>
      <c r="AA773" s="1020"/>
      <c r="AB773" s="1020"/>
      <c r="AC773" s="1020"/>
      <c r="AD773" s="1020"/>
    </row>
    <row r="774" spans="4:30" ht="12.75" customHeight="1">
      <c r="D774" s="1071"/>
      <c r="E774" s="1070"/>
      <c r="F774" s="1070"/>
      <c r="G774" s="1070"/>
      <c r="H774" s="1070"/>
      <c r="I774" s="1020"/>
      <c r="J774" s="1020"/>
      <c r="K774" s="1020"/>
      <c r="L774" s="1066"/>
      <c r="M774" s="1020"/>
      <c r="N774" s="1020"/>
      <c r="O774" s="1020"/>
      <c r="P774" s="1020"/>
      <c r="Q774" s="1020"/>
      <c r="R774" s="1020"/>
      <c r="S774" s="1020"/>
      <c r="T774" s="1036"/>
      <c r="U774" s="1036"/>
      <c r="V774" s="1020"/>
      <c r="W774" s="1020"/>
      <c r="X774" s="1020"/>
      <c r="Y774" s="1020"/>
      <c r="Z774" s="1020"/>
      <c r="AA774" s="1020"/>
      <c r="AB774" s="1020"/>
      <c r="AC774" s="1020"/>
      <c r="AD774" s="1020"/>
    </row>
    <row r="775" spans="4:30" ht="12.75" customHeight="1">
      <c r="D775" s="1071"/>
      <c r="E775" s="1070"/>
      <c r="F775" s="1070"/>
      <c r="G775" s="1070"/>
      <c r="H775" s="1070"/>
      <c r="I775" s="1020"/>
      <c r="J775" s="1020"/>
      <c r="K775" s="1020"/>
      <c r="L775" s="1066"/>
      <c r="M775" s="1020"/>
      <c r="N775" s="1020"/>
      <c r="O775" s="1020"/>
      <c r="P775" s="1020"/>
      <c r="Q775" s="1020"/>
      <c r="R775" s="1020"/>
      <c r="S775" s="1020"/>
      <c r="T775" s="1036"/>
      <c r="U775" s="1036"/>
      <c r="V775" s="1020"/>
      <c r="W775" s="1020"/>
      <c r="X775" s="1020"/>
      <c r="Y775" s="1020"/>
      <c r="Z775" s="1020"/>
      <c r="AA775" s="1020"/>
      <c r="AB775" s="1020"/>
      <c r="AC775" s="1020"/>
      <c r="AD775" s="1020"/>
    </row>
    <row r="776" spans="4:30" ht="12.75" customHeight="1">
      <c r="D776" s="1071"/>
      <c r="E776" s="1070"/>
      <c r="F776" s="1070"/>
      <c r="G776" s="1070"/>
      <c r="H776" s="1070"/>
      <c r="I776" s="1020"/>
      <c r="J776" s="1020"/>
      <c r="K776" s="1020"/>
      <c r="L776" s="1066"/>
      <c r="M776" s="1020"/>
      <c r="N776" s="1020"/>
      <c r="O776" s="1020"/>
      <c r="P776" s="1020"/>
      <c r="Q776" s="1020"/>
      <c r="R776" s="1020"/>
      <c r="S776" s="1020"/>
      <c r="T776" s="1036"/>
      <c r="U776" s="1036"/>
      <c r="V776" s="1020"/>
      <c r="W776" s="1020"/>
      <c r="X776" s="1020"/>
      <c r="Y776" s="1020"/>
      <c r="Z776" s="1020"/>
      <c r="AA776" s="1020"/>
      <c r="AB776" s="1020"/>
      <c r="AC776" s="1020"/>
      <c r="AD776" s="1020"/>
    </row>
    <row r="777" spans="4:30" ht="12.75" customHeight="1">
      <c r="D777" s="1071"/>
      <c r="E777" s="1070"/>
      <c r="F777" s="1070"/>
      <c r="G777" s="1070"/>
      <c r="H777" s="1070"/>
      <c r="I777" s="1020"/>
      <c r="J777" s="1020"/>
      <c r="K777" s="1020"/>
      <c r="L777" s="1066"/>
      <c r="M777" s="1020"/>
      <c r="N777" s="1020"/>
      <c r="O777" s="1020"/>
      <c r="P777" s="1020"/>
      <c r="Q777" s="1020"/>
      <c r="R777" s="1020"/>
      <c r="S777" s="1020"/>
      <c r="T777" s="1036"/>
      <c r="U777" s="1036"/>
      <c r="V777" s="1020"/>
      <c r="W777" s="1020"/>
      <c r="X777" s="1020"/>
      <c r="Y777" s="1020"/>
      <c r="Z777" s="1020"/>
      <c r="AA777" s="1020"/>
      <c r="AB777" s="1020"/>
      <c r="AC777" s="1020"/>
      <c r="AD777" s="1020"/>
    </row>
    <row r="778" spans="4:30" ht="12.75" customHeight="1">
      <c r="D778" s="1071"/>
      <c r="E778" s="1070"/>
      <c r="F778" s="1070"/>
      <c r="G778" s="1070"/>
      <c r="H778" s="1070"/>
      <c r="I778" s="1020"/>
      <c r="J778" s="1020"/>
      <c r="K778" s="1020"/>
      <c r="L778" s="1066"/>
      <c r="M778" s="1020"/>
      <c r="N778" s="1020"/>
      <c r="O778" s="1020"/>
      <c r="P778" s="1020"/>
      <c r="Q778" s="1020"/>
      <c r="R778" s="1020"/>
      <c r="S778" s="1020"/>
      <c r="T778" s="1036"/>
      <c r="U778" s="1036"/>
      <c r="V778" s="1020"/>
      <c r="W778" s="1020"/>
      <c r="X778" s="1020"/>
      <c r="Y778" s="1020"/>
      <c r="Z778" s="1020"/>
      <c r="AA778" s="1020"/>
      <c r="AB778" s="1020"/>
      <c r="AC778" s="1020"/>
      <c r="AD778" s="1020"/>
    </row>
    <row r="779" spans="4:30" ht="12.75" customHeight="1">
      <c r="D779" s="1071"/>
      <c r="E779" s="1070"/>
      <c r="F779" s="1070"/>
      <c r="G779" s="1070"/>
      <c r="H779" s="1070"/>
      <c r="I779" s="1020"/>
      <c r="J779" s="1020"/>
      <c r="K779" s="1020"/>
      <c r="L779" s="1066"/>
      <c r="M779" s="1020"/>
      <c r="N779" s="1020"/>
      <c r="O779" s="1020"/>
      <c r="P779" s="1020"/>
      <c r="Q779" s="1020"/>
      <c r="R779" s="1020"/>
      <c r="S779" s="1020"/>
      <c r="T779" s="1036"/>
      <c r="U779" s="1036"/>
      <c r="V779" s="1020"/>
      <c r="W779" s="1020"/>
      <c r="X779" s="1020"/>
      <c r="Y779" s="1020"/>
      <c r="Z779" s="1020"/>
      <c r="AA779" s="1020"/>
      <c r="AB779" s="1020"/>
      <c r="AC779" s="1020"/>
      <c r="AD779" s="1020"/>
    </row>
    <row r="780" spans="4:30" ht="12.75" customHeight="1">
      <c r="D780" s="1071"/>
      <c r="E780" s="1070"/>
      <c r="F780" s="1070"/>
      <c r="G780" s="1070"/>
      <c r="H780" s="1070"/>
      <c r="I780" s="1020"/>
      <c r="J780" s="1020"/>
      <c r="K780" s="1020"/>
      <c r="L780" s="1066"/>
      <c r="M780" s="1020"/>
      <c r="N780" s="1020"/>
      <c r="O780" s="1020"/>
      <c r="P780" s="1020"/>
      <c r="Q780" s="1020"/>
      <c r="R780" s="1020"/>
      <c r="S780" s="1020"/>
      <c r="T780" s="1036"/>
      <c r="U780" s="1036"/>
      <c r="V780" s="1020"/>
      <c r="W780" s="1020"/>
      <c r="X780" s="1020"/>
      <c r="Y780" s="1020"/>
      <c r="Z780" s="1020"/>
      <c r="AA780" s="1020"/>
      <c r="AB780" s="1020"/>
      <c r="AC780" s="1020"/>
      <c r="AD780" s="1020"/>
    </row>
    <row r="781" spans="4:30" ht="12.75" customHeight="1">
      <c r="D781" s="1071"/>
      <c r="E781" s="1070"/>
      <c r="F781" s="1070"/>
      <c r="G781" s="1070"/>
      <c r="H781" s="1070"/>
      <c r="I781" s="1020"/>
      <c r="J781" s="1020"/>
      <c r="K781" s="1020"/>
      <c r="L781" s="1066"/>
      <c r="M781" s="1020"/>
      <c r="N781" s="1020"/>
      <c r="O781" s="1020"/>
      <c r="P781" s="1020"/>
      <c r="Q781" s="1020"/>
      <c r="R781" s="1020"/>
      <c r="S781" s="1020"/>
      <c r="T781" s="1036"/>
      <c r="U781" s="1036"/>
      <c r="V781" s="1020"/>
      <c r="W781" s="1020"/>
      <c r="X781" s="1020"/>
      <c r="Y781" s="1020"/>
      <c r="Z781" s="1020"/>
      <c r="AA781" s="1020"/>
      <c r="AB781" s="1020"/>
      <c r="AC781" s="1020"/>
      <c r="AD781" s="1020"/>
    </row>
    <row r="782" spans="4:30" ht="12.75" customHeight="1">
      <c r="D782" s="1071"/>
      <c r="E782" s="1070"/>
      <c r="F782" s="1070"/>
      <c r="G782" s="1070"/>
      <c r="H782" s="1070"/>
      <c r="I782" s="1020"/>
      <c r="J782" s="1020"/>
      <c r="K782" s="1020"/>
      <c r="L782" s="1066"/>
      <c r="M782" s="1020"/>
      <c r="N782" s="1020"/>
      <c r="O782" s="1020"/>
      <c r="P782" s="1020"/>
      <c r="Q782" s="1020"/>
      <c r="R782" s="1020"/>
      <c r="S782" s="1020"/>
      <c r="T782" s="1036"/>
      <c r="U782" s="1036"/>
      <c r="V782" s="1020"/>
      <c r="W782" s="1020"/>
      <c r="X782" s="1020"/>
      <c r="Y782" s="1020"/>
      <c r="Z782" s="1020"/>
      <c r="AA782" s="1020"/>
      <c r="AB782" s="1020"/>
      <c r="AC782" s="1020"/>
      <c r="AD782" s="1020"/>
    </row>
    <row r="783" spans="4:30" ht="12.75" customHeight="1">
      <c r="D783" s="1071"/>
      <c r="E783" s="1070"/>
      <c r="F783" s="1070"/>
      <c r="G783" s="1070"/>
      <c r="H783" s="1070"/>
      <c r="I783" s="1020"/>
      <c r="J783" s="1020"/>
      <c r="K783" s="1020"/>
      <c r="L783" s="1066"/>
      <c r="M783" s="1020"/>
      <c r="N783" s="1020"/>
      <c r="O783" s="1020"/>
      <c r="P783" s="1020"/>
      <c r="Q783" s="1020"/>
      <c r="R783" s="1020"/>
      <c r="S783" s="1020"/>
      <c r="T783" s="1036"/>
      <c r="U783" s="1036"/>
      <c r="V783" s="1020"/>
      <c r="W783" s="1020"/>
      <c r="X783" s="1020"/>
      <c r="Y783" s="1020"/>
      <c r="Z783" s="1020"/>
      <c r="AA783" s="1020"/>
      <c r="AB783" s="1020"/>
      <c r="AC783" s="1020"/>
      <c r="AD783" s="1020"/>
    </row>
    <row r="784" spans="4:30" ht="12.75" customHeight="1">
      <c r="D784" s="1071"/>
      <c r="E784" s="1070"/>
      <c r="F784" s="1070"/>
      <c r="G784" s="1070"/>
      <c r="H784" s="1070"/>
      <c r="I784" s="1020"/>
      <c r="J784" s="1020"/>
      <c r="K784" s="1020"/>
      <c r="L784" s="1066"/>
      <c r="M784" s="1020"/>
      <c r="N784" s="1020"/>
      <c r="O784" s="1020"/>
      <c r="P784" s="1020"/>
      <c r="Q784" s="1020"/>
      <c r="R784" s="1020"/>
      <c r="S784" s="1020"/>
      <c r="T784" s="1036"/>
      <c r="U784" s="1036"/>
      <c r="V784" s="1020"/>
      <c r="W784" s="1020"/>
      <c r="X784" s="1020"/>
      <c r="Y784" s="1020"/>
      <c r="Z784" s="1020"/>
      <c r="AA784" s="1020"/>
      <c r="AB784" s="1020"/>
      <c r="AC784" s="1020"/>
      <c r="AD784" s="1020"/>
    </row>
    <row r="785" spans="4:31" ht="12.75" customHeight="1">
      <c r="D785" s="1071"/>
      <c r="E785" s="1070"/>
      <c r="F785" s="1070"/>
      <c r="G785" s="1070"/>
      <c r="H785" s="1070"/>
      <c r="I785" s="1020"/>
      <c r="J785" s="1020"/>
      <c r="K785" s="1020"/>
      <c r="L785" s="1066"/>
      <c r="M785" s="1020"/>
      <c r="N785" s="1020"/>
      <c r="O785" s="1020"/>
      <c r="P785" s="1020"/>
      <c r="Q785" s="1020"/>
      <c r="R785" s="1020"/>
      <c r="S785" s="1020"/>
      <c r="T785" s="1036"/>
      <c r="U785" s="1036"/>
      <c r="V785" s="1020"/>
      <c r="W785" s="1020"/>
      <c r="X785" s="1020"/>
      <c r="Y785" s="1020"/>
      <c r="Z785" s="1020"/>
      <c r="AA785" s="1020"/>
      <c r="AB785" s="1020"/>
      <c r="AC785" s="1020"/>
      <c r="AD785" s="1020"/>
      <c r="AE785" s="1020"/>
    </row>
    <row r="786" spans="4:31" ht="12.75" customHeight="1">
      <c r="D786" s="1071"/>
      <c r="E786" s="1070"/>
      <c r="F786" s="1070"/>
      <c r="G786" s="1070"/>
      <c r="H786" s="1070"/>
      <c r="I786" s="1020"/>
      <c r="J786" s="1020"/>
      <c r="K786" s="1020"/>
      <c r="L786" s="1066"/>
      <c r="M786" s="1020"/>
      <c r="N786" s="1020"/>
      <c r="O786" s="1020"/>
      <c r="P786" s="1020"/>
      <c r="Q786" s="1020"/>
      <c r="R786" s="1020"/>
      <c r="S786" s="1020"/>
      <c r="T786" s="1036"/>
      <c r="U786" s="1036"/>
      <c r="V786" s="1020"/>
      <c r="W786" s="1020"/>
      <c r="X786" s="1020"/>
      <c r="Y786" s="1020"/>
      <c r="Z786" s="1020"/>
      <c r="AA786" s="1020"/>
      <c r="AB786" s="1020"/>
      <c r="AC786" s="1020"/>
      <c r="AD786" s="1020"/>
      <c r="AE786" s="1020"/>
    </row>
    <row r="787" spans="4:31" ht="12.75" customHeight="1">
      <c r="D787" s="1071"/>
      <c r="E787" s="1070"/>
      <c r="F787" s="1070"/>
      <c r="G787" s="1070"/>
      <c r="H787" s="1070"/>
      <c r="I787" s="1020"/>
      <c r="J787" s="1020"/>
      <c r="K787" s="1020"/>
      <c r="L787" s="1066"/>
      <c r="M787" s="1020"/>
      <c r="N787" s="1020"/>
      <c r="O787" s="1020"/>
      <c r="P787" s="1020"/>
      <c r="Q787" s="1020"/>
      <c r="R787" s="1020"/>
      <c r="S787" s="1020"/>
      <c r="T787" s="1036"/>
      <c r="U787" s="1036"/>
      <c r="V787" s="1020"/>
      <c r="W787" s="1020"/>
      <c r="X787" s="1020"/>
      <c r="Y787" s="1020"/>
      <c r="Z787" s="1020"/>
      <c r="AA787" s="1020"/>
      <c r="AB787" s="1020"/>
      <c r="AC787" s="1020"/>
      <c r="AD787" s="1020"/>
      <c r="AE787" s="1020"/>
    </row>
    <row r="788" spans="4:31" ht="12.75" customHeight="1">
      <c r="D788" s="1071"/>
      <c r="E788" s="1070"/>
      <c r="F788" s="1070"/>
      <c r="G788" s="1070"/>
      <c r="H788" s="1070"/>
      <c r="I788" s="1020"/>
      <c r="J788" s="1020"/>
      <c r="K788" s="1020"/>
      <c r="L788" s="1066"/>
      <c r="M788" s="1020"/>
      <c r="N788" s="1020"/>
      <c r="O788" s="1020"/>
      <c r="P788" s="1020"/>
      <c r="Q788" s="1020"/>
      <c r="R788" s="1020"/>
      <c r="S788" s="1020"/>
      <c r="T788" s="1036"/>
      <c r="U788" s="1036"/>
      <c r="V788" s="1020"/>
      <c r="W788" s="1020"/>
      <c r="X788" s="1020"/>
      <c r="Y788" s="1020"/>
      <c r="Z788" s="1020"/>
      <c r="AA788" s="1020"/>
      <c r="AB788" s="1020"/>
      <c r="AC788" s="1020"/>
      <c r="AD788" s="1020"/>
      <c r="AE788" s="1020"/>
    </row>
    <row r="789" spans="4:31" ht="12.75" customHeight="1">
      <c r="D789" s="1071"/>
      <c r="E789" s="1070"/>
      <c r="F789" s="1070"/>
      <c r="G789" s="1070"/>
      <c r="H789" s="1070"/>
      <c r="I789" s="1020"/>
      <c r="J789" s="1020"/>
      <c r="K789" s="1020"/>
      <c r="L789" s="1066"/>
      <c r="M789" s="1020"/>
      <c r="N789" s="1020"/>
      <c r="O789" s="1020"/>
      <c r="P789" s="1020"/>
      <c r="Q789" s="1020"/>
      <c r="R789" s="1020"/>
      <c r="S789" s="1020"/>
      <c r="T789" s="1036"/>
      <c r="U789" s="1036"/>
      <c r="V789" s="1020"/>
      <c r="W789" s="1020"/>
      <c r="X789" s="1020"/>
      <c r="Y789" s="1020"/>
      <c r="Z789" s="1020"/>
      <c r="AA789" s="1020"/>
      <c r="AB789" s="1020"/>
      <c r="AC789" s="1020"/>
      <c r="AD789" s="1020"/>
      <c r="AE789" s="1020"/>
    </row>
    <row r="790" spans="4:31" ht="12.75" customHeight="1">
      <c r="D790" s="1071"/>
      <c r="E790" s="1070"/>
      <c r="F790" s="1070"/>
      <c r="G790" s="1070"/>
      <c r="H790" s="1070"/>
      <c r="I790" s="1020"/>
      <c r="J790" s="1020"/>
      <c r="K790" s="1020"/>
      <c r="L790" s="1066"/>
      <c r="M790" s="1020"/>
      <c r="N790" s="1020"/>
      <c r="O790" s="1020"/>
      <c r="P790" s="1020"/>
      <c r="Q790" s="1020"/>
      <c r="R790" s="1020"/>
      <c r="S790" s="1020"/>
      <c r="T790" s="1036"/>
      <c r="U790" s="1036"/>
      <c r="V790" s="1020"/>
      <c r="W790" s="1020"/>
      <c r="X790" s="1020"/>
      <c r="Y790" s="1020"/>
      <c r="Z790" s="1020"/>
      <c r="AA790" s="1020"/>
      <c r="AB790" s="1020"/>
      <c r="AC790" s="1020"/>
      <c r="AD790" s="1020"/>
      <c r="AE790" s="1020"/>
    </row>
    <row r="791" spans="4:31" ht="12.75" customHeight="1">
      <c r="D791" s="1071"/>
      <c r="E791" s="1070"/>
      <c r="F791" s="1070"/>
      <c r="G791" s="1070"/>
      <c r="H791" s="1070"/>
      <c r="I791" s="1020"/>
      <c r="J791" s="1020"/>
      <c r="K791" s="1020"/>
      <c r="L791" s="1066"/>
      <c r="M791" s="1020"/>
      <c r="N791" s="1020"/>
      <c r="O791" s="1020"/>
      <c r="P791" s="1020"/>
      <c r="Q791" s="1020"/>
      <c r="R791" s="1020"/>
      <c r="S791" s="1020"/>
      <c r="T791" s="1036"/>
      <c r="U791" s="1036"/>
      <c r="V791" s="1020"/>
      <c r="W791" s="1020"/>
      <c r="X791" s="1020"/>
      <c r="Y791" s="1020"/>
      <c r="Z791" s="1020"/>
      <c r="AA791" s="1020"/>
      <c r="AB791" s="1020"/>
      <c r="AC791" s="1020"/>
      <c r="AD791" s="1020"/>
      <c r="AE791" s="1020"/>
    </row>
    <row r="792" spans="4:31" ht="12.75" customHeight="1">
      <c r="D792" s="1071"/>
      <c r="E792" s="1070"/>
      <c r="F792" s="1070"/>
      <c r="G792" s="1070"/>
      <c r="H792" s="1070"/>
      <c r="I792" s="1020"/>
      <c r="J792" s="1020"/>
      <c r="K792" s="1020"/>
      <c r="L792" s="1066"/>
      <c r="M792" s="1020"/>
      <c r="N792" s="1020"/>
      <c r="O792" s="1020"/>
      <c r="P792" s="1020"/>
      <c r="Q792" s="1020"/>
      <c r="R792" s="1020"/>
      <c r="S792" s="1020"/>
      <c r="T792" s="1036"/>
      <c r="U792" s="1036"/>
      <c r="V792" s="1020"/>
      <c r="W792" s="1020"/>
      <c r="X792" s="1020"/>
      <c r="Y792" s="1020"/>
      <c r="Z792" s="1020"/>
      <c r="AA792" s="1020"/>
      <c r="AB792" s="1020"/>
      <c r="AC792" s="1020"/>
      <c r="AD792" s="1020"/>
      <c r="AE792" s="1020"/>
    </row>
    <row r="793" spans="4:31" ht="12" customHeight="1">
      <c r="D793" s="1071"/>
      <c r="E793" s="1020"/>
      <c r="F793" s="1070"/>
      <c r="G793" s="1070"/>
      <c r="H793" s="1070"/>
      <c r="I793" s="1020"/>
      <c r="J793" s="1020"/>
      <c r="K793" s="1020"/>
      <c r="L793" s="1066"/>
      <c r="M793" s="1020"/>
      <c r="N793" s="1020"/>
      <c r="O793" s="1020"/>
      <c r="P793" s="1020"/>
      <c r="Q793" s="1020"/>
      <c r="R793" s="1020"/>
      <c r="S793" s="1020"/>
      <c r="T793" s="1036"/>
      <c r="U793" s="1036"/>
      <c r="V793" s="1020"/>
      <c r="W793" s="1020"/>
      <c r="X793" s="1020"/>
      <c r="Y793" s="1020"/>
      <c r="Z793" s="1020"/>
      <c r="AA793" s="1020"/>
      <c r="AB793" s="1020"/>
      <c r="AC793" s="1020"/>
      <c r="AD793" s="1020"/>
      <c r="AE793" s="1020"/>
    </row>
    <row r="794" spans="4:31" ht="12.75" customHeight="1">
      <c r="D794" s="1071"/>
      <c r="E794" s="1020"/>
      <c r="F794" s="1070"/>
      <c r="G794" s="1070"/>
      <c r="H794" s="1070"/>
      <c r="I794" s="1020"/>
      <c r="J794" s="1020"/>
      <c r="K794" s="1020"/>
      <c r="L794" s="1066"/>
      <c r="M794" s="1020"/>
      <c r="N794" s="1020"/>
      <c r="O794" s="1020"/>
      <c r="P794" s="1020"/>
      <c r="Q794" s="1020"/>
      <c r="R794" s="1020"/>
      <c r="S794" s="1020"/>
      <c r="T794" s="1036"/>
      <c r="U794" s="1036"/>
      <c r="V794" s="1020"/>
      <c r="W794" s="1020"/>
      <c r="X794" s="1020"/>
      <c r="Y794" s="1020"/>
      <c r="Z794" s="1020"/>
      <c r="AA794" s="1020"/>
      <c r="AB794" s="1020"/>
      <c r="AC794" s="1020"/>
      <c r="AD794" s="1020"/>
      <c r="AE794" s="1020"/>
    </row>
    <row r="795" spans="4:31" ht="12.75" customHeight="1">
      <c r="D795" s="1020"/>
      <c r="E795" s="1020"/>
      <c r="F795" s="1020"/>
      <c r="G795" s="1020"/>
      <c r="H795" s="1020"/>
      <c r="I795" s="1020"/>
      <c r="J795" s="1020"/>
      <c r="K795" s="1020"/>
      <c r="L795" s="1066"/>
      <c r="M795" s="1020"/>
      <c r="N795" s="1020"/>
      <c r="O795" s="1020"/>
      <c r="P795" s="1020"/>
      <c r="Q795" s="1020"/>
      <c r="R795" s="1020"/>
      <c r="S795" s="1020"/>
      <c r="T795" s="1036"/>
      <c r="U795" s="1036"/>
      <c r="V795" s="1020"/>
      <c r="W795" s="1020"/>
      <c r="X795" s="1020"/>
      <c r="Y795" s="1020"/>
      <c r="Z795" s="1020"/>
      <c r="AA795" s="1020"/>
      <c r="AB795" s="1020"/>
      <c r="AC795" s="1020"/>
      <c r="AD795" s="1020"/>
      <c r="AE795" s="1020"/>
    </row>
    <row r="796" spans="4:31" ht="12.75" customHeight="1">
      <c r="D796" s="1020"/>
      <c r="E796" s="1020"/>
      <c r="F796" s="1020"/>
      <c r="G796" s="1020"/>
      <c r="H796" s="1020"/>
      <c r="I796" s="1020"/>
      <c r="J796" s="1020"/>
      <c r="K796" s="1020"/>
      <c r="L796" s="1066"/>
      <c r="M796" s="1020"/>
      <c r="N796" s="1020"/>
      <c r="O796" s="1020"/>
      <c r="P796" s="1020"/>
      <c r="Q796" s="1020"/>
      <c r="R796" s="1020"/>
      <c r="S796" s="1020"/>
      <c r="T796" s="1036"/>
      <c r="U796" s="1036"/>
      <c r="V796" s="1020"/>
      <c r="W796" s="1020"/>
      <c r="X796" s="1020"/>
      <c r="Y796" s="1020"/>
      <c r="Z796" s="1020"/>
      <c r="AA796" s="1020"/>
      <c r="AB796" s="1020"/>
      <c r="AC796" s="1020"/>
      <c r="AD796" s="1020"/>
      <c r="AE796" s="1020"/>
    </row>
    <row r="797" spans="4:31" ht="12.75" customHeight="1">
      <c r="D797" s="1020"/>
      <c r="E797" s="1020"/>
      <c r="F797" s="1020"/>
      <c r="G797" s="1020"/>
      <c r="H797" s="1020"/>
      <c r="I797" s="1020"/>
      <c r="J797" s="1020"/>
      <c r="K797" s="1020"/>
      <c r="L797" s="1066"/>
      <c r="M797" s="1020"/>
      <c r="N797" s="1020"/>
      <c r="O797" s="1020"/>
      <c r="P797" s="1020"/>
      <c r="Q797" s="1020"/>
      <c r="R797" s="1020"/>
      <c r="S797" s="1020"/>
      <c r="T797" s="1036"/>
      <c r="U797" s="1036"/>
      <c r="V797" s="1020"/>
      <c r="W797" s="1020"/>
      <c r="X797" s="1020"/>
      <c r="Y797" s="1020"/>
      <c r="Z797" s="1020"/>
      <c r="AA797" s="1020"/>
      <c r="AB797" s="1020"/>
      <c r="AC797" s="1020"/>
      <c r="AD797" s="1020"/>
      <c r="AE797" s="1020"/>
    </row>
    <row r="798" spans="4:31" ht="12.75" customHeight="1">
      <c r="D798" s="1020"/>
      <c r="E798" s="1020"/>
      <c r="F798" s="1020"/>
      <c r="G798" s="1020"/>
      <c r="H798" s="1020"/>
      <c r="I798" s="1020"/>
      <c r="J798" s="1020"/>
      <c r="K798" s="1020"/>
      <c r="L798" s="1066"/>
      <c r="M798" s="1020"/>
      <c r="N798" s="1020"/>
      <c r="O798" s="1020"/>
      <c r="P798" s="1020"/>
      <c r="Q798" s="1020"/>
      <c r="R798" s="1020"/>
      <c r="S798" s="1020"/>
      <c r="T798" s="1036"/>
      <c r="U798" s="1036"/>
      <c r="V798" s="1020"/>
      <c r="W798" s="1020"/>
      <c r="X798" s="1020"/>
      <c r="Y798" s="1020"/>
      <c r="Z798" s="1020"/>
      <c r="AA798" s="1020"/>
      <c r="AB798" s="1020"/>
      <c r="AC798" s="1020"/>
      <c r="AD798" s="1020"/>
      <c r="AE798" s="1089"/>
    </row>
    <row r="799" spans="4:31" ht="12.75" customHeight="1">
      <c r="D799" s="1020"/>
      <c r="E799" s="1020"/>
      <c r="F799" s="1020"/>
      <c r="G799" s="1020"/>
      <c r="H799" s="1020"/>
      <c r="I799" s="1020"/>
      <c r="J799" s="1020"/>
      <c r="K799" s="1020"/>
      <c r="L799" s="1066"/>
      <c r="M799" s="1020"/>
      <c r="N799" s="1020"/>
      <c r="O799" s="1020"/>
      <c r="P799" s="1020"/>
      <c r="Q799" s="1020"/>
      <c r="R799" s="1020"/>
      <c r="S799" s="1020"/>
      <c r="T799" s="1036"/>
      <c r="U799" s="1036"/>
      <c r="V799" s="1020"/>
      <c r="W799" s="1020"/>
      <c r="X799" s="1020"/>
      <c r="Y799" s="1020"/>
      <c r="Z799" s="1020"/>
      <c r="AA799" s="1020"/>
      <c r="AB799" s="1020"/>
      <c r="AC799" s="1020"/>
      <c r="AD799" s="1020"/>
      <c r="AE799" s="1020"/>
    </row>
    <row r="800" spans="4:31" ht="12.75" customHeight="1">
      <c r="D800" s="1020"/>
      <c r="E800" s="1020"/>
      <c r="F800" s="1020"/>
      <c r="G800" s="1020"/>
      <c r="H800" s="1020"/>
      <c r="I800" s="1020"/>
      <c r="J800" s="1020"/>
      <c r="K800" s="1020"/>
      <c r="L800" s="1066"/>
      <c r="M800" s="1020"/>
      <c r="N800" s="1020"/>
      <c r="O800" s="1020"/>
      <c r="P800" s="1020"/>
      <c r="Q800" s="1020"/>
      <c r="R800" s="1020"/>
      <c r="S800" s="1020"/>
      <c r="T800" s="1036"/>
      <c r="U800" s="1036"/>
      <c r="V800" s="1020"/>
      <c r="W800" s="1020"/>
      <c r="X800" s="1020"/>
      <c r="Y800" s="1020"/>
      <c r="Z800" s="1020"/>
      <c r="AA800" s="1020"/>
      <c r="AB800" s="1020"/>
      <c r="AC800" s="1020"/>
      <c r="AD800" s="1020"/>
      <c r="AE800" s="1020"/>
    </row>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315">
    <mergeCell ref="T70:U70"/>
    <mergeCell ref="T71:U71"/>
    <mergeCell ref="T72:U72"/>
    <mergeCell ref="K69:L69"/>
    <mergeCell ref="K70:L70"/>
    <mergeCell ref="K71:L71"/>
    <mergeCell ref="K72:L72"/>
    <mergeCell ref="N64:O64"/>
    <mergeCell ref="N65:O65"/>
    <mergeCell ref="N66:O66"/>
    <mergeCell ref="N67:O67"/>
    <mergeCell ref="N68:O68"/>
    <mergeCell ref="N69:O69"/>
    <mergeCell ref="N70:O70"/>
    <mergeCell ref="N71:O71"/>
    <mergeCell ref="N72:O72"/>
    <mergeCell ref="T64:U64"/>
    <mergeCell ref="T65:U65"/>
    <mergeCell ref="T66:U66"/>
    <mergeCell ref="T67:U67"/>
    <mergeCell ref="T68:U68"/>
    <mergeCell ref="T69:U69"/>
    <mergeCell ref="Y18:Z18"/>
    <mergeCell ref="Y19:Z19"/>
    <mergeCell ref="Y20:Z20"/>
    <mergeCell ref="P53:Q53"/>
    <mergeCell ref="P54:Q54"/>
    <mergeCell ref="P55:Q55"/>
    <mergeCell ref="P56:Q56"/>
    <mergeCell ref="P57:Q57"/>
    <mergeCell ref="P58:Q58"/>
    <mergeCell ref="P44:Q44"/>
    <mergeCell ref="P45:Q45"/>
    <mergeCell ref="P46:Q46"/>
    <mergeCell ref="P47:Q47"/>
    <mergeCell ref="P48:Q48"/>
    <mergeCell ref="P49:Q49"/>
    <mergeCell ref="P50:Q50"/>
    <mergeCell ref="P51:Q51"/>
    <mergeCell ref="P52:Q52"/>
    <mergeCell ref="T44:U44"/>
    <mergeCell ref="P42:Q42"/>
    <mergeCell ref="P43:Q43"/>
    <mergeCell ref="P38:Q38"/>
    <mergeCell ref="P39:Q39"/>
    <mergeCell ref="P40:Q40"/>
    <mergeCell ref="K49:L49"/>
    <mergeCell ref="K50:L50"/>
    <mergeCell ref="K51:L51"/>
    <mergeCell ref="N51:O51"/>
    <mergeCell ref="K52:L52"/>
    <mergeCell ref="N52:O52"/>
    <mergeCell ref="N63:O63"/>
    <mergeCell ref="K63:L63"/>
    <mergeCell ref="T63:U63"/>
    <mergeCell ref="K53:L53"/>
    <mergeCell ref="T62:U62"/>
    <mergeCell ref="K57:L57"/>
    <mergeCell ref="N57:O57"/>
    <mergeCell ref="K55:L55"/>
    <mergeCell ref="N55:O55"/>
    <mergeCell ref="K56:L56"/>
    <mergeCell ref="N56:O56"/>
    <mergeCell ref="T59:U59"/>
    <mergeCell ref="T55:U55"/>
    <mergeCell ref="T56:U56"/>
    <mergeCell ref="T58:U58"/>
    <mergeCell ref="B63:C64"/>
    <mergeCell ref="D63:F64"/>
    <mergeCell ref="K58:L58"/>
    <mergeCell ref="K64:L64"/>
    <mergeCell ref="D69:F70"/>
    <mergeCell ref="G69:I70"/>
    <mergeCell ref="D72:F72"/>
    <mergeCell ref="G63:I64"/>
    <mergeCell ref="B65:C66"/>
    <mergeCell ref="D65:F66"/>
    <mergeCell ref="G65:I66"/>
    <mergeCell ref="B67:C68"/>
    <mergeCell ref="D67:F68"/>
    <mergeCell ref="G67:I68"/>
    <mergeCell ref="B69:C70"/>
    <mergeCell ref="B59:C60"/>
    <mergeCell ref="D59:F60"/>
    <mergeCell ref="G59:I60"/>
    <mergeCell ref="G61:I62"/>
    <mergeCell ref="D61:F62"/>
    <mergeCell ref="B61:C62"/>
    <mergeCell ref="B58:C58"/>
    <mergeCell ref="D58:F58"/>
    <mergeCell ref="G58:I58"/>
    <mergeCell ref="G2:I2"/>
    <mergeCell ref="E9:I9"/>
    <mergeCell ref="N9:Q9"/>
    <mergeCell ref="K6:L6"/>
    <mergeCell ref="K7:L7"/>
    <mergeCell ref="K8:L8"/>
    <mergeCell ref="K9:L9"/>
    <mergeCell ref="K10:L10"/>
    <mergeCell ref="K11:L11"/>
    <mergeCell ref="B4:I4"/>
    <mergeCell ref="K4:Q4"/>
    <mergeCell ref="E6:I6"/>
    <mergeCell ref="N6:Q6"/>
    <mergeCell ref="N7:Q7"/>
    <mergeCell ref="E8:I8"/>
    <mergeCell ref="N8:Q8"/>
    <mergeCell ref="E11:F11"/>
    <mergeCell ref="H11:I11"/>
    <mergeCell ref="N11:O11"/>
    <mergeCell ref="P11:Q11"/>
    <mergeCell ref="E10:I10"/>
    <mergeCell ref="N10:Q10"/>
    <mergeCell ref="E7:F7"/>
    <mergeCell ref="E12:F12"/>
    <mergeCell ref="H12:I12"/>
    <mergeCell ref="N12:O12"/>
    <mergeCell ref="E13:F13"/>
    <mergeCell ref="H13:I13"/>
    <mergeCell ref="N13:O13"/>
    <mergeCell ref="K13:L13"/>
    <mergeCell ref="P12:Q12"/>
    <mergeCell ref="K12:L12"/>
    <mergeCell ref="P13:Q13"/>
    <mergeCell ref="K15:L16"/>
    <mergeCell ref="M15:M16"/>
    <mergeCell ref="N15:O16"/>
    <mergeCell ref="K18:L18"/>
    <mergeCell ref="N18:O18"/>
    <mergeCell ref="T18:U18"/>
    <mergeCell ref="K19:L19"/>
    <mergeCell ref="N19:O19"/>
    <mergeCell ref="T19:U19"/>
    <mergeCell ref="K17:L17"/>
    <mergeCell ref="N17:O17"/>
    <mergeCell ref="P15:Q16"/>
    <mergeCell ref="P17:Q17"/>
    <mergeCell ref="P18:Q18"/>
    <mergeCell ref="P19:Q19"/>
    <mergeCell ref="K22:L22"/>
    <mergeCell ref="N22:O22"/>
    <mergeCell ref="T22:U22"/>
    <mergeCell ref="K23:L23"/>
    <mergeCell ref="N23:O23"/>
    <mergeCell ref="T23:U23"/>
    <mergeCell ref="K20:L20"/>
    <mergeCell ref="N20:O20"/>
    <mergeCell ref="T20:U20"/>
    <mergeCell ref="K21:L21"/>
    <mergeCell ref="N21:O21"/>
    <mergeCell ref="T21:U21"/>
    <mergeCell ref="P20:Q20"/>
    <mergeCell ref="P21:Q21"/>
    <mergeCell ref="P22:Q22"/>
    <mergeCell ref="P23:Q23"/>
    <mergeCell ref="K24:L24"/>
    <mergeCell ref="N24:O24"/>
    <mergeCell ref="T24:U24"/>
    <mergeCell ref="K25:L25"/>
    <mergeCell ref="N25:O25"/>
    <mergeCell ref="T25:U25"/>
    <mergeCell ref="P24:Q24"/>
    <mergeCell ref="P25:Q25"/>
    <mergeCell ref="P26:Q26"/>
    <mergeCell ref="K26:L26"/>
    <mergeCell ref="N26:O26"/>
    <mergeCell ref="T26:U26"/>
    <mergeCell ref="K27:L27"/>
    <mergeCell ref="N27:O27"/>
    <mergeCell ref="T27:U27"/>
    <mergeCell ref="P27:Q27"/>
    <mergeCell ref="K33:L33"/>
    <mergeCell ref="N33:O33"/>
    <mergeCell ref="T33:U33"/>
    <mergeCell ref="K30:L30"/>
    <mergeCell ref="N30:O30"/>
    <mergeCell ref="T30:U30"/>
    <mergeCell ref="K31:L31"/>
    <mergeCell ref="N31:O31"/>
    <mergeCell ref="T31:U31"/>
    <mergeCell ref="K32:L32"/>
    <mergeCell ref="N32:O32"/>
    <mergeCell ref="T32:U32"/>
    <mergeCell ref="P30:Q30"/>
    <mergeCell ref="P31:Q31"/>
    <mergeCell ref="P32:Q32"/>
    <mergeCell ref="P33:Q33"/>
    <mergeCell ref="N42:O42"/>
    <mergeCell ref="K41:L41"/>
    <mergeCell ref="N41:O41"/>
    <mergeCell ref="K28:L28"/>
    <mergeCell ref="N28:O28"/>
    <mergeCell ref="T28:U28"/>
    <mergeCell ref="K29:L29"/>
    <mergeCell ref="N29:O29"/>
    <mergeCell ref="T29:U29"/>
    <mergeCell ref="P28:Q28"/>
    <mergeCell ref="P29:Q29"/>
    <mergeCell ref="K34:L34"/>
    <mergeCell ref="N34:O34"/>
    <mergeCell ref="T34:U34"/>
    <mergeCell ref="K35:L35"/>
    <mergeCell ref="N35:O35"/>
    <mergeCell ref="T35:U35"/>
    <mergeCell ref="P34:Q34"/>
    <mergeCell ref="P35:Q35"/>
    <mergeCell ref="P36:Q36"/>
    <mergeCell ref="K36:L36"/>
    <mergeCell ref="N36:O36"/>
    <mergeCell ref="T36:U36"/>
    <mergeCell ref="N45:O45"/>
    <mergeCell ref="T45:U45"/>
    <mergeCell ref="N49:O49"/>
    <mergeCell ref="N50:O50"/>
    <mergeCell ref="K37:L37"/>
    <mergeCell ref="N37:O37"/>
    <mergeCell ref="T37:U37"/>
    <mergeCell ref="P37:Q37"/>
    <mergeCell ref="K38:L38"/>
    <mergeCell ref="N38:O38"/>
    <mergeCell ref="T38:U38"/>
    <mergeCell ref="K39:L39"/>
    <mergeCell ref="N39:O39"/>
    <mergeCell ref="T39:U39"/>
    <mergeCell ref="T40:U40"/>
    <mergeCell ref="K43:L43"/>
    <mergeCell ref="N43:O43"/>
    <mergeCell ref="T43:U43"/>
    <mergeCell ref="K47:L47"/>
    <mergeCell ref="K48:L48"/>
    <mergeCell ref="K45:L45"/>
    <mergeCell ref="K40:L40"/>
    <mergeCell ref="N40:O40"/>
    <mergeCell ref="K42:L42"/>
    <mergeCell ref="T48:U48"/>
    <mergeCell ref="T49:U49"/>
    <mergeCell ref="T46:U46"/>
    <mergeCell ref="T47:U47"/>
    <mergeCell ref="T60:U60"/>
    <mergeCell ref="T61:U61"/>
    <mergeCell ref="T52:U52"/>
    <mergeCell ref="T53:U53"/>
    <mergeCell ref="T50:U50"/>
    <mergeCell ref="T51:U51"/>
    <mergeCell ref="T57:U57"/>
    <mergeCell ref="L267:M267"/>
    <mergeCell ref="K266:M266"/>
    <mergeCell ref="B81:D81"/>
    <mergeCell ref="C82:D82"/>
    <mergeCell ref="F82:H82"/>
    <mergeCell ref="K79:M79"/>
    <mergeCell ref="O79:Q79"/>
    <mergeCell ref="L80:M80"/>
    <mergeCell ref="O80:Q80"/>
    <mergeCell ref="P266:Q266"/>
    <mergeCell ref="F81:I81"/>
    <mergeCell ref="P73:Q73"/>
    <mergeCell ref="K74:L74"/>
    <mergeCell ref="N74:O74"/>
    <mergeCell ref="K73:L73"/>
    <mergeCell ref="N73:O73"/>
    <mergeCell ref="N58:O58"/>
    <mergeCell ref="K59:L59"/>
    <mergeCell ref="N59:O59"/>
    <mergeCell ref="K60:L60"/>
    <mergeCell ref="P63:Q63"/>
    <mergeCell ref="K65:L65"/>
    <mergeCell ref="K66:L66"/>
    <mergeCell ref="K67:L67"/>
    <mergeCell ref="K68:L68"/>
    <mergeCell ref="N60:O60"/>
    <mergeCell ref="K61:L61"/>
    <mergeCell ref="N61:O61"/>
    <mergeCell ref="K62:L62"/>
    <mergeCell ref="N62:O62"/>
    <mergeCell ref="P59:Q59"/>
    <mergeCell ref="P60:Q60"/>
    <mergeCell ref="P61:Q61"/>
    <mergeCell ref="P62:Q62"/>
    <mergeCell ref="F38:I38"/>
    <mergeCell ref="F46:I46"/>
    <mergeCell ref="F48:I48"/>
    <mergeCell ref="F49:I49"/>
    <mergeCell ref="F50:I50"/>
    <mergeCell ref="F51:I51"/>
    <mergeCell ref="F52:I52"/>
    <mergeCell ref="B28:C28"/>
    <mergeCell ref="T54:U54"/>
    <mergeCell ref="N53:O53"/>
    <mergeCell ref="K54:L54"/>
    <mergeCell ref="N54:O54"/>
    <mergeCell ref="F36:I36"/>
    <mergeCell ref="F37:I37"/>
    <mergeCell ref="F39:G39"/>
    <mergeCell ref="T41:U41"/>
    <mergeCell ref="T42:U42"/>
    <mergeCell ref="N48:O48"/>
    <mergeCell ref="P41:Q41"/>
    <mergeCell ref="N44:O44"/>
    <mergeCell ref="K44:L44"/>
    <mergeCell ref="K46:L46"/>
    <mergeCell ref="N46:O46"/>
    <mergeCell ref="N47:O47"/>
    <mergeCell ref="F15:I15"/>
    <mergeCell ref="F16:I16"/>
    <mergeCell ref="F17:I17"/>
    <mergeCell ref="F19:I19"/>
    <mergeCell ref="F20:I20"/>
    <mergeCell ref="F22:I22"/>
    <mergeCell ref="F24:I24"/>
    <mergeCell ref="F34:I34"/>
    <mergeCell ref="F35:I35"/>
    <mergeCell ref="F28:I28"/>
    <mergeCell ref="F30:I30"/>
    <mergeCell ref="F26:I26"/>
  </mergeCells>
  <phoneticPr fontId="27" type="noConversion"/>
  <pageMargins left="0.70866141732283472" right="0.70866141732283472" top="0.82677165354330717" bottom="0.74803149606299213" header="0.31496062992125984" footer="0.31496062992125984"/>
  <pageSetup paperSize="5" scale="70" orientation="portrait" r:id="rId1"/>
  <headerFooter>
    <oddHeader xml:space="preserve">&amp;R&amp;"Century Gothic,Bold"&amp;18ANNEX A: 
SAMPLE PACKAGE COMPUTATION
</oddHeader>
  </headerFooter>
  <colBreaks count="1" manualBreakCount="1">
    <brk id="9" max="82"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FFFF00"/>
  </sheetPr>
  <dimension ref="A1:BA114"/>
  <sheetViews>
    <sheetView showGridLines="0" showZeros="0" view="pageBreakPreview" topLeftCell="A10" zoomScale="80" zoomScaleNormal="90" zoomScaleSheetLayoutView="80" zoomScalePageLayoutView="85" workbookViewId="0">
      <selection activeCell="B31" sqref="B31:C31"/>
    </sheetView>
  </sheetViews>
  <sheetFormatPr defaultColWidth="9.140625" defaultRowHeight="13.5"/>
  <cols>
    <col min="1" max="1" width="1.140625" style="2" customWidth="1"/>
    <col min="2" max="2" width="12" style="2" customWidth="1"/>
    <col min="3" max="3" width="26.140625" style="2" customWidth="1"/>
    <col min="4" max="4" width="21" style="83"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157" customWidth="1"/>
    <col min="14" max="14" width="12.140625" style="2" customWidth="1"/>
    <col min="15" max="16" width="18.85546875" style="2" customWidth="1"/>
    <col min="17" max="17" width="25.85546875" style="2" customWidth="1"/>
    <col min="18" max="18" width="4.85546875" style="2" customWidth="1"/>
    <col min="19" max="19" width="4.42578125" style="2" hidden="1" customWidth="1"/>
    <col min="20" max="21" width="9.140625" style="2" hidden="1" customWidth="1"/>
    <col min="22" max="22" width="11.85546875" style="289" hidden="1" customWidth="1"/>
    <col min="23" max="23" width="9.85546875" style="2" hidden="1" customWidth="1"/>
    <col min="24" max="25" width="9.140625" style="290" hidden="1" customWidth="1"/>
    <col min="26" max="26" width="15.5703125" style="2" hidden="1" customWidth="1"/>
    <col min="27" max="28" width="9.140625" style="2" hidden="1" customWidth="1"/>
    <col min="29" max="29" width="0" style="2" hidden="1" customWidth="1"/>
    <col min="30" max="31" width="9.140625" style="2" hidden="1" customWidth="1"/>
    <col min="32" max="16384" width="9.140625" style="2"/>
  </cols>
  <sheetData>
    <row r="1" spans="1:53" s="86" customFormat="1" ht="12.6">
      <c r="B1" s="160" t="s">
        <v>1059</v>
      </c>
      <c r="C1" s="1022">
        <f>FORM!I20</f>
        <v>45901</v>
      </c>
      <c r="D1" s="1023"/>
      <c r="F1" s="132" t="s">
        <v>1172</v>
      </c>
      <c r="G1" s="1641" t="s">
        <v>1061</v>
      </c>
      <c r="H1" s="1641"/>
      <c r="I1" s="1641"/>
      <c r="J1" s="88"/>
      <c r="K1" s="160" t="s">
        <v>1059</v>
      </c>
      <c r="L1" s="1022">
        <f>C1</f>
        <v>45901</v>
      </c>
      <c r="M1" s="1708"/>
      <c r="O1" s="440"/>
      <c r="P1" s="132" t="s">
        <v>1173</v>
      </c>
      <c r="Q1" s="1290" t="s">
        <v>1063</v>
      </c>
      <c r="V1" s="284"/>
    </row>
    <row r="2" spans="1:53" s="86" customFormat="1" ht="7.5" customHeight="1">
      <c r="C2" s="87"/>
      <c r="D2" s="87"/>
      <c r="K2" s="137"/>
      <c r="L2" s="137"/>
      <c r="M2" s="137"/>
      <c r="N2" s="137"/>
      <c r="O2" s="137"/>
      <c r="P2" s="137"/>
      <c r="Q2" s="137"/>
      <c r="V2" s="284"/>
    </row>
    <row r="3" spans="1:53" s="86" customFormat="1" ht="14.25" customHeight="1">
      <c r="B3" s="1447" t="str">
        <f>'INTERNAL PRICELIST'!AK24</f>
        <v>Step-up</v>
      </c>
      <c r="C3" s="1447"/>
      <c r="D3" s="1447"/>
      <c r="E3" s="1447"/>
      <c r="F3" s="1447"/>
      <c r="G3" s="1447"/>
      <c r="H3" s="1447"/>
      <c r="I3" s="1447"/>
      <c r="J3" s="285"/>
      <c r="K3" s="1447" t="s">
        <v>1065</v>
      </c>
      <c r="L3" s="1447"/>
      <c r="M3" s="1447"/>
      <c r="N3" s="1447"/>
      <c r="O3" s="1447"/>
      <c r="P3" s="1447"/>
      <c r="Q3" s="1447"/>
      <c r="V3" s="284"/>
    </row>
    <row r="4" spans="1:53" s="86" customFormat="1" ht="12.75" customHeight="1">
      <c r="B4" s="1447"/>
      <c r="C4" s="1447"/>
      <c r="D4" s="1447"/>
      <c r="E4" s="1447"/>
      <c r="F4" s="1447"/>
      <c r="G4" s="1447"/>
      <c r="H4" s="1447"/>
      <c r="I4" s="1447"/>
      <c r="J4" s="285"/>
      <c r="K4" s="1447"/>
      <c r="L4" s="1447"/>
      <c r="M4" s="1447"/>
      <c r="N4" s="1447"/>
      <c r="O4" s="1447"/>
      <c r="P4" s="1447"/>
      <c r="Q4" s="1447"/>
      <c r="V4" s="284"/>
    </row>
    <row r="5" spans="1:53" s="86" customFormat="1" ht="12.75" customHeight="1">
      <c r="B5" s="174"/>
      <c r="C5" s="174"/>
      <c r="D5" s="207"/>
      <c r="E5" s="97"/>
      <c r="F5" s="97"/>
      <c r="G5" s="97"/>
      <c r="H5" s="97"/>
      <c r="I5" s="97"/>
      <c r="J5" s="174"/>
      <c r="K5" s="286"/>
      <c r="L5" s="287"/>
      <c r="M5" s="288"/>
      <c r="N5" s="287"/>
      <c r="O5" s="287"/>
      <c r="P5" s="287"/>
      <c r="Q5" s="288"/>
      <c r="V5" s="284"/>
    </row>
    <row r="6" spans="1:53">
      <c r="A6" s="1024"/>
      <c r="B6" s="225" t="s">
        <v>1066</v>
      </c>
      <c r="C6" s="226"/>
      <c r="D6" s="171" t="s">
        <v>1015</v>
      </c>
      <c r="E6" s="1642" t="str">
        <f>'STANDARD COMP.'!E6:I6</f>
        <v>buyer</v>
      </c>
      <c r="F6" s="1643"/>
      <c r="G6" s="1643"/>
      <c r="H6" s="1643"/>
      <c r="I6" s="1644"/>
      <c r="J6" s="142"/>
      <c r="K6" s="225" t="s">
        <v>1066</v>
      </c>
      <c r="L6" s="228"/>
      <c r="M6" s="1027" t="s">
        <v>1015</v>
      </c>
      <c r="N6" s="1521" t="str">
        <f>E6</f>
        <v>buyer</v>
      </c>
      <c r="O6" s="1521"/>
      <c r="P6" s="1521"/>
      <c r="Q6" s="1521"/>
      <c r="AM6" s="291"/>
      <c r="AZ6" s="292"/>
      <c r="BA6" s="293"/>
    </row>
    <row r="7" spans="1:53">
      <c r="A7" s="1024"/>
      <c r="B7" s="144" t="s">
        <v>1014</v>
      </c>
      <c r="C7" s="227"/>
      <c r="D7" s="171" t="s">
        <v>1015</v>
      </c>
      <c r="E7" s="1646" t="str">
        <f>'STANDARD COMP.'!E7:I7</f>
        <v>The Southprime Flats</v>
      </c>
      <c r="F7" s="1647"/>
      <c r="G7" s="1028" t="str">
        <f>FORM!I14</f>
        <v>B3</v>
      </c>
      <c r="H7" s="1028"/>
      <c r="I7" s="1029"/>
      <c r="J7" s="142"/>
      <c r="K7" s="144" t="s">
        <v>1014</v>
      </c>
      <c r="L7" s="148"/>
      <c r="M7" s="1027" t="s">
        <v>1015</v>
      </c>
      <c r="N7" s="1521" t="str">
        <f>E7</f>
        <v>The Southprime Flats</v>
      </c>
      <c r="O7" s="1521"/>
      <c r="P7" s="1521"/>
      <c r="Q7" s="1521"/>
      <c r="AM7" s="291"/>
      <c r="AZ7" s="292"/>
      <c r="BA7" s="293"/>
    </row>
    <row r="8" spans="1:53">
      <c r="A8" s="1024"/>
      <c r="B8" s="144" t="s">
        <v>1068</v>
      </c>
      <c r="C8" s="227"/>
      <c r="D8" s="171" t="s">
        <v>1015</v>
      </c>
      <c r="E8" s="1642" t="str">
        <f>'STANDARD COMP.'!E8:I8</f>
        <v>E-11K</v>
      </c>
      <c r="F8" s="1643"/>
      <c r="G8" s="1643"/>
      <c r="H8" s="1643"/>
      <c r="I8" s="1644"/>
      <c r="J8" s="142"/>
      <c r="K8" s="144" t="s">
        <v>1068</v>
      </c>
      <c r="L8" s="148"/>
      <c r="M8" s="1027" t="s">
        <v>1015</v>
      </c>
      <c r="N8" s="1521" t="str">
        <f>E8</f>
        <v>E-11K</v>
      </c>
      <c r="O8" s="1521"/>
      <c r="P8" s="1521"/>
      <c r="Q8" s="1521"/>
      <c r="AM8" s="291"/>
      <c r="AZ8" s="292"/>
      <c r="BA8" s="293"/>
    </row>
    <row r="9" spans="1:53" hidden="1">
      <c r="A9" s="1024"/>
      <c r="B9" s="144" t="s">
        <v>1070</v>
      </c>
      <c r="C9" s="227"/>
      <c r="D9" s="171" t="s">
        <v>1015</v>
      </c>
      <c r="E9" s="1642" t="e">
        <f>'STANDARD COMP.'!E9:I9</f>
        <v>#REF!</v>
      </c>
      <c r="F9" s="1643"/>
      <c r="G9" s="1643"/>
      <c r="H9" s="1643"/>
      <c r="I9" s="1644"/>
      <c r="J9" s="142"/>
      <c r="K9" s="144" t="s">
        <v>1070</v>
      </c>
      <c r="L9" s="148"/>
      <c r="M9" s="1027" t="s">
        <v>1015</v>
      </c>
      <c r="N9" s="1521" t="str">
        <f>[8]FORM!I14</f>
        <v>TOWER 1</v>
      </c>
      <c r="O9" s="1521"/>
      <c r="P9" s="1521"/>
      <c r="Q9" s="1521"/>
      <c r="AM9" s="291"/>
      <c r="AZ9" s="292"/>
      <c r="BA9" s="293"/>
    </row>
    <row r="10" spans="1:53">
      <c r="A10" s="1024"/>
      <c r="B10" s="144" t="s">
        <v>1071</v>
      </c>
      <c r="C10" s="227"/>
      <c r="D10" s="171" t="s">
        <v>1015</v>
      </c>
      <c r="E10" s="1642" t="str">
        <f>'STANDARD COMP.'!E10:I10</f>
        <v>Studio</v>
      </c>
      <c r="F10" s="1643"/>
      <c r="G10" s="1643"/>
      <c r="H10" s="1643"/>
      <c r="I10" s="1644"/>
      <c r="J10" s="142"/>
      <c r="K10" s="144" t="s">
        <v>1071</v>
      </c>
      <c r="L10" s="148"/>
      <c r="M10" s="1027" t="s">
        <v>1015</v>
      </c>
      <c r="N10" s="1521" t="str">
        <f>E10</f>
        <v>Studio</v>
      </c>
      <c r="O10" s="1521"/>
      <c r="P10" s="1521"/>
      <c r="Q10" s="1521"/>
      <c r="AM10" s="291"/>
      <c r="AZ10" s="292"/>
      <c r="BA10" s="293"/>
    </row>
    <row r="11" spans="1:53">
      <c r="A11" s="1024"/>
      <c r="B11" s="144" t="s">
        <v>1072</v>
      </c>
      <c r="C11" s="227"/>
      <c r="D11" s="171" t="s">
        <v>1015</v>
      </c>
      <c r="E11" s="1648">
        <f>'STANDARD COMP.'!E11:F11</f>
        <v>22</v>
      </c>
      <c r="F11" s="1649"/>
      <c r="G11" s="1650" t="s">
        <v>1073</v>
      </c>
      <c r="H11" s="1650"/>
      <c r="I11" s="1651"/>
      <c r="J11" s="142"/>
      <c r="K11" s="144" t="s">
        <v>1072</v>
      </c>
      <c r="L11" s="148"/>
      <c r="M11" s="1027" t="s">
        <v>1015</v>
      </c>
      <c r="N11" s="1709">
        <f>E11</f>
        <v>22</v>
      </c>
      <c r="O11" s="1710"/>
      <c r="P11" s="1711" t="s">
        <v>1073</v>
      </c>
      <c r="Q11" s="1712"/>
      <c r="AM11" s="291"/>
      <c r="AZ11" s="292"/>
      <c r="BA11" s="293"/>
    </row>
    <row r="12" spans="1:53">
      <c r="A12" s="1024"/>
      <c r="B12" s="148" t="s">
        <v>1074</v>
      </c>
      <c r="C12" s="227"/>
      <c r="D12" s="171" t="s">
        <v>1015</v>
      </c>
      <c r="E12" s="1648">
        <f>'STANDARD COMP.'!E12:F12</f>
        <v>0</v>
      </c>
      <c r="F12" s="1649"/>
      <c r="G12" s="1650" t="s">
        <v>1073</v>
      </c>
      <c r="H12" s="1650"/>
      <c r="I12" s="1651"/>
      <c r="J12" s="142"/>
      <c r="K12" s="148" t="s">
        <v>1074</v>
      </c>
      <c r="L12" s="148"/>
      <c r="M12" s="1027" t="s">
        <v>1015</v>
      </c>
      <c r="N12" s="1713">
        <f>E12</f>
        <v>0</v>
      </c>
      <c r="O12" s="1714"/>
      <c r="P12" s="1711" t="s">
        <v>1073</v>
      </c>
      <c r="Q12" s="1712"/>
      <c r="AM12" s="291"/>
      <c r="AZ12" s="292"/>
      <c r="BA12" s="293"/>
    </row>
    <row r="13" spans="1:53">
      <c r="A13" s="1024"/>
      <c r="B13" s="238" t="s">
        <v>1075</v>
      </c>
      <c r="C13" s="101"/>
      <c r="D13" s="171" t="s">
        <v>1015</v>
      </c>
      <c r="E13" s="1648">
        <f>'STANDARD COMP.'!E13:F13</f>
        <v>22</v>
      </c>
      <c r="F13" s="1649"/>
      <c r="G13" s="1650" t="s">
        <v>1073</v>
      </c>
      <c r="H13" s="1650"/>
      <c r="I13" s="1651"/>
      <c r="J13" s="142"/>
      <c r="K13" s="238" t="s">
        <v>1075</v>
      </c>
      <c r="L13" s="126"/>
      <c r="M13" s="1027" t="s">
        <v>1015</v>
      </c>
      <c r="N13" s="1713">
        <f>E13</f>
        <v>22</v>
      </c>
      <c r="O13" s="1714"/>
      <c r="P13" s="1711" t="s">
        <v>1073</v>
      </c>
      <c r="Q13" s="1712"/>
      <c r="AM13" s="291"/>
      <c r="AZ13" s="292"/>
      <c r="BA13" s="293"/>
    </row>
    <row r="14" spans="1:53">
      <c r="A14" s="1020"/>
      <c r="B14" s="1024"/>
      <c r="C14" s="1024"/>
      <c r="D14" s="171"/>
      <c r="E14" s="1024"/>
      <c r="F14" s="1024"/>
      <c r="G14" s="1024"/>
      <c r="H14" s="1024"/>
      <c r="I14" s="1024"/>
    </row>
    <row r="15" spans="1:53" ht="14.1">
      <c r="A15" s="1020"/>
      <c r="B15" s="141" t="s">
        <v>1078</v>
      </c>
      <c r="C15" s="226"/>
      <c r="D15" s="295" t="s">
        <v>1015</v>
      </c>
      <c r="E15" s="429"/>
      <c r="F15" s="1448">
        <f>'STANDARD COMP.'!F15:I15</f>
        <v>4123028.1810342241</v>
      </c>
      <c r="G15" s="1448"/>
      <c r="H15" s="1448"/>
      <c r="I15" s="1449"/>
      <c r="J15" s="296"/>
      <c r="K15" s="1402" t="s">
        <v>1079</v>
      </c>
      <c r="L15" s="1402"/>
      <c r="M15" s="1416" t="s">
        <v>989</v>
      </c>
      <c r="N15" s="1402" t="s">
        <v>992</v>
      </c>
      <c r="O15" s="1402"/>
      <c r="P15" s="1417" t="s">
        <v>206</v>
      </c>
      <c r="Q15" s="1418"/>
    </row>
    <row r="16" spans="1:53" s="296" customFormat="1" ht="14.1">
      <c r="A16" s="3"/>
      <c r="B16" s="144" t="s">
        <v>1080</v>
      </c>
      <c r="C16" s="148"/>
      <c r="D16" s="171" t="s">
        <v>1015</v>
      </c>
      <c r="E16" s="430"/>
      <c r="F16" s="1448">
        <f>'STANDARD COMP.'!F16:I16</f>
        <v>0</v>
      </c>
      <c r="G16" s="1448"/>
      <c r="H16" s="1448"/>
      <c r="I16" s="1449"/>
      <c r="J16" s="2"/>
      <c r="K16" s="1402"/>
      <c r="L16" s="1402"/>
      <c r="M16" s="1416"/>
      <c r="N16" s="1402"/>
      <c r="O16" s="1402"/>
      <c r="P16" s="1419"/>
      <c r="Q16" s="1420"/>
      <c r="V16" s="297"/>
      <c r="W16" s="296">
        <f>SUM(F29:F31)</f>
        <v>0</v>
      </c>
      <c r="X16" s="298"/>
      <c r="Y16" s="298"/>
    </row>
    <row r="17" spans="1:31" s="22" customFormat="1" ht="12.6">
      <c r="B17" s="129" t="s">
        <v>1082</v>
      </c>
      <c r="C17" s="101"/>
      <c r="D17" s="295" t="s">
        <v>1015</v>
      </c>
      <c r="E17" s="431"/>
      <c r="F17" s="1450">
        <f>F15-F16</f>
        <v>4123028.1810342241</v>
      </c>
      <c r="G17" s="1448"/>
      <c r="H17" s="1448"/>
      <c r="I17" s="1449"/>
      <c r="J17" s="299"/>
      <c r="K17" s="1521" t="s">
        <v>1031</v>
      </c>
      <c r="L17" s="1521"/>
      <c r="M17" s="1035">
        <f>C1</f>
        <v>45901</v>
      </c>
      <c r="N17" s="1403">
        <f>F25</f>
        <v>30000</v>
      </c>
      <c r="O17" s="1403"/>
      <c r="P17" s="1445"/>
      <c r="Q17" s="1446"/>
      <c r="T17" s="1451" t="s">
        <v>1174</v>
      </c>
      <c r="U17" s="1452"/>
      <c r="V17" s="300">
        <f>C1</f>
        <v>45901</v>
      </c>
      <c r="W17" s="301">
        <f>EDATE(V17,W16)</f>
        <v>45901</v>
      </c>
      <c r="X17" s="76"/>
      <c r="Y17" s="76"/>
    </row>
    <row r="18" spans="1:31" s="299" customFormat="1" ht="12.6">
      <c r="B18" s="147"/>
      <c r="C18" s="1024"/>
      <c r="D18" s="171"/>
      <c r="E18" s="1028"/>
      <c r="F18" s="1715"/>
      <c r="G18" s="1715"/>
      <c r="H18" s="1715"/>
      <c r="I18" s="1716"/>
      <c r="J18" s="22"/>
      <c r="K18" s="1521">
        <f t="shared" ref="K18:K57" si="0">IF(N18&gt;1,T18,0)</f>
        <v>0</v>
      </c>
      <c r="L18" s="1521"/>
      <c r="M18" s="312" t="str">
        <f t="shared" ref="M18:M57" si="1">IF(N18&gt;1,V18,"")</f>
        <v/>
      </c>
      <c r="N18" s="1717"/>
      <c r="O18" s="1717"/>
      <c r="P18" s="1445"/>
      <c r="Q18" s="1446"/>
      <c r="T18" s="1444" t="s">
        <v>1175</v>
      </c>
      <c r="U18" s="1444"/>
      <c r="V18" s="303">
        <f>IF(DAY(V17)=31,X21,Z21)</f>
        <v>45935</v>
      </c>
      <c r="X18" s="304"/>
      <c r="Y18" s="304"/>
    </row>
    <row r="19" spans="1:31" s="22" customFormat="1" ht="12.6">
      <c r="B19" s="148" t="s">
        <v>1087</v>
      </c>
      <c r="C19" s="148"/>
      <c r="D19" s="171" t="s">
        <v>1015</v>
      </c>
      <c r="E19" s="1041">
        <v>0.12</v>
      </c>
      <c r="F19" s="1455"/>
      <c r="G19" s="1456"/>
      <c r="H19" s="1456"/>
      <c r="I19" s="1457"/>
      <c r="K19" s="1521">
        <f t="shared" ref="K19:K20" si="2">IF(N19&gt;1,T19,0)</f>
        <v>0</v>
      </c>
      <c r="L19" s="1521"/>
      <c r="M19" s="312" t="str">
        <f t="shared" si="1"/>
        <v/>
      </c>
      <c r="N19" s="1717"/>
      <c r="O19" s="1717"/>
      <c r="P19" s="1445"/>
      <c r="Q19" s="1446"/>
      <c r="T19" s="1445" t="s">
        <v>1088</v>
      </c>
      <c r="U19" s="1446"/>
      <c r="V19" s="305">
        <f t="shared" ref="V19:V73" si="3">IF(AND(DAY(V18)&gt;=6,DAY(V18)&lt;=20),DATE(YEAR(V18),MONTH(V18)+1,DAY(20)),IF(AND(DAY(V18)&gt;=21,DAY(V18)&lt;=30),DATE(YEAR(V18),MONTH(V18)+1,IF(DAY(EOMONTH(V18,1))&lt;30,DAY(EOMONTH(V18,1)),DAY(30))),DATE(YEAR(V18),MONTH(V18)+1,DAY(5))))</f>
        <v>45966</v>
      </c>
      <c r="X19" s="1441" t="s">
        <v>1085</v>
      </c>
      <c r="Y19" s="1441"/>
      <c r="AD19" s="1445"/>
      <c r="AE19" s="1446"/>
    </row>
    <row r="20" spans="1:31" s="22" customFormat="1" ht="12.6">
      <c r="B20" s="238" t="s">
        <v>1090</v>
      </c>
      <c r="C20" s="126"/>
      <c r="D20" s="171" t="s">
        <v>1015</v>
      </c>
      <c r="E20" s="1718"/>
      <c r="F20" s="1453">
        <f>'STANDARD COMP.'!F20:I20</f>
        <v>525686.0930818636</v>
      </c>
      <c r="G20" s="1453"/>
      <c r="H20" s="1453"/>
      <c r="I20" s="1454"/>
      <c r="K20" s="1521">
        <f t="shared" si="2"/>
        <v>0</v>
      </c>
      <c r="L20" s="1521"/>
      <c r="M20" s="312" t="str">
        <f t="shared" si="1"/>
        <v/>
      </c>
      <c r="N20" s="1717"/>
      <c r="O20" s="1717"/>
      <c r="P20" s="1445"/>
      <c r="Q20" s="1446"/>
      <c r="T20" s="1444" t="s">
        <v>1091</v>
      </c>
      <c r="U20" s="1444"/>
      <c r="V20" s="305">
        <f t="shared" si="3"/>
        <v>45996</v>
      </c>
      <c r="W20" s="58" t="s">
        <v>37</v>
      </c>
      <c r="X20" s="1442" t="b">
        <f>IF(DAY(V17)=31,DATE(YEAR(W17),MONTH(W17)+2,DAY(5)))</f>
        <v>0</v>
      </c>
      <c r="Y20" s="1443"/>
      <c r="Z20" s="306">
        <f>IF(AND(DAY(W17)&gt;=6,DAY(W17)&lt;=20),DATE(YEAR(W17),MONTH(W17)+1,DAY(20)),IF(AND(DAY(W17)&gt;=21,DAY(W17)&lt;=31),DATE(YEAR(W17),MONTH(W17)+1,IF(DAY(EOMONTH(W17,1))&lt;30,DAY(EOMONTH(W17,1)),DAY(30))),DATE(YEAR(W17),MONTH(W17)+1,DAY(5))))</f>
        <v>45935</v>
      </c>
      <c r="AD20" s="1445"/>
      <c r="AE20" s="1446"/>
    </row>
    <row r="21" spans="1:31" s="22" customFormat="1" ht="12.6">
      <c r="B21" s="147"/>
      <c r="C21" s="1024"/>
      <c r="D21" s="171"/>
      <c r="E21" s="1719"/>
      <c r="F21" s="1720"/>
      <c r="G21" s="1047"/>
      <c r="H21" s="1047"/>
      <c r="I21" s="1029"/>
      <c r="K21" s="1521">
        <f t="shared" ref="K21:K30" si="4">IF(N21&gt;1,T21,0)</f>
        <v>0</v>
      </c>
      <c r="L21" s="1521"/>
      <c r="M21" s="312" t="str">
        <f t="shared" si="1"/>
        <v/>
      </c>
      <c r="N21" s="1717"/>
      <c r="O21" s="1717"/>
      <c r="P21" s="1445"/>
      <c r="Q21" s="1446"/>
      <c r="T21" s="1444" t="s">
        <v>1094</v>
      </c>
      <c r="U21" s="1444"/>
      <c r="V21" s="305">
        <f t="shared" si="3"/>
        <v>46027</v>
      </c>
      <c r="W21" s="58" t="s">
        <v>1092</v>
      </c>
      <c r="X21" s="1442" t="b">
        <f>IF(DAY(V17)=31,DATE(YEAR(V17),MONTH(V17)+2,DAY(5)))</f>
        <v>0</v>
      </c>
      <c r="Y21" s="1443"/>
      <c r="Z21" s="306">
        <f>IF(AND(DAY(V17)&gt;=6,DAY(V17)&lt;=20),DATE(YEAR(V17),MONTH(V17)+1,DAY(20)),IF(AND(DAY(V17)&gt;=21,DAY(V17)&lt;=30),DATE(YEAR(V17),MONTH(V17)+1,IF(DAY(EOMONTH(V17,1))&lt;31,DAY(EOMONTH(V17,1)),DAY(30))),DATE(YEAR(V17),MONTH(V17)+1,DAY(5))))</f>
        <v>45935</v>
      </c>
      <c r="AD21" s="1445"/>
      <c r="AE21" s="1446"/>
    </row>
    <row r="22" spans="1:31" s="22" customFormat="1" ht="12.6">
      <c r="B22" s="129" t="s">
        <v>1096</v>
      </c>
      <c r="C22" s="101"/>
      <c r="D22" s="295" t="s">
        <v>1015</v>
      </c>
      <c r="E22" s="272"/>
      <c r="F22" s="1399">
        <f>SUM(F19:I20,F17)</f>
        <v>4648714.2741160877</v>
      </c>
      <c r="G22" s="1400"/>
      <c r="H22" s="1400"/>
      <c r="I22" s="1401"/>
      <c r="K22" s="1521">
        <f t="shared" si="4"/>
        <v>0</v>
      </c>
      <c r="L22" s="1521"/>
      <c r="M22" s="312" t="str">
        <f t="shared" si="1"/>
        <v/>
      </c>
      <c r="N22" s="1717"/>
      <c r="O22" s="1717"/>
      <c r="P22" s="1445"/>
      <c r="Q22" s="1446"/>
      <c r="T22" s="1444" t="s">
        <v>1097</v>
      </c>
      <c r="U22" s="1444"/>
      <c r="V22" s="305">
        <f t="shared" si="3"/>
        <v>46058</v>
      </c>
      <c r="X22" s="1441"/>
      <c r="Y22" s="1441"/>
      <c r="AD22" s="1445"/>
      <c r="AE22" s="1446"/>
    </row>
    <row r="23" spans="1:31" s="22" customFormat="1" ht="12.6">
      <c r="A23" s="299"/>
      <c r="B23" s="147"/>
      <c r="C23" s="1024"/>
      <c r="D23" s="171"/>
      <c r="E23" s="1027"/>
      <c r="F23" s="1721"/>
      <c r="G23" s="1721"/>
      <c r="H23" s="1721"/>
      <c r="I23" s="1024"/>
      <c r="J23" s="299"/>
      <c r="K23" s="1521">
        <f t="shared" si="4"/>
        <v>0</v>
      </c>
      <c r="L23" s="1521"/>
      <c r="M23" s="312" t="str">
        <f t="shared" si="1"/>
        <v/>
      </c>
      <c r="N23" s="1717"/>
      <c r="O23" s="1717"/>
      <c r="P23" s="1445"/>
      <c r="Q23" s="1446"/>
      <c r="T23" s="1444" t="s">
        <v>1098</v>
      </c>
      <c r="U23" s="1444"/>
      <c r="V23" s="305">
        <f t="shared" si="3"/>
        <v>46086</v>
      </c>
      <c r="X23" s="1441"/>
      <c r="Y23" s="1441"/>
      <c r="AD23" s="1445"/>
      <c r="AE23" s="1446"/>
    </row>
    <row r="24" spans="1:31" s="299" customFormat="1" ht="12.6">
      <c r="A24" s="22"/>
      <c r="B24" s="129" t="s">
        <v>1099</v>
      </c>
      <c r="C24" s="226"/>
      <c r="D24" s="295" t="s">
        <v>1015</v>
      </c>
      <c r="E24" s="270">
        <f>'STANDARD COMP.'!E24</f>
        <v>0.125</v>
      </c>
      <c r="F24" s="1450">
        <f>F22*E24</f>
        <v>581089.28426451096</v>
      </c>
      <c r="G24" s="1448"/>
      <c r="H24" s="1448"/>
      <c r="I24" s="1449"/>
      <c r="J24" s="22"/>
      <c r="K24" s="1521">
        <f t="shared" si="4"/>
        <v>0</v>
      </c>
      <c r="L24" s="1521"/>
      <c r="M24" s="312" t="str">
        <f t="shared" si="1"/>
        <v/>
      </c>
      <c r="N24" s="1717"/>
      <c r="O24" s="1717"/>
      <c r="P24" s="1445"/>
      <c r="Q24" s="1446"/>
      <c r="T24" s="1444" t="s">
        <v>1100</v>
      </c>
      <c r="U24" s="1444"/>
      <c r="V24" s="305">
        <f t="shared" si="3"/>
        <v>46117</v>
      </c>
      <c r="X24" s="1441"/>
      <c r="Y24" s="1441"/>
      <c r="AD24" s="1445"/>
      <c r="AE24" s="1446"/>
    </row>
    <row r="25" spans="1:31" s="22" customFormat="1" ht="12.6">
      <c r="B25" s="144" t="s">
        <v>1101</v>
      </c>
      <c r="C25" s="148"/>
      <c r="D25" s="171" t="s">
        <v>1015</v>
      </c>
      <c r="E25" s="1042"/>
      <c r="F25" s="1455">
        <f>'STANDARD COMP.'!F25</f>
        <v>30000</v>
      </c>
      <c r="G25" s="1456"/>
      <c r="H25" s="1456"/>
      <c r="I25" s="1457"/>
      <c r="K25" s="1521">
        <f t="shared" si="4"/>
        <v>0</v>
      </c>
      <c r="L25" s="1521"/>
      <c r="M25" s="312" t="str">
        <f t="shared" si="1"/>
        <v/>
      </c>
      <c r="N25" s="1717"/>
      <c r="O25" s="1717"/>
      <c r="P25" s="1445"/>
      <c r="Q25" s="1446"/>
      <c r="T25" s="1444" t="s">
        <v>1102</v>
      </c>
      <c r="U25" s="1444"/>
      <c r="V25" s="305">
        <f t="shared" si="3"/>
        <v>46147</v>
      </c>
      <c r="X25" s="1441"/>
      <c r="Y25" s="1441"/>
      <c r="AD25" s="1445"/>
      <c r="AE25" s="1446"/>
    </row>
    <row r="26" spans="1:31" s="22" customFormat="1" ht="12.6">
      <c r="A26" s="299"/>
      <c r="B26" s="129" t="s">
        <v>1176</v>
      </c>
      <c r="C26" s="101"/>
      <c r="D26" s="295" t="s">
        <v>1015</v>
      </c>
      <c r="E26" s="239"/>
      <c r="F26" s="1450">
        <f>F24-F25</f>
        <v>551089.28426451096</v>
      </c>
      <c r="G26" s="1448"/>
      <c r="H26" s="1448"/>
      <c r="I26" s="1449"/>
      <c r="J26" s="299"/>
      <c r="K26" s="1521">
        <f t="shared" si="4"/>
        <v>0</v>
      </c>
      <c r="L26" s="1521"/>
      <c r="M26" s="312" t="str">
        <f t="shared" si="1"/>
        <v/>
      </c>
      <c r="N26" s="1717"/>
      <c r="O26" s="1717"/>
      <c r="P26" s="1445"/>
      <c r="Q26" s="1446"/>
      <c r="T26" s="1444" t="s">
        <v>1104</v>
      </c>
      <c r="U26" s="1444"/>
      <c r="V26" s="305">
        <f t="shared" si="3"/>
        <v>46178</v>
      </c>
      <c r="X26" s="1441"/>
      <c r="Y26" s="1441"/>
      <c r="AD26" s="1445"/>
      <c r="AE26" s="1446"/>
    </row>
    <row r="27" spans="1:31" s="299" customFormat="1" ht="12.6">
      <c r="B27" s="147"/>
      <c r="C27" s="1024"/>
      <c r="D27" s="171"/>
      <c r="E27" s="1027"/>
      <c r="F27" s="1721"/>
      <c r="G27" s="1721"/>
      <c r="H27" s="1721"/>
      <c r="I27" s="100"/>
      <c r="J27" s="307"/>
      <c r="K27" s="1521">
        <f t="shared" si="4"/>
        <v>0</v>
      </c>
      <c r="L27" s="1521"/>
      <c r="M27" s="312" t="str">
        <f t="shared" si="1"/>
        <v/>
      </c>
      <c r="N27" s="1717"/>
      <c r="O27" s="1717"/>
      <c r="P27" s="1445"/>
      <c r="Q27" s="1446"/>
      <c r="R27" s="299" t="s">
        <v>60</v>
      </c>
      <c r="T27" s="1444" t="s">
        <v>1105</v>
      </c>
      <c r="U27" s="1444"/>
      <c r="V27" s="305">
        <f t="shared" si="3"/>
        <v>46208</v>
      </c>
      <c r="X27" s="1441"/>
      <c r="Y27" s="1441"/>
      <c r="AD27" s="1445"/>
      <c r="AE27" s="1446"/>
    </row>
    <row r="28" spans="1:31" s="299" customFormat="1" ht="12.6">
      <c r="B28" s="1460" t="s">
        <v>1177</v>
      </c>
      <c r="C28" s="1460"/>
      <c r="D28" s="295"/>
      <c r="E28" s="432" t="s">
        <v>1047</v>
      </c>
      <c r="F28" s="433" t="s">
        <v>1046</v>
      </c>
      <c r="G28" s="1461" t="s">
        <v>1178</v>
      </c>
      <c r="H28" s="1461"/>
      <c r="I28" s="1461"/>
      <c r="K28" s="1521">
        <f t="shared" si="4"/>
        <v>0</v>
      </c>
      <c r="L28" s="1521"/>
      <c r="M28" s="312" t="str">
        <f t="shared" si="1"/>
        <v/>
      </c>
      <c r="N28" s="1717"/>
      <c r="O28" s="1717"/>
      <c r="P28" s="1445"/>
      <c r="Q28" s="1446"/>
      <c r="T28" s="1444" t="s">
        <v>1107</v>
      </c>
      <c r="U28" s="1444"/>
      <c r="V28" s="305">
        <f t="shared" si="3"/>
        <v>46239</v>
      </c>
      <c r="X28" s="1441"/>
      <c r="Y28" s="1441"/>
      <c r="AD28" s="1445"/>
      <c r="AE28" s="1446"/>
    </row>
    <row r="29" spans="1:31" s="299" customFormat="1" ht="12.6">
      <c r="A29" s="22"/>
      <c r="B29" s="1458">
        <f>FORM!K39</f>
        <v>0</v>
      </c>
      <c r="C29" s="1458"/>
      <c r="D29" s="295" t="s">
        <v>1015</v>
      </c>
      <c r="E29" s="1722">
        <f>FORM!T39</f>
        <v>0.25</v>
      </c>
      <c r="F29" s="434">
        <f>FORM!P39</f>
        <v>0</v>
      </c>
      <c r="G29" s="1459" t="e">
        <f>F26*E29/F29</f>
        <v>#DIV/0!</v>
      </c>
      <c r="H29" s="1459"/>
      <c r="I29" s="1459"/>
      <c r="J29" s="22"/>
      <c r="K29" s="1521">
        <f t="shared" si="4"/>
        <v>0</v>
      </c>
      <c r="L29" s="1521"/>
      <c r="M29" s="312" t="str">
        <f t="shared" si="1"/>
        <v/>
      </c>
      <c r="N29" s="1717"/>
      <c r="O29" s="1717"/>
      <c r="P29" s="1445"/>
      <c r="Q29" s="1446"/>
      <c r="T29" s="1444" t="s">
        <v>1108</v>
      </c>
      <c r="U29" s="1444"/>
      <c r="V29" s="305">
        <f t="shared" si="3"/>
        <v>46270</v>
      </c>
      <c r="X29" s="1441"/>
      <c r="Y29" s="1441"/>
      <c r="AD29" s="1445"/>
      <c r="AE29" s="1446"/>
    </row>
    <row r="30" spans="1:31" s="22" customFormat="1" ht="12.6">
      <c r="A30" s="299"/>
      <c r="B30" s="1458">
        <f>FORM!K40</f>
        <v>0</v>
      </c>
      <c r="C30" s="1458"/>
      <c r="D30" s="295" t="s">
        <v>1015</v>
      </c>
      <c r="E30" s="1722">
        <f>FORM!T40</f>
        <v>0.35</v>
      </c>
      <c r="F30" s="434">
        <f>FORM!P40</f>
        <v>0</v>
      </c>
      <c r="G30" s="1459" t="e">
        <f>F26*E30/F30</f>
        <v>#DIV/0!</v>
      </c>
      <c r="H30" s="1459"/>
      <c r="I30" s="1459"/>
      <c r="J30" s="299"/>
      <c r="K30" s="1521">
        <f t="shared" si="4"/>
        <v>0</v>
      </c>
      <c r="L30" s="1521"/>
      <c r="M30" s="312" t="str">
        <f t="shared" si="1"/>
        <v/>
      </c>
      <c r="N30" s="1717"/>
      <c r="O30" s="1717"/>
      <c r="P30" s="1445"/>
      <c r="Q30" s="1446"/>
      <c r="R30" s="299"/>
      <c r="S30" s="299"/>
      <c r="T30" s="1444" t="s">
        <v>1110</v>
      </c>
      <c r="U30" s="1444"/>
      <c r="V30" s="305">
        <f t="shared" si="3"/>
        <v>46300</v>
      </c>
      <c r="X30" s="1441"/>
      <c r="Y30" s="1441"/>
      <c r="AD30" s="1445"/>
      <c r="AE30" s="1446"/>
    </row>
    <row r="31" spans="1:31" s="299" customFormat="1" ht="12.6">
      <c r="A31" s="22"/>
      <c r="B31" s="1458">
        <f>FORM!K41</f>
        <v>0</v>
      </c>
      <c r="C31" s="1458"/>
      <c r="D31" s="295" t="s">
        <v>1015</v>
      </c>
      <c r="E31" s="1722">
        <f>FORM!T41</f>
        <v>0.4</v>
      </c>
      <c r="F31" s="434">
        <f>FORM!P41</f>
        <v>0</v>
      </c>
      <c r="G31" s="1459" t="e">
        <f>F26*E31/F31</f>
        <v>#DIV/0!</v>
      </c>
      <c r="H31" s="1459"/>
      <c r="I31" s="1459"/>
      <c r="J31" s="22"/>
      <c r="K31" s="1521">
        <f t="shared" si="0"/>
        <v>0</v>
      </c>
      <c r="L31" s="1521"/>
      <c r="M31" s="312" t="str">
        <f t="shared" si="1"/>
        <v/>
      </c>
      <c r="N31" s="1717"/>
      <c r="O31" s="1717"/>
      <c r="P31" s="1445"/>
      <c r="Q31" s="1446"/>
      <c r="T31" s="1444" t="s">
        <v>1111</v>
      </c>
      <c r="U31" s="1444"/>
      <c r="V31" s="305">
        <f t="shared" si="3"/>
        <v>46331</v>
      </c>
      <c r="X31" s="1441"/>
      <c r="Y31" s="1441"/>
      <c r="AD31" s="1445"/>
      <c r="AE31" s="1446"/>
    </row>
    <row r="32" spans="1:31" s="22" customFormat="1" ht="12.95">
      <c r="A32" s="299"/>
      <c r="B32" s="175"/>
      <c r="C32" s="175"/>
      <c r="D32" s="171"/>
      <c r="E32" s="1027"/>
      <c r="F32" s="435">
        <f>SUM(F29:F31)</f>
        <v>0</v>
      </c>
      <c r="G32" s="1059"/>
      <c r="H32" s="1059"/>
      <c r="I32" s="1024"/>
      <c r="J32" s="299"/>
      <c r="K32" s="1521">
        <f t="shared" si="0"/>
        <v>0</v>
      </c>
      <c r="L32" s="1521"/>
      <c r="M32" s="312" t="str">
        <f t="shared" si="1"/>
        <v/>
      </c>
      <c r="N32" s="1717"/>
      <c r="O32" s="1717"/>
      <c r="P32" s="1445"/>
      <c r="Q32" s="1446"/>
      <c r="R32" s="299"/>
      <c r="S32" s="299"/>
      <c r="T32" s="1444" t="s">
        <v>1113</v>
      </c>
      <c r="U32" s="1444"/>
      <c r="V32" s="305">
        <f t="shared" si="3"/>
        <v>46361</v>
      </c>
      <c r="X32" s="1441"/>
      <c r="Y32" s="1441"/>
      <c r="AD32" s="1445"/>
      <c r="AE32" s="1446"/>
    </row>
    <row r="33" spans="1:31" s="299" customFormat="1" ht="12.6">
      <c r="A33" s="22"/>
      <c r="B33" s="129" t="s">
        <v>1109</v>
      </c>
      <c r="C33" s="101"/>
      <c r="D33" s="295" t="s">
        <v>1015</v>
      </c>
      <c r="E33" s="270">
        <f>100%-E24</f>
        <v>0.875</v>
      </c>
      <c r="F33" s="1450">
        <f>F22*E33</f>
        <v>4067624.9898515767</v>
      </c>
      <c r="G33" s="1448"/>
      <c r="H33" s="1448"/>
      <c r="I33" s="1449"/>
      <c r="J33" s="22"/>
      <c r="K33" s="1521">
        <f t="shared" si="0"/>
        <v>0</v>
      </c>
      <c r="L33" s="1521"/>
      <c r="M33" s="312" t="str">
        <f t="shared" si="1"/>
        <v/>
      </c>
      <c r="N33" s="1717"/>
      <c r="O33" s="1717"/>
      <c r="P33" s="1445"/>
      <c r="Q33" s="1446"/>
      <c r="T33" s="1444" t="s">
        <v>1114</v>
      </c>
      <c r="U33" s="1444"/>
      <c r="V33" s="305">
        <f t="shared" si="3"/>
        <v>46392</v>
      </c>
      <c r="X33" s="1441"/>
      <c r="Y33" s="1441"/>
      <c r="AD33" s="1445"/>
      <c r="AE33" s="1446"/>
    </row>
    <row r="34" spans="1:31" s="22" customFormat="1" ht="12.6">
      <c r="B34" s="147"/>
      <c r="C34" s="1024"/>
      <c r="D34" s="171"/>
      <c r="E34" s="98"/>
      <c r="F34" s="98"/>
      <c r="G34" s="98"/>
      <c r="H34" s="98"/>
      <c r="I34" s="98"/>
      <c r="K34" s="1521">
        <f t="shared" si="0"/>
        <v>0</v>
      </c>
      <c r="L34" s="1521"/>
      <c r="M34" s="312" t="str">
        <f t="shared" si="1"/>
        <v/>
      </c>
      <c r="N34" s="1717"/>
      <c r="O34" s="1717"/>
      <c r="P34" s="1445"/>
      <c r="Q34" s="1446"/>
      <c r="T34" s="1444" t="s">
        <v>1117</v>
      </c>
      <c r="U34" s="1444"/>
      <c r="V34" s="305">
        <f t="shared" si="3"/>
        <v>46423</v>
      </c>
      <c r="X34" s="1441"/>
      <c r="Y34" s="1441"/>
      <c r="AD34" s="1445"/>
      <c r="AE34" s="1446"/>
    </row>
    <row r="35" spans="1:31" s="22" customFormat="1" ht="12.6">
      <c r="A35" s="299"/>
      <c r="B35" s="101" t="s">
        <v>1112</v>
      </c>
      <c r="C35" s="101"/>
      <c r="D35" s="308"/>
      <c r="E35" s="308"/>
      <c r="F35" s="308"/>
      <c r="G35" s="308"/>
      <c r="H35" s="308"/>
      <c r="I35" s="308"/>
      <c r="J35" s="299"/>
      <c r="K35" s="1521">
        <f t="shared" si="0"/>
        <v>0</v>
      </c>
      <c r="L35" s="1521"/>
      <c r="M35" s="312" t="str">
        <f t="shared" si="1"/>
        <v/>
      </c>
      <c r="N35" s="1717"/>
      <c r="O35" s="1717"/>
      <c r="P35" s="1445"/>
      <c r="Q35" s="1446"/>
      <c r="T35" s="1444" t="s">
        <v>1118</v>
      </c>
      <c r="U35" s="1444"/>
      <c r="V35" s="305">
        <f t="shared" si="3"/>
        <v>46451</v>
      </c>
      <c r="X35" s="1441"/>
      <c r="Y35" s="1441"/>
      <c r="AD35" s="1445"/>
      <c r="AE35" s="1446"/>
    </row>
    <row r="36" spans="1:31" s="299" customFormat="1" ht="12.6">
      <c r="A36" s="22"/>
      <c r="B36" s="175"/>
      <c r="C36" s="175"/>
      <c r="D36" s="308"/>
      <c r="E36" s="308"/>
      <c r="F36" s="308"/>
      <c r="G36" s="308"/>
      <c r="H36" s="308"/>
      <c r="I36" s="308"/>
      <c r="J36" s="22"/>
      <c r="K36" s="1521">
        <f t="shared" si="0"/>
        <v>0</v>
      </c>
      <c r="L36" s="1521"/>
      <c r="M36" s="312" t="str">
        <f t="shared" si="1"/>
        <v/>
      </c>
      <c r="N36" s="1717"/>
      <c r="O36" s="1717"/>
      <c r="P36" s="1445"/>
      <c r="Q36" s="1446"/>
      <c r="T36" s="1444" t="s">
        <v>1119</v>
      </c>
      <c r="U36" s="1444"/>
      <c r="V36" s="305">
        <f t="shared" si="3"/>
        <v>46482</v>
      </c>
      <c r="X36" s="1441"/>
      <c r="Y36" s="1441"/>
      <c r="AD36" s="1445"/>
      <c r="AE36" s="1446"/>
    </row>
    <row r="37" spans="1:31" s="22" customFormat="1" ht="12.6">
      <c r="B37" s="577" t="s">
        <v>53</v>
      </c>
      <c r="C37" s="577" t="s">
        <v>54</v>
      </c>
      <c r="D37" s="1463" t="s">
        <v>55</v>
      </c>
      <c r="E37" s="1463"/>
      <c r="F37" s="577" t="s">
        <v>1115</v>
      </c>
      <c r="G37" s="1464" t="s">
        <v>1179</v>
      </c>
      <c r="H37" s="1465"/>
      <c r="I37" s="1466"/>
      <c r="K37" s="1521">
        <f t="shared" si="0"/>
        <v>0</v>
      </c>
      <c r="L37" s="1521"/>
      <c r="M37" s="312" t="str">
        <f t="shared" si="1"/>
        <v/>
      </c>
      <c r="N37" s="1717"/>
      <c r="O37" s="1717"/>
      <c r="P37" s="1445"/>
      <c r="Q37" s="1446"/>
      <c r="T37" s="1444" t="s">
        <v>1120</v>
      </c>
      <c r="U37" s="1444"/>
      <c r="V37" s="305">
        <f t="shared" si="3"/>
        <v>46512</v>
      </c>
      <c r="X37" s="1441"/>
      <c r="Y37" s="1441"/>
      <c r="AD37" s="1445"/>
      <c r="AE37" s="1446"/>
    </row>
    <row r="38" spans="1:31" s="22" customFormat="1" ht="12.6">
      <c r="B38" s="436">
        <v>5</v>
      </c>
      <c r="C38" s="437">
        <f>'STANDARD COMP.'!C35</f>
        <v>7.0000000000000007E-2</v>
      </c>
      <c r="D38" s="1462">
        <f>PMT(C38/12,B38*12,-1)</f>
        <v>1.9801198540349535E-2</v>
      </c>
      <c r="E38" s="1462"/>
      <c r="F38" s="1723">
        <f>D38*F33</f>
        <v>80543.850011738337</v>
      </c>
      <c r="G38" s="1724">
        <f>F38/0.33</f>
        <v>244072.27276284344</v>
      </c>
      <c r="H38" s="1725"/>
      <c r="I38" s="1726"/>
      <c r="K38" s="1666">
        <f>K37</f>
        <v>0</v>
      </c>
      <c r="L38" s="1657"/>
      <c r="M38" s="312" t="str">
        <f t="shared" si="1"/>
        <v/>
      </c>
      <c r="N38" s="1717"/>
      <c r="O38" s="1717"/>
      <c r="P38" s="1445"/>
      <c r="Q38" s="1446"/>
      <c r="T38" s="1444" t="s">
        <v>1121</v>
      </c>
      <c r="U38" s="1444"/>
      <c r="V38" s="305">
        <f t="shared" si="3"/>
        <v>46543</v>
      </c>
      <c r="X38" s="1441"/>
      <c r="Y38" s="1441"/>
      <c r="AD38" s="1445"/>
      <c r="AE38" s="1446"/>
    </row>
    <row r="39" spans="1:31" s="22" customFormat="1" ht="12.6">
      <c r="B39" s="436">
        <v>10</v>
      </c>
      <c r="C39" s="437">
        <f>'STANDARD COMP.'!C36</f>
        <v>7.0000000000000007E-2</v>
      </c>
      <c r="D39" s="1462">
        <f>PMT(C39/12,B39*12,-1)</f>
        <v>1.1610847921862406E-2</v>
      </c>
      <c r="E39" s="1462"/>
      <c r="F39" s="1723">
        <f>D39*F33</f>
        <v>47228.57516033377</v>
      </c>
      <c r="G39" s="1724">
        <f>F39/0.33</f>
        <v>143116.89442525385</v>
      </c>
      <c r="H39" s="1725"/>
      <c r="I39" s="1726"/>
      <c r="K39" s="1666">
        <f t="shared" si="0"/>
        <v>0</v>
      </c>
      <c r="L39" s="1657"/>
      <c r="M39" s="312" t="str">
        <f t="shared" si="1"/>
        <v/>
      </c>
      <c r="N39" s="1717"/>
      <c r="O39" s="1717"/>
      <c r="P39" s="1445"/>
      <c r="Q39" s="1446"/>
      <c r="T39" s="1444" t="s">
        <v>1123</v>
      </c>
      <c r="U39" s="1444"/>
      <c r="V39" s="305">
        <f t="shared" si="3"/>
        <v>46573</v>
      </c>
      <c r="X39" s="1441"/>
      <c r="Y39" s="1441"/>
      <c r="AD39" s="1445"/>
      <c r="AE39" s="1446"/>
    </row>
    <row r="40" spans="1:31" s="22" customFormat="1" ht="12.6">
      <c r="B40" s="436">
        <v>15</v>
      </c>
      <c r="C40" s="437">
        <f>'STANDARD COMP.'!C37</f>
        <v>7.0000000000000007E-2</v>
      </c>
      <c r="D40" s="1462">
        <f>PMT(C40/12,B40*12,-1)</f>
        <v>8.988282708524269E-3</v>
      </c>
      <c r="E40" s="1462"/>
      <c r="F40" s="1723">
        <f>D40*F33</f>
        <v>36560.963361044131</v>
      </c>
      <c r="G40" s="1724">
        <f>F40/0.33</f>
        <v>110790.79806377008</v>
      </c>
      <c r="H40" s="1725"/>
      <c r="I40" s="1726"/>
      <c r="K40" s="1666">
        <f t="shared" si="0"/>
        <v>0</v>
      </c>
      <c r="L40" s="1657"/>
      <c r="M40" s="312" t="str">
        <f t="shared" si="1"/>
        <v/>
      </c>
      <c r="N40" s="1717"/>
      <c r="O40" s="1717"/>
      <c r="P40" s="1445"/>
      <c r="Q40" s="1446"/>
      <c r="T40" s="1444" t="s">
        <v>1125</v>
      </c>
      <c r="U40" s="1444"/>
      <c r="V40" s="305">
        <f t="shared" si="3"/>
        <v>46604</v>
      </c>
      <c r="X40" s="1441"/>
      <c r="Y40" s="1441"/>
      <c r="AD40" s="1445"/>
      <c r="AE40" s="1446"/>
    </row>
    <row r="41" spans="1:31" s="22" customFormat="1" ht="12.6">
      <c r="B41" s="436">
        <v>20</v>
      </c>
      <c r="C41" s="437">
        <f>'STANDARD COMP.'!C38</f>
        <v>7.0000000000000007E-2</v>
      </c>
      <c r="D41" s="1727">
        <f>PMT(C41/12,B41*12,-1)</f>
        <v>7.7529893561887461E-3</v>
      </c>
      <c r="E41" s="1727"/>
      <c r="F41" s="1723">
        <f>D41*F33</f>
        <v>31536.253251286631</v>
      </c>
      <c r="G41" s="1724">
        <f>F41/0.33</f>
        <v>95564.403791777659</v>
      </c>
      <c r="H41" s="1725"/>
      <c r="I41" s="1726"/>
      <c r="K41" s="1666">
        <f t="shared" si="0"/>
        <v>0</v>
      </c>
      <c r="L41" s="1657"/>
      <c r="M41" s="312" t="str">
        <f t="shared" si="1"/>
        <v/>
      </c>
      <c r="N41" s="1717"/>
      <c r="O41" s="1717"/>
      <c r="P41" s="1445"/>
      <c r="Q41" s="1446"/>
      <c r="T41" s="1444" t="s">
        <v>1127</v>
      </c>
      <c r="U41" s="1444"/>
      <c r="V41" s="305">
        <f t="shared" si="3"/>
        <v>46635</v>
      </c>
      <c r="X41" s="1441"/>
      <c r="Y41" s="1441"/>
      <c r="AD41" s="1445"/>
      <c r="AE41" s="1446"/>
    </row>
    <row r="42" spans="1:31" s="22" customFormat="1" ht="12.6">
      <c r="B42" s="979" t="str">
        <f>'STANDARD COMP.'!B39</f>
        <v>Fixed for three (3) years</v>
      </c>
      <c r="G42" s="24"/>
      <c r="K42" s="1445">
        <f t="shared" si="0"/>
        <v>0</v>
      </c>
      <c r="L42" s="1446"/>
      <c r="M42" s="302" t="str">
        <f t="shared" si="1"/>
        <v/>
      </c>
      <c r="N42" s="1717"/>
      <c r="O42" s="1717"/>
      <c r="P42" s="1445"/>
      <c r="Q42" s="1446"/>
      <c r="T42" s="1444" t="s">
        <v>1129</v>
      </c>
      <c r="U42" s="1444"/>
      <c r="V42" s="305">
        <f t="shared" si="3"/>
        <v>46665</v>
      </c>
      <c r="X42" s="1441"/>
      <c r="Y42" s="1441"/>
      <c r="AD42" s="1445"/>
      <c r="AE42" s="1446"/>
    </row>
    <row r="43" spans="1:31" s="22" customFormat="1" ht="12.6">
      <c r="B43" s="979" t="str">
        <f>'STANDARD COMP.'!B40</f>
        <v>Sample Computation for Interest rate is at 7% fixed for three (3) years only</v>
      </c>
      <c r="C43" s="309"/>
      <c r="D43" s="409"/>
      <c r="K43" s="1445">
        <f t="shared" si="0"/>
        <v>0</v>
      </c>
      <c r="L43" s="1446"/>
      <c r="M43" s="302" t="str">
        <f t="shared" si="1"/>
        <v/>
      </c>
      <c r="N43" s="1717"/>
      <c r="O43" s="1717"/>
      <c r="P43" s="1445"/>
      <c r="Q43" s="1446"/>
      <c r="T43" s="1444" t="s">
        <v>1130</v>
      </c>
      <c r="U43" s="1444"/>
      <c r="V43" s="305">
        <f t="shared" si="3"/>
        <v>46696</v>
      </c>
      <c r="X43" s="1441"/>
      <c r="Y43" s="1441"/>
      <c r="AD43" s="1445"/>
      <c r="AE43" s="1446"/>
    </row>
    <row r="44" spans="1:31" s="22" customFormat="1" ht="12.6">
      <c r="B44" s="310" t="s">
        <v>1126</v>
      </c>
      <c r="D44" s="409"/>
      <c r="K44" s="1445">
        <f t="shared" si="0"/>
        <v>0</v>
      </c>
      <c r="L44" s="1446"/>
      <c r="M44" s="302" t="str">
        <f t="shared" si="1"/>
        <v/>
      </c>
      <c r="N44" s="1717"/>
      <c r="O44" s="1717"/>
      <c r="P44" s="1445"/>
      <c r="Q44" s="1446"/>
      <c r="T44" s="1444" t="s">
        <v>1132</v>
      </c>
      <c r="U44" s="1444"/>
      <c r="V44" s="305">
        <f t="shared" si="3"/>
        <v>46726</v>
      </c>
      <c r="X44" s="1441"/>
      <c r="Y44" s="1441"/>
      <c r="AD44" s="1445"/>
      <c r="AE44" s="1446"/>
    </row>
    <row r="45" spans="1:31" s="22" customFormat="1" ht="12.6">
      <c r="B45" s="310" t="s">
        <v>1128</v>
      </c>
      <c r="C45" s="309"/>
      <c r="D45" s="409"/>
      <c r="K45" s="1445">
        <f t="shared" si="0"/>
        <v>0</v>
      </c>
      <c r="L45" s="1446"/>
      <c r="M45" s="302" t="str">
        <f t="shared" si="1"/>
        <v/>
      </c>
      <c r="N45" s="1717"/>
      <c r="O45" s="1717"/>
      <c r="P45" s="1445"/>
      <c r="Q45" s="1446"/>
      <c r="T45" s="1444" t="s">
        <v>1133</v>
      </c>
      <c r="U45" s="1444"/>
      <c r="V45" s="305">
        <f t="shared" si="3"/>
        <v>46757</v>
      </c>
      <c r="X45" s="1441"/>
      <c r="Y45" s="1441"/>
      <c r="AD45" s="1445"/>
      <c r="AE45" s="1446"/>
    </row>
    <row r="46" spans="1:31" s="22" customFormat="1" ht="12.6">
      <c r="B46" s="310"/>
      <c r="C46" s="309"/>
      <c r="D46" s="409"/>
      <c r="K46" s="1445">
        <f t="shared" si="0"/>
        <v>0</v>
      </c>
      <c r="L46" s="1446"/>
      <c r="M46" s="302" t="str">
        <f t="shared" si="1"/>
        <v/>
      </c>
      <c r="N46" s="1717"/>
      <c r="O46" s="1717"/>
      <c r="P46" s="1445"/>
      <c r="Q46" s="1446"/>
      <c r="T46" s="1444" t="s">
        <v>1135</v>
      </c>
      <c r="U46" s="1444"/>
      <c r="V46" s="305">
        <f t="shared" si="3"/>
        <v>46788</v>
      </c>
      <c r="X46" s="1441"/>
      <c r="Y46" s="1441"/>
      <c r="AD46" s="1445"/>
      <c r="AE46" s="1446"/>
    </row>
    <row r="47" spans="1:31" s="22" customFormat="1" ht="12.6">
      <c r="B47" s="101" t="s">
        <v>1131</v>
      </c>
      <c r="C47" s="238"/>
      <c r="D47" s="245"/>
      <c r="E47" s="1153"/>
      <c r="F47" s="1147"/>
      <c r="G47" s="167"/>
      <c r="H47" s="167"/>
      <c r="I47" s="167"/>
      <c r="K47" s="1444">
        <f t="shared" si="0"/>
        <v>0</v>
      </c>
      <c r="L47" s="1444"/>
      <c r="M47" s="302" t="str">
        <f t="shared" si="1"/>
        <v/>
      </c>
      <c r="N47" s="1717"/>
      <c r="O47" s="1717"/>
      <c r="P47" s="1445"/>
      <c r="Q47" s="1446"/>
      <c r="T47" s="1444" t="s">
        <v>1136</v>
      </c>
      <c r="U47" s="1444"/>
      <c r="V47" s="305">
        <f t="shared" si="3"/>
        <v>46817</v>
      </c>
      <c r="X47" s="1441"/>
      <c r="Y47" s="1441"/>
      <c r="AD47" s="1445"/>
      <c r="AE47" s="1446"/>
    </row>
    <row r="48" spans="1:31" s="22" customFormat="1" ht="12.6">
      <c r="B48" s="175"/>
      <c r="C48" s="245"/>
      <c r="D48" s="245"/>
      <c r="E48" s="1154"/>
      <c r="F48" s="1155"/>
      <c r="G48" s="465"/>
      <c r="H48" s="465"/>
      <c r="I48" s="465"/>
      <c r="K48" s="1444">
        <f t="shared" si="0"/>
        <v>0</v>
      </c>
      <c r="L48" s="1444"/>
      <c r="M48" s="302" t="str">
        <f t="shared" si="1"/>
        <v/>
      </c>
      <c r="N48" s="1717"/>
      <c r="O48" s="1717"/>
      <c r="P48" s="1445"/>
      <c r="Q48" s="1446"/>
      <c r="T48" s="1444" t="s">
        <v>1137</v>
      </c>
      <c r="U48" s="1444"/>
      <c r="V48" s="305">
        <f t="shared" si="3"/>
        <v>46848</v>
      </c>
      <c r="X48" s="1441"/>
      <c r="Y48" s="1441"/>
      <c r="AD48" s="1445"/>
      <c r="AE48" s="1446"/>
    </row>
    <row r="49" spans="1:25" s="22" customFormat="1" ht="12.6">
      <c r="A49" s="1020"/>
      <c r="B49" s="129" t="s">
        <v>1134</v>
      </c>
      <c r="C49" s="129"/>
      <c r="D49" s="142" t="s">
        <v>1015</v>
      </c>
      <c r="E49" s="241">
        <v>0.8</v>
      </c>
      <c r="F49" s="1399">
        <f>E49*F22</f>
        <v>3718971.4192928704</v>
      </c>
      <c r="G49" s="1400"/>
      <c r="H49" s="1400"/>
      <c r="I49" s="1401"/>
      <c r="K49" s="1444">
        <f t="shared" si="0"/>
        <v>0</v>
      </c>
      <c r="L49" s="1444"/>
      <c r="M49" s="302" t="str">
        <f t="shared" si="1"/>
        <v/>
      </c>
      <c r="N49" s="1717"/>
      <c r="O49" s="1717"/>
      <c r="P49" s="1445"/>
      <c r="Q49" s="1446"/>
      <c r="T49" s="1444" t="s">
        <v>1138</v>
      </c>
      <c r="U49" s="1444"/>
      <c r="V49" s="305">
        <f t="shared" si="3"/>
        <v>46878</v>
      </c>
      <c r="X49" s="1467"/>
      <c r="Y49" s="1467"/>
    </row>
    <row r="50" spans="1:25">
      <c r="A50" s="22"/>
      <c r="B50" s="1024"/>
      <c r="C50" s="178"/>
      <c r="D50" s="178"/>
      <c r="E50" s="1156"/>
      <c r="F50" s="1059"/>
      <c r="G50" s="1059"/>
      <c r="H50" s="1059"/>
      <c r="I50" s="1059"/>
      <c r="K50" s="1444">
        <f t="shared" si="0"/>
        <v>0</v>
      </c>
      <c r="L50" s="1444"/>
      <c r="M50" s="302" t="str">
        <f t="shared" si="1"/>
        <v/>
      </c>
      <c r="N50" s="1717"/>
      <c r="O50" s="1717"/>
      <c r="P50" s="1445"/>
      <c r="Q50" s="1446"/>
      <c r="T50" s="1444" t="s">
        <v>1139</v>
      </c>
      <c r="U50" s="1444"/>
      <c r="V50" s="305">
        <f t="shared" si="3"/>
        <v>46909</v>
      </c>
    </row>
    <row r="51" spans="1:25" s="22" customFormat="1" ht="12.6">
      <c r="B51" s="208" t="s">
        <v>53</v>
      </c>
      <c r="C51" s="208" t="s">
        <v>54</v>
      </c>
      <c r="D51" s="208" t="s">
        <v>55</v>
      </c>
      <c r="E51" s="208" t="s">
        <v>1115</v>
      </c>
      <c r="F51" s="1402" t="s">
        <v>1116</v>
      </c>
      <c r="G51" s="1402"/>
      <c r="H51" s="1402"/>
      <c r="I51" s="1402"/>
      <c r="K51" s="1444">
        <f t="shared" si="0"/>
        <v>0</v>
      </c>
      <c r="L51" s="1444"/>
      <c r="M51" s="302" t="str">
        <f t="shared" si="1"/>
        <v/>
      </c>
      <c r="N51" s="1717"/>
      <c r="O51" s="1717"/>
      <c r="P51" s="1445"/>
      <c r="Q51" s="1446"/>
      <c r="T51" s="1444" t="s">
        <v>1140</v>
      </c>
      <c r="U51" s="1444"/>
      <c r="V51" s="305">
        <f t="shared" si="3"/>
        <v>46939</v>
      </c>
      <c r="X51" s="76"/>
      <c r="Y51" s="76"/>
    </row>
    <row r="52" spans="1:25" s="22" customFormat="1" ht="12.6">
      <c r="B52" s="246">
        <v>1</v>
      </c>
      <c r="C52" s="1157">
        <v>0.12</v>
      </c>
      <c r="D52" s="248">
        <f>PMT(C52/12,B52*12,-1)</f>
        <v>8.88487886783417E-2</v>
      </c>
      <c r="E52" s="1060">
        <f>$F$49*D52</f>
        <v>330426.10573354474</v>
      </c>
      <c r="F52" s="1403">
        <f>E52/0.33</f>
        <v>1001291.2294955901</v>
      </c>
      <c r="G52" s="1403"/>
      <c r="H52" s="1403"/>
      <c r="I52" s="1403"/>
      <c r="K52" s="1444">
        <f t="shared" si="0"/>
        <v>0</v>
      </c>
      <c r="L52" s="1444"/>
      <c r="M52" s="302" t="str">
        <f t="shared" si="1"/>
        <v/>
      </c>
      <c r="N52" s="1717"/>
      <c r="O52" s="1717"/>
      <c r="P52" s="1445"/>
      <c r="Q52" s="1446"/>
      <c r="T52" s="1444" t="s">
        <v>1141</v>
      </c>
      <c r="U52" s="1444"/>
      <c r="V52" s="305">
        <f t="shared" si="3"/>
        <v>46970</v>
      </c>
      <c r="X52" s="76"/>
      <c r="Y52" s="76"/>
    </row>
    <row r="53" spans="1:25" s="22" customFormat="1" ht="12.6">
      <c r="B53" s="246">
        <v>3</v>
      </c>
      <c r="C53" s="1157">
        <v>0.16</v>
      </c>
      <c r="D53" s="248">
        <f>PMT(C53/12,B53*12,-1)</f>
        <v>3.5157033036350094E-2</v>
      </c>
      <c r="E53" s="1060">
        <f>$F$49*D53</f>
        <v>130748.00104932125</v>
      </c>
      <c r="F53" s="1403">
        <f>E53/0.33</f>
        <v>396206.06378582196</v>
      </c>
      <c r="G53" s="1403"/>
      <c r="H53" s="1403"/>
      <c r="I53" s="1403"/>
      <c r="K53" s="1444">
        <f t="shared" si="0"/>
        <v>0</v>
      </c>
      <c r="L53" s="1444"/>
      <c r="M53" s="302" t="str">
        <f t="shared" si="1"/>
        <v/>
      </c>
      <c r="N53" s="1717"/>
      <c r="O53" s="1717"/>
      <c r="P53" s="1445"/>
      <c r="Q53" s="1446"/>
      <c r="T53" s="1444" t="s">
        <v>1143</v>
      </c>
      <c r="U53" s="1444"/>
      <c r="V53" s="305">
        <f t="shared" si="3"/>
        <v>47001</v>
      </c>
      <c r="X53" s="76"/>
      <c r="Y53" s="76"/>
    </row>
    <row r="54" spans="1:25" s="22" customFormat="1" ht="12.6">
      <c r="B54" s="246">
        <v>5</v>
      </c>
      <c r="C54" s="1157">
        <v>0.18</v>
      </c>
      <c r="D54" s="248">
        <f>PMT(C54/12,B54*12,-1)</f>
        <v>2.5393427427109084E-2</v>
      </c>
      <c r="E54" s="1060">
        <f>$F$49*D54</f>
        <v>94437.430839306369</v>
      </c>
      <c r="F54" s="1403">
        <f>E54/0.33</f>
        <v>286174.03284638294</v>
      </c>
      <c r="G54" s="1403"/>
      <c r="H54" s="1403"/>
      <c r="I54" s="1403"/>
      <c r="K54" s="1444">
        <f t="shared" si="0"/>
        <v>0</v>
      </c>
      <c r="L54" s="1444"/>
      <c r="M54" s="302" t="str">
        <f t="shared" si="1"/>
        <v/>
      </c>
      <c r="N54" s="1717"/>
      <c r="O54" s="1717"/>
      <c r="P54" s="1445"/>
      <c r="Q54" s="1446"/>
      <c r="T54" s="1444" t="s">
        <v>1144</v>
      </c>
      <c r="U54" s="1444"/>
      <c r="V54" s="305">
        <f t="shared" si="3"/>
        <v>47031</v>
      </c>
      <c r="X54" s="76"/>
      <c r="Y54" s="76"/>
    </row>
    <row r="55" spans="1:25" s="22" customFormat="1" ht="12.6">
      <c r="B55" s="246">
        <v>10</v>
      </c>
      <c r="C55" s="1157">
        <v>0.2</v>
      </c>
      <c r="D55" s="248">
        <f>PMT(C55/12,B55*12,-1)</f>
        <v>1.9325567219932577E-2</v>
      </c>
      <c r="E55" s="1060">
        <f>$F$49*D55</f>
        <v>71871.232152552431</v>
      </c>
      <c r="F55" s="1403">
        <f>E55/0.33</f>
        <v>217791.61258349221</v>
      </c>
      <c r="G55" s="1403"/>
      <c r="H55" s="1403"/>
      <c r="I55" s="1403"/>
      <c r="K55" s="1521">
        <f t="shared" si="0"/>
        <v>0</v>
      </c>
      <c r="L55" s="1521"/>
      <c r="M55" s="312" t="str">
        <f t="shared" si="1"/>
        <v/>
      </c>
      <c r="N55" s="1717"/>
      <c r="O55" s="1717"/>
      <c r="P55" s="1445"/>
      <c r="Q55" s="1446"/>
      <c r="T55" s="1444" t="s">
        <v>1145</v>
      </c>
      <c r="U55" s="1444"/>
      <c r="V55" s="305">
        <f t="shared" si="3"/>
        <v>47062</v>
      </c>
      <c r="X55" s="76"/>
      <c r="Y55" s="76"/>
    </row>
    <row r="56" spans="1:25" s="22" customFormat="1" ht="12.95" thickBot="1">
      <c r="B56" s="1158" t="s">
        <v>1142</v>
      </c>
      <c r="C56" s="1159"/>
      <c r="D56" s="1159"/>
      <c r="E56" s="1159"/>
      <c r="F56" s="1159"/>
      <c r="G56" s="1159"/>
      <c r="H56" s="1159"/>
      <c r="I56" s="1159"/>
      <c r="K56" s="1521">
        <f t="shared" si="0"/>
        <v>0</v>
      </c>
      <c r="L56" s="1521"/>
      <c r="M56" s="312" t="str">
        <f t="shared" si="1"/>
        <v/>
      </c>
      <c r="N56" s="1717"/>
      <c r="O56" s="1717"/>
      <c r="P56" s="1445"/>
      <c r="Q56" s="1446"/>
      <c r="T56" s="1444" t="s">
        <v>1147</v>
      </c>
      <c r="U56" s="1444"/>
      <c r="V56" s="305">
        <f t="shared" si="3"/>
        <v>47092</v>
      </c>
      <c r="X56" s="76"/>
      <c r="Y56" s="76"/>
    </row>
    <row r="57" spans="1:25" s="22" customFormat="1" ht="12.6">
      <c r="B57" s="310"/>
      <c r="C57" s="309"/>
      <c r="D57" s="409"/>
      <c r="J57" s="22" t="s">
        <v>60</v>
      </c>
      <c r="K57" s="1521">
        <f t="shared" si="0"/>
        <v>0</v>
      </c>
      <c r="L57" s="1521"/>
      <c r="M57" s="312" t="str">
        <f t="shared" si="1"/>
        <v/>
      </c>
      <c r="N57" s="1717"/>
      <c r="O57" s="1717"/>
      <c r="P57" s="1445"/>
      <c r="Q57" s="1446"/>
      <c r="T57" s="1444" t="s">
        <v>1148</v>
      </c>
      <c r="U57" s="1444"/>
      <c r="V57" s="305">
        <f t="shared" si="3"/>
        <v>47123</v>
      </c>
      <c r="X57" s="76"/>
      <c r="Y57" s="76"/>
    </row>
    <row r="58" spans="1:25" s="22" customFormat="1" ht="12.6">
      <c r="D58" s="409"/>
      <c r="K58" s="1521">
        <f t="shared" ref="K58" si="5">IF(N58&gt;1,T58,0)</f>
        <v>0</v>
      </c>
      <c r="L58" s="1521"/>
      <c r="M58" s="312" t="str">
        <f t="shared" ref="M58:M63" si="6">IF(N58&gt;1,V58,"")</f>
        <v/>
      </c>
      <c r="N58" s="1717"/>
      <c r="O58" s="1717"/>
      <c r="P58" s="1017"/>
      <c r="Q58" s="1018"/>
      <c r="T58" s="1444" t="s">
        <v>1151</v>
      </c>
      <c r="U58" s="1444"/>
      <c r="V58" s="305">
        <f t="shared" si="3"/>
        <v>47154</v>
      </c>
      <c r="X58" s="76"/>
      <c r="Y58" s="76"/>
    </row>
    <row r="59" spans="1:25" s="22" customFormat="1" ht="12.6">
      <c r="B59" s="294" t="s">
        <v>1146</v>
      </c>
      <c r="C59" s="311"/>
      <c r="D59" s="299"/>
      <c r="E59" s="299"/>
      <c r="F59" s="299"/>
      <c r="G59" s="299"/>
      <c r="H59" s="299"/>
      <c r="I59" s="299"/>
      <c r="K59" s="1521">
        <f>IF(N59&gt;1,T59,0)</f>
        <v>0</v>
      </c>
      <c r="L59" s="1521"/>
      <c r="M59" s="312" t="str">
        <f t="shared" si="6"/>
        <v/>
      </c>
      <c r="N59" s="1717"/>
      <c r="O59" s="1717"/>
      <c r="P59" s="1445"/>
      <c r="Q59" s="1446"/>
      <c r="T59" s="1444" t="s">
        <v>1152</v>
      </c>
      <c r="U59" s="1444"/>
      <c r="V59" s="305">
        <f t="shared" si="3"/>
        <v>47182</v>
      </c>
      <c r="X59" s="76"/>
      <c r="Y59" s="76"/>
    </row>
    <row r="60" spans="1:25" s="22" customFormat="1" ht="12.6">
      <c r="B60" s="299"/>
      <c r="C60" s="299"/>
      <c r="D60" s="299"/>
      <c r="E60" s="299"/>
      <c r="F60" s="299"/>
      <c r="G60" s="299"/>
      <c r="H60" s="299"/>
      <c r="I60" s="299"/>
      <c r="K60" s="1521">
        <f t="shared" ref="K60:K73" si="7">IF(N60&gt;1,T60,0)</f>
        <v>0</v>
      </c>
      <c r="L60" s="1521"/>
      <c r="M60" s="312" t="str">
        <f t="shared" si="6"/>
        <v/>
      </c>
      <c r="N60" s="1717"/>
      <c r="O60" s="1717"/>
      <c r="P60" s="1445"/>
      <c r="Q60" s="1446"/>
      <c r="T60" s="1444" t="s">
        <v>1153</v>
      </c>
      <c r="U60" s="1444"/>
      <c r="V60" s="305">
        <f t="shared" si="3"/>
        <v>47213</v>
      </c>
      <c r="X60" s="76"/>
      <c r="Y60" s="76"/>
    </row>
    <row r="61" spans="1:25" s="22" customFormat="1" ht="12.6">
      <c r="B61" s="1402" t="s">
        <v>1027</v>
      </c>
      <c r="C61" s="1402"/>
      <c r="D61" s="1402" t="s">
        <v>1028</v>
      </c>
      <c r="E61" s="1402"/>
      <c r="F61" s="1402"/>
      <c r="G61" s="1402" t="s">
        <v>1150</v>
      </c>
      <c r="H61" s="1402"/>
      <c r="I61" s="1402"/>
      <c r="K61" s="1521">
        <f t="shared" si="7"/>
        <v>0</v>
      </c>
      <c r="L61" s="1521"/>
      <c r="M61" s="312" t="str">
        <f t="shared" si="6"/>
        <v/>
      </c>
      <c r="N61" s="1717"/>
      <c r="O61" s="1717"/>
      <c r="P61" s="1445"/>
      <c r="Q61" s="1446"/>
      <c r="T61" s="1444" t="s">
        <v>1154</v>
      </c>
      <c r="U61" s="1444"/>
      <c r="V61" s="305">
        <f t="shared" si="3"/>
        <v>47243</v>
      </c>
      <c r="X61" s="76"/>
      <c r="Y61" s="76"/>
    </row>
    <row r="62" spans="1:25" s="22" customFormat="1" ht="12.6">
      <c r="B62" s="1429">
        <f>FORM!O19</f>
        <v>0</v>
      </c>
      <c r="C62" s="1430"/>
      <c r="D62" s="1429">
        <f>FORM!S19</f>
        <v>0</v>
      </c>
      <c r="E62" s="1433"/>
      <c r="F62" s="1430"/>
      <c r="G62" s="1435">
        <f>FORM!V19</f>
        <v>0</v>
      </c>
      <c r="H62" s="1436"/>
      <c r="I62" s="1437"/>
      <c r="K62" s="1521">
        <f t="shared" si="7"/>
        <v>0</v>
      </c>
      <c r="L62" s="1521"/>
      <c r="M62" s="312" t="str">
        <f t="shared" si="6"/>
        <v/>
      </c>
      <c r="N62" s="1717"/>
      <c r="O62" s="1717"/>
      <c r="P62" s="1445"/>
      <c r="Q62" s="1446"/>
      <c r="T62" s="1444" t="s">
        <v>1155</v>
      </c>
      <c r="U62" s="1444"/>
      <c r="V62" s="305">
        <f t="shared" si="3"/>
        <v>47274</v>
      </c>
      <c r="X62" s="76"/>
      <c r="Y62" s="76"/>
    </row>
    <row r="63" spans="1:25" s="22" customFormat="1" ht="12.6">
      <c r="B63" s="1431"/>
      <c r="C63" s="1432"/>
      <c r="D63" s="1431"/>
      <c r="E63" s="1434"/>
      <c r="F63" s="1432"/>
      <c r="G63" s="1438"/>
      <c r="H63" s="1439"/>
      <c r="I63" s="1440"/>
      <c r="K63" s="1521">
        <f t="shared" si="7"/>
        <v>0</v>
      </c>
      <c r="L63" s="1521"/>
      <c r="M63" s="312" t="str">
        <f t="shared" si="6"/>
        <v/>
      </c>
      <c r="N63" s="1717"/>
      <c r="O63" s="1717"/>
      <c r="P63" s="1445"/>
      <c r="Q63" s="1446"/>
      <c r="T63" s="1444" t="s">
        <v>1156</v>
      </c>
      <c r="U63" s="1444"/>
      <c r="V63" s="305">
        <f t="shared" si="3"/>
        <v>47304</v>
      </c>
      <c r="X63" s="76"/>
      <c r="Y63" s="76"/>
    </row>
    <row r="64" spans="1:25" s="22" customFormat="1">
      <c r="A64" s="2"/>
      <c r="B64" s="1429">
        <f>FORM!O21</f>
        <v>0</v>
      </c>
      <c r="C64" s="1430"/>
      <c r="D64" s="1429">
        <f>FORM!S21</f>
        <v>0</v>
      </c>
      <c r="E64" s="1433"/>
      <c r="F64" s="1430"/>
      <c r="G64" s="1435">
        <f>FORM!V21</f>
        <v>0</v>
      </c>
      <c r="H64" s="1436"/>
      <c r="I64" s="1437"/>
      <c r="K64" s="1521">
        <f t="shared" si="7"/>
        <v>0</v>
      </c>
      <c r="L64" s="1521"/>
      <c r="M64" s="312" t="str">
        <f t="shared" ref="M64:M72" si="8">IF(N64&gt;1,V64,"")</f>
        <v/>
      </c>
      <c r="N64" s="1717"/>
      <c r="O64" s="1717"/>
      <c r="P64" s="1017"/>
      <c r="Q64" s="1018"/>
      <c r="T64" s="1444" t="s">
        <v>1157</v>
      </c>
      <c r="U64" s="1444"/>
      <c r="V64" s="305">
        <f t="shared" si="3"/>
        <v>47335</v>
      </c>
      <c r="X64" s="76"/>
      <c r="Y64" s="76"/>
    </row>
    <row r="65" spans="2:22">
      <c r="B65" s="1431"/>
      <c r="C65" s="1432"/>
      <c r="D65" s="1431"/>
      <c r="E65" s="1434"/>
      <c r="F65" s="1432"/>
      <c r="G65" s="1438"/>
      <c r="H65" s="1439"/>
      <c r="I65" s="1440"/>
      <c r="K65" s="1521">
        <f t="shared" si="7"/>
        <v>0</v>
      </c>
      <c r="L65" s="1521"/>
      <c r="M65" s="312" t="str">
        <f t="shared" si="8"/>
        <v/>
      </c>
      <c r="N65" s="1717"/>
      <c r="O65" s="1717"/>
      <c r="P65" s="1445"/>
      <c r="Q65" s="1446"/>
      <c r="T65" s="1444" t="s">
        <v>1158</v>
      </c>
      <c r="U65" s="1444"/>
      <c r="V65" s="305">
        <f t="shared" si="3"/>
        <v>47366</v>
      </c>
    </row>
    <row r="66" spans="2:22">
      <c r="B66" s="1429">
        <f>FORM!O25</f>
        <v>0</v>
      </c>
      <c r="C66" s="1430"/>
      <c r="D66" s="1429">
        <f>FORM!S25</f>
        <v>0</v>
      </c>
      <c r="E66" s="1433"/>
      <c r="F66" s="1430"/>
      <c r="G66" s="1435">
        <f>FORM!V25</f>
        <v>0</v>
      </c>
      <c r="H66" s="1436"/>
      <c r="I66" s="1437"/>
      <c r="K66" s="1521">
        <f t="shared" si="7"/>
        <v>0</v>
      </c>
      <c r="L66" s="1521"/>
      <c r="M66" s="312" t="str">
        <f t="shared" si="8"/>
        <v/>
      </c>
      <c r="N66" s="1717"/>
      <c r="O66" s="1717"/>
      <c r="P66" s="1445"/>
      <c r="Q66" s="1446"/>
      <c r="T66" s="1444" t="s">
        <v>1159</v>
      </c>
      <c r="U66" s="1444"/>
      <c r="V66" s="305">
        <f t="shared" si="3"/>
        <v>47396</v>
      </c>
    </row>
    <row r="67" spans="2:22">
      <c r="B67" s="1431"/>
      <c r="C67" s="1432"/>
      <c r="D67" s="1431"/>
      <c r="E67" s="1434"/>
      <c r="F67" s="1432"/>
      <c r="G67" s="1438"/>
      <c r="H67" s="1439"/>
      <c r="I67" s="1440"/>
      <c r="K67" s="1521">
        <f t="shared" si="7"/>
        <v>0</v>
      </c>
      <c r="L67" s="1521"/>
      <c r="M67" s="312" t="str">
        <f t="shared" si="8"/>
        <v/>
      </c>
      <c r="N67" s="1717"/>
      <c r="O67" s="1717"/>
      <c r="P67" s="1445"/>
      <c r="Q67" s="1446"/>
      <c r="T67" s="1444" t="s">
        <v>1160</v>
      </c>
      <c r="U67" s="1444"/>
      <c r="V67" s="305">
        <f t="shared" si="3"/>
        <v>47427</v>
      </c>
    </row>
    <row r="68" spans="2:22">
      <c r="B68" s="1728">
        <f>FORM!O27</f>
        <v>0</v>
      </c>
      <c r="C68" s="1729"/>
      <c r="D68" s="1728">
        <f>FORM!S27</f>
        <v>0</v>
      </c>
      <c r="E68" s="1730"/>
      <c r="F68" s="1729"/>
      <c r="G68" s="1731">
        <f>FORM!V27</f>
        <v>0</v>
      </c>
      <c r="H68" s="1732"/>
      <c r="I68" s="1733"/>
      <c r="K68" s="1521">
        <f t="shared" si="7"/>
        <v>0</v>
      </c>
      <c r="L68" s="1521"/>
      <c r="M68" s="312" t="str">
        <f t="shared" si="8"/>
        <v/>
      </c>
      <c r="N68" s="1717"/>
      <c r="O68" s="1717"/>
      <c r="P68" s="1445"/>
      <c r="Q68" s="1446"/>
      <c r="T68" s="1444" t="s">
        <v>1161</v>
      </c>
      <c r="U68" s="1444"/>
      <c r="V68" s="305">
        <f t="shared" si="3"/>
        <v>47457</v>
      </c>
    </row>
    <row r="69" spans="2:22">
      <c r="B69" s="1734"/>
      <c r="C69" s="1735"/>
      <c r="D69" s="1734"/>
      <c r="E69" s="1736"/>
      <c r="F69" s="1735"/>
      <c r="G69" s="1737"/>
      <c r="H69" s="1738"/>
      <c r="I69" s="1739"/>
      <c r="K69" s="1521">
        <f t="shared" si="7"/>
        <v>0</v>
      </c>
      <c r="L69" s="1521"/>
      <c r="M69" s="312" t="str">
        <f t="shared" si="8"/>
        <v/>
      </c>
      <c r="N69" s="1717"/>
      <c r="O69" s="1717"/>
      <c r="P69" s="1445"/>
      <c r="Q69" s="1446"/>
      <c r="T69" s="1444" t="s">
        <v>1162</v>
      </c>
      <c r="U69" s="1444"/>
      <c r="V69" s="305">
        <f t="shared" si="3"/>
        <v>47488</v>
      </c>
    </row>
    <row r="70" spans="2:22">
      <c r="B70" s="1728">
        <f>FORM!O31</f>
        <v>0</v>
      </c>
      <c r="C70" s="1729"/>
      <c r="D70" s="1728">
        <f>FORM!S31</f>
        <v>0</v>
      </c>
      <c r="E70" s="1730"/>
      <c r="F70" s="1729"/>
      <c r="G70" s="1731">
        <f>FORM!V31</f>
        <v>0</v>
      </c>
      <c r="H70" s="1732"/>
      <c r="I70" s="1733"/>
      <c r="K70" s="1521">
        <f t="shared" si="7"/>
        <v>0</v>
      </c>
      <c r="L70" s="1521"/>
      <c r="M70" s="312" t="str">
        <f t="shared" si="8"/>
        <v/>
      </c>
      <c r="N70" s="1717"/>
      <c r="O70" s="1717"/>
      <c r="P70" s="1445"/>
      <c r="Q70" s="1446"/>
      <c r="T70" s="1444" t="s">
        <v>1163</v>
      </c>
      <c r="U70" s="1444"/>
      <c r="V70" s="305">
        <f t="shared" si="3"/>
        <v>47519</v>
      </c>
    </row>
    <row r="71" spans="2:22">
      <c r="B71" s="1734"/>
      <c r="C71" s="1735"/>
      <c r="D71" s="1734"/>
      <c r="E71" s="1736"/>
      <c r="F71" s="1735"/>
      <c r="G71" s="1737"/>
      <c r="H71" s="1738"/>
      <c r="I71" s="1739"/>
      <c r="K71" s="1521">
        <f t="shared" si="7"/>
        <v>0</v>
      </c>
      <c r="L71" s="1521"/>
      <c r="M71" s="312" t="str">
        <f t="shared" si="8"/>
        <v/>
      </c>
      <c r="N71" s="1717"/>
      <c r="O71" s="1717"/>
      <c r="P71" s="1445"/>
      <c r="Q71" s="1446"/>
      <c r="T71" s="1444" t="s">
        <v>1164</v>
      </c>
      <c r="U71" s="1444"/>
      <c r="V71" s="305">
        <f t="shared" si="3"/>
        <v>47547</v>
      </c>
    </row>
    <row r="72" spans="2:22">
      <c r="B72" s="1728">
        <f>FORM!O33</f>
        <v>0</v>
      </c>
      <c r="C72" s="1729"/>
      <c r="D72" s="1728">
        <f>FORM!S33</f>
        <v>0</v>
      </c>
      <c r="E72" s="1730"/>
      <c r="F72" s="1729"/>
      <c r="G72" s="1731">
        <f>FORM!V33</f>
        <v>0</v>
      </c>
      <c r="H72" s="1732"/>
      <c r="I72" s="1733"/>
      <c r="K72" s="1521">
        <f t="shared" si="7"/>
        <v>0</v>
      </c>
      <c r="L72" s="1521"/>
      <c r="M72" s="312" t="str">
        <f t="shared" si="8"/>
        <v/>
      </c>
      <c r="N72" s="1717"/>
      <c r="O72" s="1717"/>
      <c r="P72" s="1445"/>
      <c r="Q72" s="1446"/>
      <c r="T72" s="1444" t="s">
        <v>1166</v>
      </c>
      <c r="U72" s="1444"/>
      <c r="V72" s="305">
        <f t="shared" si="3"/>
        <v>47578</v>
      </c>
    </row>
    <row r="73" spans="2:22">
      <c r="B73" s="1734"/>
      <c r="C73" s="1735"/>
      <c r="D73" s="1734"/>
      <c r="E73" s="1736"/>
      <c r="F73" s="1735"/>
      <c r="G73" s="1737"/>
      <c r="H73" s="1738"/>
      <c r="I73" s="1739"/>
      <c r="K73" s="1521">
        <f t="shared" si="7"/>
        <v>0</v>
      </c>
      <c r="L73" s="1521"/>
      <c r="M73" s="312" t="str">
        <f>IF(N73&gt;1,V73,"")</f>
        <v/>
      </c>
      <c r="N73" s="1469"/>
      <c r="O73" s="1469"/>
      <c r="P73" s="1445"/>
      <c r="Q73" s="1446"/>
      <c r="T73" s="1444" t="s">
        <v>1180</v>
      </c>
      <c r="U73" s="1444"/>
      <c r="V73" s="305">
        <f t="shared" si="3"/>
        <v>47608</v>
      </c>
    </row>
    <row r="74" spans="2:22">
      <c r="B74" s="1020"/>
      <c r="C74" s="1020"/>
      <c r="D74" s="1066"/>
      <c r="E74" s="1020"/>
      <c r="F74" s="1020"/>
      <c r="G74" s="1020"/>
      <c r="H74" s="1020"/>
      <c r="I74" s="1020"/>
      <c r="K74" s="1521" t="s">
        <v>1167</v>
      </c>
      <c r="L74" s="1521"/>
      <c r="M74" s="312">
        <f>IF(DAY(M17)=31,X20,Z20)</f>
        <v>45935</v>
      </c>
      <c r="N74" s="1468">
        <f>F33</f>
        <v>4067624.9898515767</v>
      </c>
      <c r="O74" s="1468"/>
      <c r="P74" s="1445"/>
      <c r="Q74" s="1446"/>
    </row>
    <row r="75" spans="2:22">
      <c r="B75" s="250"/>
      <c r="C75" s="161" t="s">
        <v>1181</v>
      </c>
      <c r="D75" s="1740"/>
      <c r="E75" s="1740"/>
      <c r="F75" s="1740"/>
      <c r="G75" s="1020"/>
      <c r="H75" s="1020"/>
      <c r="I75" s="1020"/>
      <c r="K75" s="313"/>
      <c r="L75" s="22"/>
      <c r="M75" s="314"/>
      <c r="N75" s="22"/>
      <c r="O75" s="22"/>
      <c r="P75" s="22"/>
      <c r="Q75" s="22"/>
    </row>
    <row r="76" spans="2:22">
      <c r="B76" s="439"/>
      <c r="C76" s="1024"/>
      <c r="D76" s="1024"/>
      <c r="E76" s="1024"/>
      <c r="F76" s="100"/>
      <c r="G76" s="1020"/>
      <c r="H76" s="1020"/>
      <c r="I76" s="1020"/>
      <c r="K76" s="438"/>
      <c r="L76" s="1020"/>
      <c r="M76" s="1088"/>
      <c r="N76" s="1020"/>
      <c r="O76" s="1020"/>
      <c r="P76" s="1020"/>
      <c r="Q76" s="1020"/>
    </row>
    <row r="77" spans="2:22">
      <c r="B77" s="3" t="s">
        <v>1168</v>
      </c>
      <c r="C77" s="3"/>
      <c r="D77" s="3"/>
      <c r="E77" s="3"/>
      <c r="F77" s="3" t="s">
        <v>1169</v>
      </c>
      <c r="G77" s="3"/>
      <c r="H77" s="3"/>
      <c r="I77" s="1020"/>
      <c r="K77" s="1020"/>
      <c r="L77" s="1020"/>
      <c r="M77" s="1088"/>
      <c r="N77" s="1020"/>
      <c r="O77" s="1020"/>
      <c r="P77" s="1020"/>
      <c r="Q77" s="1020"/>
    </row>
    <row r="78" spans="2:22">
      <c r="B78" s="1020"/>
      <c r="C78" s="1020"/>
      <c r="D78" s="1066"/>
      <c r="E78" s="1020"/>
      <c r="F78" s="1020"/>
      <c r="G78" s="1020"/>
      <c r="H78" s="1020"/>
      <c r="I78" s="1020"/>
      <c r="K78" s="3" t="s">
        <v>1168</v>
      </c>
      <c r="L78" s="3"/>
      <c r="M78" s="3"/>
      <c r="N78" s="3"/>
      <c r="O78" s="1020"/>
      <c r="P78" s="3" t="s">
        <v>1169</v>
      </c>
      <c r="Q78" s="3"/>
    </row>
    <row r="79" spans="2:22">
      <c r="B79" s="1741" t="str">
        <f>'STANDARD COMP.'!B81:D81</f>
        <v xml:space="preserve">agent </v>
      </c>
      <c r="C79" s="1741"/>
      <c r="D79" s="1742"/>
      <c r="E79" s="1020"/>
      <c r="F79" s="1741" t="str">
        <f>'STANDARD COMP.'!F81:I81</f>
        <v>buyer</v>
      </c>
      <c r="G79" s="1741"/>
      <c r="H79" s="1020"/>
      <c r="I79" s="1020"/>
      <c r="K79" s="1020"/>
      <c r="L79" s="1020"/>
      <c r="M79" s="1066"/>
      <c r="N79" s="1020"/>
      <c r="O79" s="1020"/>
      <c r="P79" s="1020"/>
      <c r="Q79" s="1020"/>
    </row>
    <row r="80" spans="2:22">
      <c r="B80" s="1743" t="s">
        <v>1171</v>
      </c>
      <c r="C80" s="1743"/>
      <c r="D80" s="1066"/>
      <c r="E80" s="1020"/>
      <c r="F80" s="1743" t="s">
        <v>1171</v>
      </c>
      <c r="G80" s="1743"/>
      <c r="H80" s="1020"/>
      <c r="I80" s="1020"/>
      <c r="K80" s="1020"/>
      <c r="L80" s="1020"/>
      <c r="M80" s="1066"/>
      <c r="N80" s="1020"/>
      <c r="O80" s="1020"/>
      <c r="P80" s="1020"/>
      <c r="Q80" s="1020"/>
    </row>
    <row r="81" spans="2:17">
      <c r="B81" s="1020"/>
      <c r="C81" s="1020"/>
      <c r="D81" s="1066"/>
      <c r="E81" s="1020"/>
      <c r="F81" s="1020"/>
      <c r="G81" s="1020"/>
      <c r="H81" s="1020"/>
      <c r="I81" s="1020"/>
      <c r="K81" s="1741" t="str">
        <f>B79</f>
        <v xml:space="preserve">agent </v>
      </c>
      <c r="L81" s="1741"/>
      <c r="M81" s="1741"/>
      <c r="N81" s="1020"/>
      <c r="O81" s="1020"/>
      <c r="P81" s="1741" t="str">
        <f>F79</f>
        <v>buyer</v>
      </c>
      <c r="Q81" s="1741"/>
    </row>
    <row r="82" spans="2:17">
      <c r="B82" s="1020"/>
      <c r="C82" s="1020"/>
      <c r="D82" s="1066"/>
      <c r="E82" s="1020"/>
      <c r="F82" s="1020"/>
      <c r="G82" s="1020"/>
      <c r="H82" s="1020"/>
      <c r="I82" s="1020"/>
      <c r="K82" s="1743" t="s">
        <v>1171</v>
      </c>
      <c r="L82" s="1743"/>
      <c r="M82" s="1744"/>
      <c r="N82" s="1020"/>
      <c r="O82" s="1020"/>
      <c r="P82" s="1743" t="s">
        <v>1171</v>
      </c>
      <c r="Q82" s="1743"/>
    </row>
    <row r="83" spans="2:17">
      <c r="M83" s="2"/>
    </row>
    <row r="84" spans="2:17">
      <c r="M84" s="2"/>
    </row>
    <row r="114" spans="1:1">
      <c r="A114" s="315">
        <f>F17*12%</f>
        <v>494763.38172410685</v>
      </c>
    </row>
  </sheetData>
  <sheetProtection password="CC2E" sheet="1" formatCells="0" formatColumns="0" formatRows="0"/>
  <mergeCells count="379">
    <mergeCell ref="K81:M81"/>
    <mergeCell ref="P81:Q81"/>
    <mergeCell ref="T58:U58"/>
    <mergeCell ref="B70:C71"/>
    <mergeCell ref="D70:F71"/>
    <mergeCell ref="G70:I71"/>
    <mergeCell ref="K63:L63"/>
    <mergeCell ref="N63:O63"/>
    <mergeCell ref="P63:Q63"/>
    <mergeCell ref="K61:L61"/>
    <mergeCell ref="N61:O61"/>
    <mergeCell ref="K72:L72"/>
    <mergeCell ref="N72:O72"/>
    <mergeCell ref="P72:Q72"/>
    <mergeCell ref="K67:L67"/>
    <mergeCell ref="N67:O67"/>
    <mergeCell ref="P67:Q67"/>
    <mergeCell ref="K71:L71"/>
    <mergeCell ref="N71:O71"/>
    <mergeCell ref="P71:Q71"/>
    <mergeCell ref="K68:L68"/>
    <mergeCell ref="N68:O68"/>
    <mergeCell ref="P68:Q68"/>
    <mergeCell ref="K69:L69"/>
    <mergeCell ref="B79:C79"/>
    <mergeCell ref="F79:G79"/>
    <mergeCell ref="T59:U59"/>
    <mergeCell ref="B72:C73"/>
    <mergeCell ref="D72:F73"/>
    <mergeCell ref="G72:I73"/>
    <mergeCell ref="D75:F75"/>
    <mergeCell ref="N69:O69"/>
    <mergeCell ref="P69:Q69"/>
    <mergeCell ref="K70:L70"/>
    <mergeCell ref="N70:O70"/>
    <mergeCell ref="P70:Q70"/>
    <mergeCell ref="T68:U68"/>
    <mergeCell ref="T69:U69"/>
    <mergeCell ref="T70:U70"/>
    <mergeCell ref="T71:U71"/>
    <mergeCell ref="T72:U72"/>
    <mergeCell ref="T73:U73"/>
    <mergeCell ref="B68:C69"/>
    <mergeCell ref="D68:F69"/>
    <mergeCell ref="G68:I69"/>
    <mergeCell ref="K57:L57"/>
    <mergeCell ref="N57:O57"/>
    <mergeCell ref="P57:Q57"/>
    <mergeCell ref="T57:U57"/>
    <mergeCell ref="K74:L74"/>
    <mergeCell ref="N74:O74"/>
    <mergeCell ref="P74:Q74"/>
    <mergeCell ref="K73:L73"/>
    <mergeCell ref="N73:O73"/>
    <mergeCell ref="P73:Q73"/>
    <mergeCell ref="P60:Q60"/>
    <mergeCell ref="K54:L54"/>
    <mergeCell ref="N54:O54"/>
    <mergeCell ref="P54:Q54"/>
    <mergeCell ref="T54:U54"/>
    <mergeCell ref="B66:C67"/>
    <mergeCell ref="D66:F67"/>
    <mergeCell ref="G66:I67"/>
    <mergeCell ref="K55:L55"/>
    <mergeCell ref="N55:O55"/>
    <mergeCell ref="P55:Q55"/>
    <mergeCell ref="T55:U55"/>
    <mergeCell ref="K56:L56"/>
    <mergeCell ref="N56:O56"/>
    <mergeCell ref="P56:Q56"/>
    <mergeCell ref="T56:U56"/>
    <mergeCell ref="P61:Q61"/>
    <mergeCell ref="K62:L62"/>
    <mergeCell ref="N62:O62"/>
    <mergeCell ref="P62:Q62"/>
    <mergeCell ref="K59:L59"/>
    <mergeCell ref="N59:O59"/>
    <mergeCell ref="P59:Q59"/>
    <mergeCell ref="K60:L60"/>
    <mergeCell ref="N60:O60"/>
    <mergeCell ref="X49:Y49"/>
    <mergeCell ref="N52:O52"/>
    <mergeCell ref="P52:Q52"/>
    <mergeCell ref="T52:U52"/>
    <mergeCell ref="B64:C65"/>
    <mergeCell ref="D64:F65"/>
    <mergeCell ref="G64:I65"/>
    <mergeCell ref="K53:L53"/>
    <mergeCell ref="N53:O53"/>
    <mergeCell ref="P53:Q53"/>
    <mergeCell ref="T53:U53"/>
    <mergeCell ref="K52:L52"/>
    <mergeCell ref="B61:C61"/>
    <mergeCell ref="D61:F61"/>
    <mergeCell ref="G61:I61"/>
    <mergeCell ref="K50:L50"/>
    <mergeCell ref="N50:O50"/>
    <mergeCell ref="P50:Q50"/>
    <mergeCell ref="T50:U50"/>
    <mergeCell ref="B62:C63"/>
    <mergeCell ref="D62:F63"/>
    <mergeCell ref="G62:I63"/>
    <mergeCell ref="K51:L51"/>
    <mergeCell ref="N51:O51"/>
    <mergeCell ref="P51:Q51"/>
    <mergeCell ref="T51:U51"/>
    <mergeCell ref="K49:L49"/>
    <mergeCell ref="N49:O49"/>
    <mergeCell ref="P49:Q49"/>
    <mergeCell ref="T49:U49"/>
    <mergeCell ref="K48:L48"/>
    <mergeCell ref="N48:O48"/>
    <mergeCell ref="P48:Q48"/>
    <mergeCell ref="T48:U48"/>
    <mergeCell ref="X48:Y48"/>
    <mergeCell ref="AD48:AE48"/>
    <mergeCell ref="K47:L47"/>
    <mergeCell ref="N47:O47"/>
    <mergeCell ref="P47:Q47"/>
    <mergeCell ref="T47:U47"/>
    <mergeCell ref="X47:Y47"/>
    <mergeCell ref="AD47:AE47"/>
    <mergeCell ref="K46:L46"/>
    <mergeCell ref="N46:O46"/>
    <mergeCell ref="P46:Q46"/>
    <mergeCell ref="T46:U46"/>
    <mergeCell ref="X46:Y46"/>
    <mergeCell ref="AD46:AE46"/>
    <mergeCell ref="K45:L45"/>
    <mergeCell ref="N45:O45"/>
    <mergeCell ref="P45:Q45"/>
    <mergeCell ref="T45:U45"/>
    <mergeCell ref="X45:Y45"/>
    <mergeCell ref="AD45:AE45"/>
    <mergeCell ref="K44:L44"/>
    <mergeCell ref="N44:O44"/>
    <mergeCell ref="P44:Q44"/>
    <mergeCell ref="T44:U44"/>
    <mergeCell ref="X44:Y44"/>
    <mergeCell ref="AD44:AE44"/>
    <mergeCell ref="K43:L43"/>
    <mergeCell ref="N43:O43"/>
    <mergeCell ref="P43:Q43"/>
    <mergeCell ref="T43:U43"/>
    <mergeCell ref="X43:Y43"/>
    <mergeCell ref="AD43:AE43"/>
    <mergeCell ref="D41:E41"/>
    <mergeCell ref="G41:I41"/>
    <mergeCell ref="K42:L42"/>
    <mergeCell ref="N42:O42"/>
    <mergeCell ref="P42:Q42"/>
    <mergeCell ref="T42:U42"/>
    <mergeCell ref="K41:L41"/>
    <mergeCell ref="N41:O41"/>
    <mergeCell ref="P41:Q41"/>
    <mergeCell ref="T41:U41"/>
    <mergeCell ref="X41:Y41"/>
    <mergeCell ref="AD41:AE41"/>
    <mergeCell ref="P40:Q40"/>
    <mergeCell ref="T40:U40"/>
    <mergeCell ref="K39:L39"/>
    <mergeCell ref="N39:O39"/>
    <mergeCell ref="P39:Q39"/>
    <mergeCell ref="T39:U39"/>
    <mergeCell ref="X39:Y39"/>
    <mergeCell ref="AD39:AE39"/>
    <mergeCell ref="X42:Y42"/>
    <mergeCell ref="AD42:AE42"/>
    <mergeCell ref="P37:Q37"/>
    <mergeCell ref="T37:U37"/>
    <mergeCell ref="D39:E39"/>
    <mergeCell ref="G39:I39"/>
    <mergeCell ref="X38:Y38"/>
    <mergeCell ref="X37:Y37"/>
    <mergeCell ref="AD37:AE37"/>
    <mergeCell ref="D40:E40"/>
    <mergeCell ref="G40:I40"/>
    <mergeCell ref="D37:E37"/>
    <mergeCell ref="G37:I37"/>
    <mergeCell ref="K38:L38"/>
    <mergeCell ref="N38:O38"/>
    <mergeCell ref="P38:Q38"/>
    <mergeCell ref="T38:U38"/>
    <mergeCell ref="K37:L37"/>
    <mergeCell ref="N37:O37"/>
    <mergeCell ref="D38:E38"/>
    <mergeCell ref="G38:I38"/>
    <mergeCell ref="X40:Y40"/>
    <mergeCell ref="AD40:AE40"/>
    <mergeCell ref="AD38:AE38"/>
    <mergeCell ref="K40:L40"/>
    <mergeCell ref="N40:O40"/>
    <mergeCell ref="AD35:AE35"/>
    <mergeCell ref="K36:L36"/>
    <mergeCell ref="N36:O36"/>
    <mergeCell ref="P36:Q36"/>
    <mergeCell ref="T36:U36"/>
    <mergeCell ref="X36:Y36"/>
    <mergeCell ref="AD36:AE36"/>
    <mergeCell ref="K35:L35"/>
    <mergeCell ref="N35:O35"/>
    <mergeCell ref="P35:Q35"/>
    <mergeCell ref="T35:U35"/>
    <mergeCell ref="X35:Y35"/>
    <mergeCell ref="B31:C31"/>
    <mergeCell ref="G31:I31"/>
    <mergeCell ref="K33:L33"/>
    <mergeCell ref="N33:O33"/>
    <mergeCell ref="P33:Q33"/>
    <mergeCell ref="T33:U33"/>
    <mergeCell ref="X33:Y33"/>
    <mergeCell ref="AD33:AE33"/>
    <mergeCell ref="F33:I33"/>
    <mergeCell ref="K32:L32"/>
    <mergeCell ref="N32:O32"/>
    <mergeCell ref="P32:Q32"/>
    <mergeCell ref="T32:U32"/>
    <mergeCell ref="K31:L31"/>
    <mergeCell ref="N31:O31"/>
    <mergeCell ref="P31:Q31"/>
    <mergeCell ref="T31:U31"/>
    <mergeCell ref="X31:Y31"/>
    <mergeCell ref="AD31:AE31"/>
    <mergeCell ref="K34:L34"/>
    <mergeCell ref="N34:O34"/>
    <mergeCell ref="P34:Q34"/>
    <mergeCell ref="T34:U34"/>
    <mergeCell ref="X34:Y34"/>
    <mergeCell ref="AD34:AE34"/>
    <mergeCell ref="X32:Y32"/>
    <mergeCell ref="AD32:AE32"/>
    <mergeCell ref="B28:C28"/>
    <mergeCell ref="G28:I28"/>
    <mergeCell ref="K30:L30"/>
    <mergeCell ref="N30:O30"/>
    <mergeCell ref="P30:Q30"/>
    <mergeCell ref="T30:U30"/>
    <mergeCell ref="AD28:AE28"/>
    <mergeCell ref="K29:L29"/>
    <mergeCell ref="N29:O29"/>
    <mergeCell ref="P29:Q29"/>
    <mergeCell ref="T29:U29"/>
    <mergeCell ref="X29:Y29"/>
    <mergeCell ref="AD29:AE29"/>
    <mergeCell ref="B30:C30"/>
    <mergeCell ref="G30:I30"/>
    <mergeCell ref="K28:L28"/>
    <mergeCell ref="N28:O28"/>
    <mergeCell ref="P28:Q28"/>
    <mergeCell ref="T28:U28"/>
    <mergeCell ref="X28:Y28"/>
    <mergeCell ref="X30:Y30"/>
    <mergeCell ref="AD30:AE30"/>
    <mergeCell ref="B29:C29"/>
    <mergeCell ref="G29:I29"/>
    <mergeCell ref="AD26:AE26"/>
    <mergeCell ref="K27:L27"/>
    <mergeCell ref="N27:O27"/>
    <mergeCell ref="P27:Q27"/>
    <mergeCell ref="T27:U27"/>
    <mergeCell ref="X27:Y27"/>
    <mergeCell ref="AD27:AE27"/>
    <mergeCell ref="F25:I25"/>
    <mergeCell ref="K26:L26"/>
    <mergeCell ref="N26:O26"/>
    <mergeCell ref="P26:Q26"/>
    <mergeCell ref="T26:U26"/>
    <mergeCell ref="X26:Y26"/>
    <mergeCell ref="F26:I26"/>
    <mergeCell ref="AD24:AE24"/>
    <mergeCell ref="K25:L25"/>
    <mergeCell ref="N25:O25"/>
    <mergeCell ref="P25:Q25"/>
    <mergeCell ref="T25:U25"/>
    <mergeCell ref="X25:Y25"/>
    <mergeCell ref="AD25:AE25"/>
    <mergeCell ref="F24:I24"/>
    <mergeCell ref="K24:L24"/>
    <mergeCell ref="N24:O24"/>
    <mergeCell ref="P24:Q24"/>
    <mergeCell ref="T24:U24"/>
    <mergeCell ref="X24:Y24"/>
    <mergeCell ref="AD22:AE22"/>
    <mergeCell ref="K23:L23"/>
    <mergeCell ref="N23:O23"/>
    <mergeCell ref="P23:Q23"/>
    <mergeCell ref="T23:U23"/>
    <mergeCell ref="X23:Y23"/>
    <mergeCell ref="AD23:AE23"/>
    <mergeCell ref="F22:I22"/>
    <mergeCell ref="K22:L22"/>
    <mergeCell ref="N22:O22"/>
    <mergeCell ref="P22:Q22"/>
    <mergeCell ref="T22:U22"/>
    <mergeCell ref="X22:Y22"/>
    <mergeCell ref="K21:L21"/>
    <mergeCell ref="N21:O21"/>
    <mergeCell ref="P21:Q21"/>
    <mergeCell ref="T21:U21"/>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F17:I17"/>
    <mergeCell ref="K17:L17"/>
    <mergeCell ref="N17:O17"/>
    <mergeCell ref="P17:Q17"/>
    <mergeCell ref="T17:U17"/>
    <mergeCell ref="K18:L18"/>
    <mergeCell ref="N18:O18"/>
    <mergeCell ref="P18:Q18"/>
    <mergeCell ref="T18:U18"/>
    <mergeCell ref="E13:F13"/>
    <mergeCell ref="G13:I13"/>
    <mergeCell ref="N13:O13"/>
    <mergeCell ref="P13:Q13"/>
    <mergeCell ref="F15:I15"/>
    <mergeCell ref="K15:L16"/>
    <mergeCell ref="M15:M16"/>
    <mergeCell ref="N15:O16"/>
    <mergeCell ref="P15:Q16"/>
    <mergeCell ref="F16:I16"/>
    <mergeCell ref="E12:F12"/>
    <mergeCell ref="G12:I12"/>
    <mergeCell ref="N12:O12"/>
    <mergeCell ref="P12:Q12"/>
    <mergeCell ref="E8:I8"/>
    <mergeCell ref="N8:Q8"/>
    <mergeCell ref="E9:I9"/>
    <mergeCell ref="N9:Q9"/>
    <mergeCell ref="E10:I10"/>
    <mergeCell ref="N10:Q10"/>
    <mergeCell ref="G1:I1"/>
    <mergeCell ref="B3:I4"/>
    <mergeCell ref="K3:Q4"/>
    <mergeCell ref="E6:I6"/>
    <mergeCell ref="N6:Q6"/>
    <mergeCell ref="N7:Q7"/>
    <mergeCell ref="E11:F11"/>
    <mergeCell ref="G11:I11"/>
    <mergeCell ref="N11:O11"/>
    <mergeCell ref="P11:Q11"/>
    <mergeCell ref="E7:F7"/>
    <mergeCell ref="F49:I49"/>
    <mergeCell ref="F51:I51"/>
    <mergeCell ref="F52:I52"/>
    <mergeCell ref="F53:I53"/>
    <mergeCell ref="F54:I54"/>
    <mergeCell ref="F55:I55"/>
    <mergeCell ref="T67:U67"/>
    <mergeCell ref="K58:L58"/>
    <mergeCell ref="K64:L64"/>
    <mergeCell ref="N58:O58"/>
    <mergeCell ref="N64:O64"/>
    <mergeCell ref="T60:U60"/>
    <mergeCell ref="T61:U61"/>
    <mergeCell ref="T62:U62"/>
    <mergeCell ref="T63:U63"/>
    <mergeCell ref="T64:U64"/>
    <mergeCell ref="K66:L66"/>
    <mergeCell ref="N66:O66"/>
    <mergeCell ref="P66:Q66"/>
    <mergeCell ref="K65:L65"/>
    <mergeCell ref="N65:O65"/>
    <mergeCell ref="P65:Q65"/>
    <mergeCell ref="T65:U65"/>
    <mergeCell ref="T66:U66"/>
  </mergeCells>
  <pageMargins left="0.59055118110236227" right="0.59055118110236227" top="0.78625"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68" man="1"/>
  </colBreaks>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
  <dimension ref="A1:U123"/>
  <sheetViews>
    <sheetView showGridLines="0" showZeros="0" view="pageLayout" topLeftCell="A91" zoomScaleNormal="100" zoomScaleSheetLayoutView="85" workbookViewId="0">
      <selection activeCell="T114" sqref="T114"/>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1182</v>
      </c>
      <c r="B3" s="22"/>
      <c r="C3" s="76"/>
      <c r="D3" s="1471" t="str">
        <f>FORM!I26</f>
        <v>buyer</v>
      </c>
      <c r="E3" s="1471"/>
      <c r="F3" s="1471"/>
      <c r="G3" s="1471"/>
      <c r="H3" s="1471"/>
      <c r="I3" s="1471"/>
      <c r="J3" s="1471"/>
      <c r="K3" s="1471"/>
      <c r="L3" s="1471"/>
      <c r="M3" s="1471"/>
      <c r="N3" s="1471"/>
      <c r="O3" s="1471"/>
      <c r="P3" s="1471"/>
      <c r="Q3" s="1471"/>
      <c r="R3" s="22"/>
      <c r="S3" s="22"/>
      <c r="T3" s="22"/>
      <c r="U3" s="24" t="s">
        <v>1183</v>
      </c>
    </row>
    <row r="4" spans="1:21">
      <c r="A4" s="1472" t="str">
        <f>FORM!I30</f>
        <v>address</v>
      </c>
      <c r="B4" s="1472"/>
      <c r="C4" s="1472"/>
      <c r="D4" s="1472"/>
      <c r="E4" s="1472"/>
      <c r="F4" s="1472"/>
      <c r="G4" s="1472"/>
      <c r="H4" s="1472"/>
      <c r="I4" s="1472"/>
      <c r="J4" s="1472"/>
      <c r="K4" s="1472"/>
      <c r="L4" s="1472"/>
      <c r="M4" s="1472"/>
      <c r="N4" s="1472"/>
      <c r="O4" s="1472"/>
      <c r="P4" s="1472"/>
      <c r="Q4" s="1472"/>
      <c r="R4" s="22"/>
      <c r="S4" s="22"/>
      <c r="T4" s="22"/>
      <c r="U4" s="24" t="s">
        <v>1184</v>
      </c>
    </row>
    <row r="5" spans="1:21" ht="16.5" customHeight="1">
      <c r="A5" s="1473" t="s">
        <v>1185</v>
      </c>
      <c r="B5" s="1473"/>
      <c r="C5" s="1473"/>
      <c r="D5" s="1473"/>
      <c r="E5" s="1473"/>
      <c r="F5" s="1473"/>
      <c r="G5" s="1473"/>
      <c r="H5" s="1473"/>
      <c r="I5" s="1473"/>
      <c r="J5" s="1473"/>
      <c r="K5" s="1473"/>
      <c r="L5" s="1473"/>
      <c r="M5" s="1473"/>
      <c r="N5" s="1473"/>
      <c r="O5" s="1473"/>
      <c r="P5" s="1473"/>
      <c r="Q5" s="1473"/>
      <c r="R5" s="1473"/>
      <c r="S5" s="1473"/>
      <c r="T5" s="1473"/>
      <c r="U5" s="1473"/>
    </row>
    <row r="6" spans="1:21">
      <c r="A6" s="1473"/>
      <c r="B6" s="1473"/>
      <c r="C6" s="1473"/>
      <c r="D6" s="1473"/>
      <c r="E6" s="1473"/>
      <c r="F6" s="1473"/>
      <c r="G6" s="1473"/>
      <c r="H6" s="1473"/>
      <c r="I6" s="1473"/>
      <c r="J6" s="1473"/>
      <c r="K6" s="1473"/>
      <c r="L6" s="1473"/>
      <c r="M6" s="1473"/>
      <c r="N6" s="1473"/>
      <c r="O6" s="1473"/>
      <c r="P6" s="1473"/>
      <c r="Q6" s="1473"/>
      <c r="R6" s="1473"/>
      <c r="S6" s="1473"/>
      <c r="T6" s="1473"/>
      <c r="U6" s="1473"/>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1186</v>
      </c>
      <c r="B8" s="22"/>
      <c r="C8" s="22"/>
      <c r="D8" s="22"/>
      <c r="E8" s="22"/>
      <c r="F8" s="22"/>
      <c r="G8" s="22"/>
      <c r="H8" s="1471" t="str">
        <f>FORM!AB11</f>
        <v>Iloilo Southprime Developers Inc.</v>
      </c>
      <c r="I8" s="1471"/>
      <c r="J8" s="1471"/>
      <c r="K8" s="1471"/>
      <c r="L8" s="1471"/>
      <c r="M8" s="1471"/>
      <c r="N8" s="1471"/>
      <c r="O8" s="1471"/>
      <c r="P8" s="22"/>
      <c r="Q8" s="22"/>
      <c r="R8" s="22"/>
      <c r="S8" s="22"/>
      <c r="T8" s="22"/>
      <c r="U8" s="24" t="s">
        <v>1187</v>
      </c>
    </row>
    <row r="9" spans="1:21">
      <c r="A9" s="1474" t="s">
        <v>1188</v>
      </c>
      <c r="B9" s="1474"/>
      <c r="C9" s="1474"/>
      <c r="D9" s="1474"/>
      <c r="E9" s="1474"/>
      <c r="F9" s="1474"/>
      <c r="G9" s="1474"/>
      <c r="H9" s="1474"/>
      <c r="I9" s="1474"/>
      <c r="J9" s="1474"/>
      <c r="K9" s="1474"/>
      <c r="L9" s="1474"/>
      <c r="M9" s="1474"/>
      <c r="N9" s="1474"/>
      <c r="O9" s="1474"/>
      <c r="P9" s="1474"/>
      <c r="Q9" s="1474"/>
      <c r="R9" s="1474"/>
      <c r="S9" s="1474"/>
      <c r="T9" s="1474"/>
      <c r="U9" s="1474"/>
    </row>
    <row r="10" spans="1:21">
      <c r="A10" s="1470" t="str">
        <f>FORM!AB12</f>
        <v>Avancena St Brgy. Avancena Molo Iloilo City</v>
      </c>
      <c r="B10" s="1470"/>
      <c r="C10" s="1470"/>
      <c r="D10" s="1470"/>
      <c r="E10" s="1470"/>
      <c r="F10" s="1470"/>
      <c r="G10" s="1470"/>
      <c r="H10" s="1470"/>
      <c r="I10" s="1470"/>
      <c r="J10" s="1470"/>
      <c r="K10" s="1470"/>
      <c r="L10" s="1470"/>
      <c r="M10" s="1470"/>
      <c r="N10" s="1470"/>
      <c r="O10" s="1470"/>
      <c r="P10" s="1470"/>
      <c r="Q10" s="22"/>
      <c r="R10" s="22"/>
      <c r="S10" s="22"/>
      <c r="T10" s="22"/>
      <c r="U10" s="24" t="s">
        <v>1189</v>
      </c>
    </row>
    <row r="11" spans="1:21">
      <c r="A11" s="22" t="s">
        <v>1190</v>
      </c>
      <c r="B11" s="22"/>
      <c r="C11" s="22"/>
      <c r="D11" s="22"/>
      <c r="E11" s="22"/>
      <c r="F11" s="22"/>
      <c r="G11" s="22"/>
      <c r="H11" s="22"/>
      <c r="I11" s="1472" t="str">
        <f>FORM!I11</f>
        <v>The Southprime Flats</v>
      </c>
      <c r="J11" s="1472"/>
      <c r="K11" s="1472"/>
      <c r="L11" s="1472"/>
      <c r="M11" s="1472"/>
      <c r="N11" s="1472"/>
      <c r="O11" s="1472"/>
      <c r="P11" s="1472"/>
      <c r="Q11" s="1472"/>
      <c r="R11" s="1472"/>
      <c r="S11" s="1472"/>
      <c r="T11" s="1472"/>
      <c r="U11" s="1472"/>
    </row>
    <row r="12" spans="1:21">
      <c r="A12" s="22" t="s">
        <v>1191</v>
      </c>
      <c r="B12" s="22"/>
      <c r="C12" s="22"/>
      <c r="D12" s="22"/>
      <c r="E12" s="22"/>
      <c r="F12" s="22"/>
      <c r="G12" s="22"/>
      <c r="H12" s="22"/>
      <c r="I12" s="22"/>
      <c r="J12" s="22"/>
      <c r="K12" s="22"/>
      <c r="L12" s="22"/>
      <c r="M12" s="1475" t="str">
        <f>FORM!AB13</f>
        <v>Abeto Street, Brgy. Abeto-Mirasol, Mandurriao, Iloilo City</v>
      </c>
      <c r="N12" s="1475"/>
      <c r="O12" s="1475"/>
      <c r="P12" s="1475"/>
      <c r="Q12" s="1475"/>
      <c r="R12" s="1475"/>
      <c r="S12" s="1475"/>
      <c r="T12" s="1475"/>
      <c r="U12" s="1475"/>
    </row>
    <row r="13" spans="1:21">
      <c r="A13" s="22" t="s">
        <v>1192</v>
      </c>
      <c r="B13" s="22"/>
      <c r="C13" s="22"/>
      <c r="D13" s="22"/>
      <c r="E13" s="22"/>
      <c r="F13" s="22"/>
      <c r="G13" s="22"/>
      <c r="H13" s="22"/>
      <c r="I13" s="22"/>
      <c r="J13" s="22"/>
      <c r="K13" s="1476" t="str">
        <f>'STANDARD COMP.'!E10</f>
        <v>Studio</v>
      </c>
      <c r="L13" s="1472"/>
      <c r="M13" s="1472"/>
      <c r="N13" s="1472"/>
      <c r="O13" s="1472"/>
      <c r="P13" s="1472"/>
      <c r="Q13" s="1472"/>
      <c r="R13" s="1472"/>
      <c r="S13" s="1472"/>
      <c r="T13" s="1472"/>
      <c r="U13" s="1472"/>
    </row>
    <row r="14" spans="1:21" ht="13.5" customHeight="1">
      <c r="A14" s="22" t="s">
        <v>1193</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1194</v>
      </c>
      <c r="B16" s="27"/>
      <c r="C16" s="27"/>
      <c r="D16" s="25"/>
      <c r="E16" s="1475" t="str">
        <f>FORM!I11</f>
        <v>The Southprime Flats</v>
      </c>
      <c r="F16" s="1475"/>
      <c r="G16" s="1475"/>
      <c r="H16" s="1475"/>
      <c r="I16" s="1475"/>
      <c r="J16" s="1475"/>
      <c r="K16" s="1475"/>
      <c r="L16" s="1475"/>
      <c r="M16" s="1475"/>
      <c r="N16" s="1475"/>
      <c r="O16" s="1475"/>
      <c r="P16" s="1475"/>
      <c r="Q16" s="1475"/>
      <c r="R16" s="1475"/>
      <c r="S16" s="1475"/>
      <c r="T16" s="1475"/>
      <c r="U16" s="58"/>
    </row>
    <row r="17" spans="1:21" ht="14.1">
      <c r="A17" s="28" t="s">
        <v>1195</v>
      </c>
      <c r="B17" s="29"/>
      <c r="C17" s="29"/>
      <c r="D17" s="30"/>
      <c r="E17" s="31" t="s">
        <v>1196</v>
      </c>
      <c r="F17" s="30"/>
      <c r="G17" s="30"/>
      <c r="H17" s="30"/>
      <c r="I17" s="30"/>
      <c r="J17" s="30"/>
      <c r="K17" s="30"/>
      <c r="L17" s="56" t="s">
        <v>1197</v>
      </c>
      <c r="M17" s="30"/>
      <c r="N17" s="30"/>
      <c r="O17" s="30"/>
      <c r="P17" s="30"/>
      <c r="Q17" s="30"/>
      <c r="R17" s="30"/>
      <c r="S17" s="30"/>
      <c r="T17" s="31" t="s">
        <v>1198</v>
      </c>
      <c r="U17" s="55"/>
    </row>
    <row r="18" spans="1:21" ht="14.1">
      <c r="A18" s="32"/>
      <c r="B18" s="5"/>
      <c r="C18" s="5"/>
      <c r="D18" s="5"/>
      <c r="E18" s="33" t="s">
        <v>1199</v>
      </c>
      <c r="F18" s="5"/>
      <c r="G18" s="5"/>
      <c r="H18" s="5"/>
      <c r="I18" s="5"/>
      <c r="J18" s="5"/>
      <c r="K18" s="5"/>
      <c r="L18" s="33" t="s">
        <v>1200</v>
      </c>
      <c r="M18" s="5"/>
      <c r="N18" s="5"/>
      <c r="O18" s="5"/>
      <c r="P18" s="5"/>
      <c r="Q18" s="5"/>
      <c r="R18" s="5"/>
      <c r="S18" s="5"/>
      <c r="T18" s="33" t="s">
        <v>1201</v>
      </c>
      <c r="U18" s="34"/>
    </row>
    <row r="19" spans="1:21">
      <c r="T19" s="2" t="s">
        <v>60</v>
      </c>
    </row>
    <row r="20" spans="1:21" ht="14.1">
      <c r="A20" s="1477" t="s">
        <v>1202</v>
      </c>
      <c r="B20" s="1478"/>
      <c r="C20" s="1478"/>
      <c r="D20" s="1478"/>
      <c r="E20" s="1478"/>
      <c r="F20" s="1479"/>
      <c r="G20" s="1477" t="s">
        <v>1203</v>
      </c>
      <c r="H20" s="1478"/>
      <c r="I20" s="1478"/>
      <c r="J20" s="1478"/>
      <c r="K20" s="1478"/>
      <c r="L20" s="1479"/>
      <c r="M20" s="1477" t="s">
        <v>1204</v>
      </c>
      <c r="N20" s="1478"/>
      <c r="O20" s="1478"/>
      <c r="P20" s="1478"/>
      <c r="Q20" s="1479"/>
      <c r="R20" s="1477" t="s">
        <v>1200</v>
      </c>
      <c r="S20" s="1478"/>
      <c r="T20" s="1478"/>
      <c r="U20" s="1479"/>
    </row>
    <row r="21" spans="1:21" ht="14.1">
      <c r="A21" s="39" t="s">
        <v>1205</v>
      </c>
      <c r="B21" s="40"/>
      <c r="C21" s="40"/>
      <c r="D21" s="1480" t="str">
        <f>FORM!I14</f>
        <v>B3</v>
      </c>
      <c r="E21" s="1481"/>
      <c r="F21" s="1482"/>
      <c r="G21" s="39" t="s">
        <v>1205</v>
      </c>
      <c r="H21" s="40"/>
      <c r="I21" s="41"/>
      <c r="J21" s="1483"/>
      <c r="K21" s="1484"/>
      <c r="L21" s="1485"/>
      <c r="M21" s="39" t="s">
        <v>1206</v>
      </c>
      <c r="N21" s="40"/>
      <c r="O21" s="41"/>
      <c r="P21" s="1486"/>
      <c r="Q21" s="1487"/>
      <c r="R21" s="80" t="s">
        <v>1205</v>
      </c>
      <c r="S21" s="81"/>
      <c r="T21" s="1488"/>
      <c r="U21" s="1489"/>
    </row>
    <row r="22" spans="1:21" ht="14.1">
      <c r="A22" s="37" t="s">
        <v>1207</v>
      </c>
      <c r="B22" s="38"/>
      <c r="C22" s="38"/>
      <c r="D22" s="1480" t="str">
        <f>FORM!I16</f>
        <v>11th Floor</v>
      </c>
      <c r="E22" s="1481"/>
      <c r="F22" s="1482"/>
      <c r="G22" s="39" t="s">
        <v>1208</v>
      </c>
      <c r="H22" s="40"/>
      <c r="I22" s="41"/>
      <c r="J22" s="1483"/>
      <c r="K22" s="1484"/>
      <c r="L22" s="1485"/>
      <c r="M22" s="39" t="s">
        <v>1209</v>
      </c>
      <c r="N22" s="40"/>
      <c r="O22" s="41"/>
      <c r="P22" s="1480"/>
      <c r="Q22" s="1482"/>
      <c r="R22" s="80" t="s">
        <v>1210</v>
      </c>
      <c r="S22" s="81"/>
      <c r="T22" s="1488"/>
      <c r="U22" s="1489"/>
    </row>
    <row r="23" spans="1:21" ht="14.1">
      <c r="A23" s="39" t="s">
        <v>1210</v>
      </c>
      <c r="B23" s="40"/>
      <c r="C23" s="41"/>
      <c r="D23" s="1480" t="str">
        <f>FORM!I18</f>
        <v>E-11K</v>
      </c>
      <c r="E23" s="1481"/>
      <c r="F23" s="1482"/>
      <c r="G23" s="39" t="s">
        <v>1211</v>
      </c>
      <c r="H23" s="40"/>
      <c r="I23" s="41"/>
      <c r="J23" s="1483"/>
      <c r="K23" s="1484"/>
      <c r="L23" s="1485"/>
      <c r="M23" s="39" t="s">
        <v>1212</v>
      </c>
      <c r="N23" s="40"/>
      <c r="O23" s="41"/>
      <c r="P23" s="1480"/>
      <c r="Q23" s="1482"/>
      <c r="R23" s="80" t="s">
        <v>1213</v>
      </c>
      <c r="S23" s="81"/>
      <c r="T23" s="1488"/>
      <c r="U23" s="1489"/>
    </row>
    <row r="24" spans="1:21" ht="16.5" customHeight="1">
      <c r="A24" s="37" t="s">
        <v>1214</v>
      </c>
      <c r="B24" s="38"/>
      <c r="C24" s="38"/>
      <c r="D24" s="1493">
        <f>'STANDARD COMP.'!E13</f>
        <v>22</v>
      </c>
      <c r="E24" s="1494"/>
      <c r="F24" s="1495"/>
      <c r="G24" s="39" t="s">
        <v>1213</v>
      </c>
      <c r="H24" s="40"/>
      <c r="I24" s="41"/>
      <c r="J24" s="1483"/>
      <c r="K24" s="1484"/>
      <c r="L24" s="1485"/>
      <c r="M24" s="37" t="s">
        <v>1215</v>
      </c>
      <c r="N24" s="38"/>
      <c r="O24" s="38"/>
      <c r="P24" s="1480"/>
      <c r="Q24" s="1482"/>
      <c r="R24" s="1496" t="s">
        <v>1216</v>
      </c>
      <c r="S24" s="1497"/>
      <c r="T24" s="1500"/>
      <c r="U24" s="1501"/>
    </row>
    <row r="25" spans="1:21" ht="14.1">
      <c r="A25" s="39" t="s">
        <v>1217</v>
      </c>
      <c r="B25" s="40"/>
      <c r="C25" s="41"/>
      <c r="D25" s="1504" t="str">
        <f>K13</f>
        <v>Studio</v>
      </c>
      <c r="E25" s="1481"/>
      <c r="F25" s="1482"/>
      <c r="G25" s="39" t="s">
        <v>1218</v>
      </c>
      <c r="H25" s="40"/>
      <c r="I25" s="41"/>
      <c r="J25" s="1483"/>
      <c r="K25" s="1484"/>
      <c r="L25" s="1485"/>
      <c r="M25" s="39" t="s">
        <v>1219</v>
      </c>
      <c r="N25" s="40"/>
      <c r="O25" s="41"/>
      <c r="P25" s="1480"/>
      <c r="Q25" s="1482"/>
      <c r="R25" s="1498"/>
      <c r="S25" s="1499"/>
      <c r="T25" s="1502"/>
      <c r="U25" s="1503"/>
    </row>
    <row r="27" spans="1:21" ht="14.1">
      <c r="A27" s="39" t="s">
        <v>1220</v>
      </c>
      <c r="B27" s="40"/>
      <c r="C27" s="40"/>
      <c r="D27" s="40"/>
      <c r="E27" s="40"/>
      <c r="F27" s="40"/>
      <c r="G27" s="40"/>
      <c r="H27" s="41"/>
      <c r="I27" s="1490">
        <f>'STEP UP_2.5% LS'!F15</f>
        <v>4123028.1810342241</v>
      </c>
      <c r="J27" s="1491"/>
      <c r="K27" s="1491"/>
      <c r="L27" s="1491"/>
      <c r="M27" s="1491"/>
      <c r="N27" s="1491"/>
      <c r="O27" s="1491"/>
      <c r="P27" s="1491"/>
      <c r="Q27" s="1491"/>
      <c r="R27" s="1491"/>
      <c r="S27" s="1491"/>
      <c r="T27" s="1491"/>
      <c r="U27" s="1492"/>
    </row>
    <row r="28" spans="1:21" ht="14.1">
      <c r="A28" s="39" t="s">
        <v>1221</v>
      </c>
      <c r="B28" s="40"/>
      <c r="C28" s="42"/>
      <c r="D28" s="42"/>
      <c r="E28" s="42"/>
      <c r="F28" s="42"/>
      <c r="G28" s="42"/>
      <c r="H28" s="43"/>
      <c r="I28" s="1490">
        <f>'STEP UP_2.5% LS'!F16</f>
        <v>0</v>
      </c>
      <c r="J28" s="1491"/>
      <c r="K28" s="1491"/>
      <c r="L28" s="1491"/>
      <c r="M28" s="1491"/>
      <c r="N28" s="1491"/>
      <c r="O28" s="1491"/>
      <c r="P28" s="1491"/>
      <c r="Q28" s="1491"/>
      <c r="R28" s="1491"/>
      <c r="S28" s="1491"/>
      <c r="T28" s="1491"/>
      <c r="U28" s="1492"/>
    </row>
    <row r="29" spans="1:21" ht="14.1">
      <c r="A29" s="49" t="s">
        <v>1222</v>
      </c>
      <c r="B29" s="50"/>
      <c r="C29" s="51"/>
      <c r="D29" s="51"/>
      <c r="E29" s="51"/>
      <c r="F29" s="51"/>
      <c r="G29" s="51"/>
      <c r="H29" s="48"/>
      <c r="I29" s="1490">
        <f>'STEP UP_2.5% LS'!F17</f>
        <v>4123028.1810342241</v>
      </c>
      <c r="J29" s="1491"/>
      <c r="K29" s="1491"/>
      <c r="L29" s="1491"/>
      <c r="M29" s="1491"/>
      <c r="N29" s="1491"/>
      <c r="O29" s="1491"/>
      <c r="P29" s="1491"/>
      <c r="Q29" s="1491"/>
      <c r="R29" s="1491"/>
      <c r="S29" s="1491"/>
      <c r="T29" s="1491"/>
      <c r="U29" s="1492"/>
    </row>
    <row r="30" spans="1:21" ht="14.1">
      <c r="A30" s="39" t="s">
        <v>1223</v>
      </c>
      <c r="B30" s="40"/>
      <c r="C30" s="42"/>
      <c r="D30" s="42"/>
      <c r="E30" s="42"/>
      <c r="F30" s="42"/>
      <c r="G30" s="42"/>
      <c r="H30" s="43"/>
      <c r="I30" s="1490">
        <f>'STEP UP_2.5% LS'!F20</f>
        <v>525686.0930818636</v>
      </c>
      <c r="J30" s="1491"/>
      <c r="K30" s="1491"/>
      <c r="L30" s="1491"/>
      <c r="M30" s="1491"/>
      <c r="N30" s="1491"/>
      <c r="O30" s="1491"/>
      <c r="P30" s="1491"/>
      <c r="Q30" s="1491"/>
      <c r="R30" s="1491"/>
      <c r="S30" s="1491"/>
      <c r="T30" s="1491"/>
      <c r="U30" s="1492"/>
    </row>
    <row r="31" spans="1:21" ht="14.1">
      <c r="A31" s="39" t="s">
        <v>1224</v>
      </c>
      <c r="B31" s="40"/>
      <c r="C31" s="42"/>
      <c r="D31" s="42"/>
      <c r="E31" s="42"/>
      <c r="F31" s="42"/>
      <c r="G31" s="42"/>
      <c r="H31" s="43"/>
      <c r="I31" s="1490">
        <f>'STEP UP_2.5% LS'!F19</f>
        <v>0</v>
      </c>
      <c r="J31" s="1491"/>
      <c r="K31" s="1491"/>
      <c r="L31" s="1491"/>
      <c r="M31" s="1491"/>
      <c r="N31" s="1491"/>
      <c r="O31" s="1491"/>
      <c r="P31" s="1491"/>
      <c r="Q31" s="1491"/>
      <c r="R31" s="1491"/>
      <c r="S31" s="1491"/>
      <c r="T31" s="1491"/>
      <c r="U31" s="1492"/>
    </row>
    <row r="32" spans="1:21" ht="14.1">
      <c r="A32" s="39" t="s">
        <v>170</v>
      </c>
      <c r="B32" s="40"/>
      <c r="C32" s="42"/>
      <c r="D32" s="42"/>
      <c r="E32" s="42"/>
      <c r="F32" s="42"/>
      <c r="G32" s="42"/>
      <c r="H32" s="43"/>
      <c r="I32" s="1490">
        <f>'STEP UP_2.5% LS'!F22</f>
        <v>4648714.2741160877</v>
      </c>
      <c r="J32" s="1491"/>
      <c r="K32" s="1491"/>
      <c r="L32" s="1491"/>
      <c r="M32" s="1491"/>
      <c r="N32" s="1491"/>
      <c r="O32" s="1491"/>
      <c r="P32" s="1491"/>
      <c r="Q32" s="1491"/>
      <c r="R32" s="1491"/>
      <c r="S32" s="1491"/>
      <c r="T32" s="1491"/>
      <c r="U32" s="1492"/>
    </row>
    <row r="34" spans="1:21">
      <c r="A34" s="70" t="s">
        <v>1225</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1226</v>
      </c>
      <c r="E36" s="18"/>
      <c r="F36" s="18"/>
      <c r="G36" s="18"/>
      <c r="H36" s="18"/>
      <c r="I36" s="18"/>
      <c r="J36" s="18"/>
      <c r="K36" s="18"/>
      <c r="L36" s="18"/>
      <c r="M36" s="18" t="s">
        <v>1227</v>
      </c>
      <c r="O36" s="18"/>
      <c r="P36" s="18"/>
      <c r="Q36" s="18"/>
      <c r="R36" s="18"/>
      <c r="S36" s="18" t="s">
        <v>1228</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1229</v>
      </c>
      <c r="T39"/>
    </row>
    <row r="40" spans="1:21" ht="13.5" customHeight="1">
      <c r="A40" s="75" t="s">
        <v>1230</v>
      </c>
      <c r="C40" s="1507" t="s">
        <v>1231</v>
      </c>
      <c r="D40" s="1507"/>
      <c r="E40" s="1507"/>
      <c r="F40" s="1507"/>
      <c r="G40" s="1507"/>
      <c r="H40" s="1507"/>
      <c r="I40" s="1507"/>
      <c r="J40" s="1507"/>
      <c r="K40" s="1507"/>
      <c r="L40" s="1507"/>
      <c r="M40" s="1507"/>
      <c r="N40" s="1507"/>
      <c r="O40" s="150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"&amp;PROPER(IF(LEN(LEFT(TRIM(MID(SUBSTITUTE([9]Sheet1!A2,".",REPT(" ",255)),255,200)),2))=1,CHOOSE(1*LEFT(TRIM(MID(SUBSTITUTE([9]Sheet1!A2,".",REPT(" ",255)),255,200)),2),"ten","twenty","thirty","forty","fifty","sixty","seventy","eighty","ninety")&amp;" cents","")&amp;CONCATENATE(CHOOSE(MID(TEXT(INT(LEFT(TRIM(MID(SUBSTITUTE([9]Sheet1!A2,".",REPT(" ",255)),255,200)),2)),REPT(0,12)),11,1)+1,"",CHOOSE(MID(TEXT(INT(LEFT(TRIM(MID(SUBSTITUTE([9]Sheet1!A2,".",REPT(" ",255)),255,200)),2)),REPT(0,12)),12,1)+1,"ten","eleven","twelve","thirteen","fourteen","fifteen","sixteen","seventeen","eighteen","nineteen")&amp;" cents","twenty","thirty","forty","fifty","sixty","seventy","eighty","ninety"),IF(VALUE(MID(TEXT(INT(LEFT(TRIM(MID(SUBSTITUTE([9]Sheet1!A2,".",REPT(" ",255)),255,200)),2)),REPT(0,12)),11,1))&gt;1,CHOOSE(MID(TEXT(INT(LEFT(TRIM(MID(SUBSTITUTE([9]Sheet1!A2,".",REPT(" ",255)),255,200)),2)),REPT(0,12)),12,1)+1,"","-one","-two","-three","-four","-five","-six","-seven","-eight","-nine")&amp;" cents",IF(LEFT(TRIM(MID(SUBSTITUTE([9]Sheet1!A2,".",REPT(" ",255)),255,200)),2)="01","one cent",IF(LEFT(TRIM(MID(SUBSTITUTE([9]Sheet1!A2,".",REPT(" ",255)),255,200)),1)="0",CHOOSE(MID(TEXT(INT(LEFT(TRIM(MID(SUBSTITUTE([9]Sheet1!A2,".",REPT(" ",255)),255,200)),2)),REPT(0,12)),12,1)+1,"","one","two","three","four","five","six","seven","eight","nine")&amp;" cents","")))))))</f>
        <v>Thirty Thousand  Pesos</v>
      </c>
      <c r="P40" s="1508"/>
      <c r="Q40" s="1508"/>
      <c r="R40" s="1508"/>
      <c r="S40" s="79" t="s">
        <v>1232</v>
      </c>
      <c r="T40" s="358">
        <f>FORM!I22</f>
        <v>30000</v>
      </c>
      <c r="U40" s="82" t="s">
        <v>1233</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60</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1234</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1235</v>
      </c>
      <c r="D89" s="59"/>
      <c r="E89" s="59"/>
      <c r="F89" s="59"/>
      <c r="G89" s="59"/>
      <c r="H89" s="59"/>
      <c r="I89" s="59"/>
      <c r="J89" s="59"/>
      <c r="K89" s="66" t="s">
        <v>1236</v>
      </c>
      <c r="L89" s="59"/>
      <c r="M89" s="59"/>
      <c r="N89" s="59"/>
      <c r="O89" s="59"/>
      <c r="P89" s="59"/>
      <c r="Q89" s="59"/>
      <c r="R89" s="66" t="s">
        <v>1237</v>
      </c>
      <c r="S89" s="66"/>
      <c r="T89" s="66"/>
      <c r="U89" s="65"/>
    </row>
    <row r="90" spans="1:21" ht="14.1">
      <c r="A90" s="187"/>
      <c r="B90" s="188"/>
      <c r="C90" s="59" t="s">
        <v>1238</v>
      </c>
      <c r="D90" s="189"/>
      <c r="E90" s="1509"/>
      <c r="F90" s="1509"/>
      <c r="G90" s="1509"/>
      <c r="H90" s="189"/>
      <c r="I90" s="189"/>
      <c r="J90" s="188"/>
      <c r="K90" s="59" t="s">
        <v>1239</v>
      </c>
      <c r="L90" s="189"/>
      <c r="M90" s="1509"/>
      <c r="N90" s="1509"/>
      <c r="O90" s="1509"/>
      <c r="P90" s="189"/>
      <c r="Q90" s="188"/>
      <c r="R90" s="59" t="s">
        <v>1240</v>
      </c>
      <c r="S90" s="1509"/>
      <c r="T90" s="1509"/>
      <c r="U90" s="65"/>
    </row>
    <row r="91" spans="1:21" ht="14.1">
      <c r="A91" s="187"/>
      <c r="B91" s="188"/>
      <c r="C91" s="59" t="s">
        <v>1241</v>
      </c>
      <c r="D91" s="189"/>
      <c r="E91" s="1509"/>
      <c r="F91" s="1509"/>
      <c r="G91" s="1509"/>
      <c r="H91" s="189"/>
      <c r="I91" s="189"/>
      <c r="J91" s="188"/>
      <c r="K91" s="59" t="s">
        <v>1242</v>
      </c>
      <c r="L91" s="189"/>
      <c r="M91" s="1509"/>
      <c r="N91" s="1509"/>
      <c r="O91" s="1509"/>
      <c r="P91" s="189"/>
      <c r="Q91" s="188"/>
      <c r="R91" s="59" t="s">
        <v>1243</v>
      </c>
      <c r="S91" s="1510"/>
      <c r="T91" s="1510"/>
      <c r="U91" s="65"/>
    </row>
    <row r="92" spans="1:21" ht="14.1">
      <c r="A92" s="187"/>
      <c r="B92" s="189"/>
      <c r="C92" s="189"/>
      <c r="D92" s="189"/>
      <c r="E92" s="189"/>
      <c r="F92" s="189"/>
      <c r="G92" s="189"/>
      <c r="H92" s="189"/>
      <c r="I92" s="189"/>
      <c r="J92" s="189"/>
      <c r="K92" s="189"/>
      <c r="L92" s="189"/>
      <c r="M92" s="189"/>
      <c r="N92" s="189"/>
      <c r="O92" s="189"/>
      <c r="P92" s="189"/>
      <c r="Q92" s="188"/>
      <c r="R92" s="59" t="s">
        <v>1244</v>
      </c>
      <c r="S92" s="1510"/>
      <c r="T92" s="1510"/>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511" t="s">
        <v>1245</v>
      </c>
      <c r="B95" s="1512"/>
      <c r="C95" s="1512"/>
      <c r="D95" s="1512"/>
      <c r="E95" s="1512"/>
      <c r="F95" s="1512"/>
      <c r="G95" s="1512"/>
      <c r="H95" s="1512"/>
      <c r="I95" s="1512"/>
      <c r="J95" s="1512"/>
      <c r="K95" s="1512"/>
      <c r="L95" s="1512"/>
      <c r="M95" s="1512"/>
      <c r="N95" s="1512"/>
      <c r="O95" s="1512"/>
      <c r="P95" s="1512"/>
      <c r="Q95" s="1512"/>
      <c r="R95" s="1512"/>
      <c r="S95" s="1512"/>
      <c r="T95" s="1512"/>
      <c r="U95" s="1513"/>
    </row>
    <row r="96" spans="1:21">
      <c r="A96" s="1505" t="s">
        <v>1052</v>
      </c>
      <c r="B96" s="1505"/>
      <c r="C96" s="1505"/>
      <c r="D96" s="1505"/>
      <c r="E96" s="1505"/>
      <c r="F96" s="1505"/>
      <c r="G96" s="1505"/>
      <c r="H96" s="1505"/>
      <c r="I96" s="1505" t="s">
        <v>1246</v>
      </c>
      <c r="J96" s="1505"/>
      <c r="K96" s="1505"/>
      <c r="L96" s="1505"/>
      <c r="M96" s="1505"/>
      <c r="N96" s="1505"/>
      <c r="O96" s="1505"/>
      <c r="P96" s="1506" t="s">
        <v>1054</v>
      </c>
      <c r="Q96" s="1506"/>
      <c r="R96" s="1506"/>
      <c r="S96" s="1506"/>
      <c r="T96" s="1506"/>
      <c r="U96" s="1506"/>
    </row>
    <row r="97" spans="1:21" ht="14.1">
      <c r="A97" s="1321" t="str">
        <f>FORM!I46</f>
        <v>Brokerage/Realty</v>
      </c>
      <c r="B97" s="1321"/>
      <c r="C97" s="1321"/>
      <c r="D97" s="1321"/>
      <c r="E97" s="1321"/>
      <c r="F97" s="1321"/>
      <c r="G97" s="1321"/>
      <c r="H97" s="1321"/>
      <c r="I97" s="1322">
        <f>FORM!M46</f>
        <v>0</v>
      </c>
      <c r="J97" s="1322"/>
      <c r="K97" s="1322"/>
      <c r="L97" s="1322"/>
      <c r="M97" s="1322"/>
      <c r="N97" s="1322"/>
      <c r="O97" s="1322"/>
      <c r="P97" s="1322">
        <f>FORM!T46</f>
        <v>0</v>
      </c>
      <c r="Q97" s="1322"/>
      <c r="R97" s="1322"/>
      <c r="S97" s="1322"/>
      <c r="T97" s="1322"/>
      <c r="U97" s="1322"/>
    </row>
    <row r="98" spans="1:21" ht="14.1">
      <c r="A98" s="1321" t="str">
        <f>FORM!I47</f>
        <v>Broker Head/AVP</v>
      </c>
      <c r="B98" s="1321"/>
      <c r="C98" s="1321"/>
      <c r="D98" s="1321"/>
      <c r="E98" s="1321"/>
      <c r="F98" s="1321"/>
      <c r="G98" s="1321"/>
      <c r="H98" s="1321"/>
      <c r="I98" s="1322">
        <f>FORM!M47</f>
        <v>0</v>
      </c>
      <c r="J98" s="1322"/>
      <c r="K98" s="1322"/>
      <c r="L98" s="1322"/>
      <c r="M98" s="1322"/>
      <c r="N98" s="1322"/>
      <c r="O98" s="1322"/>
      <c r="P98" s="1322">
        <f>FORM!T47</f>
        <v>0</v>
      </c>
      <c r="Q98" s="1322"/>
      <c r="R98" s="1322"/>
      <c r="S98" s="1322"/>
      <c r="T98" s="1322"/>
      <c r="U98" s="1322"/>
    </row>
    <row r="99" spans="1:21" ht="14.1">
      <c r="A99" s="1321" t="str">
        <f>FORM!I48</f>
        <v>Sales Manager</v>
      </c>
      <c r="B99" s="1321"/>
      <c r="C99" s="1321"/>
      <c r="D99" s="1321"/>
      <c r="E99" s="1321"/>
      <c r="F99" s="1321"/>
      <c r="G99" s="1321"/>
      <c r="H99" s="1321"/>
      <c r="I99" s="1322">
        <f>FORM!M48</f>
        <v>0</v>
      </c>
      <c r="J99" s="1322"/>
      <c r="K99" s="1322"/>
      <c r="L99" s="1322"/>
      <c r="M99" s="1322"/>
      <c r="N99" s="1322"/>
      <c r="O99" s="1322"/>
      <c r="P99" s="1322">
        <f>FORM!T48</f>
        <v>0</v>
      </c>
      <c r="Q99" s="1322"/>
      <c r="R99" s="1322"/>
      <c r="S99" s="1322"/>
      <c r="T99" s="1322"/>
      <c r="U99" s="1322"/>
    </row>
    <row r="100" spans="1:21" ht="14.1">
      <c r="A100" s="1321" t="str">
        <f>FORM!I49</f>
        <v xml:space="preserve">Sales Agent/Property Consultant </v>
      </c>
      <c r="B100" s="1321"/>
      <c r="C100" s="1321"/>
      <c r="D100" s="1321"/>
      <c r="E100" s="1321"/>
      <c r="F100" s="1321"/>
      <c r="G100" s="1321"/>
      <c r="H100" s="1321"/>
      <c r="I100" s="1322">
        <f>FORM!M49</f>
        <v>0</v>
      </c>
      <c r="J100" s="1322"/>
      <c r="K100" s="1322"/>
      <c r="L100" s="1322"/>
      <c r="M100" s="1322"/>
      <c r="N100" s="1322"/>
      <c r="O100" s="1322"/>
      <c r="P100" s="1322">
        <f>FORM!T49</f>
        <v>0</v>
      </c>
      <c r="Q100" s="1322"/>
      <c r="R100" s="1322"/>
      <c r="S100" s="1322"/>
      <c r="T100" s="1322"/>
      <c r="U100" s="1322"/>
    </row>
    <row r="102" spans="1:21" ht="14.1">
      <c r="A102" s="1514" t="s">
        <v>1247</v>
      </c>
      <c r="B102" s="1515"/>
      <c r="C102" s="1515"/>
      <c r="D102" s="1515"/>
      <c r="E102" s="1515"/>
      <c r="F102" s="1515"/>
      <c r="G102" s="1515"/>
      <c r="H102" s="1515"/>
      <c r="I102" s="1515"/>
      <c r="J102" s="1515"/>
      <c r="K102" s="1515"/>
      <c r="L102" s="1515"/>
      <c r="M102" s="1515"/>
      <c r="N102" s="1515"/>
      <c r="O102" s="1515"/>
      <c r="P102" s="1515"/>
      <c r="Q102" s="1515"/>
      <c r="R102" s="1515"/>
      <c r="S102" s="1515"/>
      <c r="T102" s="1515"/>
      <c r="U102" s="1515"/>
    </row>
    <row r="112" spans="1:21">
      <c r="G112" s="22"/>
      <c r="H112" s="1470" t="str">
        <f>D3</f>
        <v>buyer</v>
      </c>
      <c r="I112" s="1470"/>
      <c r="J112" s="1470"/>
      <c r="K112" s="1470"/>
      <c r="L112" s="1470"/>
      <c r="M112" s="1470"/>
      <c r="N112" s="1470"/>
      <c r="O112" s="1470"/>
      <c r="P112" s="1470"/>
      <c r="Q112" s="1470"/>
    </row>
    <row r="113" spans="1:21" ht="25.5" customHeight="1">
      <c r="A113" s="1516" t="s">
        <v>1248</v>
      </c>
      <c r="B113" s="1516"/>
      <c r="C113" s="1516"/>
      <c r="D113" s="1516"/>
      <c r="E113" s="1516"/>
      <c r="F113" s="1516"/>
      <c r="G113" s="1516"/>
      <c r="H113" s="1516"/>
      <c r="I113" s="1516"/>
      <c r="J113" s="1516"/>
      <c r="K113" s="1516"/>
      <c r="L113" s="1516"/>
      <c r="M113" s="1516"/>
      <c r="N113" s="1516"/>
      <c r="O113" s="1516"/>
      <c r="P113" s="1516"/>
      <c r="Q113" s="1516"/>
      <c r="R113" s="1516"/>
      <c r="S113" s="1516"/>
      <c r="T113" s="1516"/>
      <c r="U113" s="1516"/>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517" t="s">
        <v>1249</v>
      </c>
      <c r="B116" s="1517"/>
      <c r="C116" s="1517"/>
      <c r="D116" s="1517"/>
      <c r="E116" s="1517"/>
      <c r="F116" s="1517"/>
      <c r="G116" s="1517"/>
      <c r="H116" s="1517"/>
      <c r="I116" s="1517"/>
      <c r="J116" s="1517"/>
      <c r="K116" s="1517"/>
      <c r="L116" s="1517"/>
      <c r="M116" s="1517"/>
      <c r="N116" s="1517"/>
      <c r="O116" s="1517"/>
      <c r="P116" s="1517"/>
      <c r="Q116" s="1517"/>
      <c r="R116" s="1517"/>
      <c r="S116" s="1517"/>
      <c r="T116" s="1517"/>
      <c r="U116" s="1517"/>
    </row>
    <row r="117" spans="1:21" ht="21.75" customHeight="1">
      <c r="A117" s="1518" t="str">
        <f>H8</f>
        <v>Iloilo Southprime Developers Inc.</v>
      </c>
      <c r="B117" s="1518"/>
      <c r="C117" s="1518"/>
      <c r="D117" s="1518"/>
      <c r="E117" s="1518"/>
      <c r="F117" s="1518"/>
      <c r="G117" s="1518"/>
      <c r="H117" s="1518"/>
      <c r="I117" s="1518"/>
      <c r="J117" s="1518"/>
      <c r="K117" s="1518"/>
      <c r="L117" s="1518"/>
      <c r="M117" s="1518"/>
      <c r="N117" s="1518"/>
      <c r="O117" s="1518"/>
      <c r="P117" s="1518"/>
      <c r="Q117" s="1518"/>
      <c r="R117" s="1518"/>
      <c r="S117" s="1518"/>
      <c r="T117" s="1518"/>
      <c r="U117" s="1518"/>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SlALGIxg/gex6N1Nan+i6avtQeusho6Os+k1bLIncje59mqPoSB+anjnAFOHvnc9c7BDlja0hHppKoXquH2JWQ==" saltValue="xGpQHnrNpPfmwOZUnVwvgg==" spinCount="100000" sheet="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8609"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68610" r:id="rId5" name="Check Box 2">
              <controlPr defaultSize="0" autoFill="0" autoLine="0" autoPict="0">
                <anchor moveWithCells="1">
                  <from>
                    <xdr:col>11</xdr:col>
                    <xdr:colOff>69850</xdr:colOff>
                    <xdr:row>35</xdr:row>
                    <xdr:rowOff>0</xdr:rowOff>
                  </from>
                  <to>
                    <xdr:col>12</xdr:col>
                    <xdr:colOff>3175</xdr:colOff>
                    <xdr:row>36</xdr:row>
                    <xdr:rowOff>12700</xdr:rowOff>
                  </to>
                </anchor>
              </controlPr>
            </control>
          </mc:Choice>
        </mc:AlternateContent>
        <mc:AlternateContent xmlns:mc="http://schemas.openxmlformats.org/markup-compatibility/2006">
          <mc:Choice Requires="x14">
            <control shapeId="68611"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68612"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68613"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68614"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68615"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68616"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68617"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68618" r:id="rId13" name="Check Box 10">
              <controlPr defaultSize="0" autoFill="0" autoLine="0" autoPict="0">
                <anchor moveWithCells="1">
                  <from>
                    <xdr:col>16</xdr:col>
                    <xdr:colOff>139700</xdr:colOff>
                    <xdr:row>88</xdr:row>
                    <xdr:rowOff>0</xdr:rowOff>
                  </from>
                  <to>
                    <xdr:col>17</xdr:col>
                    <xdr:colOff>3175</xdr:colOff>
                    <xdr:row>89</xdr:row>
                    <xdr:rowOff>25400</xdr:rowOff>
                  </to>
                </anchor>
              </controlPr>
            </control>
          </mc:Choice>
        </mc:AlternateContent>
        <mc:AlternateContent xmlns:mc="http://schemas.openxmlformats.org/markup-compatibility/2006">
          <mc:Choice Requires="x14">
            <control shapeId="68619"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68620"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68621"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68622"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68623"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68624"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68625"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68626"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68627"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3">
    <tabColor rgb="FFFFFF00"/>
  </sheetPr>
  <dimension ref="A1:BA114"/>
  <sheetViews>
    <sheetView showGridLines="0" showZeros="0" view="pageBreakPreview" topLeftCell="A4" zoomScale="70" zoomScaleNormal="90" zoomScaleSheetLayoutView="70" zoomScalePageLayoutView="70" workbookViewId="0">
      <selection activeCell="B27" sqref="B27"/>
    </sheetView>
  </sheetViews>
  <sheetFormatPr defaultColWidth="9.140625" defaultRowHeight="13.5"/>
  <cols>
    <col min="1" max="1" width="1.140625" style="2" customWidth="1"/>
    <col min="2" max="2" width="12" style="2" customWidth="1"/>
    <col min="3" max="3" width="25.85546875" style="2" customWidth="1"/>
    <col min="4" max="4" width="18.140625" style="83" customWidth="1"/>
    <col min="5" max="5" width="19.85546875" style="2" customWidth="1"/>
    <col min="6" max="6" width="17.140625" style="2" customWidth="1"/>
    <col min="7" max="7" width="18.85546875" style="2" customWidth="1"/>
    <col min="8" max="8" width="11.140625" style="2" customWidth="1"/>
    <col min="9" max="9" width="7" style="2" customWidth="1"/>
    <col min="10" max="10" width="0.85546875" style="2" customWidth="1"/>
    <col min="11" max="11" width="9.140625" style="2"/>
    <col min="12" max="12" width="26" style="2" customWidth="1"/>
    <col min="13" max="13" width="22.140625" style="157" customWidth="1"/>
    <col min="14" max="14" width="12.140625" style="2" customWidth="1"/>
    <col min="15" max="16" width="18.85546875" style="2" customWidth="1"/>
    <col min="17" max="17" width="25.85546875" style="2" customWidth="1"/>
    <col min="18" max="18" width="4.85546875" style="2" customWidth="1"/>
    <col min="19" max="19" width="4.42578125" style="2" customWidth="1"/>
    <col min="20" max="21" width="9.140625" style="2" hidden="1" customWidth="1"/>
    <col min="22" max="22" width="11.85546875" style="289" hidden="1" customWidth="1"/>
    <col min="23" max="23" width="9.85546875" style="2" hidden="1" customWidth="1"/>
    <col min="24" max="25" width="9.140625" style="290" hidden="1" customWidth="1"/>
    <col min="26" max="26" width="15.5703125" style="2" hidden="1" customWidth="1"/>
    <col min="27" max="28" width="9.140625" style="2" hidden="1" customWidth="1"/>
    <col min="29" max="29" width="0" style="2" hidden="1" customWidth="1"/>
    <col min="30" max="31" width="9.140625" style="2" hidden="1" customWidth="1"/>
    <col min="32" max="16384" width="9.140625" style="2"/>
  </cols>
  <sheetData>
    <row r="1" spans="1:53" s="86" customFormat="1" ht="12.6">
      <c r="B1" s="160" t="s">
        <v>1059</v>
      </c>
      <c r="C1" s="1022">
        <f>FORM!I20</f>
        <v>45901</v>
      </c>
      <c r="D1" s="1023"/>
      <c r="F1" s="132" t="s">
        <v>1172</v>
      </c>
      <c r="G1" s="1641" t="s">
        <v>1061</v>
      </c>
      <c r="H1" s="1641"/>
      <c r="I1" s="1641"/>
      <c r="J1" s="88"/>
      <c r="K1" s="160" t="s">
        <v>1059</v>
      </c>
      <c r="L1" s="1022">
        <f>C1</f>
        <v>45901</v>
      </c>
      <c r="M1" s="1708"/>
      <c r="O1" s="440"/>
      <c r="P1" s="132" t="s">
        <v>1173</v>
      </c>
      <c r="Q1" s="1290" t="s">
        <v>1063</v>
      </c>
      <c r="V1" s="284"/>
    </row>
    <row r="2" spans="1:53" s="86" customFormat="1" ht="7.5" customHeight="1">
      <c r="C2" s="87"/>
      <c r="D2" s="87"/>
      <c r="K2" s="137"/>
      <c r="L2" s="137"/>
      <c r="M2" s="137"/>
      <c r="N2" s="137"/>
      <c r="O2" s="137"/>
      <c r="P2" s="137"/>
      <c r="Q2" s="137"/>
      <c r="V2" s="284"/>
    </row>
    <row r="3" spans="1:53" s="86" customFormat="1" ht="14.25" customHeight="1">
      <c r="B3" s="1447" t="str">
        <f>'Corrected and Updated TSF 3'!EJ20</f>
        <v>12.5% Equity Step-up, 2.50% Lumpsum</v>
      </c>
      <c r="C3" s="1447"/>
      <c r="D3" s="1447"/>
      <c r="E3" s="1447"/>
      <c r="F3" s="1447"/>
      <c r="G3" s="1447"/>
      <c r="H3" s="1447"/>
      <c r="I3" s="1447"/>
      <c r="J3" s="285"/>
      <c r="K3" s="1447" t="s">
        <v>1065</v>
      </c>
      <c r="L3" s="1447"/>
      <c r="M3" s="1447"/>
      <c r="N3" s="1447"/>
      <c r="O3" s="1447"/>
      <c r="P3" s="1447"/>
      <c r="Q3" s="1447"/>
      <c r="V3" s="284"/>
    </row>
    <row r="4" spans="1:53" s="86" customFormat="1" ht="12.75" customHeight="1">
      <c r="B4" s="1447"/>
      <c r="C4" s="1447"/>
      <c r="D4" s="1447"/>
      <c r="E4" s="1447"/>
      <c r="F4" s="1447"/>
      <c r="G4" s="1447"/>
      <c r="H4" s="1447"/>
      <c r="I4" s="1447"/>
      <c r="J4" s="285"/>
      <c r="K4" s="1447"/>
      <c r="L4" s="1447"/>
      <c r="M4" s="1447"/>
      <c r="N4" s="1447"/>
      <c r="O4" s="1447"/>
      <c r="P4" s="1447"/>
      <c r="Q4" s="1447"/>
      <c r="V4" s="284"/>
    </row>
    <row r="5" spans="1:53" s="86" customFormat="1" ht="12.75" customHeight="1">
      <c r="B5" s="88"/>
      <c r="C5" s="88"/>
      <c r="D5" s="92"/>
      <c r="E5" s="88"/>
      <c r="F5" s="88"/>
      <c r="G5" s="88"/>
      <c r="H5" s="88"/>
      <c r="I5" s="88"/>
      <c r="J5" s="88"/>
      <c r="K5" s="255"/>
      <c r="L5" s="185"/>
      <c r="M5" s="441"/>
      <c r="N5" s="185"/>
      <c r="O5" s="185"/>
      <c r="P5" s="185"/>
      <c r="Q5" s="441"/>
      <c r="V5" s="284"/>
    </row>
    <row r="6" spans="1:53" s="99" customFormat="1" ht="12.6">
      <c r="A6" s="1024"/>
      <c r="B6" s="225" t="s">
        <v>1066</v>
      </c>
      <c r="C6" s="226"/>
      <c r="D6" s="1027" t="s">
        <v>1015</v>
      </c>
      <c r="E6" s="1642" t="str">
        <f>'STANDARD COMP.'!E6:I6</f>
        <v>buyer</v>
      </c>
      <c r="F6" s="1643"/>
      <c r="G6" s="1643"/>
      <c r="H6" s="1643"/>
      <c r="I6" s="1644"/>
      <c r="J6" s="142"/>
      <c r="K6" s="225" t="s">
        <v>1066</v>
      </c>
      <c r="L6" s="228"/>
      <c r="M6" s="1027" t="s">
        <v>1015</v>
      </c>
      <c r="N6" s="1521" t="str">
        <f>E6</f>
        <v>buyer</v>
      </c>
      <c r="O6" s="1521"/>
      <c r="P6" s="1521"/>
      <c r="Q6" s="1521"/>
      <c r="R6" s="1020"/>
      <c r="S6" s="1020"/>
      <c r="T6" s="1020"/>
      <c r="U6" s="1020"/>
      <c r="V6" s="1745"/>
      <c r="W6" s="1020"/>
      <c r="X6" s="86"/>
      <c r="Y6" s="86"/>
      <c r="Z6" s="1020"/>
      <c r="AA6" s="1020"/>
      <c r="AB6" s="1020"/>
      <c r="AC6" s="1020"/>
      <c r="AD6" s="1020"/>
      <c r="AE6" s="1020"/>
      <c r="AF6" s="1020"/>
      <c r="AG6" s="1020"/>
      <c r="AH6" s="1020"/>
      <c r="AI6" s="1020"/>
      <c r="AJ6" s="1020"/>
      <c r="AK6" s="1020"/>
      <c r="AL6" s="1020"/>
      <c r="AM6" s="1038"/>
      <c r="AN6" s="1020"/>
      <c r="AO6" s="1020"/>
      <c r="AP6" s="1020"/>
      <c r="AQ6" s="1020"/>
      <c r="AR6" s="1020"/>
      <c r="AS6" s="1020"/>
      <c r="AT6" s="1020"/>
      <c r="AU6" s="1020"/>
      <c r="AV6" s="1020"/>
      <c r="AW6" s="1020"/>
      <c r="AX6" s="1020"/>
      <c r="AY6" s="1020"/>
      <c r="AZ6" s="1039"/>
      <c r="BA6" s="1040"/>
    </row>
    <row r="7" spans="1:53" s="99" customFormat="1" ht="12.6">
      <c r="A7" s="1024"/>
      <c r="B7" s="144" t="s">
        <v>1014</v>
      </c>
      <c r="C7" s="227"/>
      <c r="D7" s="1027" t="s">
        <v>1015</v>
      </c>
      <c r="E7" s="1646" t="str">
        <f>'STANDARD COMP.'!E7:I7</f>
        <v>The Southprime Flats</v>
      </c>
      <c r="F7" s="1647"/>
      <c r="G7" s="1286" t="str">
        <f>FORM!I14</f>
        <v>B3</v>
      </c>
      <c r="H7" s="1028"/>
      <c r="I7" s="1029"/>
      <c r="J7" s="142"/>
      <c r="K7" s="144" t="s">
        <v>1014</v>
      </c>
      <c r="L7" s="148"/>
      <c r="M7" s="1027" t="s">
        <v>1015</v>
      </c>
      <c r="N7" s="1521" t="str">
        <f>E7</f>
        <v>The Southprime Flats</v>
      </c>
      <c r="O7" s="1521"/>
      <c r="P7" s="1521"/>
      <c r="Q7" s="1521"/>
      <c r="R7" s="1020"/>
      <c r="S7" s="1020"/>
      <c r="T7" s="1020"/>
      <c r="U7" s="1020"/>
      <c r="V7" s="1745"/>
      <c r="W7" s="1020"/>
      <c r="X7" s="86"/>
      <c r="Y7" s="86"/>
      <c r="Z7" s="1020"/>
      <c r="AA7" s="1020"/>
      <c r="AB7" s="1020"/>
      <c r="AC7" s="1020"/>
      <c r="AD7" s="1020"/>
      <c r="AE7" s="1020"/>
      <c r="AF7" s="1020"/>
      <c r="AG7" s="1020"/>
      <c r="AH7" s="1020"/>
      <c r="AI7" s="1020"/>
      <c r="AJ7" s="1020"/>
      <c r="AK7" s="1020"/>
      <c r="AL7" s="1020"/>
      <c r="AM7" s="1038"/>
      <c r="AN7" s="1020"/>
      <c r="AO7" s="1020"/>
      <c r="AP7" s="1020"/>
      <c r="AQ7" s="1020"/>
      <c r="AR7" s="1020"/>
      <c r="AS7" s="1020"/>
      <c r="AT7" s="1020"/>
      <c r="AU7" s="1020"/>
      <c r="AV7" s="1020"/>
      <c r="AW7" s="1020"/>
      <c r="AX7" s="1020"/>
      <c r="AY7" s="1020"/>
      <c r="AZ7" s="1039"/>
      <c r="BA7" s="1040"/>
    </row>
    <row r="8" spans="1:53" s="99" customFormat="1" ht="12.6">
      <c r="A8" s="1024"/>
      <c r="B8" s="144" t="s">
        <v>1068</v>
      </c>
      <c r="C8" s="227"/>
      <c r="D8" s="1027" t="s">
        <v>1015</v>
      </c>
      <c r="E8" s="1642" t="str">
        <f>'STANDARD COMP.'!E8:I8</f>
        <v>E-11K</v>
      </c>
      <c r="F8" s="1643"/>
      <c r="G8" s="1643"/>
      <c r="H8" s="1643"/>
      <c r="I8" s="1644"/>
      <c r="J8" s="142"/>
      <c r="K8" s="144" t="s">
        <v>1068</v>
      </c>
      <c r="L8" s="148"/>
      <c r="M8" s="1027" t="s">
        <v>1015</v>
      </c>
      <c r="N8" s="1521" t="str">
        <f>E8</f>
        <v>E-11K</v>
      </c>
      <c r="O8" s="1521"/>
      <c r="P8" s="1521"/>
      <c r="Q8" s="1521"/>
      <c r="R8" s="1020"/>
      <c r="S8" s="1020"/>
      <c r="T8" s="1020"/>
      <c r="U8" s="1020"/>
      <c r="V8" s="1745"/>
      <c r="W8" s="1020"/>
      <c r="X8" s="86"/>
      <c r="Y8" s="86"/>
      <c r="Z8" s="1020"/>
      <c r="AA8" s="1020"/>
      <c r="AB8" s="1020"/>
      <c r="AC8" s="1020"/>
      <c r="AD8" s="1020"/>
      <c r="AE8" s="1020"/>
      <c r="AF8" s="1020"/>
      <c r="AG8" s="1020"/>
      <c r="AH8" s="1020"/>
      <c r="AI8" s="1020"/>
      <c r="AJ8" s="1020"/>
      <c r="AK8" s="1020"/>
      <c r="AL8" s="1020"/>
      <c r="AM8" s="1038"/>
      <c r="AN8" s="1020"/>
      <c r="AO8" s="1020"/>
      <c r="AP8" s="1020"/>
      <c r="AQ8" s="1020"/>
      <c r="AR8" s="1020"/>
      <c r="AS8" s="1020"/>
      <c r="AT8" s="1020"/>
      <c r="AU8" s="1020"/>
      <c r="AV8" s="1020"/>
      <c r="AW8" s="1020"/>
      <c r="AX8" s="1020"/>
      <c r="AY8" s="1020"/>
      <c r="AZ8" s="1039"/>
      <c r="BA8" s="1040"/>
    </row>
    <row r="9" spans="1:53" s="99" customFormat="1" ht="12.6" hidden="1">
      <c r="A9" s="1024"/>
      <c r="B9" s="144" t="s">
        <v>1070</v>
      </c>
      <c r="C9" s="227"/>
      <c r="D9" s="1027" t="s">
        <v>1015</v>
      </c>
      <c r="E9" s="1642" t="e">
        <f>'STANDARD COMP.'!E9:I9</f>
        <v>#REF!</v>
      </c>
      <c r="F9" s="1643"/>
      <c r="G9" s="1643"/>
      <c r="H9" s="1643"/>
      <c r="I9" s="1644"/>
      <c r="J9" s="142"/>
      <c r="K9" s="144" t="s">
        <v>1070</v>
      </c>
      <c r="L9" s="148"/>
      <c r="M9" s="1027" t="s">
        <v>1015</v>
      </c>
      <c r="N9" s="1521" t="str">
        <f>[8]FORM!I14</f>
        <v>TOWER 1</v>
      </c>
      <c r="O9" s="1521"/>
      <c r="P9" s="1521"/>
      <c r="Q9" s="1521"/>
      <c r="R9" s="1020"/>
      <c r="S9" s="1020"/>
      <c r="T9" s="1020"/>
      <c r="U9" s="1020"/>
      <c r="V9" s="1745"/>
      <c r="W9" s="1020"/>
      <c r="X9" s="86"/>
      <c r="Y9" s="86"/>
      <c r="Z9" s="1020"/>
      <c r="AA9" s="1020"/>
      <c r="AB9" s="1020"/>
      <c r="AC9" s="1020"/>
      <c r="AD9" s="1020"/>
      <c r="AE9" s="1020"/>
      <c r="AF9" s="1020"/>
      <c r="AG9" s="1020"/>
      <c r="AH9" s="1020"/>
      <c r="AI9" s="1020"/>
      <c r="AJ9" s="1020"/>
      <c r="AK9" s="1020"/>
      <c r="AL9" s="1020"/>
      <c r="AM9" s="1038"/>
      <c r="AN9" s="1020"/>
      <c r="AO9" s="1020"/>
      <c r="AP9" s="1020"/>
      <c r="AQ9" s="1020"/>
      <c r="AR9" s="1020"/>
      <c r="AS9" s="1020"/>
      <c r="AT9" s="1020"/>
      <c r="AU9" s="1020"/>
      <c r="AV9" s="1020"/>
      <c r="AW9" s="1020"/>
      <c r="AX9" s="1020"/>
      <c r="AY9" s="1020"/>
      <c r="AZ9" s="1039"/>
      <c r="BA9" s="1040"/>
    </row>
    <row r="10" spans="1:53" s="99" customFormat="1" ht="12.6">
      <c r="A10" s="1024"/>
      <c r="B10" s="144" t="s">
        <v>1071</v>
      </c>
      <c r="C10" s="227"/>
      <c r="D10" s="1027" t="s">
        <v>1015</v>
      </c>
      <c r="E10" s="1642" t="str">
        <f>'STANDARD COMP.'!E10:I10</f>
        <v>Studio</v>
      </c>
      <c r="F10" s="1643"/>
      <c r="G10" s="1643"/>
      <c r="H10" s="1643"/>
      <c r="I10" s="1644"/>
      <c r="J10" s="142"/>
      <c r="K10" s="144" t="s">
        <v>1071</v>
      </c>
      <c r="L10" s="148"/>
      <c r="M10" s="1027" t="s">
        <v>1015</v>
      </c>
      <c r="N10" s="1521" t="str">
        <f>E10</f>
        <v>Studio</v>
      </c>
      <c r="O10" s="1521"/>
      <c r="P10" s="1521"/>
      <c r="Q10" s="1521"/>
      <c r="R10" s="1020"/>
      <c r="S10" s="1020"/>
      <c r="T10" s="1020"/>
      <c r="U10" s="1020"/>
      <c r="V10" s="1745"/>
      <c r="W10" s="1020"/>
      <c r="X10" s="86"/>
      <c r="Y10" s="86"/>
      <c r="Z10" s="1020"/>
      <c r="AA10" s="1020"/>
      <c r="AB10" s="1020"/>
      <c r="AC10" s="1020"/>
      <c r="AD10" s="1020"/>
      <c r="AE10" s="1020"/>
      <c r="AF10" s="1020"/>
      <c r="AG10" s="1020"/>
      <c r="AH10" s="1020"/>
      <c r="AI10" s="1020"/>
      <c r="AJ10" s="1020"/>
      <c r="AK10" s="1020"/>
      <c r="AL10" s="1020"/>
      <c r="AM10" s="1038"/>
      <c r="AN10" s="1020"/>
      <c r="AO10" s="1020"/>
      <c r="AP10" s="1020"/>
      <c r="AQ10" s="1020"/>
      <c r="AR10" s="1020"/>
      <c r="AS10" s="1020"/>
      <c r="AT10" s="1020"/>
      <c r="AU10" s="1020"/>
      <c r="AV10" s="1020"/>
      <c r="AW10" s="1020"/>
      <c r="AX10" s="1020"/>
      <c r="AY10" s="1020"/>
      <c r="AZ10" s="1039"/>
      <c r="BA10" s="1040"/>
    </row>
    <row r="11" spans="1:53" s="99" customFormat="1" ht="12.6">
      <c r="A11" s="1024"/>
      <c r="B11" s="144" t="s">
        <v>1072</v>
      </c>
      <c r="C11" s="227"/>
      <c r="D11" s="1027" t="s">
        <v>1015</v>
      </c>
      <c r="E11" s="1648">
        <f>'STANDARD COMP.'!E11:F11</f>
        <v>22</v>
      </c>
      <c r="F11" s="1649"/>
      <c r="G11" s="1650" t="s">
        <v>1073</v>
      </c>
      <c r="H11" s="1650"/>
      <c r="I11" s="1651"/>
      <c r="J11" s="142"/>
      <c r="K11" s="144" t="s">
        <v>1072</v>
      </c>
      <c r="L11" s="148"/>
      <c r="M11" s="1027" t="s">
        <v>1015</v>
      </c>
      <c r="N11" s="1709">
        <f>E11</f>
        <v>22</v>
      </c>
      <c r="O11" s="1710"/>
      <c r="P11" s="1711" t="s">
        <v>1073</v>
      </c>
      <c r="Q11" s="1712"/>
      <c r="R11" s="1020"/>
      <c r="S11" s="1020"/>
      <c r="T11" s="1020"/>
      <c r="U11" s="1020"/>
      <c r="V11" s="1745"/>
      <c r="W11" s="1020"/>
      <c r="X11" s="86"/>
      <c r="Y11" s="86"/>
      <c r="Z11" s="1020"/>
      <c r="AA11" s="1020"/>
      <c r="AB11" s="1020"/>
      <c r="AC11" s="1020"/>
      <c r="AD11" s="1020"/>
      <c r="AE11" s="1020"/>
      <c r="AF11" s="1020"/>
      <c r="AG11" s="1020"/>
      <c r="AH11" s="1020"/>
      <c r="AI11" s="1020"/>
      <c r="AJ11" s="1020"/>
      <c r="AK11" s="1020"/>
      <c r="AL11" s="1020"/>
      <c r="AM11" s="1038"/>
      <c r="AN11" s="1020"/>
      <c r="AO11" s="1020"/>
      <c r="AP11" s="1020"/>
      <c r="AQ11" s="1020"/>
      <c r="AR11" s="1020"/>
      <c r="AS11" s="1020"/>
      <c r="AT11" s="1020"/>
      <c r="AU11" s="1020"/>
      <c r="AV11" s="1020"/>
      <c r="AW11" s="1020"/>
      <c r="AX11" s="1020"/>
      <c r="AY11" s="1020"/>
      <c r="AZ11" s="1039"/>
      <c r="BA11" s="1040"/>
    </row>
    <row r="12" spans="1:53" s="99" customFormat="1" ht="12.6">
      <c r="A12" s="1024"/>
      <c r="B12" s="148" t="s">
        <v>1074</v>
      </c>
      <c r="C12" s="227"/>
      <c r="D12" s="1027" t="s">
        <v>1015</v>
      </c>
      <c r="E12" s="1648">
        <f>'STANDARD COMP.'!E12:F12</f>
        <v>0</v>
      </c>
      <c r="F12" s="1649"/>
      <c r="G12" s="1650" t="s">
        <v>1073</v>
      </c>
      <c r="H12" s="1650"/>
      <c r="I12" s="1651"/>
      <c r="J12" s="142"/>
      <c r="K12" s="148" t="s">
        <v>1074</v>
      </c>
      <c r="L12" s="148"/>
      <c r="M12" s="1027" t="s">
        <v>1015</v>
      </c>
      <c r="N12" s="1713">
        <f>E12</f>
        <v>0</v>
      </c>
      <c r="O12" s="1714"/>
      <c r="P12" s="1711" t="s">
        <v>1073</v>
      </c>
      <c r="Q12" s="1712"/>
      <c r="R12" s="1020"/>
      <c r="S12" s="1020"/>
      <c r="T12" s="1020"/>
      <c r="U12" s="1020"/>
      <c r="V12" s="1745"/>
      <c r="W12" s="1020"/>
      <c r="X12" s="86"/>
      <c r="Y12" s="86"/>
      <c r="Z12" s="1020"/>
      <c r="AA12" s="1020"/>
      <c r="AB12" s="1020"/>
      <c r="AC12" s="1020"/>
      <c r="AD12" s="1020"/>
      <c r="AE12" s="1020"/>
      <c r="AF12" s="1020"/>
      <c r="AG12" s="1020"/>
      <c r="AH12" s="1020"/>
      <c r="AI12" s="1020"/>
      <c r="AJ12" s="1020"/>
      <c r="AK12" s="1020"/>
      <c r="AL12" s="1020"/>
      <c r="AM12" s="1038"/>
      <c r="AN12" s="1020"/>
      <c r="AO12" s="1020"/>
      <c r="AP12" s="1020"/>
      <c r="AQ12" s="1020"/>
      <c r="AR12" s="1020"/>
      <c r="AS12" s="1020"/>
      <c r="AT12" s="1020"/>
      <c r="AU12" s="1020"/>
      <c r="AV12" s="1020"/>
      <c r="AW12" s="1020"/>
      <c r="AX12" s="1020"/>
      <c r="AY12" s="1020"/>
      <c r="AZ12" s="1039"/>
      <c r="BA12" s="1040"/>
    </row>
    <row r="13" spans="1:53" s="99" customFormat="1" ht="12.6">
      <c r="A13" s="1024"/>
      <c r="B13" s="238" t="s">
        <v>1075</v>
      </c>
      <c r="C13" s="101"/>
      <c r="D13" s="1027" t="s">
        <v>1015</v>
      </c>
      <c r="E13" s="1648">
        <f>'STANDARD COMP.'!E13:F13</f>
        <v>22</v>
      </c>
      <c r="F13" s="1649"/>
      <c r="G13" s="1650" t="s">
        <v>1073</v>
      </c>
      <c r="H13" s="1650"/>
      <c r="I13" s="1651"/>
      <c r="J13" s="142"/>
      <c r="K13" s="238" t="s">
        <v>1075</v>
      </c>
      <c r="L13" s="126"/>
      <c r="M13" s="1027" t="s">
        <v>1015</v>
      </c>
      <c r="N13" s="1713">
        <f>E13</f>
        <v>22</v>
      </c>
      <c r="O13" s="1714"/>
      <c r="P13" s="1711" t="s">
        <v>1073</v>
      </c>
      <c r="Q13" s="1712"/>
      <c r="R13" s="1020"/>
      <c r="S13" s="1020"/>
      <c r="T13" s="1020"/>
      <c r="U13" s="1020"/>
      <c r="V13" s="1745"/>
      <c r="W13" s="1020"/>
      <c r="X13" s="86"/>
      <c r="Y13" s="86"/>
      <c r="Z13" s="1020"/>
      <c r="AA13" s="1020"/>
      <c r="AB13" s="1020"/>
      <c r="AC13" s="1020"/>
      <c r="AD13" s="1020"/>
      <c r="AE13" s="1020"/>
      <c r="AF13" s="1020"/>
      <c r="AG13" s="1020"/>
      <c r="AH13" s="1020"/>
      <c r="AI13" s="1020"/>
      <c r="AJ13" s="1020"/>
      <c r="AK13" s="1020"/>
      <c r="AL13" s="1020"/>
      <c r="AM13" s="1038"/>
      <c r="AN13" s="1020"/>
      <c r="AO13" s="1020"/>
      <c r="AP13" s="1020"/>
      <c r="AQ13" s="1020"/>
      <c r="AR13" s="1020"/>
      <c r="AS13" s="1020"/>
      <c r="AT13" s="1020"/>
      <c r="AU13" s="1020"/>
      <c r="AV13" s="1020"/>
      <c r="AW13" s="1020"/>
      <c r="AX13" s="1020"/>
      <c r="AY13" s="1020"/>
      <c r="AZ13" s="1039"/>
      <c r="BA13" s="1040"/>
    </row>
    <row r="14" spans="1:53" s="99" customFormat="1" ht="12.6">
      <c r="A14" s="1020"/>
      <c r="B14" s="1024"/>
      <c r="C14" s="1024"/>
      <c r="D14" s="1027"/>
      <c r="E14" s="1024"/>
      <c r="F14" s="1024"/>
      <c r="G14" s="1024"/>
      <c r="H14" s="1024"/>
      <c r="I14" s="1024"/>
      <c r="J14" s="1020"/>
      <c r="K14" s="1020"/>
      <c r="L14" s="1020"/>
      <c r="M14" s="1088"/>
      <c r="N14" s="1020"/>
      <c r="O14" s="1020"/>
      <c r="P14" s="1020"/>
      <c r="Q14" s="1020"/>
      <c r="R14" s="1020"/>
      <c r="S14" s="1020"/>
      <c r="T14" s="1020"/>
      <c r="U14" s="1020"/>
      <c r="V14" s="1745"/>
      <c r="W14" s="1020"/>
      <c r="X14" s="86"/>
      <c r="Y14" s="86"/>
      <c r="Z14" s="1020"/>
      <c r="AA14" s="1020"/>
      <c r="AB14" s="1020"/>
      <c r="AC14" s="1020"/>
      <c r="AD14" s="1020"/>
      <c r="AE14" s="1020"/>
      <c r="AF14" s="1020"/>
      <c r="AG14" s="1020"/>
      <c r="AH14" s="1020"/>
      <c r="AI14" s="1020"/>
      <c r="AJ14" s="1020"/>
      <c r="AK14" s="1020"/>
      <c r="AL14" s="1020"/>
      <c r="AM14" s="1020"/>
      <c r="AN14" s="1020"/>
      <c r="AO14" s="1020"/>
      <c r="AP14" s="1020"/>
      <c r="AQ14" s="1020"/>
      <c r="AR14" s="1020"/>
      <c r="AS14" s="1020"/>
      <c r="AT14" s="1020"/>
      <c r="AU14" s="1020"/>
      <c r="AV14" s="1020"/>
      <c r="AW14" s="1020"/>
      <c r="AX14" s="1020"/>
      <c r="AY14" s="1020"/>
      <c r="AZ14" s="1020"/>
      <c r="BA14" s="1020"/>
    </row>
    <row r="15" spans="1:53" s="99" customFormat="1" ht="12.6">
      <c r="A15" s="1020"/>
      <c r="B15" s="141" t="s">
        <v>1078</v>
      </c>
      <c r="C15" s="226"/>
      <c r="D15" s="142" t="s">
        <v>1015</v>
      </c>
      <c r="E15" s="429"/>
      <c r="F15" s="1448">
        <f>'STANDARD COMP.'!F15:I15</f>
        <v>4123028.1810342241</v>
      </c>
      <c r="G15" s="1448"/>
      <c r="H15" s="1448"/>
      <c r="I15" s="1449"/>
      <c r="J15" s="3"/>
      <c r="K15" s="1402" t="s">
        <v>1079</v>
      </c>
      <c r="L15" s="1402"/>
      <c r="M15" s="1416" t="s">
        <v>989</v>
      </c>
      <c r="N15" s="1402" t="s">
        <v>992</v>
      </c>
      <c r="O15" s="1402"/>
      <c r="P15" s="1417" t="s">
        <v>206</v>
      </c>
      <c r="Q15" s="1418"/>
      <c r="R15" s="1020"/>
      <c r="S15" s="1020"/>
      <c r="T15" s="1020"/>
      <c r="U15" s="1020"/>
      <c r="V15" s="1745"/>
      <c r="W15" s="1020"/>
      <c r="X15" s="86"/>
      <c r="Y15" s="86"/>
      <c r="Z15" s="1020"/>
      <c r="AA15" s="1020"/>
      <c r="AB15" s="1020"/>
      <c r="AC15" s="1020"/>
      <c r="AD15" s="1020"/>
      <c r="AE15" s="1020"/>
      <c r="AF15" s="1020"/>
      <c r="AG15" s="1020"/>
      <c r="AH15" s="1020"/>
      <c r="AI15" s="1020"/>
      <c r="AJ15" s="1020"/>
      <c r="AK15" s="1020"/>
      <c r="AL15" s="1020"/>
      <c r="AM15" s="1020"/>
      <c r="AN15" s="1020"/>
      <c r="AO15" s="1020"/>
      <c r="AP15" s="1020"/>
      <c r="AQ15" s="1020"/>
      <c r="AR15" s="1020"/>
      <c r="AS15" s="1020"/>
      <c r="AT15" s="1020"/>
      <c r="AU15" s="1020"/>
      <c r="AV15" s="1020"/>
      <c r="AW15" s="1020"/>
      <c r="AX15" s="1020"/>
      <c r="AY15" s="1020"/>
      <c r="AZ15" s="1020"/>
      <c r="BA15" s="1020"/>
    </row>
    <row r="16" spans="1:53" s="3" customFormat="1" ht="12.6">
      <c r="B16" s="144" t="s">
        <v>1080</v>
      </c>
      <c r="C16" s="148"/>
      <c r="D16" s="1027" t="s">
        <v>1015</v>
      </c>
      <c r="E16" s="430"/>
      <c r="F16" s="1448">
        <f>'STANDARD COMP.'!F16:I16</f>
        <v>0</v>
      </c>
      <c r="G16" s="1448"/>
      <c r="H16" s="1448"/>
      <c r="I16" s="1449"/>
      <c r="J16" s="1020"/>
      <c r="K16" s="1402"/>
      <c r="L16" s="1402"/>
      <c r="M16" s="1416"/>
      <c r="N16" s="1402"/>
      <c r="O16" s="1402"/>
      <c r="P16" s="1419"/>
      <c r="Q16" s="1420"/>
      <c r="V16" s="442"/>
      <c r="W16" s="3">
        <f>SUM(F30:F32)</f>
        <v>0</v>
      </c>
      <c r="X16" s="443"/>
      <c r="Y16" s="443"/>
    </row>
    <row r="17" spans="1:31" s="99" customFormat="1" ht="12.6">
      <c r="A17" s="1020"/>
      <c r="B17" s="129" t="s">
        <v>1082</v>
      </c>
      <c r="C17" s="101"/>
      <c r="D17" s="142" t="s">
        <v>1015</v>
      </c>
      <c r="E17" s="431"/>
      <c r="F17" s="1450">
        <f>F15-F16</f>
        <v>4123028.1810342241</v>
      </c>
      <c r="G17" s="1448"/>
      <c r="H17" s="1448"/>
      <c r="I17" s="1449"/>
      <c r="J17" s="3"/>
      <c r="K17" s="1521" t="s">
        <v>1031</v>
      </c>
      <c r="L17" s="1521"/>
      <c r="M17" s="1035">
        <f>C1</f>
        <v>45901</v>
      </c>
      <c r="N17" s="1403">
        <f>F25</f>
        <v>30000</v>
      </c>
      <c r="O17" s="1403"/>
      <c r="P17" s="1666"/>
      <c r="Q17" s="1657"/>
      <c r="R17" s="1020"/>
      <c r="S17" s="1020"/>
      <c r="T17" s="1746" t="s">
        <v>1174</v>
      </c>
      <c r="U17" s="1747"/>
      <c r="V17" s="1748">
        <f>C1</f>
        <v>45901</v>
      </c>
      <c r="W17" s="1745">
        <f>EDATE(V17,W16)</f>
        <v>45901</v>
      </c>
      <c r="X17" s="86"/>
      <c r="Y17" s="86"/>
      <c r="Z17" s="1020"/>
      <c r="AA17" s="1020"/>
      <c r="AB17" s="1020"/>
      <c r="AC17" s="1020"/>
      <c r="AD17" s="1020"/>
      <c r="AE17" s="1020"/>
    </row>
    <row r="18" spans="1:31" s="3" customFormat="1" ht="12.6">
      <c r="B18" s="147"/>
      <c r="C18" s="1024"/>
      <c r="D18" s="1027"/>
      <c r="E18" s="1028"/>
      <c r="F18" s="1715"/>
      <c r="G18" s="1715"/>
      <c r="H18" s="1715"/>
      <c r="I18" s="1716"/>
      <c r="J18" s="1020"/>
      <c r="K18" s="1521">
        <f t="shared" ref="K18:K55" si="0">IF(N18&gt;1,T18,0)</f>
        <v>0</v>
      </c>
      <c r="L18" s="1521"/>
      <c r="M18" s="312" t="str">
        <f t="shared" ref="M18:M55" si="1">IF(N18&gt;1,V18,"")</f>
        <v/>
      </c>
      <c r="N18" s="1717"/>
      <c r="O18" s="1717"/>
      <c r="P18" s="1666"/>
      <c r="Q18" s="1657"/>
      <c r="T18" s="1521" t="s">
        <v>1175</v>
      </c>
      <c r="U18" s="1521"/>
      <c r="V18" s="444">
        <f>IF(DAY(V17)=31,X21,Z21)</f>
        <v>45935</v>
      </c>
      <c r="X18" s="1"/>
      <c r="Y18" s="1"/>
    </row>
    <row r="19" spans="1:31" s="99" customFormat="1" ht="12.95">
      <c r="A19" s="1020"/>
      <c r="B19" s="148" t="s">
        <v>1087</v>
      </c>
      <c r="C19" s="148"/>
      <c r="D19" s="1027" t="s">
        <v>1015</v>
      </c>
      <c r="E19" s="1041">
        <v>0.12</v>
      </c>
      <c r="F19" s="1455"/>
      <c r="G19" s="1456"/>
      <c r="H19" s="1456"/>
      <c r="I19" s="1457"/>
      <c r="J19" s="1020"/>
      <c r="K19" s="1521">
        <f t="shared" si="0"/>
        <v>0</v>
      </c>
      <c r="L19" s="1521"/>
      <c r="M19" s="312" t="str">
        <f t="shared" si="1"/>
        <v/>
      </c>
      <c r="N19" s="1749"/>
      <c r="O19" s="1750"/>
      <c r="P19" s="1666"/>
      <c r="Q19" s="1657"/>
      <c r="R19" s="1020"/>
      <c r="S19" s="1020"/>
      <c r="T19" s="1666" t="s">
        <v>1088</v>
      </c>
      <c r="U19" s="1657"/>
      <c r="V19" s="1751">
        <f t="shared" ref="V19:V72" si="2">IF(AND(DAY(V18)&gt;=6,DAY(V18)&lt;=20),DATE(YEAR(V18),MONTH(V18)+1,DAY(20)),IF(AND(DAY(V18)&gt;=21,DAY(V18)&lt;=30),DATE(YEAR(V18),MONTH(V18)+1,IF(DAY(EOMONTH(V18,1))&lt;30,DAY(EOMONTH(V18,1)),DAY(30))),DATE(YEAR(V18),MONTH(V18)+1,DAY(5))))</f>
        <v>45966</v>
      </c>
      <c r="W19" s="1020"/>
      <c r="X19" s="1519" t="s">
        <v>1085</v>
      </c>
      <c r="Y19" s="1519"/>
      <c r="Z19" s="1020"/>
      <c r="AA19" s="1020"/>
      <c r="AB19" s="1020"/>
      <c r="AC19" s="1020"/>
      <c r="AD19" s="1666"/>
      <c r="AE19" s="1657"/>
    </row>
    <row r="20" spans="1:31" s="99" customFormat="1" ht="12.6">
      <c r="A20" s="1020"/>
      <c r="B20" s="238" t="s">
        <v>1090</v>
      </c>
      <c r="C20" s="126"/>
      <c r="D20" s="1027" t="s">
        <v>1015</v>
      </c>
      <c r="E20" s="1718"/>
      <c r="F20" s="1453">
        <f>'STANDARD COMP.'!F20:I20</f>
        <v>525686.0930818636</v>
      </c>
      <c r="G20" s="1453"/>
      <c r="H20" s="1453"/>
      <c r="I20" s="1454"/>
      <c r="J20" s="1020"/>
      <c r="K20" s="1521">
        <f t="shared" si="0"/>
        <v>0</v>
      </c>
      <c r="L20" s="1521"/>
      <c r="M20" s="312" t="str">
        <f t="shared" si="1"/>
        <v/>
      </c>
      <c r="N20" s="1749"/>
      <c r="O20" s="1750"/>
      <c r="P20" s="1666"/>
      <c r="Q20" s="1657"/>
      <c r="R20" s="1020"/>
      <c r="S20" s="1020"/>
      <c r="T20" s="1521" t="s">
        <v>1091</v>
      </c>
      <c r="U20" s="1521"/>
      <c r="V20" s="1751">
        <f t="shared" si="2"/>
        <v>45996</v>
      </c>
      <c r="W20" s="1752" t="s">
        <v>37</v>
      </c>
      <c r="X20" s="1753" t="b">
        <f>IF(DAY(V17)=31,DATE(YEAR(W17),MONTH(W17)+2,DAY(5)))</f>
        <v>0</v>
      </c>
      <c r="Y20" s="1754"/>
      <c r="Z20" s="1755">
        <f>IF(AND(DAY(W17)&gt;=6,DAY(W17)&lt;=20),DATE(YEAR(W17),MONTH(W17)+1,DAY(20)),IF(AND(DAY(W17)&gt;=21,DAY(W17)&lt;=31),DATE(YEAR(W17),MONTH(W17)+1,IF(DAY(EOMONTH(W17,1))&lt;30,DAY(EOMONTH(W17,1)),DAY(30))),DATE(YEAR(W17),MONTH(W17)+1,DAY(5))))</f>
        <v>45935</v>
      </c>
      <c r="AA20" s="1020"/>
      <c r="AB20" s="1020"/>
      <c r="AC20" s="1020"/>
      <c r="AD20" s="1666"/>
      <c r="AE20" s="1657"/>
    </row>
    <row r="21" spans="1:31" s="99" customFormat="1" ht="12.6">
      <c r="A21" s="1020"/>
      <c r="B21" s="147"/>
      <c r="C21" s="1024"/>
      <c r="D21" s="1027"/>
      <c r="E21" s="1719"/>
      <c r="F21" s="1720"/>
      <c r="G21" s="1047"/>
      <c r="H21" s="1047"/>
      <c r="I21" s="1029"/>
      <c r="J21" s="1020"/>
      <c r="K21" s="1521">
        <f t="shared" si="0"/>
        <v>0</v>
      </c>
      <c r="L21" s="1521"/>
      <c r="M21" s="312" t="str">
        <f t="shared" si="1"/>
        <v/>
      </c>
      <c r="N21" s="1749"/>
      <c r="O21" s="1750"/>
      <c r="P21" s="1666"/>
      <c r="Q21" s="1657"/>
      <c r="R21" s="1020"/>
      <c r="S21" s="1020"/>
      <c r="T21" s="1521" t="s">
        <v>1094</v>
      </c>
      <c r="U21" s="1521"/>
      <c r="V21" s="1751">
        <f t="shared" si="2"/>
        <v>46027</v>
      </c>
      <c r="W21" s="1752" t="s">
        <v>1092</v>
      </c>
      <c r="X21" s="1753" t="b">
        <f>IF(DAY(V17)=31,DATE(YEAR(V17),MONTH(V17)+2,DAY(5)))</f>
        <v>0</v>
      </c>
      <c r="Y21" s="1754"/>
      <c r="Z21" s="1755">
        <f>IF(AND(DAY(V17)&gt;=6,DAY(V17)&lt;=20),DATE(YEAR(V17),MONTH(V17)+1,DAY(20)),IF(AND(DAY(V17)&gt;=21,DAY(V17)&lt;=30),DATE(YEAR(V17),MONTH(V17)+1,IF(DAY(EOMONTH(V17,1))&lt;31,DAY(EOMONTH(V17,1)),DAY(30))),DATE(YEAR(V17),MONTH(V17)+1,DAY(5))))</f>
        <v>45935</v>
      </c>
      <c r="AA21" s="1020"/>
      <c r="AB21" s="1020"/>
      <c r="AC21" s="1020"/>
      <c r="AD21" s="1666"/>
      <c r="AE21" s="1657"/>
    </row>
    <row r="22" spans="1:31" s="99" customFormat="1" ht="12.95">
      <c r="A22" s="1020"/>
      <c r="B22" s="129" t="s">
        <v>1096</v>
      </c>
      <c r="C22" s="101"/>
      <c r="D22" s="142" t="s">
        <v>1015</v>
      </c>
      <c r="E22" s="272"/>
      <c r="F22" s="1399">
        <f>SUM(F19:I20,F17)</f>
        <v>4648714.2741160877</v>
      </c>
      <c r="G22" s="1400"/>
      <c r="H22" s="1400"/>
      <c r="I22" s="1401"/>
      <c r="J22" s="1020"/>
      <c r="K22" s="1521">
        <f t="shared" si="0"/>
        <v>0</v>
      </c>
      <c r="L22" s="1521"/>
      <c r="M22" s="312" t="str">
        <f t="shared" si="1"/>
        <v/>
      </c>
      <c r="N22" s="1749"/>
      <c r="O22" s="1750"/>
      <c r="P22" s="1666"/>
      <c r="Q22" s="1657"/>
      <c r="R22" s="1020"/>
      <c r="S22" s="1020"/>
      <c r="T22" s="1521" t="s">
        <v>1097</v>
      </c>
      <c r="U22" s="1521"/>
      <c r="V22" s="1751">
        <f t="shared" si="2"/>
        <v>46058</v>
      </c>
      <c r="W22" s="1020"/>
      <c r="X22" s="1519"/>
      <c r="Y22" s="1519"/>
      <c r="Z22" s="1020"/>
      <c r="AA22" s="1020"/>
      <c r="AB22" s="1020"/>
      <c r="AC22" s="1020"/>
      <c r="AD22" s="1666"/>
      <c r="AE22" s="1657"/>
    </row>
    <row r="23" spans="1:31" s="99" customFormat="1" ht="12.95">
      <c r="A23" s="3"/>
      <c r="B23" s="147"/>
      <c r="C23" s="1024"/>
      <c r="D23" s="1027"/>
      <c r="E23" s="1027"/>
      <c r="F23" s="1721"/>
      <c r="G23" s="1721"/>
      <c r="H23" s="1721"/>
      <c r="I23" s="1024"/>
      <c r="J23" s="3"/>
      <c r="K23" s="1521">
        <f t="shared" si="0"/>
        <v>0</v>
      </c>
      <c r="L23" s="1521"/>
      <c r="M23" s="312" t="str">
        <f t="shared" si="1"/>
        <v/>
      </c>
      <c r="N23" s="1749"/>
      <c r="O23" s="1750"/>
      <c r="P23" s="1666"/>
      <c r="Q23" s="1657"/>
      <c r="R23" s="1020"/>
      <c r="S23" s="1020"/>
      <c r="T23" s="1521" t="s">
        <v>1098</v>
      </c>
      <c r="U23" s="1521"/>
      <c r="V23" s="1751">
        <f t="shared" si="2"/>
        <v>46086</v>
      </c>
      <c r="W23" s="1020"/>
      <c r="X23" s="1519"/>
      <c r="Y23" s="1519"/>
      <c r="Z23" s="1020"/>
      <c r="AA23" s="1020"/>
      <c r="AB23" s="1020"/>
      <c r="AC23" s="1020"/>
      <c r="AD23" s="1666"/>
      <c r="AE23" s="1657"/>
    </row>
    <row r="24" spans="1:31" s="3" customFormat="1" ht="12.95">
      <c r="A24" s="1020"/>
      <c r="B24" s="129" t="s">
        <v>1099</v>
      </c>
      <c r="C24" s="226"/>
      <c r="D24" s="142" t="s">
        <v>1015</v>
      </c>
      <c r="E24" s="270">
        <f>'STANDARD COMP.'!E24</f>
        <v>0.125</v>
      </c>
      <c r="F24" s="1450">
        <f>F22*E24</f>
        <v>581089.28426451096</v>
      </c>
      <c r="G24" s="1448"/>
      <c r="H24" s="1448"/>
      <c r="I24" s="1449"/>
      <c r="J24" s="1020"/>
      <c r="K24" s="1521">
        <f t="shared" si="0"/>
        <v>0</v>
      </c>
      <c r="L24" s="1521"/>
      <c r="M24" s="312" t="str">
        <f t="shared" si="1"/>
        <v/>
      </c>
      <c r="N24" s="1749"/>
      <c r="O24" s="1750"/>
      <c r="P24" s="1666"/>
      <c r="Q24" s="1657"/>
      <c r="T24" s="1521" t="s">
        <v>1100</v>
      </c>
      <c r="U24" s="1521"/>
      <c r="V24" s="1751">
        <f t="shared" si="2"/>
        <v>46117</v>
      </c>
      <c r="X24" s="1519"/>
      <c r="Y24" s="1519"/>
      <c r="AD24" s="1666"/>
      <c r="AE24" s="1657"/>
    </row>
    <row r="25" spans="1:31" s="99" customFormat="1" ht="12.95">
      <c r="A25" s="1020"/>
      <c r="B25" s="144" t="s">
        <v>1101</v>
      </c>
      <c r="C25" s="148"/>
      <c r="D25" s="1027" t="s">
        <v>1015</v>
      </c>
      <c r="E25" s="1042"/>
      <c r="F25" s="1455">
        <f>'STANDARD COMP.'!F25</f>
        <v>30000</v>
      </c>
      <c r="G25" s="1456"/>
      <c r="H25" s="1456"/>
      <c r="I25" s="1457"/>
      <c r="J25" s="1020"/>
      <c r="K25" s="1521">
        <f t="shared" si="0"/>
        <v>0</v>
      </c>
      <c r="L25" s="1521"/>
      <c r="M25" s="312" t="str">
        <f t="shared" si="1"/>
        <v/>
      </c>
      <c r="N25" s="1749"/>
      <c r="O25" s="1750"/>
      <c r="P25" s="1666"/>
      <c r="Q25" s="1657"/>
      <c r="R25" s="1020"/>
      <c r="S25" s="1020"/>
      <c r="T25" s="1521" t="s">
        <v>1102</v>
      </c>
      <c r="U25" s="1521"/>
      <c r="V25" s="1751">
        <f t="shared" si="2"/>
        <v>46147</v>
      </c>
      <c r="W25" s="1020"/>
      <c r="X25" s="1519"/>
      <c r="Y25" s="1519"/>
      <c r="Z25" s="1020"/>
      <c r="AA25" s="1020"/>
      <c r="AB25" s="1020"/>
      <c r="AC25" s="1020"/>
      <c r="AD25" s="1666"/>
      <c r="AE25" s="1657"/>
    </row>
    <row r="26" spans="1:31" s="99" customFormat="1" ht="12.95">
      <c r="A26" s="3"/>
      <c r="B26" s="198" t="s">
        <v>1250</v>
      </c>
      <c r="C26" s="445"/>
      <c r="D26" s="1027"/>
      <c r="E26" s="1756">
        <v>2.5000000000000001E-2</v>
      </c>
      <c r="F26" s="446">
        <f>E26*F22</f>
        <v>116217.8568529022</v>
      </c>
      <c r="G26" s="447"/>
      <c r="H26" s="447"/>
      <c r="I26" s="448"/>
      <c r="J26" s="3"/>
      <c r="K26" s="1521">
        <f t="shared" si="0"/>
        <v>0</v>
      </c>
      <c r="L26" s="1521"/>
      <c r="M26" s="312" t="str">
        <f t="shared" si="1"/>
        <v/>
      </c>
      <c r="N26" s="1749"/>
      <c r="O26" s="1750"/>
      <c r="P26" s="1666"/>
      <c r="Q26" s="1657"/>
      <c r="R26" s="1020"/>
      <c r="S26" s="1020"/>
      <c r="T26" s="1521" t="s">
        <v>1104</v>
      </c>
      <c r="U26" s="1521"/>
      <c r="V26" s="1751">
        <f t="shared" si="2"/>
        <v>46178</v>
      </c>
      <c r="W26" s="1020"/>
      <c r="X26" s="1519"/>
      <c r="Y26" s="1519"/>
      <c r="Z26" s="1020"/>
      <c r="AA26" s="1020"/>
      <c r="AB26" s="1020"/>
      <c r="AC26" s="1020"/>
      <c r="AD26" s="1666"/>
      <c r="AE26" s="1657"/>
    </row>
    <row r="27" spans="1:31" s="3" customFormat="1" ht="12.95">
      <c r="B27" s="129" t="s">
        <v>1176</v>
      </c>
      <c r="C27" s="101"/>
      <c r="D27" s="142" t="s">
        <v>1015</v>
      </c>
      <c r="E27" s="239"/>
      <c r="F27" s="1450">
        <f>F24-F25-F26</f>
        <v>434871.42741160875</v>
      </c>
      <c r="G27" s="1448"/>
      <c r="H27" s="1448"/>
      <c r="I27" s="1449"/>
      <c r="J27" s="449"/>
      <c r="K27" s="1521">
        <f t="shared" si="0"/>
        <v>0</v>
      </c>
      <c r="L27" s="1521"/>
      <c r="M27" s="312" t="str">
        <f t="shared" si="1"/>
        <v/>
      </c>
      <c r="N27" s="1749"/>
      <c r="O27" s="1750"/>
      <c r="P27" s="1666"/>
      <c r="Q27" s="1657"/>
      <c r="R27" s="3" t="s">
        <v>60</v>
      </c>
      <c r="T27" s="1521" t="s">
        <v>1105</v>
      </c>
      <c r="U27" s="1521"/>
      <c r="V27" s="1751">
        <f t="shared" si="2"/>
        <v>46208</v>
      </c>
      <c r="X27" s="1519"/>
      <c r="Y27" s="1519"/>
      <c r="AD27" s="1666"/>
      <c r="AE27" s="1657"/>
    </row>
    <row r="28" spans="1:31" s="3" customFormat="1" ht="12.95">
      <c r="B28" s="147"/>
      <c r="C28" s="1024"/>
      <c r="D28" s="1027"/>
      <c r="E28" s="1027"/>
      <c r="F28" s="1721"/>
      <c r="G28" s="1721"/>
      <c r="H28" s="1721"/>
      <c r="I28" s="100"/>
      <c r="K28" s="1521">
        <f t="shared" si="0"/>
        <v>0</v>
      </c>
      <c r="L28" s="1521"/>
      <c r="M28" s="312" t="str">
        <f t="shared" si="1"/>
        <v/>
      </c>
      <c r="N28" s="1749"/>
      <c r="O28" s="1750"/>
      <c r="P28" s="1666"/>
      <c r="Q28" s="1657"/>
      <c r="T28" s="1521" t="s">
        <v>1107</v>
      </c>
      <c r="U28" s="1521"/>
      <c r="V28" s="1751">
        <f t="shared" si="2"/>
        <v>46239</v>
      </c>
      <c r="X28" s="1519"/>
      <c r="Y28" s="1519"/>
      <c r="AD28" s="1666"/>
      <c r="AE28" s="1657"/>
    </row>
    <row r="29" spans="1:31" s="3" customFormat="1" ht="12.95">
      <c r="A29" s="1020"/>
      <c r="B29" s="1460" t="s">
        <v>1177</v>
      </c>
      <c r="C29" s="1460"/>
      <c r="D29" s="142"/>
      <c r="E29" s="432" t="s">
        <v>1047</v>
      </c>
      <c r="F29" s="433" t="s">
        <v>1046</v>
      </c>
      <c r="G29" s="1461" t="s">
        <v>1178</v>
      </c>
      <c r="H29" s="1461"/>
      <c r="I29" s="1461"/>
      <c r="J29" s="1020"/>
      <c r="K29" s="1521">
        <f t="shared" si="0"/>
        <v>0</v>
      </c>
      <c r="L29" s="1521"/>
      <c r="M29" s="312" t="str">
        <f t="shared" si="1"/>
        <v/>
      </c>
      <c r="N29" s="1717"/>
      <c r="O29" s="1717"/>
      <c r="P29" s="1666"/>
      <c r="Q29" s="1657"/>
      <c r="T29" s="1521" t="s">
        <v>1108</v>
      </c>
      <c r="U29" s="1521"/>
      <c r="V29" s="1751">
        <f t="shared" si="2"/>
        <v>46270</v>
      </c>
      <c r="X29" s="1519"/>
      <c r="Y29" s="1519"/>
      <c r="AD29" s="1666"/>
      <c r="AE29" s="1657"/>
    </row>
    <row r="30" spans="1:31" s="99" customFormat="1" ht="12.95">
      <c r="A30" s="3"/>
      <c r="B30" s="1458">
        <f>FORM!K39</f>
        <v>0</v>
      </c>
      <c r="C30" s="1458"/>
      <c r="D30" s="142" t="s">
        <v>1015</v>
      </c>
      <c r="E30" s="1722">
        <f>FORM!T39</f>
        <v>0.25</v>
      </c>
      <c r="F30" s="434">
        <f>FORM!P39</f>
        <v>0</v>
      </c>
      <c r="G30" s="1459" t="e">
        <f>F27*E30/F30</f>
        <v>#DIV/0!</v>
      </c>
      <c r="H30" s="1459"/>
      <c r="I30" s="1459"/>
      <c r="J30" s="3"/>
      <c r="K30" s="1521">
        <f t="shared" si="0"/>
        <v>0</v>
      </c>
      <c r="L30" s="1521"/>
      <c r="M30" s="312" t="str">
        <f t="shared" si="1"/>
        <v/>
      </c>
      <c r="N30" s="1717"/>
      <c r="O30" s="1717"/>
      <c r="P30" s="1666"/>
      <c r="Q30" s="1657"/>
      <c r="R30" s="3"/>
      <c r="S30" s="3"/>
      <c r="T30" s="1521" t="s">
        <v>1110</v>
      </c>
      <c r="U30" s="1521"/>
      <c r="V30" s="1751">
        <f t="shared" si="2"/>
        <v>46300</v>
      </c>
      <c r="W30" s="1020"/>
      <c r="X30" s="1519"/>
      <c r="Y30" s="1519"/>
      <c r="Z30" s="1020"/>
      <c r="AA30" s="1020"/>
      <c r="AB30" s="1020"/>
      <c r="AC30" s="1020"/>
      <c r="AD30" s="1666"/>
      <c r="AE30" s="1657"/>
    </row>
    <row r="31" spans="1:31" s="3" customFormat="1" ht="12.95">
      <c r="A31" s="1020"/>
      <c r="B31" s="1458">
        <f>FORM!K40</f>
        <v>0</v>
      </c>
      <c r="C31" s="1458"/>
      <c r="D31" s="142" t="s">
        <v>1015</v>
      </c>
      <c r="E31" s="1722">
        <f>FORM!T40</f>
        <v>0.35</v>
      </c>
      <c r="F31" s="434">
        <f>FORM!P40</f>
        <v>0</v>
      </c>
      <c r="G31" s="1459" t="e">
        <f>F27*E31/F31</f>
        <v>#DIV/0!</v>
      </c>
      <c r="H31" s="1459"/>
      <c r="I31" s="1459"/>
      <c r="J31" s="1020"/>
      <c r="K31" s="1521">
        <f t="shared" si="0"/>
        <v>0</v>
      </c>
      <c r="L31" s="1521"/>
      <c r="M31" s="312" t="str">
        <f t="shared" si="1"/>
        <v/>
      </c>
      <c r="N31" s="1717"/>
      <c r="O31" s="1717"/>
      <c r="P31" s="1666"/>
      <c r="Q31" s="1657"/>
      <c r="T31" s="1521" t="s">
        <v>1111</v>
      </c>
      <c r="U31" s="1521"/>
      <c r="V31" s="1751">
        <f t="shared" si="2"/>
        <v>46331</v>
      </c>
      <c r="X31" s="1519"/>
      <c r="Y31" s="1519"/>
      <c r="AD31" s="1666"/>
      <c r="AE31" s="1657"/>
    </row>
    <row r="32" spans="1:31" s="99" customFormat="1" ht="12.95">
      <c r="A32" s="3"/>
      <c r="B32" s="1458">
        <f>FORM!K41</f>
        <v>0</v>
      </c>
      <c r="C32" s="1458"/>
      <c r="D32" s="142" t="s">
        <v>1015</v>
      </c>
      <c r="E32" s="1722">
        <f>FORM!T41</f>
        <v>0.4</v>
      </c>
      <c r="F32" s="434">
        <f>FORM!P41</f>
        <v>0</v>
      </c>
      <c r="G32" s="1459" t="e">
        <f>F27*E32/F32</f>
        <v>#DIV/0!</v>
      </c>
      <c r="H32" s="1459"/>
      <c r="I32" s="1459"/>
      <c r="J32" s="3"/>
      <c r="K32" s="1521">
        <f t="shared" si="0"/>
        <v>0</v>
      </c>
      <c r="L32" s="1521"/>
      <c r="M32" s="312" t="str">
        <f t="shared" si="1"/>
        <v/>
      </c>
      <c r="N32" s="1717"/>
      <c r="O32" s="1717"/>
      <c r="P32" s="1666"/>
      <c r="Q32" s="1657"/>
      <c r="R32" s="3"/>
      <c r="S32" s="3"/>
      <c r="T32" s="1521" t="s">
        <v>1113</v>
      </c>
      <c r="U32" s="1521"/>
      <c r="V32" s="1751">
        <f t="shared" si="2"/>
        <v>46361</v>
      </c>
      <c r="W32" s="1020"/>
      <c r="X32" s="1519"/>
      <c r="Y32" s="1519"/>
      <c r="Z32" s="1020"/>
      <c r="AA32" s="1020"/>
      <c r="AB32" s="1020"/>
      <c r="AC32" s="1020"/>
      <c r="AD32" s="1666"/>
      <c r="AE32" s="1657"/>
    </row>
    <row r="33" spans="1:31" s="3" customFormat="1" ht="12.95">
      <c r="A33" s="1020"/>
      <c r="B33" s="175"/>
      <c r="C33" s="175"/>
      <c r="D33" s="1027"/>
      <c r="E33" s="1027"/>
      <c r="F33" s="435">
        <f>SUM(F30:F32)</f>
        <v>0</v>
      </c>
      <c r="G33" s="1059"/>
      <c r="H33" s="1059"/>
      <c r="I33" s="1024"/>
      <c r="J33" s="1020"/>
      <c r="K33" s="1521">
        <f t="shared" si="0"/>
        <v>0</v>
      </c>
      <c r="L33" s="1521"/>
      <c r="M33" s="312" t="str">
        <f t="shared" si="1"/>
        <v/>
      </c>
      <c r="N33" s="1717"/>
      <c r="O33" s="1717"/>
      <c r="P33" s="1666"/>
      <c r="Q33" s="1657"/>
      <c r="T33" s="1521" t="s">
        <v>1114</v>
      </c>
      <c r="U33" s="1521"/>
      <c r="V33" s="1751">
        <f t="shared" si="2"/>
        <v>46392</v>
      </c>
      <c r="X33" s="1519"/>
      <c r="Y33" s="1519"/>
      <c r="AD33" s="1666"/>
      <c r="AE33" s="1657"/>
    </row>
    <row r="34" spans="1:31" s="99" customFormat="1" ht="12.95">
      <c r="A34" s="1020"/>
      <c r="B34" s="129" t="s">
        <v>1109</v>
      </c>
      <c r="C34" s="101"/>
      <c r="D34" s="142" t="s">
        <v>1015</v>
      </c>
      <c r="E34" s="270">
        <f>100%-E24</f>
        <v>0.875</v>
      </c>
      <c r="F34" s="1450">
        <f>F22*E34</f>
        <v>4067624.9898515767</v>
      </c>
      <c r="G34" s="1448"/>
      <c r="H34" s="1448"/>
      <c r="I34" s="1449"/>
      <c r="J34" s="1020"/>
      <c r="K34" s="1521">
        <f t="shared" si="0"/>
        <v>0</v>
      </c>
      <c r="L34" s="1521"/>
      <c r="M34" s="312" t="str">
        <f t="shared" si="1"/>
        <v/>
      </c>
      <c r="N34" s="1717"/>
      <c r="O34" s="1717"/>
      <c r="P34" s="1666"/>
      <c r="Q34" s="1657"/>
      <c r="R34" s="1020"/>
      <c r="S34" s="1020"/>
      <c r="T34" s="1521" t="s">
        <v>1117</v>
      </c>
      <c r="U34" s="1521"/>
      <c r="V34" s="1751">
        <f t="shared" si="2"/>
        <v>46423</v>
      </c>
      <c r="W34" s="1020"/>
      <c r="X34" s="1519"/>
      <c r="Y34" s="1519"/>
      <c r="Z34" s="1020"/>
      <c r="AA34" s="1020"/>
      <c r="AB34" s="1020"/>
      <c r="AC34" s="1020"/>
      <c r="AD34" s="1666"/>
      <c r="AE34" s="1657"/>
    </row>
    <row r="35" spans="1:31" s="99" customFormat="1" ht="12.95">
      <c r="A35" s="3"/>
      <c r="B35" s="147"/>
      <c r="C35" s="1024"/>
      <c r="D35" s="1027"/>
      <c r="E35" s="1024"/>
      <c r="F35" s="1024"/>
      <c r="G35" s="1024"/>
      <c r="H35" s="1024"/>
      <c r="I35" s="1024"/>
      <c r="J35" s="3"/>
      <c r="K35" s="1521">
        <f t="shared" si="0"/>
        <v>0</v>
      </c>
      <c r="L35" s="1521"/>
      <c r="M35" s="312" t="str">
        <f t="shared" si="1"/>
        <v/>
      </c>
      <c r="N35" s="1717"/>
      <c r="O35" s="1717"/>
      <c r="P35" s="1666"/>
      <c r="Q35" s="1657"/>
      <c r="R35" s="1020"/>
      <c r="S35" s="1020"/>
      <c r="T35" s="1521" t="s">
        <v>1118</v>
      </c>
      <c r="U35" s="1521"/>
      <c r="V35" s="1751">
        <f t="shared" si="2"/>
        <v>46451</v>
      </c>
      <c r="W35" s="1020"/>
      <c r="X35" s="1519"/>
      <c r="Y35" s="1519"/>
      <c r="Z35" s="1020"/>
      <c r="AA35" s="1020"/>
      <c r="AB35" s="1020"/>
      <c r="AC35" s="1020"/>
      <c r="AD35" s="1666"/>
      <c r="AE35" s="1657"/>
    </row>
    <row r="36" spans="1:31" s="3" customFormat="1" ht="12.95">
      <c r="A36" s="1020"/>
      <c r="B36" s="101" t="s">
        <v>1112</v>
      </c>
      <c r="C36" s="101"/>
      <c r="D36" s="175"/>
      <c r="E36" s="175"/>
      <c r="F36" s="175"/>
      <c r="G36" s="175"/>
      <c r="H36" s="175"/>
      <c r="I36" s="175"/>
      <c r="J36" s="1020"/>
      <c r="K36" s="1521">
        <f t="shared" si="0"/>
        <v>0</v>
      </c>
      <c r="L36" s="1521"/>
      <c r="M36" s="312" t="str">
        <f t="shared" si="1"/>
        <v/>
      </c>
      <c r="N36" s="1717"/>
      <c r="O36" s="1717"/>
      <c r="P36" s="1666"/>
      <c r="Q36" s="1657"/>
      <c r="T36" s="1521" t="s">
        <v>1119</v>
      </c>
      <c r="U36" s="1521"/>
      <c r="V36" s="1751">
        <f t="shared" si="2"/>
        <v>46482</v>
      </c>
      <c r="X36" s="1519"/>
      <c r="Y36" s="1519"/>
      <c r="AD36" s="1666"/>
      <c r="AE36" s="1657"/>
    </row>
    <row r="37" spans="1:31" s="99" customFormat="1" ht="12.95">
      <c r="A37" s="1020"/>
      <c r="B37" s="578"/>
      <c r="C37" s="578"/>
      <c r="D37" s="175"/>
      <c r="E37" s="175"/>
      <c r="F37" s="175"/>
      <c r="G37" s="175"/>
      <c r="H37" s="175"/>
      <c r="I37" s="175"/>
      <c r="J37" s="1020"/>
      <c r="K37" s="1521">
        <f t="shared" si="0"/>
        <v>0</v>
      </c>
      <c r="L37" s="1521"/>
      <c r="M37" s="312" t="str">
        <f t="shared" si="1"/>
        <v/>
      </c>
      <c r="N37" s="1717"/>
      <c r="O37" s="1717"/>
      <c r="P37" s="1666"/>
      <c r="Q37" s="1657"/>
      <c r="R37" s="1020"/>
      <c r="S37" s="1020"/>
      <c r="T37" s="1521" t="s">
        <v>1120</v>
      </c>
      <c r="U37" s="1521"/>
      <c r="V37" s="1751">
        <f t="shared" si="2"/>
        <v>46512</v>
      </c>
      <c r="W37" s="1020"/>
      <c r="X37" s="1519"/>
      <c r="Y37" s="1519"/>
      <c r="Z37" s="1020"/>
      <c r="AA37" s="1020"/>
      <c r="AB37" s="1020"/>
      <c r="AC37" s="1020"/>
      <c r="AD37" s="1666"/>
      <c r="AE37" s="1657"/>
    </row>
    <row r="38" spans="1:31" s="99" customFormat="1" ht="12.95">
      <c r="A38" s="1020"/>
      <c r="B38" s="577" t="s">
        <v>53</v>
      </c>
      <c r="C38" s="577" t="s">
        <v>54</v>
      </c>
      <c r="D38" s="1463" t="s">
        <v>55</v>
      </c>
      <c r="E38" s="1463"/>
      <c r="F38" s="577" t="s">
        <v>1115</v>
      </c>
      <c r="G38" s="1464" t="s">
        <v>1179</v>
      </c>
      <c r="H38" s="1465"/>
      <c r="I38" s="1466"/>
      <c r="J38" s="1020"/>
      <c r="K38" s="1521">
        <f t="shared" si="0"/>
        <v>0</v>
      </c>
      <c r="L38" s="1521"/>
      <c r="M38" s="312" t="str">
        <f t="shared" si="1"/>
        <v/>
      </c>
      <c r="N38" s="1717"/>
      <c r="O38" s="1717"/>
      <c r="P38" s="1666"/>
      <c r="Q38" s="1657"/>
      <c r="R38" s="1020"/>
      <c r="S38" s="1020"/>
      <c r="T38" s="1521" t="s">
        <v>1121</v>
      </c>
      <c r="U38" s="1521"/>
      <c r="V38" s="1751">
        <f t="shared" si="2"/>
        <v>46543</v>
      </c>
      <c r="W38" s="1020"/>
      <c r="X38" s="1519"/>
      <c r="Y38" s="1519"/>
      <c r="Z38" s="1020"/>
      <c r="AA38" s="1020"/>
      <c r="AB38" s="1020"/>
      <c r="AC38" s="1020"/>
      <c r="AD38" s="1666"/>
      <c r="AE38" s="1657"/>
    </row>
    <row r="39" spans="1:31" s="99" customFormat="1" ht="12.95">
      <c r="A39" s="1020"/>
      <c r="B39" s="436">
        <v>5</v>
      </c>
      <c r="C39" s="437">
        <f>'STANDARD COMP.'!C35</f>
        <v>7.0000000000000007E-2</v>
      </c>
      <c r="D39" s="1462">
        <f>PMT(C39/12,B39*12,-1)</f>
        <v>1.9801198540349535E-2</v>
      </c>
      <c r="E39" s="1462"/>
      <c r="F39" s="1723">
        <f>D39*F34</f>
        <v>80543.850011738337</v>
      </c>
      <c r="G39" s="1724">
        <f>F39/0.33</f>
        <v>244072.27276284344</v>
      </c>
      <c r="H39" s="1725"/>
      <c r="I39" s="1726"/>
      <c r="J39" s="1020"/>
      <c r="K39" s="1521">
        <f t="shared" si="0"/>
        <v>0</v>
      </c>
      <c r="L39" s="1521"/>
      <c r="M39" s="312" t="str">
        <f t="shared" si="1"/>
        <v/>
      </c>
      <c r="N39" s="1717"/>
      <c r="O39" s="1717"/>
      <c r="P39" s="1666"/>
      <c r="Q39" s="1657"/>
      <c r="R39" s="1020"/>
      <c r="S39" s="1020"/>
      <c r="T39" s="1521" t="s">
        <v>1123</v>
      </c>
      <c r="U39" s="1521"/>
      <c r="V39" s="1751">
        <f t="shared" si="2"/>
        <v>46573</v>
      </c>
      <c r="W39" s="1020"/>
      <c r="X39" s="1519"/>
      <c r="Y39" s="1519"/>
      <c r="Z39" s="1020"/>
      <c r="AA39" s="1020"/>
      <c r="AB39" s="1020"/>
      <c r="AC39" s="1020"/>
      <c r="AD39" s="1666"/>
      <c r="AE39" s="1657"/>
    </row>
    <row r="40" spans="1:31" s="99" customFormat="1" ht="12.95">
      <c r="A40" s="1020"/>
      <c r="B40" s="436">
        <v>10</v>
      </c>
      <c r="C40" s="437">
        <f>'STANDARD COMP.'!C36</f>
        <v>7.0000000000000007E-2</v>
      </c>
      <c r="D40" s="1462">
        <f>PMT(C40/12,B40*12,-1)</f>
        <v>1.1610847921862406E-2</v>
      </c>
      <c r="E40" s="1462"/>
      <c r="F40" s="1723">
        <f>D40*F34</f>
        <v>47228.57516033377</v>
      </c>
      <c r="G40" s="1724">
        <f>F40/0.33</f>
        <v>143116.89442525385</v>
      </c>
      <c r="H40" s="1725"/>
      <c r="I40" s="1726"/>
      <c r="J40" s="1020"/>
      <c r="K40" s="1521">
        <f t="shared" si="0"/>
        <v>0</v>
      </c>
      <c r="L40" s="1521"/>
      <c r="M40" s="312" t="str">
        <f t="shared" si="1"/>
        <v/>
      </c>
      <c r="N40" s="1717"/>
      <c r="O40" s="1717"/>
      <c r="P40" s="1666"/>
      <c r="Q40" s="1657"/>
      <c r="R40" s="1020"/>
      <c r="S40" s="1020"/>
      <c r="T40" s="1521" t="s">
        <v>1125</v>
      </c>
      <c r="U40" s="1521"/>
      <c r="V40" s="1751">
        <f t="shared" si="2"/>
        <v>46604</v>
      </c>
      <c r="W40" s="1020"/>
      <c r="X40" s="1519"/>
      <c r="Y40" s="1519"/>
      <c r="Z40" s="1020"/>
      <c r="AA40" s="1020"/>
      <c r="AB40" s="1020"/>
      <c r="AC40" s="1020"/>
      <c r="AD40" s="1666"/>
      <c r="AE40" s="1657"/>
    </row>
    <row r="41" spans="1:31" s="99" customFormat="1" ht="12.95">
      <c r="A41" s="1020"/>
      <c r="B41" s="436">
        <v>15</v>
      </c>
      <c r="C41" s="437">
        <f>'STANDARD COMP.'!C37</f>
        <v>7.0000000000000007E-2</v>
      </c>
      <c r="D41" s="1462">
        <f>PMT(C41/12,B41*12,-1)</f>
        <v>8.988282708524269E-3</v>
      </c>
      <c r="E41" s="1462"/>
      <c r="F41" s="1723">
        <f>D41*F34</f>
        <v>36560.963361044131</v>
      </c>
      <c r="G41" s="1724">
        <f>F41/0.33</f>
        <v>110790.79806377008</v>
      </c>
      <c r="H41" s="1725"/>
      <c r="I41" s="1726"/>
      <c r="J41" s="1020"/>
      <c r="K41" s="1521">
        <f t="shared" si="0"/>
        <v>0</v>
      </c>
      <c r="L41" s="1521"/>
      <c r="M41" s="312" t="str">
        <f t="shared" si="1"/>
        <v/>
      </c>
      <c r="N41" s="1469"/>
      <c r="O41" s="1469"/>
      <c r="P41" s="1666"/>
      <c r="Q41" s="1657"/>
      <c r="R41" s="1020"/>
      <c r="S41" s="1020"/>
      <c r="T41" s="1521" t="s">
        <v>1127</v>
      </c>
      <c r="U41" s="1521"/>
      <c r="V41" s="1751">
        <f t="shared" si="2"/>
        <v>46635</v>
      </c>
      <c r="W41" s="1020"/>
      <c r="X41" s="1519"/>
      <c r="Y41" s="1519"/>
      <c r="Z41" s="1020"/>
      <c r="AA41" s="1020"/>
      <c r="AB41" s="1020"/>
      <c r="AC41" s="1020"/>
      <c r="AD41" s="1666"/>
      <c r="AE41" s="1657"/>
    </row>
    <row r="42" spans="1:31" s="99" customFormat="1" ht="12.95">
      <c r="A42" s="1020"/>
      <c r="B42" s="436">
        <v>20</v>
      </c>
      <c r="C42" s="437">
        <f>'STANDARD COMP.'!C38</f>
        <v>7.0000000000000007E-2</v>
      </c>
      <c r="D42" s="1727">
        <f>PMT(C42/12,B42*12,-1)</f>
        <v>7.7529893561887461E-3</v>
      </c>
      <c r="E42" s="1727"/>
      <c r="F42" s="1723">
        <f>D42*F34</f>
        <v>31536.253251286631</v>
      </c>
      <c r="G42" s="1724">
        <f>F42/0.33</f>
        <v>95564.403791777659</v>
      </c>
      <c r="H42" s="1725"/>
      <c r="I42" s="1726"/>
      <c r="J42" s="1020"/>
      <c r="K42" s="1521">
        <f t="shared" si="0"/>
        <v>0</v>
      </c>
      <c r="L42" s="1521"/>
      <c r="M42" s="312" t="str">
        <f t="shared" si="1"/>
        <v/>
      </c>
      <c r="N42" s="1469"/>
      <c r="O42" s="1469"/>
      <c r="P42" s="1666"/>
      <c r="Q42" s="1657"/>
      <c r="R42" s="1020"/>
      <c r="S42" s="1020"/>
      <c r="T42" s="1521" t="s">
        <v>1129</v>
      </c>
      <c r="U42" s="1521"/>
      <c r="V42" s="1751">
        <f t="shared" si="2"/>
        <v>46665</v>
      </c>
      <c r="W42" s="1020"/>
      <c r="X42" s="1519"/>
      <c r="Y42" s="1519"/>
      <c r="Z42" s="1020"/>
      <c r="AA42" s="1020"/>
      <c r="AB42" s="1020"/>
      <c r="AC42" s="1020"/>
      <c r="AD42" s="1666"/>
      <c r="AE42" s="1657"/>
    </row>
    <row r="43" spans="1:31" s="99" customFormat="1" ht="12.95">
      <c r="A43" s="1020"/>
      <c r="B43" s="979" t="str">
        <f>'STANDARD COMP.'!B39</f>
        <v>Fixed for three (3) years</v>
      </c>
      <c r="C43" s="1020"/>
      <c r="D43" s="1020"/>
      <c r="E43" s="1020"/>
      <c r="F43" s="1020"/>
      <c r="G43" s="1757"/>
      <c r="H43" s="1020"/>
      <c r="I43" s="1020"/>
      <c r="J43" s="1020"/>
      <c r="K43" s="1521">
        <f t="shared" si="0"/>
        <v>0</v>
      </c>
      <c r="L43" s="1521"/>
      <c r="M43" s="312" t="str">
        <f t="shared" si="1"/>
        <v/>
      </c>
      <c r="N43" s="1469"/>
      <c r="O43" s="1469"/>
      <c r="P43" s="1666"/>
      <c r="Q43" s="1657"/>
      <c r="R43" s="1020"/>
      <c r="S43" s="1020"/>
      <c r="T43" s="1521" t="s">
        <v>1130</v>
      </c>
      <c r="U43" s="1521"/>
      <c r="V43" s="1751">
        <f t="shared" si="2"/>
        <v>46696</v>
      </c>
      <c r="W43" s="1020"/>
      <c r="X43" s="1519"/>
      <c r="Y43" s="1519"/>
      <c r="Z43" s="1020"/>
      <c r="AA43" s="1020"/>
      <c r="AB43" s="1020"/>
      <c r="AC43" s="1020"/>
      <c r="AD43" s="1666"/>
      <c r="AE43" s="1657"/>
    </row>
    <row r="44" spans="1:31" s="99" customFormat="1" ht="12.95">
      <c r="A44" s="1020"/>
      <c r="B44" s="979" t="str">
        <f>'STANDARD COMP.'!B40</f>
        <v>Sample Computation for Interest rate is at 7% fixed for three (3) years only</v>
      </c>
      <c r="C44" s="450"/>
      <c r="D44" s="1066"/>
      <c r="E44" s="1020"/>
      <c r="F44" s="1020"/>
      <c r="G44" s="1020"/>
      <c r="H44" s="1020"/>
      <c r="I44" s="1020"/>
      <c r="J44" s="1020"/>
      <c r="K44" s="1521">
        <f t="shared" si="0"/>
        <v>0</v>
      </c>
      <c r="L44" s="1521"/>
      <c r="M44" s="312" t="str">
        <f t="shared" si="1"/>
        <v/>
      </c>
      <c r="N44" s="1469"/>
      <c r="O44" s="1469"/>
      <c r="P44" s="1666"/>
      <c r="Q44" s="1657"/>
      <c r="R44" s="1020"/>
      <c r="S44" s="1020"/>
      <c r="T44" s="1521" t="s">
        <v>1132</v>
      </c>
      <c r="U44" s="1521"/>
      <c r="V44" s="1751">
        <f t="shared" si="2"/>
        <v>46726</v>
      </c>
      <c r="W44" s="1020"/>
      <c r="X44" s="1519"/>
      <c r="Y44" s="1519"/>
      <c r="Z44" s="1020"/>
      <c r="AA44" s="1020"/>
      <c r="AB44" s="1020"/>
      <c r="AC44" s="1020"/>
      <c r="AD44" s="1666"/>
      <c r="AE44" s="1657"/>
    </row>
    <row r="45" spans="1:31" s="99" customFormat="1" ht="12.95">
      <c r="A45" s="1020"/>
      <c r="B45" s="310" t="s">
        <v>1126</v>
      </c>
      <c r="C45" s="1020"/>
      <c r="D45" s="1066"/>
      <c r="E45" s="1020"/>
      <c r="F45" s="1020"/>
      <c r="G45" s="1020"/>
      <c r="H45" s="1020"/>
      <c r="I45" s="1020"/>
      <c r="J45" s="1020"/>
      <c r="K45" s="1521">
        <f t="shared" si="0"/>
        <v>0</v>
      </c>
      <c r="L45" s="1521"/>
      <c r="M45" s="312" t="str">
        <f t="shared" si="1"/>
        <v/>
      </c>
      <c r="N45" s="1469"/>
      <c r="O45" s="1469"/>
      <c r="P45" s="1666"/>
      <c r="Q45" s="1657"/>
      <c r="R45" s="1020"/>
      <c r="S45" s="1020"/>
      <c r="T45" s="1521" t="s">
        <v>1133</v>
      </c>
      <c r="U45" s="1521"/>
      <c r="V45" s="1751">
        <f t="shared" si="2"/>
        <v>46757</v>
      </c>
      <c r="W45" s="1020"/>
      <c r="X45" s="1519"/>
      <c r="Y45" s="1519"/>
      <c r="Z45" s="1020"/>
      <c r="AA45" s="1020"/>
      <c r="AB45" s="1020"/>
      <c r="AC45" s="1020"/>
      <c r="AD45" s="1666"/>
      <c r="AE45" s="1657"/>
    </row>
    <row r="46" spans="1:31" s="99" customFormat="1" ht="12.95">
      <c r="A46" s="1020"/>
      <c r="B46" s="310" t="s">
        <v>1128</v>
      </c>
      <c r="C46" s="450"/>
      <c r="D46" s="1066"/>
      <c r="E46" s="1020"/>
      <c r="F46" s="1020"/>
      <c r="G46" s="1020"/>
      <c r="H46" s="1020"/>
      <c r="I46" s="1020"/>
      <c r="J46" s="1020"/>
      <c r="K46" s="1521">
        <f t="shared" si="0"/>
        <v>0</v>
      </c>
      <c r="L46" s="1521"/>
      <c r="M46" s="312" t="str">
        <f t="shared" si="1"/>
        <v/>
      </c>
      <c r="N46" s="1469"/>
      <c r="O46" s="1469"/>
      <c r="P46" s="1666"/>
      <c r="Q46" s="1657"/>
      <c r="R46" s="1020"/>
      <c r="S46" s="1020"/>
      <c r="T46" s="1521" t="s">
        <v>1135</v>
      </c>
      <c r="U46" s="1521"/>
      <c r="V46" s="1751">
        <f t="shared" si="2"/>
        <v>46788</v>
      </c>
      <c r="W46" s="1020"/>
      <c r="X46" s="1519"/>
      <c r="Y46" s="1519"/>
      <c r="Z46" s="1020"/>
      <c r="AA46" s="1020"/>
      <c r="AB46" s="1020"/>
      <c r="AC46" s="1020"/>
      <c r="AD46" s="1666"/>
      <c r="AE46" s="1657"/>
    </row>
    <row r="47" spans="1:31" s="99" customFormat="1" ht="12.95">
      <c r="A47" s="1020"/>
      <c r="B47" s="310"/>
      <c r="C47" s="309"/>
      <c r="D47" s="409"/>
      <c r="E47" s="22"/>
      <c r="F47" s="22"/>
      <c r="G47" s="22"/>
      <c r="H47" s="22"/>
      <c r="I47" s="22"/>
      <c r="J47" s="1020"/>
      <c r="K47" s="1521">
        <f t="shared" si="0"/>
        <v>0</v>
      </c>
      <c r="L47" s="1521"/>
      <c r="M47" s="312" t="str">
        <f t="shared" si="1"/>
        <v/>
      </c>
      <c r="N47" s="1469"/>
      <c r="O47" s="1469"/>
      <c r="P47" s="1666"/>
      <c r="Q47" s="1657"/>
      <c r="R47" s="1020"/>
      <c r="S47" s="1020"/>
      <c r="T47" s="1521" t="s">
        <v>1136</v>
      </c>
      <c r="U47" s="1521"/>
      <c r="V47" s="1751">
        <f t="shared" si="2"/>
        <v>46817</v>
      </c>
      <c r="W47" s="1020"/>
      <c r="X47" s="1519"/>
      <c r="Y47" s="1519"/>
      <c r="Z47" s="1020"/>
      <c r="AA47" s="1020"/>
      <c r="AB47" s="1020"/>
      <c r="AC47" s="1020"/>
      <c r="AD47" s="1666"/>
      <c r="AE47" s="1657"/>
    </row>
    <row r="48" spans="1:31" s="99" customFormat="1" ht="12.95">
      <c r="A48" s="1020"/>
      <c r="B48" s="101" t="s">
        <v>1131</v>
      </c>
      <c r="C48" s="238"/>
      <c r="D48" s="245"/>
      <c r="E48" s="1153"/>
      <c r="F48" s="1147"/>
      <c r="G48" s="167"/>
      <c r="H48" s="167"/>
      <c r="I48" s="167"/>
      <c r="J48" s="1020"/>
      <c r="K48" s="1521">
        <f t="shared" si="0"/>
        <v>0</v>
      </c>
      <c r="L48" s="1521"/>
      <c r="M48" s="312" t="str">
        <f t="shared" si="1"/>
        <v/>
      </c>
      <c r="N48" s="1469"/>
      <c r="O48" s="1469"/>
      <c r="P48" s="1666"/>
      <c r="Q48" s="1657"/>
      <c r="R48" s="1020"/>
      <c r="S48" s="1020"/>
      <c r="T48" s="1521" t="s">
        <v>1137</v>
      </c>
      <c r="U48" s="1521"/>
      <c r="V48" s="1751">
        <f t="shared" si="2"/>
        <v>46848</v>
      </c>
      <c r="W48" s="1020"/>
      <c r="X48" s="1519"/>
      <c r="Y48" s="1519"/>
      <c r="Z48" s="1020"/>
      <c r="AA48" s="1020"/>
      <c r="AB48" s="1020"/>
      <c r="AC48" s="1020"/>
      <c r="AD48" s="1666"/>
      <c r="AE48" s="1657"/>
    </row>
    <row r="49" spans="2:25" s="99" customFormat="1" ht="12.95">
      <c r="B49" s="175"/>
      <c r="C49" s="245"/>
      <c r="D49" s="245"/>
      <c r="E49" s="1154"/>
      <c r="F49" s="1155"/>
      <c r="G49" s="465"/>
      <c r="H49" s="465"/>
      <c r="I49" s="465"/>
      <c r="J49" s="1020"/>
      <c r="K49" s="1521">
        <f t="shared" si="0"/>
        <v>0</v>
      </c>
      <c r="L49" s="1521"/>
      <c r="M49" s="312" t="str">
        <f t="shared" si="1"/>
        <v/>
      </c>
      <c r="N49" s="1469"/>
      <c r="O49" s="1469"/>
      <c r="P49" s="1666"/>
      <c r="Q49" s="1657"/>
      <c r="R49" s="1020"/>
      <c r="S49" s="1020"/>
      <c r="T49" s="1521" t="s">
        <v>1138</v>
      </c>
      <c r="U49" s="1521"/>
      <c r="V49" s="1751">
        <f t="shared" si="2"/>
        <v>46878</v>
      </c>
      <c r="W49" s="1020"/>
      <c r="X49" s="1520"/>
      <c r="Y49" s="1520"/>
    </row>
    <row r="50" spans="2:25" s="99" customFormat="1" ht="12.6">
      <c r="B50" s="129" t="s">
        <v>1134</v>
      </c>
      <c r="C50" s="129"/>
      <c r="D50" s="142" t="s">
        <v>1015</v>
      </c>
      <c r="E50" s="241">
        <v>0.8</v>
      </c>
      <c r="F50" s="1399">
        <f>E50*F22</f>
        <v>3718971.4192928704</v>
      </c>
      <c r="G50" s="1400"/>
      <c r="H50" s="1400"/>
      <c r="I50" s="1401"/>
      <c r="J50" s="1020"/>
      <c r="K50" s="1521">
        <f t="shared" si="0"/>
        <v>0</v>
      </c>
      <c r="L50" s="1521"/>
      <c r="M50" s="312" t="str">
        <f t="shared" si="1"/>
        <v/>
      </c>
      <c r="N50" s="1469"/>
      <c r="O50" s="1469"/>
      <c r="P50" s="1666"/>
      <c r="Q50" s="1657"/>
      <c r="R50" s="1020"/>
      <c r="S50" s="1020"/>
      <c r="T50" s="1521" t="s">
        <v>1139</v>
      </c>
      <c r="U50" s="1521"/>
      <c r="V50" s="1751">
        <f t="shared" si="2"/>
        <v>46909</v>
      </c>
      <c r="W50" s="1020"/>
      <c r="X50" s="86"/>
      <c r="Y50" s="86"/>
    </row>
    <row r="51" spans="2:25" s="99" customFormat="1" ht="12.6">
      <c r="B51" s="1024"/>
      <c r="C51" s="178"/>
      <c r="D51" s="178"/>
      <c r="E51" s="1156"/>
      <c r="F51" s="1059"/>
      <c r="G51" s="1059"/>
      <c r="H51" s="1059"/>
      <c r="I51" s="1059"/>
      <c r="J51" s="1020"/>
      <c r="K51" s="1521"/>
      <c r="L51" s="1521"/>
      <c r="M51" s="312"/>
      <c r="N51" s="1469"/>
      <c r="O51" s="1469"/>
      <c r="P51" s="1666"/>
      <c r="Q51" s="1657"/>
      <c r="R51" s="1020"/>
      <c r="S51" s="1020"/>
      <c r="T51" s="1521" t="s">
        <v>1140</v>
      </c>
      <c r="U51" s="1521"/>
      <c r="V51" s="1751">
        <f t="shared" si="2"/>
        <v>46939</v>
      </c>
      <c r="W51" s="1020"/>
      <c r="X51" s="86"/>
      <c r="Y51" s="86"/>
    </row>
    <row r="52" spans="2:25" s="99" customFormat="1" ht="12.6">
      <c r="B52" s="208" t="s">
        <v>53</v>
      </c>
      <c r="C52" s="208" t="s">
        <v>54</v>
      </c>
      <c r="D52" s="208" t="s">
        <v>55</v>
      </c>
      <c r="E52" s="208" t="s">
        <v>1115</v>
      </c>
      <c r="F52" s="1402" t="s">
        <v>1116</v>
      </c>
      <c r="G52" s="1402"/>
      <c r="H52" s="1402"/>
      <c r="I52" s="1402"/>
      <c r="J52" s="1020"/>
      <c r="K52" s="1521">
        <f t="shared" si="0"/>
        <v>0</v>
      </c>
      <c r="L52" s="1521"/>
      <c r="M52" s="312" t="str">
        <f t="shared" si="1"/>
        <v/>
      </c>
      <c r="N52" s="1469"/>
      <c r="O52" s="1469"/>
      <c r="P52" s="1666"/>
      <c r="Q52" s="1657"/>
      <c r="R52" s="1020"/>
      <c r="S52" s="1020"/>
      <c r="T52" s="1521" t="s">
        <v>1141</v>
      </c>
      <c r="U52" s="1521"/>
      <c r="V52" s="1751">
        <f t="shared" si="2"/>
        <v>46970</v>
      </c>
      <c r="W52" s="1020"/>
      <c r="X52" s="86"/>
      <c r="Y52" s="86"/>
    </row>
    <row r="53" spans="2:25" s="99" customFormat="1" ht="12.6">
      <c r="B53" s="246">
        <v>1</v>
      </c>
      <c r="C53" s="1157">
        <v>0.12</v>
      </c>
      <c r="D53" s="248">
        <f>PMT(C53/12,B53*12,-1)</f>
        <v>8.88487886783417E-2</v>
      </c>
      <c r="E53" s="1060">
        <f>$F$50*D53</f>
        <v>330426.10573354474</v>
      </c>
      <c r="F53" s="1403">
        <f>E53/0.33</f>
        <v>1001291.2294955901</v>
      </c>
      <c r="G53" s="1403"/>
      <c r="H53" s="1403"/>
      <c r="I53" s="1403"/>
      <c r="J53" s="1020"/>
      <c r="K53" s="1521">
        <f t="shared" si="0"/>
        <v>0</v>
      </c>
      <c r="L53" s="1521"/>
      <c r="M53" s="312" t="str">
        <f t="shared" si="1"/>
        <v/>
      </c>
      <c r="N53" s="1469"/>
      <c r="O53" s="1469"/>
      <c r="P53" s="1666"/>
      <c r="Q53" s="1657"/>
      <c r="R53" s="1020"/>
      <c r="S53" s="1020"/>
      <c r="T53" s="1521" t="s">
        <v>1143</v>
      </c>
      <c r="U53" s="1521"/>
      <c r="V53" s="1751">
        <f t="shared" si="2"/>
        <v>47001</v>
      </c>
      <c r="W53" s="1020"/>
      <c r="X53" s="86"/>
      <c r="Y53" s="86"/>
    </row>
    <row r="54" spans="2:25" s="99" customFormat="1" ht="12.6">
      <c r="B54" s="246">
        <v>3</v>
      </c>
      <c r="C54" s="1157">
        <v>0.16</v>
      </c>
      <c r="D54" s="248">
        <f>PMT(C54/12,B54*12,-1)</f>
        <v>3.5157033036350094E-2</v>
      </c>
      <c r="E54" s="1060">
        <f>$F$50*D54</f>
        <v>130748.00104932125</v>
      </c>
      <c r="F54" s="1403">
        <f>E54/0.33</f>
        <v>396206.06378582196</v>
      </c>
      <c r="G54" s="1403"/>
      <c r="H54" s="1403"/>
      <c r="I54" s="1403"/>
      <c r="J54" s="1020"/>
      <c r="K54" s="1521">
        <f t="shared" si="0"/>
        <v>0</v>
      </c>
      <c r="L54" s="1521"/>
      <c r="M54" s="312" t="str">
        <f t="shared" si="1"/>
        <v/>
      </c>
      <c r="N54" s="1469"/>
      <c r="O54" s="1469"/>
      <c r="P54" s="1666"/>
      <c r="Q54" s="1657"/>
      <c r="R54" s="1020"/>
      <c r="S54" s="1020"/>
      <c r="T54" s="1521" t="s">
        <v>1144</v>
      </c>
      <c r="U54" s="1521"/>
      <c r="V54" s="1751">
        <f t="shared" si="2"/>
        <v>47031</v>
      </c>
      <c r="W54" s="1020"/>
      <c r="X54" s="86"/>
      <c r="Y54" s="86"/>
    </row>
    <row r="55" spans="2:25" s="99" customFormat="1" ht="12.6">
      <c r="B55" s="246">
        <v>5</v>
      </c>
      <c r="C55" s="1157">
        <v>0.18</v>
      </c>
      <c r="D55" s="248">
        <f>PMT(C55/12,B55*12,-1)</f>
        <v>2.5393427427109084E-2</v>
      </c>
      <c r="E55" s="1060">
        <f>$F$50*D55</f>
        <v>94437.430839306369</v>
      </c>
      <c r="F55" s="1403">
        <f>E55/0.33</f>
        <v>286174.03284638294</v>
      </c>
      <c r="G55" s="1403"/>
      <c r="H55" s="1403"/>
      <c r="I55" s="1403"/>
      <c r="J55" s="1020"/>
      <c r="K55" s="1521">
        <f t="shared" si="0"/>
        <v>0</v>
      </c>
      <c r="L55" s="1521"/>
      <c r="M55" s="312" t="str">
        <f t="shared" si="1"/>
        <v/>
      </c>
      <c r="N55" s="1522"/>
      <c r="O55" s="1523"/>
      <c r="P55" s="1666"/>
      <c r="Q55" s="1657"/>
      <c r="R55" s="1020"/>
      <c r="S55" s="1020"/>
      <c r="T55" s="1521" t="s">
        <v>1145</v>
      </c>
      <c r="U55" s="1521"/>
      <c r="V55" s="1751">
        <f t="shared" si="2"/>
        <v>47062</v>
      </c>
      <c r="W55" s="1020"/>
      <c r="X55" s="86"/>
      <c r="Y55" s="86"/>
    </row>
    <row r="56" spans="2:25" s="99" customFormat="1" ht="12.6">
      <c r="B56" s="246">
        <v>10</v>
      </c>
      <c r="C56" s="1157">
        <v>0.2</v>
      </c>
      <c r="D56" s="248">
        <f>PMT(C56/12,B56*12,-1)</f>
        <v>1.9325567219932577E-2</v>
      </c>
      <c r="E56" s="1060">
        <f>$F$50*D56</f>
        <v>71871.232152552431</v>
      </c>
      <c r="F56" s="1403">
        <f>E56/0.33</f>
        <v>217791.61258349221</v>
      </c>
      <c r="G56" s="1403"/>
      <c r="H56" s="1403"/>
      <c r="I56" s="1403"/>
      <c r="J56" s="1020"/>
      <c r="K56" s="1521">
        <f t="shared" ref="K56:K67" si="3">IF(N56&gt;1,T43,0)</f>
        <v>0</v>
      </c>
      <c r="L56" s="1521"/>
      <c r="M56" s="312" t="str">
        <f t="shared" ref="M56:M67" si="4">IF(N56&gt;1,V43,"")</f>
        <v/>
      </c>
      <c r="N56" s="1522"/>
      <c r="O56" s="1523"/>
      <c r="P56" s="1666"/>
      <c r="Q56" s="1657"/>
      <c r="R56" s="1020"/>
      <c r="S56" s="1020"/>
      <c r="T56" s="1521" t="s">
        <v>1147</v>
      </c>
      <c r="U56" s="1521"/>
      <c r="V56" s="1751">
        <f t="shared" si="2"/>
        <v>47092</v>
      </c>
      <c r="W56" s="1020"/>
      <c r="X56" s="86"/>
      <c r="Y56" s="86"/>
    </row>
    <row r="57" spans="2:25" s="99" customFormat="1" ht="12.95" thickBot="1">
      <c r="B57" s="1158" t="s">
        <v>1142</v>
      </c>
      <c r="C57" s="1159"/>
      <c r="D57" s="1159"/>
      <c r="E57" s="1159"/>
      <c r="F57" s="1159"/>
      <c r="G57" s="1159"/>
      <c r="H57" s="1159"/>
      <c r="I57" s="1159"/>
      <c r="J57" s="1020" t="s">
        <v>60</v>
      </c>
      <c r="K57" s="1521">
        <f t="shared" si="3"/>
        <v>0</v>
      </c>
      <c r="L57" s="1521"/>
      <c r="M57" s="312" t="str">
        <f t="shared" si="4"/>
        <v/>
      </c>
      <c r="N57" s="1469"/>
      <c r="O57" s="1469"/>
      <c r="P57" s="1666"/>
      <c r="Q57" s="1657"/>
      <c r="R57" s="1020"/>
      <c r="S57" s="1020"/>
      <c r="T57" s="1521" t="s">
        <v>1148</v>
      </c>
      <c r="U57" s="1521"/>
      <c r="V57" s="1751">
        <f t="shared" si="2"/>
        <v>47123</v>
      </c>
      <c r="W57" s="1020"/>
      <c r="X57" s="86"/>
      <c r="Y57" s="86"/>
    </row>
    <row r="58" spans="2:25" s="99" customFormat="1" ht="12.6">
      <c r="B58" s="310"/>
      <c r="C58" s="450"/>
      <c r="D58" s="1066"/>
      <c r="E58" s="1020"/>
      <c r="F58" s="1020"/>
      <c r="G58" s="1020"/>
      <c r="H58" s="1020"/>
      <c r="I58" s="1020"/>
      <c r="J58" s="1020"/>
      <c r="K58" s="1521">
        <f t="shared" si="3"/>
        <v>0</v>
      </c>
      <c r="L58" s="1521"/>
      <c r="M58" s="312" t="str">
        <f t="shared" si="4"/>
        <v/>
      </c>
      <c r="N58" s="1522"/>
      <c r="O58" s="1523"/>
      <c r="P58" s="1666"/>
      <c r="Q58" s="1657"/>
      <c r="R58" s="1020"/>
      <c r="S58" s="1020"/>
      <c r="T58" s="1521" t="s">
        <v>1151</v>
      </c>
      <c r="U58" s="1521"/>
      <c r="V58" s="1751">
        <f t="shared" si="2"/>
        <v>47154</v>
      </c>
      <c r="W58" s="1020"/>
      <c r="X58" s="86"/>
      <c r="Y58" s="86"/>
    </row>
    <row r="59" spans="2:25" s="99" customFormat="1" ht="12.6">
      <c r="B59" s="1020"/>
      <c r="C59" s="1020"/>
      <c r="D59" s="1066"/>
      <c r="E59" s="1020"/>
      <c r="F59" s="1020"/>
      <c r="G59" s="1020"/>
      <c r="H59" s="1020"/>
      <c r="I59" s="1020"/>
      <c r="J59" s="1020"/>
      <c r="K59" s="1521">
        <f t="shared" si="3"/>
        <v>0</v>
      </c>
      <c r="L59" s="1521"/>
      <c r="M59" s="312" t="str">
        <f t="shared" si="4"/>
        <v/>
      </c>
      <c r="N59" s="1469"/>
      <c r="O59" s="1469"/>
      <c r="P59" s="1666"/>
      <c r="Q59" s="1657"/>
      <c r="R59" s="1020"/>
      <c r="S59" s="1020"/>
      <c r="T59" s="1521" t="s">
        <v>1152</v>
      </c>
      <c r="U59" s="1521"/>
      <c r="V59" s="1751">
        <f t="shared" si="2"/>
        <v>47182</v>
      </c>
      <c r="W59" s="1020"/>
      <c r="X59" s="86"/>
      <c r="Y59" s="86"/>
    </row>
    <row r="60" spans="2:25" s="99" customFormat="1" ht="12.6">
      <c r="B60" s="101" t="s">
        <v>1146</v>
      </c>
      <c r="C60" s="163"/>
      <c r="D60" s="3"/>
      <c r="E60" s="3"/>
      <c r="F60" s="3"/>
      <c r="G60" s="3"/>
      <c r="H60" s="3"/>
      <c r="I60" s="3"/>
      <c r="J60" s="1020"/>
      <c r="K60" s="1521">
        <f t="shared" si="3"/>
        <v>0</v>
      </c>
      <c r="L60" s="1521"/>
      <c r="M60" s="312" t="str">
        <f t="shared" si="4"/>
        <v/>
      </c>
      <c r="N60" s="1522"/>
      <c r="O60" s="1523"/>
      <c r="P60" s="1666"/>
      <c r="Q60" s="1657"/>
      <c r="R60" s="1020"/>
      <c r="S60" s="1020"/>
      <c r="T60" s="1521" t="s">
        <v>1153</v>
      </c>
      <c r="U60" s="1521"/>
      <c r="V60" s="1751">
        <f t="shared" si="2"/>
        <v>47213</v>
      </c>
      <c r="W60" s="1020"/>
      <c r="X60" s="86"/>
      <c r="Y60" s="86"/>
    </row>
    <row r="61" spans="2:25" s="99" customFormat="1" ht="12.6">
      <c r="B61" s="3"/>
      <c r="C61" s="3"/>
      <c r="D61" s="3"/>
      <c r="E61" s="3"/>
      <c r="F61" s="3"/>
      <c r="G61" s="3"/>
      <c r="H61" s="3"/>
      <c r="I61" s="3"/>
      <c r="J61" s="1020"/>
      <c r="K61" s="1521">
        <f t="shared" si="3"/>
        <v>0</v>
      </c>
      <c r="L61" s="1521"/>
      <c r="M61" s="312" t="str">
        <f t="shared" si="4"/>
        <v/>
      </c>
      <c r="N61" s="1469"/>
      <c r="O61" s="1469"/>
      <c r="P61" s="1666"/>
      <c r="Q61" s="1657"/>
      <c r="R61" s="1020"/>
      <c r="S61" s="1020"/>
      <c r="T61" s="1521" t="s">
        <v>1154</v>
      </c>
      <c r="U61" s="1521"/>
      <c r="V61" s="1751">
        <f t="shared" si="2"/>
        <v>47243</v>
      </c>
      <c r="W61" s="1020"/>
      <c r="X61" s="86"/>
      <c r="Y61" s="86"/>
    </row>
    <row r="62" spans="2:25" s="99" customFormat="1" ht="12.6">
      <c r="B62" s="1402" t="s">
        <v>1027</v>
      </c>
      <c r="C62" s="1402"/>
      <c r="D62" s="1402" t="s">
        <v>1028</v>
      </c>
      <c r="E62" s="1402"/>
      <c r="F62" s="1402"/>
      <c r="G62" s="1402" t="s">
        <v>1150</v>
      </c>
      <c r="H62" s="1402"/>
      <c r="I62" s="1402"/>
      <c r="J62" s="1020"/>
      <c r="K62" s="1521">
        <f t="shared" si="3"/>
        <v>0</v>
      </c>
      <c r="L62" s="1521"/>
      <c r="M62" s="312" t="str">
        <f t="shared" si="4"/>
        <v/>
      </c>
      <c r="N62" s="1522"/>
      <c r="O62" s="1523"/>
      <c r="P62" s="1666"/>
      <c r="Q62" s="1657"/>
      <c r="R62" s="1020"/>
      <c r="S62" s="1020"/>
      <c r="T62" s="1521" t="s">
        <v>1155</v>
      </c>
      <c r="U62" s="1521"/>
      <c r="V62" s="1751">
        <f t="shared" si="2"/>
        <v>47274</v>
      </c>
      <c r="W62" s="1020"/>
      <c r="X62" s="86"/>
      <c r="Y62" s="86"/>
    </row>
    <row r="63" spans="2:25" s="99" customFormat="1" ht="12.6">
      <c r="B63" s="1728">
        <f>FORM!O19</f>
        <v>0</v>
      </c>
      <c r="C63" s="1729"/>
      <c r="D63" s="1728">
        <f>FORM!S19</f>
        <v>0</v>
      </c>
      <c r="E63" s="1730"/>
      <c r="F63" s="1729"/>
      <c r="G63" s="1731">
        <f>FORM!V19</f>
        <v>0</v>
      </c>
      <c r="H63" s="1732"/>
      <c r="I63" s="1733"/>
      <c r="J63" s="1020"/>
      <c r="K63" s="1521">
        <f t="shared" si="3"/>
        <v>0</v>
      </c>
      <c r="L63" s="1521"/>
      <c r="M63" s="312" t="str">
        <f t="shared" si="4"/>
        <v/>
      </c>
      <c r="N63" s="1522"/>
      <c r="O63" s="1523"/>
      <c r="P63" s="1666"/>
      <c r="Q63" s="1657"/>
      <c r="R63" s="1020"/>
      <c r="S63" s="1020"/>
      <c r="T63" s="1521" t="s">
        <v>1156</v>
      </c>
      <c r="U63" s="1521"/>
      <c r="V63" s="1751">
        <f t="shared" si="2"/>
        <v>47304</v>
      </c>
      <c r="W63" s="1020"/>
      <c r="X63" s="86"/>
      <c r="Y63" s="86"/>
    </row>
    <row r="64" spans="2:25" s="99" customFormat="1" ht="12.6">
      <c r="B64" s="1734"/>
      <c r="C64" s="1735"/>
      <c r="D64" s="1734"/>
      <c r="E64" s="1736"/>
      <c r="F64" s="1735"/>
      <c r="G64" s="1737"/>
      <c r="H64" s="1738"/>
      <c r="I64" s="1739"/>
      <c r="J64" s="1020"/>
      <c r="K64" s="1521">
        <f t="shared" si="3"/>
        <v>0</v>
      </c>
      <c r="L64" s="1521"/>
      <c r="M64" s="312" t="str">
        <f t="shared" si="4"/>
        <v/>
      </c>
      <c r="N64" s="1469"/>
      <c r="O64" s="1469"/>
      <c r="P64" s="1666"/>
      <c r="Q64" s="1657"/>
      <c r="R64" s="1020"/>
      <c r="S64" s="1020"/>
      <c r="T64" s="1521" t="s">
        <v>1157</v>
      </c>
      <c r="U64" s="1521"/>
      <c r="V64" s="1751">
        <f t="shared" si="2"/>
        <v>47335</v>
      </c>
      <c r="W64" s="1020"/>
      <c r="X64" s="86"/>
      <c r="Y64" s="86"/>
    </row>
    <row r="65" spans="2:25" s="99" customFormat="1" ht="12.6">
      <c r="B65" s="1728">
        <f>FORM!O21</f>
        <v>0</v>
      </c>
      <c r="C65" s="1729"/>
      <c r="D65" s="1728">
        <f>FORM!S21</f>
        <v>0</v>
      </c>
      <c r="E65" s="1730"/>
      <c r="F65" s="1729"/>
      <c r="G65" s="1731">
        <f>FORM!V21</f>
        <v>0</v>
      </c>
      <c r="H65" s="1732"/>
      <c r="I65" s="1733"/>
      <c r="J65" s="1020"/>
      <c r="K65" s="1521">
        <f t="shared" si="3"/>
        <v>0</v>
      </c>
      <c r="L65" s="1521"/>
      <c r="M65" s="312" t="str">
        <f t="shared" si="4"/>
        <v/>
      </c>
      <c r="N65" s="1522"/>
      <c r="O65" s="1523"/>
      <c r="P65" s="1666"/>
      <c r="Q65" s="1657"/>
      <c r="R65" s="1020"/>
      <c r="S65" s="1020"/>
      <c r="T65" s="1521" t="s">
        <v>1158</v>
      </c>
      <c r="U65" s="1521"/>
      <c r="V65" s="1751">
        <f t="shared" si="2"/>
        <v>47366</v>
      </c>
      <c r="W65" s="1020"/>
      <c r="X65" s="86"/>
      <c r="Y65" s="86"/>
    </row>
    <row r="66" spans="2:25" s="99" customFormat="1" ht="12.6">
      <c r="B66" s="1734"/>
      <c r="C66" s="1735"/>
      <c r="D66" s="1734"/>
      <c r="E66" s="1736"/>
      <c r="F66" s="1735"/>
      <c r="G66" s="1737"/>
      <c r="H66" s="1738"/>
      <c r="I66" s="1739"/>
      <c r="J66" s="1020"/>
      <c r="K66" s="1521">
        <f t="shared" si="3"/>
        <v>0</v>
      </c>
      <c r="L66" s="1521"/>
      <c r="M66" s="312" t="str">
        <f t="shared" si="4"/>
        <v/>
      </c>
      <c r="N66" s="1469"/>
      <c r="O66" s="1469"/>
      <c r="P66" s="1666"/>
      <c r="Q66" s="1657"/>
      <c r="R66" s="1020"/>
      <c r="S66" s="1020"/>
      <c r="T66" s="1521" t="s">
        <v>1159</v>
      </c>
      <c r="U66" s="1521"/>
      <c r="V66" s="1751">
        <f t="shared" si="2"/>
        <v>47396</v>
      </c>
      <c r="W66" s="1020"/>
      <c r="X66" s="86"/>
      <c r="Y66" s="86"/>
    </row>
    <row r="67" spans="2:25" s="99" customFormat="1" ht="12.6">
      <c r="B67" s="1728">
        <f>FORM!O25</f>
        <v>0</v>
      </c>
      <c r="C67" s="1729"/>
      <c r="D67" s="1728">
        <f>FORM!S25</f>
        <v>0</v>
      </c>
      <c r="E67" s="1730"/>
      <c r="F67" s="1729"/>
      <c r="G67" s="1731">
        <f>FORM!V25</f>
        <v>0</v>
      </c>
      <c r="H67" s="1732"/>
      <c r="I67" s="1733"/>
      <c r="J67" s="1020"/>
      <c r="K67" s="1521">
        <f t="shared" si="3"/>
        <v>0</v>
      </c>
      <c r="L67" s="1521"/>
      <c r="M67" s="312" t="str">
        <f t="shared" si="4"/>
        <v/>
      </c>
      <c r="N67" s="1522"/>
      <c r="O67" s="1523"/>
      <c r="P67" s="1666"/>
      <c r="Q67" s="1657"/>
      <c r="R67" s="1020"/>
      <c r="S67" s="1020"/>
      <c r="T67" s="1521" t="s">
        <v>1160</v>
      </c>
      <c r="U67" s="1521"/>
      <c r="V67" s="1751">
        <f t="shared" si="2"/>
        <v>47427</v>
      </c>
      <c r="W67" s="1020"/>
      <c r="X67" s="86"/>
      <c r="Y67" s="86"/>
    </row>
    <row r="68" spans="2:25" s="99" customFormat="1" ht="12.6">
      <c r="B68" s="1734"/>
      <c r="C68" s="1735"/>
      <c r="D68" s="1734"/>
      <c r="E68" s="1736"/>
      <c r="F68" s="1735"/>
      <c r="G68" s="1737"/>
      <c r="H68" s="1738"/>
      <c r="I68" s="1739"/>
      <c r="J68" s="1020"/>
      <c r="K68" s="1521">
        <f>IF(N68&gt;1,T52,0)</f>
        <v>0</v>
      </c>
      <c r="L68" s="1521"/>
      <c r="M68" s="312" t="str">
        <f>IF(N68&gt;1,V52,"")</f>
        <v/>
      </c>
      <c r="N68" s="1469"/>
      <c r="O68" s="1469"/>
      <c r="P68" s="1666"/>
      <c r="Q68" s="1657"/>
      <c r="R68" s="1020"/>
      <c r="S68" s="1020"/>
      <c r="T68" s="1521" t="s">
        <v>1161</v>
      </c>
      <c r="U68" s="1521"/>
      <c r="V68" s="1751">
        <f t="shared" si="2"/>
        <v>47457</v>
      </c>
      <c r="W68" s="1020"/>
      <c r="X68" s="86"/>
      <c r="Y68" s="86"/>
    </row>
    <row r="69" spans="2:25" s="99" customFormat="1" ht="12.6">
      <c r="B69" s="1728">
        <f>FORM!O27</f>
        <v>0</v>
      </c>
      <c r="C69" s="1729"/>
      <c r="D69" s="1728">
        <f>FORM!S27</f>
        <v>0</v>
      </c>
      <c r="E69" s="1730"/>
      <c r="F69" s="1729"/>
      <c r="G69" s="1731">
        <f>FORM!V27</f>
        <v>0</v>
      </c>
      <c r="H69" s="1732"/>
      <c r="I69" s="1733"/>
      <c r="J69" s="1020"/>
      <c r="K69" s="1521">
        <f>IF(N69&gt;1,T53,0)</f>
        <v>0</v>
      </c>
      <c r="L69" s="1521"/>
      <c r="M69" s="312" t="str">
        <f>IF(N69&gt;1,V53,"")</f>
        <v/>
      </c>
      <c r="N69" s="1522"/>
      <c r="O69" s="1523"/>
      <c r="P69" s="1666"/>
      <c r="Q69" s="1657"/>
      <c r="R69" s="1020"/>
      <c r="S69" s="1020"/>
      <c r="T69" s="1521" t="s">
        <v>1162</v>
      </c>
      <c r="U69" s="1521"/>
      <c r="V69" s="1751">
        <f t="shared" si="2"/>
        <v>47488</v>
      </c>
      <c r="W69" s="1020"/>
      <c r="X69" s="86"/>
      <c r="Y69" s="86"/>
    </row>
    <row r="70" spans="2:25" s="99" customFormat="1" ht="12.6">
      <c r="B70" s="1734"/>
      <c r="C70" s="1735"/>
      <c r="D70" s="1734"/>
      <c r="E70" s="1736"/>
      <c r="F70" s="1735"/>
      <c r="G70" s="1737"/>
      <c r="H70" s="1738"/>
      <c r="I70" s="1739"/>
      <c r="J70" s="1020"/>
      <c r="K70" s="1521">
        <f>IF(N70&gt;1,T54,0)</f>
        <v>0</v>
      </c>
      <c r="L70" s="1521"/>
      <c r="M70" s="312" t="str">
        <f>IF(N70&gt;1,V54,"")</f>
        <v/>
      </c>
      <c r="N70" s="1469"/>
      <c r="O70" s="1469"/>
      <c r="P70" s="1666"/>
      <c r="Q70" s="1657"/>
      <c r="R70" s="1020"/>
      <c r="S70" s="1020"/>
      <c r="T70" s="1521" t="s">
        <v>1163</v>
      </c>
      <c r="U70" s="1521"/>
      <c r="V70" s="1751">
        <f t="shared" si="2"/>
        <v>47519</v>
      </c>
      <c r="W70" s="1020"/>
      <c r="X70" s="86"/>
      <c r="Y70" s="86"/>
    </row>
    <row r="71" spans="2:25">
      <c r="B71" s="1728">
        <f>FORM!O31</f>
        <v>0</v>
      </c>
      <c r="C71" s="1729"/>
      <c r="D71" s="1728">
        <f>FORM!S31</f>
        <v>0</v>
      </c>
      <c r="E71" s="1730"/>
      <c r="F71" s="1729"/>
      <c r="G71" s="1731">
        <f>FORM!V31</f>
        <v>0</v>
      </c>
      <c r="H71" s="1732"/>
      <c r="I71" s="1733"/>
      <c r="K71" s="1521">
        <f>IF(N71&gt;1,T55,0)</f>
        <v>0</v>
      </c>
      <c r="L71" s="1521"/>
      <c r="M71" s="312" t="str">
        <f>IF(N71&gt;1,V55,"")</f>
        <v/>
      </c>
      <c r="N71" s="1469"/>
      <c r="O71" s="1469"/>
      <c r="P71" s="1666"/>
      <c r="Q71" s="1657"/>
      <c r="T71" s="1521" t="s">
        <v>1164</v>
      </c>
      <c r="U71" s="1521"/>
      <c r="V71" s="1751">
        <f t="shared" si="2"/>
        <v>47547</v>
      </c>
    </row>
    <row r="72" spans="2:25">
      <c r="B72" s="1734"/>
      <c r="C72" s="1735"/>
      <c r="D72" s="1734"/>
      <c r="E72" s="1736"/>
      <c r="F72" s="1735"/>
      <c r="G72" s="1737"/>
      <c r="H72" s="1738"/>
      <c r="I72" s="1739"/>
      <c r="K72" s="1521">
        <f>IF(N72&gt;1,T56,0)</f>
        <v>0</v>
      </c>
      <c r="L72" s="1521"/>
      <c r="M72" s="312" t="str">
        <f>IF(N72&gt;1,V56,"")</f>
        <v/>
      </c>
      <c r="N72" s="1522"/>
      <c r="O72" s="1523"/>
      <c r="P72" s="1666"/>
      <c r="Q72" s="1657"/>
      <c r="T72" s="1521" t="s">
        <v>1166</v>
      </c>
      <c r="U72" s="1521"/>
      <c r="V72" s="1751">
        <f t="shared" si="2"/>
        <v>47578</v>
      </c>
    </row>
    <row r="73" spans="2:25">
      <c r="B73" s="1728">
        <f>FORM!O33</f>
        <v>0</v>
      </c>
      <c r="C73" s="1729"/>
      <c r="D73" s="1728">
        <f>FORM!S33</f>
        <v>0</v>
      </c>
      <c r="E73" s="1730"/>
      <c r="F73" s="1729"/>
      <c r="G73" s="1731">
        <f>FORM!V33</f>
        <v>0</v>
      </c>
      <c r="H73" s="1732"/>
      <c r="I73" s="1733"/>
      <c r="K73" s="1521" t="s">
        <v>1251</v>
      </c>
      <c r="L73" s="1521"/>
      <c r="M73" s="312">
        <f>M74</f>
        <v>45935</v>
      </c>
      <c r="N73" s="1469">
        <f>F26</f>
        <v>116217.8568529022</v>
      </c>
      <c r="O73" s="1469"/>
      <c r="P73" s="1666"/>
      <c r="Q73" s="1657"/>
    </row>
    <row r="74" spans="2:25">
      <c r="B74" s="1734"/>
      <c r="C74" s="1735"/>
      <c r="D74" s="1734"/>
      <c r="E74" s="1736"/>
      <c r="F74" s="1735"/>
      <c r="G74" s="1737"/>
      <c r="H74" s="1738"/>
      <c r="I74" s="1739"/>
      <c r="K74" s="1521" t="s">
        <v>1167</v>
      </c>
      <c r="L74" s="1521"/>
      <c r="M74" s="312">
        <f>IF(DAY(M17)=31,X20,Z20)</f>
        <v>45935</v>
      </c>
      <c r="N74" s="1468">
        <f>F34</f>
        <v>4067624.9898515767</v>
      </c>
      <c r="O74" s="1468"/>
      <c r="P74" s="1666"/>
      <c r="Q74" s="1657"/>
    </row>
    <row r="75" spans="2:25">
      <c r="B75" s="1020"/>
      <c r="C75" s="1020"/>
      <c r="D75" s="1066"/>
      <c r="E75" s="1020"/>
      <c r="F75" s="1020"/>
      <c r="G75" s="1020"/>
      <c r="H75" s="1020"/>
      <c r="I75" s="1020"/>
      <c r="K75" s="438"/>
      <c r="L75" s="1020"/>
      <c r="M75" s="1088"/>
      <c r="N75" s="1020"/>
      <c r="O75" s="1020"/>
      <c r="P75" s="1020"/>
      <c r="Q75" s="1020"/>
    </row>
    <row r="76" spans="2:25">
      <c r="B76" s="250"/>
      <c r="C76" s="161" t="s">
        <v>1181</v>
      </c>
      <c r="D76" s="1740"/>
      <c r="E76" s="1740"/>
      <c r="F76" s="1740"/>
      <c r="G76" s="1020"/>
      <c r="H76" s="1020"/>
      <c r="I76" s="1020"/>
      <c r="K76" s="438"/>
      <c r="L76" s="1020"/>
      <c r="M76" s="1088"/>
      <c r="N76" s="1020"/>
      <c r="O76" s="1020"/>
      <c r="P76" s="1020"/>
      <c r="Q76" s="1020"/>
    </row>
    <row r="77" spans="2:25">
      <c r="B77" s="439"/>
      <c r="C77" s="1024"/>
      <c r="D77" s="1024"/>
      <c r="E77" s="1024"/>
      <c r="F77" s="100"/>
      <c r="G77" s="1020"/>
      <c r="H77" s="1020"/>
      <c r="I77" s="1020"/>
      <c r="K77" s="1020"/>
      <c r="L77" s="1020"/>
      <c r="M77" s="1088"/>
      <c r="N77" s="1020"/>
      <c r="O77" s="1020"/>
      <c r="P77" s="1020"/>
      <c r="Q77" s="1020"/>
    </row>
    <row r="78" spans="2:25">
      <c r="B78" s="3" t="s">
        <v>1168</v>
      </c>
      <c r="C78" s="3"/>
      <c r="D78" s="3"/>
      <c r="E78" s="3"/>
      <c r="F78" s="3" t="s">
        <v>1169</v>
      </c>
      <c r="G78" s="3"/>
      <c r="H78" s="3"/>
      <c r="I78" s="1020"/>
      <c r="K78" s="3" t="s">
        <v>1168</v>
      </c>
      <c r="L78" s="3"/>
      <c r="M78" s="3"/>
      <c r="N78" s="3"/>
      <c r="O78" s="1020"/>
      <c r="P78" s="3" t="s">
        <v>1169</v>
      </c>
      <c r="Q78" s="3"/>
    </row>
    <row r="79" spans="2:25">
      <c r="B79" s="1020"/>
      <c r="C79" s="1020"/>
      <c r="D79" s="1066"/>
      <c r="E79" s="1020"/>
      <c r="F79" s="1020"/>
      <c r="G79" s="1020"/>
      <c r="H79" s="1020"/>
      <c r="I79" s="1020"/>
      <c r="K79" s="1020"/>
      <c r="L79" s="1020"/>
      <c r="M79" s="1066"/>
      <c r="N79" s="1020"/>
      <c r="O79" s="1020"/>
      <c r="P79" s="1020"/>
      <c r="Q79" s="1020"/>
    </row>
    <row r="80" spans="2:25">
      <c r="B80" s="1741" t="str">
        <f>'STANDARD COMP.'!B81:D81</f>
        <v xml:space="preserve">agent </v>
      </c>
      <c r="C80" s="1741"/>
      <c r="D80" s="1742"/>
      <c r="E80" s="1020"/>
      <c r="F80" s="1741" t="str">
        <f>'STANDARD COMP.'!F81:I81</f>
        <v>buyer</v>
      </c>
      <c r="G80" s="1741"/>
      <c r="H80" s="1020"/>
      <c r="I80" s="1020"/>
      <c r="K80" s="1020"/>
      <c r="L80" s="1020"/>
      <c r="M80" s="1066"/>
      <c r="N80" s="1020"/>
      <c r="O80" s="1020"/>
      <c r="P80" s="1020"/>
      <c r="Q80" s="1020"/>
    </row>
    <row r="81" spans="2:17">
      <c r="B81" s="1743" t="s">
        <v>1171</v>
      </c>
      <c r="C81" s="1743"/>
      <c r="D81" s="1066"/>
      <c r="E81" s="1020"/>
      <c r="F81" s="1743" t="s">
        <v>1171</v>
      </c>
      <c r="G81" s="1743"/>
      <c r="H81" s="1020"/>
      <c r="I81" s="1020"/>
      <c r="K81" s="1741" t="str">
        <f>B80</f>
        <v xml:space="preserve">agent </v>
      </c>
      <c r="L81" s="1741"/>
      <c r="M81" s="1741"/>
      <c r="N81" s="1020"/>
      <c r="O81" s="1020"/>
      <c r="P81" s="1741" t="str">
        <f>F80</f>
        <v>buyer</v>
      </c>
      <c r="Q81" s="1741"/>
    </row>
    <row r="82" spans="2:17">
      <c r="B82" s="1020"/>
      <c r="C82" s="1020"/>
      <c r="D82" s="1066"/>
      <c r="E82" s="1020"/>
      <c r="F82" s="1020"/>
      <c r="G82" s="1020"/>
      <c r="H82" s="1020"/>
      <c r="I82" s="1020"/>
      <c r="K82" s="1743" t="s">
        <v>1171</v>
      </c>
      <c r="L82" s="1743"/>
      <c r="M82" s="1744"/>
      <c r="N82" s="1020"/>
      <c r="O82" s="1020"/>
      <c r="P82" s="1743" t="s">
        <v>1171</v>
      </c>
      <c r="Q82" s="1743"/>
    </row>
    <row r="83" spans="2:17">
      <c r="B83" s="1020"/>
      <c r="C83" s="1020"/>
      <c r="D83" s="1066"/>
      <c r="E83" s="1020"/>
      <c r="F83" s="1020"/>
      <c r="G83" s="1020"/>
      <c r="H83" s="1020"/>
      <c r="I83" s="1020"/>
      <c r="K83" s="1020"/>
      <c r="L83" s="1020"/>
      <c r="M83" s="1020"/>
      <c r="N83" s="1020"/>
      <c r="O83" s="1020"/>
      <c r="P83" s="1020"/>
      <c r="Q83" s="1020"/>
    </row>
    <row r="84" spans="2:17">
      <c r="K84" s="1020"/>
      <c r="L84" s="1020"/>
      <c r="M84" s="1020"/>
      <c r="N84" s="1020"/>
      <c r="O84" s="1020"/>
      <c r="P84" s="1020"/>
      <c r="Q84" s="1020"/>
    </row>
    <row r="85" spans="2:17">
      <c r="K85" s="1020"/>
      <c r="L85" s="1020"/>
      <c r="M85" s="1020"/>
      <c r="N85" s="1020"/>
      <c r="O85" s="1020"/>
      <c r="P85" s="1020"/>
      <c r="Q85" s="1020"/>
    </row>
    <row r="86" spans="2:17">
      <c r="M86" s="1020"/>
    </row>
    <row r="87" spans="2:17">
      <c r="M87" s="1020"/>
    </row>
    <row r="88" spans="2:17">
      <c r="M88" s="1020"/>
    </row>
    <row r="89" spans="2:17">
      <c r="M89" s="1020"/>
    </row>
    <row r="90" spans="2:17">
      <c r="M90" s="1020"/>
    </row>
    <row r="91" spans="2:17">
      <c r="M91" s="1020"/>
    </row>
    <row r="92" spans="2:17">
      <c r="M92" s="1020"/>
    </row>
    <row r="93" spans="2:17">
      <c r="M93" s="1020"/>
    </row>
    <row r="94" spans="2:17">
      <c r="M94" s="1020"/>
    </row>
    <row r="95" spans="2:17">
      <c r="M95" s="1020"/>
    </row>
    <row r="96" spans="2:17">
      <c r="M96" s="1020"/>
    </row>
    <row r="114" spans="1:1">
      <c r="A114" s="315">
        <f>F17*12%</f>
        <v>494763.38172410685</v>
      </c>
    </row>
  </sheetData>
  <sheetProtection password="CC2E" sheet="1" formatCells="0" formatColumns="0" formatRows="0"/>
  <mergeCells count="380">
    <mergeCell ref="T71:U71"/>
    <mergeCell ref="T72:U72"/>
    <mergeCell ref="T69:U69"/>
    <mergeCell ref="K68:L68"/>
    <mergeCell ref="N68:O68"/>
    <mergeCell ref="P68:Q68"/>
    <mergeCell ref="K69:L69"/>
    <mergeCell ref="N69:O69"/>
    <mergeCell ref="P69:Q69"/>
    <mergeCell ref="K70:L70"/>
    <mergeCell ref="N70:O70"/>
    <mergeCell ref="P70:Q70"/>
    <mergeCell ref="T70:U70"/>
    <mergeCell ref="K71:L71"/>
    <mergeCell ref="N71:O71"/>
    <mergeCell ref="P71:Q71"/>
    <mergeCell ref="K72:L72"/>
    <mergeCell ref="N72:O72"/>
    <mergeCell ref="P72:Q72"/>
    <mergeCell ref="T60:U60"/>
    <mergeCell ref="T61:U61"/>
    <mergeCell ref="T62:U62"/>
    <mergeCell ref="T63:U63"/>
    <mergeCell ref="T64:U64"/>
    <mergeCell ref="T65:U65"/>
    <mergeCell ref="T66:U66"/>
    <mergeCell ref="T67:U67"/>
    <mergeCell ref="T68:U68"/>
    <mergeCell ref="P59:Q59"/>
    <mergeCell ref="K60:L60"/>
    <mergeCell ref="N60:O60"/>
    <mergeCell ref="P60:Q60"/>
    <mergeCell ref="K61:L61"/>
    <mergeCell ref="N61:O61"/>
    <mergeCell ref="P61:Q61"/>
    <mergeCell ref="K62:L62"/>
    <mergeCell ref="N62:O62"/>
    <mergeCell ref="P62:Q62"/>
    <mergeCell ref="D76:F76"/>
    <mergeCell ref="K81:M81"/>
    <mergeCell ref="P81:Q81"/>
    <mergeCell ref="B80:C80"/>
    <mergeCell ref="F80:G80"/>
    <mergeCell ref="T58:U58"/>
    <mergeCell ref="K74:L74"/>
    <mergeCell ref="N74:O74"/>
    <mergeCell ref="P74:Q74"/>
    <mergeCell ref="T59:U59"/>
    <mergeCell ref="B73:C74"/>
    <mergeCell ref="D73:F74"/>
    <mergeCell ref="G73:I74"/>
    <mergeCell ref="B71:C72"/>
    <mergeCell ref="D71:F72"/>
    <mergeCell ref="G71:I72"/>
    <mergeCell ref="K73:L73"/>
    <mergeCell ref="N73:O73"/>
    <mergeCell ref="P73:Q73"/>
    <mergeCell ref="K65:L65"/>
    <mergeCell ref="N65:O65"/>
    <mergeCell ref="P65:Q65"/>
    <mergeCell ref="K66:L66"/>
    <mergeCell ref="N66:O66"/>
    <mergeCell ref="N55:O55"/>
    <mergeCell ref="P55:Q55"/>
    <mergeCell ref="T55:U55"/>
    <mergeCell ref="K67:L67"/>
    <mergeCell ref="N67:O67"/>
    <mergeCell ref="P67:Q67"/>
    <mergeCell ref="K63:L63"/>
    <mergeCell ref="N63:O63"/>
    <mergeCell ref="P63:Q63"/>
    <mergeCell ref="K64:L64"/>
    <mergeCell ref="N64:O64"/>
    <mergeCell ref="P64:Q64"/>
    <mergeCell ref="P66:Q66"/>
    <mergeCell ref="K56:L56"/>
    <mergeCell ref="N56:O56"/>
    <mergeCell ref="P56:Q56"/>
    <mergeCell ref="K57:L57"/>
    <mergeCell ref="N57:O57"/>
    <mergeCell ref="P57:Q57"/>
    <mergeCell ref="K58:L58"/>
    <mergeCell ref="N58:O58"/>
    <mergeCell ref="P58:Q58"/>
    <mergeCell ref="K59:L59"/>
    <mergeCell ref="N59:O59"/>
    <mergeCell ref="B65:C66"/>
    <mergeCell ref="D65:F66"/>
    <mergeCell ref="G65:I66"/>
    <mergeCell ref="K52:L52"/>
    <mergeCell ref="N52:O52"/>
    <mergeCell ref="P52:Q52"/>
    <mergeCell ref="T52:U52"/>
    <mergeCell ref="B69:C70"/>
    <mergeCell ref="D69:F70"/>
    <mergeCell ref="G69:I70"/>
    <mergeCell ref="K53:L53"/>
    <mergeCell ref="N53:O53"/>
    <mergeCell ref="P53:Q53"/>
    <mergeCell ref="T53:U53"/>
    <mergeCell ref="B67:C68"/>
    <mergeCell ref="D67:F68"/>
    <mergeCell ref="G67:I68"/>
    <mergeCell ref="K54:L54"/>
    <mergeCell ref="N54:O54"/>
    <mergeCell ref="P54:Q54"/>
    <mergeCell ref="T56:U56"/>
    <mergeCell ref="T57:U57"/>
    <mergeCell ref="T54:U54"/>
    <mergeCell ref="K55:L55"/>
    <mergeCell ref="T49:U49"/>
    <mergeCell ref="X49:Y49"/>
    <mergeCell ref="B63:C64"/>
    <mergeCell ref="D63:F64"/>
    <mergeCell ref="G63:I64"/>
    <mergeCell ref="K50:L50"/>
    <mergeCell ref="N50:O50"/>
    <mergeCell ref="P50:Q50"/>
    <mergeCell ref="T50:U50"/>
    <mergeCell ref="K51:L51"/>
    <mergeCell ref="B62:C62"/>
    <mergeCell ref="D62:F62"/>
    <mergeCell ref="G62:I62"/>
    <mergeCell ref="K49:L49"/>
    <mergeCell ref="N49:O49"/>
    <mergeCell ref="P49:Q49"/>
    <mergeCell ref="N51:O51"/>
    <mergeCell ref="P51:Q51"/>
    <mergeCell ref="T51:U51"/>
    <mergeCell ref="F50:I50"/>
    <mergeCell ref="F52:I52"/>
    <mergeCell ref="F53:I53"/>
    <mergeCell ref="F54:I54"/>
    <mergeCell ref="F55:I55"/>
    <mergeCell ref="K48:L48"/>
    <mergeCell ref="N48:O48"/>
    <mergeCell ref="P48:Q48"/>
    <mergeCell ref="T48:U48"/>
    <mergeCell ref="X48:Y48"/>
    <mergeCell ref="AD48:AE48"/>
    <mergeCell ref="K47:L47"/>
    <mergeCell ref="N47:O47"/>
    <mergeCell ref="P47:Q47"/>
    <mergeCell ref="T47:U47"/>
    <mergeCell ref="X47:Y47"/>
    <mergeCell ref="AD47:AE47"/>
    <mergeCell ref="K46:L46"/>
    <mergeCell ref="N46:O46"/>
    <mergeCell ref="P46:Q46"/>
    <mergeCell ref="T46:U46"/>
    <mergeCell ref="X46:Y46"/>
    <mergeCell ref="AD46:AE46"/>
    <mergeCell ref="K45:L45"/>
    <mergeCell ref="N45:O45"/>
    <mergeCell ref="P45:Q45"/>
    <mergeCell ref="T45:U45"/>
    <mergeCell ref="X45:Y45"/>
    <mergeCell ref="AD45:AE45"/>
    <mergeCell ref="K44:L44"/>
    <mergeCell ref="N44:O44"/>
    <mergeCell ref="P44:Q44"/>
    <mergeCell ref="T44:U44"/>
    <mergeCell ref="X44:Y44"/>
    <mergeCell ref="AD44:AE44"/>
    <mergeCell ref="K43:L43"/>
    <mergeCell ref="N43:O43"/>
    <mergeCell ref="P43:Q43"/>
    <mergeCell ref="T43:U43"/>
    <mergeCell ref="X43:Y43"/>
    <mergeCell ref="AD43:AE43"/>
    <mergeCell ref="K42:L42"/>
    <mergeCell ref="N42:O42"/>
    <mergeCell ref="P42:Q42"/>
    <mergeCell ref="T42:U42"/>
    <mergeCell ref="X42:Y42"/>
    <mergeCell ref="AD42:AE42"/>
    <mergeCell ref="D42:E42"/>
    <mergeCell ref="G42:I42"/>
    <mergeCell ref="K41:L41"/>
    <mergeCell ref="N41:O41"/>
    <mergeCell ref="P41:Q41"/>
    <mergeCell ref="T41:U41"/>
    <mergeCell ref="X41:Y41"/>
    <mergeCell ref="AD41:AE41"/>
    <mergeCell ref="D41:E41"/>
    <mergeCell ref="G41:I41"/>
    <mergeCell ref="K40:L40"/>
    <mergeCell ref="N40:O40"/>
    <mergeCell ref="P40:Q40"/>
    <mergeCell ref="T40:U40"/>
    <mergeCell ref="X40:Y40"/>
    <mergeCell ref="AD40:AE40"/>
    <mergeCell ref="D40:E40"/>
    <mergeCell ref="G40:I40"/>
    <mergeCell ref="X39:Y39"/>
    <mergeCell ref="AD39:AE39"/>
    <mergeCell ref="K39:L39"/>
    <mergeCell ref="N39:O39"/>
    <mergeCell ref="P39:Q39"/>
    <mergeCell ref="T39:U39"/>
    <mergeCell ref="X37:Y37"/>
    <mergeCell ref="AD37:AE37"/>
    <mergeCell ref="D39:E39"/>
    <mergeCell ref="G39:I39"/>
    <mergeCell ref="K38:L38"/>
    <mergeCell ref="N38:O38"/>
    <mergeCell ref="P38:Q38"/>
    <mergeCell ref="T38:U38"/>
    <mergeCell ref="X38:Y38"/>
    <mergeCell ref="AD38:AE38"/>
    <mergeCell ref="D38:E38"/>
    <mergeCell ref="G38:I38"/>
    <mergeCell ref="K37:L37"/>
    <mergeCell ref="N37:O37"/>
    <mergeCell ref="P37:Q37"/>
    <mergeCell ref="T37:U37"/>
    <mergeCell ref="K36:L36"/>
    <mergeCell ref="N36:O36"/>
    <mergeCell ref="P36:Q36"/>
    <mergeCell ref="T36:U36"/>
    <mergeCell ref="X36:Y36"/>
    <mergeCell ref="AD36:AE36"/>
    <mergeCell ref="AD34:AE34"/>
    <mergeCell ref="K35:L35"/>
    <mergeCell ref="N35:O35"/>
    <mergeCell ref="P35:Q35"/>
    <mergeCell ref="T35:U35"/>
    <mergeCell ref="X35:Y35"/>
    <mergeCell ref="AD35:AE35"/>
    <mergeCell ref="F34:I34"/>
    <mergeCell ref="K34:L34"/>
    <mergeCell ref="N34:O34"/>
    <mergeCell ref="P34:Q34"/>
    <mergeCell ref="T34:U34"/>
    <mergeCell ref="X34:Y34"/>
    <mergeCell ref="K33:L33"/>
    <mergeCell ref="N33:O33"/>
    <mergeCell ref="P33:Q33"/>
    <mergeCell ref="T33:U33"/>
    <mergeCell ref="X33:Y33"/>
    <mergeCell ref="AD33:AE33"/>
    <mergeCell ref="X31:Y31"/>
    <mergeCell ref="AD31:AE31"/>
    <mergeCell ref="B32:C32"/>
    <mergeCell ref="G32:I32"/>
    <mergeCell ref="K32:L32"/>
    <mergeCell ref="N32:O32"/>
    <mergeCell ref="P32:Q32"/>
    <mergeCell ref="T32:U32"/>
    <mergeCell ref="X32:Y32"/>
    <mergeCell ref="AD32:AE32"/>
    <mergeCell ref="B31:C31"/>
    <mergeCell ref="G31:I31"/>
    <mergeCell ref="K31:L31"/>
    <mergeCell ref="N31:O31"/>
    <mergeCell ref="P31:Q31"/>
    <mergeCell ref="T31:U31"/>
    <mergeCell ref="X29:Y29"/>
    <mergeCell ref="AD29:AE29"/>
    <mergeCell ref="B30:C30"/>
    <mergeCell ref="G30:I30"/>
    <mergeCell ref="K30:L30"/>
    <mergeCell ref="N30:O30"/>
    <mergeCell ref="P30:Q30"/>
    <mergeCell ref="T30:U30"/>
    <mergeCell ref="X30:Y30"/>
    <mergeCell ref="AD30:AE30"/>
    <mergeCell ref="B29:C29"/>
    <mergeCell ref="G29:I29"/>
    <mergeCell ref="K29:L29"/>
    <mergeCell ref="N29:O29"/>
    <mergeCell ref="P29:Q29"/>
    <mergeCell ref="T29:U29"/>
    <mergeCell ref="K28:L28"/>
    <mergeCell ref="N28:O28"/>
    <mergeCell ref="P28:Q28"/>
    <mergeCell ref="T28:U28"/>
    <mergeCell ref="X28:Y28"/>
    <mergeCell ref="AD28:AE28"/>
    <mergeCell ref="AD26:AE26"/>
    <mergeCell ref="F27:I27"/>
    <mergeCell ref="K27:L27"/>
    <mergeCell ref="N27:O27"/>
    <mergeCell ref="P27:Q27"/>
    <mergeCell ref="T27:U27"/>
    <mergeCell ref="X27:Y27"/>
    <mergeCell ref="AD27:AE27"/>
    <mergeCell ref="F25:I25"/>
    <mergeCell ref="K26:L26"/>
    <mergeCell ref="N26:O26"/>
    <mergeCell ref="P26:Q26"/>
    <mergeCell ref="T26:U26"/>
    <mergeCell ref="X26:Y26"/>
    <mergeCell ref="AD24:AE24"/>
    <mergeCell ref="K25:L25"/>
    <mergeCell ref="N25:O25"/>
    <mergeCell ref="P25:Q25"/>
    <mergeCell ref="T25:U25"/>
    <mergeCell ref="X25:Y25"/>
    <mergeCell ref="AD25:AE25"/>
    <mergeCell ref="F24:I24"/>
    <mergeCell ref="K24:L24"/>
    <mergeCell ref="N24:O24"/>
    <mergeCell ref="P24:Q24"/>
    <mergeCell ref="T24:U24"/>
    <mergeCell ref="X24:Y24"/>
    <mergeCell ref="AD22:AE22"/>
    <mergeCell ref="K23:L23"/>
    <mergeCell ref="N23:O23"/>
    <mergeCell ref="P23:Q23"/>
    <mergeCell ref="T23:U23"/>
    <mergeCell ref="X23:Y23"/>
    <mergeCell ref="AD23:AE23"/>
    <mergeCell ref="F22:I22"/>
    <mergeCell ref="K22:L22"/>
    <mergeCell ref="N22:O22"/>
    <mergeCell ref="P22:Q22"/>
    <mergeCell ref="T22:U22"/>
    <mergeCell ref="X22:Y22"/>
    <mergeCell ref="X21:Y21"/>
    <mergeCell ref="AD21:AE21"/>
    <mergeCell ref="AD19:AE19"/>
    <mergeCell ref="F20:I20"/>
    <mergeCell ref="K20:L20"/>
    <mergeCell ref="N20:O20"/>
    <mergeCell ref="P20:Q20"/>
    <mergeCell ref="T20:U20"/>
    <mergeCell ref="X20:Y20"/>
    <mergeCell ref="AD20:AE20"/>
    <mergeCell ref="F19:I19"/>
    <mergeCell ref="K19:L19"/>
    <mergeCell ref="N19:O19"/>
    <mergeCell ref="P19:Q19"/>
    <mergeCell ref="T19:U19"/>
    <mergeCell ref="X19:Y19"/>
    <mergeCell ref="T17:U17"/>
    <mergeCell ref="K18:L18"/>
    <mergeCell ref="N18:O18"/>
    <mergeCell ref="P18:Q18"/>
    <mergeCell ref="T18:U18"/>
    <mergeCell ref="K21:L21"/>
    <mergeCell ref="N21:O21"/>
    <mergeCell ref="P21:Q21"/>
    <mergeCell ref="T21:U21"/>
    <mergeCell ref="N13:O13"/>
    <mergeCell ref="P13:Q13"/>
    <mergeCell ref="F15:I15"/>
    <mergeCell ref="K15:L16"/>
    <mergeCell ref="M15:M16"/>
    <mergeCell ref="N15:O16"/>
    <mergeCell ref="P15:Q16"/>
    <mergeCell ref="F16:I16"/>
    <mergeCell ref="F17:I17"/>
    <mergeCell ref="K17:L17"/>
    <mergeCell ref="N17:O17"/>
    <mergeCell ref="P17:Q17"/>
    <mergeCell ref="F56:I56"/>
    <mergeCell ref="G1:I1"/>
    <mergeCell ref="B3:I4"/>
    <mergeCell ref="K3:Q4"/>
    <mergeCell ref="E6:I6"/>
    <mergeCell ref="N6:Q6"/>
    <mergeCell ref="N7:Q7"/>
    <mergeCell ref="E11:F11"/>
    <mergeCell ref="G11:I11"/>
    <mergeCell ref="N11:O11"/>
    <mergeCell ref="P11:Q11"/>
    <mergeCell ref="E7:F7"/>
    <mergeCell ref="E12:F12"/>
    <mergeCell ref="G12:I12"/>
    <mergeCell ref="N12:O12"/>
    <mergeCell ref="P12:Q12"/>
    <mergeCell ref="E8:I8"/>
    <mergeCell ref="N8:Q8"/>
    <mergeCell ref="E9:I9"/>
    <mergeCell ref="N9:Q9"/>
    <mergeCell ref="E10:I10"/>
    <mergeCell ref="N10:Q10"/>
    <mergeCell ref="E13:F13"/>
    <mergeCell ref="G13:I13"/>
  </mergeCells>
  <pageMargins left="0.59055118110236227" right="0.59055118110236227" top="0.78625"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68" man="1"/>
  </colBreaks>
  <legacy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4">
    <tabColor rgb="FFFFFF00"/>
  </sheetPr>
  <dimension ref="A1:BA858"/>
  <sheetViews>
    <sheetView showGridLines="0" showZeros="0" view="pageBreakPreview" topLeftCell="A22" zoomScale="85" zoomScaleNormal="100" zoomScaleSheetLayoutView="85" zoomScalePageLayoutView="55" workbookViewId="0">
      <selection activeCell="D35" sqref="D35"/>
    </sheetView>
  </sheetViews>
  <sheetFormatPr defaultColWidth="8.85546875" defaultRowHeight="15.75" customHeight="1"/>
  <cols>
    <col min="1" max="1" width="1" style="99" customWidth="1"/>
    <col min="2" max="2" width="12.5703125" style="99" customWidth="1"/>
    <col min="3" max="3" width="24.140625" style="99" customWidth="1"/>
    <col min="4" max="4" width="17.85546875" style="99" customWidth="1"/>
    <col min="5" max="5" width="23.42578125" style="99" customWidth="1"/>
    <col min="6" max="6" width="15.140625" style="99" customWidth="1"/>
    <col min="7" max="7" width="8.140625" style="99" customWidth="1"/>
    <col min="8" max="8" width="4.42578125" style="99" customWidth="1"/>
    <col min="9" max="9" width="17.85546875" style="99" customWidth="1"/>
    <col min="10" max="10" width="2.140625" style="99" customWidth="1"/>
    <col min="11" max="11" width="9.140625" style="99" customWidth="1"/>
    <col min="12" max="12" width="20.140625" style="131" customWidth="1"/>
    <col min="13" max="13" width="18.140625" style="99" customWidth="1"/>
    <col min="14" max="14" width="21.85546875" style="99" customWidth="1"/>
    <col min="15" max="15" width="12.140625" style="99" customWidth="1"/>
    <col min="16" max="16" width="16.85546875" style="99" customWidth="1"/>
    <col min="17" max="17" width="21.42578125" style="99" customWidth="1"/>
    <col min="18" max="18" width="4.85546875" style="99" customWidth="1"/>
    <col min="19" max="19" width="8.85546875" style="99"/>
    <col min="20" max="20" width="19" style="218" hidden="1" customWidth="1"/>
    <col min="21" max="21" width="8.85546875" style="218" hidden="1" customWidth="1"/>
    <col min="22" max="22" width="8.85546875" style="99" hidden="1" customWidth="1"/>
    <col min="23" max="24" width="11.42578125" style="99" hidden="1" customWidth="1"/>
    <col min="25" max="26" width="8.85546875" style="99" hidden="1" customWidth="1"/>
    <col min="27" max="27" width="11.140625" style="99" hidden="1" customWidth="1"/>
    <col min="28" max="28" width="8.85546875" style="99"/>
    <col min="29" max="29" width="13.140625" style="99" customWidth="1"/>
    <col min="30" max="30" width="14.5703125" style="99" customWidth="1"/>
    <col min="31" max="31" width="8.85546875" style="99"/>
    <col min="32" max="32" width="9.140625" style="99" bestFit="1" customWidth="1"/>
    <col min="33" max="33" width="17.140625" style="99" customWidth="1"/>
    <col min="34" max="34" width="17.85546875" style="99" customWidth="1"/>
    <col min="35" max="35" width="9.85546875" style="99" customWidth="1"/>
    <col min="36" max="36" width="10.85546875" style="219" customWidth="1"/>
    <col min="37" max="37" width="13.42578125" style="99" customWidth="1"/>
    <col min="38" max="38" width="12.85546875" style="99" customWidth="1"/>
    <col min="39" max="41" width="13.140625" style="99" customWidth="1"/>
    <col min="42" max="42" width="11.140625" style="99" customWidth="1"/>
    <col min="43" max="43" width="14.85546875" style="99" customWidth="1"/>
    <col min="44" max="44" width="5.85546875" style="99" customWidth="1"/>
    <col min="45" max="45" width="11.85546875" style="99" customWidth="1"/>
    <col min="46" max="46" width="12.85546875" style="99" customWidth="1"/>
    <col min="47" max="47" width="11.85546875" style="99" customWidth="1"/>
    <col min="48" max="48" width="12.85546875" style="99" customWidth="1"/>
    <col min="49" max="49" width="12.85546875" style="220" customWidth="1"/>
    <col min="50" max="50" width="14.5703125" style="221" customWidth="1"/>
    <col min="51" max="55" width="12.85546875" style="99" customWidth="1"/>
    <col min="56" max="16384" width="8.85546875" style="99"/>
  </cols>
  <sheetData>
    <row r="1" spans="1:17" ht="4.5" customHeight="1">
      <c r="A1" s="1020"/>
      <c r="B1" s="212"/>
      <c r="C1" s="213" t="e">
        <f>(F15-(F16+#REF!))*12%</f>
        <v>#REF!</v>
      </c>
      <c r="D1" s="186" t="e">
        <f>FORM!#REF!</f>
        <v>#REF!</v>
      </c>
      <c r="E1" s="214"/>
      <c r="F1" s="3"/>
      <c r="G1" s="215"/>
      <c r="H1" s="215"/>
      <c r="I1" s="1020"/>
      <c r="J1" s="216">
        <v>0.01</v>
      </c>
      <c r="K1" s="214"/>
      <c r="L1" s="217"/>
      <c r="M1" s="217"/>
      <c r="N1" s="1021"/>
      <c r="O1" s="1020"/>
      <c r="P1" s="1020"/>
      <c r="Q1" s="1020"/>
    </row>
    <row r="2" spans="1:17" ht="12.6">
      <c r="A2" s="1020"/>
      <c r="B2" s="160" t="s">
        <v>1059</v>
      </c>
      <c r="C2" s="1022">
        <f>FORM!I20</f>
        <v>45901</v>
      </c>
      <c r="D2" s="1023"/>
      <c r="E2" s="1020"/>
      <c r="F2" s="132" t="s">
        <v>1060</v>
      </c>
      <c r="G2" s="1641" t="s">
        <v>1061</v>
      </c>
      <c r="H2" s="1641"/>
      <c r="I2" s="1641"/>
      <c r="J2" s="142"/>
      <c r="K2" s="132" t="s">
        <v>1059</v>
      </c>
      <c r="L2" s="1022">
        <f>C2</f>
        <v>45901</v>
      </c>
      <c r="M2" s="1024"/>
      <c r="N2" s="1020"/>
      <c r="O2" s="175"/>
      <c r="P2" s="160" t="s">
        <v>1062</v>
      </c>
      <c r="Q2" s="1025" t="s">
        <v>1063</v>
      </c>
    </row>
    <row r="3" spans="1:17" ht="12.6">
      <c r="A3" s="1020"/>
      <c r="B3" s="1020"/>
      <c r="C3" s="3"/>
      <c r="D3" s="3"/>
      <c r="E3" s="142"/>
      <c r="F3" s="142"/>
      <c r="G3" s="142"/>
      <c r="H3" s="142"/>
      <c r="I3" s="142"/>
      <c r="J3" s="142"/>
      <c r="K3" s="222"/>
      <c r="L3" s="223"/>
      <c r="M3" s="224"/>
      <c r="N3" s="1026"/>
      <c r="O3" s="1026"/>
      <c r="P3" s="1026"/>
      <c r="Q3" s="1026"/>
    </row>
    <row r="4" spans="1:17" ht="18.75" customHeight="1">
      <c r="A4" s="1024"/>
      <c r="B4" s="1426" t="str">
        <f>'Corrected and Updated TSF 3'!EJ21</f>
        <v>12.5% Equity spread, 2.50% Lumpsum</v>
      </c>
      <c r="C4" s="1426"/>
      <c r="D4" s="1426"/>
      <c r="E4" s="1426"/>
      <c r="F4" s="1426"/>
      <c r="G4" s="1426"/>
      <c r="H4" s="1426"/>
      <c r="I4" s="1427"/>
      <c r="J4" s="142"/>
      <c r="K4" s="1428" t="s">
        <v>1065</v>
      </c>
      <c r="L4" s="1428"/>
      <c r="M4" s="1428"/>
      <c r="N4" s="1428"/>
      <c r="O4" s="1428"/>
      <c r="P4" s="1428"/>
      <c r="Q4" s="1428"/>
    </row>
    <row r="5" spans="1:17" ht="12" customHeight="1">
      <c r="A5" s="1024"/>
      <c r="B5" s="1024"/>
      <c r="C5" s="100"/>
      <c r="D5" s="100"/>
      <c r="E5" s="1024"/>
      <c r="F5" s="100"/>
      <c r="G5" s="100"/>
      <c r="H5" s="100"/>
      <c r="I5" s="176"/>
      <c r="J5" s="142"/>
      <c r="K5" s="142"/>
      <c r="L5" s="142"/>
      <c r="M5" s="177"/>
      <c r="N5" s="1024"/>
      <c r="O5" s="1024"/>
      <c r="P5" s="1024"/>
      <c r="Q5" s="1024"/>
    </row>
    <row r="6" spans="1:17" ht="12.6">
      <c r="A6" s="1024"/>
      <c r="B6" s="225" t="s">
        <v>1066</v>
      </c>
      <c r="C6" s="226"/>
      <c r="D6" s="1027" t="s">
        <v>1015</v>
      </c>
      <c r="E6" s="1642" t="str">
        <f>FORM!I26</f>
        <v>buyer</v>
      </c>
      <c r="F6" s="1643"/>
      <c r="G6" s="1643"/>
      <c r="H6" s="1643"/>
      <c r="I6" s="1644"/>
      <c r="J6" s="142"/>
      <c r="K6" s="1425" t="s">
        <v>1066</v>
      </c>
      <c r="L6" s="1425"/>
      <c r="M6" s="1027" t="s">
        <v>1015</v>
      </c>
      <c r="N6" s="1645" t="str">
        <f t="shared" ref="N6:N13" si="0">E6</f>
        <v>buyer</v>
      </c>
      <c r="O6" s="1645"/>
      <c r="P6" s="1645"/>
      <c r="Q6" s="1645"/>
    </row>
    <row r="7" spans="1:17" ht="12.95" thickBot="1">
      <c r="A7" s="1024"/>
      <c r="B7" s="144" t="s">
        <v>1014</v>
      </c>
      <c r="C7" s="227"/>
      <c r="D7" s="1027" t="s">
        <v>1015</v>
      </c>
      <c r="E7" s="1646" t="str">
        <f>FORM!$I$11</f>
        <v>The Southprime Flats</v>
      </c>
      <c r="F7" s="1647"/>
      <c r="G7" s="1028" t="str">
        <f>FORM!I14</f>
        <v>B3</v>
      </c>
      <c r="H7" s="1028"/>
      <c r="I7" s="1029"/>
      <c r="J7" s="142"/>
      <c r="K7" s="1425" t="s">
        <v>1014</v>
      </c>
      <c r="L7" s="1425"/>
      <c r="M7" s="1030" t="s">
        <v>1015</v>
      </c>
      <c r="N7" s="1645" t="str">
        <f t="shared" si="0"/>
        <v>The Southprime Flats</v>
      </c>
      <c r="O7" s="1645"/>
      <c r="P7" s="1645"/>
      <c r="Q7" s="1645"/>
    </row>
    <row r="8" spans="1:17" ht="12.6">
      <c r="A8" s="1031"/>
      <c r="B8" s="225" t="s">
        <v>1068</v>
      </c>
      <c r="C8" s="226"/>
      <c r="D8" s="1027" t="s">
        <v>1015</v>
      </c>
      <c r="E8" s="1642" t="str">
        <f>'STANDARD COMP.'!E8:I8</f>
        <v>E-11K</v>
      </c>
      <c r="F8" s="1643"/>
      <c r="G8" s="1643"/>
      <c r="H8" s="1643"/>
      <c r="I8" s="1644"/>
      <c r="J8" s="142"/>
      <c r="K8" s="1425" t="s">
        <v>1068</v>
      </c>
      <c r="L8" s="1425"/>
      <c r="M8" s="1027" t="s">
        <v>1015</v>
      </c>
      <c r="N8" s="1645" t="str">
        <f>E8</f>
        <v>E-11K</v>
      </c>
      <c r="O8" s="1645"/>
      <c r="P8" s="1645"/>
      <c r="Q8" s="1645"/>
    </row>
    <row r="9" spans="1:17" ht="12.6" hidden="1">
      <c r="A9" s="1024"/>
      <c r="B9" s="144" t="s">
        <v>1070</v>
      </c>
      <c r="C9" s="227"/>
      <c r="D9" s="1027" t="s">
        <v>1015</v>
      </c>
      <c r="E9" s="1642" t="e">
        <f>FORM!#REF!</f>
        <v>#REF!</v>
      </c>
      <c r="F9" s="1643"/>
      <c r="G9" s="1643"/>
      <c r="H9" s="1643"/>
      <c r="I9" s="1644"/>
      <c r="J9" s="142"/>
      <c r="K9" s="1425" t="s">
        <v>1070</v>
      </c>
      <c r="L9" s="1425"/>
      <c r="M9" s="1027" t="s">
        <v>1015</v>
      </c>
      <c r="N9" s="1645" t="e">
        <f t="shared" si="0"/>
        <v>#REF!</v>
      </c>
      <c r="O9" s="1645"/>
      <c r="P9" s="1645"/>
      <c r="Q9" s="1645"/>
    </row>
    <row r="10" spans="1:17" ht="12.95" thickBot="1">
      <c r="A10" s="1024"/>
      <c r="B10" s="144" t="s">
        <v>1071</v>
      </c>
      <c r="C10" s="227"/>
      <c r="D10" s="1027" t="s">
        <v>1015</v>
      </c>
      <c r="E10" s="1642" t="str">
        <f>VLOOKUP(E8,'Pricelist Link'!A6:AD378,6,FALSE)</f>
        <v>Studio</v>
      </c>
      <c r="F10" s="1643"/>
      <c r="G10" s="1643"/>
      <c r="H10" s="1643"/>
      <c r="I10" s="1644"/>
      <c r="J10" s="142"/>
      <c r="K10" s="1425" t="s">
        <v>1071</v>
      </c>
      <c r="L10" s="1425"/>
      <c r="M10" s="1030" t="s">
        <v>1015</v>
      </c>
      <c r="N10" s="1645" t="str">
        <f t="shared" si="0"/>
        <v>Studio</v>
      </c>
      <c r="O10" s="1645"/>
      <c r="P10" s="1645"/>
      <c r="Q10" s="1645"/>
    </row>
    <row r="11" spans="1:17" ht="12.6">
      <c r="A11" s="1024"/>
      <c r="B11" s="144" t="s">
        <v>1072</v>
      </c>
      <c r="C11" s="227"/>
      <c r="D11" s="1027" t="s">
        <v>1015</v>
      </c>
      <c r="E11" s="1421">
        <f>VLOOKUP(E8,'Pricelist Link'!A6:AD378,7,FALSE)</f>
        <v>22</v>
      </c>
      <c r="F11" s="1422"/>
      <c r="G11" s="1028" t="s">
        <v>1073</v>
      </c>
      <c r="H11" s="1643"/>
      <c r="I11" s="1644"/>
      <c r="J11" s="142"/>
      <c r="K11" s="1425" t="s">
        <v>1072</v>
      </c>
      <c r="L11" s="1425"/>
      <c r="M11" s="1027" t="s">
        <v>1015</v>
      </c>
      <c r="N11" s="1648">
        <f t="shared" si="0"/>
        <v>22</v>
      </c>
      <c r="O11" s="1649"/>
      <c r="P11" s="1650" t="s">
        <v>1073</v>
      </c>
      <c r="Q11" s="1651"/>
    </row>
    <row r="12" spans="1:17" ht="12.6">
      <c r="A12" s="1031"/>
      <c r="B12" s="228" t="s">
        <v>1074</v>
      </c>
      <c r="C12" s="226"/>
      <c r="D12" s="1027" t="s">
        <v>1015</v>
      </c>
      <c r="E12" s="1421"/>
      <c r="F12" s="1422"/>
      <c r="G12" s="1028" t="s">
        <v>1073</v>
      </c>
      <c r="H12" s="1650"/>
      <c r="I12" s="1651"/>
      <c r="J12" s="142"/>
      <c r="K12" s="1425" t="s">
        <v>1074</v>
      </c>
      <c r="L12" s="1425"/>
      <c r="M12" s="1027" t="s">
        <v>1015</v>
      </c>
      <c r="N12" s="1652">
        <f t="shared" si="0"/>
        <v>0</v>
      </c>
      <c r="O12" s="1653"/>
      <c r="P12" s="1650" t="s">
        <v>1073</v>
      </c>
      <c r="Q12" s="1651"/>
    </row>
    <row r="13" spans="1:17" ht="12.6">
      <c r="A13" s="1032"/>
      <c r="B13" s="144" t="s">
        <v>1075</v>
      </c>
      <c r="C13" s="227"/>
      <c r="D13" s="1027" t="s">
        <v>1015</v>
      </c>
      <c r="E13" s="1423">
        <f>VLOOKUP(E8,'Pricelist Link'!A6:AD378,7,FALSE)</f>
        <v>22</v>
      </c>
      <c r="F13" s="1424"/>
      <c r="G13" s="1028" t="s">
        <v>1073</v>
      </c>
      <c r="H13" s="1650"/>
      <c r="I13" s="1651"/>
      <c r="J13" s="142"/>
      <c r="K13" s="1425" t="s">
        <v>1075</v>
      </c>
      <c r="L13" s="1425"/>
      <c r="M13" s="1027" t="s">
        <v>1015</v>
      </c>
      <c r="N13" s="1652">
        <f t="shared" si="0"/>
        <v>22</v>
      </c>
      <c r="O13" s="1653"/>
      <c r="P13" s="1650" t="s">
        <v>1073</v>
      </c>
      <c r="Q13" s="1651"/>
    </row>
    <row r="14" spans="1:17" ht="12.6">
      <c r="A14" s="1024"/>
      <c r="B14" s="1024"/>
      <c r="C14" s="178"/>
      <c r="D14" s="1027"/>
      <c r="E14" s="142"/>
      <c r="F14" s="229"/>
      <c r="G14" s="229"/>
      <c r="H14" s="230"/>
      <c r="I14" s="231"/>
      <c r="J14" s="142"/>
      <c r="K14" s="1024"/>
      <c r="L14" s="1024"/>
      <c r="M14" s="1033"/>
      <c r="N14" s="1024"/>
      <c r="O14" s="1024"/>
      <c r="P14" s="1024"/>
      <c r="Q14" s="1024"/>
    </row>
    <row r="15" spans="1:17" ht="15" customHeight="1">
      <c r="A15" s="1024"/>
      <c r="B15" s="141" t="s">
        <v>1078</v>
      </c>
      <c r="C15" s="141"/>
      <c r="D15" s="232" t="s">
        <v>1015</v>
      </c>
      <c r="E15" s="233"/>
      <c r="F15" s="1395">
        <f>VLOOKUP(E8,'Pricelist Link'!A6:AD378,8,FALSE)</f>
        <v>4123028.1810342241</v>
      </c>
      <c r="G15" s="1395"/>
      <c r="H15" s="1395"/>
      <c r="I15" s="1396"/>
      <c r="J15" s="142"/>
      <c r="K15" s="1402" t="s">
        <v>1079</v>
      </c>
      <c r="L15" s="1402"/>
      <c r="M15" s="1416" t="s">
        <v>989</v>
      </c>
      <c r="N15" s="1402" t="s">
        <v>992</v>
      </c>
      <c r="O15" s="1402"/>
      <c r="P15" s="1417" t="s">
        <v>206</v>
      </c>
      <c r="Q15" s="1418"/>
    </row>
    <row r="16" spans="1:17" ht="12.6">
      <c r="A16" s="1024"/>
      <c r="B16" s="148" t="s">
        <v>1080</v>
      </c>
      <c r="C16" s="227"/>
      <c r="D16" s="1034" t="s">
        <v>1015</v>
      </c>
      <c r="E16" s="234"/>
      <c r="F16" s="1654">
        <f>'STANDARD COMP.'!F16:I16</f>
        <v>0</v>
      </c>
      <c r="G16" s="1654"/>
      <c r="H16" s="1654"/>
      <c r="I16" s="1655"/>
      <c r="J16" s="100"/>
      <c r="K16" s="1402"/>
      <c r="L16" s="1402"/>
      <c r="M16" s="1416"/>
      <c r="N16" s="1402"/>
      <c r="O16" s="1402"/>
      <c r="P16" s="1419"/>
      <c r="Q16" s="1420"/>
    </row>
    <row r="17" spans="1:50" ht="12.6">
      <c r="A17" s="1024"/>
      <c r="B17" s="129" t="s">
        <v>1082</v>
      </c>
      <c r="C17" s="101"/>
      <c r="D17" s="142" t="s">
        <v>1015</v>
      </c>
      <c r="E17" s="233"/>
      <c r="F17" s="1397">
        <f>F15-F16</f>
        <v>4123028.1810342241</v>
      </c>
      <c r="G17" s="1397"/>
      <c r="H17" s="1397"/>
      <c r="I17" s="1398"/>
      <c r="J17" s="100"/>
      <c r="K17" s="1521" t="s">
        <v>1031</v>
      </c>
      <c r="L17" s="1521"/>
      <c r="M17" s="1035">
        <f>C2</f>
        <v>45901</v>
      </c>
      <c r="N17" s="1403">
        <f>F25</f>
        <v>30000</v>
      </c>
      <c r="O17" s="1403"/>
      <c r="P17" s="1666"/>
      <c r="Q17" s="1657"/>
      <c r="R17" s="1020"/>
      <c r="S17" s="1020"/>
      <c r="T17" s="1036"/>
      <c r="U17" s="1036"/>
      <c r="V17" s="1020"/>
      <c r="W17" s="1037">
        <f>M17</f>
        <v>45901</v>
      </c>
      <c r="X17" s="1037">
        <f>EDATE(W17,E29)</f>
        <v>46784</v>
      </c>
      <c r="Y17" s="1020"/>
      <c r="Z17" s="1020"/>
      <c r="AA17" s="1020"/>
      <c r="AB17" s="1020"/>
      <c r="AC17" s="1020"/>
      <c r="AD17" s="1020"/>
      <c r="AE17" s="1020"/>
      <c r="AF17" s="1020"/>
      <c r="AG17" s="1020"/>
      <c r="AH17" s="1020"/>
      <c r="AI17" s="1020"/>
      <c r="AJ17" s="1038"/>
      <c r="AK17" s="1020"/>
      <c r="AL17" s="1020"/>
      <c r="AM17" s="1020"/>
      <c r="AN17" s="1020"/>
      <c r="AO17" s="1020"/>
      <c r="AP17" s="1020"/>
      <c r="AQ17" s="1020"/>
      <c r="AR17" s="1020"/>
      <c r="AS17" s="1020"/>
      <c r="AT17" s="1020"/>
      <c r="AU17" s="1020"/>
      <c r="AV17" s="1020"/>
      <c r="AW17" s="1039"/>
      <c r="AX17" s="1040"/>
    </row>
    <row r="18" spans="1:50" ht="12.95">
      <c r="A18" s="1024"/>
      <c r="B18" s="147"/>
      <c r="C18" s="178"/>
      <c r="D18" s="1027"/>
      <c r="E18" s="100"/>
      <c r="F18" s="407">
        <f>E19*F17</f>
        <v>494763.38172410685</v>
      </c>
      <c r="G18" s="236"/>
      <c r="H18" s="237"/>
      <c r="I18" s="237"/>
      <c r="J18" s="100"/>
      <c r="K18" s="1521" t="str">
        <f t="shared" ref="K18:K59" si="1">IF(N18&gt;1,T18,0)</f>
        <v>1st EQUITY PAYMENT</v>
      </c>
      <c r="L18" s="1521"/>
      <c r="M18" s="1035">
        <f t="shared" ref="M18:M72" si="2">IF(N18&gt;1,W18,"")</f>
        <v>45935</v>
      </c>
      <c r="N18" s="1717">
        <f>IF(E29&gt;0,F29,"")</f>
        <v>14995.566462469267</v>
      </c>
      <c r="O18" s="1717"/>
      <c r="P18" s="1666"/>
      <c r="Q18" s="1657"/>
      <c r="R18" s="1020"/>
      <c r="S18" s="1020"/>
      <c r="T18" s="1405" t="s">
        <v>1084</v>
      </c>
      <c r="U18" s="1405"/>
      <c r="V18" s="1020"/>
      <c r="W18" s="1035">
        <f>IF(DAY(W17)=31,Y20,AA20)</f>
        <v>45935</v>
      </c>
      <c r="X18" s="1020"/>
      <c r="Y18" s="1519" t="s">
        <v>1085</v>
      </c>
      <c r="Z18" s="1519"/>
      <c r="AA18" s="1020"/>
      <c r="AB18" s="1020"/>
      <c r="AC18" s="1020"/>
      <c r="AD18" s="1020"/>
      <c r="AE18" s="1020"/>
      <c r="AF18" s="1020"/>
      <c r="AG18" s="1020"/>
      <c r="AH18" s="1020"/>
      <c r="AI18" s="1020"/>
      <c r="AJ18" s="1038"/>
      <c r="AK18" s="1020"/>
      <c r="AL18" s="1020"/>
      <c r="AM18" s="1020"/>
      <c r="AN18" s="1020"/>
      <c r="AO18" s="1020"/>
      <c r="AP18" s="1020"/>
      <c r="AQ18" s="1020"/>
      <c r="AR18" s="1020"/>
      <c r="AS18" s="1020"/>
      <c r="AT18" s="1020"/>
      <c r="AU18" s="1020"/>
      <c r="AV18" s="1020"/>
      <c r="AW18" s="1039"/>
      <c r="AX18" s="1040"/>
    </row>
    <row r="19" spans="1:50" ht="12.6">
      <c r="A19" s="1031"/>
      <c r="B19" s="148" t="s">
        <v>1087</v>
      </c>
      <c r="C19" s="227"/>
      <c r="D19" s="1034" t="s">
        <v>1015</v>
      </c>
      <c r="E19" s="283">
        <v>0.12</v>
      </c>
      <c r="F19" s="1654"/>
      <c r="G19" s="1654"/>
      <c r="H19" s="1654"/>
      <c r="I19" s="1655"/>
      <c r="J19" s="100"/>
      <c r="K19" s="1521" t="str">
        <f t="shared" si="1"/>
        <v>2nd EQUITY PAYMENT</v>
      </c>
      <c r="L19" s="1521"/>
      <c r="M19" s="1035">
        <f t="shared" si="2"/>
        <v>45966</v>
      </c>
      <c r="N19" s="1717">
        <f>IF(E29&gt;1,F29,0)</f>
        <v>14995.566462469267</v>
      </c>
      <c r="O19" s="1717"/>
      <c r="P19" s="1666"/>
      <c r="Q19" s="1657"/>
      <c r="R19" s="1020"/>
      <c r="S19" s="1020"/>
      <c r="T19" s="1405" t="s">
        <v>1088</v>
      </c>
      <c r="U19" s="1405"/>
      <c r="V19" s="1020"/>
      <c r="W19" s="1035">
        <f t="shared" ref="W19:W61" si="3">IF(AND(DAY(W18)&gt;=6,DAY(W18)&lt;=20),DATE(YEAR(W18),MONTH(W18)+1,DAY(20)),IF(AND(DAY(W18)&gt;=21,DAY(W18)&lt;=30),DATE(YEAR(W18),MONTH(W18)+1,IF(DAY(EOMONTH(W18,1))&lt;30,DAY(EOMONTH(W18,1)),DAY(30))),DATE(YEAR(W18),MONTH(W18)+1,DAY(5))))</f>
        <v>45966</v>
      </c>
      <c r="X19" s="1752" t="s">
        <v>37</v>
      </c>
      <c r="Y19" s="1753" t="b">
        <f>IF(DAY(W17)=31,DATE(YEAR(X17),MONTH(X17)+2,DAY(5)))</f>
        <v>0</v>
      </c>
      <c r="Z19" s="1754"/>
      <c r="AA19" s="1755">
        <f>IF(AND(DAY(X17)&gt;=6,DAY(X17)&lt;=20),DATE(YEAR(X17),MONTH(X17)+1,DAY(20)),IF(AND(DAY(X17)&gt;=21,DAY(X17)&lt;=31),DATE(YEAR(X17),MONTH(X17)+1,IF(DAY(EOMONTH(X17,1))&lt;30,DAY(EOMONTH(X17,1)),DAY(30))),DATE(YEAR(X17),MONTH(X17)+1,DAY(5))))</f>
        <v>46817</v>
      </c>
      <c r="AB19" s="1020"/>
      <c r="AC19" s="1020"/>
      <c r="AD19" s="1020"/>
      <c r="AE19" s="1020"/>
      <c r="AF19" s="1020"/>
      <c r="AG19" s="1020"/>
      <c r="AH19" s="1020"/>
      <c r="AI19" s="1020"/>
      <c r="AJ19" s="1038"/>
      <c r="AK19" s="1020"/>
      <c r="AL19" s="1020"/>
      <c r="AM19" s="1020"/>
      <c r="AN19" s="1020"/>
      <c r="AO19" s="1020"/>
      <c r="AP19" s="1020"/>
      <c r="AQ19" s="1020"/>
      <c r="AR19" s="1020"/>
      <c r="AS19" s="1020"/>
      <c r="AT19" s="1020"/>
      <c r="AU19" s="1020"/>
      <c r="AV19" s="1020"/>
      <c r="AW19" s="1039"/>
      <c r="AX19" s="1040"/>
    </row>
    <row r="20" spans="1:50" ht="12.6">
      <c r="A20" s="1032"/>
      <c r="B20" s="238" t="s">
        <v>1090</v>
      </c>
      <c r="C20" s="101"/>
      <c r="D20" s="1027" t="s">
        <v>1015</v>
      </c>
      <c r="E20" s="1041"/>
      <c r="F20" s="1658">
        <f>'STANDARD COMP.'!F20:I20</f>
        <v>525686.0930818636</v>
      </c>
      <c r="G20" s="1659"/>
      <c r="H20" s="1659"/>
      <c r="I20" s="1660"/>
      <c r="J20" s="100"/>
      <c r="K20" s="1521" t="str">
        <f t="shared" si="1"/>
        <v>3rd EQUITY PAYMENT</v>
      </c>
      <c r="L20" s="1521"/>
      <c r="M20" s="1035">
        <f t="shared" si="2"/>
        <v>45996</v>
      </c>
      <c r="N20" s="1717">
        <f>IF(E29&gt;2,F29,0)</f>
        <v>14995.566462469267</v>
      </c>
      <c r="O20" s="1717"/>
      <c r="P20" s="1666"/>
      <c r="Q20" s="1657"/>
      <c r="R20" s="1020"/>
      <c r="S20" s="1020"/>
      <c r="T20" s="1405" t="s">
        <v>1091</v>
      </c>
      <c r="U20" s="1405"/>
      <c r="V20" s="1020"/>
      <c r="W20" s="1035">
        <f t="shared" si="3"/>
        <v>45996</v>
      </c>
      <c r="X20" s="1752" t="s">
        <v>1092</v>
      </c>
      <c r="Y20" s="1753" t="b">
        <f>IF(DAY(W17)=31,DATE(YEAR(W17),MONTH(W17)+2,DAY(5)))</f>
        <v>0</v>
      </c>
      <c r="Z20" s="1754"/>
      <c r="AA20" s="1755">
        <f>IF(AND(DAY(W17)&gt;=6,DAY(W17)&lt;=20),DATE(YEAR(W17),MONTH(W17)+1,DAY(20)),IF(AND(DAY(W17)&gt;=21,DAY(W17)&lt;=30),DATE(YEAR(W17),MONTH(W17)+1,IF(DAY(EOMONTH(W17,1))&lt;31,DAY(EOMONTH(W17,1)),DAY(30))),DATE(YEAR(W17),MONTH(W17)+1,DAY(5))))</f>
        <v>45935</v>
      </c>
      <c r="AB20" s="1020"/>
      <c r="AC20" s="1020"/>
      <c r="AD20" s="1020"/>
      <c r="AE20" s="1020"/>
      <c r="AF20" s="1020"/>
      <c r="AG20" s="1020"/>
      <c r="AH20" s="1020"/>
      <c r="AI20" s="1020"/>
      <c r="AJ20" s="1038"/>
      <c r="AK20" s="1020"/>
      <c r="AL20" s="1020"/>
      <c r="AM20" s="1020"/>
      <c r="AN20" s="1020"/>
      <c r="AO20" s="1020"/>
      <c r="AP20" s="1020"/>
      <c r="AQ20" s="1020"/>
      <c r="AR20" s="1020"/>
      <c r="AS20" s="1020"/>
      <c r="AT20" s="1020"/>
      <c r="AU20" s="1020"/>
      <c r="AV20" s="1020"/>
      <c r="AW20" s="1039"/>
      <c r="AX20" s="1020"/>
    </row>
    <row r="21" spans="1:50" ht="12.6">
      <c r="A21" s="1024"/>
      <c r="B21" s="147"/>
      <c r="C21" s="100"/>
      <c r="D21" s="1027"/>
      <c r="E21" s="142"/>
      <c r="F21" s="235"/>
      <c r="G21" s="235"/>
      <c r="H21" s="235"/>
      <c r="I21" s="235"/>
      <c r="J21" s="100"/>
      <c r="K21" s="1521" t="str">
        <f t="shared" si="1"/>
        <v>4th EQUITY PAYMENT</v>
      </c>
      <c r="L21" s="1521"/>
      <c r="M21" s="1035">
        <f t="shared" si="2"/>
        <v>46027</v>
      </c>
      <c r="N21" s="1717">
        <f>IF(E29&gt;3,F29,0)</f>
        <v>14995.566462469267</v>
      </c>
      <c r="O21" s="1717"/>
      <c r="P21" s="1666"/>
      <c r="Q21" s="1657"/>
      <c r="R21" s="1020"/>
      <c r="S21" s="1020"/>
      <c r="T21" s="1405" t="s">
        <v>1094</v>
      </c>
      <c r="U21" s="1405"/>
      <c r="V21" s="1020"/>
      <c r="W21" s="1035">
        <f t="shared" si="3"/>
        <v>46027</v>
      </c>
      <c r="X21" s="1020"/>
      <c r="Y21" s="1020"/>
      <c r="Z21" s="1020"/>
      <c r="AA21" s="1020"/>
      <c r="AB21" s="1020"/>
      <c r="AC21" s="1020"/>
      <c r="AD21" s="1020"/>
      <c r="AE21" s="1020"/>
      <c r="AF21" s="1020"/>
      <c r="AG21" s="1020"/>
      <c r="AH21" s="1020"/>
      <c r="AI21" s="1020"/>
      <c r="AJ21" s="1038"/>
      <c r="AK21" s="1020"/>
      <c r="AL21" s="1020"/>
      <c r="AM21" s="1020"/>
      <c r="AN21" s="1020"/>
      <c r="AO21" s="1020"/>
      <c r="AP21" s="1020"/>
      <c r="AQ21" s="1020"/>
      <c r="AR21" s="1020"/>
      <c r="AS21" s="1020"/>
      <c r="AT21" s="1020"/>
      <c r="AU21" s="1020"/>
      <c r="AV21" s="1020"/>
      <c r="AW21" s="1039"/>
      <c r="AX21" s="1020"/>
    </row>
    <row r="22" spans="1:50" ht="12.6">
      <c r="A22" s="1024"/>
      <c r="B22" s="129" t="s">
        <v>1096</v>
      </c>
      <c r="C22" s="101"/>
      <c r="D22" s="142" t="s">
        <v>1015</v>
      </c>
      <c r="E22" s="239"/>
      <c r="F22" s="1399">
        <f>SUM(F19:I20,F17)</f>
        <v>4648714.2741160877</v>
      </c>
      <c r="G22" s="1400"/>
      <c r="H22" s="1400"/>
      <c r="I22" s="1401"/>
      <c r="J22" s="100"/>
      <c r="K22" s="1521" t="str">
        <f t="shared" si="1"/>
        <v>5th EQUITY PAYMENT</v>
      </c>
      <c r="L22" s="1521"/>
      <c r="M22" s="1035">
        <f t="shared" si="2"/>
        <v>46058</v>
      </c>
      <c r="N22" s="1717">
        <f>IF(E29&gt;4,F29,0)</f>
        <v>14995.566462469267</v>
      </c>
      <c r="O22" s="1717"/>
      <c r="P22" s="1666"/>
      <c r="Q22" s="1657"/>
      <c r="R22" s="1020"/>
      <c r="S22" s="1020"/>
      <c r="T22" s="1405" t="s">
        <v>1097</v>
      </c>
      <c r="U22" s="1405"/>
      <c r="V22" s="1020"/>
      <c r="W22" s="1035">
        <f t="shared" si="3"/>
        <v>46058</v>
      </c>
      <c r="X22" s="1020"/>
      <c r="Y22" s="1020"/>
      <c r="Z22" s="1020"/>
      <c r="AA22" s="1020"/>
      <c r="AB22" s="1020"/>
      <c r="AC22" s="1020"/>
      <c r="AD22" s="1020"/>
      <c r="AE22" s="1020"/>
      <c r="AF22" s="1020"/>
      <c r="AG22" s="1020"/>
      <c r="AH22" s="1020"/>
      <c r="AI22" s="1020"/>
      <c r="AJ22" s="1038"/>
      <c r="AK22" s="1020"/>
      <c r="AL22" s="1020"/>
      <c r="AM22" s="1020"/>
      <c r="AN22" s="1020"/>
      <c r="AO22" s="1020"/>
      <c r="AP22" s="1020"/>
      <c r="AQ22" s="1020"/>
      <c r="AR22" s="1020"/>
      <c r="AS22" s="1020"/>
      <c r="AT22" s="1020"/>
      <c r="AU22" s="1020"/>
      <c r="AV22" s="1020"/>
      <c r="AW22" s="1039"/>
      <c r="AX22" s="1020"/>
    </row>
    <row r="23" spans="1:50" ht="12.6">
      <c r="A23" s="1024"/>
      <c r="B23" s="147"/>
      <c r="C23" s="100"/>
      <c r="D23" s="1027"/>
      <c r="E23" s="142"/>
      <c r="F23" s="235"/>
      <c r="G23" s="240"/>
      <c r="H23" s="240"/>
      <c r="I23" s="240"/>
      <c r="J23" s="100"/>
      <c r="K23" s="1521" t="str">
        <f t="shared" si="1"/>
        <v>6th EQUITY PAYMENT</v>
      </c>
      <c r="L23" s="1521"/>
      <c r="M23" s="1035">
        <f t="shared" si="2"/>
        <v>46086</v>
      </c>
      <c r="N23" s="1717">
        <f>IF(E29&gt;5,F29,0)</f>
        <v>14995.566462469267</v>
      </c>
      <c r="O23" s="1717"/>
      <c r="P23" s="1666"/>
      <c r="Q23" s="1657"/>
      <c r="R23" s="1020"/>
      <c r="S23" s="1020"/>
      <c r="T23" s="1405" t="s">
        <v>1098</v>
      </c>
      <c r="U23" s="1405"/>
      <c r="V23" s="1020"/>
      <c r="W23" s="1035">
        <f t="shared" si="3"/>
        <v>46086</v>
      </c>
      <c r="X23" s="1020"/>
      <c r="Y23" s="1020"/>
      <c r="Z23" s="1020"/>
      <c r="AA23" s="1020"/>
      <c r="AB23" s="1020"/>
      <c r="AC23" s="1020"/>
      <c r="AD23" s="1020"/>
      <c r="AE23" s="1020"/>
      <c r="AF23" s="1020"/>
      <c r="AG23" s="1020"/>
      <c r="AH23" s="1020"/>
      <c r="AI23" s="1020"/>
      <c r="AJ23" s="1038"/>
      <c r="AK23" s="1020"/>
      <c r="AL23" s="1020"/>
      <c r="AM23" s="1020"/>
      <c r="AN23" s="1020"/>
      <c r="AO23" s="1020"/>
      <c r="AP23" s="1020"/>
      <c r="AQ23" s="1020"/>
      <c r="AR23" s="1020"/>
      <c r="AS23" s="1020"/>
      <c r="AT23" s="1020"/>
      <c r="AU23" s="1020"/>
      <c r="AV23" s="1020"/>
      <c r="AW23" s="1039"/>
      <c r="AX23" s="1020"/>
    </row>
    <row r="24" spans="1:50" ht="12.6">
      <c r="A24" s="1024"/>
      <c r="B24" s="141" t="s">
        <v>1099</v>
      </c>
      <c r="C24" s="226"/>
      <c r="D24" s="232" t="s">
        <v>1015</v>
      </c>
      <c r="E24" s="281">
        <f>'STANDARD COMP.'!E24</f>
        <v>0.125</v>
      </c>
      <c r="F24" s="1399">
        <f>F22*E24</f>
        <v>581089.28426451096</v>
      </c>
      <c r="G24" s="1400"/>
      <c r="H24" s="1400"/>
      <c r="I24" s="1401"/>
      <c r="J24" s="100"/>
      <c r="K24" s="1521" t="str">
        <f t="shared" si="1"/>
        <v>7th EQUITY PAYMENT</v>
      </c>
      <c r="L24" s="1521"/>
      <c r="M24" s="1035">
        <f t="shared" si="2"/>
        <v>46117</v>
      </c>
      <c r="N24" s="1717">
        <f>IF(E29&gt;6,F29,0)</f>
        <v>14995.566462469267</v>
      </c>
      <c r="O24" s="1717"/>
      <c r="P24" s="1666"/>
      <c r="Q24" s="1657"/>
      <c r="R24" s="1020"/>
      <c r="S24" s="1020"/>
      <c r="T24" s="1405" t="s">
        <v>1100</v>
      </c>
      <c r="U24" s="1405"/>
      <c r="V24" s="1020"/>
      <c r="W24" s="1035">
        <f t="shared" si="3"/>
        <v>46117</v>
      </c>
      <c r="X24" s="1020"/>
      <c r="Y24" s="1020"/>
      <c r="Z24" s="1020"/>
      <c r="AA24" s="1020"/>
      <c r="AB24" s="1020"/>
      <c r="AC24" s="1020"/>
      <c r="AD24" s="1020"/>
      <c r="AE24" s="1020"/>
      <c r="AF24" s="1020"/>
      <c r="AG24" s="1020"/>
      <c r="AH24" s="1020"/>
      <c r="AI24" s="1020"/>
      <c r="AJ24" s="1038"/>
      <c r="AK24" s="1020"/>
      <c r="AL24" s="1020"/>
      <c r="AM24" s="1020"/>
      <c r="AN24" s="1020"/>
      <c r="AO24" s="1020"/>
      <c r="AP24" s="1020"/>
      <c r="AQ24" s="1020"/>
      <c r="AR24" s="1020"/>
      <c r="AS24" s="1020"/>
      <c r="AT24" s="1020"/>
      <c r="AU24" s="1020"/>
      <c r="AV24" s="1020"/>
      <c r="AW24" s="1039"/>
      <c r="AX24" s="1020"/>
    </row>
    <row r="25" spans="1:50" ht="12.6">
      <c r="A25" s="1024"/>
      <c r="B25" s="144" t="s">
        <v>1101</v>
      </c>
      <c r="C25" s="227"/>
      <c r="D25" s="1027" t="s">
        <v>1015</v>
      </c>
      <c r="E25" s="1042"/>
      <c r="F25" s="210">
        <f>FORM!I22</f>
        <v>30000</v>
      </c>
      <c r="G25" s="1043"/>
      <c r="H25" s="1044"/>
      <c r="I25" s="1045"/>
      <c r="J25" s="100"/>
      <c r="K25" s="1521" t="str">
        <f t="shared" si="1"/>
        <v>8th EQUITY PAYMENT</v>
      </c>
      <c r="L25" s="1521"/>
      <c r="M25" s="1035">
        <f t="shared" si="2"/>
        <v>46147</v>
      </c>
      <c r="N25" s="1717">
        <f>IF(E29&gt;7,F29,0)</f>
        <v>14995.566462469267</v>
      </c>
      <c r="O25" s="1717"/>
      <c r="P25" s="1666"/>
      <c r="Q25" s="1657"/>
      <c r="R25" s="1020"/>
      <c r="S25" s="1020"/>
      <c r="T25" s="1405" t="s">
        <v>1102</v>
      </c>
      <c r="U25" s="1405"/>
      <c r="V25" s="1020"/>
      <c r="W25" s="1035">
        <f t="shared" si="3"/>
        <v>46147</v>
      </c>
      <c r="X25" s="1020"/>
      <c r="Y25" s="1020"/>
      <c r="Z25" s="1020"/>
      <c r="AA25" s="1020"/>
      <c r="AB25" s="1020"/>
      <c r="AC25" s="1020"/>
      <c r="AD25" s="1020"/>
      <c r="AE25" s="1020"/>
      <c r="AF25" s="1020"/>
      <c r="AG25" s="1020"/>
      <c r="AH25" s="1020"/>
      <c r="AI25" s="1020"/>
      <c r="AJ25" s="1038"/>
      <c r="AK25" s="1020"/>
      <c r="AL25" s="1020"/>
      <c r="AM25" s="1020"/>
      <c r="AN25" s="1020"/>
      <c r="AO25" s="1020"/>
      <c r="AP25" s="1020"/>
      <c r="AQ25" s="1020"/>
      <c r="AR25" s="1020"/>
      <c r="AS25" s="1020"/>
      <c r="AT25" s="1020"/>
      <c r="AU25" s="1020"/>
      <c r="AV25" s="1020"/>
      <c r="AW25" s="1039"/>
      <c r="AX25" s="1020"/>
    </row>
    <row r="26" spans="1:50" ht="12.6">
      <c r="A26" s="1031"/>
      <c r="B26" s="144" t="s">
        <v>1250</v>
      </c>
      <c r="C26" s="227"/>
      <c r="D26" s="1027"/>
      <c r="E26" s="1758">
        <v>2.5000000000000001E-2</v>
      </c>
      <c r="F26" s="1455">
        <f>F22*E26</f>
        <v>116217.8568529022</v>
      </c>
      <c r="G26" s="1456"/>
      <c r="H26" s="1456"/>
      <c r="I26" s="1457"/>
      <c r="J26" s="100"/>
      <c r="K26" s="1521" t="str">
        <f t="shared" si="1"/>
        <v>9th EQUITY PAYMENT</v>
      </c>
      <c r="L26" s="1521"/>
      <c r="M26" s="1035">
        <f t="shared" si="2"/>
        <v>46178</v>
      </c>
      <c r="N26" s="1717">
        <f>IF(E29&gt;8,F29,0)</f>
        <v>14995.566462469267</v>
      </c>
      <c r="O26" s="1717"/>
      <c r="P26" s="1666"/>
      <c r="Q26" s="1657"/>
      <c r="R26" s="1020"/>
      <c r="S26" s="1020"/>
      <c r="T26" s="1405" t="s">
        <v>1104</v>
      </c>
      <c r="U26" s="1405"/>
      <c r="V26" s="1020"/>
      <c r="W26" s="1035">
        <f t="shared" si="3"/>
        <v>46178</v>
      </c>
      <c r="X26" s="1020"/>
      <c r="Y26" s="1020"/>
      <c r="Z26" s="1020"/>
      <c r="AA26" s="1020"/>
      <c r="AB26" s="1020"/>
      <c r="AC26" s="1020"/>
      <c r="AD26" s="1020"/>
      <c r="AE26" s="1020"/>
      <c r="AF26" s="1020"/>
      <c r="AG26" s="1020"/>
      <c r="AH26" s="1020"/>
      <c r="AI26" s="1020"/>
      <c r="AJ26" s="1038"/>
      <c r="AK26" s="1020"/>
      <c r="AL26" s="1020"/>
      <c r="AM26" s="1020"/>
      <c r="AN26" s="1020"/>
      <c r="AO26" s="1020"/>
      <c r="AP26" s="1020"/>
      <c r="AQ26" s="1020"/>
      <c r="AR26" s="1020"/>
      <c r="AS26" s="1020"/>
      <c r="AT26" s="1020"/>
      <c r="AU26" s="1020"/>
      <c r="AV26" s="1020"/>
      <c r="AW26" s="1039"/>
      <c r="AX26" s="1020"/>
    </row>
    <row r="27" spans="1:50" ht="12.6">
      <c r="A27" s="1024"/>
      <c r="B27" s="129" t="s">
        <v>1103</v>
      </c>
      <c r="C27" s="126"/>
      <c r="D27" s="142" t="s">
        <v>1015</v>
      </c>
      <c r="E27" s="1042"/>
      <c r="F27" s="1399">
        <f>F24-F25-F26</f>
        <v>434871.42741160875</v>
      </c>
      <c r="G27" s="1400"/>
      <c r="H27" s="1400"/>
      <c r="I27" s="1401"/>
      <c r="J27" s="100"/>
      <c r="K27" s="1521" t="str">
        <f t="shared" si="1"/>
        <v>10th EQUITY PAYMENT</v>
      </c>
      <c r="L27" s="1521"/>
      <c r="M27" s="1035">
        <f t="shared" si="2"/>
        <v>46208</v>
      </c>
      <c r="N27" s="1717">
        <f>IF(E29&gt;9,F29,0)</f>
        <v>14995.566462469267</v>
      </c>
      <c r="O27" s="1717"/>
      <c r="P27" s="1666"/>
      <c r="Q27" s="1657"/>
      <c r="R27" s="1020"/>
      <c r="S27" s="1020"/>
      <c r="T27" s="1405" t="s">
        <v>1105</v>
      </c>
      <c r="U27" s="1405"/>
      <c r="V27" s="1020"/>
      <c r="W27" s="1035">
        <f t="shared" si="3"/>
        <v>46208</v>
      </c>
      <c r="X27" s="1020"/>
      <c r="Y27" s="1020"/>
      <c r="Z27" s="1020"/>
      <c r="AA27" s="1020"/>
      <c r="AB27" s="1020"/>
      <c r="AC27" s="1020"/>
      <c r="AD27" s="1020"/>
      <c r="AE27" s="1020"/>
      <c r="AF27" s="1020"/>
      <c r="AG27" s="1020"/>
      <c r="AH27" s="1020"/>
      <c r="AI27" s="1020"/>
      <c r="AJ27" s="1038"/>
      <c r="AK27" s="1020"/>
      <c r="AL27" s="1020"/>
      <c r="AM27" s="1020"/>
      <c r="AN27" s="1020"/>
      <c r="AO27" s="1020"/>
      <c r="AP27" s="1020"/>
      <c r="AQ27" s="1020"/>
      <c r="AR27" s="1020"/>
      <c r="AS27" s="1020"/>
      <c r="AT27" s="1020"/>
      <c r="AU27" s="1020"/>
      <c r="AV27" s="1020"/>
      <c r="AW27" s="1039"/>
      <c r="AX27" s="1020"/>
    </row>
    <row r="28" spans="1:50" ht="12.6">
      <c r="A28" s="1024"/>
      <c r="B28" s="147"/>
      <c r="C28" s="100"/>
      <c r="D28" s="1027"/>
      <c r="E28" s="142"/>
      <c r="F28" s="235"/>
      <c r="G28" s="240"/>
      <c r="H28" s="240"/>
      <c r="I28" s="240"/>
      <c r="J28" s="100"/>
      <c r="K28" s="1521" t="str">
        <f t="shared" si="1"/>
        <v>11th EQUITY PAYMENT</v>
      </c>
      <c r="L28" s="1521"/>
      <c r="M28" s="1035">
        <f t="shared" si="2"/>
        <v>46239</v>
      </c>
      <c r="N28" s="1717">
        <f>IF(E29&gt;10,F29,0)</f>
        <v>14995.566462469267</v>
      </c>
      <c r="O28" s="1717"/>
      <c r="P28" s="1666"/>
      <c r="Q28" s="1657"/>
      <c r="R28" s="1020"/>
      <c r="S28" s="1020"/>
      <c r="T28" s="1405" t="s">
        <v>1107</v>
      </c>
      <c r="U28" s="1405"/>
      <c r="V28" s="1020"/>
      <c r="W28" s="1035">
        <f t="shared" si="3"/>
        <v>46239</v>
      </c>
      <c r="X28" s="1020"/>
      <c r="Y28" s="1020"/>
      <c r="Z28" s="1020"/>
      <c r="AA28" s="1020"/>
      <c r="AB28" s="1020"/>
      <c r="AC28" s="1020"/>
      <c r="AD28" s="1020"/>
      <c r="AE28" s="1020"/>
      <c r="AF28" s="1020"/>
      <c r="AG28" s="1020"/>
      <c r="AH28" s="1020"/>
      <c r="AI28" s="1020"/>
      <c r="AJ28" s="1038"/>
      <c r="AK28" s="1020"/>
      <c r="AL28" s="1020"/>
      <c r="AM28" s="1020"/>
      <c r="AN28" s="1020"/>
      <c r="AO28" s="1020"/>
      <c r="AP28" s="1020"/>
      <c r="AQ28" s="1020"/>
      <c r="AR28" s="1020"/>
      <c r="AS28" s="1020"/>
      <c r="AT28" s="1020"/>
      <c r="AU28" s="1020"/>
      <c r="AV28" s="1020"/>
      <c r="AW28" s="1039"/>
      <c r="AX28" s="1020"/>
    </row>
    <row r="29" spans="1:50" ht="12.6">
      <c r="A29" s="1052"/>
      <c r="B29" s="1404" t="s">
        <v>1106</v>
      </c>
      <c r="C29" s="1404"/>
      <c r="D29" s="142" t="s">
        <v>1015</v>
      </c>
      <c r="E29" s="242">
        <f>VLOOKUP(E8,'Pricelist Link'!A6:AD378,16,FALSE)</f>
        <v>29</v>
      </c>
      <c r="F29" s="1399">
        <f>F27/E29</f>
        <v>14995.566462469267</v>
      </c>
      <c r="G29" s="1400"/>
      <c r="H29" s="1400"/>
      <c r="I29" s="1401"/>
      <c r="J29" s="100"/>
      <c r="K29" s="1521" t="str">
        <f t="shared" si="1"/>
        <v>12th EQUITY PAYMENT</v>
      </c>
      <c r="L29" s="1521"/>
      <c r="M29" s="1035">
        <f t="shared" si="2"/>
        <v>46270</v>
      </c>
      <c r="N29" s="1469">
        <f>IF(E29&gt;11,F29,0)</f>
        <v>14995.566462469267</v>
      </c>
      <c r="O29" s="1469"/>
      <c r="P29" s="1666"/>
      <c r="Q29" s="1657"/>
      <c r="R29" s="1020"/>
      <c r="S29" s="1020"/>
      <c r="T29" s="1405" t="s">
        <v>1108</v>
      </c>
      <c r="U29" s="1405"/>
      <c r="V29" s="1020"/>
      <c r="W29" s="1035">
        <f t="shared" si="3"/>
        <v>46270</v>
      </c>
      <c r="X29" s="1020"/>
      <c r="Y29" s="1020"/>
      <c r="Z29" s="1020"/>
      <c r="AA29" s="1020"/>
      <c r="AB29" s="1020"/>
      <c r="AC29" s="1020"/>
      <c r="AD29" s="1020"/>
      <c r="AE29" s="1020"/>
      <c r="AF29" s="1020"/>
      <c r="AG29" s="1020"/>
      <c r="AH29" s="1020"/>
      <c r="AI29" s="1020"/>
      <c r="AJ29" s="1038"/>
      <c r="AK29" s="1020"/>
      <c r="AL29" s="1020"/>
      <c r="AM29" s="1020"/>
      <c r="AN29" s="1020"/>
      <c r="AO29" s="1020"/>
      <c r="AP29" s="1020"/>
      <c r="AQ29" s="1020"/>
      <c r="AR29" s="1020"/>
      <c r="AS29" s="1020"/>
      <c r="AT29" s="1020"/>
      <c r="AU29" s="1020"/>
      <c r="AV29" s="1020"/>
      <c r="AW29" s="1039"/>
      <c r="AX29" s="1020"/>
    </row>
    <row r="30" spans="1:50" ht="12.6">
      <c r="A30" s="1024"/>
      <c r="B30" s="1024"/>
      <c r="C30" s="178"/>
      <c r="D30" s="1027"/>
      <c r="E30" s="243"/>
      <c r="F30" s="235"/>
      <c r="G30" s="235"/>
      <c r="H30" s="235"/>
      <c r="I30" s="235"/>
      <c r="J30" s="100"/>
      <c r="K30" s="1521" t="str">
        <f t="shared" si="1"/>
        <v>13th EQUITY PAYMENT</v>
      </c>
      <c r="L30" s="1521"/>
      <c r="M30" s="1035">
        <f t="shared" si="2"/>
        <v>46300</v>
      </c>
      <c r="N30" s="1469">
        <f>IF(E29&gt;12,F29,0)</f>
        <v>14995.566462469267</v>
      </c>
      <c r="O30" s="1469"/>
      <c r="P30" s="1666"/>
      <c r="Q30" s="1657"/>
      <c r="R30" s="1020"/>
      <c r="S30" s="1020"/>
      <c r="T30" s="1405" t="s">
        <v>1110</v>
      </c>
      <c r="U30" s="1405"/>
      <c r="V30" s="1020"/>
      <c r="W30" s="1035">
        <f t="shared" si="3"/>
        <v>46300</v>
      </c>
      <c r="X30" s="1020"/>
      <c r="Y30" s="1020"/>
      <c r="Z30" s="1020"/>
      <c r="AA30" s="1020"/>
      <c r="AB30" s="1020"/>
      <c r="AC30" s="1020"/>
      <c r="AD30" s="1020"/>
      <c r="AE30" s="1020"/>
      <c r="AF30" s="1020"/>
      <c r="AG30" s="1020"/>
      <c r="AH30" s="1020"/>
      <c r="AI30" s="1020"/>
      <c r="AJ30" s="1038"/>
      <c r="AK30" s="1020"/>
      <c r="AL30" s="1020"/>
      <c r="AM30" s="1020"/>
      <c r="AN30" s="1020"/>
      <c r="AO30" s="1020"/>
      <c r="AP30" s="1020"/>
      <c r="AQ30" s="1020"/>
      <c r="AR30" s="1020"/>
      <c r="AS30" s="1020"/>
      <c r="AT30" s="1020"/>
      <c r="AU30" s="1020"/>
      <c r="AV30" s="1020"/>
      <c r="AW30" s="1039"/>
      <c r="AX30" s="1020"/>
    </row>
    <row r="31" spans="1:50" ht="12.6">
      <c r="A31" s="1024"/>
      <c r="B31" s="129" t="s">
        <v>1109</v>
      </c>
      <c r="C31" s="129"/>
      <c r="D31" s="142" t="s">
        <v>1015</v>
      </c>
      <c r="E31" s="241">
        <f>100%-E24</f>
        <v>0.875</v>
      </c>
      <c r="F31" s="1399">
        <f>F22*E31</f>
        <v>4067624.9898515767</v>
      </c>
      <c r="G31" s="1400"/>
      <c r="H31" s="1400"/>
      <c r="I31" s="1401"/>
      <c r="J31" s="100"/>
      <c r="K31" s="1521" t="str">
        <f t="shared" si="1"/>
        <v>14th EQUITY PAYMENT</v>
      </c>
      <c r="L31" s="1521"/>
      <c r="M31" s="1035">
        <f t="shared" si="2"/>
        <v>46331</v>
      </c>
      <c r="N31" s="1469">
        <f>IF(E29&gt;13,F29,0)</f>
        <v>14995.566462469267</v>
      </c>
      <c r="O31" s="1469"/>
      <c r="P31" s="1666"/>
      <c r="Q31" s="1657"/>
      <c r="R31" s="1020"/>
      <c r="S31" s="1020"/>
      <c r="T31" s="1405" t="s">
        <v>1111</v>
      </c>
      <c r="U31" s="1405"/>
      <c r="V31" s="1020"/>
      <c r="W31" s="1035">
        <f t="shared" si="3"/>
        <v>46331</v>
      </c>
      <c r="X31" s="1020"/>
      <c r="Y31" s="1020"/>
      <c r="Z31" s="1020"/>
      <c r="AA31" s="1020"/>
      <c r="AB31" s="1020"/>
      <c r="AC31" s="1020"/>
      <c r="AD31" s="1020"/>
      <c r="AE31" s="1020"/>
      <c r="AF31" s="1020"/>
      <c r="AG31" s="1020"/>
      <c r="AH31" s="1020"/>
      <c r="AI31" s="1020"/>
      <c r="AJ31" s="1038"/>
      <c r="AK31" s="1020"/>
      <c r="AL31" s="1020"/>
      <c r="AM31" s="1020"/>
      <c r="AN31" s="1020"/>
      <c r="AO31" s="1020"/>
      <c r="AP31" s="1020"/>
      <c r="AQ31" s="1020"/>
      <c r="AR31" s="1020"/>
      <c r="AS31" s="1020"/>
      <c r="AT31" s="1020"/>
      <c r="AU31" s="1020"/>
      <c r="AV31" s="1020"/>
      <c r="AW31" s="1039"/>
      <c r="AX31" s="1020"/>
    </row>
    <row r="32" spans="1:50" ht="12.6">
      <c r="A32" s="1024"/>
      <c r="B32" s="1024"/>
      <c r="C32" s="178"/>
      <c r="D32" s="243"/>
      <c r="E32" s="243"/>
      <c r="F32" s="243"/>
      <c r="G32" s="244"/>
      <c r="H32" s="244"/>
      <c r="I32" s="244"/>
      <c r="J32" s="179"/>
      <c r="K32" s="1521" t="str">
        <f t="shared" si="1"/>
        <v>15th EQUITY PAYMENT</v>
      </c>
      <c r="L32" s="1521"/>
      <c r="M32" s="1035">
        <f t="shared" si="2"/>
        <v>46361</v>
      </c>
      <c r="N32" s="1469">
        <f>IF(E29&gt;14,F29,0)</f>
        <v>14995.566462469267</v>
      </c>
      <c r="O32" s="1469"/>
      <c r="P32" s="1666"/>
      <c r="Q32" s="1657"/>
      <c r="R32" s="1020"/>
      <c r="S32" s="1020"/>
      <c r="T32" s="1405" t="s">
        <v>1113</v>
      </c>
      <c r="U32" s="1405"/>
      <c r="V32" s="1020"/>
      <c r="W32" s="1035">
        <f t="shared" si="3"/>
        <v>46361</v>
      </c>
      <c r="X32" s="1020"/>
      <c r="Y32" s="1020"/>
      <c r="Z32" s="1020"/>
      <c r="AA32" s="1020"/>
      <c r="AB32" s="1020"/>
      <c r="AC32" s="1020"/>
      <c r="AD32" s="1020"/>
      <c r="AE32" s="1020"/>
      <c r="AF32" s="1020"/>
      <c r="AG32" s="1020"/>
      <c r="AH32" s="1020"/>
      <c r="AI32" s="1020"/>
      <c r="AJ32" s="1038"/>
      <c r="AK32" s="1020"/>
      <c r="AL32" s="1020"/>
      <c r="AM32" s="1020"/>
      <c r="AN32" s="1020"/>
      <c r="AO32" s="1020"/>
      <c r="AP32" s="1020"/>
      <c r="AQ32" s="1020"/>
      <c r="AR32" s="1020"/>
      <c r="AS32" s="1020"/>
      <c r="AT32" s="1020"/>
      <c r="AU32" s="1020"/>
      <c r="AV32" s="1020"/>
      <c r="AW32" s="1039"/>
      <c r="AX32" s="1020"/>
    </row>
    <row r="33" spans="1:50" ht="12.6">
      <c r="A33" s="1024"/>
      <c r="B33" s="101" t="s">
        <v>1112</v>
      </c>
      <c r="C33" s="238"/>
      <c r="D33" s="245"/>
      <c r="E33" s="1057"/>
      <c r="F33" s="243"/>
      <c r="G33" s="244"/>
      <c r="H33" s="244"/>
      <c r="I33" s="244"/>
      <c r="J33" s="142"/>
      <c r="K33" s="1521" t="str">
        <f t="shared" si="1"/>
        <v>16th EQUITY PAYMENT</v>
      </c>
      <c r="L33" s="1521"/>
      <c r="M33" s="1035">
        <f t="shared" si="2"/>
        <v>46392</v>
      </c>
      <c r="N33" s="1469">
        <f>IF(E29&gt;15,F29,0)</f>
        <v>14995.566462469267</v>
      </c>
      <c r="O33" s="1469"/>
      <c r="P33" s="1666"/>
      <c r="Q33" s="1657"/>
      <c r="R33" s="1020"/>
      <c r="S33" s="1020"/>
      <c r="T33" s="1405" t="s">
        <v>1114</v>
      </c>
      <c r="U33" s="1405"/>
      <c r="V33" s="1020"/>
      <c r="W33" s="1035">
        <f t="shared" si="3"/>
        <v>46392</v>
      </c>
      <c r="X33" s="1020"/>
      <c r="Y33" s="1020"/>
      <c r="Z33" s="1020"/>
      <c r="AA33" s="1020"/>
      <c r="AB33" s="1020"/>
      <c r="AC33" s="1020"/>
      <c r="AD33" s="1020"/>
      <c r="AE33" s="1020"/>
      <c r="AF33" s="1020"/>
      <c r="AG33" s="1020"/>
      <c r="AH33" s="1020"/>
      <c r="AI33" s="1020"/>
      <c r="AJ33" s="1038"/>
      <c r="AK33" s="1020"/>
      <c r="AL33" s="1020"/>
      <c r="AM33" s="1020"/>
      <c r="AN33" s="1020"/>
      <c r="AO33" s="1020"/>
      <c r="AP33" s="1020"/>
      <c r="AQ33" s="1020"/>
      <c r="AR33" s="1020"/>
      <c r="AS33" s="1020"/>
      <c r="AT33" s="1020"/>
      <c r="AU33" s="1020"/>
      <c r="AV33" s="1020"/>
      <c r="AW33" s="1039"/>
      <c r="AX33" s="1020"/>
    </row>
    <row r="34" spans="1:50" ht="12.6">
      <c r="A34" s="1024"/>
      <c r="B34" s="1024"/>
      <c r="C34" s="178"/>
      <c r="D34" s="178"/>
      <c r="E34" s="1058"/>
      <c r="F34" s="1059"/>
      <c r="G34" s="1059"/>
      <c r="H34" s="1059"/>
      <c r="I34" s="1059"/>
      <c r="J34" s="178"/>
      <c r="K34" s="1521" t="str">
        <f t="shared" si="1"/>
        <v>17th EQUITY PAYMENT</v>
      </c>
      <c r="L34" s="1521"/>
      <c r="M34" s="1035">
        <f t="shared" si="2"/>
        <v>46423</v>
      </c>
      <c r="N34" s="1469">
        <f>IF(E29&gt;16,F29,0)</f>
        <v>14995.566462469267</v>
      </c>
      <c r="O34" s="1469"/>
      <c r="P34" s="1666"/>
      <c r="Q34" s="1657"/>
      <c r="R34" s="1020"/>
      <c r="S34" s="1020"/>
      <c r="T34" s="1405" t="s">
        <v>1117</v>
      </c>
      <c r="U34" s="1405"/>
      <c r="V34" s="1020"/>
      <c r="W34" s="1035">
        <f t="shared" si="3"/>
        <v>46423</v>
      </c>
      <c r="X34" s="1020"/>
      <c r="Y34" s="1020"/>
      <c r="Z34" s="1020"/>
      <c r="AA34" s="1020"/>
      <c r="AB34" s="1020"/>
      <c r="AC34" s="1020"/>
      <c r="AD34" s="1020"/>
      <c r="AE34" s="1020"/>
      <c r="AF34" s="1020"/>
      <c r="AG34" s="1020"/>
      <c r="AH34" s="1020"/>
      <c r="AI34" s="1020"/>
      <c r="AJ34" s="1038"/>
      <c r="AK34" s="1020"/>
      <c r="AL34" s="1020"/>
      <c r="AM34" s="1020"/>
      <c r="AN34" s="1020"/>
      <c r="AO34" s="1020"/>
      <c r="AP34" s="1020"/>
      <c r="AQ34" s="1020"/>
      <c r="AR34" s="1020"/>
      <c r="AS34" s="1020"/>
      <c r="AT34" s="1020"/>
      <c r="AU34" s="1020"/>
      <c r="AV34" s="1020"/>
      <c r="AW34" s="1039"/>
      <c r="AX34" s="1020"/>
    </row>
    <row r="35" spans="1:50" ht="12.6">
      <c r="A35" s="1024"/>
      <c r="B35" s="208" t="s">
        <v>53</v>
      </c>
      <c r="C35" s="208" t="s">
        <v>54</v>
      </c>
      <c r="D35" s="208" t="s">
        <v>55</v>
      </c>
      <c r="E35" s="208" t="s">
        <v>1115</v>
      </c>
      <c r="F35" s="1402" t="s">
        <v>1116</v>
      </c>
      <c r="G35" s="1402"/>
      <c r="H35" s="1402"/>
      <c r="I35" s="1402"/>
      <c r="J35" s="100"/>
      <c r="K35" s="1521" t="str">
        <f t="shared" si="1"/>
        <v>18th EQUITY PAYMENT</v>
      </c>
      <c r="L35" s="1521"/>
      <c r="M35" s="1035">
        <f t="shared" si="2"/>
        <v>46451</v>
      </c>
      <c r="N35" s="1469">
        <f>IF(E29&gt;17,F29,0)</f>
        <v>14995.566462469267</v>
      </c>
      <c r="O35" s="1469"/>
      <c r="P35" s="1666"/>
      <c r="Q35" s="1657"/>
      <c r="R35" s="1020"/>
      <c r="S35" s="1020"/>
      <c r="T35" s="1405" t="s">
        <v>1118</v>
      </c>
      <c r="U35" s="1405"/>
      <c r="V35" s="1020"/>
      <c r="W35" s="1035">
        <f t="shared" si="3"/>
        <v>46451</v>
      </c>
      <c r="X35" s="1020"/>
      <c r="Y35" s="1020"/>
      <c r="Z35" s="1020"/>
      <c r="AA35" s="1020"/>
      <c r="AB35" s="1020"/>
      <c r="AC35" s="1020"/>
      <c r="AD35" s="1020"/>
      <c r="AE35" s="1020"/>
      <c r="AF35" s="1020"/>
      <c r="AG35" s="1020"/>
      <c r="AH35" s="1020"/>
      <c r="AI35" s="1020"/>
      <c r="AJ35" s="1038"/>
      <c r="AK35" s="1020"/>
      <c r="AL35" s="1020"/>
      <c r="AM35" s="1020"/>
      <c r="AN35" s="1020"/>
      <c r="AO35" s="1020"/>
      <c r="AP35" s="1020"/>
      <c r="AQ35" s="1020"/>
      <c r="AR35" s="1020"/>
      <c r="AS35" s="1020"/>
      <c r="AT35" s="1020"/>
      <c r="AU35" s="1020"/>
      <c r="AV35" s="1020"/>
      <c r="AW35" s="1039"/>
      <c r="AX35" s="1020"/>
    </row>
    <row r="36" spans="1:50" ht="12.6">
      <c r="A36" s="1024"/>
      <c r="B36" s="246">
        <v>5</v>
      </c>
      <c r="C36" s="437">
        <f>'STANDARD COMP.'!C35</f>
        <v>7.0000000000000007E-2</v>
      </c>
      <c r="D36" s="248">
        <f>PMT(C36/12,B36*12,-1)</f>
        <v>1.9801198540349535E-2</v>
      </c>
      <c r="E36" s="1060">
        <f>F31*D36</f>
        <v>80543.850011738337</v>
      </c>
      <c r="F36" s="1403">
        <f>E36/0.33</f>
        <v>244072.27276284344</v>
      </c>
      <c r="G36" s="1403"/>
      <c r="H36" s="1403"/>
      <c r="I36" s="1403"/>
      <c r="J36" s="100"/>
      <c r="K36" s="1521" t="str">
        <f t="shared" si="1"/>
        <v>19th EQUITY PAYMENT</v>
      </c>
      <c r="L36" s="1521"/>
      <c r="M36" s="1035">
        <f t="shared" si="2"/>
        <v>46482</v>
      </c>
      <c r="N36" s="1469">
        <f>IF(E29&gt;18,F29,0)</f>
        <v>14995.566462469267</v>
      </c>
      <c r="O36" s="1469"/>
      <c r="P36" s="1666"/>
      <c r="Q36" s="1657"/>
      <c r="R36" s="1020"/>
      <c r="S36" s="1020"/>
      <c r="T36" s="1405" t="s">
        <v>1119</v>
      </c>
      <c r="U36" s="1405"/>
      <c r="V36" s="1020"/>
      <c r="W36" s="1035">
        <f t="shared" si="3"/>
        <v>46482</v>
      </c>
      <c r="X36" s="1020"/>
      <c r="Y36" s="1020"/>
      <c r="Z36" s="1020"/>
      <c r="AA36" s="1020"/>
      <c r="AB36" s="1020"/>
      <c r="AC36" s="1020"/>
      <c r="AD36" s="1020"/>
      <c r="AE36" s="1020"/>
      <c r="AF36" s="1020"/>
      <c r="AG36" s="1020"/>
      <c r="AH36" s="1020"/>
      <c r="AI36" s="1020"/>
      <c r="AJ36" s="1038"/>
      <c r="AK36" s="1020"/>
      <c r="AL36" s="1020"/>
      <c r="AM36" s="1020"/>
      <c r="AN36" s="1020"/>
      <c r="AO36" s="1020"/>
      <c r="AP36" s="1020"/>
      <c r="AQ36" s="1020"/>
      <c r="AR36" s="1020"/>
      <c r="AS36" s="1020"/>
      <c r="AT36" s="1020"/>
      <c r="AU36" s="1020"/>
      <c r="AV36" s="1020"/>
      <c r="AW36" s="1039"/>
      <c r="AX36" s="1020"/>
    </row>
    <row r="37" spans="1:50" ht="12.6">
      <c r="A37" s="1024"/>
      <c r="B37" s="246">
        <v>10</v>
      </c>
      <c r="C37" s="437">
        <f>'STANDARD COMP.'!C36</f>
        <v>7.0000000000000007E-2</v>
      </c>
      <c r="D37" s="248">
        <f>PMT(C37/12,B37*12,-1)</f>
        <v>1.1610847921862406E-2</v>
      </c>
      <c r="E37" s="1060">
        <f>F31*D37</f>
        <v>47228.57516033377</v>
      </c>
      <c r="F37" s="1403">
        <f>E37/0.33</f>
        <v>143116.89442525385</v>
      </c>
      <c r="G37" s="1403"/>
      <c r="H37" s="1403"/>
      <c r="I37" s="1403"/>
      <c r="J37" s="100"/>
      <c r="K37" s="1521" t="str">
        <f t="shared" si="1"/>
        <v>20th EQUITY PAYMENT</v>
      </c>
      <c r="L37" s="1521"/>
      <c r="M37" s="1035">
        <f t="shared" si="2"/>
        <v>46512</v>
      </c>
      <c r="N37" s="1469">
        <f>IF(E29&gt;19,F29,0)</f>
        <v>14995.566462469267</v>
      </c>
      <c r="O37" s="1469"/>
      <c r="P37" s="1666"/>
      <c r="Q37" s="1657"/>
      <c r="R37" s="1020"/>
      <c r="S37" s="1020"/>
      <c r="T37" s="1405" t="s">
        <v>1120</v>
      </c>
      <c r="U37" s="1405"/>
      <c r="V37" s="1020"/>
      <c r="W37" s="1035">
        <f t="shared" si="3"/>
        <v>46512</v>
      </c>
      <c r="X37" s="1020"/>
      <c r="Y37" s="1020"/>
      <c r="Z37" s="1020"/>
      <c r="AA37" s="1020"/>
      <c r="AB37" s="1020"/>
      <c r="AC37" s="1020"/>
      <c r="AD37" s="1020"/>
      <c r="AE37" s="1020"/>
      <c r="AF37" s="1020"/>
      <c r="AG37" s="1020"/>
      <c r="AH37" s="1020"/>
      <c r="AI37" s="1020"/>
      <c r="AJ37" s="1038"/>
      <c r="AK37" s="1020"/>
      <c r="AL37" s="1020"/>
      <c r="AM37" s="1020"/>
      <c r="AN37" s="1020"/>
      <c r="AO37" s="1020"/>
      <c r="AP37" s="1020"/>
      <c r="AQ37" s="1020"/>
      <c r="AR37" s="1020"/>
      <c r="AS37" s="1020"/>
      <c r="AT37" s="1020"/>
      <c r="AU37" s="1020"/>
      <c r="AV37" s="1020"/>
      <c r="AW37" s="1039"/>
      <c r="AX37" s="1020"/>
    </row>
    <row r="38" spans="1:50" ht="12.6">
      <c r="A38" s="1024"/>
      <c r="B38" s="246">
        <v>15</v>
      </c>
      <c r="C38" s="437">
        <f>'STANDARD COMP.'!C37</f>
        <v>7.0000000000000007E-2</v>
      </c>
      <c r="D38" s="248">
        <f t="shared" ref="D38:D39" si="4">PMT(C38/12,B38*12,-1)</f>
        <v>8.988282708524269E-3</v>
      </c>
      <c r="E38" s="1060">
        <f>F31*D38</f>
        <v>36560.963361044131</v>
      </c>
      <c r="F38" s="1403">
        <f>E38/0.33</f>
        <v>110790.79806377008</v>
      </c>
      <c r="G38" s="1403"/>
      <c r="H38" s="1403"/>
      <c r="I38" s="1403"/>
      <c r="J38" s="100"/>
      <c r="K38" s="1521" t="str">
        <f t="shared" si="1"/>
        <v>21st EQUITY PAYMENT</v>
      </c>
      <c r="L38" s="1521"/>
      <c r="M38" s="1035">
        <f t="shared" si="2"/>
        <v>46543</v>
      </c>
      <c r="N38" s="1469">
        <f>N37</f>
        <v>14995.566462469267</v>
      </c>
      <c r="O38" s="1469"/>
      <c r="P38" s="1666"/>
      <c r="Q38" s="1657"/>
      <c r="R38" s="1020"/>
      <c r="S38" s="1020"/>
      <c r="T38" s="1405" t="s">
        <v>1121</v>
      </c>
      <c r="U38" s="1405"/>
      <c r="V38" s="1020"/>
      <c r="W38" s="1035">
        <f t="shared" si="3"/>
        <v>46543</v>
      </c>
      <c r="X38" s="1020"/>
      <c r="Y38" s="1020"/>
      <c r="Z38" s="1020"/>
      <c r="AA38" s="1020"/>
      <c r="AB38" s="1020"/>
      <c r="AC38" s="1020"/>
      <c r="AD38" s="1020"/>
      <c r="AE38" s="1020"/>
      <c r="AF38" s="1020"/>
      <c r="AG38" s="1020"/>
      <c r="AH38" s="1020"/>
      <c r="AI38" s="1020"/>
      <c r="AJ38" s="1038"/>
      <c r="AK38" s="1020"/>
      <c r="AL38" s="1020"/>
      <c r="AM38" s="1020"/>
      <c r="AN38" s="1020"/>
      <c r="AO38" s="1020"/>
      <c r="AP38" s="1020"/>
      <c r="AQ38" s="1020"/>
      <c r="AR38" s="1020"/>
      <c r="AS38" s="1020"/>
      <c r="AT38" s="1020"/>
      <c r="AU38" s="1020"/>
      <c r="AV38" s="1020"/>
      <c r="AW38" s="1039"/>
      <c r="AX38" s="1020"/>
    </row>
    <row r="39" spans="1:50" ht="12.6">
      <c r="A39" s="1024"/>
      <c r="B39" s="246">
        <v>20</v>
      </c>
      <c r="C39" s="437">
        <f>'STANDARD COMP.'!C38</f>
        <v>7.0000000000000007E-2</v>
      </c>
      <c r="D39" s="248">
        <f t="shared" si="4"/>
        <v>7.7529893561887461E-3</v>
      </c>
      <c r="E39" s="1060">
        <f>F31*D39</f>
        <v>31536.253251286631</v>
      </c>
      <c r="F39" s="1403">
        <f>E39/0.33</f>
        <v>95564.403791777659</v>
      </c>
      <c r="G39" s="1403"/>
      <c r="H39" s="1403"/>
      <c r="I39" s="1403"/>
      <c r="J39" s="100"/>
      <c r="K39" s="1521" t="str">
        <f t="shared" si="1"/>
        <v>22nd EQUITY PAYMENT</v>
      </c>
      <c r="L39" s="1521"/>
      <c r="M39" s="1035">
        <f t="shared" si="2"/>
        <v>46573</v>
      </c>
      <c r="N39" s="1469">
        <f>IF(E29&gt;21,F29,0)</f>
        <v>14995.566462469267</v>
      </c>
      <c r="O39" s="1469"/>
      <c r="P39" s="1666"/>
      <c r="Q39" s="1657"/>
      <c r="R39" s="1020"/>
      <c r="S39" s="1020"/>
      <c r="T39" s="1405" t="s">
        <v>1123</v>
      </c>
      <c r="U39" s="1405"/>
      <c r="V39" s="1020"/>
      <c r="W39" s="1035">
        <f t="shared" si="3"/>
        <v>46573</v>
      </c>
      <c r="X39" s="1020"/>
      <c r="Y39" s="1020"/>
      <c r="Z39" s="1020"/>
      <c r="AA39" s="1020"/>
      <c r="AB39" s="1020"/>
      <c r="AC39" s="1020"/>
      <c r="AD39" s="1020"/>
      <c r="AE39" s="1020"/>
      <c r="AF39" s="1020"/>
      <c r="AG39" s="1020"/>
      <c r="AH39" s="1020"/>
      <c r="AI39" s="1020"/>
      <c r="AJ39" s="1038"/>
      <c r="AK39" s="1020"/>
      <c r="AL39" s="1020"/>
      <c r="AM39" s="1020"/>
      <c r="AN39" s="1020"/>
      <c r="AO39" s="1020"/>
      <c r="AP39" s="1020"/>
      <c r="AQ39" s="1020"/>
      <c r="AR39" s="1020"/>
      <c r="AS39" s="1020"/>
      <c r="AT39" s="1020"/>
      <c r="AU39" s="1020"/>
      <c r="AV39" s="1020"/>
      <c r="AW39" s="1039"/>
      <c r="AX39" s="1020"/>
    </row>
    <row r="40" spans="1:50" ht="12.6">
      <c r="A40" s="1024"/>
      <c r="B40" s="565" t="str">
        <f>'STANDARD COMP.'!B39</f>
        <v>Fixed for three (3) years</v>
      </c>
      <c r="C40" s="172"/>
      <c r="D40" s="173"/>
      <c r="E40" s="1063"/>
      <c r="F40" s="1665"/>
      <c r="G40" s="1665"/>
      <c r="H40" s="1064"/>
      <c r="I40" s="1024"/>
      <c r="J40" s="100"/>
      <c r="K40" s="1521" t="str">
        <f t="shared" si="1"/>
        <v>23rd EQUITY PAYMENT</v>
      </c>
      <c r="L40" s="1521"/>
      <c r="M40" s="1035">
        <f t="shared" si="2"/>
        <v>46604</v>
      </c>
      <c r="N40" s="1469">
        <f>IF(E29&gt;22,F29,0)</f>
        <v>14995.566462469267</v>
      </c>
      <c r="O40" s="1469"/>
      <c r="P40" s="1666"/>
      <c r="Q40" s="1657"/>
      <c r="R40" s="1020"/>
      <c r="S40" s="1020"/>
      <c r="T40" s="1405" t="s">
        <v>1125</v>
      </c>
      <c r="U40" s="1405"/>
      <c r="V40" s="1020"/>
      <c r="W40" s="1035">
        <f t="shared" si="3"/>
        <v>46604</v>
      </c>
      <c r="X40" s="1020"/>
      <c r="Y40" s="1020"/>
      <c r="Z40" s="1020"/>
      <c r="AA40" s="1020"/>
      <c r="AB40" s="1020"/>
      <c r="AC40" s="1020"/>
      <c r="AD40" s="1020"/>
      <c r="AE40" s="1020"/>
      <c r="AF40" s="1020"/>
      <c r="AG40" s="1020"/>
      <c r="AH40" s="1020"/>
      <c r="AI40" s="1020"/>
      <c r="AJ40" s="1038"/>
      <c r="AK40" s="1020"/>
      <c r="AL40" s="1020"/>
      <c r="AM40" s="1020"/>
      <c r="AN40" s="1061">
        <v>3128865.99</v>
      </c>
      <c r="AO40" s="1020"/>
      <c r="AP40" s="1020"/>
      <c r="AQ40" s="1020"/>
      <c r="AR40" s="1020"/>
      <c r="AS40" s="1020"/>
      <c r="AT40" s="1020"/>
      <c r="AU40" s="1020"/>
      <c r="AV40" s="1020"/>
      <c r="AW40" s="1039"/>
      <c r="AX40" s="1020"/>
    </row>
    <row r="41" spans="1:50" ht="12.6">
      <c r="A41" s="1024"/>
      <c r="B41" s="565" t="str">
        <f>'STANDARD COMP.'!B40</f>
        <v>Sample Computation for Interest rate is at 7% fixed for three (3) years only</v>
      </c>
      <c r="C41" s="249"/>
      <c r="D41" s="1027"/>
      <c r="E41" s="1024"/>
      <c r="F41" s="1024"/>
      <c r="G41" s="1024"/>
      <c r="H41" s="1024"/>
      <c r="I41" s="1024"/>
      <c r="J41" s="100"/>
      <c r="K41" s="1521" t="str">
        <f t="shared" si="1"/>
        <v>24th EQUITY PAYMENT</v>
      </c>
      <c r="L41" s="1521"/>
      <c r="M41" s="1035">
        <f t="shared" si="2"/>
        <v>46635</v>
      </c>
      <c r="N41" s="1469">
        <f>IF(E29&gt;24,F29,0)</f>
        <v>14995.566462469267</v>
      </c>
      <c r="O41" s="1469"/>
      <c r="P41" s="1666"/>
      <c r="Q41" s="1657"/>
      <c r="R41" s="1020"/>
      <c r="S41" s="1020"/>
      <c r="T41" s="1405" t="s">
        <v>1127</v>
      </c>
      <c r="U41" s="1405"/>
      <c r="V41" s="1020"/>
      <c r="W41" s="1035">
        <f t="shared" si="3"/>
        <v>46635</v>
      </c>
      <c r="X41" s="1020"/>
      <c r="Y41" s="1020"/>
      <c r="Z41" s="1020"/>
      <c r="AA41" s="1020"/>
      <c r="AB41" s="1020"/>
      <c r="AC41" s="1020"/>
      <c r="AD41" s="1020"/>
      <c r="AE41" s="1020"/>
      <c r="AF41" s="1020"/>
      <c r="AG41" s="1020"/>
      <c r="AH41" s="1020"/>
      <c r="AI41" s="1020"/>
      <c r="AJ41" s="1038"/>
      <c r="AK41" s="1020"/>
      <c r="AL41" s="1020"/>
      <c r="AM41" s="1020"/>
      <c r="AN41" s="1020"/>
      <c r="AO41" s="1020"/>
      <c r="AP41" s="1020"/>
      <c r="AQ41" s="1020"/>
      <c r="AR41" s="1020"/>
      <c r="AS41" s="1020"/>
      <c r="AT41" s="1020"/>
      <c r="AU41" s="1020"/>
      <c r="AV41" s="1020"/>
      <c r="AW41" s="1039"/>
      <c r="AX41" s="1020"/>
    </row>
    <row r="42" spans="1:50" ht="12.6">
      <c r="A42" s="1024"/>
      <c r="B42" s="451" t="s">
        <v>1126</v>
      </c>
      <c r="C42" s="1024"/>
      <c r="D42" s="1027"/>
      <c r="E42" s="1024"/>
      <c r="F42" s="1024"/>
      <c r="G42" s="1024"/>
      <c r="H42" s="1024"/>
      <c r="I42" s="1024"/>
      <c r="J42" s="142"/>
      <c r="K42" s="1521" t="str">
        <f t="shared" si="1"/>
        <v>25th EQUITY PAYMENT</v>
      </c>
      <c r="L42" s="1521"/>
      <c r="M42" s="1035">
        <f t="shared" si="2"/>
        <v>46665</v>
      </c>
      <c r="N42" s="1469">
        <f>IF(E29&gt;24,F29,0)</f>
        <v>14995.566462469267</v>
      </c>
      <c r="O42" s="1469"/>
      <c r="P42" s="1666"/>
      <c r="Q42" s="1657"/>
      <c r="R42" s="1020"/>
      <c r="S42" s="1020"/>
      <c r="T42" s="1405" t="s">
        <v>1129</v>
      </c>
      <c r="U42" s="1405"/>
      <c r="V42" s="1020"/>
      <c r="W42" s="1035">
        <f t="shared" si="3"/>
        <v>46665</v>
      </c>
      <c r="X42" s="1020"/>
      <c r="Y42" s="1020"/>
      <c r="Z42" s="1020"/>
      <c r="AA42" s="1020"/>
      <c r="AB42" s="1020"/>
      <c r="AC42" s="1020"/>
      <c r="AD42" s="1020"/>
      <c r="AE42" s="1020"/>
      <c r="AF42" s="1020"/>
      <c r="AG42" s="1020"/>
      <c r="AH42" s="1020"/>
      <c r="AI42" s="1020"/>
      <c r="AJ42" s="1038"/>
      <c r="AK42" s="1020"/>
      <c r="AL42" s="1020"/>
      <c r="AM42" s="1020"/>
      <c r="AN42" s="1020"/>
      <c r="AO42" s="1020"/>
      <c r="AP42" s="1020"/>
      <c r="AQ42" s="1020"/>
      <c r="AR42" s="1020"/>
      <c r="AS42" s="1020"/>
      <c r="AT42" s="1020"/>
      <c r="AU42" s="1020"/>
      <c r="AV42" s="1020"/>
      <c r="AW42" s="1039"/>
      <c r="AX42" s="1020"/>
    </row>
    <row r="43" spans="1:50" ht="12.6">
      <c r="A43" s="1024"/>
      <c r="B43" s="451" t="s">
        <v>1128</v>
      </c>
      <c r="C43" s="249"/>
      <c r="D43" s="1027"/>
      <c r="E43" s="1024"/>
      <c r="F43" s="1024"/>
      <c r="G43" s="1024"/>
      <c r="H43" s="1024"/>
      <c r="I43" s="1024"/>
      <c r="J43" s="1027"/>
      <c r="K43" s="1521" t="str">
        <f t="shared" si="1"/>
        <v>26th EQUITY PAYMENT</v>
      </c>
      <c r="L43" s="1521"/>
      <c r="M43" s="1035">
        <f t="shared" si="2"/>
        <v>46696</v>
      </c>
      <c r="N43" s="1469">
        <f>IF(E29&gt;25,F29,0)</f>
        <v>14995.566462469267</v>
      </c>
      <c r="O43" s="1469"/>
      <c r="P43" s="1666"/>
      <c r="Q43" s="1657"/>
      <c r="R43" s="1020"/>
      <c r="S43" s="1020"/>
      <c r="T43" s="1405" t="s">
        <v>1130</v>
      </c>
      <c r="U43" s="1405"/>
      <c r="V43" s="1020"/>
      <c r="W43" s="1035">
        <f t="shared" si="3"/>
        <v>46696</v>
      </c>
      <c r="X43" s="1020"/>
      <c r="Y43" s="1020"/>
      <c r="Z43" s="1020"/>
      <c r="AA43" s="1020"/>
      <c r="AB43" s="1020"/>
      <c r="AC43" s="1020"/>
      <c r="AD43" s="1020"/>
      <c r="AE43" s="1020"/>
      <c r="AF43" s="1020"/>
      <c r="AG43" s="1020"/>
      <c r="AH43" s="1020"/>
      <c r="AI43" s="1020"/>
      <c r="AJ43" s="1038"/>
      <c r="AK43" s="1020"/>
      <c r="AL43" s="1020"/>
      <c r="AM43" s="1020"/>
      <c r="AN43" s="1020"/>
      <c r="AO43" s="1020"/>
      <c r="AP43" s="1020"/>
      <c r="AQ43" s="1020"/>
      <c r="AR43" s="1020"/>
      <c r="AS43" s="1020"/>
      <c r="AT43" s="1020"/>
      <c r="AU43" s="1020"/>
      <c r="AV43" s="1020"/>
      <c r="AW43" s="1039"/>
      <c r="AX43" s="1020"/>
    </row>
    <row r="44" spans="1:50" ht="12.6">
      <c r="A44" s="1024"/>
      <c r="B44" s="310"/>
      <c r="C44" s="309"/>
      <c r="D44" s="409"/>
      <c r="E44" s="22"/>
      <c r="F44" s="22"/>
      <c r="G44" s="22"/>
      <c r="H44" s="22"/>
      <c r="I44" s="22"/>
      <c r="J44" s="1027"/>
      <c r="K44" s="1521" t="str">
        <f t="shared" si="1"/>
        <v>27th EQUITY PAYMENT</v>
      </c>
      <c r="L44" s="1521"/>
      <c r="M44" s="1035">
        <f t="shared" si="2"/>
        <v>46726</v>
      </c>
      <c r="N44" s="1469">
        <f>IF(E29&gt;26,F29,0)</f>
        <v>14995.566462469267</v>
      </c>
      <c r="O44" s="1469"/>
      <c r="P44" s="1666"/>
      <c r="Q44" s="1657"/>
      <c r="R44" s="1020"/>
      <c r="S44" s="1020"/>
      <c r="T44" s="1405" t="s">
        <v>1132</v>
      </c>
      <c r="U44" s="1405"/>
      <c r="V44" s="1020"/>
      <c r="W44" s="1035">
        <f t="shared" si="3"/>
        <v>46726</v>
      </c>
      <c r="X44" s="1020"/>
      <c r="Y44" s="1020"/>
      <c r="Z44" s="1020"/>
      <c r="AA44" s="1020"/>
      <c r="AB44" s="1020"/>
      <c r="AC44" s="1020"/>
      <c r="AD44" s="1020"/>
      <c r="AE44" s="1020"/>
      <c r="AF44" s="1020"/>
      <c r="AG44" s="1020"/>
      <c r="AH44" s="1020"/>
      <c r="AI44" s="1020"/>
      <c r="AJ44" s="1038"/>
      <c r="AK44" s="1020"/>
      <c r="AL44" s="1020"/>
      <c r="AM44" s="1020"/>
      <c r="AN44" s="1020"/>
      <c r="AO44" s="1020"/>
      <c r="AP44" s="1020"/>
      <c r="AQ44" s="1020"/>
      <c r="AR44" s="1020"/>
      <c r="AS44" s="1020"/>
      <c r="AT44" s="1020"/>
      <c r="AU44" s="1020"/>
      <c r="AV44" s="1020"/>
      <c r="AW44" s="1039"/>
      <c r="AX44" s="1020"/>
    </row>
    <row r="45" spans="1:50" ht="12.6">
      <c r="A45" s="1024"/>
      <c r="B45" s="101" t="s">
        <v>1131</v>
      </c>
      <c r="C45" s="238"/>
      <c r="D45" s="245"/>
      <c r="E45" s="1153"/>
      <c r="F45" s="1147"/>
      <c r="G45" s="167"/>
      <c r="H45" s="167"/>
      <c r="I45" s="167"/>
      <c r="J45" s="1027"/>
      <c r="K45" s="1521" t="str">
        <f t="shared" si="1"/>
        <v>28th EQUITY PAYMENT</v>
      </c>
      <c r="L45" s="1521"/>
      <c r="M45" s="1035">
        <f t="shared" si="2"/>
        <v>46757</v>
      </c>
      <c r="N45" s="1469">
        <f>IF($E$29&gt;27,$F$29,0)</f>
        <v>14995.566462469267</v>
      </c>
      <c r="O45" s="1469"/>
      <c r="P45" s="1666"/>
      <c r="Q45" s="1657"/>
      <c r="R45" s="1020"/>
      <c r="S45" s="1020"/>
      <c r="T45" s="1405" t="s">
        <v>1133</v>
      </c>
      <c r="U45" s="1405"/>
      <c r="V45" s="1020"/>
      <c r="W45" s="1035">
        <f t="shared" si="3"/>
        <v>46757</v>
      </c>
      <c r="X45" s="1020"/>
      <c r="Y45" s="1020"/>
      <c r="Z45" s="1020"/>
      <c r="AA45" s="1020"/>
      <c r="AB45" s="1020"/>
      <c r="AC45" s="1020"/>
      <c r="AD45" s="1020"/>
      <c r="AE45" s="1020"/>
      <c r="AF45" s="1020"/>
      <c r="AG45" s="1020"/>
      <c r="AH45" s="1020"/>
      <c r="AI45" s="1020"/>
      <c r="AJ45" s="1038"/>
      <c r="AK45" s="1020"/>
      <c r="AL45" s="1020"/>
      <c r="AM45" s="1020"/>
      <c r="AN45" s="1020"/>
      <c r="AO45" s="1020"/>
      <c r="AP45" s="1020"/>
      <c r="AQ45" s="1020"/>
      <c r="AR45" s="1020"/>
      <c r="AS45" s="1020"/>
      <c r="AT45" s="1020"/>
      <c r="AU45" s="1020"/>
      <c r="AV45" s="1020"/>
      <c r="AW45" s="1039"/>
      <c r="AX45" s="1020"/>
    </row>
    <row r="46" spans="1:50" ht="12.6">
      <c r="A46" s="1024"/>
      <c r="B46" s="175"/>
      <c r="C46" s="245"/>
      <c r="D46" s="245"/>
      <c r="E46" s="1154"/>
      <c r="F46" s="1155"/>
      <c r="G46" s="465"/>
      <c r="H46" s="465"/>
      <c r="I46" s="465"/>
      <c r="J46" s="1027"/>
      <c r="K46" s="1521" t="str">
        <f t="shared" si="1"/>
        <v>29th EQUITY PAYMENT</v>
      </c>
      <c r="L46" s="1521"/>
      <c r="M46" s="1035">
        <f t="shared" si="2"/>
        <v>46788</v>
      </c>
      <c r="N46" s="1469">
        <f>IF($E$29&gt;28,$F$29,0)</f>
        <v>14995.566462469267</v>
      </c>
      <c r="O46" s="1469"/>
      <c r="P46" s="1666"/>
      <c r="Q46" s="1657"/>
      <c r="R46" s="1020"/>
      <c r="S46" s="1020"/>
      <c r="T46" s="1405" t="s">
        <v>1135</v>
      </c>
      <c r="U46" s="1405"/>
      <c r="V46" s="1020"/>
      <c r="W46" s="1035">
        <f t="shared" si="3"/>
        <v>46788</v>
      </c>
      <c r="X46" s="1020"/>
      <c r="Y46" s="1020"/>
      <c r="Z46" s="1020"/>
      <c r="AA46" s="1020"/>
      <c r="AB46" s="1020"/>
      <c r="AC46" s="1020"/>
      <c r="AD46" s="1020"/>
      <c r="AE46" s="1020"/>
      <c r="AF46" s="1020"/>
      <c r="AG46" s="1020"/>
      <c r="AH46" s="1020"/>
      <c r="AI46" s="1020"/>
      <c r="AJ46" s="1020"/>
      <c r="AK46" s="1020"/>
      <c r="AL46" s="1020"/>
      <c r="AM46" s="1020"/>
      <c r="AN46" s="1020"/>
      <c r="AO46" s="1020"/>
      <c r="AP46" s="1020"/>
      <c r="AQ46" s="1020"/>
      <c r="AR46" s="1020"/>
      <c r="AS46" s="1020"/>
      <c r="AT46" s="1020"/>
      <c r="AU46" s="1020"/>
      <c r="AV46" s="1020"/>
      <c r="AW46" s="1020"/>
      <c r="AX46" s="1020"/>
    </row>
    <row r="47" spans="1:50" ht="12.6">
      <c r="A47" s="1024"/>
      <c r="B47" s="129" t="s">
        <v>1134</v>
      </c>
      <c r="C47" s="129"/>
      <c r="D47" s="142" t="s">
        <v>1015</v>
      </c>
      <c r="E47" s="241">
        <v>0.8</v>
      </c>
      <c r="F47" s="1399">
        <f>E47*F22</f>
        <v>3718971.4192928704</v>
      </c>
      <c r="G47" s="1400"/>
      <c r="H47" s="1400"/>
      <c r="I47" s="1401"/>
      <c r="J47" s="142"/>
      <c r="K47" s="1521">
        <f t="shared" si="1"/>
        <v>0</v>
      </c>
      <c r="L47" s="1521"/>
      <c r="M47" s="1035" t="str">
        <f t="shared" si="2"/>
        <v/>
      </c>
      <c r="N47" s="1469">
        <f>IF($E$29&gt;29,$F$29,0)</f>
        <v>0</v>
      </c>
      <c r="O47" s="1469"/>
      <c r="P47" s="1666"/>
      <c r="Q47" s="1657"/>
      <c r="R47" s="1020"/>
      <c r="S47" s="1020"/>
      <c r="T47" s="1405" t="s">
        <v>1136</v>
      </c>
      <c r="U47" s="1405"/>
      <c r="V47" s="1020"/>
      <c r="W47" s="1035">
        <f t="shared" si="3"/>
        <v>46817</v>
      </c>
      <c r="X47" s="1020"/>
      <c r="Y47" s="1020"/>
      <c r="Z47" s="1020"/>
      <c r="AA47" s="1020"/>
      <c r="AB47" s="1020"/>
      <c r="AC47" s="1020"/>
      <c r="AD47" s="1020"/>
      <c r="AE47" s="1020"/>
      <c r="AF47" s="1020"/>
      <c r="AG47" s="1020"/>
      <c r="AH47" s="1020"/>
      <c r="AI47" s="1020"/>
      <c r="AJ47" s="1020"/>
      <c r="AK47" s="1020"/>
      <c r="AL47" s="1020"/>
      <c r="AM47" s="1020"/>
      <c r="AN47" s="1020"/>
      <c r="AO47" s="1020"/>
      <c r="AP47" s="1020"/>
      <c r="AQ47" s="1020"/>
      <c r="AR47" s="1020"/>
      <c r="AS47" s="1020"/>
      <c r="AT47" s="1020"/>
      <c r="AU47" s="1020"/>
      <c r="AV47" s="1020"/>
      <c r="AW47" s="1020"/>
      <c r="AX47" s="1020"/>
    </row>
    <row r="48" spans="1:50" ht="15" customHeight="1">
      <c r="A48" s="1024"/>
      <c r="B48" s="1024"/>
      <c r="C48" s="178"/>
      <c r="D48" s="178"/>
      <c r="E48" s="1156"/>
      <c r="F48" s="1059"/>
      <c r="G48" s="1059"/>
      <c r="H48" s="1059"/>
      <c r="I48" s="1059"/>
      <c r="J48" s="142"/>
      <c r="K48" s="1521">
        <f t="shared" si="1"/>
        <v>0</v>
      </c>
      <c r="L48" s="1521"/>
      <c r="M48" s="1035" t="str">
        <f t="shared" si="2"/>
        <v/>
      </c>
      <c r="N48" s="1469">
        <f>IF($E$29&gt;30,$F$29,0)</f>
        <v>0</v>
      </c>
      <c r="O48" s="1469"/>
      <c r="P48" s="1666"/>
      <c r="Q48" s="1657"/>
      <c r="R48" s="1020"/>
      <c r="S48" s="1020"/>
      <c r="T48" s="1415" t="s">
        <v>1137</v>
      </c>
      <c r="U48" s="1415"/>
      <c r="V48" s="1020"/>
      <c r="W48" s="1035">
        <f t="shared" si="3"/>
        <v>46848</v>
      </c>
      <c r="X48" s="1020"/>
      <c r="Y48" s="1020"/>
      <c r="Z48" s="1020"/>
      <c r="AA48" s="1020"/>
      <c r="AB48" s="1020"/>
      <c r="AC48" s="1020"/>
      <c r="AD48" s="1020"/>
      <c r="AE48" s="1020"/>
      <c r="AF48" s="1020"/>
      <c r="AG48" s="1020"/>
      <c r="AH48" s="1020"/>
      <c r="AI48" s="1020"/>
      <c r="AJ48" s="1020"/>
      <c r="AK48" s="1020"/>
      <c r="AL48" s="1020"/>
      <c r="AM48" s="1020"/>
      <c r="AN48" s="1020"/>
      <c r="AO48" s="1020"/>
      <c r="AP48" s="1020"/>
      <c r="AQ48" s="1020"/>
      <c r="AR48" s="1020"/>
      <c r="AS48" s="1020"/>
      <c r="AT48" s="1020"/>
      <c r="AU48" s="1020"/>
      <c r="AV48" s="1020"/>
      <c r="AW48" s="1020"/>
      <c r="AX48" s="1020"/>
    </row>
    <row r="49" spans="1:50" ht="12.6">
      <c r="A49" s="1024"/>
      <c r="B49" s="208" t="s">
        <v>53</v>
      </c>
      <c r="C49" s="208" t="s">
        <v>54</v>
      </c>
      <c r="D49" s="208" t="s">
        <v>55</v>
      </c>
      <c r="E49" s="208" t="s">
        <v>1115</v>
      </c>
      <c r="F49" s="1402" t="s">
        <v>1116</v>
      </c>
      <c r="G49" s="1402"/>
      <c r="H49" s="1402"/>
      <c r="I49" s="1402"/>
      <c r="J49" s="1059"/>
      <c r="K49" s="1521">
        <f t="shared" si="1"/>
        <v>0</v>
      </c>
      <c r="L49" s="1521"/>
      <c r="M49" s="1035" t="str">
        <f t="shared" si="2"/>
        <v/>
      </c>
      <c r="N49" s="1469">
        <f>IF($E$29&gt;31,$F$29,0)</f>
        <v>0</v>
      </c>
      <c r="O49" s="1469"/>
      <c r="P49" s="1666"/>
      <c r="Q49" s="1657"/>
      <c r="R49" s="1020"/>
      <c r="S49" s="1020"/>
      <c r="T49" s="1415" t="s">
        <v>1138</v>
      </c>
      <c r="U49" s="1415"/>
      <c r="V49" s="1020"/>
      <c r="W49" s="1035">
        <f t="shared" si="3"/>
        <v>46878</v>
      </c>
      <c r="X49" s="1020"/>
      <c r="Y49" s="1020"/>
      <c r="Z49" s="1020"/>
      <c r="AA49" s="1020"/>
      <c r="AB49" s="1020"/>
      <c r="AC49" s="1020"/>
      <c r="AD49" s="1020"/>
      <c r="AE49" s="1020"/>
      <c r="AF49" s="1020"/>
      <c r="AG49" s="1020"/>
      <c r="AH49" s="1020"/>
      <c r="AI49" s="1020"/>
      <c r="AJ49" s="1020"/>
      <c r="AK49" s="1020"/>
      <c r="AL49" s="1020"/>
      <c r="AM49" s="1020"/>
      <c r="AN49" s="1020"/>
      <c r="AO49" s="1020"/>
      <c r="AP49" s="1020"/>
      <c r="AQ49" s="1020"/>
      <c r="AR49" s="1020"/>
      <c r="AS49" s="1020"/>
      <c r="AT49" s="1020"/>
      <c r="AU49" s="1020"/>
      <c r="AV49" s="1020"/>
      <c r="AW49" s="1020"/>
      <c r="AX49" s="1020"/>
    </row>
    <row r="50" spans="1:50" ht="15" customHeight="1">
      <c r="A50" s="1024"/>
      <c r="B50" s="246">
        <v>1</v>
      </c>
      <c r="C50" s="1157">
        <v>0.12</v>
      </c>
      <c r="D50" s="248">
        <f>PMT(C50/12,B50*12,-1)</f>
        <v>8.88487886783417E-2</v>
      </c>
      <c r="E50" s="1060">
        <f>$F$47*D50</f>
        <v>330426.10573354474</v>
      </c>
      <c r="F50" s="1403">
        <f>E50/0.33</f>
        <v>1001291.2294955901</v>
      </c>
      <c r="G50" s="1403"/>
      <c r="H50" s="1403"/>
      <c r="I50" s="1403"/>
      <c r="J50" s="1059"/>
      <c r="K50" s="1521">
        <f t="shared" ref="K50:K52" si="5">IF(N50&gt;1,T50,0)</f>
        <v>0</v>
      </c>
      <c r="L50" s="1521"/>
      <c r="M50" s="1035" t="str">
        <f t="shared" si="2"/>
        <v/>
      </c>
      <c r="N50" s="1469">
        <f>IF($E$29&gt;32,$F$29,0)</f>
        <v>0</v>
      </c>
      <c r="O50" s="1469"/>
      <c r="P50" s="1666"/>
      <c r="Q50" s="1657"/>
      <c r="R50" s="1020"/>
      <c r="S50" s="1020"/>
      <c r="T50" s="1405" t="s">
        <v>1139</v>
      </c>
      <c r="U50" s="1405"/>
      <c r="V50" s="1020"/>
      <c r="W50" s="1035">
        <f t="shared" si="3"/>
        <v>46909</v>
      </c>
      <c r="X50" s="1020"/>
      <c r="Y50" s="1020"/>
      <c r="Z50" s="1020"/>
      <c r="AA50" s="1020"/>
      <c r="AB50" s="1020"/>
      <c r="AC50" s="1020"/>
      <c r="AD50" s="1020"/>
      <c r="AE50" s="1020"/>
      <c r="AF50" s="1020"/>
      <c r="AG50" s="1020"/>
      <c r="AH50" s="1020"/>
      <c r="AI50" s="1020"/>
      <c r="AJ50" s="1020"/>
      <c r="AK50" s="1020"/>
      <c r="AL50" s="1020"/>
      <c r="AM50" s="1020"/>
      <c r="AN50" s="1020"/>
      <c r="AO50" s="1020"/>
      <c r="AP50" s="1020"/>
      <c r="AQ50" s="1020"/>
      <c r="AR50" s="1020"/>
      <c r="AS50" s="1020"/>
      <c r="AT50" s="1020"/>
      <c r="AU50" s="1020"/>
      <c r="AV50" s="1020"/>
      <c r="AW50" s="1020"/>
      <c r="AX50" s="1020"/>
    </row>
    <row r="51" spans="1:50" ht="12.6">
      <c r="A51" s="1024"/>
      <c r="B51" s="246">
        <v>3</v>
      </c>
      <c r="C51" s="1157">
        <v>0.16</v>
      </c>
      <c r="D51" s="248">
        <f>PMT(C51/12,B51*12,-1)</f>
        <v>3.5157033036350094E-2</v>
      </c>
      <c r="E51" s="1060">
        <f>$F$47*D51</f>
        <v>130748.00104932125</v>
      </c>
      <c r="F51" s="1403">
        <f>E51/0.33</f>
        <v>396206.06378582196</v>
      </c>
      <c r="G51" s="1403"/>
      <c r="H51" s="1403"/>
      <c r="I51" s="1403"/>
      <c r="J51" s="1059"/>
      <c r="K51" s="1521">
        <f t="shared" si="5"/>
        <v>0</v>
      </c>
      <c r="L51" s="1521"/>
      <c r="M51" s="1035" t="str">
        <f t="shared" si="2"/>
        <v/>
      </c>
      <c r="N51" s="1469">
        <f>IF($E$29&gt;32,$F$29,0)</f>
        <v>0</v>
      </c>
      <c r="O51" s="1469"/>
      <c r="P51" s="1666"/>
      <c r="Q51" s="1657"/>
      <c r="R51" s="1020"/>
      <c r="S51" s="1020"/>
      <c r="T51" s="1405" t="s">
        <v>1140</v>
      </c>
      <c r="U51" s="1405"/>
      <c r="V51" s="1020"/>
      <c r="W51" s="1035">
        <f t="shared" si="3"/>
        <v>46939</v>
      </c>
      <c r="X51" s="1020"/>
      <c r="Y51" s="1020"/>
      <c r="Z51" s="1020"/>
      <c r="AA51" s="1020"/>
      <c r="AB51" s="1020"/>
      <c r="AC51" s="1020"/>
      <c r="AD51" s="1020"/>
      <c r="AE51" s="1020"/>
      <c r="AF51" s="1020"/>
      <c r="AG51" s="1020"/>
      <c r="AH51" s="1020"/>
      <c r="AI51" s="1020"/>
      <c r="AJ51" s="1020"/>
      <c r="AK51" s="1020"/>
      <c r="AL51" s="1020"/>
      <c r="AM51" s="1020"/>
      <c r="AN51" s="1020"/>
      <c r="AO51" s="1020"/>
      <c r="AP51" s="1020"/>
      <c r="AQ51" s="1020"/>
      <c r="AR51" s="1020"/>
      <c r="AS51" s="1020"/>
      <c r="AT51" s="1020"/>
      <c r="AU51" s="1020"/>
      <c r="AV51" s="1020"/>
      <c r="AW51" s="1020"/>
      <c r="AX51" s="1020"/>
    </row>
    <row r="52" spans="1:50" ht="15" customHeight="1">
      <c r="A52" s="1024"/>
      <c r="B52" s="246">
        <v>5</v>
      </c>
      <c r="C52" s="1157">
        <v>0.18</v>
      </c>
      <c r="D52" s="248">
        <f>PMT(C52/12,B52*12,-1)</f>
        <v>2.5393427427109084E-2</v>
      </c>
      <c r="E52" s="1060">
        <f>$F$47*D52</f>
        <v>94437.430839306369</v>
      </c>
      <c r="F52" s="1403">
        <f>E52/0.33</f>
        <v>286174.03284638294</v>
      </c>
      <c r="G52" s="1403"/>
      <c r="H52" s="1403"/>
      <c r="I52" s="1403"/>
      <c r="J52" s="1024"/>
      <c r="K52" s="1521">
        <f t="shared" si="5"/>
        <v>0</v>
      </c>
      <c r="L52" s="1521"/>
      <c r="M52" s="1035" t="str">
        <f t="shared" si="2"/>
        <v/>
      </c>
      <c r="N52" s="1469">
        <f>IF($E$29&gt;34,$F$29,0)</f>
        <v>0</v>
      </c>
      <c r="O52" s="1469"/>
      <c r="P52" s="1666"/>
      <c r="Q52" s="1657"/>
      <c r="R52" s="1020"/>
      <c r="S52" s="1020"/>
      <c r="T52" s="1405" t="s">
        <v>1141</v>
      </c>
      <c r="U52" s="1405"/>
      <c r="V52" s="1020"/>
      <c r="W52" s="1035">
        <f t="shared" si="3"/>
        <v>46970</v>
      </c>
      <c r="X52" s="1020"/>
      <c r="Y52" s="1020"/>
      <c r="Z52" s="1020"/>
      <c r="AA52" s="1020"/>
      <c r="AB52" s="1020"/>
      <c r="AC52" s="1020"/>
      <c r="AD52" s="1020"/>
      <c r="AE52" s="1020"/>
      <c r="AF52" s="1020"/>
      <c r="AG52" s="1020"/>
      <c r="AH52" s="1020"/>
      <c r="AI52" s="1020"/>
      <c r="AJ52" s="1020"/>
      <c r="AK52" s="1020"/>
      <c r="AL52" s="1020"/>
      <c r="AM52" s="1020"/>
      <c r="AN52" s="1020"/>
      <c r="AO52" s="1020"/>
      <c r="AP52" s="1020"/>
      <c r="AQ52" s="1020"/>
      <c r="AR52" s="1020"/>
      <c r="AS52" s="1020"/>
      <c r="AT52" s="1020"/>
      <c r="AU52" s="1020"/>
      <c r="AV52" s="1020"/>
      <c r="AW52" s="1020"/>
      <c r="AX52" s="1020"/>
    </row>
    <row r="53" spans="1:50" ht="12.6">
      <c r="A53" s="1024"/>
      <c r="B53" s="246">
        <v>10</v>
      </c>
      <c r="C53" s="1157">
        <v>0.2</v>
      </c>
      <c r="D53" s="248">
        <f>PMT(C53/12,B53*12,-1)</f>
        <v>1.9325567219932577E-2</v>
      </c>
      <c r="E53" s="1060">
        <f>$F$47*D53</f>
        <v>71871.232152552431</v>
      </c>
      <c r="F53" s="1403">
        <f>E53/0.33</f>
        <v>217791.61258349221</v>
      </c>
      <c r="G53" s="1403"/>
      <c r="H53" s="1403"/>
      <c r="I53" s="1403"/>
      <c r="J53" s="1024"/>
      <c r="K53" s="1521">
        <f t="shared" si="1"/>
        <v>0</v>
      </c>
      <c r="L53" s="1521"/>
      <c r="M53" s="1035" t="str">
        <f t="shared" si="2"/>
        <v/>
      </c>
      <c r="N53" s="1469">
        <f>IF($E$29&gt;35,$F$29,0)</f>
        <v>0</v>
      </c>
      <c r="O53" s="1469"/>
      <c r="P53" s="1666"/>
      <c r="Q53" s="1657"/>
      <c r="R53" s="1020"/>
      <c r="S53" s="1020"/>
      <c r="T53" s="1405" t="s">
        <v>1143</v>
      </c>
      <c r="U53" s="1405"/>
      <c r="V53" s="1020"/>
      <c r="W53" s="1035">
        <f t="shared" si="3"/>
        <v>47001</v>
      </c>
      <c r="X53" s="1020"/>
      <c r="Y53" s="1020"/>
      <c r="Z53" s="1020"/>
      <c r="AA53" s="1020"/>
      <c r="AB53" s="1020"/>
      <c r="AC53" s="1020"/>
      <c r="AD53" s="1020"/>
      <c r="AE53" s="1020"/>
      <c r="AF53" s="1020"/>
      <c r="AG53" s="1020"/>
      <c r="AH53" s="1020"/>
      <c r="AI53" s="1020"/>
      <c r="AJ53" s="1020"/>
      <c r="AK53" s="1020"/>
      <c r="AL53" s="1020"/>
      <c r="AM53" s="1020"/>
      <c r="AN53" s="1020"/>
      <c r="AO53" s="1020"/>
      <c r="AP53" s="1020"/>
      <c r="AQ53" s="1020"/>
      <c r="AR53" s="1020"/>
      <c r="AS53" s="1020"/>
      <c r="AT53" s="1020"/>
      <c r="AU53" s="1020"/>
      <c r="AV53" s="1020"/>
      <c r="AW53" s="1020"/>
      <c r="AX53" s="1020"/>
    </row>
    <row r="54" spans="1:50" ht="15" customHeight="1" thickBot="1">
      <c r="A54" s="1024"/>
      <c r="B54" s="1158" t="s">
        <v>1142</v>
      </c>
      <c r="C54" s="1159"/>
      <c r="D54" s="1159"/>
      <c r="E54" s="1159"/>
      <c r="F54" s="1159"/>
      <c r="G54" s="1159"/>
      <c r="H54" s="1159"/>
      <c r="I54" s="1159"/>
      <c r="J54" s="1024"/>
      <c r="K54" s="1521">
        <f t="shared" si="1"/>
        <v>0</v>
      </c>
      <c r="L54" s="1521"/>
      <c r="M54" s="1035" t="str">
        <f t="shared" si="2"/>
        <v/>
      </c>
      <c r="N54" s="1469">
        <f>IF($E$29&gt;36,$F$29,0)</f>
        <v>0</v>
      </c>
      <c r="O54" s="1469"/>
      <c r="P54" s="1666"/>
      <c r="Q54" s="1657"/>
      <c r="R54" s="1020"/>
      <c r="S54" s="1020"/>
      <c r="T54" s="1405" t="s">
        <v>1144</v>
      </c>
      <c r="U54" s="1405"/>
      <c r="V54" s="1020"/>
      <c r="W54" s="1035">
        <f>IF(AND(DAY(W53)&gt;=6,DAY(W53)&lt;=20),DATE(YEAR(W53),MONTH(W53)+1,DAY(20)),IF(AND(DAY(W53)&gt;=21,DAY(W53)&lt;=30),DATE(YEAR(W53),MONTH(W53)+1,IF(DAY(EOMONTH(W53,1))&lt;30,DAY(EOMONTH(W53,1)),DAY(30))),DATE(YEAR(W53),MONTH(W53)+1,DAY(5))))</f>
        <v>47031</v>
      </c>
      <c r="X54" s="1020"/>
      <c r="Y54" s="1020"/>
      <c r="Z54" s="1020"/>
      <c r="AA54" s="1020"/>
      <c r="AB54" s="1020"/>
      <c r="AC54" s="1020"/>
      <c r="AD54" s="1020"/>
      <c r="AE54" s="1020"/>
      <c r="AF54" s="1020"/>
      <c r="AG54" s="1020"/>
      <c r="AH54" s="1020"/>
      <c r="AI54" s="1020"/>
      <c r="AJ54" s="1020"/>
      <c r="AK54" s="1020"/>
      <c r="AL54" s="1020"/>
      <c r="AM54" s="1020"/>
      <c r="AN54" s="1020"/>
      <c r="AO54" s="1020"/>
      <c r="AP54" s="1020"/>
      <c r="AQ54" s="1020"/>
      <c r="AR54" s="1020"/>
      <c r="AS54" s="1020"/>
      <c r="AT54" s="1020"/>
      <c r="AU54" s="1020"/>
      <c r="AV54" s="1020"/>
      <c r="AW54" s="1020"/>
      <c r="AX54" s="1020"/>
    </row>
    <row r="55" spans="1:50" ht="12.6">
      <c r="A55" s="1024"/>
      <c r="B55" s="161"/>
      <c r="C55" s="1024"/>
      <c r="D55" s="1024"/>
      <c r="E55" s="1024"/>
      <c r="F55" s="1024"/>
      <c r="G55" s="1024"/>
      <c r="H55" s="1024"/>
      <c r="I55" s="1024"/>
      <c r="J55" s="1024"/>
      <c r="K55" s="1521">
        <f t="shared" si="1"/>
        <v>0</v>
      </c>
      <c r="L55" s="1521"/>
      <c r="M55" s="1035" t="str">
        <f t="shared" si="2"/>
        <v/>
      </c>
      <c r="N55" s="1469">
        <f>IF($E$29&gt;37,$F$29,0)</f>
        <v>0</v>
      </c>
      <c r="O55" s="1469"/>
      <c r="P55" s="1666"/>
      <c r="Q55" s="1657"/>
      <c r="R55" s="1020"/>
      <c r="S55" s="1020"/>
      <c r="T55" s="1405" t="s">
        <v>1145</v>
      </c>
      <c r="U55" s="1405"/>
      <c r="V55" s="1020"/>
      <c r="W55" s="1035">
        <f t="shared" si="3"/>
        <v>47062</v>
      </c>
      <c r="X55" s="1020"/>
      <c r="Y55" s="1020"/>
      <c r="Z55" s="1020"/>
      <c r="AA55" s="1020"/>
      <c r="AB55" s="1020"/>
      <c r="AC55" s="1020"/>
      <c r="AD55" s="1020"/>
      <c r="AE55" s="1020"/>
      <c r="AF55" s="1020"/>
      <c r="AG55" s="1020"/>
      <c r="AH55" s="1020"/>
      <c r="AI55" s="1020"/>
      <c r="AJ55" s="1020"/>
      <c r="AK55" s="1020"/>
      <c r="AL55" s="1020"/>
      <c r="AM55" s="1020"/>
      <c r="AN55" s="1020"/>
      <c r="AO55" s="1020"/>
      <c r="AP55" s="1020"/>
      <c r="AQ55" s="1020"/>
      <c r="AR55" s="1020"/>
      <c r="AS55" s="1020"/>
      <c r="AT55" s="1020"/>
      <c r="AU55" s="1020"/>
      <c r="AV55" s="1020"/>
      <c r="AW55" s="1020"/>
      <c r="AX55" s="1020"/>
    </row>
    <row r="56" spans="1:50" ht="15" customHeight="1">
      <c r="A56" s="1024"/>
      <c r="B56" s="129" t="s">
        <v>1146</v>
      </c>
      <c r="C56" s="129"/>
      <c r="D56" s="178"/>
      <c r="E56" s="178"/>
      <c r="F56" s="178"/>
      <c r="G56" s="178"/>
      <c r="H56" s="178"/>
      <c r="I56" s="178"/>
      <c r="J56" s="1024"/>
      <c r="K56" s="1521">
        <f t="shared" si="1"/>
        <v>0</v>
      </c>
      <c r="L56" s="1521"/>
      <c r="M56" s="1035" t="str">
        <f t="shared" si="2"/>
        <v/>
      </c>
      <c r="N56" s="1469">
        <f>IF($E$29&gt;38,$F$29,0)</f>
        <v>0</v>
      </c>
      <c r="O56" s="1469"/>
      <c r="P56" s="1666"/>
      <c r="Q56" s="1657"/>
      <c r="R56" s="1020"/>
      <c r="S56" s="1020"/>
      <c r="T56" s="1405" t="s">
        <v>1147</v>
      </c>
      <c r="U56" s="1405"/>
      <c r="V56" s="1020"/>
      <c r="W56" s="1035">
        <f t="shared" si="3"/>
        <v>47092</v>
      </c>
      <c r="X56" s="1020"/>
      <c r="Y56" s="1020"/>
      <c r="Z56" s="1020"/>
      <c r="AA56" s="1020"/>
      <c r="AB56" s="1020"/>
      <c r="AC56" s="1020"/>
      <c r="AD56" s="1020"/>
      <c r="AE56" s="1020"/>
      <c r="AF56" s="1020"/>
      <c r="AG56" s="1020"/>
      <c r="AH56" s="1020"/>
      <c r="AI56" s="1020"/>
      <c r="AJ56" s="1020"/>
      <c r="AK56" s="1020"/>
      <c r="AL56" s="1020"/>
      <c r="AM56" s="1020"/>
      <c r="AN56" s="1020"/>
      <c r="AO56" s="1020"/>
      <c r="AP56" s="1020"/>
      <c r="AQ56" s="1020"/>
      <c r="AR56" s="1020"/>
      <c r="AS56" s="1020"/>
      <c r="AT56" s="1020"/>
      <c r="AU56" s="1020"/>
      <c r="AV56" s="1020"/>
      <c r="AW56" s="1020"/>
      <c r="AX56" s="1020"/>
    </row>
    <row r="57" spans="1:50" ht="12.6">
      <c r="A57" s="1024"/>
      <c r="B57" s="178"/>
      <c r="C57" s="178"/>
      <c r="D57" s="178"/>
      <c r="E57" s="178"/>
      <c r="F57" s="178"/>
      <c r="G57" s="178"/>
      <c r="H57" s="178"/>
      <c r="I57" s="178"/>
      <c r="J57" s="1059"/>
      <c r="K57" s="1521">
        <f t="shared" si="1"/>
        <v>0</v>
      </c>
      <c r="L57" s="1521"/>
      <c r="M57" s="1035" t="str">
        <f t="shared" si="2"/>
        <v/>
      </c>
      <c r="N57" s="1469">
        <f>IF($E$29&gt;39,$F$29,0)</f>
        <v>0</v>
      </c>
      <c r="O57" s="1469"/>
      <c r="P57" s="1666"/>
      <c r="Q57" s="1657"/>
      <c r="R57" s="1020"/>
      <c r="S57" s="1020"/>
      <c r="T57" s="1405" t="s">
        <v>1148</v>
      </c>
      <c r="U57" s="1405"/>
      <c r="V57" s="1020"/>
      <c r="W57" s="1035">
        <f t="shared" si="3"/>
        <v>47123</v>
      </c>
      <c r="X57" s="1020"/>
      <c r="Y57" s="1020"/>
      <c r="Z57" s="1020"/>
      <c r="AA57" s="1020"/>
      <c r="AB57" s="1020"/>
      <c r="AC57" s="1020"/>
      <c r="AD57" s="1020"/>
      <c r="AE57" s="1020"/>
      <c r="AF57" s="1020"/>
      <c r="AG57" s="1020"/>
      <c r="AH57" s="1020"/>
      <c r="AI57" s="1020"/>
      <c r="AJ57" s="1020"/>
      <c r="AK57" s="1020"/>
      <c r="AL57" s="1020"/>
      <c r="AM57" s="1020"/>
      <c r="AN57" s="1020"/>
      <c r="AO57" s="1020"/>
      <c r="AP57" s="1020"/>
      <c r="AQ57" s="1020"/>
      <c r="AR57" s="1020"/>
      <c r="AS57" s="1020"/>
      <c r="AT57" s="1020"/>
      <c r="AU57" s="1020"/>
      <c r="AV57" s="1020"/>
      <c r="AW57" s="1020"/>
      <c r="AX57" s="1020"/>
    </row>
    <row r="58" spans="1:50" ht="12.75" customHeight="1">
      <c r="A58" s="1024"/>
      <c r="B58" s="1402" t="s">
        <v>1149</v>
      </c>
      <c r="C58" s="1402"/>
      <c r="D58" s="1402" t="s">
        <v>991</v>
      </c>
      <c r="E58" s="1402"/>
      <c r="F58" s="1402"/>
      <c r="G58" s="1402" t="s">
        <v>1150</v>
      </c>
      <c r="H58" s="1402"/>
      <c r="I58" s="1402"/>
      <c r="J58" s="1059"/>
      <c r="K58" s="1521">
        <f t="shared" si="1"/>
        <v>0</v>
      </c>
      <c r="L58" s="1521"/>
      <c r="M58" s="1035" t="str">
        <f t="shared" si="2"/>
        <v/>
      </c>
      <c r="N58" s="1469">
        <f>IF($E$29&gt;40,$F$29,0)</f>
        <v>0</v>
      </c>
      <c r="O58" s="1469"/>
      <c r="P58" s="1666"/>
      <c r="Q58" s="1657"/>
      <c r="R58" s="1020"/>
      <c r="S58" s="1020"/>
      <c r="T58" s="1405" t="s">
        <v>1151</v>
      </c>
      <c r="U58" s="1405"/>
      <c r="V58" s="1020"/>
      <c r="W58" s="1035">
        <f t="shared" si="3"/>
        <v>47154</v>
      </c>
      <c r="X58" s="1020"/>
      <c r="Y58" s="1020"/>
      <c r="Z58" s="1020"/>
      <c r="AA58" s="1020"/>
      <c r="AB58" s="1020"/>
      <c r="AC58" s="1020"/>
      <c r="AD58" s="1020"/>
      <c r="AE58" s="1020"/>
      <c r="AF58" s="1020"/>
      <c r="AG58" s="1020"/>
      <c r="AH58" s="1020"/>
      <c r="AI58" s="1020"/>
      <c r="AJ58" s="1020"/>
      <c r="AK58" s="1020"/>
      <c r="AL58" s="1020"/>
      <c r="AM58" s="1020"/>
      <c r="AN58" s="1020"/>
      <c r="AO58" s="1020"/>
      <c r="AP58" s="1020"/>
      <c r="AQ58" s="1020"/>
      <c r="AR58" s="1020"/>
      <c r="AS58" s="1020"/>
      <c r="AT58" s="1020"/>
      <c r="AU58" s="1020"/>
      <c r="AV58" s="1020"/>
      <c r="AW58" s="1020"/>
      <c r="AX58" s="1020"/>
    </row>
    <row r="59" spans="1:50" ht="12.6">
      <c r="A59" s="1024"/>
      <c r="B59" s="1728">
        <f>FORM!O19</f>
        <v>0</v>
      </c>
      <c r="C59" s="1729"/>
      <c r="D59" s="1728">
        <f>FORM!S19</f>
        <v>0</v>
      </c>
      <c r="E59" s="1730"/>
      <c r="F59" s="1729"/>
      <c r="G59" s="1731">
        <f>FORM!V19</f>
        <v>0</v>
      </c>
      <c r="H59" s="1732"/>
      <c r="I59" s="1733"/>
      <c r="J59" s="1059"/>
      <c r="K59" s="1521">
        <f t="shared" si="1"/>
        <v>0</v>
      </c>
      <c r="L59" s="1521"/>
      <c r="M59" s="1035" t="str">
        <f t="shared" si="2"/>
        <v/>
      </c>
      <c r="N59" s="1469">
        <f>IF($E$29&gt;41,$F$29,0)</f>
        <v>0</v>
      </c>
      <c r="O59" s="1469"/>
      <c r="P59" s="1666"/>
      <c r="Q59" s="1657"/>
      <c r="R59" s="1020"/>
      <c r="S59" s="1020"/>
      <c r="T59" s="1405" t="s">
        <v>1152</v>
      </c>
      <c r="U59" s="1405"/>
      <c r="V59" s="1020"/>
      <c r="W59" s="1035">
        <f t="shared" si="3"/>
        <v>47182</v>
      </c>
      <c r="X59" s="1020"/>
      <c r="Y59" s="1020"/>
      <c r="Z59" s="1020"/>
      <c r="AA59" s="1020"/>
      <c r="AB59" s="1020"/>
      <c r="AC59" s="1020"/>
      <c r="AD59" s="1020"/>
      <c r="AE59" s="1020"/>
      <c r="AF59" s="1020"/>
      <c r="AG59" s="1020"/>
      <c r="AH59" s="1020"/>
      <c r="AI59" s="1020"/>
      <c r="AJ59" s="1020"/>
      <c r="AK59" s="1020"/>
      <c r="AL59" s="1020"/>
      <c r="AM59" s="1020"/>
      <c r="AN59" s="1020"/>
      <c r="AO59" s="1020"/>
      <c r="AP59" s="1020"/>
      <c r="AQ59" s="1020"/>
      <c r="AR59" s="1020"/>
      <c r="AS59" s="1020"/>
      <c r="AT59" s="1020"/>
      <c r="AU59" s="1020"/>
      <c r="AV59" s="1020"/>
      <c r="AW59" s="1020"/>
      <c r="AX59" s="1020"/>
    </row>
    <row r="60" spans="1:50" ht="12.6">
      <c r="A60" s="1024"/>
      <c r="B60" s="1734"/>
      <c r="C60" s="1735"/>
      <c r="D60" s="1734"/>
      <c r="E60" s="1736"/>
      <c r="F60" s="1735"/>
      <c r="G60" s="1737"/>
      <c r="H60" s="1738"/>
      <c r="I60" s="1739"/>
      <c r="J60" s="1059"/>
      <c r="K60" s="1521">
        <f>IF(N60&gt;1,T60,0)</f>
        <v>0</v>
      </c>
      <c r="L60" s="1521"/>
      <c r="M60" s="1035" t="str">
        <f t="shared" si="2"/>
        <v/>
      </c>
      <c r="N60" s="1469">
        <f>IF($E$29&gt;42,$F$29,0)</f>
        <v>0</v>
      </c>
      <c r="O60" s="1469"/>
      <c r="P60" s="1666"/>
      <c r="Q60" s="1657"/>
      <c r="R60" s="1020"/>
      <c r="S60" s="1020"/>
      <c r="T60" s="1405" t="s">
        <v>1153</v>
      </c>
      <c r="U60" s="1405"/>
      <c r="V60" s="1020"/>
      <c r="W60" s="1035">
        <f t="shared" si="3"/>
        <v>47213</v>
      </c>
      <c r="X60" s="1020"/>
      <c r="Y60" s="1020"/>
      <c r="Z60" s="1020"/>
      <c r="AA60" s="1020"/>
      <c r="AB60" s="1020"/>
      <c r="AC60" s="1020"/>
      <c r="AD60" s="1020"/>
      <c r="AE60" s="1020"/>
      <c r="AF60" s="1020"/>
      <c r="AG60" s="1020"/>
      <c r="AH60" s="1020"/>
      <c r="AI60" s="1020"/>
      <c r="AJ60" s="1020"/>
      <c r="AK60" s="1020"/>
      <c r="AL60" s="1020"/>
      <c r="AM60" s="1020"/>
      <c r="AN60" s="1020"/>
      <c r="AO60" s="1020"/>
      <c r="AP60" s="1020"/>
      <c r="AQ60" s="1020"/>
      <c r="AR60" s="1020"/>
      <c r="AS60" s="1020"/>
      <c r="AT60" s="1020"/>
      <c r="AU60" s="1020"/>
      <c r="AV60" s="1020"/>
      <c r="AW60" s="1020"/>
      <c r="AX60" s="1020"/>
    </row>
    <row r="61" spans="1:50" ht="12.6">
      <c r="A61" s="1024"/>
      <c r="B61" s="1728">
        <f>FORM!O21</f>
        <v>0</v>
      </c>
      <c r="C61" s="1729"/>
      <c r="D61" s="1728">
        <f>FORM!S21</f>
        <v>0</v>
      </c>
      <c r="E61" s="1730"/>
      <c r="F61" s="1729"/>
      <c r="G61" s="1731">
        <f>FORM!V21</f>
        <v>0</v>
      </c>
      <c r="H61" s="1732"/>
      <c r="I61" s="1733"/>
      <c r="J61" s="1059"/>
      <c r="K61" s="1521">
        <f t="shared" ref="K61:K64" si="6">IF(N61&gt;1,T61,0)</f>
        <v>0</v>
      </c>
      <c r="L61" s="1521"/>
      <c r="M61" s="1035" t="str">
        <f t="shared" si="2"/>
        <v/>
      </c>
      <c r="N61" s="1469">
        <f>IF($E$29&gt;42,$F$29,0)</f>
        <v>0</v>
      </c>
      <c r="O61" s="1469"/>
      <c r="P61" s="1666"/>
      <c r="Q61" s="1657"/>
      <c r="R61" s="1020"/>
      <c r="S61" s="1020"/>
      <c r="T61" s="1405" t="s">
        <v>1154</v>
      </c>
      <c r="U61" s="1405"/>
      <c r="V61" s="1020"/>
      <c r="W61" s="1035">
        <f t="shared" si="3"/>
        <v>47243</v>
      </c>
      <c r="X61" s="1020"/>
      <c r="Y61" s="1020"/>
      <c r="Z61" s="1020"/>
      <c r="AA61" s="1020"/>
      <c r="AB61" s="1020"/>
      <c r="AC61" s="1020"/>
      <c r="AD61" s="1020"/>
      <c r="AE61" s="1020"/>
      <c r="AF61" s="1020"/>
      <c r="AG61" s="1020"/>
      <c r="AH61" s="1020"/>
      <c r="AI61" s="1020"/>
      <c r="AJ61" s="1020"/>
      <c r="AK61" s="1020"/>
      <c r="AL61" s="1020"/>
      <c r="AM61" s="1020"/>
      <c r="AN61" s="1020"/>
      <c r="AO61" s="1020"/>
      <c r="AP61" s="1020"/>
      <c r="AQ61" s="1020"/>
      <c r="AR61" s="1020"/>
      <c r="AS61" s="1020"/>
      <c r="AT61" s="1020"/>
      <c r="AU61" s="1020"/>
      <c r="AV61" s="1020"/>
      <c r="AW61" s="1020"/>
      <c r="AX61" s="1020"/>
    </row>
    <row r="62" spans="1:50" ht="12.6">
      <c r="A62" s="1024"/>
      <c r="B62" s="1734"/>
      <c r="C62" s="1735"/>
      <c r="D62" s="1734"/>
      <c r="E62" s="1736"/>
      <c r="F62" s="1735"/>
      <c r="G62" s="1737"/>
      <c r="H62" s="1738"/>
      <c r="I62" s="1739"/>
      <c r="J62" s="1059"/>
      <c r="K62" s="1521">
        <f t="shared" si="6"/>
        <v>0</v>
      </c>
      <c r="L62" s="1521"/>
      <c r="M62" s="1035" t="str">
        <f t="shared" si="2"/>
        <v/>
      </c>
      <c r="N62" s="1469">
        <f>IF($E$29&gt;42,$F$29,0)</f>
        <v>0</v>
      </c>
      <c r="O62" s="1469"/>
      <c r="P62" s="1666"/>
      <c r="Q62" s="1657"/>
      <c r="R62" s="1020"/>
      <c r="S62" s="1020"/>
      <c r="T62" s="1405" t="s">
        <v>1155</v>
      </c>
      <c r="U62" s="1405"/>
      <c r="V62" s="1020"/>
      <c r="W62" s="1035">
        <f>IF(AND(DAY(W61)&gt;=6,DAY(W61)&lt;=20),DATE(YEAR(W61),MONTH(W61)+1,DAY(20)),IF(AND(DAY(W61)&gt;=21,DAY(W61)&lt;=30),DATE(YEAR(W61),MONTH(W61)+1,IF(DAY(EOMONTH(W61,1))&lt;30,DAY(EOMONTH(W61,1)),DAY(30))),DATE(YEAR(W61),MONTH(W61)+1,DAY(5))))</f>
        <v>47274</v>
      </c>
      <c r="X62" s="1020"/>
      <c r="Y62" s="1020"/>
      <c r="Z62" s="1020"/>
      <c r="AA62" s="1020"/>
      <c r="AB62" s="1020"/>
      <c r="AC62" s="1020"/>
      <c r="AD62" s="1020"/>
      <c r="AE62" s="1020"/>
      <c r="AF62" s="1020"/>
      <c r="AG62" s="1020"/>
      <c r="AH62" s="1020"/>
      <c r="AI62" s="1020"/>
      <c r="AJ62" s="1020"/>
      <c r="AK62" s="1020"/>
      <c r="AL62" s="1020"/>
      <c r="AM62" s="1020"/>
      <c r="AN62" s="1020"/>
      <c r="AO62" s="1020"/>
      <c r="AP62" s="1020"/>
      <c r="AQ62" s="1020"/>
      <c r="AR62" s="1020"/>
      <c r="AS62" s="1020"/>
      <c r="AT62" s="1020"/>
      <c r="AU62" s="1020"/>
      <c r="AV62" s="1020"/>
      <c r="AW62" s="1020"/>
      <c r="AX62" s="1020"/>
    </row>
    <row r="63" spans="1:50" ht="12.6">
      <c r="A63" s="1024"/>
      <c r="B63" s="1728">
        <f>FORM!O25</f>
        <v>0</v>
      </c>
      <c r="C63" s="1729"/>
      <c r="D63" s="1728">
        <f>FORM!S25</f>
        <v>0</v>
      </c>
      <c r="E63" s="1730"/>
      <c r="F63" s="1729"/>
      <c r="G63" s="1731">
        <f>FORM!V25</f>
        <v>0</v>
      </c>
      <c r="H63" s="1732"/>
      <c r="I63" s="1733"/>
      <c r="J63" s="1059"/>
      <c r="K63" s="1521">
        <f t="shared" si="6"/>
        <v>0</v>
      </c>
      <c r="L63" s="1521"/>
      <c r="M63" s="1035" t="str">
        <f t="shared" si="2"/>
        <v/>
      </c>
      <c r="N63" s="1469">
        <f>IF($E$29&gt;42,$F$29,0)</f>
        <v>0</v>
      </c>
      <c r="O63" s="1469"/>
      <c r="P63" s="1666"/>
      <c r="Q63" s="1657"/>
      <c r="R63" s="1020"/>
      <c r="S63" s="1020"/>
      <c r="T63" s="1405" t="s">
        <v>1156</v>
      </c>
      <c r="U63" s="1405"/>
      <c r="V63" s="1020"/>
      <c r="W63" s="1035">
        <f t="shared" ref="W63:W72" si="7">IF(AND(DAY(W62)&gt;=6,DAY(W62)&lt;=20),DATE(YEAR(W62),MONTH(W62)+1,DAY(20)),IF(AND(DAY(W62)&gt;=21,DAY(W62)&lt;=30),DATE(YEAR(W62),MONTH(W62)+1,IF(DAY(EOMONTH(W62,1))&lt;30,DAY(EOMONTH(W62,1)),DAY(30))),DATE(YEAR(W62),MONTH(W62)+1,DAY(5))))</f>
        <v>47304</v>
      </c>
      <c r="X63" s="1020"/>
      <c r="Y63" s="1020"/>
      <c r="Z63" s="1020"/>
      <c r="AA63" s="1020"/>
      <c r="AB63" s="1020"/>
      <c r="AC63" s="1020"/>
      <c r="AD63" s="1020"/>
      <c r="AE63" s="1020"/>
      <c r="AF63" s="1020"/>
      <c r="AG63" s="1020"/>
      <c r="AH63" s="1020"/>
      <c r="AI63" s="1020"/>
      <c r="AJ63" s="1020"/>
      <c r="AK63" s="1020"/>
      <c r="AL63" s="1020"/>
      <c r="AM63" s="1020"/>
      <c r="AN63" s="1020"/>
      <c r="AO63" s="1020"/>
      <c r="AP63" s="1020"/>
      <c r="AQ63" s="1020"/>
      <c r="AR63" s="1020"/>
      <c r="AS63" s="1020"/>
      <c r="AT63" s="1020"/>
      <c r="AU63" s="1020"/>
      <c r="AV63" s="1020"/>
      <c r="AW63" s="1020"/>
      <c r="AX63" s="1020"/>
    </row>
    <row r="64" spans="1:50" ht="12.6">
      <c r="A64" s="1024"/>
      <c r="B64" s="1734"/>
      <c r="C64" s="1735"/>
      <c r="D64" s="1734"/>
      <c r="E64" s="1736"/>
      <c r="F64" s="1735"/>
      <c r="G64" s="1737"/>
      <c r="H64" s="1738"/>
      <c r="I64" s="1739"/>
      <c r="J64" s="1059"/>
      <c r="K64" s="1521">
        <f t="shared" si="6"/>
        <v>0</v>
      </c>
      <c r="L64" s="1521"/>
      <c r="M64" s="1035" t="str">
        <f t="shared" si="2"/>
        <v/>
      </c>
      <c r="N64" s="1469">
        <f>IF($E$29&gt;42,$F$29,0)</f>
        <v>0</v>
      </c>
      <c r="O64" s="1469"/>
      <c r="P64" s="1666"/>
      <c r="Q64" s="1657"/>
      <c r="R64" s="1020"/>
      <c r="S64" s="1020"/>
      <c r="T64" s="1405" t="s">
        <v>1157</v>
      </c>
      <c r="U64" s="1405"/>
      <c r="V64" s="1020"/>
      <c r="W64" s="1035">
        <f t="shared" si="7"/>
        <v>47335</v>
      </c>
      <c r="X64" s="1020"/>
      <c r="Y64" s="1020"/>
      <c r="Z64" s="1020"/>
      <c r="AA64" s="1020"/>
      <c r="AB64" s="1020"/>
      <c r="AC64" s="1020"/>
      <c r="AD64" s="1020"/>
      <c r="AE64" s="1020"/>
      <c r="AF64" s="1020"/>
      <c r="AG64" s="1020"/>
      <c r="AH64" s="1020"/>
      <c r="AI64" s="1020"/>
      <c r="AJ64" s="1020"/>
      <c r="AK64" s="1020"/>
      <c r="AL64" s="1020"/>
      <c r="AM64" s="1020"/>
      <c r="AN64" s="1020"/>
      <c r="AO64" s="1020"/>
      <c r="AP64" s="1020"/>
      <c r="AQ64" s="1020"/>
      <c r="AR64" s="1020"/>
      <c r="AS64" s="1020"/>
      <c r="AT64" s="1020"/>
      <c r="AU64" s="1020"/>
      <c r="AV64" s="1020"/>
      <c r="AW64" s="1020"/>
      <c r="AX64" s="1020"/>
    </row>
    <row r="65" spans="1:50" ht="12.6" hidden="1">
      <c r="A65" s="1024"/>
      <c r="B65" s="1728">
        <f>FORM!O27</f>
        <v>0</v>
      </c>
      <c r="C65" s="1729"/>
      <c r="D65" s="1728">
        <f>FORM!S27</f>
        <v>0</v>
      </c>
      <c r="E65" s="1730"/>
      <c r="F65" s="1729"/>
      <c r="G65" s="1731">
        <f>FORM!V27</f>
        <v>0</v>
      </c>
      <c r="H65" s="1732"/>
      <c r="I65" s="1733"/>
      <c r="J65" s="1059"/>
      <c r="K65" s="1283"/>
      <c r="L65" s="1283"/>
      <c r="M65" s="1035" t="str">
        <f t="shared" si="2"/>
        <v/>
      </c>
      <c r="N65" s="1019"/>
      <c r="O65" s="1019"/>
      <c r="P65" s="1284"/>
      <c r="Q65" s="1285"/>
      <c r="R65" s="1020"/>
      <c r="S65" s="1020"/>
      <c r="T65" s="1405" t="s">
        <v>1158</v>
      </c>
      <c r="U65" s="1405"/>
      <c r="V65" s="1020"/>
      <c r="W65" s="1035">
        <f t="shared" si="7"/>
        <v>47366</v>
      </c>
      <c r="X65" s="1020"/>
      <c r="Y65" s="1020"/>
      <c r="Z65" s="1020"/>
      <c r="AA65" s="1020"/>
      <c r="AB65" s="1020"/>
      <c r="AC65" s="1020"/>
      <c r="AD65" s="1020"/>
      <c r="AE65" s="1020"/>
      <c r="AF65" s="1020"/>
      <c r="AG65" s="1020"/>
      <c r="AH65" s="1020"/>
      <c r="AI65" s="1020"/>
      <c r="AJ65" s="1020"/>
      <c r="AK65" s="1020"/>
      <c r="AL65" s="1020"/>
      <c r="AM65" s="1020"/>
      <c r="AN65" s="1020"/>
      <c r="AO65" s="1020"/>
      <c r="AP65" s="1020"/>
      <c r="AQ65" s="1020"/>
      <c r="AR65" s="1020"/>
      <c r="AS65" s="1020"/>
      <c r="AT65" s="1020"/>
      <c r="AU65" s="1020"/>
      <c r="AV65" s="1020"/>
      <c r="AW65" s="1020"/>
      <c r="AX65" s="1020"/>
    </row>
    <row r="66" spans="1:50" ht="12.6">
      <c r="A66" s="1024"/>
      <c r="B66" s="1734"/>
      <c r="C66" s="1735"/>
      <c r="D66" s="1734"/>
      <c r="E66" s="1736"/>
      <c r="F66" s="1735"/>
      <c r="G66" s="1737"/>
      <c r="H66" s="1738"/>
      <c r="I66" s="1739"/>
      <c r="J66" s="1059"/>
      <c r="K66" s="1521">
        <f t="shared" ref="K66:K72" si="8">IF(N66&gt;1,T66,0)</f>
        <v>0</v>
      </c>
      <c r="L66" s="1521"/>
      <c r="M66" s="1035" t="str">
        <f t="shared" si="2"/>
        <v/>
      </c>
      <c r="N66" s="1469">
        <f>IF($E$29&gt;42,$F$29,0)</f>
        <v>0</v>
      </c>
      <c r="O66" s="1469"/>
      <c r="P66" s="1666"/>
      <c r="Q66" s="1657"/>
      <c r="R66" s="1020"/>
      <c r="S66" s="1020"/>
      <c r="T66" s="1405" t="s">
        <v>1159</v>
      </c>
      <c r="U66" s="1405"/>
      <c r="V66" s="1020"/>
      <c r="W66" s="1035">
        <f t="shared" si="7"/>
        <v>47396</v>
      </c>
      <c r="X66" s="1020"/>
      <c r="Y66" s="1020"/>
      <c r="Z66" s="1020"/>
      <c r="AA66" s="1020"/>
      <c r="AB66" s="1020"/>
      <c r="AC66" s="1020"/>
      <c r="AD66" s="1020"/>
      <c r="AE66" s="1020"/>
      <c r="AF66" s="1020"/>
      <c r="AG66" s="1020"/>
      <c r="AH66" s="1020"/>
      <c r="AI66" s="1020"/>
      <c r="AJ66" s="1020"/>
      <c r="AK66" s="1020"/>
      <c r="AL66" s="1020"/>
      <c r="AM66" s="1020"/>
      <c r="AN66" s="1020"/>
      <c r="AO66" s="1020"/>
      <c r="AP66" s="1020"/>
      <c r="AQ66" s="1020"/>
      <c r="AR66" s="1020"/>
      <c r="AS66" s="1020"/>
      <c r="AT66" s="1020"/>
      <c r="AU66" s="1020"/>
      <c r="AV66" s="1020"/>
      <c r="AW66" s="1020"/>
      <c r="AX66" s="1020"/>
    </row>
    <row r="67" spans="1:50" ht="12" customHeight="1">
      <c r="A67" s="1024"/>
      <c r="B67" s="1728">
        <f>FORM!O31</f>
        <v>0</v>
      </c>
      <c r="C67" s="1729"/>
      <c r="D67" s="1728">
        <f>FORM!S31</f>
        <v>0</v>
      </c>
      <c r="E67" s="1730"/>
      <c r="F67" s="1729"/>
      <c r="G67" s="1731">
        <f>FORM!V31</f>
        <v>0</v>
      </c>
      <c r="H67" s="1732"/>
      <c r="I67" s="1733"/>
      <c r="J67" s="1059"/>
      <c r="K67" s="1521">
        <f t="shared" si="8"/>
        <v>0</v>
      </c>
      <c r="L67" s="1521"/>
      <c r="M67" s="1035" t="str">
        <f t="shared" si="2"/>
        <v/>
      </c>
      <c r="N67" s="1469">
        <f>IF($E$29&gt;42,$F$29,0)</f>
        <v>0</v>
      </c>
      <c r="O67" s="1469"/>
      <c r="P67" s="1666"/>
      <c r="Q67" s="1657"/>
      <c r="R67" s="1020"/>
      <c r="S67" s="1020"/>
      <c r="T67" s="1405" t="s">
        <v>1160</v>
      </c>
      <c r="U67" s="1405"/>
      <c r="V67" s="1020"/>
      <c r="W67" s="1035">
        <f t="shared" si="7"/>
        <v>47427</v>
      </c>
      <c r="X67" s="1020"/>
      <c r="Y67" s="1020"/>
      <c r="Z67" s="1020"/>
      <c r="AA67" s="1020"/>
      <c r="AB67" s="1020"/>
      <c r="AC67" s="1020"/>
      <c r="AD67" s="1020"/>
      <c r="AE67" s="1020"/>
      <c r="AF67" s="1020"/>
      <c r="AG67" s="1020"/>
      <c r="AH67" s="1020"/>
      <c r="AI67" s="1020"/>
      <c r="AJ67" s="1020"/>
      <c r="AK67" s="1020"/>
      <c r="AL67" s="1020"/>
      <c r="AM67" s="1020"/>
      <c r="AN67" s="1020"/>
      <c r="AO67" s="1020"/>
      <c r="AP67" s="1020"/>
      <c r="AQ67" s="1020"/>
      <c r="AR67" s="1020"/>
      <c r="AS67" s="1020"/>
      <c r="AT67" s="1020"/>
      <c r="AU67" s="1020"/>
      <c r="AV67" s="1020"/>
      <c r="AW67" s="1020"/>
      <c r="AX67" s="1020"/>
    </row>
    <row r="68" spans="1:50" ht="12" customHeight="1">
      <c r="A68" s="1024"/>
      <c r="B68" s="1734"/>
      <c r="C68" s="1735"/>
      <c r="D68" s="1734"/>
      <c r="E68" s="1736"/>
      <c r="F68" s="1735"/>
      <c r="G68" s="1737"/>
      <c r="H68" s="1738"/>
      <c r="I68" s="1739"/>
      <c r="J68" s="1059"/>
      <c r="K68" s="1521">
        <f t="shared" si="8"/>
        <v>0</v>
      </c>
      <c r="L68" s="1521"/>
      <c r="M68" s="1035" t="str">
        <f t="shared" si="2"/>
        <v/>
      </c>
      <c r="N68" s="1469"/>
      <c r="O68" s="1469"/>
      <c r="P68" s="1666"/>
      <c r="Q68" s="1657"/>
      <c r="R68" s="1020"/>
      <c r="S68" s="1020"/>
      <c r="T68" s="1405" t="s">
        <v>1161</v>
      </c>
      <c r="U68" s="1405"/>
      <c r="V68" s="1020"/>
      <c r="W68" s="1035">
        <f t="shared" si="7"/>
        <v>47457</v>
      </c>
      <c r="X68" s="1020"/>
      <c r="Y68" s="1020"/>
      <c r="Z68" s="1020"/>
      <c r="AA68" s="1020"/>
      <c r="AB68" s="1020"/>
      <c r="AC68" s="1020"/>
      <c r="AD68" s="1020"/>
      <c r="AE68" s="1020"/>
      <c r="AF68" s="1020"/>
      <c r="AG68" s="1020"/>
      <c r="AH68" s="1020"/>
      <c r="AI68" s="1020"/>
      <c r="AJ68" s="1020"/>
      <c r="AK68" s="1020"/>
      <c r="AL68" s="1020"/>
      <c r="AM68" s="1020"/>
      <c r="AN68" s="1020"/>
      <c r="AO68" s="1020"/>
      <c r="AP68" s="1020"/>
      <c r="AQ68" s="1020"/>
      <c r="AR68" s="1020"/>
      <c r="AS68" s="1020"/>
      <c r="AT68" s="1020"/>
      <c r="AU68" s="1020"/>
      <c r="AV68" s="1020"/>
      <c r="AW68" s="1020"/>
      <c r="AX68" s="1020"/>
    </row>
    <row r="69" spans="1:50" ht="12" customHeight="1">
      <c r="A69" s="1024"/>
      <c r="B69" s="1728">
        <f>FORM!O33</f>
        <v>0</v>
      </c>
      <c r="C69" s="1729"/>
      <c r="D69" s="1728">
        <f>FORM!S33</f>
        <v>0</v>
      </c>
      <c r="E69" s="1730"/>
      <c r="F69" s="1729"/>
      <c r="G69" s="1731">
        <f>FORM!V33</f>
        <v>0</v>
      </c>
      <c r="H69" s="1732"/>
      <c r="I69" s="1733"/>
      <c r="J69" s="1059"/>
      <c r="K69" s="1521">
        <f t="shared" si="8"/>
        <v>0</v>
      </c>
      <c r="L69" s="1521"/>
      <c r="M69" s="1035" t="str">
        <f t="shared" si="2"/>
        <v/>
      </c>
      <c r="N69" s="1469"/>
      <c r="O69" s="1469"/>
      <c r="P69" s="1666"/>
      <c r="Q69" s="1657"/>
      <c r="R69" s="1020"/>
      <c r="S69" s="1020"/>
      <c r="T69" s="1405" t="s">
        <v>1162</v>
      </c>
      <c r="U69" s="1405"/>
      <c r="V69" s="1020"/>
      <c r="W69" s="1035">
        <f t="shared" si="7"/>
        <v>47488</v>
      </c>
      <c r="X69" s="1020"/>
      <c r="Y69" s="1020"/>
      <c r="Z69" s="1020"/>
      <c r="AA69" s="1020"/>
      <c r="AB69" s="1020"/>
      <c r="AC69" s="1020"/>
      <c r="AD69" s="1020"/>
      <c r="AE69" s="1020"/>
      <c r="AF69" s="1020"/>
      <c r="AG69" s="1020"/>
      <c r="AH69" s="1020"/>
      <c r="AI69" s="1020"/>
      <c r="AJ69" s="1020"/>
      <c r="AK69" s="1020"/>
      <c r="AL69" s="1020"/>
      <c r="AM69" s="1020"/>
      <c r="AN69" s="1020"/>
      <c r="AO69" s="1020"/>
      <c r="AP69" s="1020"/>
      <c r="AQ69" s="1020"/>
      <c r="AR69" s="1020"/>
      <c r="AS69" s="1020"/>
      <c r="AT69" s="1020"/>
      <c r="AU69" s="1020"/>
      <c r="AV69" s="1020"/>
      <c r="AW69" s="1020"/>
      <c r="AX69" s="1020"/>
    </row>
    <row r="70" spans="1:50" ht="12" customHeight="1">
      <c r="A70" s="1024"/>
      <c r="B70" s="1734"/>
      <c r="C70" s="1735"/>
      <c r="D70" s="1734"/>
      <c r="E70" s="1736"/>
      <c r="F70" s="1735"/>
      <c r="G70" s="1737"/>
      <c r="H70" s="1738"/>
      <c r="I70" s="1739"/>
      <c r="J70" s="1059"/>
      <c r="K70" s="1521">
        <f t="shared" si="8"/>
        <v>0</v>
      </c>
      <c r="L70" s="1521"/>
      <c r="M70" s="1035" t="str">
        <f t="shared" si="2"/>
        <v/>
      </c>
      <c r="N70" s="1469"/>
      <c r="O70" s="1469"/>
      <c r="P70" s="1666"/>
      <c r="Q70" s="1657"/>
      <c r="R70" s="1020"/>
      <c r="S70" s="1020"/>
      <c r="T70" s="1405" t="s">
        <v>1163</v>
      </c>
      <c r="U70" s="1405"/>
      <c r="V70" s="1020"/>
      <c r="W70" s="1035">
        <f t="shared" si="7"/>
        <v>47519</v>
      </c>
      <c r="X70" s="1020"/>
      <c r="Y70" s="1020"/>
      <c r="Z70" s="1020"/>
      <c r="AA70" s="1020"/>
      <c r="AB70" s="1020"/>
      <c r="AC70" s="1020"/>
      <c r="AD70" s="1020"/>
      <c r="AE70" s="1020"/>
      <c r="AF70" s="1020"/>
      <c r="AG70" s="1020"/>
      <c r="AH70" s="1020"/>
      <c r="AI70" s="1020"/>
      <c r="AJ70" s="1020"/>
      <c r="AK70" s="1020"/>
      <c r="AL70" s="1020"/>
      <c r="AM70" s="1020"/>
      <c r="AN70" s="1020"/>
      <c r="AO70" s="1020"/>
      <c r="AP70" s="1020"/>
      <c r="AQ70" s="1020"/>
      <c r="AR70" s="1020"/>
      <c r="AS70" s="1020"/>
      <c r="AT70" s="1020"/>
      <c r="AU70" s="1020"/>
      <c r="AV70" s="1020"/>
      <c r="AW70" s="1020"/>
      <c r="AX70" s="1020"/>
    </row>
    <row r="71" spans="1:50" ht="12" customHeight="1">
      <c r="A71" s="1024"/>
      <c r="B71" s="161"/>
      <c r="C71" s="1024"/>
      <c r="D71" s="1024" t="s">
        <v>60</v>
      </c>
      <c r="E71" s="1024"/>
      <c r="F71" s="1024"/>
      <c r="G71" s="1024"/>
      <c r="H71" s="1024"/>
      <c r="I71" s="1024"/>
      <c r="J71" s="1059"/>
      <c r="K71" s="1521">
        <f t="shared" si="8"/>
        <v>0</v>
      </c>
      <c r="L71" s="1521"/>
      <c r="M71" s="1035" t="str">
        <f t="shared" si="2"/>
        <v/>
      </c>
      <c r="N71" s="1469"/>
      <c r="O71" s="1469"/>
      <c r="P71" s="1284"/>
      <c r="Q71" s="1285"/>
      <c r="R71" s="1020"/>
      <c r="S71" s="1020"/>
      <c r="T71" s="1405" t="s">
        <v>1164</v>
      </c>
      <c r="U71" s="1405"/>
      <c r="V71" s="1020"/>
      <c r="W71" s="1035">
        <f t="shared" si="7"/>
        <v>47547</v>
      </c>
      <c r="X71" s="1020"/>
      <c r="Y71" s="1020"/>
      <c r="Z71" s="1020"/>
      <c r="AA71" s="1020"/>
      <c r="AB71" s="1020"/>
      <c r="AC71" s="1020"/>
      <c r="AD71" s="1020"/>
      <c r="AE71" s="1020"/>
      <c r="AF71" s="1020"/>
      <c r="AG71" s="1020"/>
      <c r="AH71" s="1020"/>
      <c r="AI71" s="1020"/>
      <c r="AJ71" s="1020"/>
      <c r="AK71" s="1020"/>
      <c r="AL71" s="1020"/>
      <c r="AM71" s="1020"/>
      <c r="AN71" s="1020"/>
      <c r="AO71" s="1020"/>
      <c r="AP71" s="1020"/>
      <c r="AQ71" s="1020"/>
      <c r="AR71" s="1020"/>
      <c r="AS71" s="1020"/>
      <c r="AT71" s="1020"/>
      <c r="AU71" s="1020"/>
      <c r="AV71" s="1020"/>
      <c r="AW71" s="1020"/>
      <c r="AX71" s="1020"/>
    </row>
    <row r="72" spans="1:50" ht="12" customHeight="1">
      <c r="A72" s="1024"/>
      <c r="B72" s="1020"/>
      <c r="C72" s="250" t="s">
        <v>1165</v>
      </c>
      <c r="D72" s="1670"/>
      <c r="E72" s="1670"/>
      <c r="F72" s="1670"/>
      <c r="G72" s="1024"/>
      <c r="H72" s="1024"/>
      <c r="I72" s="1024"/>
      <c r="J72" s="1059"/>
      <c r="K72" s="1521">
        <f t="shared" si="8"/>
        <v>0</v>
      </c>
      <c r="L72" s="1521"/>
      <c r="M72" s="1035" t="str">
        <f t="shared" si="2"/>
        <v/>
      </c>
      <c r="N72" s="1469"/>
      <c r="O72" s="1469"/>
      <c r="P72" s="1284"/>
      <c r="Q72" s="1285"/>
      <c r="R72" s="1020"/>
      <c r="S72" s="1020"/>
      <c r="T72" s="1405" t="s">
        <v>1166</v>
      </c>
      <c r="U72" s="1405"/>
      <c r="V72" s="1020"/>
      <c r="W72" s="1035">
        <f t="shared" si="7"/>
        <v>47578</v>
      </c>
      <c r="X72" s="1020"/>
      <c r="Y72" s="1020"/>
      <c r="Z72" s="1020"/>
      <c r="AA72" s="1020"/>
      <c r="AB72" s="1020"/>
      <c r="AC72" s="1020"/>
      <c r="AD72" s="1020"/>
      <c r="AE72" s="1020"/>
      <c r="AF72" s="1020"/>
      <c r="AG72" s="1020"/>
      <c r="AH72" s="1020"/>
      <c r="AI72" s="1020"/>
      <c r="AJ72" s="1020"/>
      <c r="AK72" s="1020"/>
      <c r="AL72" s="1020"/>
      <c r="AM72" s="1020"/>
      <c r="AN72" s="1020"/>
      <c r="AO72" s="1020"/>
      <c r="AP72" s="1020"/>
      <c r="AQ72" s="1020"/>
      <c r="AR72" s="1020"/>
      <c r="AS72" s="1020"/>
      <c r="AT72" s="1020"/>
      <c r="AU72" s="1020"/>
      <c r="AV72" s="1020"/>
      <c r="AW72" s="1020"/>
      <c r="AX72" s="1020"/>
    </row>
    <row r="73" spans="1:50" ht="12" customHeight="1">
      <c r="A73" s="1024"/>
      <c r="B73" s="250"/>
      <c r="C73" s="1024"/>
      <c r="D73" s="1065"/>
      <c r="E73" s="1065"/>
      <c r="F73" s="1024"/>
      <c r="G73" s="1024"/>
      <c r="H73" s="1024"/>
      <c r="I73" s="1024"/>
      <c r="J73" s="1059"/>
      <c r="K73" s="1521"/>
      <c r="L73" s="1521"/>
      <c r="M73" s="1035"/>
      <c r="N73" s="1469"/>
      <c r="O73" s="1469"/>
      <c r="P73" s="1666"/>
      <c r="Q73" s="1657"/>
      <c r="R73" s="1020"/>
      <c r="S73" s="1020"/>
      <c r="T73" s="1036"/>
      <c r="U73" s="1036"/>
      <c r="V73" s="1020"/>
      <c r="W73" s="1020"/>
      <c r="X73" s="1020"/>
      <c r="Y73" s="1020"/>
      <c r="Z73" s="1020"/>
      <c r="AA73" s="1020"/>
      <c r="AB73" s="1020"/>
      <c r="AC73" s="1020"/>
      <c r="AD73" s="1020"/>
      <c r="AE73" s="1020"/>
      <c r="AF73" s="1020"/>
      <c r="AG73" s="1020"/>
      <c r="AH73" s="1020"/>
      <c r="AI73" s="1020"/>
      <c r="AJ73" s="1020"/>
      <c r="AK73" s="1020"/>
      <c r="AL73" s="1020"/>
      <c r="AM73" s="1020"/>
      <c r="AN73" s="1020"/>
      <c r="AO73" s="1020"/>
      <c r="AP73" s="1020"/>
      <c r="AQ73" s="1020"/>
      <c r="AR73" s="1020"/>
      <c r="AS73" s="1020"/>
      <c r="AT73" s="1020"/>
      <c r="AU73" s="1020"/>
      <c r="AV73" s="1020"/>
      <c r="AW73" s="1020"/>
      <c r="AX73" s="1020"/>
    </row>
    <row r="74" spans="1:50" ht="12" customHeight="1">
      <c r="A74" s="1024"/>
      <c r="B74" s="250"/>
      <c r="C74" s="1024"/>
      <c r="D74" s="1065"/>
      <c r="E74" s="1065"/>
      <c r="F74" s="1024"/>
      <c r="G74" s="1024"/>
      <c r="H74" s="1024"/>
      <c r="I74" s="1024"/>
      <c r="J74" s="1059"/>
      <c r="K74" s="1521"/>
      <c r="L74" s="1521"/>
      <c r="M74" s="1035"/>
      <c r="N74" s="1406"/>
      <c r="O74" s="1406"/>
      <c r="P74" s="1666"/>
      <c r="Q74" s="1657"/>
      <c r="R74" s="1020"/>
      <c r="S74" s="1020"/>
      <c r="T74" s="1036"/>
      <c r="U74" s="1036"/>
      <c r="V74" s="1020"/>
      <c r="W74" s="1020"/>
      <c r="X74" s="1020"/>
      <c r="Y74" s="1020"/>
      <c r="Z74" s="1020"/>
      <c r="AA74" s="1020"/>
      <c r="AB74" s="1020"/>
      <c r="AC74" s="1020"/>
      <c r="AD74" s="1020"/>
      <c r="AE74" s="1020"/>
      <c r="AF74" s="1020"/>
      <c r="AG74" s="1020"/>
      <c r="AH74" s="1020"/>
      <c r="AI74" s="1020"/>
      <c r="AJ74" s="1020"/>
      <c r="AK74" s="1020"/>
      <c r="AL74" s="1020"/>
      <c r="AM74" s="1020"/>
      <c r="AN74" s="1020"/>
      <c r="AO74" s="1020"/>
      <c r="AP74" s="1020"/>
      <c r="AQ74" s="1020"/>
      <c r="AR74" s="1020"/>
      <c r="AS74" s="1020"/>
      <c r="AT74" s="1020"/>
      <c r="AU74" s="1020"/>
      <c r="AV74" s="1020"/>
      <c r="AW74" s="1020"/>
      <c r="AX74" s="1020"/>
    </row>
    <row r="75" spans="1:50" ht="12" customHeight="1">
      <c r="A75" s="1024"/>
      <c r="B75" s="250"/>
      <c r="C75" s="1024"/>
      <c r="D75" s="1065"/>
      <c r="E75" s="1065"/>
      <c r="F75" s="1024"/>
      <c r="G75" s="1024"/>
      <c r="H75" s="1024"/>
      <c r="I75" s="1024"/>
      <c r="J75" s="1059"/>
      <c r="K75" s="1521" t="s">
        <v>1251</v>
      </c>
      <c r="L75" s="1521"/>
      <c r="M75" s="1035">
        <f>M76</f>
        <v>46817</v>
      </c>
      <c r="N75" s="1524">
        <f>F26</f>
        <v>116217.8568529022</v>
      </c>
      <c r="O75" s="1525"/>
      <c r="P75" s="1666"/>
      <c r="Q75" s="1657"/>
      <c r="R75" s="1020"/>
      <c r="S75" s="1020"/>
      <c r="T75" s="1036"/>
      <c r="U75" s="1036"/>
      <c r="V75" s="1020"/>
      <c r="W75" s="1020"/>
      <c r="X75" s="1020"/>
      <c r="Y75" s="1020"/>
      <c r="Z75" s="1020"/>
      <c r="AA75" s="1020"/>
      <c r="AB75" s="1020"/>
      <c r="AC75" s="1020"/>
      <c r="AD75" s="1020"/>
      <c r="AE75" s="1020"/>
      <c r="AF75" s="1020"/>
      <c r="AG75" s="1020"/>
      <c r="AH75" s="1020"/>
      <c r="AI75" s="1020"/>
      <c r="AJ75" s="1020"/>
      <c r="AK75" s="1020"/>
      <c r="AL75" s="1020"/>
      <c r="AM75" s="1020"/>
      <c r="AN75" s="1020"/>
      <c r="AO75" s="1020"/>
      <c r="AP75" s="1020"/>
      <c r="AQ75" s="1020"/>
      <c r="AR75" s="1020"/>
      <c r="AS75" s="1020"/>
      <c r="AT75" s="1020"/>
      <c r="AU75" s="1020"/>
      <c r="AV75" s="1020"/>
      <c r="AW75" s="1020"/>
      <c r="AX75" s="1020"/>
    </row>
    <row r="76" spans="1:50" ht="12" customHeight="1">
      <c r="A76" s="1024"/>
      <c r="B76" s="250"/>
      <c r="C76" s="1024"/>
      <c r="D76" s="1065"/>
      <c r="E76" s="1065"/>
      <c r="F76" s="1024"/>
      <c r="G76" s="1024"/>
      <c r="H76" s="1024"/>
      <c r="I76" s="1024"/>
      <c r="J76" s="1059"/>
      <c r="K76" s="1411" t="s">
        <v>1167</v>
      </c>
      <c r="L76" s="1411"/>
      <c r="M76" s="251">
        <f>IF(DAY(W17)=31,Y19,AA19)</f>
        <v>46817</v>
      </c>
      <c r="N76" s="1412">
        <f>F31</f>
        <v>4067624.9898515767</v>
      </c>
      <c r="O76" s="1412"/>
      <c r="P76" s="1407"/>
      <c r="Q76" s="1408"/>
      <c r="R76" s="1020"/>
      <c r="S76" s="1020"/>
      <c r="T76" s="1036"/>
      <c r="U76" s="1036"/>
      <c r="V76" s="1020"/>
      <c r="W76" s="1020"/>
      <c r="X76" s="1020"/>
      <c r="Y76" s="1020"/>
      <c r="Z76" s="1020"/>
      <c r="AA76" s="1020"/>
      <c r="AB76" s="1020"/>
      <c r="AC76" s="1020"/>
      <c r="AD76" s="1020"/>
      <c r="AE76" s="1020"/>
      <c r="AF76" s="1020"/>
      <c r="AG76" s="1020"/>
      <c r="AH76" s="1020"/>
      <c r="AI76" s="1020"/>
      <c r="AJ76" s="1020"/>
      <c r="AK76" s="1020"/>
      <c r="AL76" s="1020"/>
      <c r="AM76" s="1020"/>
      <c r="AN76" s="1020"/>
      <c r="AO76" s="1020"/>
      <c r="AP76" s="1020"/>
      <c r="AQ76" s="1020"/>
      <c r="AR76" s="1020"/>
      <c r="AS76" s="1020"/>
      <c r="AT76" s="1020"/>
      <c r="AU76" s="1020"/>
      <c r="AV76" s="1020"/>
      <c r="AW76" s="1020"/>
      <c r="AX76" s="1020"/>
    </row>
    <row r="77" spans="1:50" ht="12" customHeight="1">
      <c r="A77" s="1024"/>
      <c r="B77" s="250"/>
      <c r="C77" s="1024"/>
      <c r="D77" s="1065"/>
      <c r="E77" s="1065"/>
      <c r="F77" s="1024"/>
      <c r="G77" s="1024"/>
      <c r="H77" s="1024"/>
      <c r="I77" s="1024"/>
      <c r="J77" s="1059"/>
      <c r="K77" s="1409"/>
      <c r="L77" s="1409"/>
      <c r="M77" s="252"/>
      <c r="N77" s="1410"/>
      <c r="O77" s="1410"/>
      <c r="P77" s="253"/>
      <c r="Q77" s="100"/>
      <c r="R77" s="1020"/>
      <c r="S77" s="1020"/>
      <c r="T77" s="1036"/>
      <c r="U77" s="1036"/>
      <c r="V77" s="1020"/>
      <c r="W77" s="1020"/>
      <c r="X77" s="1020"/>
      <c r="Y77" s="1020"/>
      <c r="Z77" s="1020"/>
      <c r="AA77" s="1020"/>
      <c r="AB77" s="1020"/>
      <c r="AC77" s="1020"/>
      <c r="AD77" s="1020"/>
      <c r="AE77" s="1020"/>
      <c r="AF77" s="1020"/>
      <c r="AG77" s="1020"/>
      <c r="AH77" s="1020"/>
      <c r="AI77" s="1020"/>
      <c r="AJ77" s="1020"/>
      <c r="AK77" s="1020"/>
      <c r="AL77" s="1020"/>
      <c r="AM77" s="1020"/>
      <c r="AN77" s="1020"/>
      <c r="AO77" s="1020"/>
      <c r="AP77" s="1020"/>
      <c r="AQ77" s="1020"/>
      <c r="AR77" s="1020"/>
      <c r="AS77" s="1020"/>
      <c r="AT77" s="1020"/>
      <c r="AU77" s="1020"/>
      <c r="AV77" s="1020"/>
      <c r="AW77" s="1020"/>
      <c r="AX77" s="1020"/>
    </row>
    <row r="78" spans="1:50" ht="12" customHeight="1">
      <c r="A78" s="1024"/>
      <c r="B78" s="100" t="s">
        <v>1168</v>
      </c>
      <c r="C78" s="1024"/>
      <c r="D78" s="1024"/>
      <c r="E78" s="1024"/>
      <c r="F78" s="100" t="s">
        <v>1169</v>
      </c>
      <c r="G78" s="1024"/>
      <c r="H78" s="1024"/>
      <c r="I78" s="1024"/>
      <c r="J78" s="1059"/>
      <c r="K78" s="1020"/>
      <c r="L78" s="1066"/>
      <c r="M78" s="1020"/>
      <c r="N78" s="1020"/>
      <c r="O78" s="1020"/>
      <c r="P78" s="1020"/>
      <c r="Q78" s="1020"/>
      <c r="R78" s="1020"/>
      <c r="S78" s="1020"/>
      <c r="T78" s="1036"/>
      <c r="U78" s="1036"/>
      <c r="V78" s="1020"/>
      <c r="W78" s="1020"/>
      <c r="X78" s="1020"/>
      <c r="Y78" s="1020"/>
      <c r="Z78" s="1020"/>
      <c r="AA78" s="1020"/>
      <c r="AB78" s="1020"/>
      <c r="AC78" s="1020"/>
      <c r="AD78" s="1020"/>
      <c r="AE78" s="1020"/>
      <c r="AF78" s="1020"/>
      <c r="AG78" s="1020"/>
      <c r="AH78" s="1020"/>
      <c r="AI78" s="1020"/>
      <c r="AJ78" s="1020"/>
      <c r="AK78" s="1020"/>
      <c r="AL78" s="1020"/>
      <c r="AM78" s="1020"/>
      <c r="AN78" s="1020"/>
      <c r="AO78" s="1020"/>
      <c r="AP78" s="1020"/>
      <c r="AQ78" s="1020"/>
      <c r="AR78" s="1020"/>
      <c r="AS78" s="1020"/>
      <c r="AT78" s="1020"/>
      <c r="AU78" s="1020"/>
      <c r="AV78" s="1020"/>
      <c r="AW78" s="1020"/>
      <c r="AX78" s="1020"/>
    </row>
    <row r="79" spans="1:50" ht="12" customHeight="1">
      <c r="A79" s="1024"/>
      <c r="B79" s="1024"/>
      <c r="C79" s="1024"/>
      <c r="D79" s="1027"/>
      <c r="E79" s="1024"/>
      <c r="F79" s="1024"/>
      <c r="G79" s="1024"/>
      <c r="H79" s="1024"/>
      <c r="I79" s="1024"/>
      <c r="J79" s="1059"/>
      <c r="K79" s="100" t="s">
        <v>1168</v>
      </c>
      <c r="L79" s="1024"/>
      <c r="M79" s="1024"/>
      <c r="N79" s="1024"/>
      <c r="O79" s="100" t="s">
        <v>1169</v>
      </c>
      <c r="P79" s="1024"/>
      <c r="Q79" s="1024"/>
      <c r="R79" s="1020"/>
      <c r="S79" s="1020"/>
      <c r="T79" s="1036"/>
      <c r="U79" s="1036"/>
      <c r="V79" s="1020"/>
      <c r="W79" s="1020"/>
      <c r="X79" s="1020"/>
      <c r="Y79" s="1020"/>
      <c r="Z79" s="1020"/>
      <c r="AA79" s="1020"/>
      <c r="AB79" s="1020"/>
      <c r="AC79" s="1020"/>
      <c r="AD79" s="1020"/>
      <c r="AE79" s="1020"/>
      <c r="AF79" s="1020"/>
      <c r="AG79" s="1020"/>
      <c r="AH79" s="1020"/>
      <c r="AI79" s="1020"/>
      <c r="AJ79" s="1020"/>
      <c r="AK79" s="1020"/>
      <c r="AL79" s="1020"/>
      <c r="AM79" s="1020"/>
      <c r="AN79" s="1020"/>
      <c r="AO79" s="1020"/>
      <c r="AP79" s="1020"/>
      <c r="AQ79" s="1020"/>
      <c r="AR79" s="1020"/>
      <c r="AS79" s="1020"/>
      <c r="AT79" s="1020"/>
      <c r="AU79" s="1020"/>
      <c r="AV79" s="1020"/>
      <c r="AW79" s="1020"/>
      <c r="AX79" s="1020"/>
    </row>
    <row r="80" spans="1:50" ht="12" customHeight="1">
      <c r="A80" s="1024"/>
      <c r="B80" s="1024"/>
      <c r="C80" s="1024"/>
      <c r="D80" s="1027"/>
      <c r="E80" s="1024"/>
      <c r="F80" s="1024"/>
      <c r="G80" s="1024"/>
      <c r="H80" s="1024"/>
      <c r="I80" s="1024"/>
      <c r="J80" s="1059"/>
      <c r="K80" s="1024"/>
      <c r="L80" s="1024"/>
      <c r="M80" s="1027"/>
      <c r="N80" s="1024"/>
      <c r="O80" s="1024"/>
      <c r="P80" s="1024"/>
      <c r="Q80" s="1024"/>
      <c r="R80" s="1020"/>
      <c r="S80" s="1020"/>
      <c r="T80" s="1036"/>
      <c r="U80" s="1036"/>
      <c r="V80" s="1020"/>
      <c r="W80" s="1020"/>
      <c r="X80" s="1020"/>
      <c r="Y80" s="1020"/>
      <c r="Z80" s="1020"/>
      <c r="AA80" s="1020"/>
      <c r="AB80" s="1020"/>
      <c r="AC80" s="1020"/>
      <c r="AD80" s="1020"/>
      <c r="AE80" s="1020"/>
      <c r="AF80" s="1020"/>
      <c r="AG80" s="1020"/>
      <c r="AH80" s="1020"/>
      <c r="AI80" s="1020"/>
      <c r="AJ80" s="1020"/>
      <c r="AK80" s="1020"/>
      <c r="AL80" s="1020"/>
      <c r="AM80" s="1020"/>
      <c r="AN80" s="1020"/>
      <c r="AO80" s="1020"/>
      <c r="AP80" s="1020"/>
      <c r="AQ80" s="1020"/>
      <c r="AR80" s="1020"/>
      <c r="AS80" s="1020"/>
      <c r="AT80" s="1020"/>
      <c r="AU80" s="1020"/>
      <c r="AV80" s="1020"/>
      <c r="AW80" s="1020"/>
      <c r="AX80" s="1020"/>
    </row>
    <row r="81" spans="1:50" ht="12" customHeight="1">
      <c r="A81" s="1024"/>
      <c r="B81" s="1413" t="str">
        <f>FORM!I28</f>
        <v xml:space="preserve">agent </v>
      </c>
      <c r="C81" s="1413"/>
      <c r="D81" s="1413"/>
      <c r="E81" s="100"/>
      <c r="F81" s="1413" t="str">
        <f>FORM!I26</f>
        <v>buyer</v>
      </c>
      <c r="G81" s="1413"/>
      <c r="H81" s="1413"/>
      <c r="I81" s="1413"/>
      <c r="J81" s="1059"/>
      <c r="K81" s="1024"/>
      <c r="L81" s="1024"/>
      <c r="M81" s="1027"/>
      <c r="N81" s="1024"/>
      <c r="O81" s="1024"/>
      <c r="P81" s="1024"/>
      <c r="Q81" s="1024"/>
      <c r="R81" s="1020"/>
      <c r="S81" s="1020"/>
      <c r="T81" s="1036"/>
      <c r="U81" s="1036"/>
      <c r="V81" s="1020"/>
      <c r="W81" s="1020"/>
      <c r="X81" s="1020"/>
      <c r="Y81" s="1020"/>
      <c r="Z81" s="1020"/>
      <c r="AA81" s="1020"/>
      <c r="AB81" s="1020"/>
      <c r="AC81" s="1020"/>
      <c r="AD81" s="1020"/>
      <c r="AE81" s="1020"/>
      <c r="AF81" s="1020"/>
      <c r="AG81" s="1020"/>
      <c r="AH81" s="1020"/>
      <c r="AI81" s="1020"/>
      <c r="AJ81" s="1020"/>
      <c r="AK81" s="1020"/>
      <c r="AL81" s="1020"/>
      <c r="AM81" s="1020"/>
      <c r="AN81" s="1020"/>
      <c r="AO81" s="1020"/>
      <c r="AP81" s="1020"/>
      <c r="AQ81" s="1020"/>
      <c r="AR81" s="1020"/>
      <c r="AS81" s="1020"/>
      <c r="AT81" s="1020"/>
      <c r="AU81" s="1020"/>
      <c r="AV81" s="1020"/>
      <c r="AW81" s="1020"/>
      <c r="AX81" s="1020"/>
    </row>
    <row r="82" spans="1:50" ht="12" customHeight="1">
      <c r="A82" s="1024"/>
      <c r="B82" s="1068" t="s">
        <v>1170</v>
      </c>
      <c r="C82" s="1672"/>
      <c r="D82" s="1672"/>
      <c r="E82" s="1024"/>
      <c r="F82" s="1674" t="s">
        <v>1171</v>
      </c>
      <c r="G82" s="1674"/>
      <c r="H82" s="1674"/>
      <c r="I82" s="1069"/>
      <c r="J82" s="1059"/>
      <c r="K82" s="1413" t="str">
        <f>FORM!I28</f>
        <v xml:space="preserve">agent </v>
      </c>
      <c r="L82" s="1413"/>
      <c r="M82" s="1413"/>
      <c r="N82" s="100"/>
      <c r="O82" s="1414" t="str">
        <f>FORM!I26</f>
        <v>buyer</v>
      </c>
      <c r="P82" s="1414"/>
      <c r="Q82" s="1414"/>
      <c r="R82" s="1020"/>
      <c r="S82" s="1020"/>
      <c r="T82" s="1036"/>
      <c r="U82" s="1036"/>
      <c r="V82" s="1020"/>
      <c r="W82" s="1020"/>
      <c r="X82" s="1020"/>
      <c r="Y82" s="1020"/>
      <c r="Z82" s="1020"/>
      <c r="AA82" s="1020"/>
      <c r="AB82" s="1020"/>
      <c r="AC82" s="1020"/>
      <c r="AD82" s="1020"/>
      <c r="AE82" s="1020"/>
      <c r="AF82" s="1020"/>
      <c r="AG82" s="1020"/>
      <c r="AH82" s="1020"/>
      <c r="AI82" s="1020"/>
      <c r="AJ82" s="1020"/>
      <c r="AK82" s="1020"/>
      <c r="AL82" s="1020"/>
      <c r="AM82" s="1020"/>
      <c r="AN82" s="1020"/>
      <c r="AO82" s="1020"/>
      <c r="AP82" s="1020"/>
      <c r="AQ82" s="1020"/>
      <c r="AR82" s="1020"/>
      <c r="AS82" s="1020"/>
      <c r="AT82" s="1020"/>
      <c r="AU82" s="1020"/>
      <c r="AV82" s="1020"/>
      <c r="AW82" s="1020"/>
      <c r="AX82" s="1020"/>
    </row>
    <row r="83" spans="1:50" ht="12" customHeight="1">
      <c r="A83" s="1024"/>
      <c r="B83" s="161"/>
      <c r="C83" s="1024"/>
      <c r="D83" s="1024"/>
      <c r="E83" s="1024"/>
      <c r="F83" s="1024"/>
      <c r="G83" s="1024"/>
      <c r="H83" s="1024"/>
      <c r="I83" s="1024"/>
      <c r="J83" s="1059"/>
      <c r="K83" s="1068" t="s">
        <v>1170</v>
      </c>
      <c r="L83" s="1672"/>
      <c r="M83" s="1672"/>
      <c r="N83" s="1024"/>
      <c r="O83" s="1673" t="s">
        <v>1171</v>
      </c>
      <c r="P83" s="1673"/>
      <c r="Q83" s="1673"/>
      <c r="R83" s="1020"/>
      <c r="S83" s="1020"/>
      <c r="T83" s="1036"/>
      <c r="U83" s="1036"/>
      <c r="V83" s="1020"/>
      <c r="W83" s="1020"/>
      <c r="X83" s="1020"/>
      <c r="Y83" s="1020"/>
      <c r="Z83" s="1020"/>
      <c r="AA83" s="1020"/>
      <c r="AB83" s="1020"/>
      <c r="AC83" s="1020"/>
      <c r="AD83" s="1020"/>
      <c r="AE83" s="1020"/>
      <c r="AF83" s="1020"/>
      <c r="AG83" s="1020"/>
      <c r="AH83" s="1020"/>
      <c r="AI83" s="1020"/>
      <c r="AJ83" s="1020"/>
      <c r="AK83" s="1020"/>
      <c r="AL83" s="1020"/>
      <c r="AM83" s="1020"/>
      <c r="AN83" s="1020"/>
      <c r="AO83" s="1020"/>
      <c r="AP83" s="1020"/>
      <c r="AQ83" s="1020"/>
      <c r="AR83" s="1020"/>
      <c r="AS83" s="1020"/>
      <c r="AT83" s="1020"/>
      <c r="AU83" s="1020"/>
      <c r="AV83" s="1020"/>
      <c r="AW83" s="1020"/>
      <c r="AX83" s="1020"/>
    </row>
    <row r="84" spans="1:50" ht="12" customHeight="1">
      <c r="A84" s="1024"/>
      <c r="B84" s="161"/>
      <c r="C84" s="1024"/>
      <c r="D84" s="1024"/>
      <c r="E84" s="1024"/>
      <c r="F84" s="1024"/>
      <c r="G84" s="1024"/>
      <c r="H84" s="1024"/>
      <c r="I84" s="1024"/>
      <c r="J84" s="1059"/>
      <c r="K84" s="1020"/>
      <c r="L84" s="1020"/>
      <c r="M84" s="1020"/>
      <c r="N84" s="1020"/>
      <c r="O84" s="1020"/>
      <c r="P84" s="1020"/>
      <c r="Q84" s="1020"/>
      <c r="R84" s="1020"/>
      <c r="S84" s="1020"/>
      <c r="T84" s="1036"/>
      <c r="U84" s="1036"/>
      <c r="V84" s="1020"/>
      <c r="W84" s="1020"/>
      <c r="X84" s="1020"/>
      <c r="Y84" s="1020"/>
      <c r="Z84" s="1020"/>
      <c r="AA84" s="1020"/>
      <c r="AB84" s="1020"/>
      <c r="AC84" s="1020"/>
      <c r="AD84" s="1020"/>
      <c r="AE84" s="1020"/>
      <c r="AF84" s="1020"/>
      <c r="AG84" s="1020"/>
      <c r="AH84" s="1020"/>
      <c r="AI84" s="1020"/>
      <c r="AJ84" s="1020"/>
      <c r="AK84" s="1020"/>
      <c r="AL84" s="1020"/>
      <c r="AM84" s="1020"/>
      <c r="AN84" s="1020"/>
      <c r="AO84" s="1020"/>
      <c r="AP84" s="1020"/>
      <c r="AQ84" s="1020"/>
      <c r="AR84" s="1020"/>
      <c r="AS84" s="1020"/>
      <c r="AT84" s="1020"/>
      <c r="AU84" s="1020"/>
      <c r="AV84" s="1020"/>
      <c r="AW84" s="1020"/>
      <c r="AX84" s="1020"/>
    </row>
    <row r="85" spans="1:50" ht="12" customHeight="1">
      <c r="A85" s="1024"/>
      <c r="B85" s="161"/>
      <c r="C85" s="1024"/>
      <c r="D85" s="1024"/>
      <c r="E85" s="1024"/>
      <c r="F85" s="1024"/>
      <c r="G85" s="1024"/>
      <c r="H85" s="1024"/>
      <c r="I85" s="1024"/>
      <c r="J85" s="1059"/>
      <c r="K85" s="156"/>
      <c r="L85" s="1024"/>
      <c r="M85" s="1033"/>
      <c r="N85" s="1024"/>
      <c r="O85" s="1024"/>
      <c r="P85" s="1024"/>
      <c r="Q85" s="1024"/>
      <c r="R85" s="1020"/>
      <c r="S85" s="1020"/>
      <c r="T85" s="1036"/>
      <c r="U85" s="1036"/>
      <c r="V85" s="1020"/>
      <c r="W85" s="1020"/>
      <c r="X85" s="1020"/>
      <c r="Y85" s="1020"/>
      <c r="Z85" s="1020"/>
      <c r="AA85" s="1020"/>
      <c r="AB85" s="1020"/>
      <c r="AC85" s="1020"/>
      <c r="AD85" s="1020"/>
      <c r="AE85" s="1020"/>
      <c r="AF85" s="1020"/>
      <c r="AG85" s="1020"/>
      <c r="AH85" s="1020"/>
      <c r="AI85" s="1020"/>
      <c r="AJ85" s="1020"/>
      <c r="AK85" s="1020"/>
      <c r="AL85" s="1020"/>
      <c r="AM85" s="1020"/>
      <c r="AN85" s="1020"/>
      <c r="AO85" s="1020"/>
      <c r="AP85" s="1020"/>
      <c r="AQ85" s="1020"/>
      <c r="AR85" s="1020"/>
      <c r="AS85" s="1020"/>
      <c r="AT85" s="1020"/>
      <c r="AU85" s="1020"/>
      <c r="AV85" s="1020"/>
      <c r="AW85" s="1020"/>
      <c r="AX85" s="1020"/>
    </row>
    <row r="86" spans="1:50" ht="12" customHeight="1">
      <c r="A86" s="1024"/>
      <c r="B86" s="161"/>
      <c r="C86" s="1024"/>
      <c r="D86" s="1024"/>
      <c r="E86" s="1024"/>
      <c r="F86" s="1024"/>
      <c r="G86" s="1024"/>
      <c r="H86" s="1024"/>
      <c r="I86" s="1024"/>
      <c r="J86" s="1059"/>
      <c r="K86" s="156"/>
      <c r="L86" s="1024"/>
      <c r="M86" s="1033"/>
      <c r="N86" s="1024"/>
      <c r="O86" s="1024"/>
      <c r="P86" s="1024"/>
      <c r="Q86" s="1024"/>
      <c r="R86" s="1020"/>
      <c r="S86" s="1020"/>
      <c r="T86" s="1036"/>
      <c r="U86" s="1036"/>
      <c r="V86" s="1020"/>
      <c r="W86" s="1020"/>
      <c r="X86" s="1020"/>
      <c r="Y86" s="1020"/>
      <c r="Z86" s="1020"/>
      <c r="AA86" s="1020"/>
      <c r="AB86" s="1020"/>
      <c r="AC86" s="1020"/>
      <c r="AD86" s="1020"/>
      <c r="AE86" s="1020"/>
      <c r="AF86" s="1020"/>
      <c r="AG86" s="1020"/>
      <c r="AH86" s="1020"/>
      <c r="AI86" s="1020"/>
      <c r="AJ86" s="1020"/>
      <c r="AK86" s="1020"/>
      <c r="AL86" s="1020"/>
      <c r="AM86" s="1020"/>
      <c r="AN86" s="1020"/>
      <c r="AO86" s="1020"/>
      <c r="AP86" s="1020"/>
      <c r="AQ86" s="1020"/>
      <c r="AR86" s="1020"/>
      <c r="AS86" s="1020"/>
      <c r="AT86" s="1020"/>
      <c r="AU86" s="1020"/>
      <c r="AV86" s="1020"/>
      <c r="AW86" s="1020"/>
      <c r="AX86" s="1020"/>
    </row>
    <row r="87" spans="1:50" ht="12" customHeight="1">
      <c r="A87" s="1024"/>
      <c r="B87" s="161"/>
      <c r="C87" s="1024"/>
      <c r="D87" s="1024"/>
      <c r="E87" s="1024"/>
      <c r="F87" s="1024"/>
      <c r="G87" s="1024"/>
      <c r="H87" s="1024"/>
      <c r="I87" s="1024"/>
      <c r="J87" s="1059"/>
      <c r="K87" s="156"/>
      <c r="L87" s="1024"/>
      <c r="M87" s="1033"/>
      <c r="N87" s="1024"/>
      <c r="O87" s="1024"/>
      <c r="P87" s="1024"/>
      <c r="Q87" s="1024"/>
      <c r="R87" s="1020"/>
      <c r="S87" s="1020"/>
      <c r="T87" s="1036"/>
      <c r="U87" s="1036"/>
      <c r="V87" s="1020"/>
      <c r="W87" s="1020"/>
      <c r="X87" s="1020"/>
      <c r="Y87" s="1020"/>
      <c r="Z87" s="1020"/>
      <c r="AA87" s="1020"/>
      <c r="AB87" s="1020"/>
      <c r="AC87" s="1020"/>
      <c r="AD87" s="1020"/>
      <c r="AE87" s="1020"/>
      <c r="AF87" s="1020"/>
      <c r="AG87" s="1020"/>
      <c r="AH87" s="1020"/>
      <c r="AI87" s="1020"/>
      <c r="AJ87" s="1020"/>
      <c r="AK87" s="1020"/>
      <c r="AL87" s="1020"/>
      <c r="AM87" s="1020"/>
      <c r="AN87" s="1020"/>
      <c r="AO87" s="1020"/>
      <c r="AP87" s="1020"/>
      <c r="AQ87" s="1020"/>
      <c r="AR87" s="1020"/>
      <c r="AS87" s="1020"/>
      <c r="AT87" s="1020"/>
      <c r="AU87" s="1020"/>
      <c r="AV87" s="1020"/>
      <c r="AW87" s="1020"/>
      <c r="AX87" s="1020"/>
    </row>
    <row r="88" spans="1:50" ht="12.6">
      <c r="A88" s="1024"/>
      <c r="B88" s="161"/>
      <c r="C88" s="1024"/>
      <c r="D88" s="1027"/>
      <c r="E88" s="1024"/>
      <c r="F88" s="1024"/>
      <c r="G88" s="1024"/>
      <c r="H88" s="1024"/>
      <c r="I88" s="1024"/>
      <c r="J88" s="1059"/>
      <c r="K88" s="156"/>
      <c r="L88" s="1024"/>
      <c r="M88" s="1033"/>
      <c r="N88" s="1024"/>
      <c r="O88" s="1024"/>
      <c r="P88" s="1024"/>
      <c r="Q88" s="1024"/>
      <c r="R88" s="1020"/>
      <c r="S88" s="1020"/>
      <c r="T88" s="1036"/>
      <c r="U88" s="1036"/>
      <c r="V88" s="1020"/>
      <c r="W88" s="1020"/>
      <c r="X88" s="1020"/>
      <c r="Y88" s="1020"/>
      <c r="Z88" s="1020"/>
      <c r="AA88" s="1020"/>
      <c r="AB88" s="1020"/>
      <c r="AC88" s="1020"/>
      <c r="AD88" s="1020"/>
      <c r="AE88" s="1020"/>
      <c r="AF88" s="1020"/>
      <c r="AG88" s="1020"/>
      <c r="AH88" s="1020"/>
      <c r="AI88" s="1020"/>
      <c r="AJ88" s="1020"/>
      <c r="AK88" s="1020"/>
      <c r="AL88" s="1020"/>
      <c r="AM88" s="1020"/>
      <c r="AN88" s="1020"/>
      <c r="AO88" s="1020"/>
      <c r="AP88" s="1020"/>
      <c r="AQ88" s="1020"/>
      <c r="AR88" s="1020"/>
      <c r="AS88" s="1020"/>
      <c r="AT88" s="1020"/>
      <c r="AU88" s="1020"/>
      <c r="AV88" s="1020"/>
      <c r="AW88" s="1020"/>
      <c r="AX88" s="1020"/>
    </row>
    <row r="89" spans="1:50" ht="12" customHeight="1">
      <c r="A89" s="1024"/>
      <c r="B89" s="161"/>
      <c r="C89" s="1024"/>
      <c r="D89" s="1027"/>
      <c r="E89" s="1024"/>
      <c r="F89" s="1024"/>
      <c r="G89" s="1024"/>
      <c r="H89" s="1024"/>
      <c r="I89" s="1024"/>
      <c r="J89" s="1059"/>
      <c r="K89" s="156"/>
      <c r="L89" s="1024"/>
      <c r="M89" s="1033"/>
      <c r="N89" s="1024"/>
      <c r="O89" s="1024"/>
      <c r="P89" s="1024"/>
      <c r="Q89" s="1024"/>
      <c r="R89" s="1020"/>
      <c r="S89" s="1020"/>
      <c r="T89" s="1036"/>
      <c r="U89" s="1036"/>
      <c r="V89" s="1020"/>
      <c r="W89" s="1020"/>
      <c r="X89" s="1020"/>
      <c r="Y89" s="1020"/>
      <c r="Z89" s="1020"/>
      <c r="AA89" s="1020"/>
      <c r="AB89" s="1020"/>
      <c r="AC89" s="1020"/>
      <c r="AD89" s="1020"/>
      <c r="AE89" s="1020"/>
      <c r="AF89" s="1020"/>
      <c r="AG89" s="1020"/>
      <c r="AH89" s="1020"/>
      <c r="AI89" s="1020"/>
      <c r="AJ89" s="1020"/>
      <c r="AK89" s="1020"/>
      <c r="AL89" s="1020"/>
      <c r="AM89" s="1020"/>
      <c r="AN89" s="1020"/>
      <c r="AO89" s="1020"/>
      <c r="AP89" s="1020"/>
      <c r="AQ89" s="1020"/>
      <c r="AR89" s="1020"/>
      <c r="AS89" s="1020"/>
      <c r="AT89" s="1020"/>
      <c r="AU89" s="1020"/>
      <c r="AV89" s="1020"/>
      <c r="AW89" s="1020"/>
      <c r="AX89" s="1020"/>
    </row>
    <row r="90" spans="1:50" ht="12" customHeight="1">
      <c r="A90" s="1024"/>
      <c r="B90" s="161"/>
      <c r="C90" s="1024"/>
      <c r="D90" s="1027"/>
      <c r="E90" s="1024"/>
      <c r="F90" s="1024"/>
      <c r="G90" s="1024"/>
      <c r="H90" s="1024"/>
      <c r="I90" s="1024"/>
      <c r="J90" s="1059"/>
      <c r="K90" s="156"/>
      <c r="L90" s="1024"/>
      <c r="M90" s="1033"/>
      <c r="N90" s="1024"/>
      <c r="O90" s="1024"/>
      <c r="P90" s="1024"/>
      <c r="Q90" s="1024"/>
      <c r="R90" s="1020"/>
      <c r="S90" s="1020"/>
      <c r="T90" s="1036"/>
      <c r="U90" s="1036"/>
      <c r="V90" s="1020"/>
      <c r="W90" s="1020"/>
      <c r="X90" s="1020"/>
      <c r="Y90" s="1020"/>
      <c r="Z90" s="1020"/>
      <c r="AA90" s="1020"/>
      <c r="AB90" s="1020"/>
      <c r="AC90" s="1020"/>
      <c r="AD90" s="1020"/>
      <c r="AE90" s="1020"/>
      <c r="AF90" s="1020"/>
      <c r="AG90" s="1020"/>
      <c r="AH90" s="1020"/>
      <c r="AI90" s="1020"/>
      <c r="AJ90" s="1020"/>
      <c r="AK90" s="1020"/>
      <c r="AL90" s="1020"/>
      <c r="AM90" s="1020"/>
      <c r="AN90" s="1020"/>
      <c r="AO90" s="1020"/>
      <c r="AP90" s="1020"/>
      <c r="AQ90" s="1020"/>
      <c r="AR90" s="1020"/>
      <c r="AS90" s="1020"/>
      <c r="AT90" s="1020"/>
      <c r="AU90" s="1020"/>
      <c r="AV90" s="1020"/>
      <c r="AW90" s="1020"/>
      <c r="AX90" s="1020"/>
    </row>
    <row r="91" spans="1:50" ht="12" customHeight="1">
      <c r="A91" s="1024"/>
      <c r="B91" s="161"/>
      <c r="C91" s="1024"/>
      <c r="D91" s="1024"/>
      <c r="E91" s="1024"/>
      <c r="F91" s="1024"/>
      <c r="G91" s="1024"/>
      <c r="H91" s="1024"/>
      <c r="I91" s="1024"/>
      <c r="J91" s="1059"/>
      <c r="K91" s="156"/>
      <c r="L91" s="1024"/>
      <c r="M91" s="1033"/>
      <c r="N91" s="1024"/>
      <c r="O91" s="1024"/>
      <c r="P91" s="1024"/>
      <c r="Q91" s="1024"/>
      <c r="R91" s="1020"/>
      <c r="S91" s="1020"/>
      <c r="T91" s="1036"/>
      <c r="U91" s="1036"/>
      <c r="V91" s="1020"/>
      <c r="W91" s="1020"/>
      <c r="X91" s="1020"/>
      <c r="Y91" s="1020"/>
      <c r="Z91" s="1020"/>
      <c r="AA91" s="1020"/>
      <c r="AB91" s="1020"/>
      <c r="AC91" s="1020"/>
      <c r="AD91" s="1020"/>
      <c r="AE91" s="1020"/>
      <c r="AF91" s="1020"/>
      <c r="AG91" s="1020"/>
      <c r="AH91" s="1020"/>
      <c r="AI91" s="1020"/>
      <c r="AJ91" s="1020"/>
      <c r="AK91" s="1020"/>
      <c r="AL91" s="1020"/>
      <c r="AM91" s="1020"/>
      <c r="AN91" s="1020"/>
      <c r="AO91" s="1020"/>
      <c r="AP91" s="1020"/>
      <c r="AQ91" s="1020"/>
      <c r="AR91" s="1020"/>
      <c r="AS91" s="1020"/>
      <c r="AT91" s="1020"/>
      <c r="AU91" s="1020"/>
      <c r="AV91" s="1020"/>
      <c r="AW91" s="1020"/>
      <c r="AX91" s="1020"/>
    </row>
    <row r="92" spans="1:50" ht="12" customHeight="1">
      <c r="A92" s="1024"/>
      <c r="B92" s="161"/>
      <c r="C92" s="1024"/>
      <c r="D92" s="1024"/>
      <c r="E92" s="1024"/>
      <c r="F92" s="1024"/>
      <c r="G92" s="1024"/>
      <c r="H92" s="1024"/>
      <c r="I92" s="1024"/>
      <c r="J92" s="1059"/>
      <c r="K92" s="156"/>
      <c r="L92" s="1024"/>
      <c r="M92" s="1033"/>
      <c r="N92" s="1024"/>
      <c r="O92" s="1024"/>
      <c r="P92" s="1024"/>
      <c r="Q92" s="1024"/>
      <c r="R92" s="1020"/>
      <c r="S92" s="1020"/>
      <c r="T92" s="1036"/>
      <c r="U92" s="1036"/>
      <c r="V92" s="1020"/>
      <c r="W92" s="1020"/>
      <c r="X92" s="1020"/>
      <c r="Y92" s="1020"/>
      <c r="Z92" s="1020"/>
      <c r="AA92" s="1020"/>
      <c r="AB92" s="1020"/>
      <c r="AC92" s="1020"/>
      <c r="AD92" s="1020"/>
      <c r="AE92" s="1020"/>
      <c r="AF92" s="1020"/>
      <c r="AG92" s="1020"/>
      <c r="AH92" s="1020"/>
      <c r="AI92" s="1020"/>
      <c r="AJ92" s="1020"/>
      <c r="AK92" s="1020"/>
      <c r="AL92" s="1020"/>
      <c r="AM92" s="1020"/>
      <c r="AN92" s="1020"/>
      <c r="AO92" s="1020"/>
      <c r="AP92" s="1020"/>
      <c r="AQ92" s="1020"/>
      <c r="AR92" s="1020"/>
      <c r="AS92" s="1020"/>
      <c r="AT92" s="1020"/>
      <c r="AU92" s="1020"/>
      <c r="AV92" s="1020"/>
      <c r="AW92" s="1020"/>
      <c r="AX92" s="1020"/>
    </row>
    <row r="93" spans="1:50" ht="12" customHeight="1">
      <c r="A93" s="1024"/>
      <c r="B93" s="161"/>
      <c r="C93" s="1024"/>
      <c r="D93" s="1024"/>
      <c r="E93" s="1024"/>
      <c r="F93" s="1024"/>
      <c r="G93" s="1024"/>
      <c r="H93" s="1024"/>
      <c r="I93" s="1024"/>
      <c r="J93" s="1059"/>
      <c r="K93" s="156"/>
      <c r="L93" s="1024"/>
      <c r="M93" s="1033"/>
      <c r="N93" s="1024"/>
      <c r="O93" s="1024"/>
      <c r="P93" s="1024"/>
      <c r="Q93" s="1024"/>
      <c r="R93" s="1020"/>
      <c r="S93" s="1020"/>
      <c r="T93" s="1036"/>
      <c r="U93" s="1036"/>
      <c r="V93" s="1020"/>
      <c r="W93" s="1020"/>
      <c r="X93" s="1020"/>
      <c r="Y93" s="1020"/>
      <c r="Z93" s="1020"/>
      <c r="AA93" s="1020"/>
      <c r="AB93" s="1020"/>
      <c r="AC93" s="1020"/>
      <c r="AD93" s="1020"/>
      <c r="AE93" s="1020"/>
      <c r="AF93" s="1020"/>
      <c r="AG93" s="1020"/>
      <c r="AH93" s="1020"/>
      <c r="AI93" s="1020"/>
      <c r="AJ93" s="1020"/>
      <c r="AK93" s="1020"/>
      <c r="AL93" s="1020"/>
      <c r="AM93" s="1020"/>
      <c r="AN93" s="1020"/>
      <c r="AO93" s="1020"/>
      <c r="AP93" s="1020"/>
      <c r="AQ93" s="1020"/>
      <c r="AR93" s="1020"/>
      <c r="AS93" s="1020"/>
      <c r="AT93" s="1020"/>
      <c r="AU93" s="1020"/>
      <c r="AV93" s="1020"/>
      <c r="AW93" s="1020"/>
      <c r="AX93" s="1020"/>
    </row>
    <row r="94" spans="1:50" ht="12" customHeight="1">
      <c r="A94" s="1024"/>
      <c r="B94" s="161"/>
      <c r="C94" s="1024"/>
      <c r="D94" s="1024"/>
      <c r="E94" s="1024"/>
      <c r="F94" s="1024"/>
      <c r="G94" s="1024"/>
      <c r="H94" s="1024"/>
      <c r="I94" s="1024"/>
      <c r="J94" s="1059"/>
      <c r="K94" s="156"/>
      <c r="L94" s="1024"/>
      <c r="M94" s="1033"/>
      <c r="N94" s="1024"/>
      <c r="O94" s="1024"/>
      <c r="P94" s="1024"/>
      <c r="Q94" s="1024"/>
      <c r="R94" s="1020"/>
      <c r="S94" s="1020"/>
      <c r="T94" s="1036"/>
      <c r="U94" s="1036"/>
      <c r="V94" s="1020"/>
      <c r="W94" s="1020"/>
      <c r="X94" s="1020"/>
      <c r="Y94" s="1020"/>
      <c r="Z94" s="1020"/>
      <c r="AA94" s="1020"/>
      <c r="AB94" s="1020"/>
      <c r="AC94" s="1020"/>
      <c r="AD94" s="1020"/>
      <c r="AE94" s="1020"/>
      <c r="AF94" s="1020"/>
      <c r="AG94" s="1020"/>
      <c r="AH94" s="1020"/>
      <c r="AI94" s="1020"/>
      <c r="AJ94" s="1020"/>
      <c r="AK94" s="1020"/>
      <c r="AL94" s="1020"/>
      <c r="AM94" s="1020"/>
      <c r="AN94" s="1020"/>
      <c r="AO94" s="1020"/>
      <c r="AP94" s="1020"/>
      <c r="AQ94" s="1020"/>
      <c r="AR94" s="1020"/>
      <c r="AS94" s="1020"/>
      <c r="AT94" s="1020"/>
      <c r="AU94" s="1020"/>
      <c r="AV94" s="1020"/>
      <c r="AW94" s="1020"/>
      <c r="AX94" s="1020"/>
    </row>
    <row r="95" spans="1:50" ht="12" customHeight="1">
      <c r="A95" s="1024"/>
      <c r="B95" s="161"/>
      <c r="C95" s="1024"/>
      <c r="D95" s="1024"/>
      <c r="E95" s="1024"/>
      <c r="F95" s="1024"/>
      <c r="G95" s="1024"/>
      <c r="H95" s="1024"/>
      <c r="I95" s="1024"/>
      <c r="J95" s="1059"/>
      <c r="K95" s="156"/>
      <c r="L95" s="1024"/>
      <c r="M95" s="1033"/>
      <c r="N95" s="1024"/>
      <c r="O95" s="1024"/>
      <c r="P95" s="1024"/>
      <c r="Q95" s="1024"/>
      <c r="R95" s="1020"/>
      <c r="S95" s="1020"/>
      <c r="T95" s="1036"/>
      <c r="U95" s="1036"/>
      <c r="V95" s="1020"/>
      <c r="W95" s="1020"/>
      <c r="X95" s="1020"/>
      <c r="Y95" s="1020"/>
      <c r="Z95" s="1020"/>
      <c r="AA95" s="1020"/>
      <c r="AB95" s="1020"/>
      <c r="AC95" s="1020"/>
      <c r="AD95" s="1020"/>
      <c r="AE95" s="1020"/>
      <c r="AF95" s="1020"/>
      <c r="AG95" s="1020"/>
      <c r="AH95" s="1020"/>
      <c r="AI95" s="1020"/>
      <c r="AJ95" s="1020"/>
      <c r="AK95" s="1020"/>
      <c r="AL95" s="1020"/>
      <c r="AM95" s="1020"/>
      <c r="AN95" s="1020"/>
      <c r="AO95" s="1020"/>
      <c r="AP95" s="1020"/>
      <c r="AQ95" s="1020"/>
      <c r="AR95" s="1020"/>
      <c r="AS95" s="1020"/>
      <c r="AT95" s="1020"/>
      <c r="AU95" s="1020"/>
      <c r="AV95" s="1020"/>
      <c r="AW95" s="1020"/>
      <c r="AX95" s="1020"/>
    </row>
    <row r="96" spans="1:50" ht="12" customHeight="1">
      <c r="A96" s="1024"/>
      <c r="B96" s="161"/>
      <c r="C96" s="1024"/>
      <c r="D96" s="1024"/>
      <c r="E96" s="1024"/>
      <c r="F96" s="1024"/>
      <c r="G96" s="1024"/>
      <c r="H96" s="1024"/>
      <c r="I96" s="1024"/>
      <c r="J96" s="1059"/>
      <c r="K96" s="156"/>
      <c r="L96" s="1024"/>
      <c r="M96" s="1033"/>
      <c r="N96" s="1024"/>
      <c r="O96" s="1024"/>
      <c r="P96" s="1024"/>
      <c r="Q96" s="1024"/>
      <c r="R96" s="1020"/>
      <c r="S96" s="1020"/>
      <c r="T96" s="1036"/>
      <c r="U96" s="1036"/>
      <c r="V96" s="1020"/>
      <c r="W96" s="1020"/>
      <c r="X96" s="1020"/>
      <c r="Y96" s="1020"/>
      <c r="Z96" s="1020"/>
      <c r="AA96" s="1020"/>
      <c r="AB96" s="1020"/>
      <c r="AC96" s="1020"/>
      <c r="AD96" s="1020"/>
      <c r="AE96" s="1020"/>
      <c r="AF96" s="1020"/>
      <c r="AG96" s="1020"/>
      <c r="AH96" s="1020"/>
      <c r="AI96" s="1020"/>
      <c r="AJ96" s="1020"/>
      <c r="AK96" s="1020"/>
      <c r="AL96" s="1020"/>
      <c r="AM96" s="1020"/>
      <c r="AN96" s="1020"/>
      <c r="AO96" s="1020"/>
      <c r="AP96" s="1020"/>
      <c r="AQ96" s="1020"/>
      <c r="AR96" s="1020"/>
      <c r="AS96" s="1020"/>
      <c r="AT96" s="1020"/>
      <c r="AU96" s="1020"/>
      <c r="AV96" s="1020"/>
      <c r="AW96" s="1020"/>
      <c r="AX96" s="1020"/>
    </row>
    <row r="97" spans="1:50" ht="12" customHeight="1">
      <c r="A97" s="1024"/>
      <c r="B97" s="161"/>
      <c r="C97" s="1024"/>
      <c r="D97" s="1024"/>
      <c r="E97" s="1024"/>
      <c r="F97" s="1024"/>
      <c r="G97" s="1024"/>
      <c r="H97" s="1024"/>
      <c r="I97" s="1024"/>
      <c r="J97" s="1059"/>
      <c r="K97" s="156"/>
      <c r="L97" s="1024"/>
      <c r="M97" s="1033"/>
      <c r="N97" s="1024"/>
      <c r="O97" s="1024"/>
      <c r="P97" s="1024"/>
      <c r="Q97" s="1024"/>
      <c r="R97" s="1020"/>
      <c r="S97" s="1020"/>
      <c r="T97" s="1036"/>
      <c r="U97" s="1036"/>
      <c r="V97" s="1020"/>
      <c r="W97" s="1020"/>
      <c r="X97" s="1020"/>
      <c r="Y97" s="1020"/>
      <c r="Z97" s="1020"/>
      <c r="AA97" s="1020"/>
      <c r="AB97" s="1020"/>
      <c r="AC97" s="1020"/>
      <c r="AD97" s="1020"/>
      <c r="AE97" s="1020"/>
      <c r="AF97" s="1020"/>
      <c r="AG97" s="1020"/>
      <c r="AH97" s="1020"/>
      <c r="AI97" s="1020"/>
      <c r="AJ97" s="1020"/>
      <c r="AK97" s="1020"/>
      <c r="AL97" s="1020"/>
      <c r="AM97" s="1020"/>
      <c r="AN97" s="1020"/>
      <c r="AO97" s="1020"/>
      <c r="AP97" s="1020"/>
      <c r="AQ97" s="1020"/>
      <c r="AR97" s="1020"/>
      <c r="AS97" s="1020"/>
      <c r="AT97" s="1020"/>
      <c r="AU97" s="1020"/>
      <c r="AV97" s="1020"/>
      <c r="AW97" s="1020"/>
      <c r="AX97" s="1020"/>
    </row>
    <row r="98" spans="1:50" ht="12" customHeight="1">
      <c r="A98" s="1024"/>
      <c r="B98" s="161"/>
      <c r="C98" s="1024"/>
      <c r="D98" s="1024"/>
      <c r="E98" s="1024"/>
      <c r="F98" s="1024"/>
      <c r="G98" s="1024"/>
      <c r="H98" s="1024"/>
      <c r="I98" s="1024"/>
      <c r="J98" s="1059"/>
      <c r="K98" s="156"/>
      <c r="L98" s="1024"/>
      <c r="M98" s="1033"/>
      <c r="N98" s="1024"/>
      <c r="O98" s="1024"/>
      <c r="P98" s="1024"/>
      <c r="Q98" s="1024"/>
      <c r="R98" s="1020"/>
      <c r="S98" s="1020"/>
      <c r="T98" s="1036"/>
      <c r="U98" s="1036"/>
      <c r="V98" s="1020"/>
      <c r="W98" s="1020"/>
      <c r="X98" s="1020"/>
      <c r="Y98" s="1020"/>
      <c r="Z98" s="1020"/>
      <c r="AA98" s="1020"/>
      <c r="AB98" s="1020"/>
      <c r="AC98" s="1020"/>
      <c r="AD98" s="1020"/>
      <c r="AE98" s="1020"/>
      <c r="AF98" s="1020"/>
      <c r="AG98" s="1020"/>
      <c r="AH98" s="1020"/>
      <c r="AI98" s="1020"/>
      <c r="AJ98" s="1020"/>
      <c r="AK98" s="1020"/>
      <c r="AL98" s="1020"/>
      <c r="AM98" s="1020"/>
      <c r="AN98" s="1020"/>
      <c r="AO98" s="1020"/>
      <c r="AP98" s="1020"/>
      <c r="AQ98" s="1020"/>
      <c r="AR98" s="1020"/>
      <c r="AS98" s="1020"/>
      <c r="AT98" s="1020"/>
      <c r="AU98" s="1020"/>
      <c r="AV98" s="1020"/>
      <c r="AW98" s="1020"/>
      <c r="AX98" s="1020"/>
    </row>
    <row r="99" spans="1:50" ht="12" customHeight="1">
      <c r="A99" s="1024"/>
      <c r="B99" s="161"/>
      <c r="C99" s="1024"/>
      <c r="D99" s="1024"/>
      <c r="E99" s="1024"/>
      <c r="F99" s="1024"/>
      <c r="G99" s="1024"/>
      <c r="H99" s="1024"/>
      <c r="I99" s="1024"/>
      <c r="J99" s="1059"/>
      <c r="K99" s="156"/>
      <c r="L99" s="1024"/>
      <c r="M99" s="1033"/>
      <c r="N99" s="1024"/>
      <c r="O99" s="1024"/>
      <c r="P99" s="1024"/>
      <c r="Q99" s="1024"/>
      <c r="R99" s="1020"/>
      <c r="S99" s="1020"/>
      <c r="T99" s="1036"/>
      <c r="U99" s="1036"/>
      <c r="V99" s="1020"/>
      <c r="W99" s="1020"/>
      <c r="X99" s="1020"/>
      <c r="Y99" s="1020"/>
      <c r="Z99" s="1020"/>
      <c r="AA99" s="1020"/>
      <c r="AB99" s="1020"/>
      <c r="AC99" s="1020"/>
      <c r="AD99" s="1020"/>
      <c r="AE99" s="1020"/>
      <c r="AF99" s="1020"/>
      <c r="AG99" s="1020"/>
      <c r="AH99" s="1020"/>
      <c r="AI99" s="1020"/>
      <c r="AJ99" s="1020"/>
      <c r="AK99" s="1020"/>
      <c r="AL99" s="1020"/>
      <c r="AM99" s="1020"/>
      <c r="AN99" s="1020"/>
      <c r="AO99" s="1020"/>
      <c r="AP99" s="1020"/>
      <c r="AQ99" s="1020"/>
      <c r="AR99" s="1020"/>
      <c r="AS99" s="1020"/>
      <c r="AT99" s="1020"/>
      <c r="AU99" s="1020"/>
      <c r="AV99" s="1020"/>
      <c r="AW99" s="1020"/>
      <c r="AX99" s="1020"/>
    </row>
    <row r="100" spans="1:50" ht="12" customHeight="1">
      <c r="A100" s="1024"/>
      <c r="B100" s="161"/>
      <c r="C100" s="1024"/>
      <c r="D100" s="1024"/>
      <c r="E100" s="1024"/>
      <c r="F100" s="1024"/>
      <c r="G100" s="1024"/>
      <c r="H100" s="1024"/>
      <c r="I100" s="1024"/>
      <c r="J100" s="1059"/>
      <c r="K100" s="156"/>
      <c r="L100" s="1024"/>
      <c r="M100" s="1033"/>
      <c r="N100" s="1024"/>
      <c r="O100" s="1024"/>
      <c r="P100" s="1024"/>
      <c r="Q100" s="1024"/>
      <c r="R100" s="1020"/>
      <c r="S100" s="1020"/>
      <c r="T100" s="1036"/>
      <c r="U100" s="1036"/>
      <c r="V100" s="1020"/>
      <c r="W100" s="1020"/>
      <c r="X100" s="1020"/>
      <c r="Y100" s="1020"/>
      <c r="Z100" s="1020"/>
      <c r="AA100" s="1020"/>
      <c r="AB100" s="1020"/>
      <c r="AC100" s="1020"/>
      <c r="AD100" s="1020"/>
      <c r="AE100" s="1020"/>
      <c r="AF100" s="1020"/>
      <c r="AG100" s="1020"/>
      <c r="AH100" s="1020"/>
      <c r="AI100" s="1020"/>
      <c r="AJ100" s="1020"/>
      <c r="AK100" s="1020"/>
      <c r="AL100" s="1020"/>
      <c r="AM100" s="1020"/>
      <c r="AN100" s="1020"/>
      <c r="AO100" s="1020"/>
      <c r="AP100" s="1020"/>
      <c r="AQ100" s="1020"/>
      <c r="AR100" s="1020"/>
      <c r="AS100" s="1020"/>
      <c r="AT100" s="1020"/>
      <c r="AU100" s="1020"/>
      <c r="AV100" s="1020"/>
      <c r="AW100" s="1020"/>
      <c r="AX100" s="1020"/>
    </row>
    <row r="101" spans="1:50" ht="12" customHeight="1">
      <c r="A101" s="1024"/>
      <c r="B101" s="161"/>
      <c r="C101" s="1024"/>
      <c r="D101" s="1024"/>
      <c r="E101" s="1024"/>
      <c r="F101" s="1024"/>
      <c r="G101" s="1024"/>
      <c r="H101" s="1024"/>
      <c r="I101" s="1024"/>
      <c r="J101" s="1059"/>
      <c r="K101" s="156"/>
      <c r="L101" s="1024"/>
      <c r="M101" s="1033"/>
      <c r="N101" s="1024"/>
      <c r="O101" s="1024"/>
      <c r="P101" s="1024"/>
      <c r="Q101" s="1024"/>
      <c r="R101" s="1020"/>
      <c r="S101" s="1020"/>
      <c r="T101" s="1036"/>
      <c r="U101" s="1036"/>
      <c r="V101" s="1020"/>
      <c r="W101" s="1020"/>
      <c r="X101" s="1020"/>
      <c r="Y101" s="1020"/>
      <c r="Z101" s="1020"/>
      <c r="AA101" s="1020"/>
      <c r="AB101" s="1020"/>
      <c r="AC101" s="1020"/>
      <c r="AD101" s="1020"/>
      <c r="AE101" s="1020"/>
      <c r="AF101" s="1020"/>
      <c r="AG101" s="1020"/>
      <c r="AH101" s="1020"/>
      <c r="AI101" s="1020"/>
      <c r="AJ101" s="1020"/>
      <c r="AK101" s="1020"/>
      <c r="AL101" s="1020"/>
      <c r="AM101" s="1020"/>
      <c r="AN101" s="1020"/>
      <c r="AO101" s="1020"/>
      <c r="AP101" s="1020"/>
      <c r="AQ101" s="1020"/>
      <c r="AR101" s="1020"/>
      <c r="AS101" s="1020"/>
      <c r="AT101" s="1020"/>
      <c r="AU101" s="1020"/>
      <c r="AV101" s="1020"/>
      <c r="AW101" s="1020"/>
      <c r="AX101" s="1020"/>
    </row>
    <row r="102" spans="1:50" ht="12" customHeight="1">
      <c r="A102" s="1024"/>
      <c r="B102" s="161"/>
      <c r="C102" s="1024"/>
      <c r="D102" s="1024"/>
      <c r="E102" s="1024"/>
      <c r="F102" s="1024"/>
      <c r="G102" s="1024"/>
      <c r="H102" s="1024"/>
      <c r="I102" s="1024"/>
      <c r="J102" s="1059"/>
      <c r="K102" s="156"/>
      <c r="L102" s="1024"/>
      <c r="M102" s="1033"/>
      <c r="N102" s="1024"/>
      <c r="O102" s="1024"/>
      <c r="P102" s="1024"/>
      <c r="Q102" s="1024"/>
      <c r="R102" s="1020"/>
      <c r="S102" s="1020"/>
      <c r="T102" s="1036"/>
      <c r="U102" s="1036"/>
      <c r="V102" s="1020"/>
      <c r="W102" s="1020"/>
      <c r="X102" s="1020"/>
      <c r="Y102" s="1020"/>
      <c r="Z102" s="1020"/>
      <c r="AA102" s="1020"/>
      <c r="AB102" s="1020"/>
      <c r="AC102" s="1020"/>
      <c r="AD102" s="1020"/>
      <c r="AE102" s="1020"/>
      <c r="AF102" s="1020"/>
      <c r="AG102" s="1020"/>
      <c r="AH102" s="1020"/>
      <c r="AI102" s="1020"/>
      <c r="AJ102" s="1020"/>
      <c r="AK102" s="1020"/>
      <c r="AL102" s="1020"/>
      <c r="AM102" s="1020"/>
      <c r="AN102" s="1020"/>
      <c r="AO102" s="1020"/>
      <c r="AP102" s="1020"/>
      <c r="AQ102" s="1020"/>
      <c r="AR102" s="1020"/>
      <c r="AS102" s="1020"/>
      <c r="AT102" s="1020"/>
      <c r="AU102" s="1020"/>
      <c r="AV102" s="1020"/>
      <c r="AW102" s="1020"/>
      <c r="AX102" s="1020"/>
    </row>
    <row r="103" spans="1:50" ht="12" customHeight="1">
      <c r="A103" s="1024"/>
      <c r="B103" s="161"/>
      <c r="C103" s="1024"/>
      <c r="D103" s="1024"/>
      <c r="E103" s="1024"/>
      <c r="F103" s="1024"/>
      <c r="G103" s="1024"/>
      <c r="H103" s="1024"/>
      <c r="I103" s="1024"/>
      <c r="J103" s="1059"/>
      <c r="K103" s="156"/>
      <c r="L103" s="1024"/>
      <c r="M103" s="1033"/>
      <c r="N103" s="1024"/>
      <c r="O103" s="1024"/>
      <c r="P103" s="1024"/>
      <c r="Q103" s="1024"/>
      <c r="R103" s="1020"/>
      <c r="S103" s="1020"/>
      <c r="T103" s="1036"/>
      <c r="U103" s="1036"/>
      <c r="V103" s="1020"/>
      <c r="W103" s="1020"/>
      <c r="X103" s="1020"/>
      <c r="Y103" s="1020"/>
      <c r="Z103" s="1020"/>
      <c r="AA103" s="1020"/>
      <c r="AB103" s="1020"/>
      <c r="AC103" s="1020"/>
      <c r="AD103" s="1020"/>
      <c r="AE103" s="1020"/>
      <c r="AF103" s="1020"/>
      <c r="AG103" s="1020"/>
      <c r="AH103" s="1020"/>
      <c r="AI103" s="1020"/>
      <c r="AJ103" s="1020"/>
      <c r="AK103" s="1020"/>
      <c r="AL103" s="1020"/>
      <c r="AM103" s="1020"/>
      <c r="AN103" s="1020"/>
      <c r="AO103" s="1020"/>
      <c r="AP103" s="1020"/>
      <c r="AQ103" s="1020"/>
      <c r="AR103" s="1020"/>
      <c r="AS103" s="1020"/>
      <c r="AT103" s="1020"/>
      <c r="AU103" s="1020"/>
      <c r="AV103" s="1020"/>
      <c r="AW103" s="1020"/>
      <c r="AX103" s="1020"/>
    </row>
    <row r="104" spans="1:50" ht="12" customHeight="1">
      <c r="A104" s="1024"/>
      <c r="B104" s="161"/>
      <c r="C104" s="1024"/>
      <c r="D104" s="1024"/>
      <c r="E104" s="1024"/>
      <c r="F104" s="1024"/>
      <c r="G104" s="1024"/>
      <c r="H104" s="1024"/>
      <c r="I104" s="1024"/>
      <c r="J104" s="1059"/>
      <c r="K104" s="156"/>
      <c r="L104" s="1024"/>
      <c r="M104" s="1033"/>
      <c r="N104" s="1024"/>
      <c r="O104" s="1024"/>
      <c r="P104" s="1024"/>
      <c r="Q104" s="1024"/>
      <c r="R104" s="1020"/>
      <c r="S104" s="1020"/>
      <c r="T104" s="1036"/>
      <c r="U104" s="1036"/>
      <c r="V104" s="1020"/>
      <c r="W104" s="1020"/>
      <c r="X104" s="1020"/>
      <c r="Y104" s="1020"/>
      <c r="Z104" s="1020"/>
      <c r="AA104" s="1020"/>
      <c r="AB104" s="1020"/>
      <c r="AC104" s="1020"/>
      <c r="AD104" s="1020"/>
      <c r="AE104" s="1020"/>
      <c r="AF104" s="1020"/>
      <c r="AG104" s="1020"/>
      <c r="AH104" s="1020"/>
      <c r="AI104" s="1020"/>
      <c r="AJ104" s="1020"/>
      <c r="AK104" s="1020"/>
      <c r="AL104" s="1020"/>
      <c r="AM104" s="1020"/>
      <c r="AN104" s="1020"/>
      <c r="AO104" s="1020"/>
      <c r="AP104" s="1020"/>
      <c r="AQ104" s="1020"/>
      <c r="AR104" s="1020"/>
      <c r="AS104" s="1020"/>
      <c r="AT104" s="1020"/>
      <c r="AU104" s="1020"/>
      <c r="AV104" s="1020"/>
      <c r="AW104" s="1020"/>
      <c r="AX104" s="1020"/>
    </row>
    <row r="105" spans="1:50" ht="12" customHeight="1">
      <c r="A105" s="1024"/>
      <c r="B105" s="161"/>
      <c r="C105" s="1024"/>
      <c r="D105" s="1024"/>
      <c r="E105" s="1024"/>
      <c r="F105" s="1024"/>
      <c r="G105" s="1024"/>
      <c r="H105" s="1024"/>
      <c r="I105" s="1024"/>
      <c r="J105" s="1059"/>
      <c r="K105" s="156"/>
      <c r="L105" s="1024"/>
      <c r="M105" s="1033"/>
      <c r="N105" s="1024"/>
      <c r="O105" s="1024"/>
      <c r="P105" s="1024"/>
      <c r="Q105" s="1024"/>
      <c r="R105" s="1020"/>
      <c r="S105" s="1020"/>
      <c r="T105" s="1036"/>
      <c r="U105" s="1036"/>
      <c r="V105" s="1020"/>
      <c r="W105" s="1020"/>
      <c r="X105" s="1020"/>
      <c r="Y105" s="1020"/>
      <c r="Z105" s="1020"/>
      <c r="AA105" s="1020"/>
      <c r="AB105" s="1020"/>
      <c r="AC105" s="1020"/>
      <c r="AD105" s="1020"/>
      <c r="AE105" s="1020"/>
      <c r="AF105" s="1020"/>
      <c r="AG105" s="1020"/>
      <c r="AH105" s="1020"/>
      <c r="AI105" s="1020"/>
      <c r="AJ105" s="1020"/>
      <c r="AK105" s="1020"/>
      <c r="AL105" s="1020"/>
      <c r="AM105" s="1020"/>
      <c r="AN105" s="1020"/>
      <c r="AO105" s="1020"/>
      <c r="AP105" s="1020"/>
      <c r="AQ105" s="1020"/>
      <c r="AR105" s="1020"/>
      <c r="AS105" s="1020"/>
      <c r="AT105" s="1020"/>
      <c r="AU105" s="1020"/>
      <c r="AV105" s="1020"/>
      <c r="AW105" s="1020"/>
      <c r="AX105" s="1020"/>
    </row>
    <row r="106" spans="1:50" ht="12" customHeight="1">
      <c r="A106" s="1024"/>
      <c r="B106" s="161"/>
      <c r="C106" s="1024"/>
      <c r="D106" s="1024"/>
      <c r="E106" s="1024"/>
      <c r="F106" s="1024"/>
      <c r="G106" s="1024"/>
      <c r="H106" s="1024"/>
      <c r="I106" s="1024"/>
      <c r="J106" s="1059"/>
      <c r="K106" s="156"/>
      <c r="L106" s="1024"/>
      <c r="M106" s="1033"/>
      <c r="N106" s="1024"/>
      <c r="O106" s="1024"/>
      <c r="P106" s="1024"/>
      <c r="Q106" s="1024"/>
      <c r="R106" s="1020"/>
      <c r="S106" s="1020"/>
      <c r="T106" s="1036"/>
      <c r="U106" s="1036"/>
      <c r="V106" s="1020"/>
      <c r="W106" s="1020"/>
      <c r="X106" s="1020"/>
      <c r="Y106" s="1020"/>
      <c r="Z106" s="1020"/>
      <c r="AA106" s="1020"/>
      <c r="AB106" s="1020"/>
      <c r="AC106" s="1020"/>
      <c r="AD106" s="1020"/>
      <c r="AE106" s="1020"/>
      <c r="AF106" s="1020"/>
      <c r="AG106" s="1020"/>
      <c r="AH106" s="1020"/>
      <c r="AI106" s="1020"/>
      <c r="AJ106" s="1020"/>
      <c r="AK106" s="1020"/>
      <c r="AL106" s="1020"/>
      <c r="AM106" s="1020"/>
      <c r="AN106" s="1020"/>
      <c r="AO106" s="1020"/>
      <c r="AP106" s="1020"/>
      <c r="AQ106" s="1020"/>
      <c r="AR106" s="1020"/>
      <c r="AS106" s="1020"/>
      <c r="AT106" s="1020"/>
      <c r="AU106" s="1020"/>
      <c r="AV106" s="1020"/>
      <c r="AW106" s="1020"/>
      <c r="AX106" s="1020"/>
    </row>
    <row r="107" spans="1:50" ht="12" customHeight="1">
      <c r="A107" s="1024"/>
      <c r="B107" s="161"/>
      <c r="C107" s="1024"/>
      <c r="D107" s="1024"/>
      <c r="E107" s="1024"/>
      <c r="F107" s="1024"/>
      <c r="G107" s="1024"/>
      <c r="H107" s="1024"/>
      <c r="I107" s="1024"/>
      <c r="J107" s="1059"/>
      <c r="K107" s="156"/>
      <c r="L107" s="1024"/>
      <c r="M107" s="1033"/>
      <c r="N107" s="1024"/>
      <c r="O107" s="1024"/>
      <c r="P107" s="1024"/>
      <c r="Q107" s="1024"/>
      <c r="R107" s="1020"/>
      <c r="S107" s="1020"/>
      <c r="T107" s="1036"/>
      <c r="U107" s="1036"/>
      <c r="V107" s="1020"/>
      <c r="W107" s="1020"/>
      <c r="X107" s="1020"/>
      <c r="Y107" s="1020"/>
      <c r="Z107" s="1020"/>
      <c r="AA107" s="1020"/>
      <c r="AB107" s="1020"/>
      <c r="AC107" s="1020"/>
      <c r="AD107" s="1020"/>
      <c r="AE107" s="1020"/>
      <c r="AF107" s="1020"/>
      <c r="AG107" s="1020"/>
      <c r="AH107" s="1020"/>
      <c r="AI107" s="1020"/>
      <c r="AJ107" s="1020"/>
      <c r="AK107" s="1020"/>
      <c r="AL107" s="1020"/>
      <c r="AM107" s="1020"/>
      <c r="AN107" s="1020"/>
      <c r="AO107" s="1020"/>
      <c r="AP107" s="1020"/>
      <c r="AQ107" s="1020"/>
      <c r="AR107" s="1020"/>
      <c r="AS107" s="1020"/>
      <c r="AT107" s="1020"/>
      <c r="AU107" s="1020"/>
      <c r="AV107" s="1020"/>
      <c r="AW107" s="1020"/>
      <c r="AX107" s="1020"/>
    </row>
    <row r="108" spans="1:50" ht="12" customHeight="1">
      <c r="A108" s="1024"/>
      <c r="B108" s="161"/>
      <c r="C108" s="1024"/>
      <c r="D108" s="1024"/>
      <c r="E108" s="1024"/>
      <c r="F108" s="1024"/>
      <c r="G108" s="1024"/>
      <c r="H108" s="1024"/>
      <c r="I108" s="1024"/>
      <c r="J108" s="1059"/>
      <c r="K108" s="156"/>
      <c r="L108" s="1024"/>
      <c r="M108" s="1033"/>
      <c r="N108" s="1024"/>
      <c r="O108" s="1024"/>
      <c r="P108" s="1024"/>
      <c r="Q108" s="1024"/>
      <c r="R108" s="1020"/>
      <c r="S108" s="1020"/>
      <c r="T108" s="1036"/>
      <c r="U108" s="1036"/>
      <c r="V108" s="1020"/>
      <c r="W108" s="1020"/>
      <c r="X108" s="1020"/>
      <c r="Y108" s="1020"/>
      <c r="Z108" s="1020"/>
      <c r="AA108" s="1020"/>
      <c r="AB108" s="1020"/>
      <c r="AC108" s="1020"/>
      <c r="AD108" s="1020"/>
      <c r="AE108" s="1020"/>
      <c r="AF108" s="1020"/>
      <c r="AG108" s="1020"/>
      <c r="AH108" s="1020"/>
      <c r="AI108" s="1020"/>
      <c r="AJ108" s="1020"/>
      <c r="AK108" s="1020"/>
      <c r="AL108" s="1020"/>
      <c r="AM108" s="1020"/>
      <c r="AN108" s="1020"/>
      <c r="AO108" s="1020"/>
      <c r="AP108" s="1020"/>
      <c r="AQ108" s="1020"/>
      <c r="AR108" s="1020"/>
      <c r="AS108" s="1020"/>
      <c r="AT108" s="1020"/>
      <c r="AU108" s="1020"/>
      <c r="AV108" s="1020"/>
      <c r="AW108" s="1020"/>
      <c r="AX108" s="1020"/>
    </row>
    <row r="109" spans="1:50" ht="12" customHeight="1">
      <c r="A109" s="1024"/>
      <c r="B109" s="161"/>
      <c r="C109" s="1024"/>
      <c r="D109" s="1024"/>
      <c r="E109" s="1024"/>
      <c r="F109" s="1024"/>
      <c r="G109" s="1024"/>
      <c r="H109" s="1024"/>
      <c r="I109" s="1024"/>
      <c r="J109" s="1059"/>
      <c r="K109" s="156"/>
      <c r="L109" s="1024"/>
      <c r="M109" s="1033"/>
      <c r="N109" s="1024"/>
      <c r="O109" s="1024"/>
      <c r="P109" s="1024"/>
      <c r="Q109" s="1024"/>
      <c r="R109" s="1020"/>
      <c r="S109" s="1020"/>
      <c r="T109" s="1036"/>
      <c r="U109" s="1036"/>
      <c r="V109" s="1020"/>
      <c r="W109" s="1020"/>
      <c r="X109" s="1020"/>
      <c r="Y109" s="1020"/>
      <c r="Z109" s="1020"/>
      <c r="AA109" s="1020"/>
      <c r="AB109" s="1020"/>
      <c r="AC109" s="1020"/>
      <c r="AD109" s="1020"/>
      <c r="AE109" s="1020"/>
      <c r="AF109" s="1020"/>
      <c r="AG109" s="1020"/>
      <c r="AH109" s="1020"/>
      <c r="AI109" s="1020"/>
      <c r="AJ109" s="1020"/>
      <c r="AK109" s="1020"/>
      <c r="AL109" s="1020"/>
      <c r="AM109" s="1020"/>
      <c r="AN109" s="1020"/>
      <c r="AO109" s="1020"/>
      <c r="AP109" s="1020"/>
      <c r="AQ109" s="1020"/>
      <c r="AR109" s="1020"/>
      <c r="AS109" s="1020"/>
      <c r="AT109" s="1020"/>
      <c r="AU109" s="1020"/>
      <c r="AV109" s="1020"/>
      <c r="AW109" s="1020"/>
      <c r="AX109" s="1020"/>
    </row>
    <row r="110" spans="1:50" ht="12" customHeight="1">
      <c r="A110" s="1024"/>
      <c r="B110" s="161"/>
      <c r="C110" s="1024"/>
      <c r="D110" s="1024"/>
      <c r="E110" s="1024"/>
      <c r="F110" s="1024"/>
      <c r="G110" s="1024"/>
      <c r="H110" s="1024"/>
      <c r="I110" s="1024"/>
      <c r="J110" s="1059"/>
      <c r="K110" s="156"/>
      <c r="L110" s="1024"/>
      <c r="M110" s="1033"/>
      <c r="N110" s="1024"/>
      <c r="O110" s="1024"/>
      <c r="P110" s="1024"/>
      <c r="Q110" s="1024"/>
      <c r="R110" s="1020"/>
      <c r="S110" s="1020"/>
      <c r="T110" s="1036"/>
      <c r="U110" s="1036"/>
      <c r="V110" s="1020"/>
      <c r="W110" s="1020"/>
      <c r="X110" s="1020"/>
      <c r="Y110" s="1020"/>
      <c r="Z110" s="1020"/>
      <c r="AA110" s="1020"/>
      <c r="AB110" s="1020"/>
      <c r="AC110" s="1020"/>
      <c r="AD110" s="1020"/>
      <c r="AE110" s="1020"/>
      <c r="AF110" s="1020"/>
      <c r="AG110" s="1020"/>
      <c r="AH110" s="1020"/>
      <c r="AI110" s="1020"/>
      <c r="AJ110" s="1020"/>
      <c r="AK110" s="1020"/>
      <c r="AL110" s="1020"/>
      <c r="AM110" s="1020"/>
      <c r="AN110" s="1020"/>
      <c r="AO110" s="1020"/>
      <c r="AP110" s="1020"/>
      <c r="AQ110" s="1020"/>
      <c r="AR110" s="1020"/>
      <c r="AS110" s="1020"/>
      <c r="AT110" s="1020"/>
      <c r="AU110" s="1020"/>
      <c r="AV110" s="1020"/>
      <c r="AW110" s="1020"/>
      <c r="AX110" s="1020"/>
    </row>
    <row r="111" spans="1:50" ht="12" customHeight="1">
      <c r="A111" s="1024"/>
      <c r="B111" s="161"/>
      <c r="C111" s="1024"/>
      <c r="D111" s="1024"/>
      <c r="E111" s="1024"/>
      <c r="F111" s="1024"/>
      <c r="G111" s="1024"/>
      <c r="H111" s="1024"/>
      <c r="I111" s="1024"/>
      <c r="J111" s="1059"/>
      <c r="K111" s="156"/>
      <c r="L111" s="1024"/>
      <c r="M111" s="1033"/>
      <c r="N111" s="1024"/>
      <c r="O111" s="1024"/>
      <c r="P111" s="1024"/>
      <c r="Q111" s="1024"/>
      <c r="R111" s="1020"/>
      <c r="S111" s="1020"/>
      <c r="T111" s="1036"/>
      <c r="U111" s="1036"/>
      <c r="V111" s="1020"/>
      <c r="W111" s="1020"/>
      <c r="X111" s="1020"/>
      <c r="Y111" s="1020"/>
      <c r="Z111" s="1020"/>
      <c r="AA111" s="1020"/>
      <c r="AB111" s="1020"/>
      <c r="AC111" s="1020"/>
      <c r="AD111" s="1020"/>
      <c r="AE111" s="1020"/>
      <c r="AF111" s="1020"/>
      <c r="AG111" s="1020"/>
      <c r="AH111" s="1020"/>
      <c r="AI111" s="1020"/>
      <c r="AJ111" s="1020"/>
      <c r="AK111" s="1020"/>
      <c r="AL111" s="1020"/>
      <c r="AM111" s="1020"/>
      <c r="AN111" s="1020"/>
      <c r="AO111" s="1020"/>
      <c r="AP111" s="1020"/>
      <c r="AQ111" s="1020"/>
      <c r="AR111" s="1020"/>
      <c r="AS111" s="1020"/>
      <c r="AT111" s="1020"/>
      <c r="AU111" s="1020"/>
      <c r="AV111" s="1020"/>
      <c r="AW111" s="1020"/>
      <c r="AX111" s="1020"/>
    </row>
    <row r="112" spans="1:50" ht="12" customHeight="1">
      <c r="A112" s="1024"/>
      <c r="B112" s="161"/>
      <c r="C112" s="1024"/>
      <c r="D112" s="1024"/>
      <c r="E112" s="1024"/>
      <c r="F112" s="1024"/>
      <c r="G112" s="1024"/>
      <c r="H112" s="1024"/>
      <c r="I112" s="1024"/>
      <c r="J112" s="1059"/>
      <c r="K112" s="156"/>
      <c r="L112" s="1024"/>
      <c r="M112" s="1033"/>
      <c r="N112" s="1024"/>
      <c r="O112" s="1024"/>
      <c r="P112" s="1024"/>
      <c r="Q112" s="1024"/>
      <c r="R112" s="1020"/>
      <c r="S112" s="1020"/>
      <c r="T112" s="1036"/>
      <c r="U112" s="1036"/>
      <c r="V112" s="1020"/>
      <c r="W112" s="1020"/>
      <c r="X112" s="1020"/>
      <c r="Y112" s="1020"/>
      <c r="Z112" s="1020"/>
      <c r="AA112" s="1020"/>
      <c r="AB112" s="1020"/>
      <c r="AC112" s="1020"/>
      <c r="AD112" s="1020"/>
      <c r="AE112" s="1020"/>
      <c r="AF112" s="1020"/>
      <c r="AG112" s="1020"/>
      <c r="AH112" s="1020"/>
      <c r="AI112" s="1020"/>
      <c r="AJ112" s="1020"/>
      <c r="AK112" s="1020"/>
      <c r="AL112" s="1020"/>
      <c r="AM112" s="1020"/>
      <c r="AN112" s="1020"/>
      <c r="AO112" s="1020"/>
      <c r="AP112" s="1020"/>
      <c r="AQ112" s="1020"/>
      <c r="AR112" s="1020"/>
      <c r="AS112" s="1020"/>
      <c r="AT112" s="1020"/>
      <c r="AU112" s="1020"/>
      <c r="AV112" s="1020"/>
      <c r="AW112" s="1020"/>
      <c r="AX112" s="1020"/>
    </row>
    <row r="113" spans="1:50" ht="12" customHeight="1">
      <c r="A113" s="1024"/>
      <c r="B113" s="161"/>
      <c r="C113" s="1024"/>
      <c r="D113" s="1024"/>
      <c r="E113" s="1024"/>
      <c r="F113" s="1024"/>
      <c r="G113" s="1024"/>
      <c r="H113" s="1024"/>
      <c r="I113" s="1024"/>
      <c r="J113" s="1059"/>
      <c r="K113" s="156"/>
      <c r="L113" s="1024"/>
      <c r="M113" s="1033"/>
      <c r="N113" s="1024"/>
      <c r="O113" s="1024"/>
      <c r="P113" s="1024"/>
      <c r="Q113" s="1024"/>
      <c r="R113" s="1020"/>
      <c r="S113" s="1020"/>
      <c r="T113" s="1036"/>
      <c r="U113" s="1036"/>
      <c r="V113" s="1020"/>
      <c r="W113" s="1020"/>
      <c r="X113" s="1020"/>
      <c r="Y113" s="1020"/>
      <c r="Z113" s="1020"/>
      <c r="AA113" s="1020"/>
      <c r="AB113" s="1020"/>
      <c r="AC113" s="1020"/>
      <c r="AD113" s="1020"/>
      <c r="AE113" s="1020"/>
      <c r="AF113" s="1020"/>
      <c r="AG113" s="1020"/>
      <c r="AH113" s="1020"/>
      <c r="AI113" s="1020"/>
      <c r="AJ113" s="1020"/>
      <c r="AK113" s="1020"/>
      <c r="AL113" s="1020"/>
      <c r="AM113" s="1020"/>
      <c r="AN113" s="1020"/>
      <c r="AO113" s="1020"/>
      <c r="AP113" s="1020"/>
      <c r="AQ113" s="1020"/>
      <c r="AR113" s="1020"/>
      <c r="AS113" s="1020"/>
      <c r="AT113" s="1020"/>
      <c r="AU113" s="1020"/>
      <c r="AV113" s="1020"/>
      <c r="AW113" s="1020"/>
      <c r="AX113" s="1020"/>
    </row>
    <row r="114" spans="1:50" ht="12" customHeight="1">
      <c r="A114" s="1024"/>
      <c r="B114" s="161"/>
      <c r="C114" s="1024"/>
      <c r="D114" s="1024"/>
      <c r="E114" s="1024"/>
      <c r="F114" s="1024"/>
      <c r="G114" s="1024"/>
      <c r="H114" s="1024"/>
      <c r="I114" s="1024"/>
      <c r="J114" s="1059"/>
      <c r="K114" s="156"/>
      <c r="L114" s="1024"/>
      <c r="M114" s="1033"/>
      <c r="N114" s="1024"/>
      <c r="O114" s="1024"/>
      <c r="P114" s="1024"/>
      <c r="Q114" s="1024"/>
      <c r="R114" s="1020"/>
      <c r="S114" s="1020"/>
      <c r="T114" s="1036"/>
      <c r="U114" s="1036"/>
      <c r="V114" s="1020"/>
      <c r="W114" s="1020"/>
      <c r="X114" s="1020"/>
      <c r="Y114" s="1020"/>
      <c r="Z114" s="1020"/>
      <c r="AA114" s="1020"/>
      <c r="AB114" s="1020"/>
      <c r="AC114" s="1020"/>
      <c r="AD114" s="1020"/>
      <c r="AE114" s="1020"/>
      <c r="AF114" s="1020"/>
      <c r="AG114" s="1020"/>
      <c r="AH114" s="1020"/>
      <c r="AI114" s="1020"/>
      <c r="AJ114" s="1020"/>
      <c r="AK114" s="1020"/>
      <c r="AL114" s="1020"/>
      <c r="AM114" s="1020"/>
      <c r="AN114" s="1020"/>
      <c r="AO114" s="1020"/>
      <c r="AP114" s="1020"/>
      <c r="AQ114" s="1020"/>
      <c r="AR114" s="1020"/>
      <c r="AS114" s="1020"/>
      <c r="AT114" s="1020"/>
      <c r="AU114" s="1020"/>
      <c r="AV114" s="1020"/>
      <c r="AW114" s="1020"/>
      <c r="AX114" s="1020"/>
    </row>
    <row r="115" spans="1:50" ht="12" customHeight="1">
      <c r="A115" s="1024"/>
      <c r="B115" s="161"/>
      <c r="C115" s="1024"/>
      <c r="D115" s="1024"/>
      <c r="E115" s="1024"/>
      <c r="F115" s="1024"/>
      <c r="G115" s="1024"/>
      <c r="H115" s="1024"/>
      <c r="I115" s="1024"/>
      <c r="J115" s="1059"/>
      <c r="K115" s="156"/>
      <c r="L115" s="1024"/>
      <c r="M115" s="1033"/>
      <c r="N115" s="1024"/>
      <c r="O115" s="1024"/>
      <c r="P115" s="1024"/>
      <c r="Q115" s="1024"/>
      <c r="R115" s="1020"/>
      <c r="S115" s="1020"/>
      <c r="T115" s="1036"/>
      <c r="U115" s="1036"/>
      <c r="V115" s="1020"/>
      <c r="W115" s="1020"/>
      <c r="X115" s="1020"/>
      <c r="Y115" s="1020"/>
      <c r="Z115" s="1020"/>
      <c r="AA115" s="1020"/>
      <c r="AB115" s="1020"/>
      <c r="AC115" s="1020"/>
      <c r="AD115" s="1020"/>
      <c r="AE115" s="1020"/>
      <c r="AF115" s="1020"/>
      <c r="AG115" s="1020"/>
      <c r="AH115" s="1020"/>
      <c r="AI115" s="1020"/>
      <c r="AJ115" s="1020"/>
      <c r="AK115" s="1020"/>
      <c r="AL115" s="1020"/>
      <c r="AM115" s="1020"/>
      <c r="AN115" s="1020"/>
      <c r="AO115" s="1020"/>
      <c r="AP115" s="1020"/>
      <c r="AQ115" s="1020"/>
      <c r="AR115" s="1020"/>
      <c r="AS115" s="1020"/>
      <c r="AT115" s="1020"/>
      <c r="AU115" s="1020"/>
      <c r="AV115" s="1020"/>
      <c r="AW115" s="1020"/>
      <c r="AX115" s="1020"/>
    </row>
    <row r="116" spans="1:50" ht="12" customHeight="1">
      <c r="A116" s="1024"/>
      <c r="B116" s="161"/>
      <c r="C116" s="1024"/>
      <c r="D116" s="1024"/>
      <c r="E116" s="1024"/>
      <c r="F116" s="1024"/>
      <c r="G116" s="1024"/>
      <c r="H116" s="1024"/>
      <c r="I116" s="1024"/>
      <c r="J116" s="1059"/>
      <c r="K116" s="156"/>
      <c r="L116" s="1024"/>
      <c r="M116" s="1033"/>
      <c r="N116" s="1024"/>
      <c r="O116" s="1024"/>
      <c r="P116" s="1024"/>
      <c r="Q116" s="1024"/>
      <c r="R116" s="1020"/>
      <c r="S116" s="1020"/>
      <c r="T116" s="1036"/>
      <c r="U116" s="1036"/>
      <c r="V116" s="1020"/>
      <c r="W116" s="1020"/>
      <c r="X116" s="1020"/>
      <c r="Y116" s="1020"/>
      <c r="Z116" s="1020"/>
      <c r="AA116" s="1020"/>
      <c r="AB116" s="1020"/>
      <c r="AC116" s="1020"/>
      <c r="AD116" s="1020"/>
      <c r="AE116" s="1020"/>
      <c r="AF116" s="1020"/>
      <c r="AG116" s="1020"/>
      <c r="AH116" s="1020"/>
      <c r="AI116" s="1020"/>
      <c r="AJ116" s="1020"/>
      <c r="AK116" s="1020"/>
      <c r="AL116" s="1020"/>
      <c r="AM116" s="1020"/>
      <c r="AN116" s="1020"/>
      <c r="AO116" s="1020"/>
      <c r="AP116" s="1020"/>
      <c r="AQ116" s="1020"/>
      <c r="AR116" s="1020"/>
      <c r="AS116" s="1020"/>
      <c r="AT116" s="1020"/>
      <c r="AU116" s="1020"/>
      <c r="AV116" s="1020"/>
      <c r="AW116" s="1020"/>
      <c r="AX116" s="1020"/>
    </row>
    <row r="117" spans="1:50" ht="12" customHeight="1">
      <c r="A117" s="1024"/>
      <c r="B117" s="161"/>
      <c r="C117" s="1024"/>
      <c r="D117" s="1024"/>
      <c r="E117" s="1024"/>
      <c r="F117" s="1024"/>
      <c r="G117" s="1024"/>
      <c r="H117" s="1024"/>
      <c r="I117" s="1024"/>
      <c r="J117" s="1059"/>
      <c r="K117" s="156"/>
      <c r="L117" s="1024"/>
      <c r="M117" s="1033"/>
      <c r="N117" s="1024"/>
      <c r="O117" s="1024"/>
      <c r="P117" s="1024"/>
      <c r="Q117" s="1024"/>
      <c r="R117" s="1020"/>
      <c r="S117" s="1020"/>
      <c r="T117" s="1036"/>
      <c r="U117" s="1036"/>
      <c r="V117" s="1020"/>
      <c r="W117" s="1020"/>
      <c r="X117" s="1020"/>
      <c r="Y117" s="1020"/>
      <c r="Z117" s="1020"/>
      <c r="AA117" s="1020"/>
      <c r="AB117" s="1020"/>
      <c r="AC117" s="1020"/>
      <c r="AD117" s="1020"/>
      <c r="AE117" s="1020"/>
      <c r="AF117" s="1020"/>
      <c r="AG117" s="1020"/>
      <c r="AH117" s="1020"/>
      <c r="AI117" s="1020"/>
      <c r="AJ117" s="1020"/>
      <c r="AK117" s="1020"/>
      <c r="AL117" s="1020"/>
      <c r="AM117" s="1020"/>
      <c r="AN117" s="1020"/>
      <c r="AO117" s="1020"/>
      <c r="AP117" s="1020"/>
      <c r="AQ117" s="1020"/>
      <c r="AR117" s="1020"/>
      <c r="AS117" s="1020"/>
      <c r="AT117" s="1020"/>
      <c r="AU117" s="1020"/>
      <c r="AV117" s="1020"/>
      <c r="AW117" s="1020"/>
      <c r="AX117" s="1020"/>
    </row>
    <row r="118" spans="1:50" ht="12" customHeight="1">
      <c r="A118" s="1024"/>
      <c r="B118" s="161"/>
      <c r="C118" s="1024"/>
      <c r="D118" s="1024"/>
      <c r="E118" s="1024"/>
      <c r="F118" s="1024"/>
      <c r="G118" s="1024"/>
      <c r="H118" s="1024"/>
      <c r="I118" s="1024"/>
      <c r="J118" s="1059"/>
      <c r="K118" s="156"/>
      <c r="L118" s="1024"/>
      <c r="M118" s="1033"/>
      <c r="N118" s="1024"/>
      <c r="O118" s="1024"/>
      <c r="P118" s="1024"/>
      <c r="Q118" s="1024"/>
      <c r="R118" s="1020"/>
      <c r="S118" s="1020"/>
      <c r="T118" s="1036"/>
      <c r="U118" s="1036"/>
      <c r="V118" s="1020"/>
      <c r="W118" s="1020"/>
      <c r="X118" s="1020"/>
      <c r="Y118" s="1020"/>
      <c r="Z118" s="1020"/>
      <c r="AA118" s="1020"/>
      <c r="AB118" s="1020"/>
      <c r="AC118" s="1020"/>
      <c r="AD118" s="1020"/>
      <c r="AE118" s="1020"/>
      <c r="AF118" s="1020"/>
      <c r="AG118" s="1020"/>
      <c r="AH118" s="1020"/>
      <c r="AI118" s="1020"/>
      <c r="AJ118" s="1020"/>
      <c r="AK118" s="1020"/>
      <c r="AL118" s="1020"/>
      <c r="AM118" s="1020"/>
      <c r="AN118" s="1020"/>
      <c r="AO118" s="1020"/>
      <c r="AP118" s="1020"/>
      <c r="AQ118" s="1020"/>
      <c r="AR118" s="1020"/>
      <c r="AS118" s="1020"/>
      <c r="AT118" s="1020"/>
      <c r="AU118" s="1020"/>
      <c r="AV118" s="1020"/>
      <c r="AW118" s="1020"/>
      <c r="AX118" s="1020"/>
    </row>
    <row r="119" spans="1:50" ht="12" customHeight="1">
      <c r="A119" s="1024"/>
      <c r="B119" s="161"/>
      <c r="C119" s="1024"/>
      <c r="D119" s="1024"/>
      <c r="E119" s="1024"/>
      <c r="F119" s="1024"/>
      <c r="G119" s="1024"/>
      <c r="H119" s="1024"/>
      <c r="I119" s="1024"/>
      <c r="J119" s="1059"/>
      <c r="K119" s="156"/>
      <c r="L119" s="1024"/>
      <c r="M119" s="1033"/>
      <c r="N119" s="1024"/>
      <c r="O119" s="1024"/>
      <c r="P119" s="1024"/>
      <c r="Q119" s="1024"/>
      <c r="R119" s="1020"/>
      <c r="S119" s="1020"/>
      <c r="T119" s="1036"/>
      <c r="U119" s="1036"/>
      <c r="V119" s="1020"/>
      <c r="W119" s="1020"/>
      <c r="X119" s="1020"/>
      <c r="Y119" s="1020"/>
      <c r="Z119" s="1020"/>
      <c r="AA119" s="1020"/>
      <c r="AB119" s="1020"/>
      <c r="AC119" s="1020"/>
      <c r="AD119" s="1020"/>
      <c r="AE119" s="1020"/>
      <c r="AF119" s="1020"/>
      <c r="AG119" s="1020"/>
      <c r="AH119" s="1020"/>
      <c r="AI119" s="1020"/>
      <c r="AJ119" s="1020"/>
      <c r="AK119" s="1020"/>
      <c r="AL119" s="1020"/>
      <c r="AM119" s="1020"/>
      <c r="AN119" s="1020"/>
      <c r="AO119" s="1020"/>
      <c r="AP119" s="1020"/>
      <c r="AQ119" s="1020"/>
      <c r="AR119" s="1020"/>
      <c r="AS119" s="1020"/>
      <c r="AT119" s="1020"/>
      <c r="AU119" s="1020"/>
      <c r="AV119" s="1020"/>
      <c r="AW119" s="1020"/>
      <c r="AX119" s="1020"/>
    </row>
    <row r="120" spans="1:50" ht="12" customHeight="1">
      <c r="A120" s="1024"/>
      <c r="B120" s="161"/>
      <c r="C120" s="1024"/>
      <c r="D120" s="1024"/>
      <c r="E120" s="1024"/>
      <c r="F120" s="1024"/>
      <c r="G120" s="1024"/>
      <c r="H120" s="1024"/>
      <c r="I120" s="1024"/>
      <c r="J120" s="1059"/>
      <c r="K120" s="156"/>
      <c r="L120" s="1024"/>
      <c r="M120" s="1033"/>
      <c r="N120" s="1024"/>
      <c r="O120" s="1024"/>
      <c r="P120" s="1024"/>
      <c r="Q120" s="1024"/>
      <c r="R120" s="1020"/>
      <c r="S120" s="1020"/>
      <c r="T120" s="1036"/>
      <c r="U120" s="1036"/>
      <c r="V120" s="1020"/>
      <c r="W120" s="1020"/>
      <c r="X120" s="1020"/>
      <c r="Y120" s="1020"/>
      <c r="Z120" s="1020"/>
      <c r="AA120" s="1020"/>
      <c r="AB120" s="1020"/>
      <c r="AC120" s="1020"/>
      <c r="AD120" s="1020"/>
      <c r="AE120" s="1020"/>
      <c r="AF120" s="1020"/>
      <c r="AG120" s="1020"/>
      <c r="AH120" s="1020"/>
      <c r="AI120" s="1020"/>
      <c r="AJ120" s="1020"/>
      <c r="AK120" s="1020"/>
      <c r="AL120" s="1020"/>
      <c r="AM120" s="1020"/>
      <c r="AN120" s="1020"/>
      <c r="AO120" s="1020"/>
      <c r="AP120" s="1020"/>
      <c r="AQ120" s="1020"/>
      <c r="AR120" s="1020"/>
      <c r="AS120" s="1020"/>
      <c r="AT120" s="1020"/>
      <c r="AU120" s="1020"/>
      <c r="AV120" s="1020"/>
      <c r="AW120" s="1020"/>
      <c r="AX120" s="1020"/>
    </row>
    <row r="121" spans="1:50" ht="12" customHeight="1">
      <c r="A121" s="1024"/>
      <c r="B121" s="161"/>
      <c r="C121" s="1024"/>
      <c r="D121" s="1024"/>
      <c r="E121" s="1024"/>
      <c r="F121" s="1024"/>
      <c r="G121" s="1024"/>
      <c r="H121" s="1024"/>
      <c r="I121" s="1024"/>
      <c r="J121" s="1059"/>
      <c r="K121" s="156"/>
      <c r="L121" s="1024"/>
      <c r="M121" s="1033"/>
      <c r="N121" s="1024"/>
      <c r="O121" s="1024"/>
      <c r="P121" s="1024"/>
      <c r="Q121" s="1024"/>
      <c r="R121" s="1020"/>
      <c r="S121" s="1020"/>
      <c r="T121" s="1036"/>
      <c r="U121" s="1036"/>
      <c r="V121" s="1020"/>
      <c r="W121" s="1020"/>
      <c r="X121" s="1020"/>
      <c r="Y121" s="1020"/>
      <c r="Z121" s="1020"/>
      <c r="AA121" s="1020"/>
      <c r="AB121" s="1020"/>
      <c r="AC121" s="1020"/>
      <c r="AD121" s="1020"/>
      <c r="AE121" s="1020"/>
      <c r="AF121" s="1020"/>
      <c r="AG121" s="1020"/>
      <c r="AH121" s="1020"/>
      <c r="AI121" s="1020"/>
      <c r="AJ121" s="1020"/>
      <c r="AK121" s="1020"/>
      <c r="AL121" s="1020"/>
      <c r="AM121" s="1020"/>
      <c r="AN121" s="1020"/>
      <c r="AO121" s="1020"/>
      <c r="AP121" s="1020"/>
      <c r="AQ121" s="1020"/>
      <c r="AR121" s="1020"/>
      <c r="AS121" s="1020"/>
      <c r="AT121" s="1020"/>
      <c r="AU121" s="1020"/>
      <c r="AV121" s="1020"/>
      <c r="AW121" s="1020"/>
      <c r="AX121" s="1020"/>
    </row>
    <row r="122" spans="1:50" ht="12" customHeight="1">
      <c r="A122" s="1024"/>
      <c r="B122" s="161"/>
      <c r="C122" s="1024"/>
      <c r="D122" s="1024"/>
      <c r="E122" s="1024"/>
      <c r="F122" s="1024"/>
      <c r="G122" s="1024"/>
      <c r="H122" s="1024"/>
      <c r="I122" s="1024"/>
      <c r="J122" s="1059"/>
      <c r="K122" s="156"/>
      <c r="L122" s="1024"/>
      <c r="M122" s="1033"/>
      <c r="N122" s="1024"/>
      <c r="O122" s="1024"/>
      <c r="P122" s="1024"/>
      <c r="Q122" s="1024"/>
      <c r="R122" s="1020"/>
      <c r="S122" s="1020"/>
      <c r="T122" s="1036"/>
      <c r="U122" s="1036"/>
      <c r="V122" s="1020"/>
      <c r="W122" s="1020"/>
      <c r="X122" s="1020"/>
      <c r="Y122" s="1020"/>
      <c r="Z122" s="1020"/>
      <c r="AA122" s="1020"/>
      <c r="AB122" s="1020"/>
      <c r="AC122" s="1020"/>
      <c r="AD122" s="1020"/>
      <c r="AE122" s="1020"/>
      <c r="AF122" s="1020"/>
      <c r="AG122" s="1020"/>
      <c r="AH122" s="1020"/>
      <c r="AI122" s="1020"/>
      <c r="AJ122" s="1020"/>
      <c r="AK122" s="1020"/>
      <c r="AL122" s="1020"/>
      <c r="AM122" s="1020"/>
      <c r="AN122" s="1020"/>
      <c r="AO122" s="1020"/>
      <c r="AP122" s="1020"/>
      <c r="AQ122" s="1020"/>
      <c r="AR122" s="1020"/>
      <c r="AS122" s="1020"/>
      <c r="AT122" s="1020"/>
      <c r="AU122" s="1020"/>
      <c r="AV122" s="1020"/>
      <c r="AW122" s="1020"/>
      <c r="AX122" s="1020"/>
    </row>
    <row r="123" spans="1:50" ht="12" customHeight="1">
      <c r="A123" s="1024"/>
      <c r="B123" s="161"/>
      <c r="C123" s="1024"/>
      <c r="D123" s="1024"/>
      <c r="E123" s="1024"/>
      <c r="F123" s="1024"/>
      <c r="G123" s="1024"/>
      <c r="H123" s="1024"/>
      <c r="I123" s="1024"/>
      <c r="J123" s="1059"/>
      <c r="K123" s="156"/>
      <c r="L123" s="1024"/>
      <c r="M123" s="1033"/>
      <c r="N123" s="1024"/>
      <c r="O123" s="1024"/>
      <c r="P123" s="1024"/>
      <c r="Q123" s="1024"/>
      <c r="R123" s="1020"/>
      <c r="S123" s="1020"/>
      <c r="T123" s="1036"/>
      <c r="U123" s="1036"/>
      <c r="V123" s="1020"/>
      <c r="W123" s="1020"/>
      <c r="X123" s="1020"/>
      <c r="Y123" s="1020"/>
      <c r="Z123" s="1020"/>
      <c r="AA123" s="1020"/>
      <c r="AB123" s="1020"/>
      <c r="AC123" s="1020"/>
      <c r="AD123" s="1020"/>
      <c r="AE123" s="1020"/>
      <c r="AF123" s="1020"/>
      <c r="AG123" s="1020"/>
      <c r="AH123" s="1020"/>
      <c r="AI123" s="1020"/>
      <c r="AJ123" s="1020"/>
      <c r="AK123" s="1020"/>
      <c r="AL123" s="1020"/>
      <c r="AM123" s="1020"/>
      <c r="AN123" s="1020"/>
      <c r="AO123" s="1020"/>
      <c r="AP123" s="1020"/>
      <c r="AQ123" s="1020"/>
      <c r="AR123" s="1020"/>
      <c r="AS123" s="1020"/>
      <c r="AT123" s="1020"/>
      <c r="AU123" s="1020"/>
      <c r="AV123" s="1020"/>
      <c r="AW123" s="1020"/>
      <c r="AX123" s="1020"/>
    </row>
    <row r="124" spans="1:50" ht="12" customHeight="1">
      <c r="A124" s="1024"/>
      <c r="B124" s="161"/>
      <c r="C124" s="1024"/>
      <c r="D124" s="1024"/>
      <c r="E124" s="1024"/>
      <c r="F124" s="1024"/>
      <c r="G124" s="1024"/>
      <c r="H124" s="1024"/>
      <c r="I124" s="1024"/>
      <c r="J124" s="1059"/>
      <c r="K124" s="156"/>
      <c r="L124" s="1024"/>
      <c r="M124" s="1033"/>
      <c r="N124" s="1024"/>
      <c r="O124" s="1024"/>
      <c r="P124" s="1024"/>
      <c r="Q124" s="1024"/>
      <c r="R124" s="1020"/>
      <c r="S124" s="1020"/>
      <c r="T124" s="1036"/>
      <c r="U124" s="1036"/>
      <c r="V124" s="1020"/>
      <c r="W124" s="1020"/>
      <c r="X124" s="1020"/>
      <c r="Y124" s="1020"/>
      <c r="Z124" s="1020"/>
      <c r="AA124" s="1020"/>
      <c r="AB124" s="1020"/>
      <c r="AC124" s="1020"/>
      <c r="AD124" s="1020"/>
      <c r="AE124" s="1020"/>
      <c r="AF124" s="1020"/>
      <c r="AG124" s="1020"/>
      <c r="AH124" s="1020"/>
      <c r="AI124" s="1020"/>
      <c r="AJ124" s="1020"/>
      <c r="AK124" s="1020"/>
      <c r="AL124" s="1020"/>
      <c r="AM124" s="1020"/>
      <c r="AN124" s="1020"/>
      <c r="AO124" s="1020"/>
      <c r="AP124" s="1020"/>
      <c r="AQ124" s="1020"/>
      <c r="AR124" s="1020"/>
      <c r="AS124" s="1020"/>
      <c r="AT124" s="1020"/>
      <c r="AU124" s="1020"/>
      <c r="AV124" s="1020"/>
      <c r="AW124" s="1020"/>
      <c r="AX124" s="1020"/>
    </row>
    <row r="125" spans="1:50" ht="12" customHeight="1">
      <c r="A125" s="1024"/>
      <c r="B125" s="161"/>
      <c r="C125" s="1024"/>
      <c r="D125" s="1024"/>
      <c r="E125" s="1024"/>
      <c r="F125" s="1024"/>
      <c r="G125" s="1024"/>
      <c r="H125" s="1024"/>
      <c r="I125" s="1024"/>
      <c r="J125" s="1059"/>
      <c r="K125" s="156"/>
      <c r="L125" s="1024"/>
      <c r="M125" s="1033"/>
      <c r="N125" s="1024"/>
      <c r="O125" s="1024"/>
      <c r="P125" s="1024"/>
      <c r="Q125" s="1024"/>
      <c r="R125" s="1020"/>
      <c r="S125" s="1020"/>
      <c r="T125" s="1036"/>
      <c r="U125" s="1036"/>
      <c r="V125" s="1020"/>
      <c r="W125" s="1020"/>
      <c r="X125" s="1020"/>
      <c r="Y125" s="1020"/>
      <c r="Z125" s="1020"/>
      <c r="AA125" s="1020"/>
      <c r="AB125" s="1020"/>
      <c r="AC125" s="1020"/>
      <c r="AD125" s="1020"/>
      <c r="AE125" s="1020"/>
      <c r="AF125" s="1020"/>
      <c r="AG125" s="1020"/>
      <c r="AH125" s="1020"/>
      <c r="AI125" s="1020"/>
      <c r="AJ125" s="1020"/>
      <c r="AK125" s="1020"/>
      <c r="AL125" s="1020"/>
      <c r="AM125" s="1020"/>
      <c r="AN125" s="1020"/>
      <c r="AO125" s="1020"/>
      <c r="AP125" s="1020"/>
      <c r="AQ125" s="1020"/>
      <c r="AR125" s="1020"/>
      <c r="AS125" s="1020"/>
      <c r="AT125" s="1020"/>
      <c r="AU125" s="1020"/>
      <c r="AV125" s="1020"/>
      <c r="AW125" s="1020"/>
      <c r="AX125" s="1020"/>
    </row>
    <row r="126" spans="1:50" ht="12" customHeight="1">
      <c r="A126" s="1024"/>
      <c r="B126" s="161"/>
      <c r="C126" s="1024"/>
      <c r="D126" s="1024"/>
      <c r="E126" s="1024"/>
      <c r="F126" s="1024"/>
      <c r="G126" s="1024"/>
      <c r="H126" s="1024"/>
      <c r="I126" s="1024"/>
      <c r="J126" s="1059"/>
      <c r="K126" s="156"/>
      <c r="L126" s="1024"/>
      <c r="M126" s="1033"/>
      <c r="N126" s="1024"/>
      <c r="O126" s="1024"/>
      <c r="P126" s="1024"/>
      <c r="Q126" s="1024"/>
      <c r="R126" s="1020"/>
      <c r="S126" s="1020"/>
      <c r="T126" s="1036"/>
      <c r="U126" s="1036"/>
      <c r="V126" s="1020"/>
      <c r="W126" s="1020"/>
      <c r="X126" s="1020"/>
      <c r="Y126" s="1020"/>
      <c r="Z126" s="1020"/>
      <c r="AA126" s="1020"/>
      <c r="AB126" s="1020"/>
      <c r="AC126" s="1020"/>
      <c r="AD126" s="1020"/>
      <c r="AE126" s="1020"/>
      <c r="AF126" s="1020"/>
      <c r="AG126" s="1020"/>
      <c r="AH126" s="1020"/>
      <c r="AI126" s="1020"/>
      <c r="AJ126" s="1020"/>
      <c r="AK126" s="1020"/>
      <c r="AL126" s="1020"/>
      <c r="AM126" s="1020"/>
      <c r="AN126" s="1020"/>
      <c r="AO126" s="1020"/>
      <c r="AP126" s="1020"/>
      <c r="AQ126" s="1020"/>
      <c r="AR126" s="1020"/>
      <c r="AS126" s="1020"/>
      <c r="AT126" s="1020"/>
      <c r="AU126" s="1020"/>
      <c r="AV126" s="1020"/>
      <c r="AW126" s="1020"/>
      <c r="AX126" s="1020"/>
    </row>
    <row r="127" spans="1:50" ht="12" customHeight="1">
      <c r="A127" s="1024"/>
      <c r="B127" s="161"/>
      <c r="C127" s="1024"/>
      <c r="D127" s="1024"/>
      <c r="E127" s="1024"/>
      <c r="F127" s="1024"/>
      <c r="G127" s="1024"/>
      <c r="H127" s="1024"/>
      <c r="I127" s="1024"/>
      <c r="J127" s="1059"/>
      <c r="K127" s="156"/>
      <c r="L127" s="1024"/>
      <c r="M127" s="1033"/>
      <c r="N127" s="1024"/>
      <c r="O127" s="1024"/>
      <c r="P127" s="1024"/>
      <c r="Q127" s="1024"/>
      <c r="R127" s="1020"/>
      <c r="S127" s="1020"/>
      <c r="T127" s="1036"/>
      <c r="U127" s="1036"/>
      <c r="V127" s="1020"/>
      <c r="W127" s="1020"/>
      <c r="X127" s="1020"/>
      <c r="Y127" s="1020"/>
      <c r="Z127" s="1020"/>
      <c r="AA127" s="1020"/>
      <c r="AB127" s="1020"/>
      <c r="AC127" s="1020"/>
      <c r="AD127" s="1020"/>
      <c r="AE127" s="1020"/>
      <c r="AF127" s="1020"/>
      <c r="AG127" s="1020"/>
      <c r="AH127" s="1020"/>
      <c r="AI127" s="1020"/>
      <c r="AJ127" s="1020"/>
      <c r="AK127" s="1020"/>
      <c r="AL127" s="1020"/>
      <c r="AM127" s="1020"/>
      <c r="AN127" s="1020"/>
      <c r="AO127" s="1020"/>
      <c r="AP127" s="1020"/>
      <c r="AQ127" s="1020"/>
      <c r="AR127" s="1020"/>
      <c r="AS127" s="1020"/>
      <c r="AT127" s="1020"/>
      <c r="AU127" s="1020"/>
      <c r="AV127" s="1020"/>
      <c r="AW127" s="1020"/>
      <c r="AX127" s="1020"/>
    </row>
    <row r="128" spans="1:50" ht="12" customHeight="1">
      <c r="A128" s="1024"/>
      <c r="B128" s="161"/>
      <c r="C128" s="1024"/>
      <c r="D128" s="1024"/>
      <c r="E128" s="1024"/>
      <c r="F128" s="1024"/>
      <c r="G128" s="1024"/>
      <c r="H128" s="1024"/>
      <c r="I128" s="1024"/>
      <c r="J128" s="1059"/>
      <c r="K128" s="156"/>
      <c r="L128" s="1024"/>
      <c r="M128" s="1033"/>
      <c r="N128" s="1024"/>
      <c r="O128" s="1024"/>
      <c r="P128" s="1024"/>
      <c r="Q128" s="1024"/>
      <c r="R128" s="1020"/>
      <c r="S128" s="1020"/>
      <c r="T128" s="1036"/>
      <c r="U128" s="1036"/>
      <c r="V128" s="1020"/>
      <c r="W128" s="1020"/>
      <c r="X128" s="1020"/>
      <c r="Y128" s="1020"/>
      <c r="Z128" s="1020"/>
      <c r="AA128" s="1020"/>
      <c r="AB128" s="1020"/>
      <c r="AC128" s="1020"/>
      <c r="AD128" s="1020"/>
      <c r="AE128" s="1020"/>
      <c r="AF128" s="1020"/>
      <c r="AG128" s="1020"/>
      <c r="AH128" s="1020"/>
      <c r="AI128" s="1020"/>
      <c r="AJ128" s="1020"/>
      <c r="AK128" s="1020"/>
      <c r="AL128" s="1020"/>
      <c r="AM128" s="1020"/>
      <c r="AN128" s="1020"/>
      <c r="AO128" s="1020"/>
      <c r="AP128" s="1020"/>
      <c r="AQ128" s="1020"/>
      <c r="AR128" s="1020"/>
      <c r="AS128" s="1020"/>
      <c r="AT128" s="1020"/>
      <c r="AU128" s="1020"/>
      <c r="AV128" s="1020"/>
      <c r="AW128" s="1020"/>
      <c r="AX128" s="1020"/>
    </row>
    <row r="129" spans="1:50" ht="12" customHeight="1">
      <c r="A129" s="1024"/>
      <c r="B129" s="161"/>
      <c r="C129" s="1024"/>
      <c r="D129" s="1024"/>
      <c r="E129" s="1024"/>
      <c r="F129" s="1024"/>
      <c r="G129" s="1024"/>
      <c r="H129" s="1024"/>
      <c r="I129" s="1024"/>
      <c r="J129" s="1059"/>
      <c r="K129" s="156"/>
      <c r="L129" s="1024"/>
      <c r="M129" s="1033"/>
      <c r="N129" s="1024"/>
      <c r="O129" s="1024"/>
      <c r="P129" s="1024"/>
      <c r="Q129" s="1024"/>
      <c r="R129" s="1020"/>
      <c r="S129" s="1020"/>
      <c r="T129" s="1036"/>
      <c r="U129" s="1036"/>
      <c r="V129" s="1020"/>
      <c r="W129" s="1020"/>
      <c r="X129" s="1020"/>
      <c r="Y129" s="1020"/>
      <c r="Z129" s="1020"/>
      <c r="AA129" s="1020"/>
      <c r="AB129" s="1020"/>
      <c r="AC129" s="1020"/>
      <c r="AD129" s="1020"/>
      <c r="AE129" s="1020"/>
      <c r="AF129" s="1020"/>
      <c r="AG129" s="1020"/>
      <c r="AH129" s="1020"/>
      <c r="AI129" s="1020"/>
      <c r="AJ129" s="1020"/>
      <c r="AK129" s="1020"/>
      <c r="AL129" s="1020"/>
      <c r="AM129" s="1020"/>
      <c r="AN129" s="1020"/>
      <c r="AO129" s="1020"/>
      <c r="AP129" s="1020"/>
      <c r="AQ129" s="1020"/>
      <c r="AR129" s="1020"/>
      <c r="AS129" s="1020"/>
      <c r="AT129" s="1020"/>
      <c r="AU129" s="1020"/>
      <c r="AV129" s="1020"/>
      <c r="AW129" s="1020"/>
      <c r="AX129" s="1020"/>
    </row>
    <row r="130" spans="1:50" ht="12" customHeight="1">
      <c r="A130" s="1024"/>
      <c r="B130" s="161"/>
      <c r="C130" s="1024"/>
      <c r="D130" s="1024"/>
      <c r="E130" s="1024"/>
      <c r="F130" s="1024"/>
      <c r="G130" s="1024"/>
      <c r="H130" s="1024"/>
      <c r="I130" s="1024"/>
      <c r="J130" s="1059"/>
      <c r="K130" s="156"/>
      <c r="L130" s="1024"/>
      <c r="M130" s="1033"/>
      <c r="N130" s="1024"/>
      <c r="O130" s="1024"/>
      <c r="P130" s="1024"/>
      <c r="Q130" s="1024"/>
      <c r="R130" s="1020"/>
      <c r="S130" s="1020"/>
      <c r="T130" s="1036"/>
      <c r="U130" s="1036"/>
      <c r="V130" s="1020"/>
      <c r="W130" s="1020"/>
      <c r="X130" s="1020"/>
      <c r="Y130" s="1020"/>
      <c r="Z130" s="1020"/>
      <c r="AA130" s="1020"/>
      <c r="AB130" s="1020"/>
      <c r="AC130" s="1020"/>
      <c r="AD130" s="1020"/>
      <c r="AE130" s="1020"/>
      <c r="AF130" s="1020"/>
      <c r="AG130" s="1020"/>
      <c r="AH130" s="1020"/>
      <c r="AI130" s="1020"/>
      <c r="AJ130" s="1020"/>
      <c r="AK130" s="1020"/>
      <c r="AL130" s="1020"/>
      <c r="AM130" s="1020"/>
      <c r="AN130" s="1020"/>
      <c r="AO130" s="1020"/>
      <c r="AP130" s="1020"/>
      <c r="AQ130" s="1020"/>
      <c r="AR130" s="1020"/>
      <c r="AS130" s="1020"/>
      <c r="AT130" s="1020"/>
      <c r="AU130" s="1020"/>
      <c r="AV130" s="1020"/>
      <c r="AW130" s="1020"/>
      <c r="AX130" s="1020"/>
    </row>
    <row r="131" spans="1:50" ht="12" customHeight="1">
      <c r="A131" s="1024"/>
      <c r="B131" s="161"/>
      <c r="C131" s="1024"/>
      <c r="D131" s="1024"/>
      <c r="E131" s="1024"/>
      <c r="F131" s="1024"/>
      <c r="G131" s="1024"/>
      <c r="H131" s="1024"/>
      <c r="I131" s="1024"/>
      <c r="J131" s="1059"/>
      <c r="K131" s="156"/>
      <c r="L131" s="1024"/>
      <c r="M131" s="1033"/>
      <c r="N131" s="1024"/>
      <c r="O131" s="1024"/>
      <c r="P131" s="1024"/>
      <c r="Q131" s="1024"/>
      <c r="R131" s="1020"/>
      <c r="S131" s="1020"/>
      <c r="T131" s="1036"/>
      <c r="U131" s="1036"/>
      <c r="V131" s="1020"/>
      <c r="W131" s="1020"/>
      <c r="X131" s="1020"/>
      <c r="Y131" s="1020"/>
      <c r="Z131" s="1020"/>
      <c r="AA131" s="1020"/>
      <c r="AB131" s="1020"/>
      <c r="AC131" s="1020"/>
      <c r="AD131" s="1020"/>
      <c r="AE131" s="1020"/>
      <c r="AF131" s="1020"/>
      <c r="AG131" s="1020"/>
      <c r="AH131" s="1020"/>
      <c r="AI131" s="1020"/>
      <c r="AJ131" s="1020"/>
      <c r="AK131" s="1020"/>
      <c r="AL131" s="1020"/>
      <c r="AM131" s="1020"/>
      <c r="AN131" s="1020"/>
      <c r="AO131" s="1020"/>
      <c r="AP131" s="1020"/>
      <c r="AQ131" s="1020"/>
      <c r="AR131" s="1020"/>
      <c r="AS131" s="1020"/>
      <c r="AT131" s="1020"/>
      <c r="AU131" s="1020"/>
      <c r="AV131" s="1020"/>
      <c r="AW131" s="1020"/>
      <c r="AX131" s="1020"/>
    </row>
    <row r="132" spans="1:50" ht="12" customHeight="1">
      <c r="A132" s="1024"/>
      <c r="B132" s="161"/>
      <c r="C132" s="1024"/>
      <c r="D132" s="1024"/>
      <c r="E132" s="1024"/>
      <c r="F132" s="1024"/>
      <c r="G132" s="1024"/>
      <c r="H132" s="1024"/>
      <c r="I132" s="1024"/>
      <c r="J132" s="1059"/>
      <c r="K132" s="156"/>
      <c r="L132" s="1024"/>
      <c r="M132" s="1033"/>
      <c r="N132" s="1024"/>
      <c r="O132" s="1024"/>
      <c r="P132" s="1024"/>
      <c r="Q132" s="1024"/>
      <c r="R132" s="1020"/>
      <c r="S132" s="1020"/>
      <c r="T132" s="1036"/>
      <c r="U132" s="1036"/>
      <c r="V132" s="1020"/>
      <c r="W132" s="1020"/>
      <c r="X132" s="1020"/>
      <c r="Y132" s="1020"/>
      <c r="Z132" s="1020"/>
      <c r="AA132" s="1020"/>
      <c r="AB132" s="1020"/>
      <c r="AC132" s="1020"/>
      <c r="AD132" s="1020"/>
      <c r="AE132" s="1020"/>
      <c r="AF132" s="1020"/>
      <c r="AG132" s="1020"/>
      <c r="AH132" s="1020"/>
      <c r="AI132" s="1020"/>
      <c r="AJ132" s="1020"/>
      <c r="AK132" s="1020"/>
      <c r="AL132" s="1020"/>
      <c r="AM132" s="1020"/>
      <c r="AN132" s="1020"/>
      <c r="AO132" s="1020"/>
      <c r="AP132" s="1020"/>
      <c r="AQ132" s="1020"/>
      <c r="AR132" s="1020"/>
      <c r="AS132" s="1020"/>
      <c r="AT132" s="1020"/>
      <c r="AU132" s="1020"/>
      <c r="AV132" s="1020"/>
      <c r="AW132" s="1020"/>
      <c r="AX132" s="1020"/>
    </row>
    <row r="133" spans="1:50" ht="12" customHeight="1">
      <c r="A133" s="1024"/>
      <c r="B133" s="161"/>
      <c r="C133" s="1024"/>
      <c r="D133" s="1024"/>
      <c r="E133" s="1024"/>
      <c r="F133" s="1024"/>
      <c r="G133" s="1024"/>
      <c r="H133" s="1024"/>
      <c r="I133" s="1024"/>
      <c r="J133" s="1059"/>
      <c r="K133" s="156"/>
      <c r="L133" s="1024"/>
      <c r="M133" s="1033"/>
      <c r="N133" s="1024"/>
      <c r="O133" s="1024"/>
      <c r="P133" s="1024"/>
      <c r="Q133" s="1024"/>
      <c r="R133" s="1020"/>
      <c r="S133" s="1020"/>
      <c r="T133" s="1036"/>
      <c r="U133" s="1036"/>
      <c r="V133" s="1020"/>
      <c r="W133" s="1020"/>
      <c r="X133" s="1020"/>
      <c r="Y133" s="1020"/>
      <c r="Z133" s="1020"/>
      <c r="AA133" s="1020"/>
      <c r="AB133" s="1020"/>
      <c r="AC133" s="1020"/>
      <c r="AD133" s="1020"/>
      <c r="AE133" s="1020"/>
      <c r="AF133" s="1020"/>
      <c r="AG133" s="1020"/>
      <c r="AH133" s="1020"/>
      <c r="AI133" s="1020"/>
      <c r="AJ133" s="1020"/>
      <c r="AK133" s="1020"/>
      <c r="AL133" s="1020"/>
      <c r="AM133" s="1020"/>
      <c r="AN133" s="1020"/>
      <c r="AO133" s="1020"/>
      <c r="AP133" s="1020"/>
      <c r="AQ133" s="1020"/>
      <c r="AR133" s="1020"/>
      <c r="AS133" s="1020"/>
      <c r="AT133" s="1020"/>
      <c r="AU133" s="1020"/>
      <c r="AV133" s="1020"/>
      <c r="AW133" s="1020"/>
      <c r="AX133" s="1020"/>
    </row>
    <row r="134" spans="1:50" ht="12" customHeight="1">
      <c r="A134" s="1024"/>
      <c r="B134" s="161"/>
      <c r="C134" s="1024"/>
      <c r="D134" s="1024"/>
      <c r="E134" s="1024"/>
      <c r="F134" s="1024"/>
      <c r="G134" s="1024"/>
      <c r="H134" s="1024"/>
      <c r="I134" s="1024"/>
      <c r="J134" s="1059"/>
      <c r="K134" s="156"/>
      <c r="L134" s="1024"/>
      <c r="M134" s="1033"/>
      <c r="N134" s="1024"/>
      <c r="O134" s="1024"/>
      <c r="P134" s="1024"/>
      <c r="Q134" s="1024"/>
      <c r="R134" s="1020"/>
      <c r="S134" s="1020"/>
      <c r="T134" s="1036"/>
      <c r="U134" s="1036"/>
      <c r="V134" s="1020"/>
      <c r="W134" s="1020"/>
      <c r="X134" s="1020"/>
      <c r="Y134" s="1020"/>
      <c r="Z134" s="1020"/>
      <c r="AA134" s="1020"/>
      <c r="AB134" s="1020"/>
      <c r="AC134" s="1020"/>
      <c r="AD134" s="1020"/>
      <c r="AE134" s="1020"/>
      <c r="AF134" s="1020"/>
      <c r="AG134" s="1020"/>
      <c r="AH134" s="1020"/>
      <c r="AI134" s="1020"/>
      <c r="AJ134" s="1020"/>
      <c r="AK134" s="1020"/>
      <c r="AL134" s="1020"/>
      <c r="AM134" s="1020"/>
      <c r="AN134" s="1020"/>
      <c r="AO134" s="1020"/>
      <c r="AP134" s="1020"/>
      <c r="AQ134" s="1020"/>
      <c r="AR134" s="1020"/>
      <c r="AS134" s="1020"/>
      <c r="AT134" s="1020"/>
      <c r="AU134" s="1020"/>
      <c r="AV134" s="1020"/>
      <c r="AW134" s="1020"/>
      <c r="AX134" s="1020"/>
    </row>
    <row r="135" spans="1:50" ht="12" customHeight="1">
      <c r="A135" s="1024"/>
      <c r="B135" s="161"/>
      <c r="C135" s="1024"/>
      <c r="D135" s="1024"/>
      <c r="E135" s="1024"/>
      <c r="F135" s="1024"/>
      <c r="G135" s="1024"/>
      <c r="H135" s="1024"/>
      <c r="I135" s="1024"/>
      <c r="J135" s="1059"/>
      <c r="K135" s="156"/>
      <c r="L135" s="1024"/>
      <c r="M135" s="1033"/>
      <c r="N135" s="1024"/>
      <c r="O135" s="1024"/>
      <c r="P135" s="1024"/>
      <c r="Q135" s="1024"/>
      <c r="R135" s="1020"/>
      <c r="S135" s="1020"/>
      <c r="T135" s="1036"/>
      <c r="U135" s="1036"/>
      <c r="V135" s="1020"/>
      <c r="W135" s="1020"/>
      <c r="X135" s="1020"/>
      <c r="Y135" s="1020"/>
      <c r="Z135" s="1020"/>
      <c r="AA135" s="1020"/>
      <c r="AB135" s="1020"/>
      <c r="AC135" s="1020"/>
      <c r="AD135" s="1020"/>
      <c r="AE135" s="1020"/>
      <c r="AF135" s="1020"/>
      <c r="AG135" s="1020"/>
      <c r="AH135" s="1020"/>
      <c r="AI135" s="1020"/>
      <c r="AJ135" s="1020"/>
      <c r="AK135" s="1020"/>
      <c r="AL135" s="1020"/>
      <c r="AM135" s="1020"/>
      <c r="AN135" s="1020"/>
      <c r="AO135" s="1020"/>
      <c r="AP135" s="1020"/>
      <c r="AQ135" s="1020"/>
      <c r="AR135" s="1020"/>
      <c r="AS135" s="1020"/>
      <c r="AT135" s="1020"/>
      <c r="AU135" s="1020"/>
      <c r="AV135" s="1020"/>
      <c r="AW135" s="1020"/>
      <c r="AX135" s="1020"/>
    </row>
    <row r="136" spans="1:50" ht="12" customHeight="1">
      <c r="A136" s="1024"/>
      <c r="B136" s="161"/>
      <c r="C136" s="1024"/>
      <c r="D136" s="1024"/>
      <c r="E136" s="1024"/>
      <c r="F136" s="1024"/>
      <c r="G136" s="1024"/>
      <c r="H136" s="1024"/>
      <c r="I136" s="1024"/>
      <c r="J136" s="1059"/>
      <c r="K136" s="156"/>
      <c r="L136" s="1024"/>
      <c r="M136" s="1033"/>
      <c r="N136" s="1024"/>
      <c r="O136" s="1024"/>
      <c r="P136" s="1024"/>
      <c r="Q136" s="1024"/>
      <c r="R136" s="1020"/>
      <c r="S136" s="1020"/>
      <c r="T136" s="1036"/>
      <c r="U136" s="1036"/>
      <c r="V136" s="1020"/>
      <c r="W136" s="1020"/>
      <c r="X136" s="1020"/>
      <c r="Y136" s="1020"/>
      <c r="Z136" s="1020"/>
      <c r="AA136" s="1020"/>
      <c r="AB136" s="1020"/>
      <c r="AC136" s="1020"/>
      <c r="AD136" s="1020"/>
      <c r="AE136" s="1020"/>
      <c r="AF136" s="1020"/>
      <c r="AG136" s="1020"/>
      <c r="AH136" s="1020"/>
      <c r="AI136" s="1020"/>
      <c r="AJ136" s="1020"/>
      <c r="AK136" s="1020"/>
      <c r="AL136" s="1020"/>
      <c r="AM136" s="1020"/>
      <c r="AN136" s="1020"/>
      <c r="AO136" s="1020"/>
      <c r="AP136" s="1020"/>
      <c r="AQ136" s="1020"/>
      <c r="AR136" s="1020"/>
      <c r="AS136" s="1020"/>
      <c r="AT136" s="1020"/>
      <c r="AU136" s="1020"/>
      <c r="AV136" s="1020"/>
      <c r="AW136" s="1020"/>
      <c r="AX136" s="1020"/>
    </row>
    <row r="137" spans="1:50" ht="12" customHeight="1">
      <c r="A137" s="1024"/>
      <c r="B137" s="161"/>
      <c r="C137" s="1024"/>
      <c r="D137" s="1024"/>
      <c r="E137" s="1024"/>
      <c r="F137" s="1024"/>
      <c r="G137" s="1024"/>
      <c r="H137" s="1024"/>
      <c r="I137" s="1024"/>
      <c r="J137" s="1059"/>
      <c r="K137" s="156"/>
      <c r="L137" s="1024"/>
      <c r="M137" s="1033"/>
      <c r="N137" s="1024"/>
      <c r="O137" s="1024"/>
      <c r="P137" s="1024"/>
      <c r="Q137" s="1024"/>
      <c r="R137" s="1020"/>
      <c r="S137" s="1020"/>
      <c r="T137" s="1036"/>
      <c r="U137" s="1036"/>
      <c r="V137" s="1020"/>
      <c r="W137" s="1020"/>
      <c r="X137" s="1020"/>
      <c r="Y137" s="1020"/>
      <c r="Z137" s="1020"/>
      <c r="AA137" s="1020"/>
      <c r="AB137" s="1020"/>
      <c r="AC137" s="1020"/>
      <c r="AD137" s="1020"/>
      <c r="AE137" s="1020"/>
      <c r="AF137" s="1020"/>
      <c r="AG137" s="1020"/>
      <c r="AH137" s="1020"/>
      <c r="AI137" s="1020"/>
      <c r="AJ137" s="1020"/>
      <c r="AK137" s="1020"/>
      <c r="AL137" s="1020"/>
      <c r="AM137" s="1020"/>
      <c r="AN137" s="1020"/>
      <c r="AO137" s="1020"/>
      <c r="AP137" s="1020"/>
      <c r="AQ137" s="1020"/>
      <c r="AR137" s="1020"/>
      <c r="AS137" s="1020"/>
      <c r="AT137" s="1020"/>
      <c r="AU137" s="1020"/>
      <c r="AV137" s="1020"/>
      <c r="AW137" s="1020"/>
      <c r="AX137" s="1020"/>
    </row>
    <row r="138" spans="1:50" ht="12" customHeight="1">
      <c r="A138" s="1024"/>
      <c r="B138" s="161"/>
      <c r="C138" s="1024"/>
      <c r="D138" s="1024"/>
      <c r="E138" s="1024"/>
      <c r="F138" s="1024"/>
      <c r="G138" s="1024"/>
      <c r="H138" s="1024"/>
      <c r="I138" s="1024"/>
      <c r="J138" s="1059"/>
      <c r="K138" s="156"/>
      <c r="L138" s="1024"/>
      <c r="M138" s="1033"/>
      <c r="N138" s="1024"/>
      <c r="O138" s="1024"/>
      <c r="P138" s="1024"/>
      <c r="Q138" s="1024"/>
      <c r="R138" s="1020"/>
      <c r="S138" s="1020"/>
      <c r="T138" s="1036"/>
      <c r="U138" s="1036"/>
      <c r="V138" s="1020"/>
      <c r="W138" s="1020"/>
      <c r="X138" s="1020"/>
      <c r="Y138" s="1020"/>
      <c r="Z138" s="1020"/>
      <c r="AA138" s="1020"/>
      <c r="AB138" s="1020"/>
      <c r="AC138" s="1020"/>
      <c r="AD138" s="1020"/>
      <c r="AE138" s="1020"/>
      <c r="AF138" s="1020"/>
      <c r="AG138" s="1020"/>
      <c r="AH138" s="1020"/>
      <c r="AI138" s="1020"/>
      <c r="AJ138" s="1020"/>
      <c r="AK138" s="1020"/>
      <c r="AL138" s="1020"/>
      <c r="AM138" s="1020"/>
      <c r="AN138" s="1020"/>
      <c r="AO138" s="1020"/>
      <c r="AP138" s="1020"/>
      <c r="AQ138" s="1020"/>
      <c r="AR138" s="1020"/>
      <c r="AS138" s="1020"/>
      <c r="AT138" s="1020"/>
      <c r="AU138" s="1020"/>
      <c r="AV138" s="1020"/>
      <c r="AW138" s="1020"/>
      <c r="AX138" s="1020"/>
    </row>
    <row r="139" spans="1:50" ht="12" customHeight="1">
      <c r="A139" s="1024"/>
      <c r="B139" s="161"/>
      <c r="C139" s="1024"/>
      <c r="D139" s="1024"/>
      <c r="E139" s="1024"/>
      <c r="F139" s="1024"/>
      <c r="G139" s="1024"/>
      <c r="H139" s="1024"/>
      <c r="I139" s="1024"/>
      <c r="J139" s="1059"/>
      <c r="K139" s="156"/>
      <c r="L139" s="1024"/>
      <c r="M139" s="1033"/>
      <c r="N139" s="1024"/>
      <c r="O139" s="1024"/>
      <c r="P139" s="1024"/>
      <c r="Q139" s="1024"/>
      <c r="R139" s="1020"/>
      <c r="S139" s="1020"/>
      <c r="T139" s="1036"/>
      <c r="U139" s="1036"/>
      <c r="V139" s="1020"/>
      <c r="W139" s="1020"/>
      <c r="X139" s="1020"/>
      <c r="Y139" s="1020"/>
      <c r="Z139" s="1020"/>
      <c r="AA139" s="1020"/>
      <c r="AB139" s="1020"/>
      <c r="AC139" s="1020"/>
      <c r="AD139" s="1020"/>
      <c r="AE139" s="1020"/>
      <c r="AF139" s="1020"/>
      <c r="AG139" s="1020"/>
      <c r="AH139" s="1020"/>
      <c r="AI139" s="1020"/>
      <c r="AJ139" s="1020"/>
      <c r="AK139" s="1020"/>
      <c r="AL139" s="1020"/>
      <c r="AM139" s="1020"/>
      <c r="AN139" s="1020"/>
      <c r="AO139" s="1020"/>
      <c r="AP139" s="1020"/>
      <c r="AQ139" s="1020"/>
      <c r="AR139" s="1020"/>
      <c r="AS139" s="1020"/>
      <c r="AT139" s="1020"/>
      <c r="AU139" s="1020"/>
      <c r="AV139" s="1020"/>
      <c r="AW139" s="1020"/>
      <c r="AX139" s="1020"/>
    </row>
    <row r="140" spans="1:50" ht="12" customHeight="1">
      <c r="A140" s="1024"/>
      <c r="B140" s="161"/>
      <c r="C140" s="1024"/>
      <c r="D140" s="1024"/>
      <c r="E140" s="1024"/>
      <c r="F140" s="1024"/>
      <c r="G140" s="1024"/>
      <c r="H140" s="1024"/>
      <c r="I140" s="1024"/>
      <c r="J140" s="1059"/>
      <c r="K140" s="156"/>
      <c r="L140" s="1024"/>
      <c r="M140" s="1033"/>
      <c r="N140" s="1024"/>
      <c r="O140" s="1024"/>
      <c r="P140" s="1024"/>
      <c r="Q140" s="1024"/>
      <c r="R140" s="1020"/>
      <c r="S140" s="1020"/>
      <c r="T140" s="1036"/>
      <c r="U140" s="1036"/>
      <c r="V140" s="1020"/>
      <c r="W140" s="1020"/>
      <c r="X140" s="1020"/>
      <c r="Y140" s="1020"/>
      <c r="Z140" s="1020"/>
      <c r="AA140" s="1020"/>
      <c r="AB140" s="1020"/>
      <c r="AC140" s="1020"/>
      <c r="AD140" s="1020"/>
      <c r="AE140" s="1020"/>
      <c r="AF140" s="1020"/>
      <c r="AG140" s="1020"/>
      <c r="AH140" s="1020"/>
      <c r="AI140" s="1020"/>
      <c r="AJ140" s="1020"/>
      <c r="AK140" s="1020"/>
      <c r="AL140" s="1020"/>
      <c r="AM140" s="1020"/>
      <c r="AN140" s="1020"/>
      <c r="AO140" s="1020"/>
      <c r="AP140" s="1020"/>
      <c r="AQ140" s="1020"/>
      <c r="AR140" s="1020"/>
      <c r="AS140" s="1020"/>
      <c r="AT140" s="1020"/>
      <c r="AU140" s="1020"/>
      <c r="AV140" s="1020"/>
      <c r="AW140" s="1020"/>
      <c r="AX140" s="1020"/>
    </row>
    <row r="141" spans="1:50" ht="12" customHeight="1">
      <c r="A141" s="1024"/>
      <c r="B141" s="161"/>
      <c r="C141" s="1024"/>
      <c r="D141" s="1024"/>
      <c r="E141" s="1024"/>
      <c r="F141" s="1024"/>
      <c r="G141" s="1024"/>
      <c r="H141" s="1024"/>
      <c r="I141" s="1024"/>
      <c r="J141" s="1059"/>
      <c r="K141" s="156"/>
      <c r="L141" s="1024"/>
      <c r="M141" s="1033"/>
      <c r="N141" s="1024"/>
      <c r="O141" s="1024"/>
      <c r="P141" s="1024"/>
      <c r="Q141" s="1024"/>
      <c r="R141" s="1020"/>
      <c r="S141" s="1020"/>
      <c r="T141" s="1036"/>
      <c r="U141" s="1036"/>
      <c r="V141" s="1020"/>
      <c r="W141" s="1020"/>
      <c r="X141" s="1020"/>
      <c r="Y141" s="1020"/>
      <c r="Z141" s="1020"/>
      <c r="AA141" s="1020"/>
      <c r="AB141" s="1020"/>
      <c r="AC141" s="1020"/>
      <c r="AD141" s="1020"/>
      <c r="AE141" s="1020"/>
      <c r="AF141" s="1020"/>
      <c r="AG141" s="1020"/>
      <c r="AH141" s="1020"/>
      <c r="AI141" s="1020"/>
      <c r="AJ141" s="1020"/>
      <c r="AK141" s="1020"/>
      <c r="AL141" s="1020"/>
      <c r="AM141" s="1020"/>
      <c r="AN141" s="1020"/>
      <c r="AO141" s="1020"/>
      <c r="AP141" s="1020"/>
      <c r="AQ141" s="1020"/>
      <c r="AR141" s="1020"/>
      <c r="AS141" s="1020"/>
      <c r="AT141" s="1020"/>
      <c r="AU141" s="1020"/>
      <c r="AV141" s="1020"/>
      <c r="AW141" s="1020"/>
      <c r="AX141" s="1020"/>
    </row>
    <row r="142" spans="1:50" ht="12" customHeight="1">
      <c r="A142" s="1024"/>
      <c r="B142" s="161"/>
      <c r="C142" s="1024"/>
      <c r="D142" s="1024"/>
      <c r="E142" s="1024"/>
      <c r="F142" s="1024"/>
      <c r="G142" s="1024"/>
      <c r="H142" s="1024"/>
      <c r="I142" s="1024"/>
      <c r="J142" s="1059"/>
      <c r="K142" s="156"/>
      <c r="L142" s="1024"/>
      <c r="M142" s="1033"/>
      <c r="N142" s="1024"/>
      <c r="O142" s="1024"/>
      <c r="P142" s="1024"/>
      <c r="Q142" s="1024"/>
      <c r="R142" s="1020"/>
      <c r="S142" s="1020"/>
      <c r="T142" s="1036"/>
      <c r="U142" s="1036"/>
      <c r="V142" s="1020"/>
      <c r="W142" s="1020"/>
      <c r="X142" s="1020"/>
      <c r="Y142" s="1020"/>
      <c r="Z142" s="1020"/>
      <c r="AA142" s="1020"/>
      <c r="AB142" s="1020"/>
      <c r="AC142" s="1020"/>
      <c r="AD142" s="1020"/>
      <c r="AE142" s="1020"/>
      <c r="AF142" s="1020"/>
      <c r="AG142" s="1020"/>
      <c r="AH142" s="1020"/>
      <c r="AI142" s="1020"/>
      <c r="AJ142" s="1020"/>
      <c r="AK142" s="1020"/>
      <c r="AL142" s="1020"/>
      <c r="AM142" s="1020"/>
      <c r="AN142" s="1020"/>
      <c r="AO142" s="1020"/>
      <c r="AP142" s="1020"/>
      <c r="AQ142" s="1020"/>
      <c r="AR142" s="1020"/>
      <c r="AS142" s="1020"/>
      <c r="AT142" s="1020"/>
      <c r="AU142" s="1020"/>
      <c r="AV142" s="1020"/>
      <c r="AW142" s="1020"/>
      <c r="AX142" s="1020"/>
    </row>
    <row r="143" spans="1:50" ht="12" customHeight="1">
      <c r="A143" s="1024"/>
      <c r="B143" s="161"/>
      <c r="C143" s="1024"/>
      <c r="D143" s="1024"/>
      <c r="E143" s="1024"/>
      <c r="F143" s="1024"/>
      <c r="G143" s="1024"/>
      <c r="H143" s="1024"/>
      <c r="I143" s="1024"/>
      <c r="J143" s="1059"/>
      <c r="K143" s="156"/>
      <c r="L143" s="1024"/>
      <c r="M143" s="1033"/>
      <c r="N143" s="1024"/>
      <c r="O143" s="1024"/>
      <c r="P143" s="1024"/>
      <c r="Q143" s="1024"/>
      <c r="R143" s="1020"/>
      <c r="S143" s="1020"/>
      <c r="T143" s="1036"/>
      <c r="U143" s="1036"/>
      <c r="V143" s="1020"/>
      <c r="W143" s="1020"/>
      <c r="X143" s="1020"/>
      <c r="Y143" s="1020"/>
      <c r="Z143" s="1020"/>
      <c r="AA143" s="1020"/>
      <c r="AB143" s="1020"/>
      <c r="AC143" s="1020"/>
      <c r="AD143" s="1020"/>
      <c r="AE143" s="1020"/>
      <c r="AF143" s="1020"/>
      <c r="AG143" s="1020"/>
      <c r="AH143" s="1020"/>
      <c r="AI143" s="1020"/>
      <c r="AJ143" s="1020"/>
      <c r="AK143" s="1020"/>
      <c r="AL143" s="1020"/>
      <c r="AM143" s="1020"/>
      <c r="AN143" s="1020"/>
      <c r="AO143" s="1020"/>
      <c r="AP143" s="1020"/>
      <c r="AQ143" s="1020"/>
      <c r="AR143" s="1020"/>
      <c r="AS143" s="1020"/>
      <c r="AT143" s="1020"/>
      <c r="AU143" s="1020"/>
      <c r="AV143" s="1020"/>
      <c r="AW143" s="1020"/>
      <c r="AX143" s="1020"/>
    </row>
    <row r="144" spans="1:50" ht="12" customHeight="1">
      <c r="A144" s="1024"/>
      <c r="B144" s="161"/>
      <c r="C144" s="1024"/>
      <c r="D144" s="1024"/>
      <c r="E144" s="1024"/>
      <c r="F144" s="1024"/>
      <c r="G144" s="1024"/>
      <c r="H144" s="1024"/>
      <c r="I144" s="1024"/>
      <c r="J144" s="1059"/>
      <c r="K144" s="156"/>
      <c r="L144" s="1024"/>
      <c r="M144" s="1033"/>
      <c r="N144" s="1024"/>
      <c r="O144" s="1024"/>
      <c r="P144" s="1024"/>
      <c r="Q144" s="1024"/>
      <c r="R144" s="1020"/>
      <c r="S144" s="1020"/>
      <c r="T144" s="1036"/>
      <c r="U144" s="1036"/>
      <c r="V144" s="1020"/>
      <c r="W144" s="1020"/>
      <c r="X144" s="1020"/>
      <c r="Y144" s="1020"/>
      <c r="Z144" s="1020"/>
      <c r="AA144" s="1020"/>
      <c r="AB144" s="1020"/>
      <c r="AC144" s="1020"/>
      <c r="AD144" s="1020"/>
      <c r="AE144" s="1020"/>
      <c r="AF144" s="1020"/>
      <c r="AG144" s="1020"/>
      <c r="AH144" s="1020"/>
      <c r="AI144" s="1020"/>
      <c r="AJ144" s="1020"/>
      <c r="AK144" s="1020"/>
      <c r="AL144" s="1020"/>
      <c r="AM144" s="1020"/>
      <c r="AN144" s="1020"/>
      <c r="AO144" s="1020"/>
      <c r="AP144" s="1020"/>
      <c r="AQ144" s="1020"/>
      <c r="AR144" s="1020"/>
      <c r="AS144" s="1020"/>
      <c r="AT144" s="1020"/>
      <c r="AU144" s="1020"/>
      <c r="AV144" s="1020"/>
      <c r="AW144" s="1020"/>
      <c r="AX144" s="1020"/>
    </row>
    <row r="145" spans="1:50" ht="12" customHeight="1">
      <c r="A145" s="1024"/>
      <c r="B145" s="161"/>
      <c r="C145" s="1024"/>
      <c r="D145" s="1024"/>
      <c r="E145" s="1024"/>
      <c r="F145" s="1024"/>
      <c r="G145" s="1024"/>
      <c r="H145" s="1024"/>
      <c r="I145" s="1024"/>
      <c r="J145" s="1059"/>
      <c r="K145" s="156"/>
      <c r="L145" s="1024"/>
      <c r="M145" s="1033"/>
      <c r="N145" s="1024"/>
      <c r="O145" s="1024"/>
      <c r="P145" s="1024"/>
      <c r="Q145" s="1024"/>
      <c r="R145" s="1020"/>
      <c r="S145" s="1020"/>
      <c r="T145" s="1036"/>
      <c r="U145" s="1036"/>
      <c r="V145" s="1020"/>
      <c r="W145" s="1020"/>
      <c r="X145" s="1020"/>
      <c r="Y145" s="1020"/>
      <c r="Z145" s="1020"/>
      <c r="AA145" s="1020"/>
      <c r="AB145" s="1020"/>
      <c r="AC145" s="1020"/>
      <c r="AD145" s="1020"/>
      <c r="AE145" s="1020"/>
      <c r="AF145" s="1020"/>
      <c r="AG145" s="1020"/>
      <c r="AH145" s="1020"/>
      <c r="AI145" s="1020"/>
      <c r="AJ145" s="1020"/>
      <c r="AK145" s="1020"/>
      <c r="AL145" s="1020"/>
      <c r="AM145" s="1020"/>
      <c r="AN145" s="1020"/>
      <c r="AO145" s="1020"/>
      <c r="AP145" s="1020"/>
      <c r="AQ145" s="1020"/>
      <c r="AR145" s="1020"/>
      <c r="AS145" s="1020"/>
      <c r="AT145" s="1020"/>
      <c r="AU145" s="1020"/>
      <c r="AV145" s="1020"/>
      <c r="AW145" s="1020"/>
      <c r="AX145" s="1020"/>
    </row>
    <row r="146" spans="1:50" ht="12" customHeight="1">
      <c r="A146" s="1024"/>
      <c r="B146" s="161"/>
      <c r="C146" s="1024"/>
      <c r="D146" s="1024"/>
      <c r="E146" s="1024"/>
      <c r="F146" s="1024"/>
      <c r="G146" s="1024"/>
      <c r="H146" s="1024"/>
      <c r="I146" s="1024"/>
      <c r="J146" s="1059"/>
      <c r="K146" s="156"/>
      <c r="L146" s="1024"/>
      <c r="M146" s="1033"/>
      <c r="N146" s="1024"/>
      <c r="O146" s="1024"/>
      <c r="P146" s="1024"/>
      <c r="Q146" s="1024"/>
      <c r="R146" s="1020"/>
      <c r="S146" s="1020"/>
      <c r="T146" s="1036"/>
      <c r="U146" s="1036"/>
      <c r="V146" s="1020"/>
      <c r="W146" s="1020"/>
      <c r="X146" s="1020"/>
      <c r="Y146" s="1020"/>
      <c r="Z146" s="1020"/>
      <c r="AA146" s="1020"/>
      <c r="AB146" s="1020"/>
      <c r="AC146" s="1020"/>
      <c r="AD146" s="1020"/>
      <c r="AE146" s="1020"/>
      <c r="AF146" s="1020"/>
      <c r="AG146" s="1020"/>
      <c r="AH146" s="1020"/>
      <c r="AI146" s="1020"/>
      <c r="AJ146" s="1020"/>
      <c r="AK146" s="1020"/>
      <c r="AL146" s="1020"/>
      <c r="AM146" s="1020"/>
      <c r="AN146" s="1020"/>
      <c r="AO146" s="1020"/>
      <c r="AP146" s="1020"/>
      <c r="AQ146" s="1020"/>
      <c r="AR146" s="1020"/>
      <c r="AS146" s="1020"/>
      <c r="AT146" s="1020"/>
      <c r="AU146" s="1020"/>
      <c r="AV146" s="1020"/>
      <c r="AW146" s="1020"/>
      <c r="AX146" s="1020"/>
    </row>
    <row r="147" spans="1:50" ht="12" customHeight="1">
      <c r="A147" s="1024"/>
      <c r="B147" s="161"/>
      <c r="C147" s="1024"/>
      <c r="D147" s="1024"/>
      <c r="E147" s="1024"/>
      <c r="F147" s="1024"/>
      <c r="G147" s="1024"/>
      <c r="H147" s="1024"/>
      <c r="I147" s="1024"/>
      <c r="J147" s="1059"/>
      <c r="K147" s="156"/>
      <c r="L147" s="1024"/>
      <c r="M147" s="1033"/>
      <c r="N147" s="1024"/>
      <c r="O147" s="1024"/>
      <c r="P147" s="1024"/>
      <c r="Q147" s="1024"/>
      <c r="R147" s="1020"/>
      <c r="S147" s="1020"/>
      <c r="T147" s="1036"/>
      <c r="U147" s="1036"/>
      <c r="V147" s="1020"/>
      <c r="W147" s="1020"/>
      <c r="X147" s="1020"/>
      <c r="Y147" s="1020"/>
      <c r="Z147" s="1020"/>
      <c r="AA147" s="1020"/>
      <c r="AB147" s="1020"/>
      <c r="AC147" s="1020"/>
      <c r="AD147" s="1020"/>
      <c r="AE147" s="1020"/>
      <c r="AF147" s="1020"/>
      <c r="AG147" s="1020"/>
      <c r="AH147" s="1020"/>
      <c r="AI147" s="1020"/>
      <c r="AJ147" s="1020"/>
      <c r="AK147" s="1020"/>
      <c r="AL147" s="1020"/>
      <c r="AM147" s="1020"/>
      <c r="AN147" s="1020"/>
      <c r="AO147" s="1020"/>
      <c r="AP147" s="1020"/>
      <c r="AQ147" s="1020"/>
      <c r="AR147" s="1020"/>
      <c r="AS147" s="1020"/>
      <c r="AT147" s="1020"/>
      <c r="AU147" s="1020"/>
      <c r="AV147" s="1020"/>
      <c r="AW147" s="1020"/>
      <c r="AX147" s="1020"/>
    </row>
    <row r="148" spans="1:50" ht="12" customHeight="1">
      <c r="A148" s="1024"/>
      <c r="B148" s="161"/>
      <c r="C148" s="1024"/>
      <c r="D148" s="1024"/>
      <c r="E148" s="1024"/>
      <c r="F148" s="1024"/>
      <c r="G148" s="1024"/>
      <c r="H148" s="1024"/>
      <c r="I148" s="1024"/>
      <c r="J148" s="1059"/>
      <c r="K148" s="156"/>
      <c r="L148" s="1024"/>
      <c r="M148" s="1033"/>
      <c r="N148" s="1024"/>
      <c r="O148" s="1024"/>
      <c r="P148" s="1024"/>
      <c r="Q148" s="1024"/>
      <c r="R148" s="1020"/>
      <c r="S148" s="1020"/>
      <c r="T148" s="1036"/>
      <c r="U148" s="1036"/>
      <c r="V148" s="1020"/>
      <c r="W148" s="1020"/>
      <c r="X148" s="1020"/>
      <c r="Y148" s="1020"/>
      <c r="Z148" s="1020"/>
      <c r="AA148" s="1020"/>
      <c r="AB148" s="1020"/>
      <c r="AC148" s="1020"/>
      <c r="AD148" s="1020"/>
      <c r="AE148" s="1020"/>
      <c r="AF148" s="1020"/>
      <c r="AG148" s="1020"/>
      <c r="AH148" s="1020"/>
      <c r="AI148" s="1020"/>
      <c r="AJ148" s="1020"/>
      <c r="AK148" s="1020"/>
      <c r="AL148" s="1020"/>
      <c r="AM148" s="1020"/>
      <c r="AN148" s="1020"/>
      <c r="AO148" s="1020"/>
      <c r="AP148" s="1020"/>
      <c r="AQ148" s="1020"/>
      <c r="AR148" s="1020"/>
      <c r="AS148" s="1020"/>
      <c r="AT148" s="1020"/>
      <c r="AU148" s="1020"/>
      <c r="AV148" s="1020"/>
      <c r="AW148" s="1020"/>
      <c r="AX148" s="1020"/>
    </row>
    <row r="149" spans="1:50" ht="12" customHeight="1">
      <c r="A149" s="1024"/>
      <c r="B149" s="161"/>
      <c r="C149" s="1024"/>
      <c r="D149" s="1024"/>
      <c r="E149" s="1024"/>
      <c r="F149" s="1024"/>
      <c r="G149" s="1024"/>
      <c r="H149" s="1024"/>
      <c r="I149" s="1024"/>
      <c r="J149" s="1059"/>
      <c r="K149" s="156"/>
      <c r="L149" s="1024"/>
      <c r="M149" s="1033"/>
      <c r="N149" s="1024"/>
      <c r="O149" s="1024"/>
      <c r="P149" s="1024"/>
      <c r="Q149" s="1024"/>
      <c r="R149" s="1020"/>
      <c r="S149" s="1020"/>
      <c r="T149" s="1036"/>
      <c r="U149" s="1036"/>
      <c r="V149" s="1020"/>
      <c r="W149" s="1020"/>
      <c r="X149" s="1020"/>
      <c r="Y149" s="1020"/>
      <c r="Z149" s="1020"/>
      <c r="AA149" s="1020"/>
      <c r="AB149" s="1020"/>
      <c r="AC149" s="1020"/>
      <c r="AD149" s="1020"/>
      <c r="AE149" s="1020"/>
      <c r="AF149" s="1020"/>
      <c r="AG149" s="1020"/>
      <c r="AH149" s="1020"/>
      <c r="AI149" s="1020"/>
      <c r="AJ149" s="1020"/>
      <c r="AK149" s="1020"/>
      <c r="AL149" s="1020"/>
      <c r="AM149" s="1020"/>
      <c r="AN149" s="1020"/>
      <c r="AO149" s="1020"/>
      <c r="AP149" s="1020"/>
      <c r="AQ149" s="1020"/>
      <c r="AR149" s="1020"/>
      <c r="AS149" s="1020"/>
      <c r="AT149" s="1020"/>
      <c r="AU149" s="1020"/>
      <c r="AV149" s="1020"/>
      <c r="AW149" s="1020"/>
      <c r="AX149" s="1020"/>
    </row>
    <row r="150" spans="1:50" ht="12" customHeight="1">
      <c r="A150" s="1024"/>
      <c r="B150" s="161"/>
      <c r="C150" s="1024"/>
      <c r="D150" s="1024"/>
      <c r="E150" s="1024"/>
      <c r="F150" s="1024"/>
      <c r="G150" s="1024"/>
      <c r="H150" s="1024"/>
      <c r="I150" s="1024"/>
      <c r="J150" s="1059"/>
      <c r="K150" s="156"/>
      <c r="L150" s="1024"/>
      <c r="M150" s="1033"/>
      <c r="N150" s="1024"/>
      <c r="O150" s="1024"/>
      <c r="P150" s="1024"/>
      <c r="Q150" s="1024"/>
      <c r="R150" s="1020"/>
      <c r="S150" s="1020"/>
      <c r="T150" s="1036"/>
      <c r="U150" s="1036"/>
      <c r="V150" s="1020"/>
      <c r="W150" s="1020"/>
      <c r="X150" s="1020"/>
      <c r="Y150" s="1020"/>
      <c r="Z150" s="1020"/>
      <c r="AA150" s="1020"/>
      <c r="AB150" s="1020"/>
      <c r="AC150" s="1020"/>
      <c r="AD150" s="1020"/>
      <c r="AE150" s="1020"/>
      <c r="AF150" s="1020"/>
      <c r="AG150" s="1020"/>
      <c r="AH150" s="1020"/>
      <c r="AI150" s="1020"/>
      <c r="AJ150" s="1020"/>
      <c r="AK150" s="1020"/>
      <c r="AL150" s="1020"/>
      <c r="AM150" s="1020"/>
      <c r="AN150" s="1020"/>
      <c r="AO150" s="1020"/>
      <c r="AP150" s="1020"/>
      <c r="AQ150" s="1020"/>
      <c r="AR150" s="1020"/>
      <c r="AS150" s="1020"/>
      <c r="AT150" s="1020"/>
      <c r="AU150" s="1020"/>
      <c r="AV150" s="1020"/>
      <c r="AW150" s="1020"/>
      <c r="AX150" s="1020"/>
    </row>
    <row r="151" spans="1:50" ht="12" customHeight="1">
      <c r="A151" s="1024"/>
      <c r="B151" s="161"/>
      <c r="C151" s="1024"/>
      <c r="D151" s="1024"/>
      <c r="E151" s="1024"/>
      <c r="F151" s="1024"/>
      <c r="G151" s="1024"/>
      <c r="H151" s="1024"/>
      <c r="I151" s="1024"/>
      <c r="J151" s="1059"/>
      <c r="K151" s="156"/>
      <c r="L151" s="1024"/>
      <c r="M151" s="1033"/>
      <c r="N151" s="1024"/>
      <c r="O151" s="1024"/>
      <c r="P151" s="1024"/>
      <c r="Q151" s="1024"/>
      <c r="R151" s="1020"/>
      <c r="S151" s="1020"/>
      <c r="T151" s="1036"/>
      <c r="U151" s="1036"/>
      <c r="V151" s="1020"/>
      <c r="W151" s="1020"/>
      <c r="X151" s="1020"/>
      <c r="Y151" s="1020"/>
      <c r="Z151" s="1020"/>
      <c r="AA151" s="1020"/>
      <c r="AB151" s="1020"/>
      <c r="AC151" s="1020"/>
      <c r="AD151" s="1020"/>
      <c r="AE151" s="1020"/>
      <c r="AF151" s="1020"/>
      <c r="AG151" s="1020"/>
      <c r="AH151" s="1020"/>
      <c r="AI151" s="1020"/>
      <c r="AJ151" s="1020"/>
      <c r="AK151" s="1020"/>
      <c r="AL151" s="1020"/>
      <c r="AM151" s="1020"/>
      <c r="AN151" s="1020"/>
      <c r="AO151" s="1020"/>
      <c r="AP151" s="1020"/>
      <c r="AQ151" s="1020"/>
      <c r="AR151" s="1020"/>
      <c r="AS151" s="1020"/>
      <c r="AT151" s="1020"/>
      <c r="AU151" s="1020"/>
      <c r="AV151" s="1020"/>
      <c r="AW151" s="1020"/>
      <c r="AX151" s="1020"/>
    </row>
    <row r="152" spans="1:50" ht="12" customHeight="1">
      <c r="A152" s="1024"/>
      <c r="B152" s="161"/>
      <c r="C152" s="1024"/>
      <c r="D152" s="1024"/>
      <c r="E152" s="1024"/>
      <c r="F152" s="1024"/>
      <c r="G152" s="1024"/>
      <c r="H152" s="1024"/>
      <c r="I152" s="1024"/>
      <c r="J152" s="1059"/>
      <c r="K152" s="156"/>
      <c r="L152" s="1024"/>
      <c r="M152" s="1033"/>
      <c r="N152" s="1024"/>
      <c r="O152" s="1024"/>
      <c r="P152" s="1024"/>
      <c r="Q152" s="1024"/>
      <c r="R152" s="1020"/>
      <c r="S152" s="1020"/>
      <c r="T152" s="1036"/>
      <c r="U152" s="1036"/>
      <c r="V152" s="1020"/>
      <c r="W152" s="1020"/>
      <c r="X152" s="1020"/>
      <c r="Y152" s="1020"/>
      <c r="Z152" s="1020"/>
      <c r="AA152" s="1020"/>
      <c r="AB152" s="1020"/>
      <c r="AC152" s="1020"/>
      <c r="AD152" s="1020"/>
      <c r="AE152" s="1020"/>
      <c r="AF152" s="1020"/>
      <c r="AG152" s="1020"/>
      <c r="AH152" s="1020"/>
      <c r="AI152" s="1020"/>
      <c r="AJ152" s="1020"/>
      <c r="AK152" s="1020"/>
      <c r="AL152" s="1020"/>
      <c r="AM152" s="1020"/>
      <c r="AN152" s="1020"/>
      <c r="AO152" s="1020"/>
      <c r="AP152" s="1020"/>
      <c r="AQ152" s="1020"/>
      <c r="AR152" s="1020"/>
      <c r="AS152" s="1020"/>
      <c r="AT152" s="1020"/>
      <c r="AU152" s="1020"/>
      <c r="AV152" s="1020"/>
      <c r="AW152" s="1020"/>
      <c r="AX152" s="1020"/>
    </row>
    <row r="153" spans="1:50" ht="12" customHeight="1">
      <c r="A153" s="1024"/>
      <c r="B153" s="161"/>
      <c r="C153" s="1024"/>
      <c r="D153" s="1024"/>
      <c r="E153" s="1024"/>
      <c r="F153" s="1024"/>
      <c r="G153" s="1024"/>
      <c r="H153" s="1024"/>
      <c r="I153" s="1024"/>
      <c r="J153" s="1059"/>
      <c r="K153" s="156"/>
      <c r="L153" s="1024"/>
      <c r="M153" s="1033"/>
      <c r="N153" s="1024"/>
      <c r="O153" s="1024"/>
      <c r="P153" s="1024"/>
      <c r="Q153" s="1024"/>
      <c r="R153" s="1020"/>
      <c r="S153" s="1020"/>
      <c r="T153" s="1036"/>
      <c r="U153" s="1036"/>
      <c r="V153" s="1020"/>
      <c r="W153" s="1020"/>
      <c r="X153" s="1020"/>
      <c r="Y153" s="1020"/>
      <c r="Z153" s="1020"/>
      <c r="AA153" s="1020"/>
      <c r="AB153" s="1020"/>
      <c r="AC153" s="1020"/>
      <c r="AD153" s="1020"/>
      <c r="AE153" s="1020"/>
      <c r="AF153" s="1020"/>
      <c r="AG153" s="1020"/>
      <c r="AH153" s="1020"/>
      <c r="AI153" s="1020"/>
      <c r="AJ153" s="1020"/>
      <c r="AK153" s="1020"/>
      <c r="AL153" s="1020"/>
      <c r="AM153" s="1020"/>
      <c r="AN153" s="1020"/>
      <c r="AO153" s="1020"/>
      <c r="AP153" s="1020"/>
      <c r="AQ153" s="1020"/>
      <c r="AR153" s="1020"/>
      <c r="AS153" s="1020"/>
      <c r="AT153" s="1020"/>
      <c r="AU153" s="1020"/>
      <c r="AV153" s="1020"/>
      <c r="AW153" s="1020"/>
      <c r="AX153" s="1020"/>
    </row>
    <row r="154" spans="1:50" ht="12" customHeight="1">
      <c r="A154" s="1024"/>
      <c r="B154" s="161"/>
      <c r="C154" s="1024"/>
      <c r="D154" s="1024"/>
      <c r="E154" s="1024"/>
      <c r="F154" s="1024"/>
      <c r="G154" s="1024"/>
      <c r="H154" s="1024"/>
      <c r="I154" s="1024"/>
      <c r="J154" s="1059"/>
      <c r="K154" s="156"/>
      <c r="L154" s="1024"/>
      <c r="M154" s="1033"/>
      <c r="N154" s="1024"/>
      <c r="O154" s="1024"/>
      <c r="P154" s="1024"/>
      <c r="Q154" s="1024"/>
      <c r="R154" s="1020"/>
      <c r="S154" s="1020"/>
      <c r="T154" s="1036"/>
      <c r="U154" s="1036"/>
      <c r="V154" s="1020"/>
      <c r="W154" s="1020"/>
      <c r="X154" s="1020"/>
      <c r="Y154" s="1020"/>
      <c r="Z154" s="1020"/>
      <c r="AA154" s="1020"/>
      <c r="AB154" s="1020"/>
      <c r="AC154" s="1020"/>
      <c r="AD154" s="1020"/>
      <c r="AE154" s="1020"/>
      <c r="AF154" s="1020"/>
      <c r="AG154" s="1020"/>
      <c r="AH154" s="1020"/>
      <c r="AI154" s="1020"/>
      <c r="AJ154" s="1020"/>
      <c r="AK154" s="1020"/>
      <c r="AL154" s="1020"/>
      <c r="AM154" s="1020"/>
      <c r="AN154" s="1020"/>
      <c r="AO154" s="1020"/>
      <c r="AP154" s="1020"/>
      <c r="AQ154" s="1020"/>
      <c r="AR154" s="1020"/>
      <c r="AS154" s="1020"/>
      <c r="AT154" s="1020"/>
      <c r="AU154" s="1020"/>
      <c r="AV154" s="1020"/>
      <c r="AW154" s="1020"/>
      <c r="AX154" s="1020"/>
    </row>
    <row r="155" spans="1:50" ht="12" customHeight="1">
      <c r="A155" s="1024"/>
      <c r="B155" s="161"/>
      <c r="C155" s="1024"/>
      <c r="D155" s="1024"/>
      <c r="E155" s="1024"/>
      <c r="F155" s="1024"/>
      <c r="G155" s="1024"/>
      <c r="H155" s="1024"/>
      <c r="I155" s="1024"/>
      <c r="J155" s="1059"/>
      <c r="K155" s="156"/>
      <c r="L155" s="1024"/>
      <c r="M155" s="1033"/>
      <c r="N155" s="1024"/>
      <c r="O155" s="1024"/>
      <c r="P155" s="1024"/>
      <c r="Q155" s="1024"/>
      <c r="R155" s="1020"/>
      <c r="S155" s="1020"/>
      <c r="T155" s="1036"/>
      <c r="U155" s="1036"/>
      <c r="V155" s="1020"/>
      <c r="W155" s="1020"/>
      <c r="X155" s="1020"/>
      <c r="Y155" s="1020"/>
      <c r="Z155" s="1020"/>
      <c r="AA155" s="1020"/>
      <c r="AB155" s="1020"/>
      <c r="AC155" s="1020"/>
      <c r="AD155" s="1020"/>
      <c r="AE155" s="1020"/>
      <c r="AF155" s="1020"/>
      <c r="AG155" s="1020"/>
      <c r="AH155" s="1020"/>
      <c r="AI155" s="1020"/>
      <c r="AJ155" s="1020"/>
      <c r="AK155" s="1020"/>
      <c r="AL155" s="1020"/>
      <c r="AM155" s="1020"/>
      <c r="AN155" s="1020"/>
      <c r="AO155" s="1020"/>
      <c r="AP155" s="1020"/>
      <c r="AQ155" s="1020"/>
      <c r="AR155" s="1020"/>
      <c r="AS155" s="1020"/>
      <c r="AT155" s="1020"/>
      <c r="AU155" s="1020"/>
      <c r="AV155" s="1020"/>
      <c r="AW155" s="1020"/>
      <c r="AX155" s="1020"/>
    </row>
    <row r="156" spans="1:50" ht="12" customHeight="1">
      <c r="A156" s="1024"/>
      <c r="B156" s="161"/>
      <c r="C156" s="1024"/>
      <c r="D156" s="1024"/>
      <c r="E156" s="1024"/>
      <c r="F156" s="1024"/>
      <c r="G156" s="1024"/>
      <c r="H156" s="1024"/>
      <c r="I156" s="1024"/>
      <c r="J156" s="1059"/>
      <c r="K156" s="156"/>
      <c r="L156" s="1024"/>
      <c r="M156" s="1033"/>
      <c r="N156" s="1024"/>
      <c r="O156" s="1024"/>
      <c r="P156" s="1024"/>
      <c r="Q156" s="1024"/>
      <c r="R156" s="1020"/>
      <c r="S156" s="1020"/>
      <c r="T156" s="1036"/>
      <c r="U156" s="1036"/>
      <c r="V156" s="1020"/>
      <c r="W156" s="1020"/>
      <c r="X156" s="1020"/>
      <c r="Y156" s="1020"/>
      <c r="Z156" s="1020"/>
      <c r="AA156" s="1020"/>
      <c r="AB156" s="1020"/>
      <c r="AC156" s="1020"/>
      <c r="AD156" s="1020"/>
      <c r="AE156" s="1020"/>
      <c r="AF156" s="1020"/>
      <c r="AG156" s="1020"/>
      <c r="AH156" s="1020"/>
      <c r="AI156" s="1020"/>
      <c r="AJ156" s="1020"/>
      <c r="AK156" s="1020"/>
      <c r="AL156" s="1020"/>
      <c r="AM156" s="1020"/>
      <c r="AN156" s="1020"/>
      <c r="AO156" s="1020"/>
      <c r="AP156" s="1020"/>
      <c r="AQ156" s="1020"/>
      <c r="AR156" s="1020"/>
      <c r="AS156" s="1020"/>
      <c r="AT156" s="1020"/>
      <c r="AU156" s="1020"/>
      <c r="AV156" s="1020"/>
      <c r="AW156" s="1020"/>
      <c r="AX156" s="1020"/>
    </row>
    <row r="157" spans="1:50" ht="12" customHeight="1">
      <c r="A157" s="1024"/>
      <c r="B157" s="161"/>
      <c r="C157" s="1024"/>
      <c r="D157" s="1024"/>
      <c r="E157" s="1024"/>
      <c r="F157" s="1024"/>
      <c r="G157" s="1024"/>
      <c r="H157" s="1024"/>
      <c r="I157" s="1024"/>
      <c r="J157" s="1059"/>
      <c r="K157" s="156"/>
      <c r="L157" s="1024"/>
      <c r="M157" s="1033"/>
      <c r="N157" s="1024"/>
      <c r="O157" s="1024"/>
      <c r="P157" s="1024"/>
      <c r="Q157" s="1024"/>
      <c r="R157" s="1020"/>
      <c r="S157" s="1020"/>
      <c r="T157" s="1036"/>
      <c r="U157" s="1036"/>
      <c r="V157" s="1020"/>
      <c r="W157" s="1020"/>
      <c r="X157" s="1020"/>
      <c r="Y157" s="1020"/>
      <c r="Z157" s="1020"/>
      <c r="AA157" s="1020"/>
      <c r="AB157" s="1020"/>
      <c r="AC157" s="1020"/>
      <c r="AD157" s="1020"/>
      <c r="AE157" s="1020"/>
      <c r="AF157" s="1020"/>
      <c r="AG157" s="1020"/>
      <c r="AH157" s="1020"/>
      <c r="AI157" s="1020"/>
      <c r="AJ157" s="1020"/>
      <c r="AK157" s="1020"/>
      <c r="AL157" s="1020"/>
      <c r="AM157" s="1020"/>
      <c r="AN157" s="1020"/>
      <c r="AO157" s="1020"/>
      <c r="AP157" s="1020"/>
      <c r="AQ157" s="1020"/>
      <c r="AR157" s="1020"/>
      <c r="AS157" s="1020"/>
      <c r="AT157" s="1020"/>
      <c r="AU157" s="1020"/>
      <c r="AV157" s="1020"/>
      <c r="AW157" s="1020"/>
      <c r="AX157" s="1020"/>
    </row>
    <row r="158" spans="1:50" ht="12" customHeight="1">
      <c r="A158" s="1024"/>
      <c r="B158" s="161"/>
      <c r="C158" s="1024"/>
      <c r="D158" s="1024"/>
      <c r="E158" s="1024"/>
      <c r="F158" s="1024"/>
      <c r="G158" s="1024"/>
      <c r="H158" s="1024"/>
      <c r="I158" s="1024"/>
      <c r="J158" s="1059"/>
      <c r="K158" s="156"/>
      <c r="L158" s="1024"/>
      <c r="M158" s="1033"/>
      <c r="N158" s="1024"/>
      <c r="O158" s="1024"/>
      <c r="P158" s="1024"/>
      <c r="Q158" s="1024"/>
      <c r="R158" s="1020"/>
      <c r="S158" s="1020"/>
      <c r="T158" s="1036"/>
      <c r="U158" s="1036"/>
      <c r="V158" s="1020"/>
      <c r="W158" s="1020"/>
      <c r="X158" s="1020"/>
      <c r="Y158" s="1020"/>
      <c r="Z158" s="1020"/>
      <c r="AA158" s="1020"/>
      <c r="AB158" s="1020"/>
      <c r="AC158" s="1020"/>
      <c r="AD158" s="1020"/>
      <c r="AE158" s="1020"/>
      <c r="AF158" s="1020"/>
      <c r="AG158" s="1020"/>
      <c r="AH158" s="1020"/>
      <c r="AI158" s="1020"/>
      <c r="AJ158" s="1020"/>
      <c r="AK158" s="1020"/>
      <c r="AL158" s="1020"/>
      <c r="AM158" s="1020"/>
      <c r="AN158" s="1020"/>
      <c r="AO158" s="1020"/>
      <c r="AP158" s="1020"/>
      <c r="AQ158" s="1020"/>
      <c r="AR158" s="1020"/>
      <c r="AS158" s="1020"/>
      <c r="AT158" s="1020"/>
      <c r="AU158" s="1020"/>
      <c r="AV158" s="1020"/>
      <c r="AW158" s="1020"/>
      <c r="AX158" s="1020"/>
    </row>
    <row r="159" spans="1:50" ht="12" customHeight="1">
      <c r="A159" s="1024"/>
      <c r="B159" s="161"/>
      <c r="C159" s="1024"/>
      <c r="D159" s="1024"/>
      <c r="E159" s="1024"/>
      <c r="F159" s="1024"/>
      <c r="G159" s="1024"/>
      <c r="H159" s="1024"/>
      <c r="I159" s="1024"/>
      <c r="J159" s="1059"/>
      <c r="K159" s="156"/>
      <c r="L159" s="1024"/>
      <c r="M159" s="1033"/>
      <c r="N159" s="1024"/>
      <c r="O159" s="1024"/>
      <c r="P159" s="1024"/>
      <c r="Q159" s="1024"/>
      <c r="R159" s="1020"/>
      <c r="S159" s="1020"/>
      <c r="T159" s="1036"/>
      <c r="U159" s="1036"/>
      <c r="V159" s="1020"/>
      <c r="W159" s="1020"/>
      <c r="X159" s="1020"/>
      <c r="Y159" s="1020"/>
      <c r="Z159" s="1020"/>
      <c r="AA159" s="1020"/>
      <c r="AB159" s="1020"/>
      <c r="AC159" s="1020"/>
      <c r="AD159" s="1020"/>
      <c r="AE159" s="1020"/>
      <c r="AF159" s="1020"/>
      <c r="AG159" s="1020"/>
      <c r="AH159" s="1020"/>
      <c r="AI159" s="1020"/>
      <c r="AJ159" s="1020"/>
      <c r="AK159" s="1020"/>
      <c r="AL159" s="1020"/>
      <c r="AM159" s="1020"/>
      <c r="AN159" s="1020"/>
      <c r="AO159" s="1020"/>
      <c r="AP159" s="1020"/>
      <c r="AQ159" s="1020"/>
      <c r="AR159" s="1020"/>
      <c r="AS159" s="1020"/>
      <c r="AT159" s="1020"/>
      <c r="AU159" s="1020"/>
      <c r="AV159" s="1020"/>
      <c r="AW159" s="1020"/>
      <c r="AX159" s="1020"/>
    </row>
    <row r="160" spans="1:50" ht="12" customHeight="1">
      <c r="A160" s="1024"/>
      <c r="B160" s="161"/>
      <c r="C160" s="1024"/>
      <c r="D160" s="1024"/>
      <c r="E160" s="1024"/>
      <c r="F160" s="1024"/>
      <c r="G160" s="1024"/>
      <c r="H160" s="1024"/>
      <c r="I160" s="1024"/>
      <c r="J160" s="1059"/>
      <c r="K160" s="156"/>
      <c r="L160" s="1024"/>
      <c r="M160" s="1033"/>
      <c r="N160" s="1024"/>
      <c r="O160" s="1024"/>
      <c r="P160" s="1024"/>
      <c r="Q160" s="1024"/>
      <c r="R160" s="1020"/>
      <c r="S160" s="1020"/>
      <c r="T160" s="1036"/>
      <c r="U160" s="1036"/>
      <c r="V160" s="1020"/>
      <c r="W160" s="1020"/>
      <c r="X160" s="1020"/>
      <c r="Y160" s="1020"/>
      <c r="Z160" s="1020"/>
      <c r="AA160" s="1020"/>
      <c r="AB160" s="1020"/>
      <c r="AC160" s="1020"/>
      <c r="AD160" s="1020"/>
      <c r="AE160" s="1020"/>
      <c r="AF160" s="1020"/>
      <c r="AG160" s="1020"/>
      <c r="AH160" s="1020"/>
      <c r="AI160" s="1020"/>
      <c r="AJ160" s="1020"/>
      <c r="AK160" s="1020"/>
      <c r="AL160" s="1020"/>
      <c r="AM160" s="1020"/>
      <c r="AN160" s="1020"/>
      <c r="AO160" s="1020"/>
      <c r="AP160" s="1020"/>
      <c r="AQ160" s="1020"/>
      <c r="AR160" s="1020"/>
      <c r="AS160" s="1020"/>
      <c r="AT160" s="1020"/>
      <c r="AU160" s="1020"/>
      <c r="AV160" s="1020"/>
      <c r="AW160" s="1020"/>
      <c r="AX160" s="1020"/>
    </row>
    <row r="161" spans="1:50" ht="12" customHeight="1">
      <c r="A161" s="1024"/>
      <c r="B161" s="161"/>
      <c r="C161" s="1024"/>
      <c r="D161" s="1024"/>
      <c r="E161" s="1024"/>
      <c r="F161" s="1024"/>
      <c r="G161" s="1024"/>
      <c r="H161" s="1024"/>
      <c r="I161" s="1024"/>
      <c r="J161" s="1059"/>
      <c r="K161" s="156"/>
      <c r="L161" s="1024"/>
      <c r="M161" s="1033"/>
      <c r="N161" s="1024"/>
      <c r="O161" s="1024"/>
      <c r="P161" s="1024"/>
      <c r="Q161" s="1024"/>
      <c r="R161" s="1020"/>
      <c r="S161" s="1020"/>
      <c r="T161" s="1036"/>
      <c r="U161" s="1036"/>
      <c r="V161" s="1020"/>
      <c r="W161" s="1020"/>
      <c r="X161" s="1020"/>
      <c r="Y161" s="1020"/>
      <c r="Z161" s="1020"/>
      <c r="AA161" s="1020"/>
      <c r="AB161" s="1020"/>
      <c r="AC161" s="1020"/>
      <c r="AD161" s="1020"/>
      <c r="AE161" s="1020"/>
      <c r="AF161" s="1020"/>
      <c r="AG161" s="1020"/>
      <c r="AH161" s="1020"/>
      <c r="AI161" s="1020"/>
      <c r="AJ161" s="1020"/>
      <c r="AK161" s="1020"/>
      <c r="AL161" s="1020"/>
      <c r="AM161" s="1020"/>
      <c r="AN161" s="1020"/>
      <c r="AO161" s="1020"/>
      <c r="AP161" s="1020"/>
      <c r="AQ161" s="1020"/>
      <c r="AR161" s="1020"/>
      <c r="AS161" s="1020"/>
      <c r="AT161" s="1020"/>
      <c r="AU161" s="1020"/>
      <c r="AV161" s="1020"/>
      <c r="AW161" s="1020"/>
      <c r="AX161" s="1020"/>
    </row>
    <row r="162" spans="1:50" ht="12" customHeight="1">
      <c r="A162" s="1024"/>
      <c r="B162" s="161"/>
      <c r="C162" s="1024"/>
      <c r="D162" s="1024"/>
      <c r="E162" s="1024"/>
      <c r="F162" s="1024"/>
      <c r="G162" s="1024"/>
      <c r="H162" s="1024"/>
      <c r="I162" s="1024"/>
      <c r="J162" s="1059"/>
      <c r="K162" s="156"/>
      <c r="L162" s="1024"/>
      <c r="M162" s="1033"/>
      <c r="N162" s="1024"/>
      <c r="O162" s="1024"/>
      <c r="P162" s="1024"/>
      <c r="Q162" s="1024"/>
      <c r="R162" s="1020"/>
      <c r="S162" s="1020"/>
      <c r="T162" s="1036"/>
      <c r="U162" s="1036"/>
      <c r="V162" s="1020"/>
      <c r="W162" s="1020"/>
      <c r="X162" s="1020"/>
      <c r="Y162" s="1020"/>
      <c r="Z162" s="1020"/>
      <c r="AA162" s="1020"/>
      <c r="AB162" s="1020"/>
      <c r="AC162" s="1020"/>
      <c r="AD162" s="1020"/>
      <c r="AE162" s="1020"/>
      <c r="AF162" s="1020"/>
      <c r="AG162" s="1020"/>
      <c r="AH162" s="1020"/>
      <c r="AI162" s="1020"/>
      <c r="AJ162" s="1020"/>
      <c r="AK162" s="1020"/>
      <c r="AL162" s="1020"/>
      <c r="AM162" s="1020"/>
      <c r="AN162" s="1020"/>
      <c r="AO162" s="1020"/>
      <c r="AP162" s="1020"/>
      <c r="AQ162" s="1020"/>
      <c r="AR162" s="1020"/>
      <c r="AS162" s="1020"/>
      <c r="AT162" s="1020"/>
      <c r="AU162" s="1020"/>
      <c r="AV162" s="1020"/>
      <c r="AW162" s="1020"/>
      <c r="AX162" s="1020"/>
    </row>
    <row r="163" spans="1:50" ht="12" customHeight="1">
      <c r="A163" s="1024"/>
      <c r="B163" s="161"/>
      <c r="C163" s="1024"/>
      <c r="D163" s="1024"/>
      <c r="E163" s="1024"/>
      <c r="F163" s="1024"/>
      <c r="G163" s="1024"/>
      <c r="H163" s="1024"/>
      <c r="I163" s="1024"/>
      <c r="J163" s="1059"/>
      <c r="K163" s="156"/>
      <c r="L163" s="1024"/>
      <c r="M163" s="1033"/>
      <c r="N163" s="1024"/>
      <c r="O163" s="1024"/>
      <c r="P163" s="1024"/>
      <c r="Q163" s="1024"/>
      <c r="R163" s="1020"/>
      <c r="S163" s="1020"/>
      <c r="T163" s="1036"/>
      <c r="U163" s="1036"/>
      <c r="V163" s="1020"/>
      <c r="W163" s="1020"/>
      <c r="X163" s="1020"/>
      <c r="Y163" s="1020"/>
      <c r="Z163" s="1020"/>
      <c r="AA163" s="1020"/>
      <c r="AB163" s="1020"/>
      <c r="AC163" s="1020"/>
      <c r="AD163" s="1020"/>
      <c r="AE163" s="1020"/>
      <c r="AF163" s="1020"/>
      <c r="AG163" s="1020"/>
      <c r="AH163" s="1020"/>
      <c r="AI163" s="1020"/>
      <c r="AJ163" s="1020"/>
      <c r="AK163" s="1020"/>
      <c r="AL163" s="1020"/>
      <c r="AM163" s="1020"/>
      <c r="AN163" s="1020"/>
      <c r="AO163" s="1020"/>
      <c r="AP163" s="1020"/>
      <c r="AQ163" s="1020"/>
      <c r="AR163" s="1020"/>
      <c r="AS163" s="1020"/>
      <c r="AT163" s="1020"/>
      <c r="AU163" s="1020"/>
      <c r="AV163" s="1020"/>
      <c r="AW163" s="1020"/>
      <c r="AX163" s="1020"/>
    </row>
    <row r="164" spans="1:50" ht="12" customHeight="1">
      <c r="A164" s="1024"/>
      <c r="B164" s="161"/>
      <c r="C164" s="1024"/>
      <c r="D164" s="1024"/>
      <c r="E164" s="1024"/>
      <c r="F164" s="1024"/>
      <c r="G164" s="1024"/>
      <c r="H164" s="1024"/>
      <c r="I164" s="1024"/>
      <c r="J164" s="1059"/>
      <c r="K164" s="156"/>
      <c r="L164" s="1024"/>
      <c r="M164" s="1033"/>
      <c r="N164" s="1024"/>
      <c r="O164" s="1024"/>
      <c r="P164" s="1024"/>
      <c r="Q164" s="1024"/>
      <c r="R164" s="1020"/>
      <c r="S164" s="1020"/>
      <c r="T164" s="1036"/>
      <c r="U164" s="1036"/>
      <c r="V164" s="1020"/>
      <c r="W164" s="1020"/>
      <c r="X164" s="1020"/>
      <c r="Y164" s="1020"/>
      <c r="Z164" s="1020"/>
      <c r="AA164" s="1020"/>
      <c r="AB164" s="1020"/>
      <c r="AC164" s="1020"/>
      <c r="AD164" s="1020"/>
      <c r="AE164" s="1020"/>
      <c r="AF164" s="1020"/>
      <c r="AG164" s="1020"/>
      <c r="AH164" s="1020"/>
      <c r="AI164" s="1020"/>
      <c r="AJ164" s="1020"/>
      <c r="AK164" s="1020"/>
      <c r="AL164" s="1020"/>
      <c r="AM164" s="1020"/>
      <c r="AN164" s="1020"/>
      <c r="AO164" s="1020"/>
      <c r="AP164" s="1020"/>
      <c r="AQ164" s="1020"/>
      <c r="AR164" s="1020"/>
      <c r="AS164" s="1020"/>
      <c r="AT164" s="1020"/>
      <c r="AU164" s="1020"/>
      <c r="AV164" s="1020"/>
      <c r="AW164" s="1020"/>
      <c r="AX164" s="1020"/>
    </row>
    <row r="165" spans="1:50" ht="12" customHeight="1">
      <c r="A165" s="1024"/>
      <c r="B165" s="161"/>
      <c r="C165" s="1024"/>
      <c r="D165" s="1024"/>
      <c r="E165" s="1024"/>
      <c r="F165" s="1024"/>
      <c r="G165" s="1024"/>
      <c r="H165" s="1024"/>
      <c r="I165" s="1024"/>
      <c r="J165" s="1059"/>
      <c r="K165" s="156"/>
      <c r="L165" s="1024"/>
      <c r="M165" s="1033"/>
      <c r="N165" s="1024"/>
      <c r="O165" s="1024"/>
      <c r="P165" s="1024"/>
      <c r="Q165" s="1024"/>
      <c r="R165" s="1020"/>
      <c r="S165" s="1020"/>
      <c r="T165" s="1036"/>
      <c r="U165" s="1036"/>
      <c r="V165" s="1020"/>
      <c r="W165" s="1020"/>
      <c r="X165" s="1020"/>
      <c r="Y165" s="1020"/>
      <c r="Z165" s="1020"/>
      <c r="AA165" s="1020"/>
      <c r="AB165" s="1020"/>
      <c r="AC165" s="1020"/>
      <c r="AD165" s="1020"/>
      <c r="AE165" s="1020"/>
      <c r="AF165" s="1020"/>
      <c r="AG165" s="1020"/>
      <c r="AH165" s="1020"/>
      <c r="AI165" s="1020"/>
      <c r="AJ165" s="1020"/>
      <c r="AK165" s="1020"/>
      <c r="AL165" s="1020"/>
      <c r="AM165" s="1020"/>
      <c r="AN165" s="1020"/>
      <c r="AO165" s="1020"/>
      <c r="AP165" s="1020"/>
      <c r="AQ165" s="1020"/>
      <c r="AR165" s="1020"/>
      <c r="AS165" s="1020"/>
      <c r="AT165" s="1020"/>
      <c r="AU165" s="1020"/>
      <c r="AV165" s="1020"/>
      <c r="AW165" s="1020"/>
      <c r="AX165" s="1020"/>
    </row>
    <row r="166" spans="1:50" ht="12" customHeight="1">
      <c r="A166" s="1024"/>
      <c r="B166" s="161"/>
      <c r="C166" s="1024"/>
      <c r="D166" s="1024"/>
      <c r="E166" s="1024"/>
      <c r="F166" s="1024"/>
      <c r="G166" s="1024"/>
      <c r="H166" s="1024"/>
      <c r="I166" s="1024"/>
      <c r="J166" s="1059"/>
      <c r="K166" s="156"/>
      <c r="L166" s="1024"/>
      <c r="M166" s="1033"/>
      <c r="N166" s="1024"/>
      <c r="O166" s="1024"/>
      <c r="P166" s="1024"/>
      <c r="Q166" s="1024"/>
      <c r="R166" s="1020"/>
      <c r="S166" s="1020"/>
      <c r="T166" s="1036"/>
      <c r="U166" s="1036"/>
      <c r="V166" s="1020"/>
      <c r="W166" s="1020"/>
      <c r="X166" s="1020"/>
      <c r="Y166" s="1020"/>
      <c r="Z166" s="1020"/>
      <c r="AA166" s="1020"/>
      <c r="AB166" s="1020"/>
      <c r="AC166" s="1020"/>
      <c r="AD166" s="1020"/>
      <c r="AE166" s="1020"/>
      <c r="AF166" s="1020"/>
      <c r="AG166" s="1020"/>
      <c r="AH166" s="1020"/>
      <c r="AI166" s="1020"/>
      <c r="AJ166" s="1020"/>
      <c r="AK166" s="1020"/>
      <c r="AL166" s="1020"/>
      <c r="AM166" s="1020"/>
      <c r="AN166" s="1020"/>
      <c r="AO166" s="1020"/>
      <c r="AP166" s="1020"/>
      <c r="AQ166" s="1020"/>
      <c r="AR166" s="1020"/>
      <c r="AS166" s="1020"/>
      <c r="AT166" s="1020"/>
      <c r="AU166" s="1020"/>
      <c r="AV166" s="1020"/>
      <c r="AW166" s="1020"/>
      <c r="AX166" s="1020"/>
    </row>
    <row r="167" spans="1:50" ht="10.5" customHeight="1">
      <c r="A167" s="1024"/>
      <c r="B167" s="161"/>
      <c r="C167" s="1024"/>
      <c r="D167" s="1024"/>
      <c r="E167" s="1024"/>
      <c r="F167" s="1024"/>
      <c r="G167" s="1024"/>
      <c r="H167" s="1024"/>
      <c r="I167" s="1024"/>
      <c r="J167" s="1059"/>
      <c r="K167" s="156"/>
      <c r="L167" s="1024"/>
      <c r="M167" s="1033"/>
      <c r="N167" s="1024"/>
      <c r="O167" s="1024"/>
      <c r="P167" s="1024"/>
      <c r="Q167" s="1024"/>
      <c r="R167" s="1020"/>
      <c r="S167" s="1020"/>
      <c r="T167" s="1036"/>
      <c r="U167" s="1036"/>
      <c r="V167" s="1020"/>
      <c r="W167" s="1020"/>
      <c r="X167" s="1020"/>
      <c r="Y167" s="1020"/>
      <c r="Z167" s="1020"/>
      <c r="AA167" s="1020"/>
      <c r="AB167" s="1020"/>
      <c r="AC167" s="1020"/>
      <c r="AD167" s="1020"/>
      <c r="AE167" s="1020"/>
      <c r="AF167" s="1020"/>
      <c r="AG167" s="1020"/>
      <c r="AH167" s="1020"/>
      <c r="AI167" s="1020"/>
      <c r="AJ167" s="1020"/>
      <c r="AK167" s="1020"/>
      <c r="AL167" s="1020"/>
      <c r="AM167" s="1020"/>
      <c r="AN167" s="1020"/>
      <c r="AO167" s="1020"/>
      <c r="AP167" s="1020"/>
      <c r="AQ167" s="1020"/>
      <c r="AR167" s="1020"/>
      <c r="AS167" s="1020"/>
      <c r="AT167" s="1020"/>
      <c r="AU167" s="1020"/>
      <c r="AV167" s="1020"/>
      <c r="AW167" s="1020"/>
      <c r="AX167" s="1020"/>
    </row>
    <row r="168" spans="1:50" ht="12" customHeight="1">
      <c r="A168" s="1024"/>
      <c r="B168" s="161"/>
      <c r="C168" s="1024"/>
      <c r="D168" s="1024"/>
      <c r="E168" s="1024"/>
      <c r="F168" s="1024"/>
      <c r="G168" s="1024"/>
      <c r="H168" s="1024"/>
      <c r="I168" s="1024"/>
      <c r="J168" s="1059"/>
      <c r="K168" s="156"/>
      <c r="L168" s="1024"/>
      <c r="M168" s="1033"/>
      <c r="N168" s="1024"/>
      <c r="O168" s="1024"/>
      <c r="P168" s="1024"/>
      <c r="Q168" s="1024"/>
      <c r="R168" s="1020"/>
      <c r="S168" s="1020"/>
      <c r="T168" s="1036"/>
      <c r="U168" s="1036"/>
      <c r="V168" s="1020"/>
      <c r="W168" s="1020"/>
      <c r="X168" s="1020"/>
      <c r="Y168" s="1020"/>
      <c r="Z168" s="1020"/>
      <c r="AA168" s="1020"/>
      <c r="AB168" s="1020"/>
      <c r="AC168" s="1020"/>
      <c r="AD168" s="1020"/>
      <c r="AE168" s="1020"/>
      <c r="AF168" s="1020"/>
      <c r="AG168" s="1020"/>
      <c r="AH168" s="1020"/>
      <c r="AI168" s="1020"/>
      <c r="AJ168" s="1020"/>
      <c r="AK168" s="1020"/>
      <c r="AL168" s="1020"/>
      <c r="AM168" s="1020"/>
      <c r="AN168" s="1020"/>
      <c r="AO168" s="1020"/>
      <c r="AP168" s="1020"/>
      <c r="AQ168" s="1020"/>
      <c r="AR168" s="1020"/>
      <c r="AS168" s="1020"/>
      <c r="AT168" s="1020"/>
      <c r="AU168" s="1020"/>
      <c r="AV168" s="1020"/>
      <c r="AW168" s="1020"/>
      <c r="AX168" s="1020"/>
    </row>
    <row r="169" spans="1:50" ht="12" customHeight="1">
      <c r="A169" s="1024"/>
      <c r="B169" s="161"/>
      <c r="C169" s="1024"/>
      <c r="D169" s="1024"/>
      <c r="E169" s="1024"/>
      <c r="F169" s="1024"/>
      <c r="G169" s="1024"/>
      <c r="H169" s="1024"/>
      <c r="I169" s="1024"/>
      <c r="J169" s="1059"/>
      <c r="K169" s="156"/>
      <c r="L169" s="1024"/>
      <c r="M169" s="1033"/>
      <c r="N169" s="1024"/>
      <c r="O169" s="1024"/>
      <c r="P169" s="1024"/>
      <c r="Q169" s="1024"/>
      <c r="R169" s="1020"/>
      <c r="S169" s="1020"/>
      <c r="T169" s="1036"/>
      <c r="U169" s="1036"/>
      <c r="V169" s="1020"/>
      <c r="W169" s="1020"/>
      <c r="X169" s="1020"/>
      <c r="Y169" s="1020"/>
      <c r="Z169" s="1020"/>
      <c r="AA169" s="1020"/>
      <c r="AB169" s="1020"/>
      <c r="AC169" s="1020"/>
      <c r="AD169" s="1020"/>
      <c r="AE169" s="1020"/>
      <c r="AF169" s="1020"/>
      <c r="AG169" s="1020"/>
      <c r="AH169" s="1020"/>
      <c r="AI169" s="1020"/>
      <c r="AJ169" s="1020"/>
      <c r="AK169" s="1020"/>
      <c r="AL169" s="1020"/>
      <c r="AM169" s="1020"/>
      <c r="AN169" s="1020"/>
      <c r="AO169" s="1020"/>
      <c r="AP169" s="1020"/>
      <c r="AQ169" s="1020"/>
      <c r="AR169" s="1020"/>
      <c r="AS169" s="1020"/>
      <c r="AT169" s="1020"/>
      <c r="AU169" s="1020"/>
      <c r="AV169" s="1020"/>
      <c r="AW169" s="1020"/>
      <c r="AX169" s="1020"/>
    </row>
    <row r="170" spans="1:50" ht="12" customHeight="1">
      <c r="A170" s="1024"/>
      <c r="B170" s="161"/>
      <c r="C170" s="1024"/>
      <c r="D170" s="1024"/>
      <c r="E170" s="1024"/>
      <c r="F170" s="1024"/>
      <c r="G170" s="1024"/>
      <c r="H170" s="1024"/>
      <c r="I170" s="1024"/>
      <c r="J170" s="1059"/>
      <c r="K170" s="156"/>
      <c r="L170" s="1024"/>
      <c r="M170" s="1033"/>
      <c r="N170" s="1024"/>
      <c r="O170" s="1024"/>
      <c r="P170" s="1024"/>
      <c r="Q170" s="1024"/>
      <c r="R170" s="1020"/>
      <c r="S170" s="1020"/>
      <c r="T170" s="1036"/>
      <c r="U170" s="1036"/>
      <c r="V170" s="1020"/>
      <c r="W170" s="1020"/>
      <c r="X170" s="1020"/>
      <c r="Y170" s="1020"/>
      <c r="Z170" s="1020"/>
      <c r="AA170" s="1020"/>
      <c r="AB170" s="1020"/>
      <c r="AC170" s="1020"/>
      <c r="AD170" s="1020"/>
      <c r="AE170" s="1020"/>
      <c r="AF170" s="1020"/>
      <c r="AG170" s="1020"/>
      <c r="AH170" s="1020"/>
      <c r="AI170" s="1020"/>
      <c r="AJ170" s="1020"/>
      <c r="AK170" s="1020"/>
      <c r="AL170" s="1020"/>
      <c r="AM170" s="1020"/>
      <c r="AN170" s="1020"/>
      <c r="AO170" s="1020"/>
      <c r="AP170" s="1020"/>
      <c r="AQ170" s="1020"/>
      <c r="AR170" s="1020"/>
      <c r="AS170" s="1020"/>
      <c r="AT170" s="1020"/>
      <c r="AU170" s="1020"/>
      <c r="AV170" s="1020"/>
      <c r="AW170" s="1020"/>
      <c r="AX170" s="1020"/>
    </row>
    <row r="171" spans="1:50" ht="12" customHeight="1">
      <c r="A171" s="1024"/>
      <c r="B171" s="161"/>
      <c r="C171" s="1024"/>
      <c r="D171" s="1024"/>
      <c r="E171" s="1024"/>
      <c r="F171" s="1024"/>
      <c r="G171" s="1024"/>
      <c r="H171" s="1024"/>
      <c r="I171" s="1024"/>
      <c r="J171" s="1059"/>
      <c r="K171" s="156"/>
      <c r="L171" s="1024"/>
      <c r="M171" s="1033"/>
      <c r="N171" s="1024"/>
      <c r="O171" s="1024"/>
      <c r="P171" s="1024"/>
      <c r="Q171" s="1024"/>
      <c r="R171" s="1020"/>
      <c r="S171" s="1020"/>
      <c r="T171" s="1036"/>
      <c r="U171" s="1036"/>
      <c r="V171" s="1020"/>
      <c r="W171" s="1020"/>
      <c r="X171" s="1020"/>
      <c r="Y171" s="1020"/>
      <c r="Z171" s="1020"/>
      <c r="AA171" s="1020"/>
      <c r="AB171" s="1020"/>
      <c r="AC171" s="1020"/>
      <c r="AD171" s="1020"/>
      <c r="AE171" s="1020"/>
      <c r="AF171" s="1020"/>
      <c r="AG171" s="1020"/>
      <c r="AH171" s="1020"/>
      <c r="AI171" s="1020"/>
      <c r="AJ171" s="1020"/>
      <c r="AK171" s="1020"/>
      <c r="AL171" s="1020"/>
      <c r="AM171" s="1020"/>
      <c r="AN171" s="1020"/>
      <c r="AO171" s="1020"/>
      <c r="AP171" s="1020"/>
      <c r="AQ171" s="1020"/>
      <c r="AR171" s="1020"/>
      <c r="AS171" s="1020"/>
      <c r="AT171" s="1020"/>
      <c r="AU171" s="1020"/>
      <c r="AV171" s="1020"/>
      <c r="AW171" s="1020"/>
      <c r="AX171" s="1020"/>
    </row>
    <row r="172" spans="1:50" ht="12" customHeight="1">
      <c r="A172" s="1024"/>
      <c r="B172" s="161"/>
      <c r="C172" s="1024"/>
      <c r="D172" s="1024"/>
      <c r="E172" s="1024"/>
      <c r="F172" s="1024"/>
      <c r="G172" s="1024"/>
      <c r="H172" s="1024"/>
      <c r="I172" s="1024"/>
      <c r="J172" s="1059"/>
      <c r="K172" s="156"/>
      <c r="L172" s="1024"/>
      <c r="M172" s="1033"/>
      <c r="N172" s="1024"/>
      <c r="O172" s="1024"/>
      <c r="P172" s="1024"/>
      <c r="Q172" s="1024"/>
      <c r="R172" s="1020"/>
      <c r="S172" s="1020"/>
      <c r="T172" s="1036"/>
      <c r="U172" s="1036"/>
      <c r="V172" s="1020"/>
      <c r="W172" s="1020"/>
      <c r="X172" s="1020"/>
      <c r="Y172" s="1020"/>
      <c r="Z172" s="1020"/>
      <c r="AA172" s="1020"/>
      <c r="AB172" s="1020"/>
      <c r="AC172" s="1020"/>
      <c r="AD172" s="1020"/>
      <c r="AE172" s="1020"/>
      <c r="AF172" s="1020"/>
      <c r="AG172" s="1020"/>
      <c r="AH172" s="1020"/>
      <c r="AI172" s="1020"/>
      <c r="AJ172" s="1020"/>
      <c r="AK172" s="1020"/>
      <c r="AL172" s="1020"/>
      <c r="AM172" s="1020"/>
      <c r="AN172" s="1020"/>
      <c r="AO172" s="1020"/>
      <c r="AP172" s="1020"/>
      <c r="AQ172" s="1020"/>
      <c r="AR172" s="1020"/>
      <c r="AS172" s="1020"/>
      <c r="AT172" s="1020"/>
      <c r="AU172" s="1020"/>
      <c r="AV172" s="1020"/>
      <c r="AW172" s="1020"/>
      <c r="AX172" s="1020"/>
    </row>
    <row r="173" spans="1:50" ht="12" customHeight="1">
      <c r="A173" s="1024"/>
      <c r="B173" s="161"/>
      <c r="C173" s="1024"/>
      <c r="D173" s="1024"/>
      <c r="E173" s="1024"/>
      <c r="F173" s="1024"/>
      <c r="G173" s="1024"/>
      <c r="H173" s="1024"/>
      <c r="I173" s="1024"/>
      <c r="J173" s="1059"/>
      <c r="K173" s="156"/>
      <c r="L173" s="1024"/>
      <c r="M173" s="1033"/>
      <c r="N173" s="1024"/>
      <c r="O173" s="1024"/>
      <c r="P173" s="1024"/>
      <c r="Q173" s="1024"/>
      <c r="R173" s="1020"/>
      <c r="S173" s="1020"/>
      <c r="T173" s="1036"/>
      <c r="U173" s="1036"/>
      <c r="V173" s="1020"/>
      <c r="W173" s="1020"/>
      <c r="X173" s="1020"/>
      <c r="Y173" s="1020"/>
      <c r="Z173" s="1020"/>
      <c r="AA173" s="1020"/>
      <c r="AB173" s="1020"/>
      <c r="AC173" s="1020"/>
      <c r="AD173" s="1020"/>
      <c r="AE173" s="1020"/>
      <c r="AF173" s="1020"/>
      <c r="AG173" s="1020"/>
      <c r="AH173" s="1020"/>
      <c r="AI173" s="1020"/>
      <c r="AJ173" s="1020"/>
      <c r="AK173" s="1020"/>
      <c r="AL173" s="1020"/>
      <c r="AM173" s="1020"/>
      <c r="AN173" s="1020"/>
      <c r="AO173" s="1020"/>
      <c r="AP173" s="1020"/>
      <c r="AQ173" s="1020"/>
      <c r="AR173" s="1020"/>
      <c r="AS173" s="1020"/>
      <c r="AT173" s="1020"/>
      <c r="AU173" s="1020"/>
      <c r="AV173" s="1020"/>
      <c r="AW173" s="1020"/>
      <c r="AX173" s="1020"/>
    </row>
    <row r="174" spans="1:50" ht="12" customHeight="1">
      <c r="A174" s="1024"/>
      <c r="B174" s="161"/>
      <c r="C174" s="1024"/>
      <c r="D174" s="1024"/>
      <c r="E174" s="1024"/>
      <c r="F174" s="1024"/>
      <c r="G174" s="1024"/>
      <c r="H174" s="1024"/>
      <c r="I174" s="1024"/>
      <c r="J174" s="1059"/>
      <c r="K174" s="156"/>
      <c r="L174" s="1024"/>
      <c r="M174" s="1033"/>
      <c r="N174" s="1024"/>
      <c r="O174" s="1024"/>
      <c r="P174" s="1024"/>
      <c r="Q174" s="1024"/>
      <c r="R174" s="1020"/>
      <c r="S174" s="1020"/>
      <c r="T174" s="1036"/>
      <c r="U174" s="1036"/>
      <c r="V174" s="1020"/>
      <c r="W174" s="1020"/>
      <c r="X174" s="1020"/>
      <c r="Y174" s="1020"/>
      <c r="Z174" s="1020"/>
      <c r="AA174" s="1020"/>
      <c r="AB174" s="1020"/>
      <c r="AC174" s="1020"/>
      <c r="AD174" s="1020"/>
      <c r="AE174" s="1020"/>
      <c r="AF174" s="1020"/>
      <c r="AG174" s="1020"/>
      <c r="AH174" s="1020"/>
      <c r="AI174" s="1020"/>
      <c r="AJ174" s="1020"/>
      <c r="AK174" s="1020"/>
      <c r="AL174" s="1020"/>
      <c r="AM174" s="1020"/>
      <c r="AN174" s="1020"/>
      <c r="AO174" s="1020"/>
      <c r="AP174" s="1020"/>
      <c r="AQ174" s="1020"/>
      <c r="AR174" s="1020"/>
      <c r="AS174" s="1020"/>
      <c r="AT174" s="1020"/>
      <c r="AU174" s="1020"/>
      <c r="AV174" s="1020"/>
      <c r="AW174" s="1020"/>
      <c r="AX174" s="1020"/>
    </row>
    <row r="175" spans="1:50" ht="12" customHeight="1">
      <c r="A175" s="1024"/>
      <c r="B175" s="161"/>
      <c r="C175" s="1024"/>
      <c r="D175" s="1024"/>
      <c r="E175" s="1024"/>
      <c r="F175" s="1024"/>
      <c r="G175" s="1024"/>
      <c r="H175" s="1024"/>
      <c r="I175" s="1024"/>
      <c r="J175" s="1059"/>
      <c r="K175" s="156"/>
      <c r="L175" s="1024"/>
      <c r="M175" s="1033"/>
      <c r="N175" s="1024"/>
      <c r="O175" s="1024"/>
      <c r="P175" s="1024"/>
      <c r="Q175" s="1024"/>
      <c r="R175" s="1020"/>
      <c r="S175" s="1020"/>
      <c r="T175" s="1036"/>
      <c r="U175" s="1036"/>
      <c r="V175" s="1020"/>
      <c r="W175" s="1020"/>
      <c r="X175" s="1020"/>
      <c r="Y175" s="1020"/>
      <c r="Z175" s="1020"/>
      <c r="AA175" s="1020"/>
      <c r="AB175" s="1020"/>
      <c r="AC175" s="1020"/>
      <c r="AD175" s="1020"/>
      <c r="AE175" s="1020"/>
      <c r="AF175" s="1020"/>
      <c r="AG175" s="1020"/>
      <c r="AH175" s="1020"/>
      <c r="AI175" s="1020"/>
      <c r="AJ175" s="1020"/>
      <c r="AK175" s="1020"/>
      <c r="AL175" s="1020"/>
      <c r="AM175" s="1020"/>
      <c r="AN175" s="1020"/>
      <c r="AO175" s="1020"/>
      <c r="AP175" s="1020"/>
      <c r="AQ175" s="1020"/>
      <c r="AR175" s="1020"/>
      <c r="AS175" s="1020"/>
      <c r="AT175" s="1020"/>
      <c r="AU175" s="1020"/>
      <c r="AV175" s="1020"/>
      <c r="AW175" s="1020"/>
      <c r="AX175" s="1020"/>
    </row>
    <row r="176" spans="1:50" ht="12" customHeight="1">
      <c r="A176" s="1024"/>
      <c r="B176" s="161"/>
      <c r="C176" s="1024"/>
      <c r="D176" s="1024"/>
      <c r="E176" s="1024"/>
      <c r="F176" s="1024"/>
      <c r="G176" s="1024"/>
      <c r="H176" s="1024"/>
      <c r="I176" s="1024"/>
      <c r="J176" s="1059"/>
      <c r="K176" s="156"/>
      <c r="L176" s="1024"/>
      <c r="M176" s="1033"/>
      <c r="N176" s="1024"/>
      <c r="O176" s="1024"/>
      <c r="P176" s="1024"/>
      <c r="Q176" s="1024"/>
      <c r="R176" s="1020"/>
      <c r="S176" s="1020"/>
      <c r="T176" s="1036"/>
      <c r="U176" s="1036"/>
      <c r="V176" s="1020"/>
      <c r="W176" s="1020"/>
      <c r="X176" s="1020"/>
      <c r="Y176" s="1020"/>
      <c r="Z176" s="1020"/>
      <c r="AA176" s="1020"/>
      <c r="AB176" s="1020"/>
      <c r="AC176" s="1020"/>
      <c r="AD176" s="1020"/>
      <c r="AE176" s="1020"/>
      <c r="AF176" s="1020"/>
      <c r="AG176" s="1020"/>
      <c r="AH176" s="1020"/>
      <c r="AI176" s="1020"/>
      <c r="AJ176" s="1020"/>
      <c r="AK176" s="1020"/>
      <c r="AL176" s="1020"/>
      <c r="AM176" s="1020"/>
      <c r="AN176" s="1020"/>
      <c r="AO176" s="1020"/>
      <c r="AP176" s="1020"/>
      <c r="AQ176" s="1020"/>
      <c r="AR176" s="1020"/>
      <c r="AS176" s="1020"/>
      <c r="AT176" s="1020"/>
      <c r="AU176" s="1020"/>
      <c r="AV176" s="1020"/>
      <c r="AW176" s="1020"/>
      <c r="AX176" s="1020"/>
    </row>
    <row r="177" spans="1:50" ht="12" customHeight="1">
      <c r="A177" s="1024"/>
      <c r="B177" s="161"/>
      <c r="C177" s="1024"/>
      <c r="D177" s="1024"/>
      <c r="E177" s="1024"/>
      <c r="F177" s="1024"/>
      <c r="G177" s="1024"/>
      <c r="H177" s="1024"/>
      <c r="I177" s="1024"/>
      <c r="J177" s="1059"/>
      <c r="K177" s="156"/>
      <c r="L177" s="1024"/>
      <c r="M177" s="1033"/>
      <c r="N177" s="1024"/>
      <c r="O177" s="1024"/>
      <c r="P177" s="1024"/>
      <c r="Q177" s="1024"/>
      <c r="R177" s="1020"/>
      <c r="S177" s="1020"/>
      <c r="T177" s="1036"/>
      <c r="U177" s="1036"/>
      <c r="V177" s="1020"/>
      <c r="W177" s="1020"/>
      <c r="X177" s="1020"/>
      <c r="Y177" s="1020"/>
      <c r="Z177" s="1020"/>
      <c r="AA177" s="1020"/>
      <c r="AB177" s="1020"/>
      <c r="AC177" s="1020"/>
      <c r="AD177" s="1020"/>
      <c r="AE177" s="1020"/>
      <c r="AF177" s="1020"/>
      <c r="AG177" s="1020"/>
      <c r="AH177" s="1020"/>
      <c r="AI177" s="1020"/>
      <c r="AJ177" s="1020"/>
      <c r="AK177" s="1020"/>
      <c r="AL177" s="1020"/>
      <c r="AM177" s="1020"/>
      <c r="AN177" s="1020"/>
      <c r="AO177" s="1020"/>
      <c r="AP177" s="1020"/>
      <c r="AQ177" s="1020"/>
      <c r="AR177" s="1020"/>
      <c r="AS177" s="1020"/>
      <c r="AT177" s="1020"/>
      <c r="AU177" s="1020"/>
      <c r="AV177" s="1020"/>
      <c r="AW177" s="1020"/>
      <c r="AX177" s="1020"/>
    </row>
    <row r="178" spans="1:50" ht="12" customHeight="1">
      <c r="A178" s="1024"/>
      <c r="B178" s="161"/>
      <c r="C178" s="1024"/>
      <c r="D178" s="1024"/>
      <c r="E178" s="1024"/>
      <c r="F178" s="1024"/>
      <c r="G178" s="1024"/>
      <c r="H178" s="1024"/>
      <c r="I178" s="1024"/>
      <c r="J178" s="1059"/>
      <c r="K178" s="156"/>
      <c r="L178" s="1024"/>
      <c r="M178" s="1033"/>
      <c r="N178" s="1024"/>
      <c r="O178" s="1024"/>
      <c r="P178" s="1024"/>
      <c r="Q178" s="1024"/>
      <c r="R178" s="1020"/>
      <c r="S178" s="1020"/>
      <c r="T178" s="1036"/>
      <c r="U178" s="1036"/>
      <c r="V178" s="1020"/>
      <c r="W178" s="1020"/>
      <c r="X178" s="1020"/>
      <c r="Y178" s="1020"/>
      <c r="Z178" s="1020"/>
      <c r="AA178" s="1020"/>
      <c r="AB178" s="1020"/>
      <c r="AC178" s="1020"/>
      <c r="AD178" s="1020"/>
      <c r="AE178" s="1020"/>
      <c r="AF178" s="1020"/>
      <c r="AG178" s="1020"/>
      <c r="AH178" s="1020"/>
      <c r="AI178" s="1020"/>
      <c r="AJ178" s="1020"/>
      <c r="AK178" s="1020"/>
      <c r="AL178" s="1020"/>
      <c r="AM178" s="1020"/>
      <c r="AN178" s="1020"/>
      <c r="AO178" s="1020"/>
      <c r="AP178" s="1020"/>
      <c r="AQ178" s="1020"/>
      <c r="AR178" s="1020"/>
      <c r="AS178" s="1020"/>
      <c r="AT178" s="1020"/>
      <c r="AU178" s="1020"/>
      <c r="AV178" s="1020"/>
      <c r="AW178" s="1020"/>
      <c r="AX178" s="1020"/>
    </row>
    <row r="179" spans="1:50" ht="12" customHeight="1">
      <c r="A179" s="1024"/>
      <c r="B179" s="161"/>
      <c r="C179" s="1024"/>
      <c r="D179" s="1024"/>
      <c r="E179" s="1024"/>
      <c r="F179" s="1024"/>
      <c r="G179" s="1024"/>
      <c r="H179" s="1024"/>
      <c r="I179" s="1024"/>
      <c r="J179" s="1059"/>
      <c r="K179" s="156"/>
      <c r="L179" s="1024"/>
      <c r="M179" s="1033"/>
      <c r="N179" s="1024"/>
      <c r="O179" s="1024"/>
      <c r="P179" s="1024"/>
      <c r="Q179" s="1024"/>
      <c r="R179" s="1020"/>
      <c r="S179" s="1020"/>
      <c r="T179" s="1036"/>
      <c r="U179" s="1036"/>
      <c r="V179" s="1020"/>
      <c r="W179" s="1020"/>
      <c r="X179" s="1020"/>
      <c r="Y179" s="1020"/>
      <c r="Z179" s="1020"/>
      <c r="AA179" s="1020"/>
      <c r="AB179" s="1020"/>
      <c r="AC179" s="1020"/>
      <c r="AD179" s="1020"/>
      <c r="AE179" s="1020"/>
      <c r="AF179" s="1020"/>
      <c r="AG179" s="1020"/>
      <c r="AH179" s="1020"/>
      <c r="AI179" s="1020"/>
      <c r="AJ179" s="1020"/>
      <c r="AK179" s="1020"/>
      <c r="AL179" s="1020"/>
      <c r="AM179" s="1020"/>
      <c r="AN179" s="1020"/>
      <c r="AO179" s="1020"/>
      <c r="AP179" s="1020"/>
      <c r="AQ179" s="1020"/>
      <c r="AR179" s="1020"/>
      <c r="AS179" s="1020"/>
      <c r="AT179" s="1020"/>
      <c r="AU179" s="1020"/>
      <c r="AV179" s="1020"/>
      <c r="AW179" s="1020"/>
      <c r="AX179" s="1020"/>
    </row>
    <row r="180" spans="1:50" ht="12" customHeight="1">
      <c r="A180" s="1024"/>
      <c r="B180" s="161"/>
      <c r="C180" s="1024"/>
      <c r="D180" s="1024"/>
      <c r="E180" s="1024"/>
      <c r="F180" s="1024"/>
      <c r="G180" s="1024"/>
      <c r="H180" s="1024"/>
      <c r="I180" s="1024"/>
      <c r="J180" s="1059"/>
      <c r="K180" s="156"/>
      <c r="L180" s="1024"/>
      <c r="M180" s="1033"/>
      <c r="N180" s="1024"/>
      <c r="O180" s="1024"/>
      <c r="P180" s="1024"/>
      <c r="Q180" s="1024"/>
      <c r="R180" s="1020"/>
      <c r="S180" s="1020"/>
      <c r="T180" s="1036"/>
      <c r="U180" s="1036"/>
      <c r="V180" s="1020"/>
      <c r="W180" s="1020"/>
      <c r="X180" s="1020"/>
      <c r="Y180" s="1020"/>
      <c r="Z180" s="1020"/>
      <c r="AA180" s="1020"/>
      <c r="AB180" s="1020"/>
      <c r="AC180" s="1020"/>
      <c r="AD180" s="1020"/>
      <c r="AE180" s="1020"/>
      <c r="AF180" s="1020"/>
      <c r="AG180" s="1020"/>
      <c r="AH180" s="1020"/>
      <c r="AI180" s="1020"/>
      <c r="AJ180" s="1020"/>
      <c r="AK180" s="1020"/>
      <c r="AL180" s="1020"/>
      <c r="AM180" s="1020"/>
      <c r="AN180" s="1020"/>
      <c r="AO180" s="1020"/>
      <c r="AP180" s="1020"/>
      <c r="AQ180" s="1020"/>
      <c r="AR180" s="1020"/>
      <c r="AS180" s="1020"/>
      <c r="AT180" s="1020"/>
      <c r="AU180" s="1020"/>
      <c r="AV180" s="1020"/>
      <c r="AW180" s="1020"/>
      <c r="AX180" s="1020"/>
    </row>
    <row r="181" spans="1:50" ht="12" customHeight="1">
      <c r="A181" s="1024"/>
      <c r="B181" s="161"/>
      <c r="C181" s="1024"/>
      <c r="D181" s="1024"/>
      <c r="E181" s="1024"/>
      <c r="F181" s="1024"/>
      <c r="G181" s="1024"/>
      <c r="H181" s="1024"/>
      <c r="I181" s="1024"/>
      <c r="J181" s="1059"/>
      <c r="K181" s="156"/>
      <c r="L181" s="1024"/>
      <c r="M181" s="1033"/>
      <c r="N181" s="1024"/>
      <c r="O181" s="1024"/>
      <c r="P181" s="1024"/>
      <c r="Q181" s="1024"/>
      <c r="R181" s="1020"/>
      <c r="S181" s="1020"/>
      <c r="T181" s="1036"/>
      <c r="U181" s="1036"/>
      <c r="V181" s="1020"/>
      <c r="W181" s="1020"/>
      <c r="X181" s="1020"/>
      <c r="Y181" s="1020"/>
      <c r="Z181" s="1020"/>
      <c r="AA181" s="1020"/>
      <c r="AB181" s="1020"/>
      <c r="AC181" s="1020"/>
      <c r="AD181" s="1020"/>
      <c r="AE181" s="1020"/>
      <c r="AF181" s="1020"/>
      <c r="AG181" s="1020"/>
      <c r="AH181" s="1020"/>
      <c r="AI181" s="1020"/>
      <c r="AJ181" s="1020"/>
      <c r="AK181" s="1020"/>
      <c r="AL181" s="1020"/>
      <c r="AM181" s="1020"/>
      <c r="AN181" s="1020"/>
      <c r="AO181" s="1020"/>
      <c r="AP181" s="1020"/>
      <c r="AQ181" s="1020"/>
      <c r="AR181" s="1020"/>
      <c r="AS181" s="1020"/>
      <c r="AT181" s="1020"/>
      <c r="AU181" s="1020"/>
      <c r="AV181" s="1020"/>
      <c r="AW181" s="1020"/>
      <c r="AX181" s="1020"/>
    </row>
    <row r="182" spans="1:50" ht="12" customHeight="1">
      <c r="A182" s="1024"/>
      <c r="B182" s="161"/>
      <c r="C182" s="1024"/>
      <c r="D182" s="1024"/>
      <c r="E182" s="1024"/>
      <c r="F182" s="1024"/>
      <c r="G182" s="1024"/>
      <c r="H182" s="1024"/>
      <c r="I182" s="1024"/>
      <c r="J182" s="1059"/>
      <c r="K182" s="156"/>
      <c r="L182" s="1024"/>
      <c r="M182" s="1033"/>
      <c r="N182" s="1024"/>
      <c r="O182" s="1024"/>
      <c r="P182" s="1024"/>
      <c r="Q182" s="1024"/>
      <c r="R182" s="1020"/>
      <c r="S182" s="1020"/>
      <c r="T182" s="1036"/>
      <c r="U182" s="1036"/>
      <c r="V182" s="1020"/>
      <c r="W182" s="1020"/>
      <c r="X182" s="1020"/>
      <c r="Y182" s="1020"/>
      <c r="Z182" s="1020"/>
      <c r="AA182" s="1020"/>
      <c r="AB182" s="1020"/>
      <c r="AC182" s="1020"/>
      <c r="AD182" s="1020"/>
      <c r="AE182" s="1020"/>
      <c r="AF182" s="1020"/>
      <c r="AG182" s="1020"/>
      <c r="AH182" s="1020"/>
      <c r="AI182" s="1020"/>
      <c r="AJ182" s="1020"/>
      <c r="AK182" s="1020"/>
      <c r="AL182" s="1020"/>
      <c r="AM182" s="1020"/>
      <c r="AN182" s="1020"/>
      <c r="AO182" s="1020"/>
      <c r="AP182" s="1020"/>
      <c r="AQ182" s="1020"/>
      <c r="AR182" s="1020"/>
      <c r="AS182" s="1020"/>
      <c r="AT182" s="1020"/>
      <c r="AU182" s="1020"/>
      <c r="AV182" s="1020"/>
      <c r="AW182" s="1020"/>
      <c r="AX182" s="1020"/>
    </row>
    <row r="183" spans="1:50" ht="12" customHeight="1">
      <c r="A183" s="1024"/>
      <c r="B183" s="161"/>
      <c r="C183" s="1024"/>
      <c r="D183" s="1024"/>
      <c r="E183" s="1024"/>
      <c r="F183" s="1024"/>
      <c r="G183" s="1024"/>
      <c r="H183" s="1024"/>
      <c r="I183" s="1024"/>
      <c r="J183" s="1059"/>
      <c r="K183" s="156"/>
      <c r="L183" s="1024"/>
      <c r="M183" s="1033"/>
      <c r="N183" s="1024"/>
      <c r="O183" s="1024"/>
      <c r="P183" s="1024"/>
      <c r="Q183" s="1024"/>
      <c r="R183" s="1020"/>
      <c r="S183" s="1020"/>
      <c r="T183" s="1036"/>
      <c r="U183" s="1036"/>
      <c r="V183" s="1020"/>
      <c r="W183" s="1020"/>
      <c r="X183" s="1020"/>
      <c r="Y183" s="1020"/>
      <c r="Z183" s="1020"/>
      <c r="AA183" s="1020"/>
      <c r="AB183" s="1020"/>
      <c r="AC183" s="1020"/>
      <c r="AD183" s="1020"/>
      <c r="AE183" s="1020"/>
      <c r="AF183" s="1020"/>
      <c r="AG183" s="1020"/>
      <c r="AH183" s="1020"/>
      <c r="AI183" s="1020"/>
      <c r="AJ183" s="1020"/>
      <c r="AK183" s="1020"/>
      <c r="AL183" s="1020"/>
      <c r="AM183" s="1020"/>
      <c r="AN183" s="1020"/>
      <c r="AO183" s="1020"/>
      <c r="AP183" s="1020"/>
      <c r="AQ183" s="1020"/>
      <c r="AR183" s="1020"/>
      <c r="AS183" s="1020"/>
      <c r="AT183" s="1020"/>
      <c r="AU183" s="1020"/>
      <c r="AV183" s="1020"/>
      <c r="AW183" s="1020"/>
      <c r="AX183" s="1020"/>
    </row>
    <row r="184" spans="1:50" ht="12" customHeight="1">
      <c r="A184" s="1024"/>
      <c r="B184" s="161"/>
      <c r="C184" s="1024"/>
      <c r="D184" s="1024"/>
      <c r="E184" s="1024"/>
      <c r="F184" s="1024"/>
      <c r="G184" s="1024"/>
      <c r="H184" s="1024"/>
      <c r="I184" s="1024"/>
      <c r="J184" s="1059"/>
      <c r="K184" s="156"/>
      <c r="L184" s="1024"/>
      <c r="M184" s="1033"/>
      <c r="N184" s="1024"/>
      <c r="O184" s="1024"/>
      <c r="P184" s="1024"/>
      <c r="Q184" s="1024"/>
      <c r="R184" s="1020"/>
      <c r="S184" s="1020"/>
      <c r="T184" s="1036"/>
      <c r="U184" s="1036"/>
      <c r="V184" s="1020"/>
      <c r="W184" s="1020"/>
      <c r="X184" s="1020"/>
      <c r="Y184" s="1020"/>
      <c r="Z184" s="1020"/>
      <c r="AA184" s="1020"/>
      <c r="AB184" s="1020"/>
      <c r="AC184" s="1020"/>
      <c r="AD184" s="1020"/>
      <c r="AE184" s="1020"/>
      <c r="AF184" s="1020"/>
      <c r="AG184" s="1020"/>
      <c r="AH184" s="1020"/>
      <c r="AI184" s="1020"/>
      <c r="AJ184" s="1020"/>
      <c r="AK184" s="1020"/>
      <c r="AL184" s="1020"/>
      <c r="AM184" s="1020"/>
      <c r="AN184" s="1020"/>
      <c r="AO184" s="1020"/>
      <c r="AP184" s="1020"/>
      <c r="AQ184" s="1020"/>
      <c r="AR184" s="1020"/>
      <c r="AS184" s="1020"/>
      <c r="AT184" s="1020"/>
      <c r="AU184" s="1020"/>
      <c r="AV184" s="1020"/>
      <c r="AW184" s="1020"/>
      <c r="AX184" s="1020"/>
    </row>
    <row r="185" spans="1:50" ht="12" customHeight="1">
      <c r="A185" s="1024"/>
      <c r="B185" s="161"/>
      <c r="C185" s="1024"/>
      <c r="D185" s="1024"/>
      <c r="E185" s="1024"/>
      <c r="F185" s="1024"/>
      <c r="G185" s="1024"/>
      <c r="H185" s="1024"/>
      <c r="I185" s="1024"/>
      <c r="J185" s="1059"/>
      <c r="K185" s="156"/>
      <c r="L185" s="1024"/>
      <c r="M185" s="1033"/>
      <c r="N185" s="1024"/>
      <c r="O185" s="1024"/>
      <c r="P185" s="1024"/>
      <c r="Q185" s="1024"/>
      <c r="R185" s="1020"/>
      <c r="S185" s="1020"/>
      <c r="T185" s="1036"/>
      <c r="U185" s="1036"/>
      <c r="V185" s="1020"/>
      <c r="W185" s="1020"/>
      <c r="X185" s="1020"/>
      <c r="Y185" s="1020"/>
      <c r="Z185" s="1020"/>
      <c r="AA185" s="1020"/>
      <c r="AB185" s="1020"/>
      <c r="AC185" s="1020"/>
      <c r="AD185" s="1020"/>
      <c r="AE185" s="1020"/>
      <c r="AF185" s="1020"/>
      <c r="AG185" s="1020"/>
      <c r="AH185" s="1020"/>
      <c r="AI185" s="1020"/>
      <c r="AJ185" s="1020"/>
      <c r="AK185" s="1020"/>
      <c r="AL185" s="1020"/>
      <c r="AM185" s="1020"/>
      <c r="AN185" s="1020"/>
      <c r="AO185" s="1020"/>
      <c r="AP185" s="1020"/>
      <c r="AQ185" s="1020"/>
      <c r="AR185" s="1020"/>
      <c r="AS185" s="1020"/>
      <c r="AT185" s="1020"/>
      <c r="AU185" s="1020"/>
      <c r="AV185" s="1020"/>
      <c r="AW185" s="1020"/>
      <c r="AX185" s="1020"/>
    </row>
    <row r="186" spans="1:50" ht="12" customHeight="1">
      <c r="A186" s="1024"/>
      <c r="B186" s="161"/>
      <c r="C186" s="1024"/>
      <c r="D186" s="1024"/>
      <c r="E186" s="1024"/>
      <c r="F186" s="1024"/>
      <c r="G186" s="1024"/>
      <c r="H186" s="1024"/>
      <c r="I186" s="1024"/>
      <c r="J186" s="1059"/>
      <c r="K186" s="156"/>
      <c r="L186" s="1024"/>
      <c r="M186" s="1033"/>
      <c r="N186" s="1024"/>
      <c r="O186" s="1024"/>
      <c r="P186" s="1024"/>
      <c r="Q186" s="1024"/>
      <c r="R186" s="1020"/>
      <c r="S186" s="1020"/>
      <c r="T186" s="1036"/>
      <c r="U186" s="1036"/>
      <c r="V186" s="1020"/>
      <c r="W186" s="1020"/>
      <c r="X186" s="1020"/>
      <c r="Y186" s="1020"/>
      <c r="Z186" s="1020"/>
      <c r="AA186" s="1020"/>
      <c r="AB186" s="1020"/>
      <c r="AC186" s="1020"/>
      <c r="AD186" s="1020"/>
      <c r="AE186" s="1020"/>
      <c r="AF186" s="1020"/>
      <c r="AG186" s="1020"/>
      <c r="AH186" s="1020"/>
      <c r="AI186" s="1020"/>
      <c r="AJ186" s="1020"/>
      <c r="AK186" s="1020"/>
      <c r="AL186" s="1020"/>
      <c r="AM186" s="1020"/>
      <c r="AN186" s="1020"/>
      <c r="AO186" s="1020"/>
      <c r="AP186" s="1020"/>
      <c r="AQ186" s="1020"/>
      <c r="AR186" s="1020"/>
      <c r="AS186" s="1020"/>
      <c r="AT186" s="1020"/>
      <c r="AU186" s="1020"/>
      <c r="AV186" s="1020"/>
      <c r="AW186" s="1020"/>
      <c r="AX186" s="1020"/>
    </row>
    <row r="187" spans="1:50" ht="12" customHeight="1">
      <c r="A187" s="1024"/>
      <c r="B187" s="161"/>
      <c r="C187" s="1024"/>
      <c r="D187" s="1024"/>
      <c r="E187" s="1024"/>
      <c r="F187" s="1024"/>
      <c r="G187" s="1024"/>
      <c r="H187" s="1024"/>
      <c r="I187" s="1024"/>
      <c r="J187" s="1059"/>
      <c r="K187" s="156"/>
      <c r="L187" s="1024"/>
      <c r="M187" s="1033"/>
      <c r="N187" s="1024"/>
      <c r="O187" s="1024"/>
      <c r="P187" s="1024"/>
      <c r="Q187" s="1024"/>
      <c r="R187" s="1020"/>
      <c r="S187" s="1020"/>
      <c r="T187" s="1036"/>
      <c r="U187" s="1036"/>
      <c r="V187" s="1020"/>
      <c r="W187" s="1020"/>
      <c r="X187" s="1020"/>
      <c r="Y187" s="1020"/>
      <c r="Z187" s="1020"/>
      <c r="AA187" s="1020"/>
      <c r="AB187" s="1020"/>
      <c r="AC187" s="1020"/>
      <c r="AD187" s="1020"/>
      <c r="AE187" s="1020"/>
      <c r="AF187" s="1020"/>
      <c r="AG187" s="1020"/>
      <c r="AH187" s="1020"/>
      <c r="AI187" s="1020"/>
      <c r="AJ187" s="1020"/>
      <c r="AK187" s="1020"/>
      <c r="AL187" s="1020"/>
      <c r="AM187" s="1020"/>
      <c r="AN187" s="1020"/>
      <c r="AO187" s="1020"/>
      <c r="AP187" s="1020"/>
      <c r="AQ187" s="1020"/>
      <c r="AR187" s="1020"/>
      <c r="AS187" s="1020"/>
      <c r="AT187" s="1020"/>
      <c r="AU187" s="1020"/>
      <c r="AV187" s="1020"/>
      <c r="AW187" s="1020"/>
      <c r="AX187" s="1020"/>
    </row>
    <row r="188" spans="1:50" ht="12" customHeight="1">
      <c r="A188" s="1024"/>
      <c r="B188" s="161"/>
      <c r="C188" s="1024"/>
      <c r="D188" s="1024"/>
      <c r="E188" s="1024"/>
      <c r="F188" s="1024"/>
      <c r="G188" s="1024"/>
      <c r="H188" s="1024"/>
      <c r="I188" s="1024"/>
      <c r="J188" s="1059"/>
      <c r="K188" s="156"/>
      <c r="L188" s="1024"/>
      <c r="M188" s="1033"/>
      <c r="N188" s="1024"/>
      <c r="O188" s="1024"/>
      <c r="P188" s="1024"/>
      <c r="Q188" s="1024"/>
      <c r="R188" s="1020"/>
      <c r="S188" s="1020"/>
      <c r="T188" s="1036"/>
      <c r="U188" s="1036"/>
      <c r="V188" s="1020"/>
      <c r="W188" s="1020"/>
      <c r="X188" s="1020"/>
      <c r="Y188" s="1020"/>
      <c r="Z188" s="1020"/>
      <c r="AA188" s="1020"/>
      <c r="AB188" s="1020"/>
      <c r="AC188" s="1020"/>
      <c r="AD188" s="1020"/>
      <c r="AE188" s="1020"/>
      <c r="AF188" s="1020"/>
      <c r="AG188" s="1020"/>
      <c r="AH188" s="1020"/>
      <c r="AI188" s="1020"/>
      <c r="AJ188" s="1020"/>
      <c r="AK188" s="1020"/>
      <c r="AL188" s="1020"/>
      <c r="AM188" s="1020"/>
      <c r="AN188" s="1020"/>
      <c r="AO188" s="1020"/>
      <c r="AP188" s="1020"/>
      <c r="AQ188" s="1020"/>
      <c r="AR188" s="1020"/>
      <c r="AS188" s="1020"/>
      <c r="AT188" s="1020"/>
      <c r="AU188" s="1020"/>
      <c r="AV188" s="1020"/>
      <c r="AW188" s="1020"/>
      <c r="AX188" s="1020"/>
    </row>
    <row r="189" spans="1:50" ht="12" customHeight="1">
      <c r="A189" s="1024"/>
      <c r="B189" s="161"/>
      <c r="C189" s="1024"/>
      <c r="D189" s="1024"/>
      <c r="E189" s="1024"/>
      <c r="F189" s="1024"/>
      <c r="G189" s="1024"/>
      <c r="H189" s="1024"/>
      <c r="I189" s="1024"/>
      <c r="J189" s="1059"/>
      <c r="K189" s="156"/>
      <c r="L189" s="1024"/>
      <c r="M189" s="1033"/>
      <c r="N189" s="1024"/>
      <c r="O189" s="1024"/>
      <c r="P189" s="1024"/>
      <c r="Q189" s="1024"/>
      <c r="R189" s="1020"/>
      <c r="S189" s="1020"/>
      <c r="T189" s="1036"/>
      <c r="U189" s="1036"/>
      <c r="V189" s="1020"/>
      <c r="W189" s="1020"/>
      <c r="X189" s="1020"/>
      <c r="Y189" s="1020"/>
      <c r="Z189" s="1020"/>
      <c r="AA189" s="1020"/>
      <c r="AB189" s="1020"/>
      <c r="AC189" s="1020"/>
      <c r="AD189" s="1020"/>
      <c r="AE189" s="1020"/>
      <c r="AF189" s="1020"/>
      <c r="AG189" s="1020"/>
      <c r="AH189" s="1020"/>
      <c r="AI189" s="1020"/>
      <c r="AJ189" s="1020"/>
      <c r="AK189" s="1020"/>
      <c r="AL189" s="1020"/>
      <c r="AM189" s="1020"/>
      <c r="AN189" s="1020"/>
      <c r="AO189" s="1020"/>
      <c r="AP189" s="1020"/>
      <c r="AQ189" s="1020"/>
      <c r="AR189" s="1020"/>
      <c r="AS189" s="1020"/>
      <c r="AT189" s="1020"/>
      <c r="AU189" s="1020"/>
      <c r="AV189" s="1020"/>
      <c r="AW189" s="1020"/>
      <c r="AX189" s="1020"/>
    </row>
    <row r="190" spans="1:50" ht="12" customHeight="1">
      <c r="A190" s="1024"/>
      <c r="B190" s="161"/>
      <c r="C190" s="1024"/>
      <c r="D190" s="1024"/>
      <c r="E190" s="1024"/>
      <c r="F190" s="1024"/>
      <c r="G190" s="1024"/>
      <c r="H190" s="1024"/>
      <c r="I190" s="1024"/>
      <c r="J190" s="1059"/>
      <c r="K190" s="156"/>
      <c r="L190" s="1024"/>
      <c r="M190" s="1033"/>
      <c r="N190" s="1024"/>
      <c r="O190" s="1024"/>
      <c r="P190" s="1024"/>
      <c r="Q190" s="1024"/>
      <c r="R190" s="1020"/>
      <c r="S190" s="1020"/>
      <c r="T190" s="1036"/>
      <c r="U190" s="1036"/>
      <c r="V190" s="1020"/>
      <c r="W190" s="1020"/>
      <c r="X190" s="1020"/>
      <c r="Y190" s="1020"/>
      <c r="Z190" s="1020"/>
      <c r="AA190" s="1020"/>
      <c r="AB190" s="1020"/>
      <c r="AC190" s="1020"/>
      <c r="AD190" s="1020"/>
      <c r="AE190" s="1020"/>
      <c r="AF190" s="1020"/>
      <c r="AG190" s="1020"/>
      <c r="AH190" s="1020"/>
      <c r="AI190" s="1020"/>
      <c r="AJ190" s="1020"/>
      <c r="AK190" s="1020"/>
      <c r="AL190" s="1020"/>
      <c r="AM190" s="1020"/>
      <c r="AN190" s="1020"/>
      <c r="AO190" s="1020"/>
      <c r="AP190" s="1020"/>
      <c r="AQ190" s="1020"/>
      <c r="AR190" s="1020"/>
      <c r="AS190" s="1020"/>
      <c r="AT190" s="1020"/>
      <c r="AU190" s="1020"/>
      <c r="AV190" s="1020"/>
      <c r="AW190" s="1020"/>
      <c r="AX190" s="1020"/>
    </row>
    <row r="191" spans="1:50" ht="12" customHeight="1">
      <c r="A191" s="1024"/>
      <c r="B191" s="161"/>
      <c r="C191" s="1024"/>
      <c r="D191" s="1024"/>
      <c r="E191" s="1024"/>
      <c r="F191" s="1024"/>
      <c r="G191" s="1024"/>
      <c r="H191" s="1024"/>
      <c r="I191" s="1024"/>
      <c r="J191" s="1059"/>
      <c r="K191" s="156"/>
      <c r="L191" s="1024"/>
      <c r="M191" s="1033"/>
      <c r="N191" s="1024"/>
      <c r="O191" s="1024"/>
      <c r="P191" s="1024"/>
      <c r="Q191" s="1024"/>
      <c r="R191" s="1020"/>
      <c r="S191" s="1020"/>
      <c r="T191" s="1036"/>
      <c r="U191" s="1036"/>
      <c r="V191" s="1020"/>
      <c r="W191" s="1020"/>
      <c r="X191" s="1020"/>
      <c r="Y191" s="1020"/>
      <c r="Z191" s="1020"/>
      <c r="AA191" s="1020"/>
      <c r="AB191" s="1020"/>
      <c r="AC191" s="1020"/>
      <c r="AD191" s="1020"/>
      <c r="AE191" s="1020"/>
      <c r="AF191" s="1020"/>
      <c r="AG191" s="1020"/>
      <c r="AH191" s="1020"/>
      <c r="AI191" s="1020"/>
      <c r="AJ191" s="1020"/>
      <c r="AK191" s="1020"/>
      <c r="AL191" s="1020"/>
      <c r="AM191" s="1020"/>
      <c r="AN191" s="1020"/>
      <c r="AO191" s="1020"/>
      <c r="AP191" s="1020"/>
      <c r="AQ191" s="1020"/>
      <c r="AR191" s="1020"/>
      <c r="AS191" s="1020"/>
      <c r="AT191" s="1020"/>
      <c r="AU191" s="1020"/>
      <c r="AV191" s="1020"/>
      <c r="AW191" s="1020"/>
      <c r="AX191" s="1020"/>
    </row>
    <row r="192" spans="1:50" ht="12" customHeight="1">
      <c r="A192" s="1024"/>
      <c r="B192" s="161"/>
      <c r="C192" s="1024"/>
      <c r="D192" s="1024"/>
      <c r="E192" s="1024"/>
      <c r="F192" s="1024"/>
      <c r="G192" s="1024"/>
      <c r="H192" s="1024"/>
      <c r="I192" s="1024"/>
      <c r="J192" s="1059"/>
      <c r="K192" s="156"/>
      <c r="L192" s="1024"/>
      <c r="M192" s="1033"/>
      <c r="N192" s="1024"/>
      <c r="O192" s="1024"/>
      <c r="P192" s="1024"/>
      <c r="Q192" s="1024"/>
      <c r="R192" s="1020"/>
      <c r="S192" s="1020"/>
      <c r="T192" s="1036"/>
      <c r="U192" s="1036"/>
      <c r="V192" s="1020"/>
      <c r="W192" s="1020"/>
      <c r="X192" s="1020"/>
      <c r="Y192" s="1020"/>
      <c r="Z192" s="1020"/>
      <c r="AA192" s="1020"/>
      <c r="AB192" s="1020"/>
      <c r="AC192" s="1020"/>
      <c r="AD192" s="1020"/>
      <c r="AE192" s="1020"/>
      <c r="AF192" s="1020"/>
      <c r="AG192" s="1020"/>
      <c r="AH192" s="1020"/>
      <c r="AI192" s="1020"/>
      <c r="AJ192" s="1020"/>
      <c r="AK192" s="1020"/>
      <c r="AL192" s="1020"/>
      <c r="AM192" s="1020"/>
      <c r="AN192" s="1020"/>
      <c r="AO192" s="1020"/>
      <c r="AP192" s="1020"/>
      <c r="AQ192" s="1020"/>
      <c r="AR192" s="1020"/>
      <c r="AS192" s="1020"/>
      <c r="AT192" s="1020"/>
      <c r="AU192" s="1020"/>
      <c r="AV192" s="1020"/>
      <c r="AW192" s="1020"/>
      <c r="AX192" s="1020"/>
    </row>
    <row r="193" spans="1:50" ht="12" customHeight="1">
      <c r="A193" s="1024"/>
      <c r="B193" s="161"/>
      <c r="C193" s="1024"/>
      <c r="D193" s="1024"/>
      <c r="E193" s="1024"/>
      <c r="F193" s="1024"/>
      <c r="G193" s="1024"/>
      <c r="H193" s="1024"/>
      <c r="I193" s="1024"/>
      <c r="J193" s="1059"/>
      <c r="K193" s="156"/>
      <c r="L193" s="1024"/>
      <c r="M193" s="1033"/>
      <c r="N193" s="1024"/>
      <c r="O193" s="1024"/>
      <c r="P193" s="1024"/>
      <c r="Q193" s="1024"/>
      <c r="R193" s="1020"/>
      <c r="S193" s="1020"/>
      <c r="T193" s="1036"/>
      <c r="U193" s="1036"/>
      <c r="V193" s="1020"/>
      <c r="W193" s="1020"/>
      <c r="X193" s="1020"/>
      <c r="Y193" s="1020"/>
      <c r="Z193" s="1020"/>
      <c r="AA193" s="1020"/>
      <c r="AB193" s="1020"/>
      <c r="AC193" s="1020"/>
      <c r="AD193" s="1020"/>
      <c r="AE193" s="1020"/>
      <c r="AF193" s="1020"/>
      <c r="AG193" s="1020"/>
      <c r="AH193" s="1020"/>
      <c r="AI193" s="1020"/>
      <c r="AJ193" s="1020"/>
      <c r="AK193" s="1020"/>
      <c r="AL193" s="1020"/>
      <c r="AM193" s="1020"/>
      <c r="AN193" s="1020"/>
      <c r="AO193" s="1020"/>
      <c r="AP193" s="1020"/>
      <c r="AQ193" s="1020"/>
      <c r="AR193" s="1020"/>
      <c r="AS193" s="1020"/>
      <c r="AT193" s="1020"/>
      <c r="AU193" s="1020"/>
      <c r="AV193" s="1020"/>
      <c r="AW193" s="1020"/>
      <c r="AX193" s="1020"/>
    </row>
    <row r="194" spans="1:50" ht="12" customHeight="1">
      <c r="A194" s="1024"/>
      <c r="B194" s="161"/>
      <c r="C194" s="1024"/>
      <c r="D194" s="1024"/>
      <c r="E194" s="1024"/>
      <c r="F194" s="1024"/>
      <c r="G194" s="1024"/>
      <c r="H194" s="1024"/>
      <c r="I194" s="1024"/>
      <c r="J194" s="1059"/>
      <c r="K194" s="156"/>
      <c r="L194" s="1024"/>
      <c r="M194" s="1033"/>
      <c r="N194" s="1024"/>
      <c r="O194" s="1024"/>
      <c r="P194" s="1024"/>
      <c r="Q194" s="1024"/>
      <c r="R194" s="1020"/>
      <c r="S194" s="1020"/>
      <c r="T194" s="1036"/>
      <c r="U194" s="1036"/>
      <c r="V194" s="1020"/>
      <c r="W194" s="1020"/>
      <c r="X194" s="1020"/>
      <c r="Y194" s="1020"/>
      <c r="Z194" s="1020"/>
      <c r="AA194" s="1020"/>
      <c r="AB194" s="1020"/>
      <c r="AC194" s="1020"/>
      <c r="AD194" s="1020"/>
      <c r="AE194" s="1020"/>
      <c r="AF194" s="1020"/>
      <c r="AG194" s="1020"/>
      <c r="AH194" s="1020"/>
      <c r="AI194" s="1020"/>
      <c r="AJ194" s="1020"/>
      <c r="AK194" s="1020"/>
      <c r="AL194" s="1020"/>
      <c r="AM194" s="1020"/>
      <c r="AN194" s="1020"/>
      <c r="AO194" s="1020"/>
      <c r="AP194" s="1020"/>
      <c r="AQ194" s="1020"/>
      <c r="AR194" s="1020"/>
      <c r="AS194" s="1020"/>
      <c r="AT194" s="1020"/>
      <c r="AU194" s="1020"/>
      <c r="AV194" s="1020"/>
      <c r="AW194" s="1020"/>
      <c r="AX194" s="1020"/>
    </row>
    <row r="195" spans="1:50" ht="12" customHeight="1">
      <c r="A195" s="1024"/>
      <c r="B195" s="161"/>
      <c r="C195" s="1024"/>
      <c r="D195" s="1024"/>
      <c r="E195" s="1024"/>
      <c r="F195" s="1024"/>
      <c r="G195" s="1024"/>
      <c r="H195" s="1024"/>
      <c r="I195" s="1024"/>
      <c r="J195" s="1059"/>
      <c r="K195" s="156"/>
      <c r="L195" s="1024"/>
      <c r="M195" s="1033"/>
      <c r="N195" s="1024"/>
      <c r="O195" s="1024"/>
      <c r="P195" s="1024"/>
      <c r="Q195" s="1024"/>
      <c r="R195" s="1020"/>
      <c r="S195" s="1020"/>
      <c r="T195" s="1036"/>
      <c r="U195" s="1036"/>
      <c r="V195" s="1020"/>
      <c r="W195" s="1020"/>
      <c r="X195" s="1020"/>
      <c r="Y195" s="1020"/>
      <c r="Z195" s="1020"/>
      <c r="AA195" s="1020"/>
      <c r="AB195" s="1020"/>
      <c r="AC195" s="1020"/>
      <c r="AD195" s="1020"/>
      <c r="AE195" s="1020"/>
      <c r="AF195" s="1020"/>
      <c r="AG195" s="1020"/>
      <c r="AH195" s="1020"/>
      <c r="AI195" s="1020"/>
      <c r="AJ195" s="1020"/>
      <c r="AK195" s="1020"/>
      <c r="AL195" s="1020"/>
      <c r="AM195" s="1020"/>
      <c r="AN195" s="1020"/>
      <c r="AO195" s="1020"/>
      <c r="AP195" s="1020"/>
      <c r="AQ195" s="1020"/>
      <c r="AR195" s="1020"/>
      <c r="AS195" s="1020"/>
      <c r="AT195" s="1020"/>
      <c r="AU195" s="1020"/>
      <c r="AV195" s="1020"/>
      <c r="AW195" s="1020"/>
      <c r="AX195" s="1020"/>
    </row>
    <row r="196" spans="1:50" ht="12" customHeight="1">
      <c r="A196" s="1024"/>
      <c r="B196" s="161"/>
      <c r="C196" s="1024"/>
      <c r="D196" s="1024"/>
      <c r="E196" s="1024"/>
      <c r="F196" s="1024"/>
      <c r="G196" s="1024"/>
      <c r="H196" s="1024"/>
      <c r="I196" s="1024"/>
      <c r="J196" s="1059"/>
      <c r="K196" s="156"/>
      <c r="L196" s="1024"/>
      <c r="M196" s="1033"/>
      <c r="N196" s="1024"/>
      <c r="O196" s="1024"/>
      <c r="P196" s="1024"/>
      <c r="Q196" s="1024"/>
      <c r="R196" s="1020"/>
      <c r="S196" s="1020"/>
      <c r="T196" s="1036"/>
      <c r="U196" s="1036"/>
      <c r="V196" s="1020"/>
      <c r="W196" s="1020"/>
      <c r="X196" s="1020"/>
      <c r="Y196" s="1020"/>
      <c r="Z196" s="1020"/>
      <c r="AA196" s="1020"/>
      <c r="AB196" s="1020"/>
      <c r="AC196" s="1020"/>
      <c r="AD196" s="1020"/>
      <c r="AE196" s="1020"/>
      <c r="AF196" s="1020"/>
      <c r="AG196" s="1020"/>
      <c r="AH196" s="1020"/>
      <c r="AI196" s="1020"/>
      <c r="AJ196" s="1020"/>
      <c r="AK196" s="1020"/>
      <c r="AL196" s="1020"/>
      <c r="AM196" s="1020"/>
      <c r="AN196" s="1020"/>
      <c r="AO196" s="1020"/>
      <c r="AP196" s="1020"/>
      <c r="AQ196" s="1020"/>
      <c r="AR196" s="1020"/>
      <c r="AS196" s="1020"/>
      <c r="AT196" s="1020"/>
      <c r="AU196" s="1020"/>
      <c r="AV196" s="1020"/>
      <c r="AW196" s="1020"/>
      <c r="AX196" s="1020"/>
    </row>
    <row r="197" spans="1:50" ht="12" customHeight="1">
      <c r="A197" s="1024"/>
      <c r="B197" s="161"/>
      <c r="C197" s="1024"/>
      <c r="D197" s="1024"/>
      <c r="E197" s="1024"/>
      <c r="F197" s="1024"/>
      <c r="G197" s="1024"/>
      <c r="H197" s="1024"/>
      <c r="I197" s="1024"/>
      <c r="J197" s="1059"/>
      <c r="K197" s="156"/>
      <c r="L197" s="1024"/>
      <c r="M197" s="1033"/>
      <c r="N197" s="1024"/>
      <c r="O197" s="1024"/>
      <c r="P197" s="1024"/>
      <c r="Q197" s="1024"/>
      <c r="R197" s="1020"/>
      <c r="S197" s="1020"/>
      <c r="T197" s="1036"/>
      <c r="U197" s="1036"/>
      <c r="V197" s="1020"/>
      <c r="W197" s="1020"/>
      <c r="X197" s="1020"/>
      <c r="Y197" s="1020"/>
      <c r="Z197" s="1020"/>
      <c r="AA197" s="1020"/>
      <c r="AB197" s="1020"/>
      <c r="AC197" s="1020"/>
      <c r="AD197" s="1020"/>
      <c r="AE197" s="1020"/>
      <c r="AF197" s="1020"/>
      <c r="AG197" s="1020"/>
      <c r="AH197" s="1020"/>
      <c r="AI197" s="1020"/>
      <c r="AJ197" s="1020"/>
      <c r="AK197" s="1020"/>
      <c r="AL197" s="1020"/>
      <c r="AM197" s="1020"/>
      <c r="AN197" s="1020"/>
      <c r="AO197" s="1020"/>
      <c r="AP197" s="1020"/>
      <c r="AQ197" s="1020"/>
      <c r="AR197" s="1020"/>
      <c r="AS197" s="1020"/>
      <c r="AT197" s="1020"/>
      <c r="AU197" s="1020"/>
      <c r="AV197" s="1020"/>
      <c r="AW197" s="1020"/>
      <c r="AX197" s="1020"/>
    </row>
    <row r="198" spans="1:50" ht="12" customHeight="1">
      <c r="A198" s="1024"/>
      <c r="B198" s="161"/>
      <c r="C198" s="1024"/>
      <c r="D198" s="1024"/>
      <c r="E198" s="1024"/>
      <c r="F198" s="1024"/>
      <c r="G198" s="1024"/>
      <c r="H198" s="1024"/>
      <c r="I198" s="1024"/>
      <c r="J198" s="1059"/>
      <c r="K198" s="156"/>
      <c r="L198" s="1024"/>
      <c r="M198" s="1033"/>
      <c r="N198" s="1024"/>
      <c r="O198" s="1024"/>
      <c r="P198" s="1024"/>
      <c r="Q198" s="1024"/>
      <c r="R198" s="1020"/>
      <c r="S198" s="1020"/>
      <c r="T198" s="1036"/>
      <c r="U198" s="1036"/>
      <c r="V198" s="1020"/>
      <c r="W198" s="1020"/>
      <c r="X198" s="1020"/>
      <c r="Y198" s="1020"/>
      <c r="Z198" s="1020"/>
      <c r="AA198" s="1020"/>
      <c r="AB198" s="1020"/>
      <c r="AC198" s="1020"/>
      <c r="AD198" s="1020"/>
      <c r="AE198" s="1020"/>
      <c r="AF198" s="1020"/>
      <c r="AG198" s="1020"/>
      <c r="AH198" s="1020"/>
      <c r="AI198" s="1020"/>
      <c r="AJ198" s="1020"/>
      <c r="AK198" s="1020"/>
      <c r="AL198" s="1020"/>
      <c r="AM198" s="1020"/>
      <c r="AN198" s="1020"/>
      <c r="AO198" s="1020"/>
      <c r="AP198" s="1020"/>
      <c r="AQ198" s="1020"/>
      <c r="AR198" s="1020"/>
      <c r="AS198" s="1020"/>
      <c r="AT198" s="1020"/>
      <c r="AU198" s="1020"/>
      <c r="AV198" s="1020"/>
      <c r="AW198" s="1020"/>
      <c r="AX198" s="1020"/>
    </row>
    <row r="199" spans="1:50" ht="12" customHeight="1">
      <c r="A199" s="1024"/>
      <c r="B199" s="161"/>
      <c r="C199" s="1024"/>
      <c r="D199" s="1024"/>
      <c r="E199" s="1024"/>
      <c r="F199" s="1024"/>
      <c r="G199" s="1024"/>
      <c r="H199" s="1024"/>
      <c r="I199" s="1024"/>
      <c r="J199" s="1059"/>
      <c r="K199" s="156"/>
      <c r="L199" s="1024"/>
      <c r="M199" s="1033"/>
      <c r="N199" s="1024"/>
      <c r="O199" s="1024"/>
      <c r="P199" s="1024"/>
      <c r="Q199" s="1024"/>
      <c r="R199" s="1020"/>
      <c r="S199" s="1020"/>
      <c r="T199" s="1036"/>
      <c r="U199" s="1036"/>
      <c r="V199" s="1020"/>
      <c r="W199" s="1020"/>
      <c r="X199" s="1020"/>
      <c r="Y199" s="1020"/>
      <c r="Z199" s="1020"/>
      <c r="AA199" s="1020"/>
      <c r="AB199" s="1020"/>
      <c r="AC199" s="1020"/>
      <c r="AD199" s="1020"/>
      <c r="AE199" s="1020"/>
      <c r="AF199" s="1020"/>
      <c r="AG199" s="1020"/>
      <c r="AH199" s="1020"/>
      <c r="AI199" s="1020"/>
      <c r="AJ199" s="1020"/>
      <c r="AK199" s="1020"/>
      <c r="AL199" s="1020"/>
      <c r="AM199" s="1020"/>
      <c r="AN199" s="1020"/>
      <c r="AO199" s="1020"/>
      <c r="AP199" s="1020"/>
      <c r="AQ199" s="1020"/>
      <c r="AR199" s="1020"/>
      <c r="AS199" s="1020"/>
      <c r="AT199" s="1020"/>
      <c r="AU199" s="1020"/>
      <c r="AV199" s="1020"/>
      <c r="AW199" s="1020"/>
      <c r="AX199" s="1020"/>
    </row>
    <row r="200" spans="1:50" ht="12" customHeight="1">
      <c r="A200" s="1024"/>
      <c r="B200" s="161"/>
      <c r="C200" s="1024"/>
      <c r="D200" s="1024"/>
      <c r="E200" s="1024"/>
      <c r="F200" s="1024"/>
      <c r="G200" s="1024"/>
      <c r="H200" s="1024"/>
      <c r="I200" s="1024"/>
      <c r="J200" s="1059"/>
      <c r="K200" s="156"/>
      <c r="L200" s="1024"/>
      <c r="M200" s="1033"/>
      <c r="N200" s="1024"/>
      <c r="O200" s="1024"/>
      <c r="P200" s="1024"/>
      <c r="Q200" s="1024"/>
      <c r="R200" s="1020"/>
      <c r="S200" s="1020"/>
      <c r="T200" s="1036"/>
      <c r="U200" s="1036"/>
      <c r="V200" s="1020"/>
      <c r="W200" s="1020"/>
      <c r="X200" s="1020"/>
      <c r="Y200" s="1020"/>
      <c r="Z200" s="1020"/>
      <c r="AA200" s="1020"/>
      <c r="AB200" s="1020"/>
      <c r="AC200" s="1020"/>
      <c r="AD200" s="1020"/>
      <c r="AE200" s="1020"/>
      <c r="AF200" s="1020"/>
      <c r="AG200" s="1020"/>
      <c r="AH200" s="1020"/>
      <c r="AI200" s="1020"/>
      <c r="AJ200" s="1020"/>
      <c r="AK200" s="1020"/>
      <c r="AL200" s="1020"/>
      <c r="AM200" s="1020"/>
      <c r="AN200" s="1020"/>
      <c r="AO200" s="1020"/>
      <c r="AP200" s="1020"/>
      <c r="AQ200" s="1020"/>
      <c r="AR200" s="1020"/>
      <c r="AS200" s="1020"/>
      <c r="AT200" s="1020"/>
      <c r="AU200" s="1020"/>
      <c r="AV200" s="1020"/>
      <c r="AW200" s="1020"/>
      <c r="AX200" s="1020"/>
    </row>
    <row r="201" spans="1:50" ht="12" customHeight="1">
      <c r="A201" s="1024"/>
      <c r="B201" s="161"/>
      <c r="C201" s="1024"/>
      <c r="D201" s="1024"/>
      <c r="E201" s="1024"/>
      <c r="F201" s="1024"/>
      <c r="G201" s="1024"/>
      <c r="H201" s="1024"/>
      <c r="I201" s="1024"/>
      <c r="J201" s="1059"/>
      <c r="K201" s="156"/>
      <c r="L201" s="1024"/>
      <c r="M201" s="1033"/>
      <c r="N201" s="1024"/>
      <c r="O201" s="1024"/>
      <c r="P201" s="1024"/>
      <c r="Q201" s="1024"/>
      <c r="R201" s="1020"/>
      <c r="S201" s="1020"/>
      <c r="T201" s="1036"/>
      <c r="U201" s="1036"/>
      <c r="V201" s="1020"/>
      <c r="W201" s="1020"/>
      <c r="X201" s="1020"/>
      <c r="Y201" s="1020"/>
      <c r="Z201" s="1020"/>
      <c r="AA201" s="1020"/>
      <c r="AB201" s="1020"/>
      <c r="AC201" s="1020"/>
      <c r="AD201" s="1020"/>
      <c r="AE201" s="1020"/>
      <c r="AF201" s="1020"/>
      <c r="AG201" s="1020"/>
      <c r="AH201" s="1020"/>
      <c r="AI201" s="1020"/>
      <c r="AJ201" s="1020"/>
      <c r="AK201" s="1020"/>
      <c r="AL201" s="1020"/>
      <c r="AM201" s="1020"/>
      <c r="AN201" s="1020"/>
      <c r="AO201" s="1020"/>
      <c r="AP201" s="1020"/>
      <c r="AQ201" s="1020"/>
      <c r="AR201" s="1020"/>
      <c r="AS201" s="1020"/>
      <c r="AT201" s="1020"/>
      <c r="AU201" s="1020"/>
      <c r="AV201" s="1020"/>
      <c r="AW201" s="1020"/>
      <c r="AX201" s="1020"/>
    </row>
    <row r="202" spans="1:50" ht="12" customHeight="1">
      <c r="A202" s="1024"/>
      <c r="B202" s="161"/>
      <c r="C202" s="1024"/>
      <c r="D202" s="1024"/>
      <c r="E202" s="1024"/>
      <c r="F202" s="1024"/>
      <c r="G202" s="1024"/>
      <c r="H202" s="1024"/>
      <c r="I202" s="1024"/>
      <c r="J202" s="1059"/>
      <c r="K202" s="156"/>
      <c r="L202" s="1024"/>
      <c r="M202" s="1033"/>
      <c r="N202" s="1024"/>
      <c r="O202" s="1024"/>
      <c r="P202" s="1024"/>
      <c r="Q202" s="1024"/>
      <c r="R202" s="1020"/>
      <c r="S202" s="1020"/>
      <c r="T202" s="1036"/>
      <c r="U202" s="1036"/>
      <c r="V202" s="1020"/>
      <c r="W202" s="1020"/>
      <c r="X202" s="1020"/>
      <c r="Y202" s="1020"/>
      <c r="Z202" s="1020"/>
      <c r="AA202" s="1020"/>
      <c r="AB202" s="1020"/>
      <c r="AC202" s="1020"/>
      <c r="AD202" s="1020"/>
      <c r="AE202" s="1020"/>
      <c r="AF202" s="1020"/>
      <c r="AG202" s="1020"/>
      <c r="AH202" s="1020"/>
      <c r="AI202" s="1020"/>
      <c r="AJ202" s="1020"/>
      <c r="AK202" s="1020"/>
      <c r="AL202" s="1020"/>
      <c r="AM202" s="1020"/>
      <c r="AN202" s="1020"/>
      <c r="AO202" s="1020"/>
      <c r="AP202" s="1020"/>
      <c r="AQ202" s="1020"/>
      <c r="AR202" s="1020"/>
      <c r="AS202" s="1020"/>
      <c r="AT202" s="1020"/>
      <c r="AU202" s="1020"/>
      <c r="AV202" s="1020"/>
      <c r="AW202" s="1020"/>
      <c r="AX202" s="1020"/>
    </row>
    <row r="203" spans="1:50" ht="12" customHeight="1">
      <c r="A203" s="1024"/>
      <c r="B203" s="161"/>
      <c r="C203" s="1024"/>
      <c r="D203" s="1024"/>
      <c r="E203" s="1024"/>
      <c r="F203" s="1024"/>
      <c r="G203" s="1024"/>
      <c r="H203" s="1024"/>
      <c r="I203" s="1024"/>
      <c r="J203" s="1059"/>
      <c r="K203" s="156"/>
      <c r="L203" s="1024"/>
      <c r="M203" s="1033"/>
      <c r="N203" s="1024"/>
      <c r="O203" s="1024"/>
      <c r="P203" s="1024"/>
      <c r="Q203" s="1024"/>
      <c r="R203" s="1020"/>
      <c r="S203" s="1020"/>
      <c r="T203" s="1036"/>
      <c r="U203" s="1036"/>
      <c r="V203" s="1020"/>
      <c r="W203" s="1020"/>
      <c r="X203" s="1020"/>
      <c r="Y203" s="1020"/>
      <c r="Z203" s="1020"/>
      <c r="AA203" s="1020"/>
      <c r="AB203" s="1020"/>
      <c r="AC203" s="1020"/>
      <c r="AD203" s="1020"/>
      <c r="AE203" s="1020"/>
      <c r="AF203" s="1020"/>
      <c r="AG203" s="1020"/>
      <c r="AH203" s="1020"/>
      <c r="AI203" s="1020"/>
      <c r="AJ203" s="1020"/>
      <c r="AK203" s="1020"/>
      <c r="AL203" s="1020"/>
      <c r="AM203" s="1020"/>
      <c r="AN203" s="1020"/>
      <c r="AO203" s="1020"/>
      <c r="AP203" s="1020"/>
      <c r="AQ203" s="1020"/>
      <c r="AR203" s="1020"/>
      <c r="AS203" s="1020"/>
      <c r="AT203" s="1020"/>
      <c r="AU203" s="1020"/>
      <c r="AV203" s="1020"/>
      <c r="AW203" s="1020"/>
      <c r="AX203" s="1020"/>
    </row>
    <row r="204" spans="1:50" ht="12" customHeight="1">
      <c r="A204" s="1024"/>
      <c r="B204" s="161"/>
      <c r="C204" s="1024"/>
      <c r="D204" s="1024"/>
      <c r="E204" s="1024"/>
      <c r="F204" s="1024"/>
      <c r="G204" s="1024"/>
      <c r="H204" s="1024"/>
      <c r="I204" s="1024"/>
      <c r="J204" s="1059"/>
      <c r="K204" s="156"/>
      <c r="L204" s="1024"/>
      <c r="M204" s="1033"/>
      <c r="N204" s="1024"/>
      <c r="O204" s="1024"/>
      <c r="P204" s="1024"/>
      <c r="Q204" s="1024"/>
      <c r="R204" s="1020"/>
      <c r="S204" s="1020"/>
      <c r="T204" s="1036"/>
      <c r="U204" s="1036"/>
      <c r="V204" s="1020"/>
      <c r="W204" s="1020"/>
      <c r="X204" s="1020"/>
      <c r="Y204" s="1020"/>
      <c r="Z204" s="1020"/>
      <c r="AA204" s="1020"/>
      <c r="AB204" s="1020"/>
      <c r="AC204" s="1020"/>
      <c r="AD204" s="1020"/>
      <c r="AE204" s="1020"/>
      <c r="AF204" s="1020"/>
      <c r="AG204" s="1020"/>
      <c r="AH204" s="1020"/>
      <c r="AI204" s="1020"/>
      <c r="AJ204" s="1020"/>
      <c r="AK204" s="1020"/>
      <c r="AL204" s="1020"/>
      <c r="AM204" s="1020"/>
      <c r="AN204" s="1020"/>
      <c r="AO204" s="1020"/>
      <c r="AP204" s="1020"/>
      <c r="AQ204" s="1020"/>
      <c r="AR204" s="1020"/>
      <c r="AS204" s="1020"/>
      <c r="AT204" s="1020"/>
      <c r="AU204" s="1020"/>
      <c r="AV204" s="1020"/>
      <c r="AW204" s="1020"/>
      <c r="AX204" s="1020"/>
    </row>
    <row r="205" spans="1:50" ht="12" customHeight="1">
      <c r="A205" s="1024"/>
      <c r="B205" s="161"/>
      <c r="C205" s="1024"/>
      <c r="D205" s="1024"/>
      <c r="E205" s="1024"/>
      <c r="F205" s="1024"/>
      <c r="G205" s="1024"/>
      <c r="H205" s="1024"/>
      <c r="I205" s="1024"/>
      <c r="J205" s="1059"/>
      <c r="K205" s="156"/>
      <c r="L205" s="1024"/>
      <c r="M205" s="1033"/>
      <c r="N205" s="1024"/>
      <c r="O205" s="1024"/>
      <c r="P205" s="1024"/>
      <c r="Q205" s="1024"/>
      <c r="R205" s="1020"/>
      <c r="S205" s="1020"/>
      <c r="T205" s="1036"/>
      <c r="U205" s="1036"/>
      <c r="V205" s="1020"/>
      <c r="W205" s="1020"/>
      <c r="X205" s="1020"/>
      <c r="Y205" s="1020"/>
      <c r="Z205" s="1020"/>
      <c r="AA205" s="1020"/>
      <c r="AB205" s="1020"/>
      <c r="AC205" s="1020"/>
      <c r="AD205" s="1020"/>
      <c r="AE205" s="1020"/>
      <c r="AF205" s="1020"/>
      <c r="AG205" s="1020"/>
      <c r="AH205" s="1020"/>
      <c r="AI205" s="1020"/>
      <c r="AJ205" s="1020"/>
      <c r="AK205" s="1020"/>
      <c r="AL205" s="1020"/>
      <c r="AM205" s="1020"/>
      <c r="AN205" s="1020"/>
      <c r="AO205" s="1020"/>
      <c r="AP205" s="1020"/>
      <c r="AQ205" s="1020"/>
      <c r="AR205" s="1020"/>
      <c r="AS205" s="1020"/>
      <c r="AT205" s="1020"/>
      <c r="AU205" s="1020"/>
      <c r="AV205" s="1020"/>
      <c r="AW205" s="1020"/>
      <c r="AX205" s="1020"/>
    </row>
    <row r="206" spans="1:50" ht="12" customHeight="1">
      <c r="A206" s="1024"/>
      <c r="B206" s="161"/>
      <c r="C206" s="1024"/>
      <c r="D206" s="1024"/>
      <c r="E206" s="1024"/>
      <c r="F206" s="1024"/>
      <c r="G206" s="1024"/>
      <c r="H206" s="1024"/>
      <c r="I206" s="1024"/>
      <c r="J206" s="1059"/>
      <c r="K206" s="156"/>
      <c r="L206" s="1024"/>
      <c r="M206" s="1033"/>
      <c r="N206" s="1024"/>
      <c r="O206" s="1024"/>
      <c r="P206" s="1024"/>
      <c r="Q206" s="1024"/>
      <c r="R206" s="1020"/>
      <c r="S206" s="1020"/>
      <c r="T206" s="1036"/>
      <c r="U206" s="1036"/>
      <c r="V206" s="1020"/>
      <c r="W206" s="1020"/>
      <c r="X206" s="1020"/>
      <c r="Y206" s="1020"/>
      <c r="Z206" s="1020"/>
      <c r="AA206" s="1020"/>
      <c r="AB206" s="1020"/>
      <c r="AC206" s="1020"/>
      <c r="AD206" s="1020"/>
      <c r="AE206" s="1020"/>
      <c r="AF206" s="1020"/>
      <c r="AG206" s="1020"/>
      <c r="AH206" s="1020"/>
      <c r="AI206" s="1020"/>
      <c r="AJ206" s="1020"/>
      <c r="AK206" s="1020"/>
      <c r="AL206" s="1020"/>
      <c r="AM206" s="1020"/>
      <c r="AN206" s="1020"/>
      <c r="AO206" s="1020"/>
      <c r="AP206" s="1020"/>
      <c r="AQ206" s="1020"/>
      <c r="AR206" s="1020"/>
      <c r="AS206" s="1020"/>
      <c r="AT206" s="1020"/>
      <c r="AU206" s="1020"/>
      <c r="AV206" s="1020"/>
      <c r="AW206" s="1020"/>
      <c r="AX206" s="1020"/>
    </row>
    <row r="207" spans="1:50" ht="12" customHeight="1">
      <c r="A207" s="1024"/>
      <c r="B207" s="161"/>
      <c r="C207" s="1024"/>
      <c r="D207" s="1024"/>
      <c r="E207" s="1024"/>
      <c r="F207" s="1024"/>
      <c r="G207" s="1024"/>
      <c r="H207" s="1024"/>
      <c r="I207" s="1024"/>
      <c r="J207" s="1059"/>
      <c r="K207" s="156"/>
      <c r="L207" s="1024"/>
      <c r="M207" s="1033"/>
      <c r="N207" s="1024"/>
      <c r="O207" s="1024"/>
      <c r="P207" s="1024"/>
      <c r="Q207" s="1024"/>
      <c r="R207" s="1020"/>
      <c r="S207" s="1020"/>
      <c r="T207" s="1036"/>
      <c r="U207" s="1036"/>
      <c r="V207" s="1020"/>
      <c r="W207" s="1020"/>
      <c r="X207" s="1020"/>
      <c r="Y207" s="1020"/>
      <c r="Z207" s="1020"/>
      <c r="AA207" s="1020"/>
      <c r="AB207" s="1020"/>
      <c r="AC207" s="1020"/>
      <c r="AD207" s="1020"/>
      <c r="AE207" s="1020"/>
      <c r="AF207" s="1020"/>
      <c r="AG207" s="1020"/>
      <c r="AH207" s="1020"/>
      <c r="AI207" s="1020"/>
      <c r="AJ207" s="1020"/>
      <c r="AK207" s="1020"/>
      <c r="AL207" s="1020"/>
      <c r="AM207" s="1020"/>
      <c r="AN207" s="1020"/>
      <c r="AO207" s="1020"/>
      <c r="AP207" s="1020"/>
      <c r="AQ207" s="1020"/>
      <c r="AR207" s="1020"/>
      <c r="AS207" s="1020"/>
      <c r="AT207" s="1020"/>
      <c r="AU207" s="1020"/>
      <c r="AV207" s="1020"/>
      <c r="AW207" s="1020"/>
      <c r="AX207" s="1020"/>
    </row>
    <row r="208" spans="1:50" ht="12" customHeight="1">
      <c r="A208" s="1024"/>
      <c r="B208" s="161"/>
      <c r="C208" s="1024"/>
      <c r="D208" s="1024"/>
      <c r="E208" s="1024"/>
      <c r="F208" s="1024"/>
      <c r="G208" s="1024"/>
      <c r="H208" s="1024"/>
      <c r="I208" s="1024"/>
      <c r="J208" s="1059"/>
      <c r="K208" s="156"/>
      <c r="L208" s="1024"/>
      <c r="M208" s="1033"/>
      <c r="N208" s="1024"/>
      <c r="O208" s="1024"/>
      <c r="P208" s="1024"/>
      <c r="Q208" s="1024"/>
      <c r="R208" s="1020"/>
      <c r="S208" s="1020"/>
      <c r="T208" s="1036"/>
      <c r="U208" s="1036"/>
      <c r="V208" s="1020"/>
      <c r="W208" s="1020"/>
      <c r="X208" s="1020"/>
      <c r="Y208" s="1020"/>
      <c r="Z208" s="1020"/>
      <c r="AA208" s="1020"/>
      <c r="AB208" s="1020"/>
      <c r="AC208" s="1020"/>
      <c r="AD208" s="1020"/>
      <c r="AE208" s="1020"/>
      <c r="AF208" s="1020"/>
      <c r="AG208" s="1020"/>
      <c r="AH208" s="1020"/>
      <c r="AI208" s="1020"/>
      <c r="AJ208" s="1020"/>
      <c r="AK208" s="1020"/>
      <c r="AL208" s="1020"/>
      <c r="AM208" s="1020"/>
      <c r="AN208" s="1020"/>
      <c r="AO208" s="1020"/>
      <c r="AP208" s="1020"/>
      <c r="AQ208" s="1020"/>
      <c r="AR208" s="1020"/>
      <c r="AS208" s="1020"/>
      <c r="AT208" s="1020"/>
      <c r="AU208" s="1020"/>
      <c r="AV208" s="1020"/>
      <c r="AW208" s="1020"/>
      <c r="AX208" s="1020"/>
    </row>
    <row r="209" spans="1:50" ht="12" customHeight="1">
      <c r="A209" s="1024"/>
      <c r="B209" s="161"/>
      <c r="C209" s="1024"/>
      <c r="D209" s="1024"/>
      <c r="E209" s="1024"/>
      <c r="F209" s="1024"/>
      <c r="G209" s="1024"/>
      <c r="H209" s="1024"/>
      <c r="I209" s="1024"/>
      <c r="J209" s="1059"/>
      <c r="K209" s="156"/>
      <c r="L209" s="1024"/>
      <c r="M209" s="1033"/>
      <c r="N209" s="1024"/>
      <c r="O209" s="1024"/>
      <c r="P209" s="1024"/>
      <c r="Q209" s="1024"/>
      <c r="R209" s="1020"/>
      <c r="S209" s="1020"/>
      <c r="T209" s="1036"/>
      <c r="U209" s="1036"/>
      <c r="V209" s="1020"/>
      <c r="W209" s="1020"/>
      <c r="X209" s="1020"/>
      <c r="Y209" s="1020"/>
      <c r="Z209" s="1020"/>
      <c r="AA209" s="1020"/>
      <c r="AB209" s="1020"/>
      <c r="AC209" s="1020"/>
      <c r="AD209" s="1020"/>
      <c r="AE209" s="1020"/>
      <c r="AF209" s="1020"/>
      <c r="AG209" s="1020"/>
      <c r="AH209" s="1020"/>
      <c r="AI209" s="1020"/>
      <c r="AJ209" s="1020"/>
      <c r="AK209" s="1020"/>
      <c r="AL209" s="1020"/>
      <c r="AM209" s="1020"/>
      <c r="AN209" s="1020"/>
      <c r="AO209" s="1020"/>
      <c r="AP209" s="1020"/>
      <c r="AQ209" s="1020"/>
      <c r="AR209" s="1020"/>
      <c r="AS209" s="1020"/>
      <c r="AT209" s="1020"/>
      <c r="AU209" s="1020"/>
      <c r="AV209" s="1020"/>
      <c r="AW209" s="1020"/>
      <c r="AX209" s="1020"/>
    </row>
    <row r="210" spans="1:50" ht="12" customHeight="1">
      <c r="A210" s="1024"/>
      <c r="B210" s="161"/>
      <c r="C210" s="1024"/>
      <c r="D210" s="1024"/>
      <c r="E210" s="1024"/>
      <c r="F210" s="1024"/>
      <c r="G210" s="1024"/>
      <c r="H210" s="1024"/>
      <c r="I210" s="1024"/>
      <c r="J210" s="1059"/>
      <c r="K210" s="156"/>
      <c r="L210" s="1024"/>
      <c r="M210" s="1033"/>
      <c r="N210" s="1024"/>
      <c r="O210" s="1024"/>
      <c r="P210" s="1024"/>
      <c r="Q210" s="1024"/>
      <c r="R210" s="1020"/>
      <c r="S210" s="1020"/>
      <c r="T210" s="1036"/>
      <c r="U210" s="1036"/>
      <c r="V210" s="1020"/>
      <c r="W210" s="1020"/>
      <c r="X210" s="1020"/>
      <c r="Y210" s="1020"/>
      <c r="Z210" s="1020"/>
      <c r="AA210" s="1020"/>
      <c r="AB210" s="1020"/>
      <c r="AC210" s="1020"/>
      <c r="AD210" s="1020"/>
      <c r="AE210" s="1020"/>
      <c r="AF210" s="1020"/>
      <c r="AG210" s="1020"/>
      <c r="AH210" s="1020"/>
      <c r="AI210" s="1020"/>
      <c r="AJ210" s="1020"/>
      <c r="AK210" s="1020"/>
      <c r="AL210" s="1020"/>
      <c r="AM210" s="1020"/>
      <c r="AN210" s="1020"/>
      <c r="AO210" s="1020"/>
      <c r="AP210" s="1020"/>
      <c r="AQ210" s="1020"/>
      <c r="AR210" s="1020"/>
      <c r="AS210" s="1020"/>
      <c r="AT210" s="1020"/>
      <c r="AU210" s="1020"/>
      <c r="AV210" s="1020"/>
      <c r="AW210" s="1020"/>
      <c r="AX210" s="1020"/>
    </row>
    <row r="211" spans="1:50" ht="12" customHeight="1">
      <c r="A211" s="1024"/>
      <c r="B211" s="161"/>
      <c r="C211" s="1024"/>
      <c r="D211" s="1024"/>
      <c r="E211" s="1024"/>
      <c r="F211" s="1024"/>
      <c r="G211" s="1024"/>
      <c r="H211" s="1024"/>
      <c r="I211" s="1024"/>
      <c r="J211" s="1059"/>
      <c r="K211" s="156"/>
      <c r="L211" s="1024"/>
      <c r="M211" s="1033"/>
      <c r="N211" s="1024"/>
      <c r="O211" s="1024"/>
      <c r="P211" s="1024"/>
      <c r="Q211" s="1024"/>
      <c r="R211" s="1020"/>
      <c r="S211" s="1020"/>
      <c r="T211" s="1036"/>
      <c r="U211" s="1036"/>
      <c r="V211" s="1020"/>
      <c r="W211" s="1020"/>
      <c r="X211" s="1020"/>
      <c r="Y211" s="1020"/>
      <c r="Z211" s="1020"/>
      <c r="AA211" s="1020"/>
      <c r="AB211" s="1020"/>
      <c r="AC211" s="1020"/>
      <c r="AD211" s="1020"/>
      <c r="AE211" s="1020"/>
      <c r="AF211" s="1020"/>
      <c r="AG211" s="1020"/>
      <c r="AH211" s="1020"/>
      <c r="AI211" s="1020"/>
      <c r="AJ211" s="1020"/>
      <c r="AK211" s="1020"/>
      <c r="AL211" s="1020"/>
      <c r="AM211" s="1020"/>
      <c r="AN211" s="1020"/>
      <c r="AO211" s="1020"/>
      <c r="AP211" s="1020"/>
      <c r="AQ211" s="1020"/>
      <c r="AR211" s="1020"/>
      <c r="AS211" s="1020"/>
      <c r="AT211" s="1020"/>
      <c r="AU211" s="1020"/>
      <c r="AV211" s="1020"/>
      <c r="AW211" s="1020"/>
      <c r="AX211" s="1020"/>
    </row>
    <row r="212" spans="1:50" ht="12" customHeight="1">
      <c r="A212" s="1024"/>
      <c r="B212" s="161"/>
      <c r="C212" s="1024"/>
      <c r="D212" s="1024"/>
      <c r="E212" s="1024"/>
      <c r="F212" s="1024"/>
      <c r="G212" s="1024"/>
      <c r="H212" s="1024"/>
      <c r="I212" s="1024"/>
      <c r="J212" s="1059"/>
      <c r="K212" s="156"/>
      <c r="L212" s="1024"/>
      <c r="M212" s="1033"/>
      <c r="N212" s="1024"/>
      <c r="O212" s="1024"/>
      <c r="P212" s="1024"/>
      <c r="Q212" s="1024"/>
      <c r="R212" s="1020"/>
      <c r="S212" s="1020"/>
      <c r="T212" s="1036"/>
      <c r="U212" s="1036"/>
      <c r="V212" s="1020"/>
      <c r="W212" s="1020"/>
      <c r="X212" s="1020"/>
      <c r="Y212" s="1020"/>
      <c r="Z212" s="1020"/>
      <c r="AA212" s="1020"/>
      <c r="AB212" s="1020"/>
      <c r="AC212" s="1020"/>
      <c r="AD212" s="1020"/>
      <c r="AE212" s="1020"/>
      <c r="AF212" s="1020"/>
      <c r="AG212" s="1020"/>
      <c r="AH212" s="1020"/>
      <c r="AI212" s="1020"/>
      <c r="AJ212" s="1020"/>
      <c r="AK212" s="1020"/>
      <c r="AL212" s="1020"/>
      <c r="AM212" s="1020"/>
      <c r="AN212" s="1020"/>
      <c r="AO212" s="1020"/>
      <c r="AP212" s="1020"/>
      <c r="AQ212" s="1020"/>
      <c r="AR212" s="1020"/>
      <c r="AS212" s="1020"/>
      <c r="AT212" s="1020"/>
      <c r="AU212" s="1020"/>
      <c r="AV212" s="1020"/>
      <c r="AW212" s="1020"/>
      <c r="AX212" s="1020"/>
    </row>
    <row r="213" spans="1:50" ht="12" customHeight="1">
      <c r="A213" s="1024"/>
      <c r="B213" s="161"/>
      <c r="C213" s="1024"/>
      <c r="D213" s="1024"/>
      <c r="E213" s="1024"/>
      <c r="F213" s="1024"/>
      <c r="G213" s="1024"/>
      <c r="H213" s="1024"/>
      <c r="I213" s="1024"/>
      <c r="J213" s="1059"/>
      <c r="K213" s="156"/>
      <c r="L213" s="1024"/>
      <c r="M213" s="1033"/>
      <c r="N213" s="1024"/>
      <c r="O213" s="1024"/>
      <c r="P213" s="1024"/>
      <c r="Q213" s="1024"/>
      <c r="R213" s="1020"/>
      <c r="S213" s="1020"/>
      <c r="T213" s="1036"/>
      <c r="U213" s="1036"/>
      <c r="V213" s="1020"/>
      <c r="W213" s="1020"/>
      <c r="X213" s="1020"/>
      <c r="Y213" s="1020"/>
      <c r="Z213" s="1020"/>
      <c r="AA213" s="1020"/>
      <c r="AB213" s="1020"/>
      <c r="AC213" s="1020"/>
      <c r="AD213" s="1020"/>
      <c r="AE213" s="1020"/>
      <c r="AF213" s="1020"/>
      <c r="AG213" s="1020"/>
      <c r="AH213" s="1020"/>
      <c r="AI213" s="1020"/>
      <c r="AJ213" s="1020"/>
      <c r="AK213" s="1020"/>
      <c r="AL213" s="1020"/>
      <c r="AM213" s="1020"/>
      <c r="AN213" s="1020"/>
      <c r="AO213" s="1020"/>
      <c r="AP213" s="1020"/>
      <c r="AQ213" s="1020"/>
      <c r="AR213" s="1020"/>
      <c r="AS213" s="1020"/>
      <c r="AT213" s="1020"/>
      <c r="AU213" s="1020"/>
      <c r="AV213" s="1020"/>
      <c r="AW213" s="1020"/>
      <c r="AX213" s="1020"/>
    </row>
    <row r="214" spans="1:50" ht="12" customHeight="1">
      <c r="A214" s="1024"/>
      <c r="B214" s="161"/>
      <c r="C214" s="1024"/>
      <c r="D214" s="1024"/>
      <c r="E214" s="1024"/>
      <c r="F214" s="1024"/>
      <c r="G214" s="1024"/>
      <c r="H214" s="1024"/>
      <c r="I214" s="1024"/>
      <c r="J214" s="1059"/>
      <c r="K214" s="156"/>
      <c r="L214" s="1024"/>
      <c r="M214" s="1033"/>
      <c r="N214" s="1024"/>
      <c r="O214" s="1024"/>
      <c r="P214" s="1024"/>
      <c r="Q214" s="1024"/>
      <c r="R214" s="1020"/>
      <c r="S214" s="1020"/>
      <c r="T214" s="1036"/>
      <c r="U214" s="1036"/>
      <c r="V214" s="1020"/>
      <c r="W214" s="1020"/>
      <c r="X214" s="1020"/>
      <c r="Y214" s="1020"/>
      <c r="Z214" s="1020"/>
      <c r="AA214" s="1020"/>
      <c r="AB214" s="1020"/>
      <c r="AC214" s="1020"/>
      <c r="AD214" s="1020"/>
      <c r="AE214" s="1020"/>
      <c r="AF214" s="1020"/>
      <c r="AG214" s="1020"/>
      <c r="AH214" s="1020"/>
      <c r="AI214" s="1020"/>
      <c r="AJ214" s="1020"/>
      <c r="AK214" s="1020"/>
      <c r="AL214" s="1020"/>
      <c r="AM214" s="1020"/>
      <c r="AN214" s="1020"/>
      <c r="AO214" s="1020"/>
      <c r="AP214" s="1020"/>
      <c r="AQ214" s="1020"/>
      <c r="AR214" s="1020"/>
      <c r="AS214" s="1020"/>
      <c r="AT214" s="1020"/>
      <c r="AU214" s="1020"/>
      <c r="AV214" s="1020"/>
      <c r="AW214" s="1020"/>
      <c r="AX214" s="1020"/>
    </row>
    <row r="215" spans="1:50" ht="12" customHeight="1">
      <c r="A215" s="1024"/>
      <c r="B215" s="161"/>
      <c r="C215" s="1024"/>
      <c r="D215" s="1024"/>
      <c r="E215" s="1024"/>
      <c r="F215" s="1024"/>
      <c r="G215" s="1024"/>
      <c r="H215" s="1024"/>
      <c r="I215" s="1024"/>
      <c r="J215" s="1059"/>
      <c r="K215" s="156"/>
      <c r="L215" s="1024"/>
      <c r="M215" s="1033"/>
      <c r="N215" s="1024"/>
      <c r="O215" s="1024"/>
      <c r="P215" s="1024"/>
      <c r="Q215" s="1024"/>
      <c r="R215" s="1020"/>
      <c r="S215" s="1020"/>
      <c r="T215" s="1036"/>
      <c r="U215" s="1036"/>
      <c r="V215" s="1020"/>
      <c r="W215" s="1020"/>
      <c r="X215" s="1020"/>
      <c r="Y215" s="1020"/>
      <c r="Z215" s="1020"/>
      <c r="AA215" s="1020"/>
      <c r="AB215" s="1020"/>
      <c r="AC215" s="1020"/>
      <c r="AD215" s="1020"/>
      <c r="AE215" s="1020"/>
      <c r="AF215" s="1020"/>
      <c r="AG215" s="1020"/>
      <c r="AH215" s="1020"/>
      <c r="AI215" s="1020"/>
      <c r="AJ215" s="1020"/>
      <c r="AK215" s="1020"/>
      <c r="AL215" s="1020"/>
      <c r="AM215" s="1020"/>
      <c r="AN215" s="1020"/>
      <c r="AO215" s="1020"/>
      <c r="AP215" s="1020"/>
      <c r="AQ215" s="1020"/>
      <c r="AR215" s="1020"/>
      <c r="AS215" s="1020"/>
      <c r="AT215" s="1020"/>
      <c r="AU215" s="1020"/>
      <c r="AV215" s="1020"/>
      <c r="AW215" s="1020"/>
      <c r="AX215" s="1020"/>
    </row>
    <row r="216" spans="1:50" ht="12" customHeight="1">
      <c r="A216" s="1024"/>
      <c r="B216" s="161"/>
      <c r="C216" s="1024"/>
      <c r="D216" s="1024"/>
      <c r="E216" s="1024"/>
      <c r="F216" s="1024"/>
      <c r="G216" s="1024"/>
      <c r="H216" s="1024"/>
      <c r="I216" s="1024"/>
      <c r="J216" s="1059"/>
      <c r="K216" s="156"/>
      <c r="L216" s="1024"/>
      <c r="M216" s="1033"/>
      <c r="N216" s="1024"/>
      <c r="O216" s="1024"/>
      <c r="P216" s="1024"/>
      <c r="Q216" s="1024"/>
      <c r="R216" s="1020"/>
      <c r="S216" s="1020"/>
      <c r="T216" s="1036"/>
      <c r="U216" s="1036"/>
      <c r="V216" s="1020"/>
      <c r="W216" s="1020"/>
      <c r="X216" s="1020"/>
      <c r="Y216" s="1020"/>
      <c r="Z216" s="1020"/>
      <c r="AA216" s="1020"/>
      <c r="AB216" s="1020"/>
      <c r="AC216" s="1020"/>
      <c r="AD216" s="1020"/>
      <c r="AE216" s="1020"/>
      <c r="AF216" s="1020"/>
      <c r="AG216" s="1020"/>
      <c r="AH216" s="1020"/>
      <c r="AI216" s="1020"/>
      <c r="AJ216" s="1020"/>
      <c r="AK216" s="1020"/>
      <c r="AL216" s="1020"/>
      <c r="AM216" s="1020"/>
      <c r="AN216" s="1020"/>
      <c r="AO216" s="1020"/>
      <c r="AP216" s="1020"/>
      <c r="AQ216" s="1020"/>
      <c r="AR216" s="1020"/>
      <c r="AS216" s="1020"/>
      <c r="AT216" s="1020"/>
      <c r="AU216" s="1020"/>
      <c r="AV216" s="1020"/>
      <c r="AW216" s="1020"/>
      <c r="AX216" s="1020"/>
    </row>
    <row r="217" spans="1:50" ht="12" customHeight="1">
      <c r="A217" s="1024"/>
      <c r="B217" s="161"/>
      <c r="C217" s="1024"/>
      <c r="D217" s="1024"/>
      <c r="E217" s="1024"/>
      <c r="F217" s="1024"/>
      <c r="G217" s="1024"/>
      <c r="H217" s="1024"/>
      <c r="I217" s="1024"/>
      <c r="J217" s="1059"/>
      <c r="K217" s="156"/>
      <c r="L217" s="1024"/>
      <c r="M217" s="1033"/>
      <c r="N217" s="1024"/>
      <c r="O217" s="1024"/>
      <c r="P217" s="1024"/>
      <c r="Q217" s="1024"/>
      <c r="R217" s="1020"/>
      <c r="S217" s="1020"/>
      <c r="T217" s="1036"/>
      <c r="U217" s="1036"/>
      <c r="V217" s="1020"/>
      <c r="W217" s="1020"/>
      <c r="X217" s="1020"/>
      <c r="Y217" s="1020"/>
      <c r="Z217" s="1020"/>
      <c r="AA217" s="1020"/>
      <c r="AB217" s="1020"/>
      <c r="AC217" s="1020"/>
      <c r="AD217" s="1020"/>
      <c r="AE217" s="1020"/>
      <c r="AF217" s="1020"/>
      <c r="AG217" s="1020"/>
      <c r="AH217" s="1020"/>
      <c r="AI217" s="1020"/>
      <c r="AJ217" s="1020"/>
      <c r="AK217" s="1020"/>
      <c r="AL217" s="1020"/>
      <c r="AM217" s="1020"/>
      <c r="AN217" s="1020"/>
      <c r="AO217" s="1020"/>
      <c r="AP217" s="1020"/>
      <c r="AQ217" s="1020"/>
      <c r="AR217" s="1020"/>
      <c r="AS217" s="1020"/>
      <c r="AT217" s="1020"/>
      <c r="AU217" s="1020"/>
      <c r="AV217" s="1020"/>
      <c r="AW217" s="1020"/>
      <c r="AX217" s="1020"/>
    </row>
    <row r="218" spans="1:50" ht="12" customHeight="1">
      <c r="A218" s="1024"/>
      <c r="B218" s="161"/>
      <c r="C218" s="1024"/>
      <c r="D218" s="1024"/>
      <c r="E218" s="1024"/>
      <c r="F218" s="1024"/>
      <c r="G218" s="1024"/>
      <c r="H218" s="1024"/>
      <c r="I218" s="1024"/>
      <c r="J218" s="1059"/>
      <c r="K218" s="156"/>
      <c r="L218" s="1024"/>
      <c r="M218" s="1033"/>
      <c r="N218" s="1024"/>
      <c r="O218" s="1024"/>
      <c r="P218" s="1024"/>
      <c r="Q218" s="1024"/>
      <c r="R218" s="1020"/>
      <c r="S218" s="1020"/>
      <c r="T218" s="1036"/>
      <c r="U218" s="1036"/>
      <c r="V218" s="1020"/>
      <c r="W218" s="1020"/>
      <c r="X218" s="1020"/>
      <c r="Y218" s="1020"/>
      <c r="Z218" s="1020"/>
      <c r="AA218" s="1020"/>
      <c r="AB218" s="1020"/>
      <c r="AC218" s="1020"/>
      <c r="AD218" s="1020"/>
      <c r="AE218" s="1020"/>
      <c r="AF218" s="1020"/>
      <c r="AG218" s="1020"/>
      <c r="AH218" s="1020"/>
      <c r="AI218" s="1020"/>
      <c r="AJ218" s="1020"/>
      <c r="AK218" s="1020"/>
      <c r="AL218" s="1020"/>
      <c r="AM218" s="1020"/>
      <c r="AN218" s="1020"/>
      <c r="AO218" s="1020"/>
      <c r="AP218" s="1020"/>
      <c r="AQ218" s="1020"/>
      <c r="AR218" s="1020"/>
      <c r="AS218" s="1020"/>
      <c r="AT218" s="1020"/>
      <c r="AU218" s="1020"/>
      <c r="AV218" s="1020"/>
      <c r="AW218" s="1020"/>
      <c r="AX218" s="1020"/>
    </row>
    <row r="219" spans="1:50" ht="13.5" customHeight="1">
      <c r="A219" s="1024"/>
      <c r="B219" s="161"/>
      <c r="C219" s="1024"/>
      <c r="D219" s="1024"/>
      <c r="E219" s="1024"/>
      <c r="F219" s="1024"/>
      <c r="G219" s="1024"/>
      <c r="H219" s="1024"/>
      <c r="I219" s="1024"/>
      <c r="J219" s="1059"/>
      <c r="K219" s="156"/>
      <c r="L219" s="1024"/>
      <c r="M219" s="1033"/>
      <c r="N219" s="1024"/>
      <c r="O219" s="1024"/>
      <c r="P219" s="1024"/>
      <c r="Q219" s="1024"/>
      <c r="R219" s="1020"/>
      <c r="S219" s="1020"/>
      <c r="T219" s="1036"/>
      <c r="U219" s="1036"/>
      <c r="V219" s="1020"/>
      <c r="W219" s="1020"/>
      <c r="X219" s="1020"/>
      <c r="Y219" s="1020"/>
      <c r="Z219" s="1020"/>
      <c r="AA219" s="1020"/>
      <c r="AB219" s="1020"/>
      <c r="AC219" s="1020"/>
      <c r="AD219" s="1020"/>
      <c r="AE219" s="1020"/>
      <c r="AF219" s="1020"/>
      <c r="AG219" s="1020"/>
      <c r="AH219" s="1020"/>
      <c r="AI219" s="1020"/>
      <c r="AJ219" s="1020"/>
      <c r="AK219" s="1020"/>
      <c r="AL219" s="1020"/>
      <c r="AM219" s="1020"/>
      <c r="AN219" s="1020"/>
      <c r="AO219" s="1020"/>
      <c r="AP219" s="1020"/>
      <c r="AQ219" s="1020"/>
      <c r="AR219" s="1020"/>
      <c r="AS219" s="1020"/>
      <c r="AT219" s="1020"/>
      <c r="AU219" s="1020"/>
      <c r="AV219" s="1020"/>
      <c r="AW219" s="1020"/>
      <c r="AX219" s="1020"/>
    </row>
    <row r="220" spans="1:50" ht="12" customHeight="1">
      <c r="A220" s="1024"/>
      <c r="B220" s="161"/>
      <c r="C220" s="1024"/>
      <c r="D220" s="1024"/>
      <c r="E220" s="1024"/>
      <c r="F220" s="1024"/>
      <c r="G220" s="1024"/>
      <c r="H220" s="1024"/>
      <c r="I220" s="1024"/>
      <c r="J220" s="1059"/>
      <c r="K220" s="156"/>
      <c r="L220" s="1024"/>
      <c r="M220" s="1033"/>
      <c r="N220" s="1024"/>
      <c r="O220" s="1024"/>
      <c r="P220" s="1024"/>
      <c r="Q220" s="1024"/>
      <c r="R220" s="1020"/>
      <c r="S220" s="1020"/>
      <c r="T220" s="1036"/>
      <c r="U220" s="1036"/>
      <c r="V220" s="1020"/>
      <c r="W220" s="1020"/>
      <c r="X220" s="1020"/>
      <c r="Y220" s="1020"/>
      <c r="Z220" s="1020"/>
      <c r="AA220" s="1020"/>
      <c r="AB220" s="1020"/>
      <c r="AC220" s="1020"/>
      <c r="AD220" s="1020"/>
      <c r="AE220" s="1020"/>
      <c r="AF220" s="1020"/>
      <c r="AG220" s="1020"/>
      <c r="AH220" s="1020"/>
      <c r="AI220" s="1020"/>
      <c r="AJ220" s="1020"/>
      <c r="AK220" s="1020"/>
      <c r="AL220" s="1020"/>
      <c r="AM220" s="1020"/>
      <c r="AN220" s="1020"/>
      <c r="AO220" s="1020"/>
      <c r="AP220" s="1020"/>
      <c r="AQ220" s="1020"/>
      <c r="AR220" s="1020"/>
      <c r="AS220" s="1020"/>
      <c r="AT220" s="1020"/>
      <c r="AU220" s="1020"/>
      <c r="AV220" s="1020"/>
      <c r="AW220" s="1020"/>
      <c r="AX220" s="1020"/>
    </row>
    <row r="221" spans="1:50" ht="12" customHeight="1">
      <c r="A221" s="1024"/>
      <c r="B221" s="161"/>
      <c r="C221" s="1024"/>
      <c r="D221" s="1024"/>
      <c r="E221" s="1024"/>
      <c r="F221" s="1024"/>
      <c r="G221" s="1024"/>
      <c r="H221" s="1024"/>
      <c r="I221" s="1024"/>
      <c r="J221" s="1059"/>
      <c r="K221" s="156"/>
      <c r="L221" s="1024"/>
      <c r="M221" s="1033"/>
      <c r="N221" s="1024"/>
      <c r="O221" s="1024"/>
      <c r="P221" s="1024"/>
      <c r="Q221" s="1024"/>
      <c r="R221" s="1020"/>
      <c r="S221" s="1020"/>
      <c r="T221" s="1036"/>
      <c r="U221" s="1036"/>
      <c r="V221" s="1020"/>
      <c r="W221" s="1020"/>
      <c r="X221" s="1020"/>
      <c r="Y221" s="1020"/>
      <c r="Z221" s="1020"/>
      <c r="AA221" s="1020"/>
      <c r="AB221" s="1020"/>
      <c r="AC221" s="1020"/>
      <c r="AD221" s="1020"/>
      <c r="AE221" s="1020"/>
      <c r="AF221" s="1020"/>
      <c r="AG221" s="1020"/>
      <c r="AH221" s="1020"/>
      <c r="AI221" s="1020"/>
      <c r="AJ221" s="1020"/>
      <c r="AK221" s="1020"/>
      <c r="AL221" s="1020"/>
      <c r="AM221" s="1020"/>
      <c r="AN221" s="1020"/>
      <c r="AO221" s="1020"/>
      <c r="AP221" s="1020"/>
      <c r="AQ221" s="1020"/>
      <c r="AR221" s="1020"/>
      <c r="AS221" s="1020"/>
      <c r="AT221" s="1020"/>
      <c r="AU221" s="1020"/>
      <c r="AV221" s="1020"/>
      <c r="AW221" s="1020"/>
      <c r="AX221" s="1020"/>
    </row>
    <row r="222" spans="1:50" ht="12" customHeight="1">
      <c r="A222" s="1024"/>
      <c r="B222" s="161"/>
      <c r="C222" s="1024"/>
      <c r="D222" s="1024"/>
      <c r="E222" s="1024"/>
      <c r="F222" s="1024"/>
      <c r="G222" s="1024"/>
      <c r="H222" s="1024"/>
      <c r="I222" s="1024"/>
      <c r="J222" s="1059"/>
      <c r="K222" s="156"/>
      <c r="L222" s="1024"/>
      <c r="M222" s="1033"/>
      <c r="N222" s="1024"/>
      <c r="O222" s="1024"/>
      <c r="P222" s="1024"/>
      <c r="Q222" s="1024"/>
      <c r="R222" s="1020"/>
      <c r="S222" s="1020"/>
      <c r="T222" s="1036"/>
      <c r="U222" s="1036"/>
      <c r="V222" s="1020"/>
      <c r="W222" s="1020"/>
      <c r="X222" s="1020"/>
      <c r="Y222" s="1020"/>
      <c r="Z222" s="1020"/>
      <c r="AA222" s="1020"/>
      <c r="AB222" s="1020"/>
      <c r="AC222" s="1020"/>
      <c r="AD222" s="1020"/>
      <c r="AE222" s="1020"/>
      <c r="AF222" s="1020"/>
      <c r="AG222" s="1020"/>
      <c r="AH222" s="1020"/>
      <c r="AI222" s="1020"/>
      <c r="AJ222" s="1020"/>
      <c r="AK222" s="1020"/>
      <c r="AL222" s="1020"/>
      <c r="AM222" s="1020"/>
      <c r="AN222" s="1020"/>
      <c r="AO222" s="1020"/>
      <c r="AP222" s="1020"/>
      <c r="AQ222" s="1020"/>
      <c r="AR222" s="1020"/>
      <c r="AS222" s="1020"/>
      <c r="AT222" s="1020"/>
      <c r="AU222" s="1020"/>
      <c r="AV222" s="1020"/>
      <c r="AW222" s="1020"/>
      <c r="AX222" s="1020"/>
    </row>
    <row r="223" spans="1:50" ht="12" customHeight="1">
      <c r="A223" s="1024"/>
      <c r="B223" s="161"/>
      <c r="C223" s="1024"/>
      <c r="D223" s="1024"/>
      <c r="E223" s="1024"/>
      <c r="F223" s="1024"/>
      <c r="G223" s="1024"/>
      <c r="H223" s="1024"/>
      <c r="I223" s="1024"/>
      <c r="J223" s="1059"/>
      <c r="K223" s="156"/>
      <c r="L223" s="1024"/>
      <c r="M223" s="1033"/>
      <c r="N223" s="1024"/>
      <c r="O223" s="1024"/>
      <c r="P223" s="1024"/>
      <c r="Q223" s="1024"/>
      <c r="R223" s="1020"/>
      <c r="S223" s="1020"/>
      <c r="T223" s="1036"/>
      <c r="U223" s="1036"/>
      <c r="V223" s="1020"/>
      <c r="W223" s="1020"/>
      <c r="X223" s="1020"/>
      <c r="Y223" s="1020"/>
      <c r="Z223" s="1020"/>
      <c r="AA223" s="1020"/>
      <c r="AB223" s="1020"/>
      <c r="AC223" s="1020"/>
      <c r="AD223" s="1020"/>
      <c r="AE223" s="1020"/>
      <c r="AF223" s="1020"/>
      <c r="AG223" s="1020"/>
      <c r="AH223" s="1020"/>
      <c r="AI223" s="1020"/>
      <c r="AJ223" s="1020"/>
      <c r="AK223" s="1020"/>
      <c r="AL223" s="1020"/>
      <c r="AM223" s="1020"/>
      <c r="AN223" s="1020"/>
      <c r="AO223" s="1020"/>
      <c r="AP223" s="1020"/>
      <c r="AQ223" s="1020"/>
      <c r="AR223" s="1020"/>
      <c r="AS223" s="1020"/>
      <c r="AT223" s="1020"/>
      <c r="AU223" s="1020"/>
      <c r="AV223" s="1020"/>
      <c r="AW223" s="1020"/>
      <c r="AX223" s="1020"/>
    </row>
    <row r="224" spans="1:50" ht="12" customHeight="1">
      <c r="A224" s="1024"/>
      <c r="B224" s="161"/>
      <c r="C224" s="1024"/>
      <c r="D224" s="1024"/>
      <c r="E224" s="1024"/>
      <c r="F224" s="1024"/>
      <c r="G224" s="1024"/>
      <c r="H224" s="1024"/>
      <c r="I224" s="1024"/>
      <c r="J224" s="1059"/>
      <c r="K224" s="156"/>
      <c r="L224" s="1024"/>
      <c r="M224" s="1033"/>
      <c r="N224" s="1024"/>
      <c r="O224" s="1024"/>
      <c r="P224" s="1024"/>
      <c r="Q224" s="1024"/>
      <c r="R224" s="1020"/>
      <c r="S224" s="1020"/>
      <c r="T224" s="1036"/>
      <c r="U224" s="1036"/>
      <c r="V224" s="1020"/>
      <c r="W224" s="1020"/>
      <c r="X224" s="1020"/>
      <c r="Y224" s="1020"/>
      <c r="Z224" s="1020"/>
      <c r="AA224" s="1020"/>
      <c r="AB224" s="1020"/>
      <c r="AC224" s="1020"/>
      <c r="AD224" s="1020"/>
      <c r="AE224" s="1020"/>
      <c r="AF224" s="1020"/>
      <c r="AG224" s="1020"/>
      <c r="AH224" s="1020"/>
      <c r="AI224" s="1020"/>
      <c r="AJ224" s="1020"/>
      <c r="AK224" s="1020"/>
      <c r="AL224" s="1020"/>
      <c r="AM224" s="1020"/>
      <c r="AN224" s="1020"/>
      <c r="AO224" s="1020"/>
      <c r="AP224" s="1020"/>
      <c r="AQ224" s="1020"/>
      <c r="AR224" s="1020"/>
      <c r="AS224" s="1020"/>
      <c r="AT224" s="1020"/>
      <c r="AU224" s="1020"/>
      <c r="AV224" s="1020"/>
      <c r="AW224" s="1020"/>
      <c r="AX224" s="1020"/>
    </row>
    <row r="225" spans="1:50" ht="12" customHeight="1">
      <c r="A225" s="1024"/>
      <c r="B225" s="161"/>
      <c r="C225" s="1024"/>
      <c r="D225" s="1024"/>
      <c r="E225" s="1024"/>
      <c r="F225" s="1024"/>
      <c r="G225" s="1024"/>
      <c r="H225" s="1024"/>
      <c r="I225" s="1024"/>
      <c r="J225" s="1059"/>
      <c r="K225" s="156"/>
      <c r="L225" s="1024"/>
      <c r="M225" s="1033"/>
      <c r="N225" s="1024"/>
      <c r="O225" s="1024"/>
      <c r="P225" s="1024"/>
      <c r="Q225" s="1024"/>
      <c r="R225" s="1020"/>
      <c r="S225" s="1020"/>
      <c r="T225" s="1036"/>
      <c r="U225" s="1036"/>
      <c r="V225" s="1020"/>
      <c r="W225" s="1020"/>
      <c r="X225" s="1020"/>
      <c r="Y225" s="1020"/>
      <c r="Z225" s="1020"/>
      <c r="AA225" s="1020"/>
      <c r="AB225" s="1020"/>
      <c r="AC225" s="1020"/>
      <c r="AD225" s="1020"/>
      <c r="AE225" s="1020"/>
      <c r="AF225" s="1020"/>
      <c r="AG225" s="1020"/>
      <c r="AH225" s="1020"/>
      <c r="AI225" s="1020"/>
      <c r="AJ225" s="1020"/>
      <c r="AK225" s="1020"/>
      <c r="AL225" s="1020"/>
      <c r="AM225" s="1020"/>
      <c r="AN225" s="1020"/>
      <c r="AO225" s="1020"/>
      <c r="AP225" s="1020"/>
      <c r="AQ225" s="1020"/>
      <c r="AR225" s="1020"/>
      <c r="AS225" s="1020"/>
      <c r="AT225" s="1020"/>
      <c r="AU225" s="1020"/>
      <c r="AV225" s="1020"/>
      <c r="AW225" s="1020"/>
      <c r="AX225" s="1020"/>
    </row>
    <row r="226" spans="1:50" ht="12" customHeight="1">
      <c r="A226" s="1024"/>
      <c r="B226" s="161"/>
      <c r="C226" s="1024"/>
      <c r="D226" s="1024"/>
      <c r="E226" s="1024"/>
      <c r="F226" s="1024"/>
      <c r="G226" s="1024"/>
      <c r="H226" s="1024"/>
      <c r="I226" s="1024"/>
      <c r="J226" s="1059"/>
      <c r="K226" s="156"/>
      <c r="L226" s="1024"/>
      <c r="M226" s="1033"/>
      <c r="N226" s="1024"/>
      <c r="O226" s="1024"/>
      <c r="P226" s="1024"/>
      <c r="Q226" s="1024"/>
      <c r="R226" s="1020"/>
      <c r="S226" s="1020"/>
      <c r="T226" s="1036"/>
      <c r="U226" s="1036"/>
      <c r="V226" s="1020"/>
      <c r="W226" s="1020"/>
      <c r="X226" s="1020"/>
      <c r="Y226" s="1020"/>
      <c r="Z226" s="1020"/>
      <c r="AA226" s="1020"/>
      <c r="AB226" s="1020"/>
      <c r="AC226" s="1020"/>
      <c r="AD226" s="1020"/>
      <c r="AE226" s="1020"/>
      <c r="AF226" s="1020"/>
      <c r="AG226" s="1020"/>
      <c r="AH226" s="1020"/>
      <c r="AI226" s="1020"/>
      <c r="AJ226" s="1020"/>
      <c r="AK226" s="1020"/>
      <c r="AL226" s="1020"/>
      <c r="AM226" s="1020"/>
      <c r="AN226" s="1020"/>
      <c r="AO226" s="1020"/>
      <c r="AP226" s="1020"/>
      <c r="AQ226" s="1020"/>
      <c r="AR226" s="1020"/>
      <c r="AS226" s="1020"/>
      <c r="AT226" s="1020"/>
      <c r="AU226" s="1020"/>
      <c r="AV226" s="1020"/>
      <c r="AW226" s="1020"/>
      <c r="AX226" s="1020"/>
    </row>
    <row r="227" spans="1:50" ht="12" customHeight="1">
      <c r="A227" s="1024"/>
      <c r="B227" s="161"/>
      <c r="C227" s="1024"/>
      <c r="D227" s="1024"/>
      <c r="E227" s="1024"/>
      <c r="F227" s="1024"/>
      <c r="G227" s="1024"/>
      <c r="H227" s="1024"/>
      <c r="I227" s="1024"/>
      <c r="J227" s="1059"/>
      <c r="K227" s="156"/>
      <c r="L227" s="1024"/>
      <c r="M227" s="1033"/>
      <c r="N227" s="1024"/>
      <c r="O227" s="1024"/>
      <c r="P227" s="1024"/>
      <c r="Q227" s="1024"/>
      <c r="R227" s="1020"/>
      <c r="S227" s="1020"/>
      <c r="T227" s="1036"/>
      <c r="U227" s="1036"/>
      <c r="V227" s="1020"/>
      <c r="W227" s="1020"/>
      <c r="X227" s="1020"/>
      <c r="Y227" s="1020"/>
      <c r="Z227" s="1020"/>
      <c r="AA227" s="1020"/>
      <c r="AB227" s="1020"/>
      <c r="AC227" s="1020"/>
      <c r="AD227" s="1020"/>
      <c r="AE227" s="1020"/>
      <c r="AF227" s="1020"/>
      <c r="AG227" s="1020"/>
      <c r="AH227" s="1020"/>
      <c r="AI227" s="1020"/>
      <c r="AJ227" s="1020"/>
      <c r="AK227" s="1020"/>
      <c r="AL227" s="1020"/>
      <c r="AM227" s="1020"/>
      <c r="AN227" s="1020"/>
      <c r="AO227" s="1020"/>
      <c r="AP227" s="1020"/>
      <c r="AQ227" s="1020"/>
      <c r="AR227" s="1020"/>
      <c r="AS227" s="1020"/>
      <c r="AT227" s="1020"/>
      <c r="AU227" s="1020"/>
      <c r="AV227" s="1020"/>
      <c r="AW227" s="1020"/>
      <c r="AX227" s="1020"/>
    </row>
    <row r="228" spans="1:50" ht="12" customHeight="1">
      <c r="A228" s="1024"/>
      <c r="B228" s="161"/>
      <c r="C228" s="1024"/>
      <c r="D228" s="1024"/>
      <c r="E228" s="1024"/>
      <c r="F228" s="1024"/>
      <c r="G228" s="1024"/>
      <c r="H228" s="1024"/>
      <c r="I228" s="1024"/>
      <c r="J228" s="1059"/>
      <c r="K228" s="156"/>
      <c r="L228" s="1024"/>
      <c r="M228" s="1033"/>
      <c r="N228" s="1024"/>
      <c r="O228" s="1024"/>
      <c r="P228" s="1024"/>
      <c r="Q228" s="1024"/>
      <c r="R228" s="1020"/>
      <c r="S228" s="1020"/>
      <c r="T228" s="1036"/>
      <c r="U228" s="1036"/>
      <c r="V228" s="1020"/>
      <c r="W228" s="1020"/>
      <c r="X228" s="1020"/>
      <c r="Y228" s="1020"/>
      <c r="Z228" s="1020"/>
      <c r="AA228" s="1020"/>
      <c r="AB228" s="1020"/>
      <c r="AC228" s="1020"/>
      <c r="AD228" s="1020"/>
      <c r="AE228" s="1020"/>
      <c r="AF228" s="1020"/>
      <c r="AG228" s="1020"/>
      <c r="AH228" s="1020"/>
      <c r="AI228" s="1020"/>
      <c r="AJ228" s="1020"/>
      <c r="AK228" s="1020"/>
      <c r="AL228" s="1020"/>
      <c r="AM228" s="1020"/>
      <c r="AN228" s="1020"/>
      <c r="AO228" s="1020"/>
      <c r="AP228" s="1020"/>
      <c r="AQ228" s="1020"/>
      <c r="AR228" s="1020"/>
      <c r="AS228" s="1020"/>
      <c r="AT228" s="1020"/>
      <c r="AU228" s="1020"/>
      <c r="AV228" s="1020"/>
      <c r="AW228" s="1020"/>
      <c r="AX228" s="1020"/>
    </row>
    <row r="229" spans="1:50" ht="12" customHeight="1">
      <c r="A229" s="1024"/>
      <c r="B229" s="161"/>
      <c r="C229" s="1024"/>
      <c r="D229" s="1024"/>
      <c r="E229" s="1024"/>
      <c r="F229" s="1024"/>
      <c r="G229" s="1024"/>
      <c r="H229" s="1024"/>
      <c r="I229" s="1024"/>
      <c r="J229" s="1059"/>
      <c r="K229" s="156"/>
      <c r="L229" s="1024"/>
      <c r="M229" s="1033"/>
      <c r="N229" s="1024"/>
      <c r="O229" s="1024"/>
      <c r="P229" s="1024"/>
      <c r="Q229" s="1024"/>
      <c r="R229" s="1020"/>
      <c r="S229" s="1020"/>
      <c r="T229" s="1036"/>
      <c r="U229" s="1036"/>
      <c r="V229" s="1020"/>
      <c r="W229" s="1020"/>
      <c r="X229" s="1020"/>
      <c r="Y229" s="1020"/>
      <c r="Z229" s="1020"/>
      <c r="AA229" s="1020"/>
      <c r="AB229" s="1020"/>
      <c r="AC229" s="1020"/>
      <c r="AD229" s="1020"/>
      <c r="AE229" s="1020"/>
      <c r="AF229" s="1020"/>
      <c r="AG229" s="1020"/>
      <c r="AH229" s="1020"/>
      <c r="AI229" s="1020"/>
      <c r="AJ229" s="1020"/>
      <c r="AK229" s="1020"/>
      <c r="AL229" s="1020"/>
      <c r="AM229" s="1020"/>
      <c r="AN229" s="1020"/>
      <c r="AO229" s="1020"/>
      <c r="AP229" s="1020"/>
      <c r="AQ229" s="1020"/>
      <c r="AR229" s="1020"/>
      <c r="AS229" s="1020"/>
      <c r="AT229" s="1020"/>
      <c r="AU229" s="1020"/>
      <c r="AV229" s="1020"/>
      <c r="AW229" s="1020"/>
      <c r="AX229" s="1020"/>
    </row>
    <row r="230" spans="1:50" ht="12" customHeight="1">
      <c r="A230" s="1024"/>
      <c r="B230" s="161"/>
      <c r="C230" s="1024"/>
      <c r="D230" s="1024"/>
      <c r="E230" s="1024"/>
      <c r="F230" s="1024"/>
      <c r="G230" s="1024"/>
      <c r="H230" s="1024"/>
      <c r="I230" s="1024"/>
      <c r="J230" s="1059"/>
      <c r="K230" s="156"/>
      <c r="L230" s="1024"/>
      <c r="M230" s="1033"/>
      <c r="N230" s="1024"/>
      <c r="O230" s="1024"/>
      <c r="P230" s="1024"/>
      <c r="Q230" s="1024"/>
      <c r="R230" s="1020"/>
      <c r="S230" s="1020"/>
      <c r="T230" s="1036"/>
      <c r="U230" s="1036"/>
      <c r="V230" s="1020"/>
      <c r="W230" s="1020"/>
      <c r="X230" s="1020"/>
      <c r="Y230" s="1020"/>
      <c r="Z230" s="1020"/>
      <c r="AA230" s="1020"/>
      <c r="AB230" s="1020"/>
      <c r="AC230" s="1020"/>
      <c r="AD230" s="1020"/>
      <c r="AE230" s="1020"/>
      <c r="AF230" s="1020"/>
      <c r="AG230" s="1020"/>
      <c r="AH230" s="1020"/>
      <c r="AI230" s="1020"/>
      <c r="AJ230" s="1020"/>
      <c r="AK230" s="1020"/>
      <c r="AL230" s="1020"/>
      <c r="AM230" s="1020"/>
      <c r="AN230" s="1020"/>
      <c r="AO230" s="1020"/>
      <c r="AP230" s="1020"/>
      <c r="AQ230" s="1020"/>
      <c r="AR230" s="1020"/>
      <c r="AS230" s="1020"/>
      <c r="AT230" s="1020"/>
      <c r="AU230" s="1020"/>
      <c r="AV230" s="1020"/>
      <c r="AW230" s="1020"/>
      <c r="AX230" s="1020"/>
    </row>
    <row r="231" spans="1:50" ht="12" customHeight="1">
      <c r="A231" s="88"/>
      <c r="B231" s="161"/>
      <c r="C231" s="1024"/>
      <c r="D231" s="1024"/>
      <c r="E231" s="1024"/>
      <c r="F231" s="1024"/>
      <c r="G231" s="1024"/>
      <c r="H231" s="1024"/>
      <c r="I231" s="1024"/>
      <c r="J231" s="1059"/>
      <c r="K231" s="156"/>
      <c r="L231" s="1024"/>
      <c r="M231" s="1033"/>
      <c r="N231" s="1024"/>
      <c r="O231" s="1024"/>
      <c r="P231" s="1024"/>
      <c r="Q231" s="1024"/>
      <c r="R231" s="1020"/>
      <c r="S231" s="1020"/>
      <c r="T231" s="1036"/>
      <c r="U231" s="1036"/>
      <c r="V231" s="1020"/>
      <c r="W231" s="1020"/>
      <c r="X231" s="1020"/>
      <c r="Y231" s="1020"/>
      <c r="Z231" s="1020"/>
      <c r="AA231" s="1020"/>
      <c r="AB231" s="1020"/>
      <c r="AC231" s="1020"/>
      <c r="AD231" s="1020"/>
      <c r="AE231" s="1020"/>
      <c r="AF231" s="1020"/>
      <c r="AG231" s="1020"/>
      <c r="AH231" s="1020"/>
      <c r="AI231" s="1020"/>
      <c r="AJ231" s="1020"/>
      <c r="AK231" s="1020"/>
      <c r="AL231" s="1020"/>
      <c r="AM231" s="1020"/>
      <c r="AN231" s="1020"/>
      <c r="AO231" s="1020"/>
      <c r="AP231" s="1020"/>
      <c r="AQ231" s="1020"/>
      <c r="AR231" s="1020"/>
      <c r="AS231" s="1020"/>
      <c r="AT231" s="1020"/>
      <c r="AU231" s="1020"/>
      <c r="AV231" s="1020"/>
      <c r="AW231" s="1020"/>
      <c r="AX231" s="1020"/>
    </row>
    <row r="232" spans="1:50" ht="12" customHeight="1">
      <c r="A232" s="88"/>
      <c r="B232" s="161"/>
      <c r="C232" s="1024"/>
      <c r="D232" s="1024"/>
      <c r="E232" s="1024"/>
      <c r="F232" s="1024"/>
      <c r="G232" s="1024"/>
      <c r="H232" s="1024"/>
      <c r="I232" s="1024"/>
      <c r="J232" s="1059"/>
      <c r="K232" s="156"/>
      <c r="L232" s="1024"/>
      <c r="M232" s="1033"/>
      <c r="N232" s="1024"/>
      <c r="O232" s="1024"/>
      <c r="P232" s="1024"/>
      <c r="Q232" s="1024"/>
      <c r="R232" s="1020"/>
      <c r="S232" s="1020"/>
      <c r="T232" s="1036"/>
      <c r="U232" s="1036"/>
      <c r="V232" s="1020"/>
      <c r="W232" s="1020"/>
      <c r="X232" s="1020"/>
      <c r="Y232" s="1020"/>
      <c r="Z232" s="1020"/>
      <c r="AA232" s="1020"/>
      <c r="AB232" s="1020"/>
      <c r="AC232" s="1020"/>
      <c r="AD232" s="1020"/>
      <c r="AE232" s="1020"/>
      <c r="AF232" s="1020"/>
      <c r="AG232" s="1020"/>
      <c r="AH232" s="1020"/>
      <c r="AI232" s="1020"/>
      <c r="AJ232" s="1020"/>
      <c r="AK232" s="1020"/>
      <c r="AL232" s="1020"/>
      <c r="AM232" s="1020"/>
      <c r="AN232" s="1020"/>
      <c r="AO232" s="1020"/>
      <c r="AP232" s="1020"/>
      <c r="AQ232" s="1020"/>
      <c r="AR232" s="1020"/>
      <c r="AS232" s="1020"/>
      <c r="AT232" s="1020"/>
      <c r="AU232" s="1020"/>
      <c r="AV232" s="1020"/>
      <c r="AW232" s="1020"/>
      <c r="AX232" s="1020"/>
    </row>
    <row r="233" spans="1:50" ht="12" customHeight="1">
      <c r="A233" s="88"/>
      <c r="B233" s="161"/>
      <c r="C233" s="1024"/>
      <c r="D233" s="1024"/>
      <c r="E233" s="1024"/>
      <c r="F233" s="1024"/>
      <c r="G233" s="1024"/>
      <c r="H233" s="1024"/>
      <c r="I233" s="1024"/>
      <c r="J233" s="1059"/>
      <c r="K233" s="156"/>
      <c r="L233" s="1024"/>
      <c r="M233" s="1033"/>
      <c r="N233" s="1024"/>
      <c r="O233" s="1024"/>
      <c r="P233" s="1024"/>
      <c r="Q233" s="1024"/>
      <c r="R233" s="1020"/>
      <c r="S233" s="1020"/>
      <c r="T233" s="1036"/>
      <c r="U233" s="1036"/>
      <c r="V233" s="1020"/>
      <c r="W233" s="1020"/>
      <c r="X233" s="1020"/>
      <c r="Y233" s="1020"/>
      <c r="Z233" s="1020"/>
      <c r="AA233" s="1020"/>
      <c r="AB233" s="1020"/>
      <c r="AC233" s="1020"/>
      <c r="AD233" s="1020"/>
      <c r="AE233" s="1020"/>
      <c r="AF233" s="1020"/>
      <c r="AG233" s="1020"/>
      <c r="AH233" s="1020"/>
      <c r="AI233" s="1020"/>
      <c r="AJ233" s="1020"/>
      <c r="AK233" s="1020"/>
      <c r="AL233" s="1020"/>
      <c r="AM233" s="1020"/>
      <c r="AN233" s="1020"/>
      <c r="AO233" s="1020"/>
      <c r="AP233" s="1020"/>
      <c r="AQ233" s="1020"/>
      <c r="AR233" s="1020"/>
      <c r="AS233" s="1020"/>
      <c r="AT233" s="1020"/>
      <c r="AU233" s="1020"/>
      <c r="AV233" s="1020"/>
      <c r="AW233" s="1020"/>
      <c r="AX233" s="1020"/>
    </row>
    <row r="234" spans="1:50" ht="12" customHeight="1">
      <c r="A234" s="88"/>
      <c r="B234" s="161"/>
      <c r="C234" s="1024"/>
      <c r="D234" s="1024"/>
      <c r="E234" s="1024"/>
      <c r="F234" s="1024"/>
      <c r="G234" s="1024"/>
      <c r="H234" s="1024"/>
      <c r="I234" s="1024"/>
      <c r="J234" s="1059"/>
      <c r="K234" s="156"/>
      <c r="L234" s="1024"/>
      <c r="M234" s="1033"/>
      <c r="N234" s="1024"/>
      <c r="O234" s="1024"/>
      <c r="P234" s="1024"/>
      <c r="Q234" s="1024"/>
      <c r="R234" s="1020"/>
      <c r="S234" s="1020"/>
      <c r="T234" s="1036"/>
      <c r="U234" s="1036"/>
      <c r="V234" s="1020"/>
      <c r="W234" s="1020"/>
      <c r="X234" s="1020"/>
      <c r="Y234" s="1020"/>
      <c r="Z234" s="1020"/>
      <c r="AA234" s="1020"/>
      <c r="AB234" s="1020"/>
      <c r="AC234" s="1020"/>
      <c r="AD234" s="1020"/>
      <c r="AE234" s="1020"/>
      <c r="AF234" s="1020"/>
      <c r="AG234" s="1020"/>
      <c r="AH234" s="1020"/>
      <c r="AI234" s="1020"/>
      <c r="AJ234" s="1020"/>
      <c r="AK234" s="1020"/>
      <c r="AL234" s="1020"/>
      <c r="AM234" s="1020"/>
      <c r="AN234" s="1020"/>
      <c r="AO234" s="1020"/>
      <c r="AP234" s="1020"/>
      <c r="AQ234" s="1020"/>
      <c r="AR234" s="1020"/>
      <c r="AS234" s="1020"/>
      <c r="AT234" s="1020"/>
      <c r="AU234" s="1020"/>
      <c r="AV234" s="1020"/>
      <c r="AW234" s="1020"/>
      <c r="AX234" s="1020"/>
    </row>
    <row r="235" spans="1:50" ht="12" customHeight="1">
      <c r="A235" s="88"/>
      <c r="B235" s="161"/>
      <c r="C235" s="1024"/>
      <c r="D235" s="1024"/>
      <c r="E235" s="1024"/>
      <c r="F235" s="1024"/>
      <c r="G235" s="1024"/>
      <c r="H235" s="1024"/>
      <c r="I235" s="1024"/>
      <c r="J235" s="1059"/>
      <c r="K235" s="156"/>
      <c r="L235" s="1024"/>
      <c r="M235" s="1033"/>
      <c r="N235" s="1024"/>
      <c r="O235" s="1024"/>
      <c r="P235" s="1024"/>
      <c r="Q235" s="1024"/>
      <c r="R235" s="1020"/>
      <c r="S235" s="1020"/>
      <c r="T235" s="1036"/>
      <c r="U235" s="1036"/>
      <c r="V235" s="1020"/>
      <c r="W235" s="1020"/>
      <c r="X235" s="1020"/>
      <c r="Y235" s="1020"/>
      <c r="Z235" s="1020"/>
      <c r="AA235" s="1020"/>
      <c r="AB235" s="1020"/>
      <c r="AC235" s="1020"/>
      <c r="AD235" s="1020"/>
      <c r="AE235" s="1020"/>
      <c r="AF235" s="1020"/>
      <c r="AG235" s="1020"/>
      <c r="AH235" s="1020"/>
      <c r="AI235" s="1020"/>
      <c r="AJ235" s="1020"/>
      <c r="AK235" s="1020"/>
      <c r="AL235" s="1020"/>
      <c r="AM235" s="1020"/>
      <c r="AN235" s="1020"/>
      <c r="AO235" s="1020"/>
      <c r="AP235" s="1020"/>
      <c r="AQ235" s="1020"/>
      <c r="AR235" s="1020"/>
      <c r="AS235" s="1020"/>
      <c r="AT235" s="1020"/>
      <c r="AU235" s="1020"/>
      <c r="AV235" s="1020"/>
      <c r="AW235" s="1020"/>
      <c r="AX235" s="1020"/>
    </row>
    <row r="236" spans="1:50" ht="12" customHeight="1">
      <c r="A236" s="88"/>
      <c r="B236" s="161"/>
      <c r="C236" s="1024"/>
      <c r="D236" s="1024"/>
      <c r="E236" s="1024"/>
      <c r="F236" s="1024"/>
      <c r="G236" s="1024"/>
      <c r="H236" s="1024"/>
      <c r="I236" s="1024"/>
      <c r="J236" s="1059"/>
      <c r="K236" s="156"/>
      <c r="L236" s="1024"/>
      <c r="M236" s="1033"/>
      <c r="N236" s="1024"/>
      <c r="O236" s="1024"/>
      <c r="P236" s="1024"/>
      <c r="Q236" s="1024"/>
      <c r="R236" s="1020"/>
      <c r="S236" s="1020"/>
      <c r="T236" s="1036"/>
      <c r="U236" s="1036"/>
      <c r="V236" s="1020"/>
      <c r="W236" s="1020"/>
      <c r="X236" s="1020"/>
      <c r="Y236" s="1020"/>
      <c r="Z236" s="1020"/>
      <c r="AA236" s="1020"/>
      <c r="AB236" s="1020"/>
      <c r="AC236" s="1020"/>
      <c r="AD236" s="1020"/>
      <c r="AE236" s="1020"/>
      <c r="AF236" s="1020"/>
      <c r="AG236" s="1020"/>
      <c r="AH236" s="1020"/>
      <c r="AI236" s="1020"/>
      <c r="AJ236" s="1020"/>
      <c r="AK236" s="1020"/>
      <c r="AL236" s="1020"/>
      <c r="AM236" s="1020"/>
      <c r="AN236" s="1020"/>
      <c r="AO236" s="1020"/>
      <c r="AP236" s="1020"/>
      <c r="AQ236" s="1020"/>
      <c r="AR236" s="1020"/>
      <c r="AS236" s="1020"/>
      <c r="AT236" s="1020"/>
      <c r="AU236" s="1020"/>
      <c r="AV236" s="1020"/>
      <c r="AW236" s="1020"/>
      <c r="AX236" s="1020"/>
    </row>
    <row r="237" spans="1:50" ht="12" customHeight="1">
      <c r="A237" s="88"/>
      <c r="B237" s="161"/>
      <c r="C237" s="1024"/>
      <c r="D237" s="1024"/>
      <c r="E237" s="1024"/>
      <c r="F237" s="1024"/>
      <c r="G237" s="1024"/>
      <c r="H237" s="1024"/>
      <c r="I237" s="1024"/>
      <c r="J237" s="1024"/>
      <c r="K237" s="156"/>
      <c r="L237" s="1024"/>
      <c r="M237" s="1033"/>
      <c r="N237" s="1024"/>
      <c r="O237" s="1024"/>
      <c r="P237" s="1024"/>
      <c r="Q237" s="1024"/>
      <c r="R237" s="1020"/>
      <c r="S237" s="1020"/>
      <c r="T237" s="1036"/>
      <c r="U237" s="1036"/>
      <c r="V237" s="1020"/>
      <c r="W237" s="1020"/>
      <c r="X237" s="1020"/>
      <c r="Y237" s="1020"/>
      <c r="Z237" s="1020"/>
      <c r="AA237" s="1020"/>
      <c r="AB237" s="1020"/>
      <c r="AC237" s="1020"/>
      <c r="AD237" s="1020"/>
      <c r="AE237" s="1020"/>
      <c r="AF237" s="1020"/>
      <c r="AG237" s="1020"/>
      <c r="AH237" s="1020"/>
      <c r="AI237" s="1020"/>
      <c r="AJ237" s="1020"/>
      <c r="AK237" s="1020"/>
      <c r="AL237" s="1020"/>
      <c r="AM237" s="1020"/>
      <c r="AN237" s="1020"/>
      <c r="AO237" s="1020"/>
      <c r="AP237" s="1020"/>
      <c r="AQ237" s="1020"/>
      <c r="AR237" s="1020"/>
      <c r="AS237" s="1020"/>
      <c r="AT237" s="1020"/>
      <c r="AU237" s="1020"/>
      <c r="AV237" s="1020"/>
      <c r="AW237" s="1020"/>
      <c r="AX237" s="1020"/>
    </row>
    <row r="238" spans="1:50" ht="12" customHeight="1">
      <c r="A238" s="86"/>
      <c r="B238" s="161"/>
      <c r="C238" s="1024"/>
      <c r="D238" s="1024"/>
      <c r="E238" s="1024"/>
      <c r="F238" s="1024"/>
      <c r="G238" s="1024"/>
      <c r="H238" s="1024"/>
      <c r="I238" s="1024"/>
      <c r="J238" s="1024"/>
      <c r="K238" s="156"/>
      <c r="L238" s="1024"/>
      <c r="M238" s="1033"/>
      <c r="N238" s="1024"/>
      <c r="O238" s="1024"/>
      <c r="P238" s="1024"/>
      <c r="Q238" s="1024"/>
      <c r="R238" s="1020"/>
      <c r="S238" s="1020"/>
      <c r="T238" s="1036"/>
      <c r="U238" s="1036"/>
      <c r="V238" s="1020"/>
      <c r="W238" s="1020"/>
      <c r="X238" s="1020"/>
      <c r="Y238" s="1020"/>
      <c r="Z238" s="1020"/>
      <c r="AA238" s="1020"/>
      <c r="AB238" s="1020"/>
      <c r="AC238" s="1020"/>
      <c r="AD238" s="1020"/>
      <c r="AE238" s="1020"/>
      <c r="AF238" s="1020"/>
      <c r="AG238" s="1020"/>
      <c r="AH238" s="1020"/>
      <c r="AI238" s="1020"/>
      <c r="AJ238" s="1020"/>
      <c r="AK238" s="1020"/>
      <c r="AL238" s="1020"/>
      <c r="AM238" s="1020"/>
      <c r="AN238" s="1020"/>
      <c r="AO238" s="1020"/>
      <c r="AP238" s="1020"/>
      <c r="AQ238" s="1020"/>
      <c r="AR238" s="1020"/>
      <c r="AS238" s="1020"/>
      <c r="AT238" s="1020"/>
      <c r="AU238" s="1020"/>
      <c r="AV238" s="1020"/>
      <c r="AW238" s="1020"/>
      <c r="AX238" s="1020"/>
    </row>
    <row r="239" spans="1:50" ht="12" customHeight="1">
      <c r="A239" s="254" t="e">
        <f>(F15-#REF!)*12%</f>
        <v>#REF!</v>
      </c>
      <c r="B239" s="161"/>
      <c r="C239" s="1024"/>
      <c r="D239" s="1024"/>
      <c r="E239" s="1024"/>
      <c r="F239" s="1024"/>
      <c r="G239" s="1024"/>
      <c r="H239" s="1024"/>
      <c r="I239" s="1024"/>
      <c r="J239" s="1024"/>
      <c r="K239" s="156"/>
      <c r="L239" s="1024"/>
      <c r="M239" s="1033"/>
      <c r="N239" s="1024"/>
      <c r="O239" s="1024"/>
      <c r="P239" s="1024"/>
      <c r="Q239" s="1024"/>
      <c r="R239" s="1020"/>
      <c r="S239" s="1020"/>
      <c r="T239" s="1036"/>
      <c r="U239" s="1036"/>
      <c r="V239" s="1020"/>
      <c r="W239" s="1020"/>
      <c r="X239" s="1020"/>
      <c r="Y239" s="1020"/>
      <c r="Z239" s="1020"/>
      <c r="AA239" s="1020"/>
      <c r="AB239" s="1020"/>
      <c r="AC239" s="1020"/>
      <c r="AD239" s="1020"/>
      <c r="AE239" s="1020"/>
      <c r="AF239" s="1020"/>
      <c r="AG239" s="1020"/>
      <c r="AH239" s="1020"/>
      <c r="AI239" s="1020"/>
      <c r="AJ239" s="1020"/>
      <c r="AK239" s="1020"/>
      <c r="AL239" s="1020"/>
      <c r="AM239" s="1020"/>
      <c r="AN239" s="1020"/>
      <c r="AO239" s="1020"/>
      <c r="AP239" s="1020"/>
      <c r="AQ239" s="1020"/>
      <c r="AR239" s="1020"/>
      <c r="AS239" s="1020"/>
      <c r="AT239" s="1020"/>
      <c r="AU239" s="1020"/>
      <c r="AV239" s="1020"/>
      <c r="AW239" s="1020"/>
      <c r="AX239" s="1020"/>
    </row>
    <row r="240" spans="1:50" ht="12" customHeight="1">
      <c r="A240" s="255"/>
      <c r="B240" s="161"/>
      <c r="C240" s="1024"/>
      <c r="D240" s="1024"/>
      <c r="E240" s="1024"/>
      <c r="F240" s="1024"/>
      <c r="G240" s="1024"/>
      <c r="H240" s="1024"/>
      <c r="I240" s="1024"/>
      <c r="J240" s="1024"/>
      <c r="K240" s="156"/>
      <c r="L240" s="1024"/>
      <c r="M240" s="1033"/>
      <c r="N240" s="1024"/>
      <c r="O240" s="1024"/>
      <c r="P240" s="1024"/>
      <c r="Q240" s="1024"/>
      <c r="R240" s="1020"/>
      <c r="S240" s="1020"/>
      <c r="T240" s="1036"/>
      <c r="U240" s="1036"/>
      <c r="V240" s="1020"/>
      <c r="W240" s="1020"/>
      <c r="X240" s="1020"/>
      <c r="Y240" s="1020"/>
      <c r="Z240" s="1020"/>
      <c r="AA240" s="1020"/>
      <c r="AB240" s="1020"/>
      <c r="AC240" s="1020"/>
      <c r="AD240" s="1020"/>
      <c r="AE240" s="1020"/>
      <c r="AF240" s="1020"/>
      <c r="AG240" s="1020"/>
      <c r="AH240" s="1020"/>
      <c r="AI240" s="1020"/>
      <c r="AJ240" s="1020"/>
      <c r="AK240" s="1020"/>
      <c r="AL240" s="1020"/>
      <c r="AM240" s="1020"/>
      <c r="AN240" s="1020"/>
      <c r="AO240" s="1020"/>
      <c r="AP240" s="1020"/>
      <c r="AQ240" s="1020"/>
      <c r="AR240" s="1020"/>
      <c r="AS240" s="1020"/>
      <c r="AT240" s="1020"/>
      <c r="AU240" s="1020"/>
      <c r="AV240" s="1020"/>
      <c r="AW240" s="1020"/>
      <c r="AX240" s="1020"/>
    </row>
    <row r="241" spans="1:50" ht="12" customHeight="1">
      <c r="A241" s="86"/>
      <c r="B241" s="161"/>
      <c r="C241" s="1024"/>
      <c r="D241" s="1024"/>
      <c r="E241" s="1024"/>
      <c r="F241" s="1024"/>
      <c r="G241" s="1024"/>
      <c r="H241" s="1024"/>
      <c r="I241" s="1024"/>
      <c r="J241" s="1024"/>
      <c r="K241" s="156"/>
      <c r="L241" s="1024"/>
      <c r="M241" s="1033"/>
      <c r="N241" s="1024"/>
      <c r="O241" s="1024"/>
      <c r="P241" s="1024"/>
      <c r="Q241" s="1024"/>
      <c r="R241" s="1020"/>
      <c r="S241" s="1020"/>
      <c r="T241" s="1036"/>
      <c r="U241" s="1036"/>
      <c r="V241" s="1020"/>
      <c r="W241" s="1020"/>
      <c r="X241" s="1020"/>
      <c r="Y241" s="1020"/>
      <c r="Z241" s="1020"/>
      <c r="AA241" s="1020"/>
      <c r="AB241" s="1020"/>
      <c r="AC241" s="1020"/>
      <c r="AD241" s="1020"/>
      <c r="AE241" s="1020"/>
      <c r="AF241" s="1020"/>
      <c r="AG241" s="1020"/>
      <c r="AH241" s="1020"/>
      <c r="AI241" s="1020"/>
      <c r="AJ241" s="1020"/>
      <c r="AK241" s="1020"/>
      <c r="AL241" s="1020"/>
      <c r="AM241" s="1020"/>
      <c r="AN241" s="1020"/>
      <c r="AO241" s="1020"/>
      <c r="AP241" s="1020"/>
      <c r="AQ241" s="1020"/>
      <c r="AR241" s="1020"/>
      <c r="AS241" s="1020"/>
      <c r="AT241" s="1020"/>
      <c r="AU241" s="1020"/>
      <c r="AV241" s="1020"/>
      <c r="AW241" s="1020"/>
      <c r="AX241" s="1020"/>
    </row>
    <row r="242" spans="1:50" ht="17.25" customHeight="1">
      <c r="A242" s="1020"/>
      <c r="B242" s="161"/>
      <c r="C242" s="1024"/>
      <c r="D242" s="1024"/>
      <c r="E242" s="1024"/>
      <c r="F242" s="1024"/>
      <c r="G242" s="1024"/>
      <c r="H242" s="1024"/>
      <c r="I242" s="1024"/>
      <c r="J242" s="1024"/>
      <c r="K242" s="156"/>
      <c r="L242" s="1024"/>
      <c r="M242" s="1033"/>
      <c r="N242" s="1024"/>
      <c r="O242" s="1024"/>
      <c r="P242" s="1024"/>
      <c r="Q242" s="1024"/>
      <c r="R242" s="1020"/>
      <c r="S242" s="1020"/>
      <c r="T242" s="1036"/>
      <c r="U242" s="1036"/>
      <c r="V242" s="1020"/>
      <c r="W242" s="1020"/>
      <c r="X242" s="1020"/>
      <c r="Y242" s="1020"/>
      <c r="Z242" s="1020"/>
      <c r="AA242" s="1020"/>
      <c r="AB242" s="1020"/>
      <c r="AC242" s="1020"/>
      <c r="AD242" s="1020"/>
      <c r="AE242" s="1020"/>
      <c r="AF242" s="1020"/>
      <c r="AG242" s="1020"/>
      <c r="AH242" s="1020"/>
      <c r="AI242" s="1020"/>
      <c r="AJ242" s="1020"/>
      <c r="AK242" s="1020"/>
      <c r="AL242" s="1020"/>
      <c r="AM242" s="1020"/>
      <c r="AN242" s="1020"/>
      <c r="AO242" s="1020"/>
      <c r="AP242" s="1020"/>
      <c r="AQ242" s="1020"/>
      <c r="AR242" s="1020"/>
      <c r="AS242" s="1020"/>
      <c r="AT242" s="1020"/>
      <c r="AU242" s="1020"/>
      <c r="AV242" s="1020"/>
      <c r="AW242" s="1020"/>
      <c r="AX242" s="1020"/>
    </row>
    <row r="243" spans="1:50" ht="15.75" customHeight="1">
      <c r="A243" s="1020"/>
      <c r="B243" s="161"/>
      <c r="C243" s="1024"/>
      <c r="D243" s="1024"/>
      <c r="E243" s="1024"/>
      <c r="F243" s="1024"/>
      <c r="G243" s="1024"/>
      <c r="H243" s="1024"/>
      <c r="I243" s="1024"/>
      <c r="J243" s="1024"/>
      <c r="K243" s="156"/>
      <c r="L243" s="1024"/>
      <c r="M243" s="1033"/>
      <c r="N243" s="1024"/>
      <c r="O243" s="1024"/>
      <c r="P243" s="1024"/>
      <c r="Q243" s="1024"/>
      <c r="R243" s="1020"/>
      <c r="S243" s="1020"/>
      <c r="T243" s="1036"/>
      <c r="U243" s="1036"/>
      <c r="V243" s="1020"/>
      <c r="W243" s="1020"/>
      <c r="X243" s="1020"/>
      <c r="Y243" s="1020"/>
      <c r="Z243" s="1020"/>
      <c r="AA243" s="1020"/>
      <c r="AB243" s="1020"/>
      <c r="AC243" s="1020"/>
      <c r="AD243" s="1020"/>
      <c r="AE243" s="1020"/>
      <c r="AF243" s="1020"/>
      <c r="AG243" s="1020"/>
      <c r="AH243" s="1020"/>
      <c r="AI243" s="1020"/>
      <c r="AJ243" s="1020"/>
      <c r="AK243" s="1020"/>
      <c r="AL243" s="1020"/>
      <c r="AM243" s="1020"/>
      <c r="AN243" s="1020"/>
      <c r="AO243" s="1020"/>
      <c r="AP243" s="1020"/>
      <c r="AQ243" s="1020"/>
      <c r="AR243" s="1020"/>
      <c r="AS243" s="1020"/>
      <c r="AT243" s="1020"/>
      <c r="AU243" s="1020"/>
      <c r="AV243" s="1020"/>
      <c r="AW243" s="1020"/>
      <c r="AX243" s="1020"/>
    </row>
    <row r="244" spans="1:50" ht="12.75" customHeight="1">
      <c r="A244" s="1020"/>
      <c r="B244" s="161"/>
      <c r="C244" s="1024"/>
      <c r="D244" s="1024"/>
      <c r="E244" s="1024"/>
      <c r="F244" s="1024"/>
      <c r="G244" s="1024"/>
      <c r="H244" s="1024"/>
      <c r="I244" s="1024"/>
      <c r="J244" s="1024"/>
      <c r="K244" s="156"/>
      <c r="L244" s="1024"/>
      <c r="M244" s="1033"/>
      <c r="N244" s="1024"/>
      <c r="O244" s="1024"/>
      <c r="P244" s="1024"/>
      <c r="Q244" s="1024"/>
      <c r="R244" s="1020"/>
      <c r="S244" s="1020"/>
      <c r="T244" s="1036"/>
      <c r="U244" s="1036"/>
      <c r="V244" s="1020"/>
      <c r="W244" s="1020"/>
      <c r="X244" s="1020"/>
      <c r="Y244" s="1020"/>
      <c r="Z244" s="1020"/>
      <c r="AA244" s="1020"/>
      <c r="AB244" s="1020"/>
      <c r="AC244" s="1020"/>
      <c r="AD244" s="1020"/>
      <c r="AE244" s="1020"/>
      <c r="AF244" s="1020"/>
      <c r="AG244" s="1020"/>
      <c r="AH244" s="1020"/>
      <c r="AI244" s="1020"/>
      <c r="AJ244" s="1020"/>
      <c r="AK244" s="1020"/>
      <c r="AL244" s="1020"/>
      <c r="AM244" s="1020"/>
      <c r="AN244" s="1020"/>
      <c r="AO244" s="1020"/>
      <c r="AP244" s="1020"/>
      <c r="AQ244" s="1020"/>
      <c r="AR244" s="1020"/>
      <c r="AS244" s="1020"/>
      <c r="AT244" s="1020"/>
      <c r="AU244" s="1020"/>
      <c r="AV244" s="1020"/>
      <c r="AW244" s="1020"/>
      <c r="AX244" s="1020"/>
    </row>
    <row r="245" spans="1:50" ht="12.75" customHeight="1">
      <c r="A245" s="1020"/>
      <c r="B245" s="88"/>
      <c r="C245" s="88"/>
      <c r="D245" s="92"/>
      <c r="E245" s="1024"/>
      <c r="F245" s="1024"/>
      <c r="G245" s="1024"/>
      <c r="H245" s="1024"/>
      <c r="I245" s="1024"/>
      <c r="J245" s="1020"/>
      <c r="K245" s="156"/>
      <c r="L245" s="1024"/>
      <c r="M245" s="1033"/>
      <c r="N245" s="1024"/>
      <c r="O245" s="1024"/>
      <c r="P245" s="1024"/>
      <c r="Q245" s="1024"/>
      <c r="R245" s="1020"/>
      <c r="S245" s="1020"/>
      <c r="T245" s="1036"/>
      <c r="U245" s="1036"/>
      <c r="V245" s="1020"/>
      <c r="W245" s="1020"/>
      <c r="X245" s="1020"/>
      <c r="Y245" s="1020"/>
      <c r="Z245" s="1020"/>
      <c r="AA245" s="1020"/>
      <c r="AB245" s="1020"/>
      <c r="AC245" s="1020"/>
      <c r="AD245" s="1020"/>
      <c r="AE245" s="1020"/>
      <c r="AF245" s="1020"/>
      <c r="AG245" s="1020"/>
      <c r="AH245" s="1020"/>
      <c r="AI245" s="1020"/>
      <c r="AJ245" s="1020"/>
      <c r="AK245" s="1020"/>
      <c r="AL245" s="1020"/>
      <c r="AM245" s="1020"/>
      <c r="AN245" s="1020"/>
      <c r="AO245" s="1020"/>
      <c r="AP245" s="1020"/>
      <c r="AQ245" s="1020"/>
      <c r="AR245" s="1020"/>
      <c r="AS245" s="1020"/>
      <c r="AT245" s="1020"/>
      <c r="AU245" s="1020"/>
      <c r="AV245" s="1020"/>
      <c r="AW245" s="1020"/>
      <c r="AX245" s="1020"/>
    </row>
    <row r="246" spans="1:50" ht="12.75" customHeight="1">
      <c r="A246" s="1020"/>
      <c r="B246" s="88"/>
      <c r="C246" s="88"/>
      <c r="D246" s="92"/>
      <c r="E246" s="1024"/>
      <c r="F246" s="1024"/>
      <c r="G246" s="1024"/>
      <c r="H246" s="1024"/>
      <c r="I246" s="1024"/>
      <c r="J246" s="1020"/>
      <c r="K246" s="156"/>
      <c r="L246" s="1024"/>
      <c r="M246" s="1033"/>
      <c r="N246" s="1024"/>
      <c r="O246" s="1024"/>
      <c r="P246" s="1024"/>
      <c r="Q246" s="1024"/>
      <c r="R246" s="1020"/>
      <c r="S246" s="1020"/>
      <c r="T246" s="1036"/>
      <c r="U246" s="1036"/>
      <c r="V246" s="1020"/>
      <c r="W246" s="1020"/>
      <c r="X246" s="1020"/>
      <c r="Y246" s="1020"/>
      <c r="Z246" s="1020"/>
      <c r="AA246" s="1020"/>
      <c r="AB246" s="1020"/>
      <c r="AC246" s="1020"/>
      <c r="AD246" s="1020"/>
      <c r="AE246" s="1020"/>
      <c r="AF246" s="1020"/>
      <c r="AG246" s="1020"/>
      <c r="AH246" s="1020"/>
      <c r="AI246" s="1020"/>
      <c r="AJ246" s="1020"/>
      <c r="AK246" s="1020"/>
      <c r="AL246" s="1020"/>
      <c r="AM246" s="1020"/>
      <c r="AN246" s="1020"/>
      <c r="AO246" s="1020"/>
      <c r="AP246" s="1020"/>
      <c r="AQ246" s="1020"/>
      <c r="AR246" s="1020"/>
      <c r="AS246" s="1020"/>
      <c r="AT246" s="1020"/>
      <c r="AU246" s="1020"/>
      <c r="AV246" s="1020"/>
      <c r="AW246" s="1020"/>
      <c r="AX246" s="1020"/>
    </row>
    <row r="247" spans="1:50" ht="12.75" customHeight="1">
      <c r="A247" s="1020"/>
      <c r="B247" s="88"/>
      <c r="C247" s="88"/>
      <c r="D247" s="92"/>
      <c r="E247" s="1024"/>
      <c r="F247" s="1024"/>
      <c r="G247" s="1024"/>
      <c r="H247" s="1024"/>
      <c r="I247" s="1024"/>
      <c r="J247" s="186"/>
      <c r="K247" s="156"/>
      <c r="L247" s="1024"/>
      <c r="M247" s="1033"/>
      <c r="N247" s="1024"/>
      <c r="O247" s="1024"/>
      <c r="P247" s="1024"/>
      <c r="Q247" s="1024"/>
      <c r="R247" s="1020"/>
      <c r="S247" s="1020"/>
      <c r="T247" s="1036"/>
      <c r="U247" s="1036"/>
      <c r="V247" s="1020"/>
      <c r="W247" s="1020"/>
      <c r="X247" s="1020"/>
      <c r="Y247" s="1020"/>
      <c r="Z247" s="1020"/>
      <c r="AA247" s="1020"/>
      <c r="AB247" s="1020"/>
      <c r="AC247" s="1020"/>
      <c r="AD247" s="1020"/>
      <c r="AE247" s="1020"/>
      <c r="AF247" s="1020"/>
      <c r="AG247" s="1020"/>
      <c r="AH247" s="1020"/>
      <c r="AI247" s="1020"/>
      <c r="AJ247" s="1020"/>
      <c r="AK247" s="1020"/>
      <c r="AL247" s="1020"/>
      <c r="AM247" s="1020"/>
      <c r="AN247" s="1020"/>
      <c r="AO247" s="1020"/>
      <c r="AP247" s="1020"/>
      <c r="AQ247" s="1020"/>
      <c r="AR247" s="1020"/>
      <c r="AS247" s="1020"/>
      <c r="AT247" s="1020"/>
      <c r="AU247" s="1020"/>
      <c r="AV247" s="1020"/>
      <c r="AW247" s="1020"/>
      <c r="AX247" s="1020"/>
    </row>
    <row r="248" spans="1:50" ht="12.75" customHeight="1">
      <c r="A248" s="1020"/>
      <c r="B248" s="88"/>
      <c r="C248" s="88"/>
      <c r="D248" s="92"/>
      <c r="E248" s="1024"/>
      <c r="F248" s="1024"/>
      <c r="G248" s="1024"/>
      <c r="H248" s="1024"/>
      <c r="I248" s="1024"/>
      <c r="J248" s="182"/>
      <c r="K248" s="156"/>
      <c r="L248" s="1024"/>
      <c r="M248" s="1033"/>
      <c r="N248" s="1024"/>
      <c r="O248" s="1024"/>
      <c r="P248" s="1024"/>
      <c r="Q248" s="1024"/>
      <c r="R248" s="1020"/>
      <c r="S248" s="1020"/>
      <c r="T248" s="1036"/>
      <c r="U248" s="1036"/>
      <c r="V248" s="1020"/>
      <c r="W248" s="1020"/>
      <c r="X248" s="1020"/>
      <c r="Y248" s="1020"/>
      <c r="Z248" s="1020"/>
      <c r="AA248" s="1020"/>
      <c r="AB248" s="1020"/>
      <c r="AC248" s="1020"/>
      <c r="AD248" s="1020"/>
      <c r="AE248" s="1020"/>
      <c r="AF248" s="1020"/>
      <c r="AG248" s="1020"/>
      <c r="AH248" s="1020"/>
      <c r="AI248" s="1020"/>
      <c r="AJ248" s="1020"/>
      <c r="AK248" s="1020"/>
      <c r="AL248" s="1020"/>
      <c r="AM248" s="1020"/>
      <c r="AN248" s="1020"/>
      <c r="AO248" s="1020"/>
      <c r="AP248" s="1020"/>
      <c r="AQ248" s="1020"/>
      <c r="AR248" s="1020"/>
      <c r="AS248" s="1020"/>
      <c r="AT248" s="1020"/>
      <c r="AU248" s="1020"/>
      <c r="AV248" s="1020"/>
      <c r="AW248" s="1020"/>
      <c r="AX248" s="1020"/>
    </row>
    <row r="249" spans="1:50" ht="12.75" customHeight="1">
      <c r="A249" s="1020"/>
      <c r="B249" s="88"/>
      <c r="C249" s="88"/>
      <c r="D249" s="88"/>
      <c r="E249" s="1024"/>
      <c r="F249" s="1027"/>
      <c r="G249" s="1027"/>
      <c r="H249" s="1027"/>
      <c r="I249" s="1027"/>
      <c r="J249" s="170"/>
      <c r="K249" s="156"/>
      <c r="L249" s="1024"/>
      <c r="M249" s="1033"/>
      <c r="N249" s="1024"/>
      <c r="O249" s="1024"/>
      <c r="P249" s="1024"/>
      <c r="Q249" s="1024"/>
      <c r="R249" s="1020"/>
      <c r="S249" s="1020"/>
      <c r="T249" s="1036"/>
      <c r="U249" s="1036"/>
      <c r="V249" s="1020"/>
      <c r="W249" s="1020"/>
      <c r="X249" s="1020"/>
      <c r="Y249" s="1020"/>
      <c r="Z249" s="1020"/>
      <c r="AA249" s="1020"/>
      <c r="AB249" s="1020"/>
      <c r="AC249" s="1020"/>
      <c r="AD249" s="1020"/>
      <c r="AE249" s="1020"/>
      <c r="AF249" s="1020"/>
      <c r="AG249" s="1020"/>
      <c r="AH249" s="1020"/>
      <c r="AI249" s="1020"/>
      <c r="AJ249" s="1020"/>
      <c r="AK249" s="1020"/>
      <c r="AL249" s="1020"/>
      <c r="AM249" s="1020"/>
      <c r="AN249" s="1020"/>
      <c r="AO249" s="1020"/>
      <c r="AP249" s="1020"/>
      <c r="AQ249" s="1020"/>
      <c r="AR249" s="1020"/>
      <c r="AS249" s="1020"/>
      <c r="AT249" s="1020"/>
      <c r="AU249" s="1020"/>
      <c r="AV249" s="1020"/>
      <c r="AW249" s="1020"/>
      <c r="AX249" s="1020"/>
    </row>
    <row r="250" spans="1:50" ht="12.75" customHeight="1">
      <c r="A250" s="1020"/>
      <c r="B250" s="88"/>
      <c r="C250" s="88"/>
      <c r="D250" s="88"/>
      <c r="E250" s="1024"/>
      <c r="F250" s="1024"/>
      <c r="G250" s="1024"/>
      <c r="H250" s="1024"/>
      <c r="I250" s="1024"/>
      <c r="J250" s="182"/>
      <c r="K250" s="156"/>
      <c r="L250" s="1024"/>
      <c r="M250" s="1033"/>
      <c r="N250" s="1024"/>
      <c r="O250" s="1024"/>
      <c r="P250" s="1024"/>
      <c r="Q250" s="1024"/>
      <c r="R250" s="1020"/>
      <c r="S250" s="1020"/>
      <c r="T250" s="1036"/>
      <c r="U250" s="1036"/>
      <c r="V250" s="1020"/>
      <c r="W250" s="1020"/>
      <c r="X250" s="1020"/>
      <c r="Y250" s="1020"/>
      <c r="Z250" s="1020"/>
      <c r="AA250" s="1020"/>
      <c r="AB250" s="1020"/>
      <c r="AC250" s="1020"/>
      <c r="AD250" s="1020"/>
      <c r="AE250" s="1020"/>
      <c r="AF250" s="1020"/>
      <c r="AG250" s="1020"/>
      <c r="AH250" s="1020"/>
      <c r="AI250" s="1020"/>
      <c r="AJ250" s="1020"/>
      <c r="AK250" s="1020"/>
      <c r="AL250" s="1020"/>
      <c r="AM250" s="1020"/>
      <c r="AN250" s="1020"/>
      <c r="AO250" s="1020"/>
      <c r="AP250" s="1020"/>
      <c r="AQ250" s="1020"/>
      <c r="AR250" s="1020"/>
      <c r="AS250" s="1020"/>
      <c r="AT250" s="1020"/>
      <c r="AU250" s="1020"/>
      <c r="AV250" s="1020"/>
      <c r="AW250" s="1020"/>
      <c r="AX250" s="1020"/>
    </row>
    <row r="251" spans="1:50" ht="12.75" customHeight="1">
      <c r="A251" s="1020"/>
      <c r="B251" s="88"/>
      <c r="C251" s="88"/>
      <c r="D251" s="180"/>
      <c r="E251" s="181"/>
      <c r="F251" s="181"/>
      <c r="G251" s="181"/>
      <c r="H251" s="181"/>
      <c r="I251" s="182"/>
      <c r="J251" s="185"/>
      <c r="K251" s="156"/>
      <c r="L251" s="1024"/>
      <c r="M251" s="1033"/>
      <c r="N251" s="1024"/>
      <c r="O251" s="1024"/>
      <c r="P251" s="1024"/>
      <c r="Q251" s="1024"/>
      <c r="R251" s="1020"/>
      <c r="S251" s="1020"/>
      <c r="T251" s="1036"/>
      <c r="U251" s="1036"/>
      <c r="V251" s="1020"/>
      <c r="W251" s="1020"/>
      <c r="X251" s="1020"/>
      <c r="Y251" s="1020"/>
      <c r="Z251" s="1020"/>
      <c r="AA251" s="1020"/>
      <c r="AB251" s="1020"/>
      <c r="AC251" s="1020"/>
      <c r="AD251" s="1020"/>
      <c r="AE251" s="1020"/>
      <c r="AF251" s="1020"/>
      <c r="AG251" s="1020"/>
      <c r="AH251" s="1020"/>
      <c r="AI251" s="1020"/>
      <c r="AJ251" s="1020"/>
      <c r="AK251" s="1020"/>
      <c r="AL251" s="1020"/>
      <c r="AM251" s="1020"/>
      <c r="AN251" s="1020"/>
      <c r="AO251" s="1020"/>
      <c r="AP251" s="1020"/>
      <c r="AQ251" s="1020"/>
      <c r="AR251" s="1020"/>
      <c r="AS251" s="1020"/>
      <c r="AT251" s="1020"/>
      <c r="AU251" s="1020"/>
      <c r="AV251" s="1020"/>
      <c r="AW251" s="1020"/>
      <c r="AX251" s="1020"/>
    </row>
    <row r="252" spans="1:50" ht="12.75" customHeight="1">
      <c r="A252" s="1020"/>
      <c r="B252" s="88"/>
      <c r="C252" s="88"/>
      <c r="D252" s="180"/>
      <c r="E252" s="181"/>
      <c r="F252" s="181"/>
      <c r="G252" s="181"/>
      <c r="H252" s="181"/>
      <c r="I252" s="170"/>
      <c r="J252" s="1020"/>
      <c r="K252" s="156"/>
      <c r="L252" s="1024"/>
      <c r="M252" s="1033"/>
      <c r="N252" s="1024"/>
      <c r="O252" s="1024"/>
      <c r="P252" s="1024"/>
      <c r="Q252" s="1024"/>
      <c r="R252" s="1020"/>
      <c r="S252" s="1020"/>
      <c r="T252" s="1036"/>
      <c r="U252" s="1036"/>
      <c r="V252" s="1020"/>
      <c r="W252" s="1020"/>
      <c r="X252" s="1020"/>
      <c r="Y252" s="1020"/>
      <c r="Z252" s="1020"/>
      <c r="AA252" s="1020"/>
      <c r="AB252" s="1020"/>
      <c r="AC252" s="1020"/>
      <c r="AD252" s="1020"/>
      <c r="AE252" s="1020"/>
      <c r="AF252" s="1020"/>
      <c r="AG252" s="1020"/>
      <c r="AH252" s="1020"/>
      <c r="AI252" s="1020"/>
      <c r="AJ252" s="1020"/>
      <c r="AK252" s="1020"/>
      <c r="AL252" s="1020"/>
      <c r="AM252" s="1020"/>
      <c r="AN252" s="1020"/>
      <c r="AO252" s="1020"/>
      <c r="AP252" s="1020"/>
      <c r="AQ252" s="1020"/>
      <c r="AR252" s="1020"/>
      <c r="AS252" s="1020"/>
      <c r="AT252" s="1020"/>
      <c r="AU252" s="1020"/>
      <c r="AV252" s="1020"/>
      <c r="AW252" s="1020"/>
      <c r="AX252" s="1020"/>
    </row>
    <row r="253" spans="1:50" ht="12.75" customHeight="1">
      <c r="A253" s="1020"/>
      <c r="B253" s="254"/>
      <c r="C253" s="86"/>
      <c r="D253" s="183"/>
      <c r="E253" s="1070"/>
      <c r="F253" s="184"/>
      <c r="G253" s="184"/>
      <c r="H253" s="184"/>
      <c r="I253" s="182"/>
      <c r="J253" s="1020"/>
      <c r="K253" s="156"/>
      <c r="L253" s="1024"/>
      <c r="M253" s="1033"/>
      <c r="N253" s="1024"/>
      <c r="O253" s="1024"/>
      <c r="P253" s="1024"/>
      <c r="Q253" s="1024"/>
      <c r="R253" s="1020"/>
      <c r="S253" s="1020"/>
      <c r="T253" s="1036"/>
      <c r="U253" s="1036"/>
      <c r="V253" s="1020"/>
      <c r="W253" s="1020"/>
      <c r="X253" s="1020"/>
      <c r="Y253" s="1020"/>
      <c r="Z253" s="1020"/>
      <c r="AA253" s="1020"/>
      <c r="AB253" s="1020"/>
      <c r="AC253" s="1020"/>
      <c r="AD253" s="1020"/>
      <c r="AE253" s="1020"/>
      <c r="AF253" s="1020"/>
      <c r="AG253" s="1020"/>
      <c r="AH253" s="1020"/>
      <c r="AI253" s="1020"/>
      <c r="AJ253" s="1020"/>
      <c r="AK253" s="1020"/>
      <c r="AL253" s="1020"/>
      <c r="AM253" s="1020"/>
      <c r="AN253" s="1020"/>
      <c r="AO253" s="1020"/>
      <c r="AP253" s="1020"/>
      <c r="AQ253" s="1020"/>
      <c r="AR253" s="1020"/>
      <c r="AS253" s="1020"/>
      <c r="AT253" s="1020"/>
      <c r="AU253" s="1020"/>
      <c r="AV253" s="1020"/>
      <c r="AW253" s="1020"/>
      <c r="AX253" s="1020"/>
    </row>
    <row r="254" spans="1:50" ht="12.75" customHeight="1">
      <c r="A254" s="1020"/>
      <c r="B254" s="86"/>
      <c r="C254" s="86"/>
      <c r="D254" s="183"/>
      <c r="E254" s="1020"/>
      <c r="F254" s="184"/>
      <c r="G254" s="184"/>
      <c r="H254" s="184"/>
      <c r="I254" s="185"/>
      <c r="J254" s="1020"/>
      <c r="K254" s="156"/>
      <c r="L254" s="1024"/>
      <c r="M254" s="1033"/>
      <c r="N254" s="1024"/>
      <c r="O254" s="1024"/>
      <c r="P254" s="1024"/>
      <c r="Q254" s="1024"/>
      <c r="R254" s="1020"/>
      <c r="S254" s="1020"/>
      <c r="T254" s="1036"/>
      <c r="U254" s="1036"/>
      <c r="V254" s="1020"/>
      <c r="W254" s="1020"/>
      <c r="X254" s="1020"/>
      <c r="Y254" s="1020"/>
      <c r="Z254" s="1020"/>
      <c r="AA254" s="1020"/>
      <c r="AB254" s="1020"/>
      <c r="AC254" s="1020"/>
      <c r="AD254" s="1020"/>
      <c r="AE254" s="1020"/>
      <c r="AF254" s="1020"/>
      <c r="AG254" s="1020"/>
      <c r="AH254" s="1020"/>
      <c r="AI254" s="1020"/>
      <c r="AJ254" s="1020"/>
      <c r="AK254" s="1020"/>
      <c r="AL254" s="1020"/>
      <c r="AM254" s="1020"/>
      <c r="AN254" s="1020"/>
      <c r="AO254" s="1020"/>
      <c r="AP254" s="1020"/>
      <c r="AQ254" s="1020"/>
      <c r="AR254" s="1020"/>
      <c r="AS254" s="1020"/>
      <c r="AT254" s="1020"/>
      <c r="AU254" s="1020"/>
      <c r="AV254" s="1020"/>
      <c r="AW254" s="1020"/>
      <c r="AX254" s="1020"/>
    </row>
    <row r="255" spans="1:50" ht="12.75" customHeight="1">
      <c r="A255" s="1020"/>
      <c r="B255" s="86"/>
      <c r="C255" s="86"/>
      <c r="D255" s="183"/>
      <c r="E255" s="1070"/>
      <c r="F255" s="1070"/>
      <c r="G255" s="1070"/>
      <c r="H255" s="1070"/>
      <c r="I255" s="1020"/>
      <c r="J255" s="1020"/>
      <c r="K255" s="156"/>
      <c r="L255" s="1024"/>
      <c r="M255" s="1033"/>
      <c r="N255" s="1024"/>
      <c r="O255" s="1024"/>
      <c r="P255" s="1024"/>
      <c r="Q255" s="1024"/>
      <c r="R255" s="1020"/>
      <c r="S255" s="1020"/>
      <c r="T255" s="1036"/>
      <c r="U255" s="1036"/>
      <c r="V255" s="1020"/>
      <c r="W255" s="1020"/>
      <c r="X255" s="1020"/>
      <c r="Y255" s="1020"/>
      <c r="Z255" s="1020"/>
      <c r="AA255" s="1020"/>
      <c r="AB255" s="1020"/>
      <c r="AC255" s="1020"/>
      <c r="AD255" s="1020"/>
      <c r="AE255" s="1020"/>
      <c r="AF255" s="1020"/>
      <c r="AG255" s="1020"/>
      <c r="AH255" s="1020"/>
      <c r="AI255" s="1020"/>
      <c r="AJ255" s="1020"/>
      <c r="AK255" s="1020"/>
      <c r="AL255" s="1020"/>
      <c r="AM255" s="1020"/>
      <c r="AN255" s="1020"/>
      <c r="AO255" s="1020"/>
      <c r="AP255" s="1020"/>
      <c r="AQ255" s="1020"/>
      <c r="AR255" s="1020"/>
      <c r="AS255" s="1020"/>
      <c r="AT255" s="1020"/>
      <c r="AU255" s="1020"/>
      <c r="AV255" s="1020"/>
      <c r="AW255" s="1020"/>
      <c r="AX255" s="1020"/>
    </row>
    <row r="256" spans="1:50" ht="12.75" customHeight="1">
      <c r="A256" s="1020"/>
      <c r="B256" s="1020"/>
      <c r="C256" s="1020"/>
      <c r="D256" s="1071"/>
      <c r="E256" s="1070"/>
      <c r="F256" s="1070"/>
      <c r="G256" s="1070"/>
      <c r="H256" s="1070"/>
      <c r="I256" s="1020"/>
      <c r="J256" s="1020"/>
      <c r="K256" s="156"/>
      <c r="L256" s="1024"/>
      <c r="M256" s="1033"/>
      <c r="N256" s="1024"/>
      <c r="O256" s="1024"/>
      <c r="P256" s="1024"/>
      <c r="Q256" s="1024"/>
      <c r="R256" s="1020"/>
      <c r="S256" s="1020"/>
      <c r="T256" s="1036"/>
      <c r="U256" s="1036"/>
      <c r="V256" s="1020"/>
      <c r="W256" s="1020"/>
      <c r="X256" s="1020"/>
      <c r="Y256" s="1020"/>
      <c r="Z256" s="1020"/>
      <c r="AA256" s="1020"/>
      <c r="AB256" s="1020"/>
      <c r="AC256" s="1020"/>
      <c r="AD256" s="1020"/>
      <c r="AE256" s="1020"/>
      <c r="AF256" s="1020"/>
      <c r="AG256" s="1020"/>
      <c r="AH256" s="1020"/>
      <c r="AI256" s="1020"/>
      <c r="AJ256" s="1020"/>
      <c r="AK256" s="1020"/>
      <c r="AL256" s="1020"/>
      <c r="AM256" s="1020"/>
      <c r="AN256" s="1020"/>
      <c r="AO256" s="1020"/>
      <c r="AP256" s="1020"/>
      <c r="AQ256" s="1020"/>
      <c r="AR256" s="1020"/>
      <c r="AS256" s="1020"/>
      <c r="AT256" s="1020"/>
      <c r="AU256" s="1020"/>
      <c r="AV256" s="1020"/>
      <c r="AW256" s="1020"/>
      <c r="AX256" s="1020"/>
    </row>
    <row r="257" spans="4:50" ht="12.75" customHeight="1">
      <c r="D257" s="1071"/>
      <c r="E257" s="1070"/>
      <c r="F257" s="1070"/>
      <c r="G257" s="1070"/>
      <c r="H257" s="1070"/>
      <c r="I257" s="1020"/>
      <c r="J257" s="1020"/>
      <c r="K257" s="156"/>
      <c r="L257" s="1024"/>
      <c r="M257" s="1033"/>
      <c r="N257" s="1024"/>
      <c r="O257" s="1024"/>
      <c r="P257" s="1024"/>
      <c r="Q257" s="1024"/>
      <c r="R257" s="1020"/>
      <c r="S257" s="1020"/>
      <c r="T257" s="1036"/>
      <c r="U257" s="1036"/>
      <c r="V257" s="1020"/>
      <c r="W257" s="1020"/>
      <c r="X257" s="1020"/>
      <c r="Y257" s="1020"/>
      <c r="Z257" s="1020"/>
      <c r="AA257" s="1020"/>
      <c r="AB257" s="1020"/>
      <c r="AC257" s="1020"/>
      <c r="AD257" s="1020"/>
      <c r="AE257" s="1020"/>
      <c r="AF257" s="1020"/>
      <c r="AG257" s="1020"/>
      <c r="AH257" s="1020"/>
      <c r="AI257" s="1020"/>
      <c r="AJ257" s="1020"/>
      <c r="AK257" s="1020"/>
      <c r="AL257" s="1020"/>
      <c r="AM257" s="1020"/>
      <c r="AN257" s="1020"/>
      <c r="AO257" s="1020"/>
      <c r="AP257" s="1020"/>
      <c r="AQ257" s="1020"/>
      <c r="AR257" s="1020"/>
      <c r="AS257" s="1020"/>
      <c r="AT257" s="1020"/>
      <c r="AU257" s="1020"/>
      <c r="AV257" s="1020"/>
      <c r="AW257" s="1020"/>
      <c r="AX257" s="1020"/>
    </row>
    <row r="258" spans="4:50" ht="12.75" customHeight="1">
      <c r="D258" s="1071"/>
      <c r="E258" s="1070"/>
      <c r="F258" s="1070"/>
      <c r="G258" s="1070"/>
      <c r="H258" s="1070"/>
      <c r="I258" s="1020"/>
      <c r="J258" s="1020"/>
      <c r="K258" s="156"/>
      <c r="L258" s="1024"/>
      <c r="M258" s="1033"/>
      <c r="N258" s="1024"/>
      <c r="O258" s="1024"/>
      <c r="P258" s="1024"/>
      <c r="Q258" s="1024"/>
      <c r="R258" s="1020"/>
      <c r="S258" s="1020"/>
      <c r="T258" s="1036"/>
      <c r="U258" s="1036"/>
      <c r="V258" s="1020"/>
      <c r="W258" s="1020"/>
      <c r="X258" s="1020"/>
      <c r="Y258" s="1020"/>
      <c r="Z258" s="1020"/>
      <c r="AA258" s="1020"/>
      <c r="AB258" s="1020"/>
      <c r="AC258" s="1020"/>
      <c r="AD258" s="1020"/>
      <c r="AE258" s="1020"/>
      <c r="AF258" s="1020"/>
      <c r="AG258" s="1020"/>
      <c r="AH258" s="1020"/>
      <c r="AI258" s="1020"/>
      <c r="AJ258" s="1020"/>
      <c r="AK258" s="1020"/>
      <c r="AL258" s="1020"/>
      <c r="AM258" s="1020"/>
      <c r="AN258" s="1020"/>
      <c r="AO258" s="1020"/>
      <c r="AP258" s="1020"/>
      <c r="AQ258" s="1020"/>
      <c r="AR258" s="1020"/>
      <c r="AS258" s="1020"/>
      <c r="AT258" s="1020"/>
      <c r="AU258" s="1020"/>
      <c r="AV258" s="1020"/>
      <c r="AW258" s="1020"/>
      <c r="AX258" s="1020"/>
    </row>
    <row r="259" spans="4:50" ht="12.75" customHeight="1">
      <c r="D259" s="1071"/>
      <c r="E259" s="1070"/>
      <c r="F259" s="1070"/>
      <c r="G259" s="1070"/>
      <c r="H259" s="1070"/>
      <c r="I259" s="1020"/>
      <c r="J259" s="1020"/>
      <c r="K259" s="156"/>
      <c r="L259" s="1024"/>
      <c r="M259" s="1033"/>
      <c r="N259" s="1024"/>
      <c r="O259" s="1024"/>
      <c r="P259" s="1024"/>
      <c r="Q259" s="1024"/>
      <c r="R259" s="1020"/>
      <c r="S259" s="1020"/>
      <c r="T259" s="1036"/>
      <c r="U259" s="1036"/>
      <c r="V259" s="1020"/>
      <c r="W259" s="1020"/>
      <c r="X259" s="1020"/>
      <c r="Y259" s="1020"/>
      <c r="Z259" s="1020"/>
      <c r="AA259" s="1020"/>
      <c r="AB259" s="1020"/>
      <c r="AC259" s="1020"/>
      <c r="AD259" s="1020"/>
      <c r="AE259" s="1020"/>
      <c r="AF259" s="1020"/>
      <c r="AG259" s="1020"/>
      <c r="AH259" s="1020"/>
      <c r="AI259" s="1020"/>
      <c r="AJ259" s="1020"/>
      <c r="AK259" s="1020"/>
      <c r="AL259" s="1020"/>
      <c r="AM259" s="1020"/>
      <c r="AN259" s="1020"/>
      <c r="AO259" s="1020"/>
      <c r="AP259" s="1020"/>
      <c r="AQ259" s="1020"/>
      <c r="AR259" s="1020"/>
      <c r="AS259" s="1020"/>
      <c r="AT259" s="1020"/>
      <c r="AU259" s="1020"/>
      <c r="AV259" s="1020"/>
      <c r="AW259" s="1020"/>
      <c r="AX259" s="1020"/>
    </row>
    <row r="260" spans="4:50" ht="12.75" customHeight="1">
      <c r="D260" s="1071"/>
      <c r="E260" s="1070"/>
      <c r="F260" s="1070"/>
      <c r="G260" s="1070"/>
      <c r="H260" s="1070"/>
      <c r="I260" s="1020"/>
      <c r="J260" s="1020"/>
      <c r="K260" s="156"/>
      <c r="L260" s="1024"/>
      <c r="M260" s="1033"/>
      <c r="N260" s="1024"/>
      <c r="O260" s="1024"/>
      <c r="P260" s="1024"/>
      <c r="Q260" s="1024"/>
      <c r="R260" s="1020"/>
      <c r="S260" s="1020"/>
      <c r="T260" s="1036"/>
      <c r="U260" s="1036"/>
      <c r="V260" s="1020"/>
      <c r="W260" s="1020"/>
      <c r="X260" s="1020"/>
      <c r="Y260" s="1020"/>
      <c r="Z260" s="1020"/>
      <c r="AA260" s="1020"/>
      <c r="AB260" s="1020"/>
      <c r="AC260" s="1020"/>
      <c r="AD260" s="1020"/>
      <c r="AE260" s="1020"/>
      <c r="AF260" s="1020"/>
      <c r="AG260" s="1020"/>
      <c r="AH260" s="1020"/>
      <c r="AI260" s="1020"/>
      <c r="AJ260" s="1020"/>
      <c r="AK260" s="1020"/>
      <c r="AL260" s="1020"/>
      <c r="AM260" s="1020"/>
      <c r="AN260" s="1020"/>
      <c r="AO260" s="1020"/>
      <c r="AP260" s="1020"/>
      <c r="AQ260" s="1020"/>
      <c r="AR260" s="1020"/>
      <c r="AS260" s="1020"/>
      <c r="AT260" s="1020"/>
      <c r="AU260" s="1020"/>
      <c r="AV260" s="1020"/>
      <c r="AW260" s="1020"/>
      <c r="AX260" s="1020"/>
    </row>
    <row r="261" spans="4:50" ht="12.75" customHeight="1">
      <c r="D261" s="1071"/>
      <c r="E261" s="1070"/>
      <c r="F261" s="1070"/>
      <c r="G261" s="1070"/>
      <c r="H261" s="1070"/>
      <c r="I261" s="1020"/>
      <c r="J261" s="1020"/>
      <c r="K261" s="156"/>
      <c r="L261" s="1024"/>
      <c r="M261" s="1033"/>
      <c r="N261" s="1024"/>
      <c r="O261" s="1024"/>
      <c r="P261" s="1024"/>
      <c r="Q261" s="1024"/>
      <c r="R261" s="1020"/>
      <c r="S261" s="1020"/>
      <c r="T261" s="1036"/>
      <c r="U261" s="1036"/>
      <c r="V261" s="1020"/>
      <c r="W261" s="1020"/>
      <c r="X261" s="1020"/>
      <c r="Y261" s="1020"/>
      <c r="Z261" s="1020"/>
      <c r="AA261" s="1020"/>
      <c r="AB261" s="1020"/>
      <c r="AC261" s="1020"/>
      <c r="AD261" s="1020"/>
      <c r="AE261" s="1020"/>
      <c r="AF261" s="1020"/>
      <c r="AG261" s="1020"/>
      <c r="AH261" s="1020"/>
      <c r="AI261" s="1020"/>
      <c r="AJ261" s="1020"/>
      <c r="AK261" s="1020"/>
      <c r="AL261" s="1020"/>
      <c r="AM261" s="1020"/>
      <c r="AN261" s="1020"/>
      <c r="AO261" s="1020"/>
      <c r="AP261" s="1020"/>
      <c r="AQ261" s="1020"/>
      <c r="AR261" s="1020"/>
      <c r="AS261" s="1020"/>
      <c r="AT261" s="1020"/>
      <c r="AU261" s="1020"/>
      <c r="AV261" s="1020"/>
      <c r="AW261" s="1020"/>
      <c r="AX261" s="1020"/>
    </row>
    <row r="262" spans="4:50" ht="12.75" customHeight="1">
      <c r="D262" s="1071"/>
      <c r="E262" s="1070"/>
      <c r="F262" s="1070"/>
      <c r="G262" s="1070"/>
      <c r="H262" s="1070"/>
      <c r="I262" s="1020"/>
      <c r="J262" s="1020"/>
      <c r="K262" s="156"/>
      <c r="L262" s="1024"/>
      <c r="M262" s="1033"/>
      <c r="N262" s="1024"/>
      <c r="O262" s="1024"/>
      <c r="P262" s="1024"/>
      <c r="Q262" s="1024"/>
      <c r="R262" s="1020"/>
      <c r="S262" s="1020"/>
      <c r="T262" s="1036"/>
      <c r="U262" s="1036"/>
      <c r="V262" s="1020"/>
      <c r="W262" s="1020"/>
      <c r="X262" s="1020"/>
      <c r="Y262" s="1020"/>
      <c r="Z262" s="1020"/>
      <c r="AA262" s="1020"/>
      <c r="AB262" s="1020"/>
      <c r="AC262" s="1020"/>
      <c r="AD262" s="1020"/>
      <c r="AE262" s="1020"/>
      <c r="AF262" s="1020"/>
      <c r="AG262" s="1020"/>
      <c r="AH262" s="1020"/>
      <c r="AI262" s="1020"/>
      <c r="AJ262" s="1020"/>
      <c r="AK262" s="1020"/>
      <c r="AL262" s="1020"/>
      <c r="AM262" s="1020"/>
      <c r="AN262" s="1020"/>
      <c r="AO262" s="1020"/>
      <c r="AP262" s="1020"/>
      <c r="AQ262" s="1020"/>
      <c r="AR262" s="1020"/>
      <c r="AS262" s="1020"/>
      <c r="AT262" s="1020"/>
      <c r="AU262" s="1020"/>
      <c r="AV262" s="1020"/>
      <c r="AW262" s="1020"/>
      <c r="AX262" s="1020"/>
    </row>
    <row r="263" spans="4:50" ht="12.75" customHeight="1">
      <c r="D263" s="1071"/>
      <c r="E263" s="1070"/>
      <c r="F263" s="1070"/>
      <c r="G263" s="1070"/>
      <c r="H263" s="1070"/>
      <c r="I263" s="1020"/>
      <c r="J263" s="1020"/>
      <c r="K263" s="156"/>
      <c r="L263" s="1024"/>
      <c r="M263" s="1033"/>
      <c r="N263" s="1024"/>
      <c r="O263" s="1024"/>
      <c r="P263" s="1024"/>
      <c r="Q263" s="1024"/>
      <c r="R263" s="1020"/>
      <c r="S263" s="1020"/>
      <c r="T263" s="1036"/>
      <c r="U263" s="1036"/>
      <c r="V263" s="1020"/>
      <c r="W263" s="1020"/>
      <c r="X263" s="1020"/>
      <c r="Y263" s="1020"/>
      <c r="Z263" s="1020"/>
      <c r="AA263" s="1020"/>
      <c r="AB263" s="1020"/>
      <c r="AC263" s="1020"/>
      <c r="AD263" s="1020"/>
      <c r="AE263" s="1020"/>
      <c r="AF263" s="1020"/>
      <c r="AG263" s="1020"/>
      <c r="AH263" s="1020"/>
      <c r="AI263" s="1020"/>
      <c r="AJ263" s="1020"/>
      <c r="AK263" s="1020"/>
      <c r="AL263" s="1020"/>
      <c r="AM263" s="1020"/>
      <c r="AN263" s="1020"/>
      <c r="AO263" s="1020"/>
      <c r="AP263" s="1020"/>
      <c r="AQ263" s="1020"/>
      <c r="AR263" s="1020"/>
      <c r="AS263" s="1020"/>
      <c r="AT263" s="1020"/>
      <c r="AU263" s="1020"/>
      <c r="AV263" s="1020"/>
      <c r="AW263" s="1020"/>
      <c r="AX263" s="1020"/>
    </row>
    <row r="264" spans="4:50" ht="12.75" customHeight="1">
      <c r="D264" s="1071"/>
      <c r="E264" s="1070"/>
      <c r="F264" s="1070"/>
      <c r="G264" s="1070"/>
      <c r="H264" s="1070"/>
      <c r="I264" s="1020"/>
      <c r="J264" s="1020"/>
      <c r="K264" s="156"/>
      <c r="L264" s="1024"/>
      <c r="M264" s="1033"/>
      <c r="N264" s="1024"/>
      <c r="O264" s="1024"/>
      <c r="P264" s="1024"/>
      <c r="Q264" s="1024"/>
      <c r="R264" s="1020"/>
      <c r="S264" s="1020"/>
      <c r="T264" s="1036"/>
      <c r="U264" s="1036"/>
      <c r="V264" s="1020"/>
      <c r="W264" s="1020"/>
      <c r="X264" s="1020"/>
      <c r="Y264" s="1020"/>
      <c r="Z264" s="1020"/>
      <c r="AA264" s="1020"/>
      <c r="AB264" s="1020"/>
      <c r="AC264" s="1020"/>
      <c r="AD264" s="1020"/>
      <c r="AE264" s="1020"/>
      <c r="AF264" s="1020"/>
      <c r="AG264" s="1020"/>
      <c r="AH264" s="1020"/>
      <c r="AI264" s="1020"/>
      <c r="AJ264" s="1020"/>
      <c r="AK264" s="1020"/>
      <c r="AL264" s="1020"/>
      <c r="AM264" s="1020"/>
      <c r="AN264" s="1020"/>
      <c r="AO264" s="1020"/>
      <c r="AP264" s="1020"/>
      <c r="AQ264" s="1020"/>
      <c r="AR264" s="1020"/>
      <c r="AS264" s="1020"/>
      <c r="AT264" s="1020"/>
      <c r="AU264" s="1020"/>
      <c r="AV264" s="1020"/>
      <c r="AW264" s="1020"/>
      <c r="AX264" s="1020"/>
    </row>
    <row r="265" spans="4:50" ht="12.75" customHeight="1">
      <c r="D265" s="1071"/>
      <c r="E265" s="1070"/>
      <c r="F265" s="1070"/>
      <c r="G265" s="1070"/>
      <c r="H265" s="1070"/>
      <c r="I265" s="1020"/>
      <c r="J265" s="1020"/>
      <c r="K265" s="1024"/>
      <c r="L265" s="1024"/>
      <c r="M265" s="1033"/>
      <c r="N265" s="1024"/>
      <c r="O265" s="1024"/>
      <c r="P265" s="1024"/>
      <c r="Q265" s="1024"/>
      <c r="R265" s="1020"/>
      <c r="S265" s="1020"/>
      <c r="T265" s="1036"/>
      <c r="U265" s="1036"/>
      <c r="V265" s="1020"/>
      <c r="W265" s="1020"/>
      <c r="X265" s="1020"/>
      <c r="Y265" s="1020"/>
      <c r="Z265" s="1020"/>
      <c r="AA265" s="1020"/>
      <c r="AB265" s="1020"/>
      <c r="AC265" s="1020"/>
      <c r="AD265" s="1020"/>
      <c r="AE265" s="1020"/>
      <c r="AF265" s="1020"/>
      <c r="AG265" s="1020"/>
      <c r="AH265" s="1020"/>
      <c r="AI265" s="1020"/>
      <c r="AJ265" s="1020"/>
      <c r="AK265" s="1020"/>
      <c r="AL265" s="1020"/>
      <c r="AM265" s="1020"/>
      <c r="AN265" s="1020"/>
      <c r="AO265" s="1020"/>
      <c r="AP265" s="1020"/>
      <c r="AQ265" s="1020"/>
      <c r="AR265" s="1020"/>
      <c r="AS265" s="1020"/>
      <c r="AT265" s="1020"/>
      <c r="AU265" s="1020"/>
      <c r="AV265" s="1020"/>
      <c r="AW265" s="1020"/>
      <c r="AX265" s="1020"/>
    </row>
    <row r="266" spans="4:50" ht="12.75" customHeight="1">
      <c r="D266" s="1071"/>
      <c r="E266" s="1070"/>
      <c r="F266" s="1070"/>
      <c r="G266" s="1070"/>
      <c r="H266" s="1070"/>
      <c r="I266" s="1020"/>
      <c r="J266" s="1020"/>
      <c r="K266" s="1024"/>
      <c r="L266" s="1024"/>
      <c r="M266" s="1027"/>
      <c r="N266" s="1024"/>
      <c r="O266" s="1024"/>
      <c r="P266" s="1024"/>
      <c r="Q266" s="1024"/>
      <c r="R266" s="1020"/>
      <c r="S266" s="1020"/>
      <c r="T266" s="1036"/>
      <c r="U266" s="1036"/>
      <c r="V266" s="1020"/>
      <c r="W266" s="1020"/>
      <c r="X266" s="1020"/>
      <c r="Y266" s="1020"/>
      <c r="Z266" s="1020"/>
      <c r="AA266" s="1020"/>
      <c r="AB266" s="1020"/>
      <c r="AC266" s="1020"/>
      <c r="AD266" s="1020"/>
      <c r="AE266" s="1020"/>
      <c r="AF266" s="1020"/>
      <c r="AG266" s="1020"/>
      <c r="AH266" s="1020"/>
      <c r="AI266" s="1020"/>
      <c r="AJ266" s="1020"/>
      <c r="AK266" s="1020"/>
      <c r="AL266" s="1020"/>
      <c r="AM266" s="1020"/>
      <c r="AN266" s="1020"/>
      <c r="AO266" s="1020"/>
      <c r="AP266" s="1020"/>
      <c r="AQ266" s="1020"/>
      <c r="AR266" s="1020"/>
      <c r="AS266" s="1020"/>
      <c r="AT266" s="1020"/>
      <c r="AU266" s="1020"/>
      <c r="AV266" s="1020"/>
      <c r="AW266" s="1020"/>
      <c r="AX266" s="1020"/>
    </row>
    <row r="267" spans="4:50" ht="12.75" customHeight="1">
      <c r="D267" s="1071"/>
      <c r="E267" s="1070"/>
      <c r="F267" s="1070"/>
      <c r="G267" s="1070"/>
      <c r="H267" s="1070"/>
      <c r="I267" s="1020"/>
      <c r="J267" s="1020"/>
      <c r="K267" s="1024"/>
      <c r="L267" s="1024"/>
      <c r="M267" s="1027"/>
      <c r="N267" s="1024"/>
      <c r="O267" s="1024"/>
      <c r="P267" s="1024"/>
      <c r="Q267" s="1024"/>
      <c r="R267" s="1020"/>
      <c r="S267" s="1020"/>
      <c r="T267" s="1036"/>
      <c r="U267" s="1036"/>
      <c r="V267" s="1020"/>
      <c r="W267" s="1020"/>
      <c r="X267" s="1020"/>
      <c r="Y267" s="1020"/>
      <c r="Z267" s="1020"/>
      <c r="AA267" s="1020"/>
      <c r="AB267" s="1020"/>
      <c r="AC267" s="1020"/>
      <c r="AD267" s="1020"/>
      <c r="AE267" s="1020"/>
      <c r="AF267" s="1020"/>
      <c r="AG267" s="1020"/>
      <c r="AH267" s="1020"/>
      <c r="AI267" s="1020"/>
      <c r="AJ267" s="1020"/>
      <c r="AK267" s="1020"/>
      <c r="AL267" s="1020"/>
      <c r="AM267" s="1020"/>
      <c r="AN267" s="1020"/>
      <c r="AO267" s="1020"/>
      <c r="AP267" s="1020"/>
      <c r="AQ267" s="1020"/>
      <c r="AR267" s="1020"/>
      <c r="AS267" s="1020"/>
      <c r="AT267" s="1020"/>
      <c r="AU267" s="1020"/>
      <c r="AV267" s="1020"/>
      <c r="AW267" s="1020"/>
      <c r="AX267" s="1020"/>
    </row>
    <row r="268" spans="4:50" ht="12.75" customHeight="1">
      <c r="D268" s="1071"/>
      <c r="E268" s="1070"/>
      <c r="F268" s="1070"/>
      <c r="G268" s="1070"/>
      <c r="H268" s="1070"/>
      <c r="I268" s="1020"/>
      <c r="J268" s="1020"/>
      <c r="K268" s="1024"/>
      <c r="L268" s="1024"/>
      <c r="M268" s="1027"/>
      <c r="N268" s="1024"/>
      <c r="O268" s="1024"/>
      <c r="P268" s="1024"/>
      <c r="Q268" s="1024"/>
      <c r="R268" s="1020"/>
      <c r="S268" s="1020"/>
      <c r="T268" s="1036"/>
      <c r="U268" s="1036"/>
      <c r="V268" s="1020"/>
      <c r="W268" s="1020"/>
      <c r="X268" s="1020"/>
      <c r="Y268" s="1020"/>
      <c r="Z268" s="1020"/>
      <c r="AA268" s="1020"/>
      <c r="AB268" s="1020"/>
      <c r="AC268" s="1020"/>
      <c r="AD268" s="1020"/>
      <c r="AE268" s="1020"/>
      <c r="AF268" s="1020"/>
      <c r="AG268" s="1020"/>
      <c r="AH268" s="1020"/>
      <c r="AI268" s="1020"/>
      <c r="AJ268" s="1020"/>
      <c r="AK268" s="1020"/>
      <c r="AL268" s="1020"/>
      <c r="AM268" s="1020"/>
      <c r="AN268" s="1020"/>
      <c r="AO268" s="1020"/>
      <c r="AP268" s="1020"/>
      <c r="AQ268" s="1020"/>
      <c r="AR268" s="1020"/>
      <c r="AS268" s="1020"/>
      <c r="AT268" s="1020"/>
      <c r="AU268" s="1020"/>
      <c r="AV268" s="1020"/>
      <c r="AW268" s="1020"/>
      <c r="AX268" s="1020"/>
    </row>
    <row r="269" spans="4:50" ht="12.75" customHeight="1">
      <c r="D269" s="1071"/>
      <c r="E269" s="1070"/>
      <c r="F269" s="1070"/>
      <c r="G269" s="1070"/>
      <c r="H269" s="1070"/>
      <c r="I269" s="1020"/>
      <c r="J269" s="1020"/>
      <c r="K269" s="1675"/>
      <c r="L269" s="1675"/>
      <c r="M269" s="1675"/>
      <c r="N269" s="1024"/>
      <c r="O269" s="1024"/>
      <c r="P269" s="1675"/>
      <c r="Q269" s="1675"/>
      <c r="R269" s="1020"/>
      <c r="S269" s="1020"/>
      <c r="T269" s="1036"/>
      <c r="U269" s="1036"/>
      <c r="V269" s="1020"/>
      <c r="W269" s="1020"/>
      <c r="X269" s="1020"/>
      <c r="Y269" s="1020"/>
      <c r="Z269" s="1020"/>
      <c r="AA269" s="1020"/>
      <c r="AB269" s="1020"/>
      <c r="AC269" s="1020"/>
      <c r="AD269" s="1020"/>
      <c r="AE269" s="1020"/>
      <c r="AF269" s="1020"/>
      <c r="AG269" s="1020"/>
      <c r="AH269" s="1020"/>
      <c r="AI269" s="1020"/>
      <c r="AJ269" s="1020"/>
      <c r="AK269" s="1020"/>
      <c r="AL269" s="1020"/>
      <c r="AM269" s="1020"/>
      <c r="AN269" s="1020"/>
      <c r="AO269" s="1020"/>
      <c r="AP269" s="1020"/>
      <c r="AQ269" s="1020"/>
      <c r="AR269" s="1020"/>
      <c r="AS269" s="1020"/>
      <c r="AT269" s="1020"/>
      <c r="AU269" s="1020"/>
      <c r="AV269" s="1020"/>
      <c r="AW269" s="1020"/>
      <c r="AX269" s="1020"/>
    </row>
    <row r="270" spans="4:50" ht="12.75" customHeight="1">
      <c r="D270" s="1071"/>
      <c r="E270" s="1070"/>
      <c r="F270" s="1070"/>
      <c r="G270" s="1070"/>
      <c r="H270" s="1070"/>
      <c r="I270" s="1020"/>
      <c r="J270" s="1020"/>
      <c r="K270" s="1024"/>
      <c r="L270" s="1671"/>
      <c r="M270" s="1671"/>
      <c r="N270" s="1024"/>
      <c r="O270" s="1024"/>
      <c r="P270" s="1024"/>
      <c r="Q270" s="1024"/>
      <c r="R270" s="1020"/>
      <c r="S270" s="1020"/>
      <c r="T270" s="1036"/>
      <c r="U270" s="1036"/>
      <c r="V270" s="1020"/>
      <c r="W270" s="1020"/>
      <c r="X270" s="1020"/>
      <c r="Y270" s="1020"/>
      <c r="Z270" s="1020"/>
      <c r="AA270" s="1020"/>
      <c r="AB270" s="1020"/>
      <c r="AC270" s="1020"/>
      <c r="AD270" s="1020"/>
      <c r="AE270" s="1020"/>
      <c r="AF270" s="1020"/>
      <c r="AG270" s="1020"/>
      <c r="AH270" s="1020"/>
      <c r="AI270" s="1020"/>
      <c r="AJ270" s="1020"/>
      <c r="AK270" s="1020"/>
      <c r="AL270" s="1020"/>
      <c r="AM270" s="1020"/>
      <c r="AN270" s="1020"/>
      <c r="AO270" s="1020"/>
      <c r="AP270" s="1020"/>
      <c r="AQ270" s="1020"/>
      <c r="AR270" s="1020"/>
      <c r="AS270" s="1020"/>
      <c r="AT270" s="1020"/>
      <c r="AU270" s="1020"/>
      <c r="AV270" s="1020"/>
      <c r="AW270" s="1020"/>
      <c r="AX270" s="1020"/>
    </row>
    <row r="271" spans="4:50" ht="12.75" customHeight="1">
      <c r="D271" s="1071"/>
      <c r="E271" s="1070"/>
      <c r="F271" s="1070"/>
      <c r="G271" s="1070"/>
      <c r="H271" s="1070"/>
      <c r="I271" s="1020"/>
      <c r="J271" s="1020"/>
      <c r="K271" s="182"/>
      <c r="L271" s="94"/>
      <c r="M271" s="1024"/>
      <c r="N271" s="1024"/>
      <c r="O271" s="1024"/>
      <c r="P271" s="1024"/>
      <c r="Q271" s="1024"/>
      <c r="R271" s="1020"/>
      <c r="S271" s="1020"/>
      <c r="T271" s="1036"/>
      <c r="U271" s="1036"/>
      <c r="V271" s="1020"/>
      <c r="W271" s="1020"/>
      <c r="X271" s="1020"/>
      <c r="Y271" s="1020"/>
      <c r="Z271" s="1020"/>
      <c r="AA271" s="1020"/>
      <c r="AB271" s="1020"/>
      <c r="AC271" s="1020"/>
      <c r="AD271" s="1020"/>
      <c r="AE271" s="1020"/>
      <c r="AF271" s="1020"/>
      <c r="AG271" s="1020"/>
      <c r="AH271" s="1020"/>
      <c r="AI271" s="1020"/>
      <c r="AJ271" s="1020"/>
      <c r="AK271" s="1020"/>
      <c r="AL271" s="1020"/>
      <c r="AM271" s="1020"/>
      <c r="AN271" s="1020"/>
      <c r="AO271" s="1020"/>
      <c r="AP271" s="1020"/>
      <c r="AQ271" s="1020"/>
      <c r="AR271" s="1020"/>
      <c r="AS271" s="1020"/>
      <c r="AT271" s="1020"/>
      <c r="AU271" s="1020"/>
      <c r="AV271" s="1020"/>
      <c r="AW271" s="1020"/>
      <c r="AX271" s="1020"/>
    </row>
    <row r="272" spans="4:50" ht="12.75" customHeight="1">
      <c r="D272" s="1071"/>
      <c r="E272" s="1070"/>
      <c r="F272" s="1070"/>
      <c r="G272" s="1070"/>
      <c r="H272" s="1070"/>
      <c r="I272" s="1020"/>
      <c r="J272" s="1020"/>
      <c r="K272" s="170"/>
      <c r="L272" s="94"/>
      <c r="M272" s="1024"/>
      <c r="N272" s="1024"/>
      <c r="O272" s="1024"/>
      <c r="P272" s="1024"/>
      <c r="Q272" s="1024"/>
      <c r="R272" s="1020"/>
      <c r="S272" s="1020"/>
      <c r="T272" s="1036"/>
      <c r="U272" s="1036"/>
      <c r="V272" s="1020"/>
      <c r="W272" s="1020"/>
      <c r="X272" s="1020"/>
      <c r="Y272" s="1020"/>
      <c r="Z272" s="1020"/>
      <c r="AA272" s="1020"/>
      <c r="AB272" s="1020"/>
      <c r="AC272" s="1020"/>
      <c r="AD272" s="1020"/>
      <c r="AE272" s="1020"/>
      <c r="AF272" s="1020"/>
      <c r="AG272" s="1020"/>
      <c r="AH272" s="1020"/>
      <c r="AI272" s="1020"/>
      <c r="AJ272" s="1020"/>
      <c r="AK272" s="1020"/>
      <c r="AL272" s="1020"/>
      <c r="AM272" s="1020"/>
      <c r="AN272" s="1020"/>
      <c r="AO272" s="1020"/>
      <c r="AP272" s="1020"/>
      <c r="AQ272" s="1020"/>
      <c r="AR272" s="1020"/>
      <c r="AS272" s="1020"/>
      <c r="AT272" s="1020"/>
      <c r="AU272" s="1020"/>
      <c r="AV272" s="1020"/>
      <c r="AW272" s="1020"/>
      <c r="AX272" s="1020"/>
    </row>
    <row r="273" spans="4:50" ht="12.75" customHeight="1">
      <c r="D273" s="1071"/>
      <c r="E273" s="1070"/>
      <c r="F273" s="1070"/>
      <c r="G273" s="1070"/>
      <c r="H273" s="1070"/>
      <c r="I273" s="1020"/>
      <c r="J273" s="1020"/>
      <c r="K273" s="182"/>
      <c r="L273" s="185"/>
      <c r="M273" s="1020"/>
      <c r="N273" s="1020"/>
      <c r="O273" s="1020"/>
      <c r="P273" s="1020"/>
      <c r="Q273" s="1020"/>
      <c r="R273" s="1020"/>
      <c r="S273" s="1020"/>
      <c r="T273" s="1036"/>
      <c r="U273" s="1036"/>
      <c r="V273" s="1020"/>
      <c r="W273" s="1020"/>
      <c r="X273" s="1020"/>
      <c r="Y273" s="1020"/>
      <c r="Z273" s="1020"/>
      <c r="AA273" s="1020"/>
      <c r="AB273" s="1020"/>
      <c r="AC273" s="1020"/>
      <c r="AD273" s="1020"/>
      <c r="AE273" s="1020"/>
      <c r="AF273" s="1020"/>
      <c r="AG273" s="1020"/>
      <c r="AH273" s="1020"/>
      <c r="AI273" s="1020"/>
      <c r="AJ273" s="1020"/>
      <c r="AK273" s="1020"/>
      <c r="AL273" s="1020"/>
      <c r="AM273" s="1020"/>
      <c r="AN273" s="1020"/>
      <c r="AO273" s="1020"/>
      <c r="AP273" s="1020"/>
      <c r="AQ273" s="1020"/>
      <c r="AR273" s="1020"/>
      <c r="AS273" s="1020"/>
      <c r="AT273" s="1020"/>
      <c r="AU273" s="1020"/>
      <c r="AV273" s="1020"/>
      <c r="AW273" s="1020"/>
      <c r="AX273" s="1020"/>
    </row>
    <row r="274" spans="4:50" ht="12.75" customHeight="1">
      <c r="D274" s="1071"/>
      <c r="E274" s="1070"/>
      <c r="F274" s="1070"/>
      <c r="G274" s="1070"/>
      <c r="H274" s="1070"/>
      <c r="I274" s="1020"/>
      <c r="J274" s="1020"/>
      <c r="K274" s="186"/>
      <c r="L274" s="185"/>
      <c r="M274" s="1020"/>
      <c r="N274" s="1020"/>
      <c r="O274" s="1020"/>
      <c r="P274" s="1020"/>
      <c r="Q274" s="1020"/>
      <c r="R274" s="1020"/>
      <c r="S274" s="1020"/>
      <c r="T274" s="1036"/>
      <c r="U274" s="1036"/>
      <c r="V274" s="1020"/>
      <c r="W274" s="1020"/>
      <c r="X274" s="1020"/>
      <c r="Y274" s="1020"/>
      <c r="Z274" s="1020"/>
      <c r="AA274" s="1020"/>
      <c r="AB274" s="1020"/>
      <c r="AC274" s="1020"/>
      <c r="AD274" s="1020"/>
      <c r="AE274" s="1020"/>
      <c r="AF274" s="1020"/>
      <c r="AG274" s="1020"/>
      <c r="AH274" s="1020"/>
      <c r="AI274" s="1020"/>
      <c r="AJ274" s="1020"/>
      <c r="AK274" s="1020"/>
      <c r="AL274" s="1020"/>
      <c r="AM274" s="1020"/>
      <c r="AN274" s="1020"/>
      <c r="AO274" s="1020"/>
      <c r="AP274" s="1020"/>
      <c r="AQ274" s="1020"/>
      <c r="AR274" s="1020"/>
      <c r="AS274" s="1020"/>
      <c r="AT274" s="1020"/>
      <c r="AU274" s="1020"/>
      <c r="AV274" s="1020"/>
      <c r="AW274" s="1020"/>
      <c r="AX274" s="1020"/>
    </row>
    <row r="275" spans="4:50" ht="12.75" customHeight="1">
      <c r="D275" s="1071"/>
      <c r="E275" s="1070"/>
      <c r="F275" s="1070"/>
      <c r="G275" s="1070"/>
      <c r="H275" s="1070"/>
      <c r="I275" s="1020"/>
      <c r="J275" s="1020"/>
      <c r="K275" s="1066"/>
      <c r="L275" s="1020"/>
      <c r="M275" s="1020"/>
      <c r="N275" s="1020"/>
      <c r="O275" s="1020"/>
      <c r="P275" s="1020"/>
      <c r="Q275" s="1020"/>
      <c r="R275" s="1020"/>
      <c r="S275" s="1020"/>
      <c r="T275" s="1036"/>
      <c r="U275" s="1036"/>
      <c r="V275" s="1020"/>
      <c r="W275" s="1020"/>
      <c r="X275" s="1020"/>
      <c r="Y275" s="1020"/>
      <c r="Z275" s="1020"/>
      <c r="AA275" s="1020"/>
      <c r="AB275" s="1020"/>
      <c r="AC275" s="1020"/>
      <c r="AD275" s="1020"/>
      <c r="AE275" s="1020"/>
      <c r="AF275" s="1020"/>
      <c r="AG275" s="1020"/>
      <c r="AH275" s="1020"/>
      <c r="AI275" s="1020"/>
      <c r="AJ275" s="1020"/>
      <c r="AK275" s="1020"/>
      <c r="AL275" s="1020"/>
      <c r="AM275" s="1020"/>
      <c r="AN275" s="1020"/>
      <c r="AO275" s="1020"/>
      <c r="AP275" s="1020"/>
      <c r="AQ275" s="1020"/>
      <c r="AR275" s="1020"/>
      <c r="AS275" s="1020"/>
      <c r="AT275" s="1020"/>
      <c r="AU275" s="1020"/>
      <c r="AV275" s="1020"/>
      <c r="AW275" s="1020"/>
      <c r="AX275" s="1020"/>
    </row>
    <row r="276" spans="4:50" ht="12.75" customHeight="1">
      <c r="D276" s="1071"/>
      <c r="E276" s="1070"/>
      <c r="F276" s="1070"/>
      <c r="G276" s="1070"/>
      <c r="H276" s="1070"/>
      <c r="I276" s="1020"/>
      <c r="J276" s="1020"/>
      <c r="K276" s="1066"/>
      <c r="L276" s="1020"/>
      <c r="M276" s="1020"/>
      <c r="N276" s="1020"/>
      <c r="O276" s="1020"/>
      <c r="P276" s="1020"/>
      <c r="Q276" s="1020"/>
      <c r="R276" s="1020"/>
      <c r="S276" s="1020"/>
      <c r="T276" s="1036"/>
      <c r="U276" s="1036"/>
      <c r="V276" s="1020"/>
      <c r="W276" s="1020"/>
      <c r="X276" s="1020"/>
      <c r="Y276" s="1020"/>
      <c r="Z276" s="1020"/>
      <c r="AA276" s="1020"/>
      <c r="AB276" s="1020"/>
      <c r="AC276" s="1020"/>
      <c r="AD276" s="1020"/>
      <c r="AE276" s="1020"/>
      <c r="AF276" s="1020"/>
      <c r="AG276" s="1020"/>
      <c r="AH276" s="1020"/>
      <c r="AI276" s="1020"/>
      <c r="AJ276" s="1020"/>
      <c r="AK276" s="1020"/>
      <c r="AL276" s="1020"/>
      <c r="AM276" s="1020"/>
      <c r="AN276" s="1020"/>
      <c r="AO276" s="1020"/>
      <c r="AP276" s="1020"/>
      <c r="AQ276" s="1020"/>
      <c r="AR276" s="1020"/>
      <c r="AS276" s="1020"/>
      <c r="AT276" s="1020"/>
      <c r="AU276" s="1020"/>
      <c r="AV276" s="1020"/>
      <c r="AW276" s="1020"/>
      <c r="AX276" s="1020"/>
    </row>
    <row r="277" spans="4:50" ht="12.75" customHeight="1">
      <c r="D277" s="1071"/>
      <c r="E277" s="1070"/>
      <c r="F277" s="1070"/>
      <c r="G277" s="1070"/>
      <c r="H277" s="1070"/>
      <c r="I277" s="1020"/>
      <c r="J277" s="1020"/>
      <c r="K277" s="1066"/>
      <c r="L277" s="1020"/>
      <c r="M277" s="1020"/>
      <c r="N277" s="1020"/>
      <c r="O277" s="1020"/>
      <c r="P277" s="1020"/>
      <c r="Q277" s="1020"/>
      <c r="R277" s="1020"/>
      <c r="S277" s="1020"/>
      <c r="T277" s="1036"/>
      <c r="U277" s="1036"/>
      <c r="V277" s="1020"/>
      <c r="W277" s="1020"/>
      <c r="X277" s="1020"/>
      <c r="Y277" s="1020"/>
      <c r="Z277" s="1020"/>
      <c r="AA277" s="1020"/>
      <c r="AB277" s="1020"/>
      <c r="AC277" s="1020"/>
      <c r="AD277" s="1020"/>
      <c r="AE277" s="1020"/>
      <c r="AF277" s="1020"/>
      <c r="AG277" s="1020"/>
      <c r="AH277" s="1020"/>
      <c r="AI277" s="1020"/>
      <c r="AJ277" s="1020"/>
      <c r="AK277" s="1020"/>
      <c r="AL277" s="1020"/>
      <c r="AM277" s="1020"/>
      <c r="AN277" s="1020"/>
      <c r="AO277" s="1020"/>
      <c r="AP277" s="1020"/>
      <c r="AQ277" s="1020"/>
      <c r="AR277" s="1020"/>
      <c r="AS277" s="1020"/>
      <c r="AT277" s="1020"/>
      <c r="AU277" s="1020"/>
      <c r="AV277" s="1020"/>
      <c r="AW277" s="1020"/>
      <c r="AX277" s="1020"/>
    </row>
    <row r="278" spans="4:50" ht="12.75" customHeight="1">
      <c r="D278" s="1071"/>
      <c r="E278" s="1070"/>
      <c r="F278" s="1070"/>
      <c r="G278" s="1070"/>
      <c r="H278" s="1070"/>
      <c r="I278" s="1020"/>
      <c r="J278" s="1020"/>
      <c r="K278" s="1066"/>
      <c r="L278" s="1020"/>
      <c r="M278" s="1020"/>
      <c r="N278" s="1020"/>
      <c r="O278" s="1020"/>
      <c r="P278" s="1020"/>
      <c r="Q278" s="1020"/>
      <c r="R278" s="1020"/>
      <c r="S278" s="1020"/>
      <c r="T278" s="1036"/>
      <c r="U278" s="1036"/>
      <c r="V278" s="1020"/>
      <c r="W278" s="1020"/>
      <c r="X278" s="1020"/>
      <c r="Y278" s="1020"/>
      <c r="Z278" s="1020"/>
      <c r="AA278" s="1020"/>
      <c r="AB278" s="1020"/>
      <c r="AC278" s="1020"/>
      <c r="AD278" s="1020"/>
      <c r="AE278" s="1020"/>
      <c r="AF278" s="1020"/>
      <c r="AG278" s="1020"/>
      <c r="AH278" s="1020"/>
      <c r="AI278" s="1020"/>
      <c r="AJ278" s="1020"/>
      <c r="AK278" s="1020"/>
      <c r="AL278" s="1020"/>
      <c r="AM278" s="1020"/>
      <c r="AN278" s="1020"/>
      <c r="AO278" s="1020"/>
      <c r="AP278" s="1020"/>
      <c r="AQ278" s="1020"/>
      <c r="AR278" s="1020"/>
      <c r="AS278" s="1020"/>
      <c r="AT278" s="1020"/>
      <c r="AU278" s="1020"/>
      <c r="AV278" s="1020"/>
      <c r="AW278" s="1020"/>
      <c r="AX278" s="1020"/>
    </row>
    <row r="279" spans="4:50" ht="12.75" customHeight="1">
      <c r="D279" s="1071"/>
      <c r="E279" s="1070"/>
      <c r="F279" s="1070"/>
      <c r="G279" s="1070"/>
      <c r="H279" s="1070"/>
      <c r="I279" s="1020"/>
      <c r="J279" s="1020"/>
      <c r="K279" s="1066"/>
      <c r="L279" s="1020"/>
      <c r="M279" s="1020"/>
      <c r="N279" s="1020"/>
      <c r="O279" s="1020"/>
      <c r="P279" s="1020"/>
      <c r="Q279" s="1020"/>
      <c r="R279" s="1020"/>
      <c r="S279" s="1020"/>
      <c r="T279" s="1036"/>
      <c r="U279" s="1036"/>
      <c r="V279" s="1020"/>
      <c r="W279" s="1020"/>
      <c r="X279" s="1020"/>
      <c r="Y279" s="1020"/>
      <c r="Z279" s="1020"/>
      <c r="AA279" s="1020"/>
      <c r="AB279" s="1020"/>
      <c r="AC279" s="1020"/>
      <c r="AD279" s="1020"/>
      <c r="AE279" s="1020"/>
      <c r="AF279" s="1020"/>
      <c r="AG279" s="1020"/>
      <c r="AH279" s="1020"/>
      <c r="AI279" s="1020"/>
      <c r="AJ279" s="1020"/>
      <c r="AK279" s="1020"/>
      <c r="AL279" s="1020"/>
      <c r="AM279" s="1020"/>
      <c r="AN279" s="1020"/>
      <c r="AO279" s="1020"/>
      <c r="AP279" s="1020"/>
      <c r="AQ279" s="1020"/>
      <c r="AR279" s="1020"/>
      <c r="AS279" s="1020"/>
      <c r="AT279" s="1020"/>
      <c r="AU279" s="1020"/>
      <c r="AV279" s="1020"/>
      <c r="AW279" s="1020"/>
      <c r="AX279" s="1020"/>
    </row>
    <row r="280" spans="4:50" ht="12.75" customHeight="1">
      <c r="D280" s="1071"/>
      <c r="E280" s="1070"/>
      <c r="F280" s="1070"/>
      <c r="G280" s="1070"/>
      <c r="H280" s="1070"/>
      <c r="I280" s="1020"/>
      <c r="J280" s="1020"/>
      <c r="K280" s="1066"/>
      <c r="L280" s="1020"/>
      <c r="M280" s="1020"/>
      <c r="N280" s="1020"/>
      <c r="O280" s="1020"/>
      <c r="P280" s="1020"/>
      <c r="Q280" s="1020"/>
      <c r="R280" s="1020"/>
      <c r="S280" s="1020"/>
      <c r="T280" s="1036"/>
      <c r="U280" s="1036"/>
      <c r="V280" s="1020"/>
      <c r="W280" s="1020"/>
      <c r="X280" s="1020"/>
      <c r="Y280" s="1020"/>
      <c r="Z280" s="1020"/>
      <c r="AA280" s="1020"/>
      <c r="AB280" s="1020"/>
      <c r="AC280" s="1020"/>
      <c r="AD280" s="1020"/>
      <c r="AE280" s="1020"/>
      <c r="AF280" s="1020"/>
      <c r="AG280" s="1020"/>
      <c r="AH280" s="1020"/>
      <c r="AI280" s="1020"/>
      <c r="AJ280" s="1020"/>
      <c r="AK280" s="1020"/>
      <c r="AL280" s="1020"/>
      <c r="AM280" s="1020"/>
      <c r="AN280" s="1020"/>
      <c r="AO280" s="1020"/>
      <c r="AP280" s="1020"/>
      <c r="AQ280" s="1020"/>
      <c r="AR280" s="1020"/>
      <c r="AS280" s="1020"/>
      <c r="AT280" s="1020"/>
      <c r="AU280" s="1020"/>
      <c r="AV280" s="1020"/>
      <c r="AW280" s="1020"/>
      <c r="AX280" s="1020"/>
    </row>
    <row r="281" spans="4:50" ht="12.75" customHeight="1">
      <c r="D281" s="1071"/>
      <c r="E281" s="1070"/>
      <c r="F281" s="1070"/>
      <c r="G281" s="1070"/>
      <c r="H281" s="1070"/>
      <c r="I281" s="1020"/>
      <c r="J281" s="1020"/>
      <c r="K281" s="1066"/>
      <c r="L281" s="1020"/>
      <c r="M281" s="1020"/>
      <c r="N281" s="1020"/>
      <c r="O281" s="1020"/>
      <c r="P281" s="1020"/>
      <c r="Q281" s="1020"/>
      <c r="R281" s="1020"/>
      <c r="S281" s="1020"/>
      <c r="T281" s="1036"/>
      <c r="U281" s="1036"/>
      <c r="V281" s="1020"/>
      <c r="W281" s="1020"/>
      <c r="X281" s="1020"/>
      <c r="Y281" s="1020"/>
      <c r="Z281" s="1020"/>
      <c r="AA281" s="1020"/>
      <c r="AB281" s="1020"/>
      <c r="AC281" s="1020"/>
      <c r="AD281" s="1020"/>
      <c r="AE281" s="1020"/>
      <c r="AF281" s="1020"/>
      <c r="AG281" s="1020"/>
      <c r="AH281" s="1020"/>
      <c r="AI281" s="1020"/>
      <c r="AJ281" s="1020"/>
      <c r="AK281" s="1020"/>
      <c r="AL281" s="1020"/>
      <c r="AM281" s="1020"/>
      <c r="AN281" s="1020"/>
      <c r="AO281" s="1020"/>
      <c r="AP281" s="1020"/>
      <c r="AQ281" s="1020"/>
      <c r="AR281" s="1020"/>
      <c r="AS281" s="1020"/>
      <c r="AT281" s="1020"/>
      <c r="AU281" s="1020"/>
      <c r="AV281" s="1020"/>
      <c r="AW281" s="1020"/>
      <c r="AX281" s="1020"/>
    </row>
    <row r="282" spans="4:50" ht="12.75" customHeight="1">
      <c r="D282" s="1071"/>
      <c r="E282" s="1070"/>
      <c r="F282" s="1070"/>
      <c r="G282" s="1070"/>
      <c r="H282" s="1070"/>
      <c r="I282" s="1020"/>
      <c r="J282" s="1020"/>
      <c r="K282" s="1066"/>
      <c r="L282" s="1020"/>
      <c r="M282" s="1020"/>
      <c r="N282" s="1020"/>
      <c r="O282" s="1020"/>
      <c r="P282" s="1020"/>
      <c r="Q282" s="1020"/>
      <c r="R282" s="1020"/>
      <c r="S282" s="1020"/>
      <c r="T282" s="1036"/>
      <c r="U282" s="1036"/>
      <c r="V282" s="1020"/>
      <c r="W282" s="1020"/>
      <c r="X282" s="1020"/>
      <c r="Y282" s="1020"/>
      <c r="Z282" s="1020"/>
      <c r="AA282" s="1020"/>
      <c r="AB282" s="1020"/>
      <c r="AC282" s="1020"/>
      <c r="AD282" s="1020"/>
      <c r="AE282" s="1020"/>
      <c r="AF282" s="1020"/>
      <c r="AG282" s="1020"/>
      <c r="AH282" s="1020"/>
      <c r="AI282" s="1020"/>
      <c r="AJ282" s="1020"/>
      <c r="AK282" s="1020"/>
      <c r="AL282" s="1020"/>
      <c r="AM282" s="1020"/>
      <c r="AN282" s="1020"/>
      <c r="AO282" s="1020"/>
      <c r="AP282" s="1020"/>
      <c r="AQ282" s="1020"/>
      <c r="AR282" s="1020"/>
      <c r="AS282" s="1020"/>
      <c r="AT282" s="1020"/>
      <c r="AU282" s="1020"/>
      <c r="AV282" s="1020"/>
      <c r="AW282" s="1020"/>
      <c r="AX282" s="1020"/>
    </row>
    <row r="283" spans="4:50" ht="12.75" customHeight="1">
      <c r="D283" s="1071"/>
      <c r="E283" s="1070"/>
      <c r="F283" s="1070"/>
      <c r="G283" s="1070"/>
      <c r="H283" s="1070"/>
      <c r="I283" s="1020"/>
      <c r="J283" s="1020"/>
      <c r="K283" s="1066"/>
      <c r="L283" s="1020"/>
      <c r="M283" s="1020"/>
      <c r="N283" s="1020"/>
      <c r="O283" s="1020"/>
      <c r="P283" s="1020"/>
      <c r="Q283" s="1020"/>
      <c r="R283" s="1020"/>
      <c r="S283" s="1020"/>
      <c r="T283" s="1036"/>
      <c r="U283" s="1036"/>
      <c r="V283" s="1020"/>
      <c r="W283" s="1020"/>
      <c r="X283" s="1020"/>
      <c r="Y283" s="1020"/>
      <c r="Z283" s="1020"/>
      <c r="AA283" s="1020"/>
      <c r="AB283" s="1020"/>
      <c r="AC283" s="1020"/>
      <c r="AD283" s="1020"/>
      <c r="AE283" s="1020"/>
      <c r="AF283" s="1020"/>
      <c r="AG283" s="1020"/>
      <c r="AH283" s="1020"/>
      <c r="AI283" s="1020"/>
      <c r="AJ283" s="1020"/>
      <c r="AK283" s="1020"/>
      <c r="AL283" s="1020"/>
      <c r="AM283" s="1020"/>
      <c r="AN283" s="1020"/>
      <c r="AO283" s="1020"/>
      <c r="AP283" s="1020"/>
      <c r="AQ283" s="1020"/>
      <c r="AR283" s="1020"/>
      <c r="AS283" s="1020"/>
      <c r="AT283" s="1020"/>
      <c r="AU283" s="1020"/>
      <c r="AV283" s="1020"/>
      <c r="AW283" s="1020"/>
      <c r="AX283" s="1020"/>
    </row>
    <row r="284" spans="4:50" ht="12.75" customHeight="1">
      <c r="D284" s="1071"/>
      <c r="E284" s="1070"/>
      <c r="F284" s="1070"/>
      <c r="G284" s="1070"/>
      <c r="H284" s="1070"/>
      <c r="I284" s="1020"/>
      <c r="J284" s="1020"/>
      <c r="K284" s="1066"/>
      <c r="L284" s="1020"/>
      <c r="M284" s="1020"/>
      <c r="N284" s="1020"/>
      <c r="O284" s="1020"/>
      <c r="P284" s="1020"/>
      <c r="Q284" s="1020"/>
      <c r="R284" s="1020"/>
      <c r="S284" s="1020"/>
      <c r="T284" s="1036"/>
      <c r="U284" s="1036"/>
      <c r="V284" s="1020"/>
      <c r="W284" s="1020"/>
      <c r="X284" s="1020"/>
      <c r="Y284" s="1020"/>
      <c r="Z284" s="1020"/>
      <c r="AA284" s="1020"/>
      <c r="AB284" s="1020"/>
      <c r="AC284" s="1020"/>
      <c r="AD284" s="1020"/>
      <c r="AE284" s="1020"/>
      <c r="AF284" s="1020"/>
      <c r="AG284" s="1020"/>
      <c r="AH284" s="1020"/>
      <c r="AI284" s="1020"/>
      <c r="AJ284" s="1020"/>
      <c r="AK284" s="1020"/>
      <c r="AL284" s="1020"/>
      <c r="AM284" s="1020"/>
      <c r="AN284" s="1020"/>
      <c r="AO284" s="1020"/>
      <c r="AP284" s="1020"/>
      <c r="AQ284" s="1020"/>
      <c r="AR284" s="1020"/>
      <c r="AS284" s="1020"/>
      <c r="AT284" s="1020"/>
      <c r="AU284" s="1020"/>
      <c r="AV284" s="1020"/>
      <c r="AW284" s="1020"/>
      <c r="AX284" s="1020"/>
    </row>
    <row r="285" spans="4:50" ht="12.75" customHeight="1">
      <c r="D285" s="1071"/>
      <c r="E285" s="1070"/>
      <c r="F285" s="1070"/>
      <c r="G285" s="1070"/>
      <c r="H285" s="1070"/>
      <c r="I285" s="1020"/>
      <c r="J285" s="1020"/>
      <c r="K285" s="1066"/>
      <c r="L285" s="1020"/>
      <c r="M285" s="1020"/>
      <c r="N285" s="1020"/>
      <c r="O285" s="1020"/>
      <c r="P285" s="1020"/>
      <c r="Q285" s="1020"/>
      <c r="R285" s="1020"/>
      <c r="S285" s="1020"/>
      <c r="T285" s="1036"/>
      <c r="U285" s="1036"/>
      <c r="V285" s="1020"/>
      <c r="W285" s="1020"/>
      <c r="X285" s="1020"/>
      <c r="Y285" s="1020"/>
      <c r="Z285" s="1020"/>
      <c r="AA285" s="1020"/>
      <c r="AB285" s="1020"/>
      <c r="AC285" s="1020"/>
      <c r="AD285" s="1020"/>
      <c r="AE285" s="1020"/>
      <c r="AF285" s="1020"/>
      <c r="AG285" s="1020"/>
      <c r="AH285" s="1020"/>
      <c r="AI285" s="1020"/>
      <c r="AJ285" s="1020"/>
      <c r="AK285" s="1020"/>
      <c r="AL285" s="1020"/>
      <c r="AM285" s="1020"/>
      <c r="AN285" s="1020"/>
      <c r="AO285" s="1020"/>
      <c r="AP285" s="1020"/>
      <c r="AQ285" s="1020"/>
      <c r="AR285" s="1020"/>
      <c r="AS285" s="1020"/>
      <c r="AT285" s="1020"/>
      <c r="AU285" s="1020"/>
      <c r="AV285" s="1020"/>
      <c r="AW285" s="1020"/>
      <c r="AX285" s="1020"/>
    </row>
    <row r="286" spans="4:50" ht="12.75" customHeight="1">
      <c r="D286" s="1071"/>
      <c r="E286" s="1070"/>
      <c r="F286" s="1070"/>
      <c r="G286" s="1070"/>
      <c r="H286" s="1070"/>
      <c r="I286" s="1020"/>
      <c r="J286" s="1020"/>
      <c r="K286" s="1066"/>
      <c r="L286" s="1020"/>
      <c r="M286" s="1020"/>
      <c r="N286" s="1020"/>
      <c r="O286" s="1020"/>
      <c r="P286" s="1020"/>
      <c r="Q286" s="1020"/>
      <c r="R286" s="1020"/>
      <c r="S286" s="1020"/>
      <c r="T286" s="1036"/>
      <c r="U286" s="1036"/>
      <c r="V286" s="1020"/>
      <c r="W286" s="1020"/>
      <c r="X286" s="1020"/>
      <c r="Y286" s="1020"/>
      <c r="Z286" s="1020"/>
      <c r="AA286" s="1020"/>
      <c r="AB286" s="1020"/>
      <c r="AC286" s="1020"/>
      <c r="AD286" s="1020"/>
      <c r="AE286" s="1020"/>
      <c r="AF286" s="1020"/>
      <c r="AG286" s="1020"/>
      <c r="AH286" s="1020"/>
      <c r="AI286" s="1020"/>
      <c r="AJ286" s="1020"/>
      <c r="AK286" s="1020"/>
      <c r="AL286" s="1020"/>
      <c r="AM286" s="1020"/>
      <c r="AN286" s="1020"/>
      <c r="AO286" s="1020"/>
      <c r="AP286" s="1020"/>
      <c r="AQ286" s="1020"/>
      <c r="AR286" s="1020"/>
      <c r="AS286" s="1020"/>
      <c r="AT286" s="1020"/>
      <c r="AU286" s="1020"/>
      <c r="AV286" s="1020"/>
      <c r="AW286" s="1020"/>
      <c r="AX286" s="1020"/>
    </row>
    <row r="287" spans="4:50" ht="12.75" customHeight="1">
      <c r="D287" s="1071"/>
      <c r="E287" s="1070"/>
      <c r="F287" s="1070"/>
      <c r="G287" s="1070"/>
      <c r="H287" s="1070"/>
      <c r="I287" s="1020"/>
      <c r="J287" s="1020"/>
      <c r="K287" s="1020"/>
      <c r="L287" s="1066"/>
      <c r="M287" s="1020"/>
      <c r="N287" s="1020"/>
      <c r="O287" s="1020"/>
      <c r="P287" s="1020"/>
      <c r="Q287" s="1020"/>
      <c r="R287" s="1020"/>
      <c r="S287" s="1020"/>
      <c r="T287" s="1036"/>
      <c r="U287" s="1036"/>
      <c r="V287" s="1020"/>
      <c r="W287" s="1020"/>
      <c r="X287" s="1020"/>
      <c r="Y287" s="1020"/>
      <c r="Z287" s="1020"/>
      <c r="AA287" s="1020"/>
      <c r="AB287" s="1020"/>
      <c r="AC287" s="1020"/>
      <c r="AD287" s="1020"/>
      <c r="AE287" s="1020"/>
      <c r="AF287" s="1020"/>
      <c r="AG287" s="1020"/>
      <c r="AH287" s="1020"/>
      <c r="AI287" s="1020"/>
      <c r="AJ287" s="1020"/>
      <c r="AK287" s="1020"/>
      <c r="AL287" s="1020"/>
      <c r="AM287" s="1020"/>
      <c r="AN287" s="1020"/>
      <c r="AO287" s="1020"/>
      <c r="AP287" s="1020"/>
      <c r="AQ287" s="1020"/>
      <c r="AR287" s="1020"/>
      <c r="AS287" s="1020"/>
      <c r="AT287" s="1020"/>
      <c r="AU287" s="1020"/>
      <c r="AV287" s="1020"/>
      <c r="AW287" s="1020"/>
      <c r="AX287" s="1020"/>
    </row>
    <row r="288" spans="4:50" ht="12.75" customHeight="1">
      <c r="D288" s="1071"/>
      <c r="E288" s="1070"/>
      <c r="F288" s="1070"/>
      <c r="G288" s="1070"/>
      <c r="H288" s="1070"/>
      <c r="I288" s="1020"/>
      <c r="J288" s="1020"/>
      <c r="K288" s="1020"/>
      <c r="L288" s="1066"/>
      <c r="M288" s="1020"/>
      <c r="N288" s="1020"/>
      <c r="O288" s="1020"/>
      <c r="P288" s="1020"/>
      <c r="Q288" s="1020"/>
      <c r="R288" s="1020"/>
      <c r="S288" s="1020"/>
      <c r="T288" s="1036"/>
      <c r="U288" s="1036"/>
      <c r="V288" s="1020"/>
      <c r="W288" s="1020"/>
      <c r="X288" s="1020"/>
      <c r="Y288" s="1020"/>
      <c r="Z288" s="1020"/>
      <c r="AA288" s="1020"/>
      <c r="AB288" s="1020"/>
      <c r="AC288" s="1020"/>
      <c r="AD288" s="1020"/>
      <c r="AE288" s="1020"/>
      <c r="AF288" s="1020"/>
      <c r="AG288" s="1020"/>
      <c r="AH288" s="1020"/>
      <c r="AI288" s="1020"/>
      <c r="AJ288" s="1020"/>
      <c r="AK288" s="1020"/>
      <c r="AL288" s="1020"/>
      <c r="AM288" s="1020"/>
      <c r="AN288" s="1020"/>
      <c r="AO288" s="1020"/>
      <c r="AP288" s="1020"/>
      <c r="AQ288" s="1020"/>
      <c r="AR288" s="1020"/>
      <c r="AS288" s="1020"/>
      <c r="AT288" s="1020"/>
      <c r="AU288" s="1020"/>
      <c r="AV288" s="1020"/>
      <c r="AW288" s="1020"/>
      <c r="AX288" s="1020"/>
    </row>
    <row r="289" spans="4:50" ht="12.75" customHeight="1">
      <c r="D289" s="1071"/>
      <c r="E289" s="1070"/>
      <c r="F289" s="1070"/>
      <c r="G289" s="1070"/>
      <c r="H289" s="1070"/>
      <c r="I289" s="1020"/>
      <c r="J289" s="1020"/>
      <c r="K289" s="1020"/>
      <c r="L289" s="1066"/>
      <c r="M289" s="1020"/>
      <c r="N289" s="1020"/>
      <c r="O289" s="1020"/>
      <c r="P289" s="1020"/>
      <c r="Q289" s="1020"/>
      <c r="R289" s="1020"/>
      <c r="S289" s="1020"/>
      <c r="T289" s="1036"/>
      <c r="U289" s="1036"/>
      <c r="V289" s="1020"/>
      <c r="W289" s="1020"/>
      <c r="X289" s="1020"/>
      <c r="Y289" s="1020"/>
      <c r="Z289" s="1020"/>
      <c r="AA289" s="1020"/>
      <c r="AB289" s="1020"/>
      <c r="AC289" s="1020"/>
      <c r="AD289" s="1020"/>
      <c r="AE289" s="1020"/>
      <c r="AF289" s="1020"/>
      <c r="AG289" s="1020"/>
      <c r="AH289" s="1020"/>
      <c r="AI289" s="1020"/>
      <c r="AJ289" s="1020"/>
      <c r="AK289" s="1020"/>
      <c r="AL289" s="1020"/>
      <c r="AM289" s="1020"/>
      <c r="AN289" s="1020"/>
      <c r="AO289" s="1020"/>
      <c r="AP289" s="1020"/>
      <c r="AQ289" s="1020"/>
      <c r="AR289" s="1020"/>
      <c r="AS289" s="1020"/>
      <c r="AT289" s="1020"/>
      <c r="AU289" s="1020"/>
      <c r="AV289" s="1020"/>
      <c r="AW289" s="1020"/>
      <c r="AX289" s="1020"/>
    </row>
    <row r="290" spans="4:50" ht="12.75" customHeight="1">
      <c r="D290" s="1071"/>
      <c r="E290" s="1070"/>
      <c r="F290" s="1070"/>
      <c r="G290" s="1070"/>
      <c r="H290" s="1070"/>
      <c r="I290" s="1020"/>
      <c r="J290" s="1020"/>
      <c r="K290" s="1020"/>
      <c r="L290" s="1066"/>
      <c r="M290" s="1020"/>
      <c r="N290" s="1020"/>
      <c r="O290" s="1020"/>
      <c r="P290" s="1020"/>
      <c r="Q290" s="1020"/>
      <c r="R290" s="1020"/>
      <c r="S290" s="1020"/>
      <c r="T290" s="1036"/>
      <c r="U290" s="1036"/>
      <c r="V290" s="1020"/>
      <c r="W290" s="1020"/>
      <c r="X290" s="1020"/>
      <c r="Y290" s="1020"/>
      <c r="Z290" s="1020"/>
      <c r="AA290" s="1020"/>
      <c r="AB290" s="1020"/>
      <c r="AC290" s="1020"/>
      <c r="AD290" s="1020"/>
      <c r="AE290" s="1020"/>
      <c r="AF290" s="1020"/>
      <c r="AG290" s="1020"/>
      <c r="AH290" s="1020"/>
      <c r="AI290" s="1020"/>
      <c r="AJ290" s="1020"/>
      <c r="AK290" s="1020"/>
      <c r="AL290" s="1020"/>
      <c r="AM290" s="1020"/>
      <c r="AN290" s="1020"/>
      <c r="AO290" s="1020"/>
      <c r="AP290" s="1020"/>
      <c r="AQ290" s="1020"/>
      <c r="AR290" s="1020"/>
      <c r="AS290" s="1020"/>
      <c r="AT290" s="1020"/>
      <c r="AU290" s="1020"/>
      <c r="AV290" s="1020"/>
      <c r="AW290" s="1020"/>
      <c r="AX290" s="1020"/>
    </row>
    <row r="291" spans="4:50" ht="12.75" customHeight="1">
      <c r="D291" s="1071"/>
      <c r="E291" s="1070"/>
      <c r="F291" s="1070"/>
      <c r="G291" s="1070"/>
      <c r="H291" s="1070"/>
      <c r="I291" s="1020"/>
      <c r="J291" s="1020"/>
      <c r="K291" s="1020"/>
      <c r="L291" s="1066"/>
      <c r="M291" s="1020"/>
      <c r="N291" s="1020"/>
      <c r="O291" s="1020"/>
      <c r="P291" s="1020"/>
      <c r="Q291" s="1020"/>
      <c r="R291" s="1020"/>
      <c r="S291" s="1020"/>
      <c r="T291" s="1036"/>
      <c r="U291" s="1036"/>
      <c r="V291" s="1020"/>
      <c r="W291" s="1020"/>
      <c r="X291" s="1020"/>
      <c r="Y291" s="1020"/>
      <c r="Z291" s="1020"/>
      <c r="AA291" s="1020"/>
      <c r="AB291" s="1020"/>
      <c r="AC291" s="1020"/>
      <c r="AD291" s="1020"/>
      <c r="AE291" s="1020"/>
      <c r="AF291" s="1020"/>
      <c r="AG291" s="1020"/>
      <c r="AH291" s="1020"/>
      <c r="AI291" s="1020"/>
      <c r="AJ291" s="1020"/>
      <c r="AK291" s="1020"/>
      <c r="AL291" s="1020"/>
      <c r="AM291" s="1020"/>
      <c r="AN291" s="1020"/>
      <c r="AO291" s="1020"/>
      <c r="AP291" s="1020"/>
      <c r="AQ291" s="1020"/>
      <c r="AR291" s="1020"/>
      <c r="AS291" s="1020"/>
      <c r="AT291" s="1020"/>
      <c r="AU291" s="1020"/>
      <c r="AV291" s="1020"/>
      <c r="AW291" s="1020"/>
      <c r="AX291" s="1020"/>
    </row>
    <row r="292" spans="4:50" ht="12.75" customHeight="1">
      <c r="D292" s="1071"/>
      <c r="E292" s="1070"/>
      <c r="F292" s="1070"/>
      <c r="G292" s="1070"/>
      <c r="H292" s="1070"/>
      <c r="I292" s="1020"/>
      <c r="J292" s="1020"/>
      <c r="K292" s="1020"/>
      <c r="L292" s="1066"/>
      <c r="M292" s="1020"/>
      <c r="N292" s="1020"/>
      <c r="O292" s="1020"/>
      <c r="P292" s="1020"/>
      <c r="Q292" s="1020"/>
      <c r="R292" s="1020"/>
      <c r="S292" s="1020"/>
      <c r="T292" s="1036"/>
      <c r="U292" s="1036"/>
      <c r="V292" s="1020"/>
      <c r="W292" s="1020"/>
      <c r="X292" s="1020"/>
      <c r="Y292" s="1020"/>
      <c r="Z292" s="1020"/>
      <c r="AA292" s="1020"/>
      <c r="AB292" s="1020"/>
      <c r="AC292" s="1020"/>
      <c r="AD292" s="1020"/>
      <c r="AE292" s="1020"/>
      <c r="AF292" s="1020"/>
      <c r="AG292" s="1020"/>
      <c r="AH292" s="1020"/>
      <c r="AI292" s="1020"/>
      <c r="AJ292" s="1020"/>
      <c r="AK292" s="1020"/>
      <c r="AL292" s="1020"/>
      <c r="AM292" s="1020"/>
      <c r="AN292" s="1020"/>
      <c r="AO292" s="1020"/>
      <c r="AP292" s="1020"/>
      <c r="AQ292" s="1020"/>
      <c r="AR292" s="1020"/>
      <c r="AS292" s="1020"/>
      <c r="AT292" s="1020"/>
      <c r="AU292" s="1020"/>
      <c r="AV292" s="1020"/>
      <c r="AW292" s="1020"/>
      <c r="AX292" s="1020"/>
    </row>
    <row r="293" spans="4:50" ht="12.75" customHeight="1">
      <c r="D293" s="1071"/>
      <c r="E293" s="1070"/>
      <c r="F293" s="1070"/>
      <c r="G293" s="1070"/>
      <c r="H293" s="1070"/>
      <c r="I293" s="1020"/>
      <c r="J293" s="1020"/>
      <c r="K293" s="1020"/>
      <c r="L293" s="1066"/>
      <c r="M293" s="1020"/>
      <c r="N293" s="1020"/>
      <c r="O293" s="1020"/>
      <c r="P293" s="1020"/>
      <c r="Q293" s="1020"/>
      <c r="R293" s="1020"/>
      <c r="S293" s="1020"/>
      <c r="T293" s="1036"/>
      <c r="U293" s="1036"/>
      <c r="V293" s="1020"/>
      <c r="W293" s="1020"/>
      <c r="X293" s="1020"/>
      <c r="Y293" s="1020"/>
      <c r="Z293" s="1020"/>
      <c r="AA293" s="1020"/>
      <c r="AB293" s="1020"/>
      <c r="AC293" s="1020"/>
      <c r="AD293" s="1020"/>
      <c r="AE293" s="1020"/>
      <c r="AF293" s="1020"/>
      <c r="AG293" s="1020"/>
      <c r="AH293" s="1020"/>
      <c r="AI293" s="1020"/>
      <c r="AJ293" s="1020"/>
      <c r="AK293" s="1020"/>
      <c r="AL293" s="1020"/>
      <c r="AM293" s="1020"/>
      <c r="AN293" s="1020"/>
      <c r="AO293" s="1020"/>
      <c r="AP293" s="1020"/>
      <c r="AQ293" s="1020"/>
      <c r="AR293" s="1020"/>
      <c r="AS293" s="1020"/>
      <c r="AT293" s="1020"/>
      <c r="AU293" s="1020"/>
      <c r="AV293" s="1020"/>
      <c r="AW293" s="1020"/>
      <c r="AX293" s="1020"/>
    </row>
    <row r="294" spans="4:50" ht="12.75" customHeight="1">
      <c r="D294" s="1071"/>
      <c r="E294" s="1070"/>
      <c r="F294" s="1070"/>
      <c r="G294" s="1070"/>
      <c r="H294" s="1070"/>
      <c r="I294" s="1020"/>
      <c r="J294" s="1020"/>
      <c r="K294" s="1020"/>
      <c r="L294" s="1066"/>
      <c r="M294" s="1020"/>
      <c r="N294" s="1020"/>
      <c r="O294" s="1020"/>
      <c r="P294" s="1020"/>
      <c r="Q294" s="1020"/>
      <c r="R294" s="1020"/>
      <c r="S294" s="1020"/>
      <c r="T294" s="1036"/>
      <c r="U294" s="1036"/>
      <c r="V294" s="1020"/>
      <c r="W294" s="1020"/>
      <c r="X294" s="1020"/>
      <c r="Y294" s="1020"/>
      <c r="Z294" s="1020"/>
      <c r="AA294" s="1020"/>
      <c r="AB294" s="1020"/>
      <c r="AC294" s="1020"/>
      <c r="AD294" s="1020"/>
      <c r="AE294" s="1020"/>
      <c r="AF294" s="1020"/>
      <c r="AG294" s="1020"/>
      <c r="AH294" s="1020"/>
      <c r="AI294" s="1020"/>
      <c r="AJ294" s="1020"/>
      <c r="AK294" s="1020"/>
      <c r="AL294" s="1020"/>
      <c r="AM294" s="1020"/>
      <c r="AN294" s="1020"/>
      <c r="AO294" s="1020"/>
      <c r="AP294" s="1020"/>
      <c r="AQ294" s="1020"/>
      <c r="AR294" s="1020"/>
      <c r="AS294" s="1020"/>
      <c r="AT294" s="1020"/>
      <c r="AU294" s="1020"/>
      <c r="AV294" s="1020"/>
      <c r="AW294" s="1020"/>
      <c r="AX294" s="1020"/>
    </row>
    <row r="295" spans="4:50" ht="12.75" customHeight="1">
      <c r="D295" s="1071"/>
      <c r="E295" s="1070"/>
      <c r="F295" s="1070"/>
      <c r="G295" s="1070"/>
      <c r="H295" s="1070"/>
      <c r="I295" s="1020"/>
      <c r="J295" s="1020"/>
      <c r="K295" s="1020"/>
      <c r="L295" s="1066"/>
      <c r="M295" s="1020"/>
      <c r="N295" s="1020"/>
      <c r="O295" s="1020"/>
      <c r="P295" s="1020"/>
      <c r="Q295" s="1020"/>
      <c r="R295" s="1020"/>
      <c r="S295" s="1020"/>
      <c r="T295" s="1036"/>
      <c r="U295" s="1036"/>
      <c r="V295" s="1020"/>
      <c r="W295" s="1020"/>
      <c r="X295" s="1020"/>
      <c r="Y295" s="1020"/>
      <c r="Z295" s="1020"/>
      <c r="AA295" s="1020"/>
      <c r="AB295" s="1020"/>
      <c r="AC295" s="1020"/>
      <c r="AD295" s="1020"/>
      <c r="AE295" s="1020"/>
      <c r="AF295" s="1020"/>
      <c r="AG295" s="1020"/>
      <c r="AH295" s="1020"/>
      <c r="AI295" s="1020"/>
      <c r="AJ295" s="1020"/>
      <c r="AK295" s="1020"/>
      <c r="AL295" s="1020"/>
      <c r="AM295" s="1020"/>
      <c r="AN295" s="1020"/>
      <c r="AO295" s="1020"/>
      <c r="AP295" s="1020"/>
      <c r="AQ295" s="1020"/>
      <c r="AR295" s="1020"/>
      <c r="AS295" s="1020"/>
      <c r="AT295" s="1020"/>
      <c r="AU295" s="1020"/>
      <c r="AV295" s="1020"/>
      <c r="AW295" s="1020"/>
      <c r="AX295" s="1020"/>
    </row>
    <row r="296" spans="4:50" ht="12.75" customHeight="1">
      <c r="D296" s="1071"/>
      <c r="E296" s="1070"/>
      <c r="F296" s="1070"/>
      <c r="G296" s="1070"/>
      <c r="H296" s="1070"/>
      <c r="I296" s="1020"/>
      <c r="J296" s="1020"/>
      <c r="K296" s="1020"/>
      <c r="L296" s="1066"/>
      <c r="M296" s="1020"/>
      <c r="N296" s="1020"/>
      <c r="O296" s="1020"/>
      <c r="P296" s="1020"/>
      <c r="Q296" s="1020"/>
      <c r="R296" s="1020"/>
      <c r="S296" s="1020"/>
      <c r="T296" s="1036"/>
      <c r="U296" s="1036"/>
      <c r="V296" s="1020"/>
      <c r="W296" s="1020"/>
      <c r="X296" s="1020"/>
      <c r="Y296" s="1020"/>
      <c r="Z296" s="1020"/>
      <c r="AA296" s="1020"/>
      <c r="AB296" s="1020"/>
      <c r="AC296" s="1020"/>
      <c r="AD296" s="1020"/>
      <c r="AE296" s="1020"/>
      <c r="AF296" s="1020"/>
      <c r="AG296" s="1020"/>
      <c r="AH296" s="1020"/>
      <c r="AI296" s="1020"/>
      <c r="AJ296" s="1020"/>
      <c r="AK296" s="1020"/>
      <c r="AL296" s="1020"/>
      <c r="AM296" s="1020"/>
      <c r="AN296" s="1020"/>
      <c r="AO296" s="1020"/>
      <c r="AP296" s="1020"/>
      <c r="AQ296" s="1020"/>
      <c r="AR296" s="1020"/>
      <c r="AS296" s="1020"/>
      <c r="AT296" s="1020"/>
      <c r="AU296" s="1020"/>
      <c r="AV296" s="1020"/>
      <c r="AW296" s="1020"/>
      <c r="AX296" s="1020"/>
    </row>
    <row r="297" spans="4:50" ht="12.75" customHeight="1">
      <c r="D297" s="1071"/>
      <c r="E297" s="1070"/>
      <c r="F297" s="1070"/>
      <c r="G297" s="1070"/>
      <c r="H297" s="1070"/>
      <c r="I297" s="1020"/>
      <c r="J297" s="1020"/>
      <c r="K297" s="1020"/>
      <c r="L297" s="1066"/>
      <c r="M297" s="1020"/>
      <c r="N297" s="1020"/>
      <c r="O297" s="1020"/>
      <c r="P297" s="1020"/>
      <c r="Q297" s="1020"/>
      <c r="R297" s="1020"/>
      <c r="S297" s="1020"/>
      <c r="T297" s="1036"/>
      <c r="U297" s="1036"/>
      <c r="V297" s="1020"/>
      <c r="W297" s="1020"/>
      <c r="X297" s="1020"/>
      <c r="Y297" s="1020"/>
      <c r="Z297" s="1020"/>
      <c r="AA297" s="1020"/>
      <c r="AB297" s="1020"/>
      <c r="AC297" s="1020"/>
      <c r="AD297" s="1020"/>
      <c r="AE297" s="1020"/>
      <c r="AF297" s="1020"/>
      <c r="AG297" s="1020"/>
      <c r="AH297" s="1020"/>
      <c r="AI297" s="1020"/>
      <c r="AJ297" s="1020"/>
      <c r="AK297" s="1020"/>
      <c r="AL297" s="1020"/>
      <c r="AM297" s="1020"/>
      <c r="AN297" s="1020"/>
      <c r="AO297" s="1020"/>
      <c r="AP297" s="1020"/>
      <c r="AQ297" s="1020"/>
      <c r="AR297" s="1020"/>
      <c r="AS297" s="1020"/>
      <c r="AT297" s="1020"/>
      <c r="AU297" s="1020"/>
      <c r="AV297" s="1020"/>
      <c r="AW297" s="1020"/>
      <c r="AX297" s="1020"/>
    </row>
    <row r="298" spans="4:50" ht="12.75" customHeight="1">
      <c r="D298" s="1071"/>
      <c r="E298" s="1070"/>
      <c r="F298" s="1070"/>
      <c r="G298" s="1070"/>
      <c r="H298" s="1070"/>
      <c r="I298" s="1020"/>
      <c r="J298" s="1020"/>
      <c r="K298" s="1020"/>
      <c r="L298" s="1066"/>
      <c r="M298" s="1020"/>
      <c r="N298" s="1020"/>
      <c r="O298" s="1020"/>
      <c r="P298" s="1020"/>
      <c r="Q298" s="1020"/>
      <c r="R298" s="1020"/>
      <c r="S298" s="1020"/>
      <c r="T298" s="1036"/>
      <c r="U298" s="1036"/>
      <c r="V298" s="1020"/>
      <c r="W298" s="1020"/>
      <c r="X298" s="1020"/>
      <c r="Y298" s="1020"/>
      <c r="Z298" s="1020"/>
      <c r="AA298" s="1020"/>
      <c r="AB298" s="1020"/>
      <c r="AC298" s="1020"/>
      <c r="AD298" s="1020"/>
      <c r="AE298" s="1020"/>
      <c r="AF298" s="1020"/>
      <c r="AG298" s="1020"/>
      <c r="AH298" s="1020"/>
      <c r="AI298" s="1020"/>
      <c r="AJ298" s="1020"/>
      <c r="AK298" s="1020"/>
      <c r="AL298" s="1020"/>
      <c r="AM298" s="1020"/>
      <c r="AN298" s="1020"/>
      <c r="AO298" s="1020"/>
      <c r="AP298" s="1020"/>
      <c r="AQ298" s="1020"/>
      <c r="AR298" s="1020"/>
      <c r="AS298" s="1020"/>
      <c r="AT298" s="1020"/>
      <c r="AU298" s="1020"/>
      <c r="AV298" s="1020"/>
      <c r="AW298" s="1020"/>
      <c r="AX298" s="1020"/>
    </row>
    <row r="299" spans="4:50" ht="12.75" customHeight="1">
      <c r="D299" s="1071"/>
      <c r="E299" s="1070"/>
      <c r="F299" s="1070"/>
      <c r="G299" s="1070"/>
      <c r="H299" s="1070"/>
      <c r="I299" s="1020"/>
      <c r="J299" s="1020"/>
      <c r="K299" s="1020"/>
      <c r="L299" s="1066"/>
      <c r="M299" s="1020"/>
      <c r="N299" s="1020"/>
      <c r="O299" s="1020"/>
      <c r="P299" s="1020"/>
      <c r="Q299" s="1020"/>
      <c r="R299" s="1020"/>
      <c r="S299" s="1020"/>
      <c r="T299" s="1036"/>
      <c r="U299" s="1036"/>
      <c r="V299" s="1020"/>
      <c r="W299" s="1020"/>
      <c r="X299" s="1020"/>
      <c r="Y299" s="1020"/>
      <c r="Z299" s="1020"/>
      <c r="AA299" s="1020"/>
      <c r="AB299" s="1020"/>
      <c r="AC299" s="1020"/>
      <c r="AD299" s="1020"/>
      <c r="AE299" s="1020"/>
      <c r="AF299" s="1020"/>
      <c r="AG299" s="1020"/>
      <c r="AH299" s="1020"/>
      <c r="AI299" s="1020"/>
      <c r="AJ299" s="1020"/>
      <c r="AK299" s="1020"/>
      <c r="AL299" s="1020"/>
      <c r="AM299" s="1020"/>
      <c r="AN299" s="1020"/>
      <c r="AO299" s="1020"/>
      <c r="AP299" s="1020"/>
      <c r="AQ299" s="1020"/>
      <c r="AR299" s="1020"/>
      <c r="AS299" s="1020"/>
      <c r="AT299" s="1020"/>
      <c r="AU299" s="1020"/>
      <c r="AV299" s="1020"/>
      <c r="AW299" s="1020"/>
      <c r="AX299" s="1020"/>
    </row>
    <row r="300" spans="4:50" ht="12.75" customHeight="1">
      <c r="D300" s="1071"/>
      <c r="E300" s="1070"/>
      <c r="F300" s="1070"/>
      <c r="G300" s="1070"/>
      <c r="H300" s="1070"/>
      <c r="I300" s="1020"/>
      <c r="J300" s="1020"/>
      <c r="K300" s="1020"/>
      <c r="L300" s="1066"/>
      <c r="M300" s="1020"/>
      <c r="N300" s="1020"/>
      <c r="O300" s="1020"/>
      <c r="P300" s="1020"/>
      <c r="Q300" s="1020"/>
      <c r="R300" s="1020"/>
      <c r="S300" s="1020"/>
      <c r="T300" s="1036"/>
      <c r="U300" s="1036"/>
      <c r="V300" s="1020"/>
      <c r="W300" s="1020"/>
      <c r="X300" s="1020"/>
      <c r="Y300" s="1020"/>
      <c r="Z300" s="1020"/>
      <c r="AA300" s="1020"/>
      <c r="AB300" s="1020"/>
      <c r="AC300" s="1020"/>
      <c r="AD300" s="1020"/>
      <c r="AE300" s="1020"/>
      <c r="AF300" s="1020"/>
      <c r="AG300" s="1020"/>
      <c r="AH300" s="1020"/>
      <c r="AI300" s="1020"/>
      <c r="AJ300" s="1020"/>
      <c r="AK300" s="1020"/>
      <c r="AL300" s="1020"/>
      <c r="AM300" s="1020"/>
      <c r="AN300" s="1020"/>
      <c r="AO300" s="1020"/>
      <c r="AP300" s="1020"/>
      <c r="AQ300" s="1020"/>
      <c r="AR300" s="1020"/>
      <c r="AS300" s="1020"/>
      <c r="AT300" s="1020"/>
      <c r="AU300" s="1020"/>
      <c r="AV300" s="1020"/>
      <c r="AW300" s="1020"/>
      <c r="AX300" s="1020"/>
    </row>
    <row r="301" spans="4:50" ht="12.75" customHeight="1">
      <c r="D301" s="1071"/>
      <c r="E301" s="1070"/>
      <c r="F301" s="1070"/>
      <c r="G301" s="1070"/>
      <c r="H301" s="1070"/>
      <c r="I301" s="1020"/>
      <c r="J301" s="1020"/>
      <c r="K301" s="1020"/>
      <c r="L301" s="1066"/>
      <c r="M301" s="1020"/>
      <c r="N301" s="1020"/>
      <c r="O301" s="1020"/>
      <c r="P301" s="1020"/>
      <c r="Q301" s="1020"/>
      <c r="R301" s="1020"/>
      <c r="S301" s="1020"/>
      <c r="T301" s="1036"/>
      <c r="U301" s="1036"/>
      <c r="V301" s="1020"/>
      <c r="W301" s="1020"/>
      <c r="X301" s="1020"/>
      <c r="Y301" s="1020"/>
      <c r="Z301" s="1020"/>
      <c r="AA301" s="1020"/>
      <c r="AB301" s="1020"/>
      <c r="AC301" s="1020"/>
      <c r="AD301" s="1020"/>
      <c r="AE301" s="1020"/>
      <c r="AF301" s="1020"/>
      <c r="AG301" s="1020"/>
      <c r="AH301" s="1020"/>
      <c r="AI301" s="1020"/>
      <c r="AJ301" s="1020"/>
      <c r="AK301" s="1020"/>
      <c r="AL301" s="1020"/>
      <c r="AM301" s="1020"/>
      <c r="AN301" s="1020"/>
      <c r="AO301" s="1020"/>
      <c r="AP301" s="1020"/>
      <c r="AQ301" s="1020"/>
      <c r="AR301" s="1020"/>
      <c r="AS301" s="1020"/>
      <c r="AT301" s="1020"/>
      <c r="AU301" s="1020"/>
      <c r="AV301" s="1020"/>
      <c r="AW301" s="1020"/>
      <c r="AX301" s="1020"/>
    </row>
    <row r="302" spans="4:50" ht="12.75" customHeight="1">
      <c r="D302" s="1071"/>
      <c r="E302" s="1070"/>
      <c r="F302" s="1070"/>
      <c r="G302" s="1070"/>
      <c r="H302" s="1070"/>
      <c r="I302" s="1020"/>
      <c r="J302" s="1020"/>
      <c r="K302" s="1020"/>
      <c r="L302" s="1066"/>
      <c r="M302" s="1020"/>
      <c r="N302" s="1020"/>
      <c r="O302" s="1020"/>
      <c r="P302" s="1020"/>
      <c r="Q302" s="1020"/>
      <c r="R302" s="1020"/>
      <c r="S302" s="1020"/>
      <c r="T302" s="1036"/>
      <c r="U302" s="1036"/>
      <c r="V302" s="1020"/>
      <c r="W302" s="1020"/>
      <c r="X302" s="1020"/>
      <c r="Y302" s="1020"/>
      <c r="Z302" s="1020"/>
      <c r="AA302" s="1020"/>
      <c r="AB302" s="1020"/>
      <c r="AC302" s="1020"/>
      <c r="AD302" s="1020"/>
      <c r="AE302" s="1020"/>
      <c r="AF302" s="1020"/>
      <c r="AG302" s="1020"/>
      <c r="AH302" s="1020"/>
      <c r="AI302" s="1020"/>
      <c r="AJ302" s="1020"/>
      <c r="AK302" s="1020"/>
      <c r="AL302" s="1020"/>
      <c r="AM302" s="1020"/>
      <c r="AN302" s="1020"/>
      <c r="AO302" s="1020"/>
      <c r="AP302" s="1020"/>
      <c r="AQ302" s="1020"/>
      <c r="AR302" s="1020"/>
      <c r="AS302" s="1020"/>
      <c r="AT302" s="1020"/>
      <c r="AU302" s="1020"/>
      <c r="AV302" s="1020"/>
      <c r="AW302" s="1020"/>
      <c r="AX302" s="1020"/>
    </row>
    <row r="303" spans="4:50" ht="12.75" customHeight="1">
      <c r="D303" s="1071"/>
      <c r="E303" s="1070"/>
      <c r="F303" s="1070"/>
      <c r="G303" s="1070"/>
      <c r="H303" s="1070"/>
      <c r="I303" s="1020"/>
      <c r="J303" s="1020"/>
      <c r="K303" s="1020"/>
      <c r="L303" s="1066"/>
      <c r="M303" s="1020"/>
      <c r="N303" s="1020"/>
      <c r="O303" s="1020"/>
      <c r="P303" s="1020"/>
      <c r="Q303" s="1020"/>
      <c r="R303" s="1020"/>
      <c r="S303" s="1020"/>
      <c r="T303" s="1036"/>
      <c r="U303" s="1036"/>
      <c r="V303" s="1020"/>
      <c r="W303" s="1020"/>
      <c r="X303" s="1020"/>
      <c r="Y303" s="1020"/>
      <c r="Z303" s="1020"/>
      <c r="AA303" s="1020"/>
      <c r="AB303" s="1020"/>
      <c r="AC303" s="1020"/>
      <c r="AD303" s="1020"/>
      <c r="AE303" s="1020"/>
      <c r="AF303" s="1020"/>
      <c r="AG303" s="1020"/>
      <c r="AH303" s="1020"/>
      <c r="AI303" s="1020"/>
      <c r="AJ303" s="1020"/>
      <c r="AK303" s="1020"/>
      <c r="AL303" s="1020"/>
      <c r="AM303" s="1020"/>
      <c r="AN303" s="1020"/>
      <c r="AO303" s="1020"/>
      <c r="AP303" s="1020"/>
      <c r="AQ303" s="1020"/>
      <c r="AR303" s="1020"/>
      <c r="AS303" s="1020"/>
      <c r="AT303" s="1020"/>
      <c r="AU303" s="1020"/>
      <c r="AV303" s="1020"/>
      <c r="AW303" s="1020"/>
      <c r="AX303" s="1020"/>
    </row>
    <row r="304" spans="4:50" ht="12.75" customHeight="1">
      <c r="D304" s="1071"/>
      <c r="E304" s="1070"/>
      <c r="F304" s="1070"/>
      <c r="G304" s="1070"/>
      <c r="H304" s="1070"/>
      <c r="I304" s="1020"/>
      <c r="J304" s="1020"/>
      <c r="K304" s="1020"/>
      <c r="L304" s="1066"/>
      <c r="M304" s="1020"/>
      <c r="N304" s="1020"/>
      <c r="O304" s="1020"/>
      <c r="P304" s="1020"/>
      <c r="Q304" s="1020"/>
      <c r="R304" s="1020"/>
      <c r="S304" s="1020"/>
      <c r="T304" s="1036"/>
      <c r="U304" s="1036"/>
      <c r="V304" s="1020"/>
      <c r="W304" s="1020"/>
      <c r="X304" s="1020"/>
      <c r="Y304" s="1020"/>
      <c r="Z304" s="1020"/>
      <c r="AA304" s="1020"/>
      <c r="AB304" s="1020"/>
      <c r="AC304" s="1020"/>
      <c r="AD304" s="1020"/>
      <c r="AE304" s="1020"/>
      <c r="AF304" s="1020"/>
      <c r="AG304" s="1020"/>
      <c r="AH304" s="1020"/>
      <c r="AI304" s="1020"/>
      <c r="AJ304" s="1020"/>
      <c r="AK304" s="1020"/>
      <c r="AL304" s="1020"/>
      <c r="AM304" s="1020"/>
      <c r="AN304" s="1020"/>
      <c r="AO304" s="1020"/>
      <c r="AP304" s="1020"/>
      <c r="AQ304" s="1020"/>
      <c r="AR304" s="1020"/>
      <c r="AS304" s="1020"/>
      <c r="AT304" s="1020"/>
      <c r="AU304" s="1020"/>
      <c r="AV304" s="1020"/>
      <c r="AW304" s="1020"/>
      <c r="AX304" s="1020"/>
    </row>
    <row r="305" spans="4:50" ht="12.75" customHeight="1">
      <c r="D305" s="1071"/>
      <c r="E305" s="1070"/>
      <c r="F305" s="1070"/>
      <c r="G305" s="1070"/>
      <c r="H305" s="1070"/>
      <c r="I305" s="1020"/>
      <c r="J305" s="1020"/>
      <c r="K305" s="1020"/>
      <c r="L305" s="1066"/>
      <c r="M305" s="1020"/>
      <c r="N305" s="1020"/>
      <c r="O305" s="1020"/>
      <c r="P305" s="1020"/>
      <c r="Q305" s="1020"/>
      <c r="R305" s="1020"/>
      <c r="S305" s="1020"/>
      <c r="T305" s="1036"/>
      <c r="U305" s="1036"/>
      <c r="V305" s="1020"/>
      <c r="W305" s="1020"/>
      <c r="X305" s="1020"/>
      <c r="Y305" s="1020"/>
      <c r="Z305" s="1020"/>
      <c r="AA305" s="1020"/>
      <c r="AB305" s="1020"/>
      <c r="AC305" s="1020"/>
      <c r="AD305" s="1020"/>
      <c r="AE305" s="1020"/>
      <c r="AF305" s="1020"/>
      <c r="AG305" s="1020"/>
      <c r="AH305" s="1020"/>
      <c r="AI305" s="1020"/>
      <c r="AJ305" s="1020"/>
      <c r="AK305" s="1020"/>
      <c r="AL305" s="1020"/>
      <c r="AM305" s="1020"/>
      <c r="AN305" s="1020"/>
      <c r="AO305" s="1020"/>
      <c r="AP305" s="1020"/>
      <c r="AQ305" s="1020"/>
      <c r="AR305" s="1020"/>
      <c r="AS305" s="1020"/>
      <c r="AT305" s="1020"/>
      <c r="AU305" s="1020"/>
      <c r="AV305" s="1020"/>
      <c r="AW305" s="1020"/>
      <c r="AX305" s="1020"/>
    </row>
    <row r="306" spans="4:50" ht="12.75" customHeight="1">
      <c r="D306" s="1071"/>
      <c r="E306" s="1070"/>
      <c r="F306" s="1070"/>
      <c r="G306" s="1070"/>
      <c r="H306" s="1070"/>
      <c r="I306" s="1020"/>
      <c r="J306" s="1020"/>
      <c r="K306" s="1020"/>
      <c r="L306" s="1066"/>
      <c r="M306" s="1020"/>
      <c r="N306" s="1020"/>
      <c r="O306" s="1020"/>
      <c r="P306" s="1020"/>
      <c r="Q306" s="1020"/>
      <c r="R306" s="1020"/>
      <c r="S306" s="1020"/>
      <c r="T306" s="1036"/>
      <c r="U306" s="1036"/>
      <c r="V306" s="1020"/>
      <c r="W306" s="1020"/>
      <c r="X306" s="1020"/>
      <c r="Y306" s="1020"/>
      <c r="Z306" s="1020"/>
      <c r="AA306" s="1020"/>
      <c r="AB306" s="1020"/>
      <c r="AC306" s="1020"/>
      <c r="AD306" s="1020"/>
      <c r="AE306" s="1020"/>
      <c r="AF306" s="1020"/>
      <c r="AG306" s="1020"/>
      <c r="AH306" s="1020"/>
      <c r="AI306" s="1020"/>
      <c r="AJ306" s="1020"/>
      <c r="AK306" s="1020"/>
      <c r="AL306" s="1020"/>
      <c r="AM306" s="1020"/>
      <c r="AN306" s="1020"/>
      <c r="AO306" s="1020"/>
      <c r="AP306" s="1020"/>
      <c r="AQ306" s="1020"/>
      <c r="AR306" s="1020"/>
      <c r="AS306" s="1020"/>
      <c r="AT306" s="1020"/>
      <c r="AU306" s="1020"/>
      <c r="AV306" s="1020"/>
      <c r="AW306" s="1020"/>
      <c r="AX306" s="1020"/>
    </row>
    <row r="307" spans="4:50" ht="12.75" customHeight="1">
      <c r="D307" s="1071"/>
      <c r="E307" s="1070"/>
      <c r="F307" s="1070"/>
      <c r="G307" s="1070"/>
      <c r="H307" s="1070"/>
      <c r="I307" s="1020"/>
      <c r="J307" s="1020"/>
      <c r="K307" s="1020"/>
      <c r="L307" s="1066"/>
      <c r="M307" s="1020"/>
      <c r="N307" s="1020"/>
      <c r="O307" s="1020"/>
      <c r="P307" s="1020"/>
      <c r="Q307" s="1020"/>
      <c r="R307" s="1020"/>
      <c r="S307" s="1020"/>
      <c r="T307" s="1036"/>
      <c r="U307" s="1036"/>
      <c r="V307" s="1020"/>
      <c r="W307" s="1020"/>
      <c r="X307" s="1020"/>
      <c r="Y307" s="1020"/>
      <c r="Z307" s="1020"/>
      <c r="AA307" s="1020"/>
      <c r="AB307" s="1020"/>
      <c r="AC307" s="1020"/>
      <c r="AD307" s="1020"/>
      <c r="AE307" s="1020"/>
      <c r="AF307" s="1020"/>
      <c r="AG307" s="1020"/>
      <c r="AH307" s="1020"/>
      <c r="AI307" s="1020"/>
      <c r="AJ307" s="1020"/>
      <c r="AK307" s="1020"/>
      <c r="AL307" s="1020"/>
      <c r="AM307" s="1020"/>
      <c r="AN307" s="1020"/>
      <c r="AO307" s="1020"/>
      <c r="AP307" s="1020"/>
      <c r="AQ307" s="1020"/>
      <c r="AR307" s="1020"/>
      <c r="AS307" s="1020"/>
      <c r="AT307" s="1020"/>
      <c r="AU307" s="1020"/>
      <c r="AV307" s="1020"/>
      <c r="AW307" s="1020"/>
      <c r="AX307" s="1020"/>
    </row>
    <row r="308" spans="4:50" ht="12.75" customHeight="1">
      <c r="D308" s="1071"/>
      <c r="E308" s="1070"/>
      <c r="F308" s="1070"/>
      <c r="G308" s="1070"/>
      <c r="H308" s="1070"/>
      <c r="I308" s="1020"/>
      <c r="J308" s="1020"/>
      <c r="K308" s="1020"/>
      <c r="L308" s="1066"/>
      <c r="M308" s="1020"/>
      <c r="N308" s="1020"/>
      <c r="O308" s="1020"/>
      <c r="P308" s="1020"/>
      <c r="Q308" s="1020"/>
      <c r="R308" s="1020"/>
      <c r="S308" s="1020"/>
      <c r="T308" s="1036"/>
      <c r="U308" s="1036"/>
      <c r="V308" s="1020"/>
      <c r="W308" s="1020"/>
      <c r="X308" s="1020"/>
      <c r="Y308" s="1020"/>
      <c r="Z308" s="1020"/>
      <c r="AA308" s="1020"/>
      <c r="AB308" s="1020"/>
      <c r="AC308" s="1020"/>
      <c r="AD308" s="1020"/>
      <c r="AE308" s="1020"/>
      <c r="AF308" s="1020"/>
      <c r="AG308" s="1020"/>
      <c r="AH308" s="1020"/>
      <c r="AI308" s="1020"/>
      <c r="AJ308" s="1020"/>
      <c r="AK308" s="1020"/>
      <c r="AL308" s="1020"/>
      <c r="AM308" s="1020"/>
      <c r="AN308" s="1020"/>
      <c r="AO308" s="1020"/>
      <c r="AP308" s="1020"/>
      <c r="AQ308" s="1020"/>
      <c r="AR308" s="1020"/>
      <c r="AS308" s="1020"/>
      <c r="AT308" s="1020"/>
      <c r="AU308" s="1020"/>
      <c r="AV308" s="1020"/>
      <c r="AW308" s="1020"/>
      <c r="AX308" s="1020"/>
    </row>
    <row r="309" spans="4:50" ht="12.75" customHeight="1">
      <c r="D309" s="1071"/>
      <c r="E309" s="1070"/>
      <c r="F309" s="1070"/>
      <c r="G309" s="1070"/>
      <c r="H309" s="1070"/>
      <c r="I309" s="1020"/>
      <c r="J309" s="1020"/>
      <c r="K309" s="1020"/>
      <c r="L309" s="1066"/>
      <c r="M309" s="1020"/>
      <c r="N309" s="1020"/>
      <c r="O309" s="1020"/>
      <c r="P309" s="1020"/>
      <c r="Q309" s="1020"/>
      <c r="R309" s="1020"/>
      <c r="S309" s="1020"/>
      <c r="T309" s="1036"/>
      <c r="U309" s="1036"/>
      <c r="V309" s="1020"/>
      <c r="W309" s="1020"/>
      <c r="X309" s="1020"/>
      <c r="Y309" s="1020"/>
      <c r="Z309" s="1020"/>
      <c r="AA309" s="1020"/>
      <c r="AB309" s="1020"/>
      <c r="AC309" s="1020"/>
      <c r="AD309" s="1020"/>
      <c r="AE309" s="1020"/>
      <c r="AF309" s="1020"/>
      <c r="AG309" s="1020"/>
      <c r="AH309" s="1020"/>
      <c r="AI309" s="1020"/>
      <c r="AJ309" s="1020"/>
      <c r="AK309" s="1020"/>
      <c r="AL309" s="1020"/>
      <c r="AM309" s="1020"/>
      <c r="AN309" s="1020"/>
      <c r="AO309" s="1020"/>
      <c r="AP309" s="1020"/>
      <c r="AQ309" s="1020"/>
      <c r="AR309" s="1020"/>
      <c r="AS309" s="1020"/>
      <c r="AT309" s="1020"/>
      <c r="AU309" s="1020"/>
      <c r="AV309" s="1020"/>
      <c r="AW309" s="1020"/>
      <c r="AX309" s="1020"/>
    </row>
    <row r="310" spans="4:50" ht="12.75" customHeight="1">
      <c r="D310" s="1071"/>
      <c r="E310" s="1070"/>
      <c r="F310" s="1070"/>
      <c r="G310" s="1070"/>
      <c r="H310" s="1070"/>
      <c r="I310" s="1020"/>
      <c r="J310" s="1020"/>
      <c r="K310" s="1020"/>
      <c r="L310" s="1066"/>
      <c r="M310" s="1020"/>
      <c r="N310" s="1020"/>
      <c r="O310" s="1020"/>
      <c r="P310" s="1020"/>
      <c r="Q310" s="1020"/>
      <c r="R310" s="1020"/>
      <c r="S310" s="1020"/>
      <c r="T310" s="1036"/>
      <c r="U310" s="1036"/>
      <c r="V310" s="1020"/>
      <c r="W310" s="1020"/>
      <c r="X310" s="1020"/>
      <c r="Y310" s="1020"/>
      <c r="Z310" s="1020"/>
      <c r="AA310" s="1020"/>
      <c r="AB310" s="1020"/>
      <c r="AC310" s="1020"/>
      <c r="AD310" s="1020"/>
      <c r="AE310" s="1020"/>
      <c r="AF310" s="1020"/>
      <c r="AG310" s="1020"/>
      <c r="AH310" s="1020"/>
      <c r="AI310" s="1020"/>
      <c r="AJ310" s="1020"/>
      <c r="AK310" s="1020"/>
      <c r="AL310" s="1020"/>
      <c r="AM310" s="1020"/>
      <c r="AN310" s="1020"/>
      <c r="AO310" s="1020"/>
      <c r="AP310" s="1020"/>
      <c r="AQ310" s="1020"/>
      <c r="AR310" s="1020"/>
      <c r="AS310" s="1020"/>
      <c r="AT310" s="1020"/>
      <c r="AU310" s="1020"/>
      <c r="AV310" s="1020"/>
      <c r="AW310" s="1020"/>
      <c r="AX310" s="1020"/>
    </row>
    <row r="311" spans="4:50" ht="12.75" customHeight="1">
      <c r="D311" s="1071"/>
      <c r="E311" s="1070"/>
      <c r="F311" s="1070"/>
      <c r="G311" s="1070"/>
      <c r="H311" s="1070"/>
      <c r="I311" s="1020"/>
      <c r="J311" s="1020"/>
      <c r="K311" s="1020"/>
      <c r="L311" s="1066"/>
      <c r="M311" s="1020"/>
      <c r="N311" s="1020"/>
      <c r="O311" s="1020"/>
      <c r="P311" s="1020"/>
      <c r="Q311" s="1020"/>
      <c r="R311" s="1020"/>
      <c r="S311" s="1020"/>
      <c r="T311" s="1036"/>
      <c r="U311" s="1036"/>
      <c r="V311" s="1020"/>
      <c r="W311" s="1020"/>
      <c r="X311" s="1020"/>
      <c r="Y311" s="1020"/>
      <c r="Z311" s="1020"/>
      <c r="AA311" s="1020"/>
      <c r="AB311" s="1020"/>
      <c r="AC311" s="1020"/>
      <c r="AD311" s="1020"/>
      <c r="AE311" s="1020"/>
      <c r="AF311" s="1020"/>
      <c r="AG311" s="1020"/>
      <c r="AH311" s="1020"/>
      <c r="AI311" s="1020"/>
      <c r="AJ311" s="1020"/>
      <c r="AK311" s="1020"/>
      <c r="AL311" s="1020"/>
      <c r="AM311" s="1020"/>
      <c r="AN311" s="1020"/>
      <c r="AO311" s="1020"/>
      <c r="AP311" s="1020"/>
      <c r="AQ311" s="1020"/>
      <c r="AR311" s="1020"/>
      <c r="AS311" s="1020"/>
      <c r="AT311" s="1020"/>
      <c r="AU311" s="1020"/>
      <c r="AV311" s="1020"/>
      <c r="AW311" s="1020"/>
      <c r="AX311" s="1020"/>
    </row>
    <row r="312" spans="4:50" ht="12.75" customHeight="1">
      <c r="D312" s="1071"/>
      <c r="E312" s="1070"/>
      <c r="F312" s="1070"/>
      <c r="G312" s="1070"/>
      <c r="H312" s="1070"/>
      <c r="I312" s="1020"/>
      <c r="J312" s="1020"/>
      <c r="K312" s="1020"/>
      <c r="L312" s="1066"/>
      <c r="M312" s="1020"/>
      <c r="N312" s="1020"/>
      <c r="O312" s="1020"/>
      <c r="P312" s="1020"/>
      <c r="Q312" s="1020"/>
      <c r="R312" s="1020"/>
      <c r="S312" s="1020"/>
      <c r="T312" s="1036"/>
      <c r="U312" s="1036"/>
      <c r="V312" s="1020"/>
      <c r="W312" s="1020"/>
      <c r="X312" s="1020"/>
      <c r="Y312" s="1020"/>
      <c r="Z312" s="1020"/>
      <c r="AA312" s="1020"/>
      <c r="AB312" s="1020"/>
      <c r="AC312" s="1020"/>
      <c r="AD312" s="1020"/>
      <c r="AE312" s="1020"/>
      <c r="AF312" s="1020"/>
      <c r="AG312" s="1020"/>
      <c r="AH312" s="1020"/>
      <c r="AI312" s="1020"/>
      <c r="AJ312" s="1020"/>
      <c r="AK312" s="1020"/>
      <c r="AL312" s="1020"/>
      <c r="AM312" s="1020"/>
      <c r="AN312" s="1020"/>
      <c r="AO312" s="1020"/>
      <c r="AP312" s="1020"/>
      <c r="AQ312" s="1020"/>
      <c r="AR312" s="1020"/>
      <c r="AS312" s="1020"/>
      <c r="AT312" s="1020"/>
      <c r="AU312" s="1020"/>
      <c r="AV312" s="1020"/>
      <c r="AW312" s="1020"/>
      <c r="AX312" s="1020"/>
    </row>
    <row r="313" spans="4:50" ht="12.75" customHeight="1">
      <c r="D313" s="1071"/>
      <c r="E313" s="1070"/>
      <c r="F313" s="1070"/>
      <c r="G313" s="1070"/>
      <c r="H313" s="1070"/>
      <c r="I313" s="1020"/>
      <c r="J313" s="1020"/>
      <c r="K313" s="1020"/>
      <c r="L313" s="1066"/>
      <c r="M313" s="1020"/>
      <c r="N313" s="1020"/>
      <c r="O313" s="1020"/>
      <c r="P313" s="1020"/>
      <c r="Q313" s="1020"/>
      <c r="R313" s="1020"/>
      <c r="S313" s="1020"/>
      <c r="T313" s="1036"/>
      <c r="U313" s="1036"/>
      <c r="V313" s="1020"/>
      <c r="W313" s="1020"/>
      <c r="X313" s="1020"/>
      <c r="Y313" s="1020"/>
      <c r="Z313" s="1020"/>
      <c r="AA313" s="1020"/>
      <c r="AB313" s="1020"/>
      <c r="AC313" s="1020"/>
      <c r="AD313" s="1020"/>
      <c r="AE313" s="1020"/>
      <c r="AF313" s="1020"/>
      <c r="AG313" s="1020"/>
      <c r="AH313" s="1020"/>
      <c r="AI313" s="1020"/>
      <c r="AJ313" s="1020"/>
      <c r="AK313" s="1020"/>
      <c r="AL313" s="1020"/>
      <c r="AM313" s="1020"/>
      <c r="AN313" s="1020"/>
      <c r="AO313" s="1020"/>
      <c r="AP313" s="1020"/>
      <c r="AQ313" s="1020"/>
      <c r="AR313" s="1020"/>
      <c r="AS313" s="1020"/>
      <c r="AT313" s="1020"/>
      <c r="AU313" s="1020"/>
      <c r="AV313" s="1020"/>
      <c r="AW313" s="1020"/>
      <c r="AX313" s="1020"/>
    </row>
    <row r="314" spans="4:50" ht="12.75" customHeight="1">
      <c r="D314" s="1071"/>
      <c r="E314" s="1070"/>
      <c r="F314" s="1070"/>
      <c r="G314" s="1070"/>
      <c r="H314" s="1070"/>
      <c r="I314" s="1020"/>
      <c r="J314" s="1020"/>
      <c r="K314" s="1020"/>
      <c r="L314" s="1066"/>
      <c r="M314" s="1020"/>
      <c r="N314" s="1020"/>
      <c r="O314" s="1020"/>
      <c r="P314" s="1020"/>
      <c r="Q314" s="1020"/>
      <c r="R314" s="1020"/>
      <c r="S314" s="1020"/>
      <c r="T314" s="1036"/>
      <c r="U314" s="1036"/>
      <c r="V314" s="1020"/>
      <c r="W314" s="1020"/>
      <c r="X314" s="1020"/>
      <c r="Y314" s="1020"/>
      <c r="Z314" s="1020"/>
      <c r="AA314" s="1020"/>
      <c r="AB314" s="1020"/>
      <c r="AC314" s="1020"/>
      <c r="AD314" s="1020"/>
      <c r="AE314" s="1020"/>
      <c r="AF314" s="1020"/>
      <c r="AG314" s="1020"/>
      <c r="AH314" s="1020"/>
      <c r="AI314" s="1020"/>
      <c r="AJ314" s="1020"/>
      <c r="AK314" s="1020"/>
      <c r="AL314" s="1020"/>
      <c r="AM314" s="1020"/>
      <c r="AN314" s="1020"/>
      <c r="AO314" s="1020"/>
      <c r="AP314" s="1020"/>
      <c r="AQ314" s="1020"/>
      <c r="AR314" s="1020"/>
      <c r="AS314" s="1020"/>
      <c r="AT314" s="1020"/>
      <c r="AU314" s="1020"/>
      <c r="AV314" s="1020"/>
      <c r="AW314" s="1020"/>
      <c r="AX314" s="1020"/>
    </row>
    <row r="315" spans="4:50" ht="12.75" customHeight="1">
      <c r="D315" s="1071"/>
      <c r="E315" s="1070"/>
      <c r="F315" s="1070"/>
      <c r="G315" s="1070"/>
      <c r="H315" s="1070"/>
      <c r="I315" s="1020"/>
      <c r="J315" s="1020"/>
      <c r="K315" s="1020"/>
      <c r="L315" s="1066"/>
      <c r="M315" s="1020"/>
      <c r="N315" s="1020"/>
      <c r="O315" s="1020"/>
      <c r="P315" s="1020"/>
      <c r="Q315" s="1020"/>
      <c r="R315" s="1020"/>
      <c r="S315" s="1020"/>
      <c r="T315" s="1036"/>
      <c r="U315" s="1036"/>
      <c r="V315" s="1020"/>
      <c r="W315" s="1020"/>
      <c r="X315" s="1020"/>
      <c r="Y315" s="1020"/>
      <c r="Z315" s="1020"/>
      <c r="AA315" s="1020"/>
      <c r="AB315" s="1020"/>
      <c r="AC315" s="1020"/>
      <c r="AD315" s="1020"/>
      <c r="AE315" s="1020"/>
      <c r="AF315" s="1020"/>
      <c r="AG315" s="1020"/>
      <c r="AH315" s="1020"/>
      <c r="AI315" s="1020"/>
      <c r="AJ315" s="1020"/>
      <c r="AK315" s="1020"/>
      <c r="AL315" s="1020"/>
      <c r="AM315" s="1020"/>
      <c r="AN315" s="1020"/>
      <c r="AO315" s="1020"/>
      <c r="AP315" s="1020"/>
      <c r="AQ315" s="1020"/>
      <c r="AR315" s="1020"/>
      <c r="AS315" s="1020"/>
      <c r="AT315" s="1020"/>
      <c r="AU315" s="1020"/>
      <c r="AV315" s="1020"/>
      <c r="AW315" s="1020"/>
      <c r="AX315" s="1020"/>
    </row>
    <row r="316" spans="4:50" ht="12.75" customHeight="1">
      <c r="D316" s="1071"/>
      <c r="E316" s="1070"/>
      <c r="F316" s="1070"/>
      <c r="G316" s="1070"/>
      <c r="H316" s="1070"/>
      <c r="I316" s="1020"/>
      <c r="J316" s="1020"/>
      <c r="K316" s="1020"/>
      <c r="L316" s="1066"/>
      <c r="M316" s="1020"/>
      <c r="N316" s="1020"/>
      <c r="O316" s="1020"/>
      <c r="P316" s="1020"/>
      <c r="Q316" s="1020"/>
      <c r="R316" s="1020"/>
      <c r="S316" s="1020"/>
      <c r="T316" s="1036"/>
      <c r="U316" s="1036"/>
      <c r="V316" s="1020"/>
      <c r="W316" s="1020"/>
      <c r="X316" s="1020"/>
      <c r="Y316" s="1020"/>
      <c r="Z316" s="1020"/>
      <c r="AA316" s="1020"/>
      <c r="AB316" s="1020"/>
      <c r="AC316" s="1020"/>
      <c r="AD316" s="1020"/>
      <c r="AE316" s="1020"/>
      <c r="AF316" s="1020"/>
      <c r="AG316" s="1020"/>
      <c r="AH316" s="1020"/>
      <c r="AI316" s="1020"/>
      <c r="AJ316" s="1020"/>
      <c r="AK316" s="1020"/>
      <c r="AL316" s="1020"/>
      <c r="AM316" s="1020"/>
      <c r="AN316" s="1020"/>
      <c r="AO316" s="1020"/>
      <c r="AP316" s="1020"/>
      <c r="AQ316" s="1020"/>
      <c r="AR316" s="1020"/>
      <c r="AS316" s="1020"/>
      <c r="AT316" s="1020"/>
      <c r="AU316" s="1020"/>
      <c r="AV316" s="1020"/>
      <c r="AW316" s="1020"/>
      <c r="AX316" s="1020"/>
    </row>
    <row r="317" spans="4:50" ht="12.75" customHeight="1">
      <c r="D317" s="1071"/>
      <c r="E317" s="1070"/>
      <c r="F317" s="1070"/>
      <c r="G317" s="1070"/>
      <c r="H317" s="1070"/>
      <c r="I317" s="1020"/>
      <c r="J317" s="1020"/>
      <c r="K317" s="1020"/>
      <c r="L317" s="1066"/>
      <c r="M317" s="1020"/>
      <c r="N317" s="1020"/>
      <c r="O317" s="1020"/>
      <c r="P317" s="1020"/>
      <c r="Q317" s="1020"/>
      <c r="R317" s="1020"/>
      <c r="S317" s="1020"/>
      <c r="T317" s="1036"/>
      <c r="U317" s="1036"/>
      <c r="V317" s="1020"/>
      <c r="W317" s="1020"/>
      <c r="X317" s="1020"/>
      <c r="Y317" s="1020"/>
      <c r="Z317" s="1020"/>
      <c r="AA317" s="1020"/>
      <c r="AB317" s="1020"/>
      <c r="AC317" s="1020"/>
      <c r="AD317" s="1020"/>
      <c r="AE317" s="1020"/>
      <c r="AF317" s="1020"/>
      <c r="AG317" s="1020"/>
      <c r="AH317" s="1020"/>
      <c r="AI317" s="1020"/>
      <c r="AJ317" s="1020"/>
      <c r="AK317" s="1020"/>
      <c r="AL317" s="1020"/>
      <c r="AM317" s="1020"/>
      <c r="AN317" s="1020"/>
      <c r="AO317" s="1020"/>
      <c r="AP317" s="1020"/>
      <c r="AQ317" s="1020"/>
      <c r="AR317" s="1020"/>
      <c r="AS317" s="1020"/>
      <c r="AT317" s="1020"/>
      <c r="AU317" s="1020"/>
      <c r="AV317" s="1020"/>
      <c r="AW317" s="1020"/>
      <c r="AX317" s="1020"/>
    </row>
    <row r="318" spans="4:50" ht="12.75" customHeight="1">
      <c r="D318" s="1071"/>
      <c r="E318" s="1070"/>
      <c r="F318" s="1070"/>
      <c r="G318" s="1070"/>
      <c r="H318" s="1070"/>
      <c r="I318" s="1020"/>
      <c r="J318" s="1020"/>
      <c r="K318" s="1020"/>
      <c r="L318" s="1066"/>
      <c r="M318" s="1020"/>
      <c r="N318" s="1020"/>
      <c r="O318" s="1020"/>
      <c r="P318" s="1020"/>
      <c r="Q318" s="1020"/>
      <c r="R318" s="1020"/>
      <c r="S318" s="1020"/>
      <c r="T318" s="1036"/>
      <c r="U318" s="1036"/>
      <c r="V318" s="1020"/>
      <c r="W318" s="1020"/>
      <c r="X318" s="1020"/>
      <c r="Y318" s="1020"/>
      <c r="Z318" s="1020"/>
      <c r="AA318" s="1020"/>
      <c r="AB318" s="1020"/>
      <c r="AC318" s="1020"/>
      <c r="AD318" s="1020"/>
      <c r="AE318" s="1020"/>
      <c r="AF318" s="1020"/>
      <c r="AG318" s="1020"/>
      <c r="AH318" s="1020"/>
      <c r="AI318" s="1020"/>
      <c r="AJ318" s="1020"/>
      <c r="AK318" s="1020"/>
      <c r="AL318" s="1020"/>
      <c r="AM318" s="1020"/>
      <c r="AN318" s="1020"/>
      <c r="AO318" s="1020"/>
      <c r="AP318" s="1020"/>
      <c r="AQ318" s="1020"/>
      <c r="AR318" s="1020"/>
      <c r="AS318" s="1020"/>
      <c r="AT318" s="1020"/>
      <c r="AU318" s="1020"/>
      <c r="AV318" s="1020"/>
      <c r="AW318" s="1020"/>
      <c r="AX318" s="1020"/>
    </row>
    <row r="319" spans="4:50" ht="12.75" customHeight="1">
      <c r="D319" s="1071"/>
      <c r="E319" s="1070"/>
      <c r="F319" s="1070"/>
      <c r="G319" s="1070"/>
      <c r="H319" s="1070"/>
      <c r="I319" s="1020"/>
      <c r="J319" s="1020"/>
      <c r="K319" s="1020"/>
      <c r="L319" s="1066"/>
      <c r="M319" s="1020"/>
      <c r="N319" s="1020"/>
      <c r="O319" s="1020"/>
      <c r="P319" s="1020"/>
      <c r="Q319" s="1020"/>
      <c r="R319" s="1020"/>
      <c r="S319" s="1020"/>
      <c r="T319" s="1036"/>
      <c r="U319" s="1036"/>
      <c r="V319" s="1020"/>
      <c r="W319" s="1020"/>
      <c r="X319" s="1020"/>
      <c r="Y319" s="1020"/>
      <c r="Z319" s="1020"/>
      <c r="AA319" s="1020"/>
      <c r="AB319" s="1020"/>
      <c r="AC319" s="1020"/>
      <c r="AD319" s="1020"/>
      <c r="AE319" s="1020"/>
      <c r="AF319" s="1020"/>
      <c r="AG319" s="1020"/>
      <c r="AH319" s="1020"/>
      <c r="AI319" s="1020"/>
      <c r="AJ319" s="1020"/>
      <c r="AK319" s="1020"/>
      <c r="AL319" s="1020"/>
      <c r="AM319" s="1020"/>
      <c r="AN319" s="1020"/>
      <c r="AO319" s="1020"/>
      <c r="AP319" s="1020"/>
      <c r="AQ319" s="1020"/>
      <c r="AR319" s="1020"/>
      <c r="AS319" s="1020"/>
      <c r="AT319" s="1020"/>
      <c r="AU319" s="1020"/>
      <c r="AV319" s="1020"/>
      <c r="AW319" s="1020"/>
      <c r="AX319" s="1020"/>
    </row>
    <row r="320" spans="4:50" ht="12.75" customHeight="1">
      <c r="D320" s="1071"/>
      <c r="E320" s="1070"/>
      <c r="F320" s="1070"/>
      <c r="G320" s="1070"/>
      <c r="H320" s="1070"/>
      <c r="I320" s="1020"/>
      <c r="J320" s="1020"/>
      <c r="K320" s="1020"/>
      <c r="L320" s="1066"/>
      <c r="M320" s="1020"/>
      <c r="N320" s="1020"/>
      <c r="O320" s="1020"/>
      <c r="P320" s="1020"/>
      <c r="Q320" s="1020"/>
      <c r="R320" s="1020"/>
      <c r="S320" s="1020"/>
      <c r="T320" s="1036"/>
      <c r="U320" s="1036"/>
      <c r="V320" s="1020"/>
      <c r="W320" s="1020"/>
      <c r="X320" s="1020"/>
      <c r="Y320" s="1020"/>
      <c r="Z320" s="1020"/>
      <c r="AA320" s="1020"/>
      <c r="AB320" s="1020"/>
      <c r="AC320" s="1020"/>
      <c r="AD320" s="1020"/>
      <c r="AE320" s="1020"/>
      <c r="AF320" s="1020"/>
      <c r="AG320" s="1020"/>
      <c r="AH320" s="1020"/>
      <c r="AI320" s="1020"/>
      <c r="AJ320" s="1020"/>
      <c r="AK320" s="1020"/>
      <c r="AL320" s="1020"/>
      <c r="AM320" s="1020"/>
      <c r="AN320" s="1020"/>
      <c r="AO320" s="1020"/>
      <c r="AP320" s="1020"/>
      <c r="AQ320" s="1020"/>
      <c r="AR320" s="1020"/>
      <c r="AS320" s="1020"/>
      <c r="AT320" s="1020"/>
      <c r="AU320" s="1020"/>
      <c r="AV320" s="1020"/>
      <c r="AW320" s="1020"/>
      <c r="AX320" s="1020"/>
    </row>
    <row r="321" spans="4:50" ht="12.75" customHeight="1">
      <c r="D321" s="1071"/>
      <c r="E321" s="1070"/>
      <c r="F321" s="1070"/>
      <c r="G321" s="1070"/>
      <c r="H321" s="1070"/>
      <c r="I321" s="1020"/>
      <c r="J321" s="1020"/>
      <c r="K321" s="1020"/>
      <c r="L321" s="1066"/>
      <c r="M321" s="1020"/>
      <c r="N321" s="1020"/>
      <c r="O321" s="1020"/>
      <c r="P321" s="1020"/>
      <c r="Q321" s="1020"/>
      <c r="R321" s="1020"/>
      <c r="S321" s="1020"/>
      <c r="T321" s="1036"/>
      <c r="U321" s="1036"/>
      <c r="V321" s="1020"/>
      <c r="W321" s="1020"/>
      <c r="X321" s="1020"/>
      <c r="Y321" s="1020"/>
      <c r="Z321" s="1020"/>
      <c r="AA321" s="1020"/>
      <c r="AB321" s="1020"/>
      <c r="AC321" s="1020"/>
      <c r="AD321" s="1020"/>
      <c r="AE321" s="1020"/>
      <c r="AF321" s="1020"/>
      <c r="AG321" s="1020"/>
      <c r="AH321" s="1020"/>
      <c r="AI321" s="1020"/>
      <c r="AJ321" s="1020"/>
      <c r="AK321" s="1020"/>
      <c r="AL321" s="1020"/>
      <c r="AM321" s="1020"/>
      <c r="AN321" s="1020"/>
      <c r="AO321" s="1020"/>
      <c r="AP321" s="1020"/>
      <c r="AQ321" s="1020"/>
      <c r="AR321" s="1020"/>
      <c r="AS321" s="1020"/>
      <c r="AT321" s="1020"/>
      <c r="AU321" s="1020"/>
      <c r="AV321" s="1020"/>
      <c r="AW321" s="1020"/>
      <c r="AX321" s="1020"/>
    </row>
    <row r="322" spans="4:50" ht="12.75" customHeight="1">
      <c r="D322" s="1071"/>
      <c r="E322" s="1070"/>
      <c r="F322" s="1070"/>
      <c r="G322" s="1070"/>
      <c r="H322" s="1070"/>
      <c r="I322" s="1020"/>
      <c r="J322" s="1020"/>
      <c r="K322" s="1020"/>
      <c r="L322" s="1066"/>
      <c r="M322" s="1020"/>
      <c r="N322" s="1020"/>
      <c r="O322" s="1020"/>
      <c r="P322" s="1020"/>
      <c r="Q322" s="1020"/>
      <c r="R322" s="1020"/>
      <c r="S322" s="1020"/>
      <c r="T322" s="1036"/>
      <c r="U322" s="1036"/>
      <c r="V322" s="1020"/>
      <c r="W322" s="1020"/>
      <c r="X322" s="1020"/>
      <c r="Y322" s="1020"/>
      <c r="Z322" s="1020"/>
      <c r="AA322" s="1020"/>
      <c r="AB322" s="1020"/>
      <c r="AC322" s="1020"/>
      <c r="AD322" s="1020"/>
      <c r="AE322" s="1020"/>
      <c r="AF322" s="1020"/>
      <c r="AG322" s="1020"/>
      <c r="AH322" s="1020"/>
      <c r="AI322" s="1020"/>
      <c r="AJ322" s="1020"/>
      <c r="AK322" s="1020"/>
      <c r="AL322" s="1020"/>
      <c r="AM322" s="1020"/>
      <c r="AN322" s="1020"/>
      <c r="AO322" s="1020"/>
      <c r="AP322" s="1020"/>
      <c r="AQ322" s="1020"/>
      <c r="AR322" s="1020"/>
      <c r="AS322" s="1020"/>
      <c r="AT322" s="1020"/>
      <c r="AU322" s="1020"/>
      <c r="AV322" s="1020"/>
      <c r="AW322" s="1020"/>
      <c r="AX322" s="1020"/>
    </row>
    <row r="323" spans="4:50" ht="12.75" customHeight="1">
      <c r="D323" s="1071"/>
      <c r="E323" s="1070"/>
      <c r="F323" s="1070"/>
      <c r="G323" s="1070"/>
      <c r="H323" s="1070"/>
      <c r="I323" s="1020"/>
      <c r="J323" s="1020"/>
      <c r="K323" s="1020"/>
      <c r="L323" s="1066"/>
      <c r="M323" s="1020"/>
      <c r="N323" s="1020"/>
      <c r="O323" s="1020"/>
      <c r="P323" s="1020"/>
      <c r="Q323" s="1020"/>
      <c r="R323" s="1020"/>
      <c r="S323" s="1020"/>
      <c r="T323" s="1036"/>
      <c r="U323" s="1036"/>
      <c r="V323" s="1020"/>
      <c r="W323" s="1020"/>
      <c r="X323" s="1020"/>
      <c r="Y323" s="1020"/>
      <c r="Z323" s="1020"/>
      <c r="AA323" s="1020"/>
      <c r="AB323" s="1020"/>
      <c r="AC323" s="1020"/>
      <c r="AD323" s="1020"/>
      <c r="AE323" s="1020"/>
      <c r="AF323" s="1020"/>
      <c r="AG323" s="1020"/>
      <c r="AH323" s="1020"/>
      <c r="AI323" s="1020"/>
      <c r="AJ323" s="1020"/>
      <c r="AK323" s="1020"/>
      <c r="AL323" s="1020"/>
      <c r="AM323" s="1020"/>
      <c r="AN323" s="1020"/>
      <c r="AO323" s="1020"/>
      <c r="AP323" s="1020"/>
      <c r="AQ323" s="1020"/>
      <c r="AR323" s="1020"/>
      <c r="AS323" s="1020"/>
      <c r="AT323" s="1020"/>
      <c r="AU323" s="1020"/>
      <c r="AV323" s="1020"/>
      <c r="AW323" s="1020"/>
      <c r="AX323" s="1020"/>
    </row>
    <row r="324" spans="4:50" ht="12.75" customHeight="1">
      <c r="D324" s="1071"/>
      <c r="E324" s="1070"/>
      <c r="F324" s="1070"/>
      <c r="G324" s="1070"/>
      <c r="H324" s="1070"/>
      <c r="I324" s="1020"/>
      <c r="J324" s="1020"/>
      <c r="K324" s="1020"/>
      <c r="L324" s="1066"/>
      <c r="M324" s="1020"/>
      <c r="N324" s="1020"/>
      <c r="O324" s="1020"/>
      <c r="P324" s="1020"/>
      <c r="Q324" s="1020"/>
      <c r="R324" s="1020"/>
      <c r="S324" s="1020"/>
      <c r="T324" s="1036"/>
      <c r="U324" s="1036"/>
      <c r="V324" s="1020"/>
      <c r="W324" s="1020"/>
      <c r="X324" s="1020"/>
      <c r="Y324" s="1020"/>
      <c r="Z324" s="1020"/>
      <c r="AA324" s="1020"/>
      <c r="AB324" s="1020"/>
      <c r="AC324" s="1020"/>
      <c r="AD324" s="1020"/>
      <c r="AE324" s="1020"/>
      <c r="AF324" s="1020"/>
      <c r="AG324" s="1020"/>
      <c r="AH324" s="1020"/>
      <c r="AI324" s="1020"/>
      <c r="AJ324" s="1020"/>
      <c r="AK324" s="1020"/>
      <c r="AL324" s="1020"/>
      <c r="AM324" s="1020"/>
      <c r="AN324" s="1020"/>
      <c r="AO324" s="1020"/>
      <c r="AP324" s="1020"/>
      <c r="AQ324" s="1020"/>
      <c r="AR324" s="1020"/>
      <c r="AS324" s="1020"/>
      <c r="AT324" s="1020"/>
      <c r="AU324" s="1020"/>
      <c r="AV324" s="1020"/>
      <c r="AW324" s="1020"/>
      <c r="AX324" s="1020"/>
    </row>
    <row r="325" spans="4:50" ht="12.75" customHeight="1">
      <c r="D325" s="1071"/>
      <c r="E325" s="1070"/>
      <c r="F325" s="1070"/>
      <c r="G325" s="1070"/>
      <c r="H325" s="1070"/>
      <c r="I325" s="1020"/>
      <c r="J325" s="1020"/>
      <c r="K325" s="1020"/>
      <c r="L325" s="1066"/>
      <c r="M325" s="1020"/>
      <c r="N325" s="1020"/>
      <c r="O325" s="1020"/>
      <c r="P325" s="1020"/>
      <c r="Q325" s="1020"/>
      <c r="R325" s="1020"/>
      <c r="S325" s="1020"/>
      <c r="T325" s="1036"/>
      <c r="U325" s="1036"/>
      <c r="V325" s="1020"/>
      <c r="W325" s="1020"/>
      <c r="X325" s="1020"/>
      <c r="Y325" s="1020"/>
      <c r="Z325" s="1020"/>
      <c r="AA325" s="1020"/>
      <c r="AB325" s="1020"/>
      <c r="AC325" s="1020"/>
      <c r="AD325" s="1020"/>
      <c r="AE325" s="1020"/>
      <c r="AF325" s="1020"/>
      <c r="AG325" s="1020"/>
      <c r="AH325" s="1020"/>
      <c r="AI325" s="1020"/>
      <c r="AJ325" s="1020"/>
      <c r="AK325" s="1020"/>
      <c r="AL325" s="1020"/>
      <c r="AM325" s="1020"/>
      <c r="AN325" s="1020"/>
      <c r="AO325" s="1020"/>
      <c r="AP325" s="1020"/>
      <c r="AQ325" s="1020"/>
      <c r="AR325" s="1020"/>
      <c r="AS325" s="1020"/>
      <c r="AT325" s="1020"/>
      <c r="AU325" s="1020"/>
      <c r="AV325" s="1020"/>
      <c r="AW325" s="1020"/>
      <c r="AX325" s="1020"/>
    </row>
    <row r="326" spans="4:50" ht="12.75" customHeight="1">
      <c r="D326" s="1071"/>
      <c r="E326" s="1070"/>
      <c r="F326" s="1070"/>
      <c r="G326" s="1070"/>
      <c r="H326" s="1070"/>
      <c r="I326" s="1020"/>
      <c r="J326" s="1020"/>
      <c r="K326" s="1020"/>
      <c r="L326" s="1066"/>
      <c r="M326" s="1020"/>
      <c r="N326" s="1020"/>
      <c r="O326" s="1020"/>
      <c r="P326" s="1020"/>
      <c r="Q326" s="1020"/>
      <c r="R326" s="1020"/>
      <c r="S326" s="1020"/>
      <c r="T326" s="1036"/>
      <c r="U326" s="1036"/>
      <c r="V326" s="1020"/>
      <c r="W326" s="1020"/>
      <c r="X326" s="1020"/>
      <c r="Y326" s="1020"/>
      <c r="Z326" s="1020"/>
      <c r="AA326" s="1020"/>
      <c r="AB326" s="1020"/>
      <c r="AC326" s="1020"/>
      <c r="AD326" s="1020"/>
      <c r="AE326" s="1020"/>
      <c r="AF326" s="1020"/>
      <c r="AG326" s="1020"/>
      <c r="AH326" s="1020"/>
      <c r="AI326" s="1020"/>
      <c r="AJ326" s="1020"/>
      <c r="AK326" s="1020"/>
      <c r="AL326" s="1020"/>
      <c r="AM326" s="1020"/>
      <c r="AN326" s="1020"/>
      <c r="AO326" s="1020"/>
      <c r="AP326" s="1020"/>
      <c r="AQ326" s="1020"/>
      <c r="AR326" s="1020"/>
      <c r="AS326" s="1020"/>
      <c r="AT326" s="1020"/>
      <c r="AU326" s="1020"/>
      <c r="AV326" s="1020"/>
      <c r="AW326" s="1020"/>
      <c r="AX326" s="1020"/>
    </row>
    <row r="327" spans="4:50" ht="12.75" customHeight="1">
      <c r="D327" s="1071"/>
      <c r="E327" s="1070"/>
      <c r="F327" s="1070"/>
      <c r="G327" s="1070"/>
      <c r="H327" s="1070"/>
      <c r="I327" s="1020"/>
      <c r="J327" s="1020"/>
      <c r="K327" s="1020"/>
      <c r="L327" s="1066"/>
      <c r="M327" s="1020"/>
      <c r="N327" s="1020"/>
      <c r="O327" s="1020"/>
      <c r="P327" s="1020"/>
      <c r="Q327" s="1020"/>
      <c r="R327" s="1020"/>
      <c r="S327" s="1020"/>
      <c r="T327" s="1036"/>
      <c r="U327" s="1036"/>
      <c r="V327" s="1020"/>
      <c r="W327" s="1020"/>
      <c r="X327" s="1020"/>
      <c r="Y327" s="1020"/>
      <c r="Z327" s="1020"/>
      <c r="AA327" s="1020"/>
      <c r="AB327" s="1020"/>
      <c r="AC327" s="1020"/>
      <c r="AD327" s="1020"/>
      <c r="AE327" s="1020"/>
      <c r="AF327" s="1020"/>
      <c r="AG327" s="1020"/>
      <c r="AH327" s="1020"/>
      <c r="AI327" s="1020"/>
      <c r="AJ327" s="1020"/>
      <c r="AK327" s="1020"/>
      <c r="AL327" s="1020"/>
      <c r="AM327" s="1020"/>
      <c r="AN327" s="1020"/>
      <c r="AO327" s="1020"/>
      <c r="AP327" s="1020"/>
      <c r="AQ327" s="1020"/>
      <c r="AR327" s="1020"/>
      <c r="AS327" s="1020"/>
      <c r="AT327" s="1020"/>
      <c r="AU327" s="1020"/>
      <c r="AV327" s="1020"/>
      <c r="AW327" s="1020"/>
      <c r="AX327" s="1020"/>
    </row>
    <row r="328" spans="4:50" ht="12.75" customHeight="1">
      <c r="D328" s="1071"/>
      <c r="E328" s="1070"/>
      <c r="F328" s="1070"/>
      <c r="G328" s="1070"/>
      <c r="H328" s="1070"/>
      <c r="I328" s="1020"/>
      <c r="J328" s="1020"/>
      <c r="K328" s="1020"/>
      <c r="L328" s="1066"/>
      <c r="M328" s="1020"/>
      <c r="N328" s="1020"/>
      <c r="O328" s="1020"/>
      <c r="P328" s="1020"/>
      <c r="Q328" s="1020"/>
      <c r="R328" s="1020"/>
      <c r="S328" s="1020"/>
      <c r="T328" s="1036"/>
      <c r="U328" s="1036"/>
      <c r="V328" s="1020"/>
      <c r="W328" s="1020"/>
      <c r="X328" s="1020"/>
      <c r="Y328" s="1020"/>
      <c r="Z328" s="1020"/>
      <c r="AA328" s="1020"/>
      <c r="AB328" s="1020"/>
      <c r="AC328" s="1020"/>
      <c r="AD328" s="1020"/>
      <c r="AE328" s="1020"/>
      <c r="AF328" s="1020"/>
      <c r="AG328" s="1020"/>
      <c r="AH328" s="1020"/>
      <c r="AI328" s="1020"/>
      <c r="AJ328" s="1020"/>
      <c r="AK328" s="1020"/>
      <c r="AL328" s="1020"/>
      <c r="AM328" s="1020"/>
      <c r="AN328" s="1020"/>
      <c r="AO328" s="1020"/>
      <c r="AP328" s="1020"/>
      <c r="AQ328" s="1020"/>
      <c r="AR328" s="1020"/>
      <c r="AS328" s="1020"/>
      <c r="AT328" s="1020"/>
      <c r="AU328" s="1020"/>
      <c r="AV328" s="1020"/>
      <c r="AW328" s="1020"/>
      <c r="AX328" s="1020"/>
    </row>
    <row r="329" spans="4:50" ht="12.75" customHeight="1">
      <c r="D329" s="1071"/>
      <c r="E329" s="1070"/>
      <c r="F329" s="1070"/>
      <c r="G329" s="1070"/>
      <c r="H329" s="1070"/>
      <c r="I329" s="1020"/>
      <c r="J329" s="1020"/>
      <c r="K329" s="1020"/>
      <c r="L329" s="1066"/>
      <c r="M329" s="1020"/>
      <c r="N329" s="1020"/>
      <c r="O329" s="1020"/>
      <c r="P329" s="1020"/>
      <c r="Q329" s="1020"/>
      <c r="R329" s="1020"/>
      <c r="S329" s="1020"/>
      <c r="T329" s="1036"/>
      <c r="U329" s="1036"/>
      <c r="V329" s="1020"/>
      <c r="W329" s="1020"/>
      <c r="X329" s="1020"/>
      <c r="Y329" s="1020"/>
      <c r="Z329" s="1020"/>
      <c r="AA329" s="1020"/>
      <c r="AB329" s="1020"/>
      <c r="AC329" s="1020"/>
      <c r="AD329" s="1020"/>
      <c r="AE329" s="1020"/>
      <c r="AF329" s="1020"/>
      <c r="AG329" s="1020"/>
      <c r="AH329" s="1020"/>
      <c r="AI329" s="1020"/>
      <c r="AJ329" s="1020"/>
      <c r="AK329" s="1020"/>
      <c r="AL329" s="1020"/>
      <c r="AM329" s="1020"/>
      <c r="AN329" s="1020"/>
      <c r="AO329" s="1020"/>
      <c r="AP329" s="1020"/>
      <c r="AQ329" s="1020"/>
      <c r="AR329" s="1020"/>
      <c r="AS329" s="1020"/>
      <c r="AT329" s="1020"/>
      <c r="AU329" s="1020"/>
      <c r="AV329" s="1020"/>
      <c r="AW329" s="1020"/>
      <c r="AX329" s="1020"/>
    </row>
    <row r="330" spans="4:50" ht="12.75" customHeight="1">
      <c r="D330" s="1071"/>
      <c r="E330" s="1070"/>
      <c r="F330" s="1070"/>
      <c r="G330" s="1070"/>
      <c r="H330" s="1070"/>
      <c r="I330" s="1020"/>
      <c r="J330" s="1020"/>
      <c r="K330" s="1020"/>
      <c r="L330" s="1066"/>
      <c r="M330" s="1020"/>
      <c r="N330" s="1020"/>
      <c r="O330" s="1020"/>
      <c r="P330" s="1020"/>
      <c r="Q330" s="1020"/>
      <c r="R330" s="1020"/>
      <c r="S330" s="1020"/>
      <c r="T330" s="1036"/>
      <c r="U330" s="1036"/>
      <c r="V330" s="1020"/>
      <c r="W330" s="1020"/>
      <c r="X330" s="1020"/>
      <c r="Y330" s="1020"/>
      <c r="Z330" s="1020"/>
      <c r="AA330" s="1020"/>
      <c r="AB330" s="1020"/>
      <c r="AC330" s="1020"/>
      <c r="AD330" s="1020"/>
      <c r="AE330" s="1020"/>
      <c r="AF330" s="1020"/>
      <c r="AG330" s="1020"/>
      <c r="AH330" s="1020"/>
      <c r="AI330" s="1020"/>
      <c r="AJ330" s="1020"/>
      <c r="AK330" s="1020"/>
      <c r="AL330" s="1020"/>
      <c r="AM330" s="1020"/>
      <c r="AN330" s="1020"/>
      <c r="AO330" s="1020"/>
      <c r="AP330" s="1020"/>
      <c r="AQ330" s="1020"/>
      <c r="AR330" s="1020"/>
      <c r="AS330" s="1020"/>
      <c r="AT330" s="1020"/>
      <c r="AU330" s="1020"/>
      <c r="AV330" s="1020"/>
      <c r="AW330" s="1020"/>
      <c r="AX330" s="1020"/>
    </row>
    <row r="331" spans="4:50" ht="12.75" customHeight="1">
      <c r="D331" s="1071"/>
      <c r="E331" s="1070"/>
      <c r="F331" s="1070"/>
      <c r="G331" s="1070"/>
      <c r="H331" s="1070"/>
      <c r="I331" s="1020"/>
      <c r="J331" s="1020"/>
      <c r="K331" s="1020"/>
      <c r="L331" s="1066"/>
      <c r="M331" s="1020"/>
      <c r="N331" s="1020"/>
      <c r="O331" s="1020"/>
      <c r="P331" s="1020"/>
      <c r="Q331" s="1020"/>
      <c r="R331" s="1020"/>
      <c r="S331" s="1020"/>
      <c r="T331" s="1036"/>
      <c r="U331" s="1036"/>
      <c r="V331" s="1020"/>
      <c r="W331" s="1020"/>
      <c r="X331" s="1020"/>
      <c r="Y331" s="1020"/>
      <c r="Z331" s="1020"/>
      <c r="AA331" s="1020"/>
      <c r="AB331" s="1020"/>
      <c r="AC331" s="1020"/>
      <c r="AD331" s="1020"/>
      <c r="AE331" s="1020"/>
      <c r="AF331" s="1020"/>
      <c r="AG331" s="1020"/>
      <c r="AH331" s="1020"/>
      <c r="AI331" s="1020"/>
      <c r="AJ331" s="1020"/>
      <c r="AK331" s="1020"/>
      <c r="AL331" s="1020"/>
      <c r="AM331" s="1020"/>
      <c r="AN331" s="1020"/>
      <c r="AO331" s="1020"/>
      <c r="AP331" s="1020"/>
      <c r="AQ331" s="1020"/>
      <c r="AR331" s="1020"/>
      <c r="AS331" s="1020"/>
      <c r="AT331" s="1020"/>
      <c r="AU331" s="1020"/>
      <c r="AV331" s="1020"/>
      <c r="AW331" s="1020"/>
      <c r="AX331" s="1020"/>
    </row>
    <row r="332" spans="4:50" ht="12.75" customHeight="1">
      <c r="D332" s="1071"/>
      <c r="E332" s="1070"/>
      <c r="F332" s="1070"/>
      <c r="G332" s="1070"/>
      <c r="H332" s="1070"/>
      <c r="I332" s="1020"/>
      <c r="J332" s="1020"/>
      <c r="K332" s="1020"/>
      <c r="L332" s="1066"/>
      <c r="M332" s="1020"/>
      <c r="N332" s="1020"/>
      <c r="O332" s="1020"/>
      <c r="P332" s="1020"/>
      <c r="Q332" s="1020"/>
      <c r="R332" s="1020"/>
      <c r="S332" s="1020"/>
      <c r="T332" s="1036"/>
      <c r="U332" s="1036"/>
      <c r="V332" s="1020"/>
      <c r="W332" s="1020"/>
      <c r="X332" s="1020"/>
      <c r="Y332" s="1020"/>
      <c r="Z332" s="1020"/>
      <c r="AA332" s="1020"/>
      <c r="AB332" s="1020"/>
      <c r="AC332" s="1020"/>
      <c r="AD332" s="1020"/>
      <c r="AE332" s="1020"/>
      <c r="AF332" s="1020"/>
      <c r="AG332" s="1020"/>
      <c r="AH332" s="1020"/>
      <c r="AI332" s="1020"/>
      <c r="AJ332" s="1020"/>
      <c r="AK332" s="1020"/>
      <c r="AL332" s="1020"/>
      <c r="AM332" s="1020"/>
      <c r="AN332" s="1020"/>
      <c r="AO332" s="1020"/>
      <c r="AP332" s="1020"/>
      <c r="AQ332" s="1020"/>
      <c r="AR332" s="1020"/>
      <c r="AS332" s="1020"/>
      <c r="AT332" s="1020"/>
      <c r="AU332" s="1020"/>
      <c r="AV332" s="1020"/>
      <c r="AW332" s="1020"/>
      <c r="AX332" s="1020"/>
    </row>
    <row r="333" spans="4:50" ht="12.75" customHeight="1">
      <c r="D333" s="1071"/>
      <c r="E333" s="1070"/>
      <c r="F333" s="1070"/>
      <c r="G333" s="1070"/>
      <c r="H333" s="1070"/>
      <c r="I333" s="1020"/>
      <c r="J333" s="1020"/>
      <c r="K333" s="1020"/>
      <c r="L333" s="1066"/>
      <c r="M333" s="1020"/>
      <c r="N333" s="1020"/>
      <c r="O333" s="1020"/>
      <c r="P333" s="1020"/>
      <c r="Q333" s="1020"/>
      <c r="R333" s="1020"/>
      <c r="S333" s="1020"/>
      <c r="T333" s="1036"/>
      <c r="U333" s="1036"/>
      <c r="V333" s="1020"/>
      <c r="W333" s="1020"/>
      <c r="X333" s="1020"/>
      <c r="Y333" s="1020"/>
      <c r="Z333" s="1020"/>
      <c r="AA333" s="1020"/>
      <c r="AB333" s="1020"/>
      <c r="AC333" s="1020"/>
      <c r="AD333" s="1020"/>
      <c r="AE333" s="1020"/>
      <c r="AF333" s="1020"/>
      <c r="AG333" s="1020"/>
      <c r="AH333" s="1020"/>
      <c r="AI333" s="1020"/>
      <c r="AJ333" s="1020"/>
      <c r="AK333" s="1020"/>
      <c r="AL333" s="1020"/>
      <c r="AM333" s="1020"/>
      <c r="AN333" s="1020"/>
      <c r="AO333" s="1020"/>
      <c r="AP333" s="1020"/>
      <c r="AQ333" s="1020"/>
      <c r="AR333" s="1020"/>
      <c r="AS333" s="1020"/>
      <c r="AT333" s="1020"/>
      <c r="AU333" s="1020"/>
      <c r="AV333" s="1020"/>
      <c r="AW333" s="1020"/>
      <c r="AX333" s="1020"/>
    </row>
    <row r="334" spans="4:50" ht="12.75" customHeight="1">
      <c r="D334" s="1071"/>
      <c r="E334" s="1070"/>
      <c r="F334" s="1070"/>
      <c r="G334" s="1070"/>
      <c r="H334" s="1070"/>
      <c r="I334" s="1020"/>
      <c r="J334" s="1020"/>
      <c r="K334" s="1020"/>
      <c r="L334" s="1066"/>
      <c r="M334" s="1020"/>
      <c r="N334" s="1020"/>
      <c r="O334" s="1020"/>
      <c r="P334" s="1020"/>
      <c r="Q334" s="1020"/>
      <c r="R334" s="1020"/>
      <c r="S334" s="1020"/>
      <c r="T334" s="1036"/>
      <c r="U334" s="1036"/>
      <c r="V334" s="1020"/>
      <c r="W334" s="1020"/>
      <c r="X334" s="1020"/>
      <c r="Y334" s="1020"/>
      <c r="Z334" s="1020"/>
      <c r="AA334" s="1020"/>
      <c r="AB334" s="1020"/>
      <c r="AC334" s="1020"/>
      <c r="AD334" s="1020"/>
      <c r="AE334" s="1020"/>
      <c r="AF334" s="1020"/>
      <c r="AG334" s="1020"/>
      <c r="AH334" s="1020"/>
      <c r="AI334" s="1020"/>
      <c r="AJ334" s="1020"/>
      <c r="AK334" s="1020"/>
      <c r="AL334" s="1020"/>
      <c r="AM334" s="1020"/>
      <c r="AN334" s="1020"/>
      <c r="AO334" s="1020"/>
      <c r="AP334" s="1020"/>
      <c r="AQ334" s="1020"/>
      <c r="AR334" s="1020"/>
      <c r="AS334" s="1020"/>
      <c r="AT334" s="1020"/>
      <c r="AU334" s="1020"/>
      <c r="AV334" s="1020"/>
      <c r="AW334" s="1020"/>
      <c r="AX334" s="1020"/>
    </row>
    <row r="335" spans="4:50" ht="12.75" customHeight="1">
      <c r="D335" s="1071"/>
      <c r="E335" s="1070"/>
      <c r="F335" s="1070"/>
      <c r="G335" s="1070"/>
      <c r="H335" s="1070"/>
      <c r="I335" s="1020"/>
      <c r="J335" s="1020"/>
      <c r="K335" s="1020"/>
      <c r="L335" s="1066"/>
      <c r="M335" s="1020"/>
      <c r="N335" s="1020"/>
      <c r="O335" s="1020"/>
      <c r="P335" s="1020"/>
      <c r="Q335" s="1020"/>
      <c r="R335" s="1020"/>
      <c r="S335" s="1020"/>
      <c r="T335" s="1036"/>
      <c r="U335" s="1036"/>
      <c r="V335" s="1020"/>
      <c r="W335" s="1020"/>
      <c r="X335" s="1020"/>
      <c r="Y335" s="1020"/>
      <c r="Z335" s="1020"/>
      <c r="AA335" s="1020"/>
      <c r="AB335" s="1020"/>
      <c r="AC335" s="1020"/>
      <c r="AD335" s="1020"/>
      <c r="AE335" s="1020"/>
      <c r="AF335" s="1020"/>
      <c r="AG335" s="1020"/>
      <c r="AH335" s="1020"/>
      <c r="AI335" s="1020"/>
      <c r="AJ335" s="1020"/>
      <c r="AK335" s="1020"/>
      <c r="AL335" s="1020"/>
      <c r="AM335" s="1020"/>
      <c r="AN335" s="1020"/>
      <c r="AO335" s="1020"/>
      <c r="AP335" s="1020"/>
      <c r="AQ335" s="1020"/>
      <c r="AR335" s="1020"/>
      <c r="AS335" s="1020"/>
      <c r="AT335" s="1020"/>
      <c r="AU335" s="1020"/>
      <c r="AV335" s="1020"/>
      <c r="AW335" s="1020"/>
      <c r="AX335" s="1020"/>
    </row>
    <row r="336" spans="4:50" ht="12.75" customHeight="1">
      <c r="D336" s="1071"/>
      <c r="E336" s="1070"/>
      <c r="F336" s="1070"/>
      <c r="G336" s="1070"/>
      <c r="H336" s="1070"/>
      <c r="I336" s="1020"/>
      <c r="J336" s="1020"/>
      <c r="K336" s="1020"/>
      <c r="L336" s="1066"/>
      <c r="M336" s="1020"/>
      <c r="N336" s="1020"/>
      <c r="O336" s="1020"/>
      <c r="P336" s="1020"/>
      <c r="Q336" s="1020"/>
      <c r="R336" s="1020"/>
      <c r="S336" s="1020"/>
      <c r="T336" s="1036"/>
      <c r="U336" s="1036"/>
      <c r="V336" s="1020"/>
      <c r="W336" s="1020"/>
      <c r="X336" s="1020"/>
      <c r="Y336" s="1020"/>
      <c r="Z336" s="1020"/>
      <c r="AA336" s="1020"/>
      <c r="AB336" s="1020"/>
      <c r="AC336" s="1020"/>
      <c r="AD336" s="1020"/>
      <c r="AE336" s="1020"/>
      <c r="AF336" s="1020"/>
      <c r="AG336" s="1020"/>
      <c r="AH336" s="1020"/>
      <c r="AI336" s="1020"/>
      <c r="AJ336" s="1020"/>
      <c r="AK336" s="1020"/>
      <c r="AL336" s="1020"/>
      <c r="AM336" s="1020"/>
      <c r="AN336" s="1020"/>
      <c r="AO336" s="1020"/>
      <c r="AP336" s="1020"/>
      <c r="AQ336" s="1020"/>
      <c r="AR336" s="1020"/>
      <c r="AS336" s="1020"/>
      <c r="AT336" s="1020"/>
      <c r="AU336" s="1020"/>
      <c r="AV336" s="1020"/>
      <c r="AW336" s="1020"/>
      <c r="AX336" s="1020"/>
    </row>
    <row r="337" spans="4:50" ht="12.75" customHeight="1">
      <c r="D337" s="1071"/>
      <c r="E337" s="1070"/>
      <c r="F337" s="1070"/>
      <c r="G337" s="1070"/>
      <c r="H337" s="1070"/>
      <c r="I337" s="1020"/>
      <c r="J337" s="1020"/>
      <c r="K337" s="1020"/>
      <c r="L337" s="1066"/>
      <c r="M337" s="1020"/>
      <c r="N337" s="1020"/>
      <c r="O337" s="1020"/>
      <c r="P337" s="1020"/>
      <c r="Q337" s="1020"/>
      <c r="R337" s="1020"/>
      <c r="S337" s="1020"/>
      <c r="T337" s="1036"/>
      <c r="U337" s="1036"/>
      <c r="V337" s="1020"/>
      <c r="W337" s="1020"/>
      <c r="X337" s="1020"/>
      <c r="Y337" s="1020"/>
      <c r="Z337" s="1020"/>
      <c r="AA337" s="1020"/>
      <c r="AB337" s="1020"/>
      <c r="AC337" s="1020"/>
      <c r="AD337" s="1020"/>
      <c r="AE337" s="1020"/>
      <c r="AF337" s="1020"/>
      <c r="AG337" s="1020"/>
      <c r="AH337" s="1020"/>
      <c r="AI337" s="1020"/>
      <c r="AJ337" s="1020"/>
      <c r="AK337" s="1020"/>
      <c r="AL337" s="1020"/>
      <c r="AM337" s="1020"/>
      <c r="AN337" s="1020"/>
      <c r="AO337" s="1020"/>
      <c r="AP337" s="1020"/>
      <c r="AQ337" s="1020"/>
      <c r="AR337" s="1020"/>
      <c r="AS337" s="1020"/>
      <c r="AT337" s="1020"/>
      <c r="AU337" s="1020"/>
      <c r="AV337" s="1020"/>
      <c r="AW337" s="1020"/>
      <c r="AX337" s="1020"/>
    </row>
    <row r="338" spans="4:50" ht="12.75" customHeight="1">
      <c r="D338" s="1071"/>
      <c r="E338" s="1070"/>
      <c r="F338" s="1070"/>
      <c r="G338" s="1070"/>
      <c r="H338" s="1070"/>
      <c r="I338" s="1020"/>
      <c r="J338" s="1020"/>
      <c r="K338" s="1020"/>
      <c r="L338" s="1066"/>
      <c r="M338" s="1020"/>
      <c r="N338" s="1020"/>
      <c r="O338" s="1020"/>
      <c r="P338" s="1020"/>
      <c r="Q338" s="1020"/>
      <c r="R338" s="1020"/>
      <c r="S338" s="1020"/>
      <c r="T338" s="1036"/>
      <c r="U338" s="1036"/>
      <c r="V338" s="1020"/>
      <c r="W338" s="1020"/>
      <c r="X338" s="1020"/>
      <c r="Y338" s="1020"/>
      <c r="Z338" s="1020"/>
      <c r="AA338" s="1020"/>
      <c r="AB338" s="1020"/>
      <c r="AC338" s="1020"/>
      <c r="AD338" s="1020"/>
      <c r="AE338" s="1020"/>
      <c r="AF338" s="1020"/>
      <c r="AG338" s="1020"/>
      <c r="AH338" s="1020"/>
      <c r="AI338" s="1020"/>
      <c r="AJ338" s="1020"/>
      <c r="AK338" s="1020"/>
      <c r="AL338" s="1020"/>
      <c r="AM338" s="1020"/>
      <c r="AN338" s="1020"/>
      <c r="AO338" s="1020"/>
      <c r="AP338" s="1020"/>
      <c r="AQ338" s="1020"/>
      <c r="AR338" s="1020"/>
      <c r="AS338" s="1020"/>
      <c r="AT338" s="1020"/>
      <c r="AU338" s="1020"/>
      <c r="AV338" s="1020"/>
      <c r="AW338" s="1020"/>
      <c r="AX338" s="1020"/>
    </row>
    <row r="339" spans="4:50" ht="12.75" customHeight="1">
      <c r="D339" s="1071"/>
      <c r="E339" s="1070"/>
      <c r="F339" s="1070"/>
      <c r="G339" s="1070"/>
      <c r="H339" s="1070"/>
      <c r="I339" s="1020"/>
      <c r="J339" s="1020"/>
      <c r="K339" s="1020"/>
      <c r="L339" s="1066"/>
      <c r="M339" s="1020"/>
      <c r="N339" s="1020"/>
      <c r="O339" s="1020"/>
      <c r="P339" s="1020"/>
      <c r="Q339" s="1020"/>
      <c r="R339" s="1020"/>
      <c r="S339" s="1020"/>
      <c r="T339" s="1036"/>
      <c r="U339" s="1036"/>
      <c r="V339" s="1020"/>
      <c r="W339" s="1020"/>
      <c r="X339" s="1020"/>
      <c r="Y339" s="1020"/>
      <c r="Z339" s="1020"/>
      <c r="AA339" s="1020"/>
      <c r="AB339" s="1020"/>
      <c r="AC339" s="1020"/>
      <c r="AD339" s="1020"/>
      <c r="AE339" s="1020"/>
      <c r="AF339" s="1020"/>
      <c r="AG339" s="1020"/>
      <c r="AH339" s="1020"/>
      <c r="AI339" s="1020"/>
      <c r="AJ339" s="1020"/>
      <c r="AK339" s="1020"/>
      <c r="AL339" s="1020"/>
      <c r="AM339" s="1020"/>
      <c r="AN339" s="1020"/>
      <c r="AO339" s="1020"/>
      <c r="AP339" s="1020"/>
      <c r="AQ339" s="1020"/>
      <c r="AR339" s="1020"/>
      <c r="AS339" s="1020"/>
      <c r="AT339" s="1020"/>
      <c r="AU339" s="1020"/>
      <c r="AV339" s="1020"/>
      <c r="AW339" s="1020"/>
      <c r="AX339" s="1020"/>
    </row>
    <row r="340" spans="4:50" ht="12.75" customHeight="1">
      <c r="D340" s="1071"/>
      <c r="E340" s="1070"/>
      <c r="F340" s="1070"/>
      <c r="G340" s="1070"/>
      <c r="H340" s="1070"/>
      <c r="I340" s="1020"/>
      <c r="J340" s="1020"/>
      <c r="K340" s="1020"/>
      <c r="L340" s="1066"/>
      <c r="M340" s="1020"/>
      <c r="N340" s="1020"/>
      <c r="O340" s="1020"/>
      <c r="P340" s="1020"/>
      <c r="Q340" s="1020"/>
      <c r="R340" s="1020"/>
      <c r="S340" s="1020"/>
      <c r="T340" s="1036"/>
      <c r="U340" s="1036"/>
      <c r="V340" s="1020"/>
      <c r="W340" s="1020"/>
      <c r="X340" s="1020"/>
      <c r="Y340" s="1020"/>
      <c r="Z340" s="1020"/>
      <c r="AA340" s="1020"/>
      <c r="AB340" s="1020"/>
      <c r="AC340" s="1020"/>
      <c r="AD340" s="1020"/>
      <c r="AE340" s="1020"/>
      <c r="AF340" s="1020"/>
      <c r="AG340" s="1020"/>
      <c r="AH340" s="1020"/>
      <c r="AI340" s="1020"/>
      <c r="AJ340" s="1020"/>
      <c r="AK340" s="1020"/>
      <c r="AL340" s="1020"/>
      <c r="AM340" s="1020"/>
      <c r="AN340" s="1020"/>
      <c r="AO340" s="1020"/>
      <c r="AP340" s="1020"/>
      <c r="AQ340" s="1020"/>
      <c r="AR340" s="1020"/>
      <c r="AS340" s="1020"/>
      <c r="AT340" s="1020"/>
      <c r="AU340" s="1020"/>
      <c r="AV340" s="1020"/>
      <c r="AW340" s="1020"/>
      <c r="AX340" s="1020"/>
    </row>
    <row r="341" spans="4:50" ht="12.75" customHeight="1">
      <c r="D341" s="1071"/>
      <c r="E341" s="1070"/>
      <c r="F341" s="1070"/>
      <c r="G341" s="1070"/>
      <c r="H341" s="1070"/>
      <c r="I341" s="1020"/>
      <c r="J341" s="1020"/>
      <c r="K341" s="1020"/>
      <c r="L341" s="1066"/>
      <c r="M341" s="1020"/>
      <c r="N341" s="1020"/>
      <c r="O341" s="1020"/>
      <c r="P341" s="1020"/>
      <c r="Q341" s="1020"/>
      <c r="R341" s="1020"/>
      <c r="S341" s="1020"/>
      <c r="T341" s="1036"/>
      <c r="U341" s="1036"/>
      <c r="V341" s="1020"/>
      <c r="W341" s="1020"/>
      <c r="X341" s="1020"/>
      <c r="Y341" s="1020"/>
      <c r="Z341" s="1020"/>
      <c r="AA341" s="1020"/>
      <c r="AB341" s="1020"/>
      <c r="AC341" s="1020"/>
      <c r="AD341" s="1020"/>
      <c r="AE341" s="1020"/>
      <c r="AF341" s="1020"/>
      <c r="AG341" s="1020"/>
      <c r="AH341" s="1020"/>
      <c r="AI341" s="1020"/>
      <c r="AJ341" s="1020"/>
      <c r="AK341" s="1020"/>
      <c r="AL341" s="1020"/>
      <c r="AM341" s="1020"/>
      <c r="AN341" s="1020"/>
      <c r="AO341" s="1020"/>
      <c r="AP341" s="1020"/>
      <c r="AQ341" s="1020"/>
      <c r="AR341" s="1020"/>
      <c r="AS341" s="1020"/>
      <c r="AT341" s="1020"/>
      <c r="AU341" s="1020"/>
      <c r="AV341" s="1020"/>
      <c r="AW341" s="1020"/>
      <c r="AX341" s="1020"/>
    </row>
    <row r="342" spans="4:50" ht="12.75" customHeight="1">
      <c r="D342" s="1071"/>
      <c r="E342" s="1070"/>
      <c r="F342" s="1070"/>
      <c r="G342" s="1070"/>
      <c r="H342" s="1070"/>
      <c r="I342" s="1020"/>
      <c r="J342" s="1020"/>
      <c r="K342" s="1020"/>
      <c r="L342" s="1066"/>
      <c r="M342" s="1020"/>
      <c r="N342" s="1020"/>
      <c r="O342" s="1020"/>
      <c r="P342" s="1020"/>
      <c r="Q342" s="1020"/>
      <c r="R342" s="1020"/>
      <c r="S342" s="1020"/>
      <c r="T342" s="1036"/>
      <c r="U342" s="1036"/>
      <c r="V342" s="1020"/>
      <c r="W342" s="1020"/>
      <c r="X342" s="1020"/>
      <c r="Y342" s="1020"/>
      <c r="Z342" s="1020"/>
      <c r="AA342" s="1020"/>
      <c r="AB342" s="1020"/>
      <c r="AC342" s="1020"/>
      <c r="AD342" s="1020"/>
      <c r="AE342" s="1020"/>
      <c r="AF342" s="1020"/>
      <c r="AG342" s="1020"/>
      <c r="AH342" s="1020"/>
      <c r="AI342" s="1020"/>
      <c r="AJ342" s="1020"/>
      <c r="AK342" s="1020"/>
      <c r="AL342" s="1020"/>
      <c r="AM342" s="1020"/>
      <c r="AN342" s="1020"/>
      <c r="AO342" s="1020"/>
      <c r="AP342" s="1020"/>
      <c r="AQ342" s="1020"/>
      <c r="AR342" s="1020"/>
      <c r="AS342" s="1020"/>
      <c r="AT342" s="1020"/>
      <c r="AU342" s="1020"/>
      <c r="AV342" s="1020"/>
      <c r="AW342" s="1020"/>
      <c r="AX342" s="1020"/>
    </row>
    <row r="343" spans="4:50" ht="12.75" customHeight="1">
      <c r="D343" s="1071"/>
      <c r="E343" s="1070"/>
      <c r="F343" s="1070"/>
      <c r="G343" s="1070"/>
      <c r="H343" s="1070"/>
      <c r="I343" s="1020"/>
      <c r="J343" s="1020"/>
      <c r="K343" s="1020"/>
      <c r="L343" s="1066"/>
      <c r="M343" s="1020"/>
      <c r="N343" s="1020"/>
      <c r="O343" s="1020"/>
      <c r="P343" s="1020"/>
      <c r="Q343" s="1020"/>
      <c r="R343" s="1020"/>
      <c r="S343" s="1020"/>
      <c r="T343" s="1036"/>
      <c r="U343" s="1036"/>
      <c r="V343" s="1020"/>
      <c r="W343" s="1020"/>
      <c r="X343" s="1020"/>
      <c r="Y343" s="1020"/>
      <c r="Z343" s="1020"/>
      <c r="AA343" s="1020"/>
      <c r="AB343" s="1020"/>
      <c r="AC343" s="1020"/>
      <c r="AD343" s="1020"/>
      <c r="AE343" s="1020"/>
      <c r="AF343" s="1020"/>
      <c r="AG343" s="1020"/>
      <c r="AH343" s="1020"/>
      <c r="AI343" s="1020"/>
      <c r="AJ343" s="1020"/>
      <c r="AK343" s="1020"/>
      <c r="AL343" s="1020"/>
      <c r="AM343" s="1020"/>
      <c r="AN343" s="1020"/>
      <c r="AO343" s="1020"/>
      <c r="AP343" s="1020"/>
      <c r="AQ343" s="1020"/>
      <c r="AR343" s="1020"/>
      <c r="AS343" s="1020"/>
      <c r="AT343" s="1020"/>
      <c r="AU343" s="1020"/>
      <c r="AV343" s="1020"/>
      <c r="AW343" s="1020"/>
      <c r="AX343" s="1020"/>
    </row>
    <row r="344" spans="4:50" ht="12.75" customHeight="1">
      <c r="D344" s="1071"/>
      <c r="E344" s="1070"/>
      <c r="F344" s="1070"/>
      <c r="G344" s="1070"/>
      <c r="H344" s="1070"/>
      <c r="I344" s="1020"/>
      <c r="J344" s="1020"/>
      <c r="K344" s="1020"/>
      <c r="L344" s="1066"/>
      <c r="M344" s="1020"/>
      <c r="N344" s="1020"/>
      <c r="O344" s="1020"/>
      <c r="P344" s="1020"/>
      <c r="Q344" s="1020"/>
      <c r="R344" s="1020"/>
      <c r="S344" s="1020"/>
      <c r="T344" s="1036"/>
      <c r="U344" s="1036"/>
      <c r="V344" s="1020"/>
      <c r="W344" s="1020"/>
      <c r="X344" s="1020"/>
      <c r="Y344" s="1020"/>
      <c r="Z344" s="1020"/>
      <c r="AA344" s="1020"/>
      <c r="AB344" s="1020"/>
      <c r="AC344" s="1020"/>
      <c r="AD344" s="1020"/>
      <c r="AE344" s="1020"/>
      <c r="AF344" s="1020"/>
      <c r="AG344" s="1020"/>
      <c r="AH344" s="1020"/>
      <c r="AI344" s="1020"/>
      <c r="AJ344" s="1020"/>
      <c r="AK344" s="1020"/>
      <c r="AL344" s="1020"/>
      <c r="AM344" s="1020"/>
      <c r="AN344" s="1020"/>
      <c r="AO344" s="1020"/>
      <c r="AP344" s="1020"/>
      <c r="AQ344" s="1020"/>
      <c r="AR344" s="1020"/>
      <c r="AS344" s="1020"/>
      <c r="AT344" s="1020"/>
      <c r="AU344" s="1020"/>
      <c r="AV344" s="1020"/>
      <c r="AW344" s="1020"/>
      <c r="AX344" s="1020"/>
    </row>
    <row r="345" spans="4:50" ht="12.75" customHeight="1">
      <c r="D345" s="1071"/>
      <c r="E345" s="1070"/>
      <c r="F345" s="1070"/>
      <c r="G345" s="1070"/>
      <c r="H345" s="1070"/>
      <c r="I345" s="1020"/>
      <c r="J345" s="1020"/>
      <c r="K345" s="1020"/>
      <c r="L345" s="1066"/>
      <c r="M345" s="1020"/>
      <c r="N345" s="1020"/>
      <c r="O345" s="1020"/>
      <c r="P345" s="1020"/>
      <c r="Q345" s="1020"/>
      <c r="R345" s="1020"/>
      <c r="S345" s="1020"/>
      <c r="T345" s="1036"/>
      <c r="U345" s="1036"/>
      <c r="V345" s="1020"/>
      <c r="W345" s="1020"/>
      <c r="X345" s="1020"/>
      <c r="Y345" s="1020"/>
      <c r="Z345" s="1020"/>
      <c r="AA345" s="1020"/>
      <c r="AB345" s="1020"/>
      <c r="AC345" s="1020"/>
      <c r="AD345" s="1020"/>
      <c r="AE345" s="1020"/>
      <c r="AF345" s="1020"/>
      <c r="AG345" s="1020"/>
      <c r="AH345" s="1020"/>
      <c r="AI345" s="1020"/>
      <c r="AJ345" s="1020"/>
      <c r="AK345" s="1020"/>
      <c r="AL345" s="1020"/>
      <c r="AM345" s="1020"/>
      <c r="AN345" s="1020"/>
      <c r="AO345" s="1020"/>
      <c r="AP345" s="1020"/>
      <c r="AQ345" s="1020"/>
      <c r="AR345" s="1020"/>
      <c r="AS345" s="1020"/>
      <c r="AT345" s="1020"/>
      <c r="AU345" s="1020"/>
      <c r="AV345" s="1020"/>
      <c r="AW345" s="1020"/>
      <c r="AX345" s="1020"/>
    </row>
    <row r="346" spans="4:50" ht="12.75" customHeight="1">
      <c r="D346" s="1071"/>
      <c r="E346" s="1070"/>
      <c r="F346" s="1070"/>
      <c r="G346" s="1070"/>
      <c r="H346" s="1070"/>
      <c r="I346" s="1020"/>
      <c r="J346" s="1020"/>
      <c r="K346" s="1020"/>
      <c r="L346" s="1066"/>
      <c r="M346" s="1020"/>
      <c r="N346" s="1020"/>
      <c r="O346" s="1020"/>
      <c r="P346" s="1020"/>
      <c r="Q346" s="1020"/>
      <c r="R346" s="1020"/>
      <c r="S346" s="1020"/>
      <c r="T346" s="1036"/>
      <c r="U346" s="1036"/>
      <c r="V346" s="1020"/>
      <c r="W346" s="1020"/>
      <c r="X346" s="1020"/>
      <c r="Y346" s="1020"/>
      <c r="Z346" s="1020"/>
      <c r="AA346" s="1020"/>
      <c r="AB346" s="1020"/>
      <c r="AC346" s="1020"/>
      <c r="AD346" s="1020"/>
      <c r="AE346" s="1020"/>
      <c r="AF346" s="1020"/>
      <c r="AG346" s="1020"/>
      <c r="AH346" s="1020"/>
      <c r="AI346" s="1020"/>
      <c r="AJ346" s="1020"/>
      <c r="AK346" s="1020"/>
      <c r="AL346" s="1020"/>
      <c r="AM346" s="1020"/>
      <c r="AN346" s="1020"/>
      <c r="AO346" s="1020"/>
      <c r="AP346" s="1020"/>
      <c r="AQ346" s="1020"/>
      <c r="AR346" s="1020"/>
      <c r="AS346" s="1020"/>
      <c r="AT346" s="1020"/>
      <c r="AU346" s="1020"/>
      <c r="AV346" s="1020"/>
      <c r="AW346" s="1020"/>
      <c r="AX346" s="1020"/>
    </row>
    <row r="347" spans="4:50" ht="12.75" customHeight="1">
      <c r="D347" s="1071"/>
      <c r="E347" s="1070"/>
      <c r="F347" s="1070"/>
      <c r="G347" s="1070"/>
      <c r="H347" s="1070"/>
      <c r="I347" s="1020"/>
      <c r="J347" s="1020"/>
      <c r="K347" s="1020"/>
      <c r="L347" s="1066"/>
      <c r="M347" s="1020"/>
      <c r="N347" s="1020"/>
      <c r="O347" s="1020"/>
      <c r="P347" s="1020"/>
      <c r="Q347" s="1020"/>
      <c r="R347" s="1020"/>
      <c r="S347" s="1020"/>
      <c r="T347" s="1036"/>
      <c r="U347" s="1036"/>
      <c r="V347" s="1020"/>
      <c r="W347" s="1020"/>
      <c r="X347" s="1020"/>
      <c r="Y347" s="1020"/>
      <c r="Z347" s="1020"/>
      <c r="AA347" s="1020"/>
      <c r="AB347" s="1020"/>
      <c r="AC347" s="1020"/>
      <c r="AD347" s="1020"/>
      <c r="AE347" s="1020"/>
      <c r="AF347" s="1020"/>
      <c r="AG347" s="1020"/>
      <c r="AH347" s="1020"/>
      <c r="AI347" s="1020"/>
      <c r="AJ347" s="1020"/>
      <c r="AK347" s="1020"/>
      <c r="AL347" s="1020"/>
      <c r="AM347" s="1020"/>
      <c r="AN347" s="1020"/>
      <c r="AO347" s="1020"/>
      <c r="AP347" s="1020"/>
      <c r="AQ347" s="1020"/>
      <c r="AR347" s="1020"/>
      <c r="AS347" s="1020"/>
      <c r="AT347" s="1020"/>
      <c r="AU347" s="1020"/>
      <c r="AV347" s="1020"/>
      <c r="AW347" s="1020"/>
      <c r="AX347" s="1020"/>
    </row>
    <row r="348" spans="4:50" ht="12.75" customHeight="1">
      <c r="D348" s="1071"/>
      <c r="E348" s="1070"/>
      <c r="F348" s="1070"/>
      <c r="G348" s="1070"/>
      <c r="H348" s="1070"/>
      <c r="I348" s="1020"/>
      <c r="J348" s="1020"/>
      <c r="K348" s="1020"/>
      <c r="L348" s="1066"/>
      <c r="M348" s="1020"/>
      <c r="N348" s="1020"/>
      <c r="O348" s="1020"/>
      <c r="P348" s="1020"/>
      <c r="Q348" s="1020"/>
      <c r="R348" s="1020"/>
      <c r="S348" s="1020"/>
      <c r="T348" s="1036"/>
      <c r="U348" s="1036"/>
      <c r="V348" s="1020"/>
      <c r="W348" s="1020"/>
      <c r="X348" s="1020"/>
      <c r="Y348" s="1020"/>
      <c r="Z348" s="1020"/>
      <c r="AA348" s="1020"/>
      <c r="AB348" s="1020"/>
      <c r="AC348" s="1020"/>
      <c r="AD348" s="1020"/>
      <c r="AE348" s="1020"/>
      <c r="AF348" s="1020"/>
      <c r="AG348" s="1020"/>
      <c r="AH348" s="1020"/>
      <c r="AI348" s="1020"/>
      <c r="AJ348" s="1020"/>
      <c r="AK348" s="1020"/>
      <c r="AL348" s="1020"/>
      <c r="AM348" s="1020"/>
      <c r="AN348" s="1020"/>
      <c r="AO348" s="1020"/>
      <c r="AP348" s="1020"/>
      <c r="AQ348" s="1020"/>
      <c r="AR348" s="1020"/>
      <c r="AS348" s="1020"/>
      <c r="AT348" s="1020"/>
      <c r="AU348" s="1020"/>
      <c r="AV348" s="1020"/>
      <c r="AW348" s="1020"/>
      <c r="AX348" s="1020"/>
    </row>
    <row r="349" spans="4:50" ht="12.75" customHeight="1">
      <c r="D349" s="1071"/>
      <c r="E349" s="1070"/>
      <c r="F349" s="1070"/>
      <c r="G349" s="1070"/>
      <c r="H349" s="1070"/>
      <c r="I349" s="1020"/>
      <c r="J349" s="1020"/>
      <c r="K349" s="1020"/>
      <c r="L349" s="1066"/>
      <c r="M349" s="1020"/>
      <c r="N349" s="1020"/>
      <c r="O349" s="1020"/>
      <c r="P349" s="1020"/>
      <c r="Q349" s="1020"/>
      <c r="R349" s="1020"/>
      <c r="S349" s="1020"/>
      <c r="T349" s="1036"/>
      <c r="U349" s="1036"/>
      <c r="V349" s="1020"/>
      <c r="W349" s="1020"/>
      <c r="X349" s="1020"/>
      <c r="Y349" s="1020"/>
      <c r="Z349" s="1020"/>
      <c r="AA349" s="1020"/>
      <c r="AB349" s="1020"/>
      <c r="AC349" s="1020"/>
      <c r="AD349" s="1020"/>
      <c r="AE349" s="1020"/>
      <c r="AF349" s="1020"/>
      <c r="AG349" s="1020"/>
      <c r="AH349" s="1020"/>
      <c r="AI349" s="1020"/>
      <c r="AJ349" s="1020"/>
      <c r="AK349" s="1020"/>
      <c r="AL349" s="1020"/>
      <c r="AM349" s="1020"/>
      <c r="AN349" s="1020"/>
      <c r="AO349" s="1020"/>
      <c r="AP349" s="1020"/>
      <c r="AQ349" s="1020"/>
      <c r="AR349" s="1020"/>
      <c r="AS349" s="1020"/>
      <c r="AT349" s="1020"/>
      <c r="AU349" s="1020"/>
      <c r="AV349" s="1020"/>
      <c r="AW349" s="1020"/>
      <c r="AX349" s="1020"/>
    </row>
    <row r="350" spans="4:50" ht="12.75" customHeight="1">
      <c r="D350" s="1071"/>
      <c r="E350" s="1070"/>
      <c r="F350" s="1070"/>
      <c r="G350" s="1070"/>
      <c r="H350" s="1070"/>
      <c r="I350" s="1020"/>
      <c r="J350" s="1020"/>
      <c r="K350" s="1020"/>
      <c r="L350" s="1066"/>
      <c r="M350" s="1020"/>
      <c r="N350" s="1020"/>
      <c r="O350" s="1020"/>
      <c r="P350" s="1020"/>
      <c r="Q350" s="1020"/>
      <c r="R350" s="1020"/>
      <c r="S350" s="1020"/>
      <c r="T350" s="1036"/>
      <c r="U350" s="1036"/>
      <c r="V350" s="1020"/>
      <c r="W350" s="1020"/>
      <c r="X350" s="1020"/>
      <c r="Y350" s="1020"/>
      <c r="Z350" s="1020"/>
      <c r="AA350" s="1020"/>
      <c r="AB350" s="1020"/>
      <c r="AC350" s="1020"/>
      <c r="AD350" s="1020"/>
      <c r="AE350" s="1020"/>
      <c r="AF350" s="1020"/>
      <c r="AG350" s="1020"/>
      <c r="AH350" s="1020"/>
      <c r="AI350" s="1020"/>
      <c r="AJ350" s="1020"/>
      <c r="AK350" s="1020"/>
      <c r="AL350" s="1020"/>
      <c r="AM350" s="1020"/>
      <c r="AN350" s="1020"/>
      <c r="AO350" s="1020"/>
      <c r="AP350" s="1020"/>
      <c r="AQ350" s="1020"/>
      <c r="AR350" s="1020"/>
      <c r="AS350" s="1020"/>
      <c r="AT350" s="1020"/>
      <c r="AU350" s="1020"/>
      <c r="AV350" s="1020"/>
      <c r="AW350" s="1020"/>
      <c r="AX350" s="1020"/>
    </row>
    <row r="351" spans="4:50" ht="12.75" customHeight="1">
      <c r="D351" s="1071"/>
      <c r="E351" s="1070"/>
      <c r="F351" s="1070"/>
      <c r="G351" s="1070"/>
      <c r="H351" s="1070"/>
      <c r="I351" s="1020"/>
      <c r="J351" s="1020"/>
      <c r="K351" s="1020"/>
      <c r="L351" s="1066"/>
      <c r="M351" s="1020"/>
      <c r="N351" s="1020"/>
      <c r="O351" s="1020"/>
      <c r="P351" s="1020"/>
      <c r="Q351" s="1020"/>
      <c r="R351" s="1020"/>
      <c r="S351" s="1020"/>
      <c r="T351" s="1036"/>
      <c r="U351" s="1036"/>
      <c r="V351" s="1020"/>
      <c r="W351" s="1020"/>
      <c r="X351" s="1020"/>
      <c r="Y351" s="1020"/>
      <c r="Z351" s="1020"/>
      <c r="AA351" s="1020"/>
      <c r="AB351" s="1020"/>
      <c r="AC351" s="1020"/>
      <c r="AD351" s="1020"/>
      <c r="AE351" s="1020"/>
      <c r="AF351" s="1020"/>
      <c r="AG351" s="1020"/>
      <c r="AH351" s="1020"/>
      <c r="AI351" s="1020"/>
      <c r="AJ351" s="1020"/>
      <c r="AK351" s="1020"/>
      <c r="AL351" s="1020"/>
      <c r="AM351" s="1020"/>
      <c r="AN351" s="1020"/>
      <c r="AO351" s="1020"/>
      <c r="AP351" s="1020"/>
      <c r="AQ351" s="1020"/>
      <c r="AR351" s="1020"/>
      <c r="AS351" s="1020"/>
      <c r="AT351" s="1020"/>
      <c r="AU351" s="1020"/>
      <c r="AV351" s="1020"/>
      <c r="AW351" s="1020"/>
      <c r="AX351" s="1020"/>
    </row>
    <row r="352" spans="4:50" ht="12.75" customHeight="1">
      <c r="D352" s="1071"/>
      <c r="E352" s="1070"/>
      <c r="F352" s="1070"/>
      <c r="G352" s="1070"/>
      <c r="H352" s="1070"/>
      <c r="I352" s="1020"/>
      <c r="J352" s="1020"/>
      <c r="K352" s="1020"/>
      <c r="L352" s="1066"/>
      <c r="M352" s="1020"/>
      <c r="N352" s="1020"/>
      <c r="O352" s="1020"/>
      <c r="P352" s="1020"/>
      <c r="Q352" s="1020"/>
      <c r="R352" s="1020"/>
      <c r="S352" s="1020"/>
      <c r="T352" s="1036"/>
      <c r="U352" s="1036"/>
      <c r="V352" s="1020"/>
      <c r="W352" s="1020"/>
      <c r="X352" s="1020"/>
      <c r="Y352" s="1020"/>
      <c r="Z352" s="1020"/>
      <c r="AA352" s="1020"/>
      <c r="AB352" s="1020"/>
      <c r="AC352" s="1020"/>
      <c r="AD352" s="1020"/>
      <c r="AE352" s="1020"/>
      <c r="AF352" s="1020"/>
      <c r="AG352" s="1020"/>
      <c r="AH352" s="1020"/>
      <c r="AI352" s="1020"/>
      <c r="AJ352" s="1020"/>
      <c r="AK352" s="1020"/>
      <c r="AL352" s="1020"/>
      <c r="AM352" s="1020"/>
      <c r="AN352" s="1020"/>
      <c r="AO352" s="1020"/>
      <c r="AP352" s="1020"/>
      <c r="AQ352" s="1020"/>
      <c r="AR352" s="1020"/>
      <c r="AS352" s="1020"/>
      <c r="AT352" s="1020"/>
      <c r="AU352" s="1020"/>
      <c r="AV352" s="1020"/>
      <c r="AW352" s="1020"/>
      <c r="AX352" s="1020"/>
    </row>
    <row r="353" spans="4:50" ht="12.75" customHeight="1">
      <c r="D353" s="1071"/>
      <c r="E353" s="1070"/>
      <c r="F353" s="1070"/>
      <c r="G353" s="1070"/>
      <c r="H353" s="1070"/>
      <c r="I353" s="1020"/>
      <c r="J353" s="1020"/>
      <c r="K353" s="1020"/>
      <c r="L353" s="1066"/>
      <c r="M353" s="1020"/>
      <c r="N353" s="1020"/>
      <c r="O353" s="1020"/>
      <c r="P353" s="1020"/>
      <c r="Q353" s="1020"/>
      <c r="R353" s="1020"/>
      <c r="S353" s="1020"/>
      <c r="T353" s="1036"/>
      <c r="U353" s="1036"/>
      <c r="V353" s="1020"/>
      <c r="W353" s="1020"/>
      <c r="X353" s="1020"/>
      <c r="Y353" s="1020"/>
      <c r="Z353" s="1020"/>
      <c r="AA353" s="1020"/>
      <c r="AB353" s="1020"/>
      <c r="AC353" s="1020"/>
      <c r="AD353" s="1020"/>
      <c r="AE353" s="1020"/>
      <c r="AF353" s="1020"/>
      <c r="AG353" s="1020"/>
      <c r="AH353" s="1020"/>
      <c r="AI353" s="1020"/>
      <c r="AJ353" s="1020"/>
      <c r="AK353" s="1020"/>
      <c r="AL353" s="1020"/>
      <c r="AM353" s="1020"/>
      <c r="AN353" s="1020"/>
      <c r="AO353" s="1020"/>
      <c r="AP353" s="1020"/>
      <c r="AQ353" s="1020"/>
      <c r="AR353" s="1020"/>
      <c r="AS353" s="1020"/>
      <c r="AT353" s="1020"/>
      <c r="AU353" s="1020"/>
      <c r="AV353" s="1020"/>
      <c r="AW353" s="1020"/>
      <c r="AX353" s="1020"/>
    </row>
    <row r="354" spans="4:50" ht="12.75" customHeight="1">
      <c r="D354" s="1071"/>
      <c r="E354" s="1070"/>
      <c r="F354" s="1070"/>
      <c r="G354" s="1070"/>
      <c r="H354" s="1070"/>
      <c r="I354" s="1020"/>
      <c r="J354" s="1020"/>
      <c r="K354" s="1020"/>
      <c r="L354" s="1066"/>
      <c r="M354" s="1020"/>
      <c r="N354" s="1020"/>
      <c r="O354" s="1020"/>
      <c r="P354" s="1020"/>
      <c r="Q354" s="1020"/>
      <c r="R354" s="1020"/>
      <c r="S354" s="1020"/>
      <c r="T354" s="1036"/>
      <c r="U354" s="1036"/>
      <c r="V354" s="1020"/>
      <c r="W354" s="1020"/>
      <c r="X354" s="1020"/>
      <c r="Y354" s="1020"/>
      <c r="Z354" s="1020"/>
      <c r="AA354" s="1020"/>
      <c r="AB354" s="1020"/>
      <c r="AC354" s="1020"/>
      <c r="AD354" s="1020"/>
      <c r="AE354" s="1020"/>
      <c r="AF354" s="1020"/>
      <c r="AG354" s="1020"/>
      <c r="AH354" s="1020"/>
      <c r="AI354" s="1020"/>
      <c r="AJ354" s="1020"/>
      <c r="AK354" s="1020"/>
      <c r="AL354" s="1020"/>
      <c r="AM354" s="1020"/>
      <c r="AN354" s="1020"/>
      <c r="AO354" s="1020"/>
      <c r="AP354" s="1020"/>
      <c r="AQ354" s="1020"/>
      <c r="AR354" s="1020"/>
      <c r="AS354" s="1020"/>
      <c r="AT354" s="1020"/>
      <c r="AU354" s="1020"/>
      <c r="AV354" s="1020"/>
      <c r="AW354" s="1020"/>
      <c r="AX354" s="1020"/>
    </row>
    <row r="355" spans="4:50" ht="12.75" customHeight="1">
      <c r="D355" s="1071"/>
      <c r="E355" s="1070"/>
      <c r="F355" s="1070"/>
      <c r="G355" s="1070"/>
      <c r="H355" s="1070"/>
      <c r="I355" s="1020"/>
      <c r="J355" s="1020"/>
      <c r="K355" s="1020"/>
      <c r="L355" s="1066"/>
      <c r="M355" s="1020"/>
      <c r="N355" s="1020"/>
      <c r="O355" s="1020"/>
      <c r="P355" s="1020"/>
      <c r="Q355" s="1020"/>
      <c r="R355" s="1020"/>
      <c r="S355" s="1020"/>
      <c r="T355" s="1036"/>
      <c r="U355" s="1036"/>
      <c r="V355" s="1020"/>
      <c r="W355" s="1020"/>
      <c r="X355" s="1020"/>
      <c r="Y355" s="1020"/>
      <c r="Z355" s="1020"/>
      <c r="AA355" s="1020"/>
      <c r="AB355" s="1020"/>
      <c r="AC355" s="1020"/>
      <c r="AD355" s="1020"/>
      <c r="AE355" s="1020"/>
      <c r="AF355" s="1020"/>
      <c r="AG355" s="1020"/>
      <c r="AH355" s="1020"/>
      <c r="AI355" s="1020"/>
      <c r="AJ355" s="1020"/>
      <c r="AK355" s="1020"/>
      <c r="AL355" s="1020"/>
      <c r="AM355" s="1020"/>
      <c r="AN355" s="1020"/>
      <c r="AO355" s="1020"/>
      <c r="AP355" s="1020"/>
      <c r="AQ355" s="1020"/>
      <c r="AR355" s="1020"/>
      <c r="AS355" s="1020"/>
      <c r="AT355" s="1020"/>
      <c r="AU355" s="1020"/>
      <c r="AV355" s="1020"/>
      <c r="AW355" s="1020"/>
      <c r="AX355" s="1020"/>
    </row>
    <row r="356" spans="4:50" ht="12.75" customHeight="1">
      <c r="D356" s="1071"/>
      <c r="E356" s="1070"/>
      <c r="F356" s="1070"/>
      <c r="G356" s="1070"/>
      <c r="H356" s="1070"/>
      <c r="I356" s="1020"/>
      <c r="J356" s="1020"/>
      <c r="K356" s="1020"/>
      <c r="L356" s="1066"/>
      <c r="M356" s="1020"/>
      <c r="N356" s="1020"/>
      <c r="O356" s="1020"/>
      <c r="P356" s="1020"/>
      <c r="Q356" s="1020"/>
      <c r="R356" s="1020"/>
      <c r="S356" s="1020"/>
      <c r="T356" s="1036"/>
      <c r="U356" s="1036"/>
      <c r="V356" s="1020"/>
      <c r="W356" s="1020"/>
      <c r="X356" s="1020"/>
      <c r="Y356" s="1020"/>
      <c r="Z356" s="1020"/>
      <c r="AA356" s="1020"/>
      <c r="AB356" s="1020"/>
      <c r="AC356" s="1020"/>
      <c r="AD356" s="1020"/>
      <c r="AE356" s="1020"/>
      <c r="AF356" s="1020"/>
      <c r="AG356" s="1020"/>
      <c r="AH356" s="1020"/>
      <c r="AI356" s="1020"/>
      <c r="AJ356" s="1020"/>
      <c r="AK356" s="1020"/>
      <c r="AL356" s="1020"/>
      <c r="AM356" s="1020"/>
      <c r="AN356" s="1020"/>
      <c r="AO356" s="1020"/>
      <c r="AP356" s="1020"/>
      <c r="AQ356" s="1020"/>
      <c r="AR356" s="1020"/>
      <c r="AS356" s="1020"/>
      <c r="AT356" s="1020"/>
      <c r="AU356" s="1020"/>
      <c r="AV356" s="1020"/>
      <c r="AW356" s="1020"/>
      <c r="AX356" s="1020"/>
    </row>
    <row r="357" spans="4:50" ht="12.75" customHeight="1">
      <c r="D357" s="1071"/>
      <c r="E357" s="1070"/>
      <c r="F357" s="1070"/>
      <c r="G357" s="1070"/>
      <c r="H357" s="1070"/>
      <c r="I357" s="1020"/>
      <c r="J357" s="1020"/>
      <c r="K357" s="1020"/>
      <c r="L357" s="1066"/>
      <c r="M357" s="1020"/>
      <c r="N357" s="1020"/>
      <c r="O357" s="1020"/>
      <c r="P357" s="1020"/>
      <c r="Q357" s="1020"/>
      <c r="R357" s="1020"/>
      <c r="S357" s="1020"/>
      <c r="T357" s="1036"/>
      <c r="U357" s="1036"/>
      <c r="V357" s="1020"/>
      <c r="W357" s="1020"/>
      <c r="X357" s="1020"/>
      <c r="Y357" s="1020"/>
      <c r="Z357" s="1020"/>
      <c r="AA357" s="1020"/>
      <c r="AB357" s="1020"/>
      <c r="AC357" s="1020"/>
      <c r="AD357" s="1020"/>
      <c r="AE357" s="1020"/>
      <c r="AF357" s="1020"/>
      <c r="AG357" s="1020"/>
      <c r="AH357" s="1020"/>
      <c r="AI357" s="1020"/>
      <c r="AJ357" s="1020"/>
      <c r="AK357" s="1020"/>
      <c r="AL357" s="1020"/>
      <c r="AM357" s="1020"/>
      <c r="AN357" s="1020"/>
      <c r="AO357" s="1020"/>
      <c r="AP357" s="1020"/>
      <c r="AQ357" s="1020"/>
      <c r="AR357" s="1020"/>
      <c r="AS357" s="1020"/>
      <c r="AT357" s="1020"/>
      <c r="AU357" s="1020"/>
      <c r="AV357" s="1020"/>
      <c r="AW357" s="1020"/>
      <c r="AX357" s="1020"/>
    </row>
    <row r="358" spans="4:50" ht="12.75" customHeight="1">
      <c r="D358" s="1071"/>
      <c r="E358" s="1070"/>
      <c r="F358" s="1070"/>
      <c r="G358" s="1070"/>
      <c r="H358" s="1070"/>
      <c r="I358" s="1020"/>
      <c r="J358" s="1020"/>
      <c r="K358" s="1020"/>
      <c r="L358" s="1066"/>
      <c r="M358" s="1020"/>
      <c r="N358" s="1020"/>
      <c r="O358" s="1020"/>
      <c r="P358" s="1020"/>
      <c r="Q358" s="1020"/>
      <c r="R358" s="1020"/>
      <c r="S358" s="1020"/>
      <c r="T358" s="1036"/>
      <c r="U358" s="1036"/>
      <c r="V358" s="1020"/>
      <c r="W358" s="1020"/>
      <c r="X358" s="1020"/>
      <c r="Y358" s="1020"/>
      <c r="Z358" s="1020"/>
      <c r="AA358" s="1020"/>
      <c r="AB358" s="1020"/>
      <c r="AC358" s="1020"/>
      <c r="AD358" s="1020"/>
      <c r="AE358" s="1020"/>
      <c r="AF358" s="1020"/>
      <c r="AG358" s="1020"/>
      <c r="AH358" s="1020"/>
      <c r="AI358" s="1020"/>
      <c r="AJ358" s="1020"/>
      <c r="AK358" s="1020"/>
      <c r="AL358" s="1020"/>
      <c r="AM358" s="1020"/>
      <c r="AN358" s="1020"/>
      <c r="AO358" s="1020"/>
      <c r="AP358" s="1020"/>
      <c r="AQ358" s="1020"/>
      <c r="AR358" s="1020"/>
      <c r="AS358" s="1020"/>
      <c r="AT358" s="1020"/>
      <c r="AU358" s="1020"/>
      <c r="AV358" s="1020"/>
      <c r="AW358" s="1020"/>
      <c r="AX358" s="1020"/>
    </row>
    <row r="359" spans="4:50" ht="12.75" customHeight="1">
      <c r="D359" s="1071"/>
      <c r="E359" s="1070"/>
      <c r="F359" s="1070"/>
      <c r="G359" s="1070"/>
      <c r="H359" s="1070"/>
      <c r="I359" s="1020"/>
      <c r="J359" s="1020"/>
      <c r="K359" s="1020"/>
      <c r="L359" s="1066"/>
      <c r="M359" s="1020"/>
      <c r="N359" s="1020"/>
      <c r="O359" s="1020"/>
      <c r="P359" s="1020"/>
      <c r="Q359" s="1020"/>
      <c r="R359" s="1020"/>
      <c r="S359" s="1020"/>
      <c r="T359" s="1036"/>
      <c r="U359" s="1036"/>
      <c r="V359" s="1020"/>
      <c r="W359" s="1020"/>
      <c r="X359" s="1020"/>
      <c r="Y359" s="1020"/>
      <c r="Z359" s="1020"/>
      <c r="AA359" s="1020"/>
      <c r="AB359" s="1020"/>
      <c r="AC359" s="1020"/>
      <c r="AD359" s="1020"/>
      <c r="AE359" s="1020"/>
      <c r="AF359" s="1020"/>
      <c r="AG359" s="1020"/>
      <c r="AH359" s="1020"/>
      <c r="AI359" s="1020"/>
      <c r="AJ359" s="1020"/>
      <c r="AK359" s="1020"/>
      <c r="AL359" s="1020"/>
      <c r="AM359" s="1020"/>
      <c r="AN359" s="1020"/>
      <c r="AO359" s="1020"/>
      <c r="AP359" s="1020"/>
      <c r="AQ359" s="1020"/>
      <c r="AR359" s="1020"/>
      <c r="AS359" s="1020"/>
      <c r="AT359" s="1020"/>
      <c r="AU359" s="1020"/>
      <c r="AV359" s="1020"/>
      <c r="AW359" s="1020"/>
      <c r="AX359" s="1020"/>
    </row>
    <row r="360" spans="4:50" ht="12.75" customHeight="1">
      <c r="D360" s="1071"/>
      <c r="E360" s="1070"/>
      <c r="F360" s="1070"/>
      <c r="G360" s="1070"/>
      <c r="H360" s="1070"/>
      <c r="I360" s="1020"/>
      <c r="J360" s="1020"/>
      <c r="K360" s="1020"/>
      <c r="L360" s="1066"/>
      <c r="M360" s="1020"/>
      <c r="N360" s="1020"/>
      <c r="O360" s="1020"/>
      <c r="P360" s="1020"/>
      <c r="Q360" s="1020"/>
      <c r="R360" s="1020"/>
      <c r="S360" s="1020"/>
      <c r="T360" s="1036"/>
      <c r="U360" s="1036"/>
      <c r="V360" s="1020"/>
      <c r="W360" s="1020"/>
      <c r="X360" s="1020"/>
      <c r="Y360" s="1020"/>
      <c r="Z360" s="1020"/>
      <c r="AA360" s="1020"/>
      <c r="AB360" s="1020"/>
      <c r="AC360" s="1020"/>
      <c r="AD360" s="1020"/>
      <c r="AE360" s="1020"/>
      <c r="AF360" s="1020"/>
      <c r="AG360" s="1020"/>
      <c r="AH360" s="1020"/>
      <c r="AI360" s="1020"/>
      <c r="AJ360" s="1020"/>
      <c r="AK360" s="1020"/>
      <c r="AL360" s="1020"/>
      <c r="AM360" s="1020"/>
      <c r="AN360" s="1020"/>
      <c r="AO360" s="1020"/>
      <c r="AP360" s="1020"/>
      <c r="AQ360" s="1020"/>
      <c r="AR360" s="1020"/>
      <c r="AS360" s="1020"/>
      <c r="AT360" s="1020"/>
      <c r="AU360" s="1020"/>
      <c r="AV360" s="1020"/>
      <c r="AW360" s="1020"/>
      <c r="AX360" s="1020"/>
    </row>
    <row r="361" spans="4:50" ht="12.75" customHeight="1">
      <c r="D361" s="1071"/>
      <c r="E361" s="1070"/>
      <c r="F361" s="1070"/>
      <c r="G361" s="1070"/>
      <c r="H361" s="1070"/>
      <c r="I361" s="1020"/>
      <c r="J361" s="1020"/>
      <c r="K361" s="1020"/>
      <c r="L361" s="1066"/>
      <c r="M361" s="1020"/>
      <c r="N361" s="1020"/>
      <c r="O361" s="1020"/>
      <c r="P361" s="1020"/>
      <c r="Q361" s="1020"/>
      <c r="R361" s="1020"/>
      <c r="S361" s="1020"/>
      <c r="T361" s="1036"/>
      <c r="U361" s="1036"/>
      <c r="V361" s="1020"/>
      <c r="W361" s="1020"/>
      <c r="X361" s="1020"/>
      <c r="Y361" s="1020"/>
      <c r="Z361" s="1020"/>
      <c r="AA361" s="1020"/>
      <c r="AB361" s="1020"/>
      <c r="AC361" s="1020"/>
      <c r="AD361" s="1020"/>
      <c r="AE361" s="1020"/>
      <c r="AF361" s="1020"/>
      <c r="AG361" s="1020"/>
      <c r="AH361" s="1020"/>
      <c r="AI361" s="1020"/>
      <c r="AJ361" s="1020"/>
      <c r="AK361" s="1020"/>
      <c r="AL361" s="1020"/>
      <c r="AM361" s="1020"/>
      <c r="AN361" s="1020"/>
      <c r="AO361" s="1020"/>
      <c r="AP361" s="1020"/>
      <c r="AQ361" s="1020"/>
      <c r="AR361" s="1020"/>
      <c r="AS361" s="1020"/>
      <c r="AT361" s="1020"/>
      <c r="AU361" s="1020"/>
      <c r="AV361" s="1020"/>
      <c r="AW361" s="1020"/>
      <c r="AX361" s="1020"/>
    </row>
    <row r="362" spans="4:50" ht="12.75" customHeight="1">
      <c r="D362" s="1071"/>
      <c r="E362" s="1070"/>
      <c r="F362" s="1070"/>
      <c r="G362" s="1070"/>
      <c r="H362" s="1070"/>
      <c r="I362" s="1020"/>
      <c r="J362" s="1020"/>
      <c r="K362" s="1020"/>
      <c r="L362" s="1066"/>
      <c r="M362" s="1020"/>
      <c r="N362" s="1020"/>
      <c r="O362" s="1020"/>
      <c r="P362" s="1020"/>
      <c r="Q362" s="1020"/>
      <c r="R362" s="1020"/>
      <c r="S362" s="1020"/>
      <c r="T362" s="1036"/>
      <c r="U362" s="1036"/>
      <c r="V362" s="1020"/>
      <c r="W362" s="1020"/>
      <c r="X362" s="1020"/>
      <c r="Y362" s="1020"/>
      <c r="Z362" s="1020"/>
      <c r="AA362" s="1020"/>
      <c r="AB362" s="1020"/>
      <c r="AC362" s="1020"/>
      <c r="AD362" s="1020"/>
      <c r="AE362" s="1020"/>
      <c r="AF362" s="1020"/>
      <c r="AG362" s="1020"/>
      <c r="AH362" s="1020"/>
      <c r="AI362" s="1020"/>
      <c r="AJ362" s="1020"/>
      <c r="AK362" s="1020"/>
      <c r="AL362" s="1020"/>
      <c r="AM362" s="1020"/>
      <c r="AN362" s="1020"/>
      <c r="AO362" s="1020"/>
      <c r="AP362" s="1020"/>
      <c r="AQ362" s="1020"/>
      <c r="AR362" s="1020"/>
      <c r="AS362" s="1020"/>
      <c r="AT362" s="1020"/>
      <c r="AU362" s="1020"/>
      <c r="AV362" s="1020"/>
      <c r="AW362" s="1020"/>
      <c r="AX362" s="1020"/>
    </row>
    <row r="363" spans="4:50" ht="12.75" customHeight="1">
      <c r="D363" s="1071"/>
      <c r="E363" s="1070"/>
      <c r="F363" s="1070"/>
      <c r="G363" s="1070"/>
      <c r="H363" s="1070"/>
      <c r="I363" s="1020"/>
      <c r="J363" s="1020"/>
      <c r="K363" s="1020"/>
      <c r="L363" s="1066"/>
      <c r="M363" s="1020"/>
      <c r="N363" s="1020"/>
      <c r="O363" s="1020"/>
      <c r="P363" s="1020"/>
      <c r="Q363" s="1020"/>
      <c r="R363" s="1020"/>
      <c r="S363" s="1020"/>
      <c r="T363" s="1036"/>
      <c r="U363" s="1036"/>
      <c r="V363" s="1020"/>
      <c r="W363" s="1020"/>
      <c r="X363" s="1020"/>
      <c r="Y363" s="1020"/>
      <c r="Z363" s="1020"/>
      <c r="AA363" s="1020"/>
      <c r="AB363" s="1020"/>
      <c r="AC363" s="1020"/>
      <c r="AD363" s="1020"/>
      <c r="AE363" s="1020"/>
      <c r="AF363" s="1020"/>
      <c r="AG363" s="1020"/>
      <c r="AH363" s="1020"/>
      <c r="AI363" s="1020"/>
      <c r="AJ363" s="1020"/>
      <c r="AK363" s="1020"/>
      <c r="AL363" s="1020"/>
      <c r="AM363" s="1020"/>
      <c r="AN363" s="1020"/>
      <c r="AO363" s="1020"/>
      <c r="AP363" s="1020"/>
      <c r="AQ363" s="1020"/>
      <c r="AR363" s="1020"/>
      <c r="AS363" s="1020"/>
      <c r="AT363" s="1020"/>
      <c r="AU363" s="1020"/>
      <c r="AV363" s="1020"/>
      <c r="AW363" s="1020"/>
      <c r="AX363" s="1020"/>
    </row>
    <row r="364" spans="4:50" ht="12.75" customHeight="1">
      <c r="D364" s="1071"/>
      <c r="E364" s="1070"/>
      <c r="F364" s="1070"/>
      <c r="G364" s="1070"/>
      <c r="H364" s="1070"/>
      <c r="I364" s="1020"/>
      <c r="J364" s="1020"/>
      <c r="K364" s="1020"/>
      <c r="L364" s="1066"/>
      <c r="M364" s="1020"/>
      <c r="N364" s="1020"/>
      <c r="O364" s="1020"/>
      <c r="P364" s="1020"/>
      <c r="Q364" s="1020"/>
      <c r="R364" s="1020"/>
      <c r="S364" s="1020"/>
      <c r="T364" s="1036"/>
      <c r="U364" s="1036"/>
      <c r="V364" s="1020"/>
      <c r="W364" s="1020"/>
      <c r="X364" s="1020"/>
      <c r="Y364" s="1020"/>
      <c r="Z364" s="1020"/>
      <c r="AA364" s="1020"/>
      <c r="AB364" s="1020"/>
      <c r="AC364" s="1020"/>
      <c r="AD364" s="1020"/>
      <c r="AE364" s="1020"/>
      <c r="AF364" s="1020"/>
      <c r="AG364" s="1020"/>
      <c r="AH364" s="1020"/>
      <c r="AI364" s="1020"/>
      <c r="AJ364" s="1020"/>
      <c r="AK364" s="1020"/>
      <c r="AL364" s="1020"/>
      <c r="AM364" s="1020"/>
      <c r="AN364" s="1020"/>
      <c r="AO364" s="1020"/>
      <c r="AP364" s="1020"/>
      <c r="AQ364" s="1020"/>
      <c r="AR364" s="1020"/>
      <c r="AS364" s="1020"/>
      <c r="AT364" s="1020"/>
      <c r="AU364" s="1020"/>
      <c r="AV364" s="1020"/>
      <c r="AW364" s="1020"/>
      <c r="AX364" s="1020"/>
    </row>
    <row r="365" spans="4:50" ht="12.75" customHeight="1">
      <c r="D365" s="1071"/>
      <c r="E365" s="1070"/>
      <c r="F365" s="1070"/>
      <c r="G365" s="1070"/>
      <c r="H365" s="1070"/>
      <c r="I365" s="1020"/>
      <c r="J365" s="1020"/>
      <c r="K365" s="1020"/>
      <c r="L365" s="1066"/>
      <c r="M365" s="1020"/>
      <c r="N365" s="1020"/>
      <c r="O365" s="1020"/>
      <c r="P365" s="1020"/>
      <c r="Q365" s="1020"/>
      <c r="R365" s="1020"/>
      <c r="S365" s="1020"/>
      <c r="T365" s="1036"/>
      <c r="U365" s="1036"/>
      <c r="V365" s="1020"/>
      <c r="W365" s="1020"/>
      <c r="X365" s="1020"/>
      <c r="Y365" s="1020"/>
      <c r="Z365" s="1020"/>
      <c r="AA365" s="1020"/>
      <c r="AB365" s="1020"/>
      <c r="AC365" s="1020"/>
      <c r="AD365" s="1020"/>
      <c r="AE365" s="1020"/>
      <c r="AF365" s="1020"/>
      <c r="AG365" s="1020"/>
      <c r="AH365" s="1020"/>
      <c r="AI365" s="1020"/>
      <c r="AJ365" s="1020"/>
      <c r="AK365" s="1020"/>
      <c r="AL365" s="1020"/>
      <c r="AM365" s="1020"/>
      <c r="AN365" s="1020"/>
      <c r="AO365" s="1020"/>
      <c r="AP365" s="1020"/>
      <c r="AQ365" s="1020"/>
      <c r="AR365" s="1020"/>
      <c r="AS365" s="1020"/>
      <c r="AT365" s="1020"/>
      <c r="AU365" s="1020"/>
      <c r="AV365" s="1020"/>
      <c r="AW365" s="1020"/>
      <c r="AX365" s="1020"/>
    </row>
    <row r="366" spans="4:50" ht="12.75" customHeight="1">
      <c r="D366" s="1071"/>
      <c r="E366" s="1070"/>
      <c r="F366" s="1070"/>
      <c r="G366" s="1070"/>
      <c r="H366" s="1070"/>
      <c r="I366" s="1020"/>
      <c r="J366" s="1020"/>
      <c r="K366" s="1020"/>
      <c r="L366" s="1066"/>
      <c r="M366" s="1020"/>
      <c r="N366" s="1020"/>
      <c r="O366" s="1020"/>
      <c r="P366" s="1020"/>
      <c r="Q366" s="1020"/>
      <c r="R366" s="1020"/>
      <c r="S366" s="1020"/>
      <c r="T366" s="1036"/>
      <c r="U366" s="1036"/>
      <c r="V366" s="1020"/>
      <c r="W366" s="1020"/>
      <c r="X366" s="1020"/>
      <c r="Y366" s="1020"/>
      <c r="Z366" s="1020"/>
      <c r="AA366" s="1020"/>
      <c r="AB366" s="1020"/>
      <c r="AC366" s="1020"/>
      <c r="AD366" s="1020"/>
      <c r="AE366" s="1020"/>
      <c r="AF366" s="1020"/>
      <c r="AG366" s="1020"/>
      <c r="AH366" s="1020"/>
      <c r="AI366" s="1020"/>
      <c r="AJ366" s="1020"/>
      <c r="AK366" s="1020"/>
      <c r="AL366" s="1020"/>
      <c r="AM366" s="1020"/>
      <c r="AN366" s="1020"/>
      <c r="AO366" s="1020"/>
      <c r="AP366" s="1020"/>
      <c r="AQ366" s="1020"/>
      <c r="AR366" s="1020"/>
      <c r="AS366" s="1020"/>
      <c r="AT366" s="1020"/>
      <c r="AU366" s="1020"/>
      <c r="AV366" s="1020"/>
      <c r="AW366" s="1020"/>
      <c r="AX366" s="1020"/>
    </row>
    <row r="367" spans="4:50" ht="12.75" customHeight="1">
      <c r="D367" s="1071"/>
      <c r="E367" s="1070"/>
      <c r="F367" s="1070"/>
      <c r="G367" s="1070"/>
      <c r="H367" s="1070"/>
      <c r="I367" s="1020"/>
      <c r="J367" s="1020"/>
      <c r="K367" s="1020"/>
      <c r="L367" s="1066"/>
      <c r="M367" s="1020"/>
      <c r="N367" s="1020"/>
      <c r="O367" s="1020"/>
      <c r="P367" s="1020"/>
      <c r="Q367" s="1020"/>
      <c r="R367" s="1020"/>
      <c r="S367" s="1020"/>
      <c r="T367" s="1036"/>
      <c r="U367" s="1036"/>
      <c r="V367" s="1020"/>
      <c r="W367" s="1020"/>
      <c r="X367" s="1020"/>
      <c r="Y367" s="1020"/>
      <c r="Z367" s="1020"/>
      <c r="AA367" s="1020"/>
      <c r="AB367" s="1020"/>
      <c r="AC367" s="1020"/>
      <c r="AD367" s="1020"/>
      <c r="AE367" s="1020"/>
      <c r="AF367" s="1020"/>
      <c r="AG367" s="1020"/>
      <c r="AH367" s="1020"/>
      <c r="AI367" s="1020"/>
      <c r="AJ367" s="1020"/>
      <c r="AK367" s="1020"/>
      <c r="AL367" s="1020"/>
      <c r="AM367" s="1020"/>
      <c r="AN367" s="1020"/>
      <c r="AO367" s="1020"/>
      <c r="AP367" s="1020"/>
      <c r="AQ367" s="1020"/>
      <c r="AR367" s="1020"/>
      <c r="AS367" s="1020"/>
      <c r="AT367" s="1020"/>
      <c r="AU367" s="1020"/>
      <c r="AV367" s="1020"/>
      <c r="AW367" s="1020"/>
      <c r="AX367" s="1020"/>
    </row>
    <row r="368" spans="4:50" ht="12.75" customHeight="1">
      <c r="D368" s="1071"/>
      <c r="E368" s="1070"/>
      <c r="F368" s="1070"/>
      <c r="G368" s="1070"/>
      <c r="H368" s="1070"/>
      <c r="I368" s="1020"/>
      <c r="J368" s="1020"/>
      <c r="K368" s="1020"/>
      <c r="L368" s="1066"/>
      <c r="M368" s="1020"/>
      <c r="N368" s="1020"/>
      <c r="O368" s="1020"/>
      <c r="P368" s="1020"/>
      <c r="Q368" s="1020"/>
      <c r="R368" s="1020"/>
      <c r="S368" s="1020"/>
      <c r="T368" s="1036"/>
      <c r="U368" s="1036"/>
      <c r="V368" s="1020"/>
      <c r="W368" s="1020"/>
      <c r="X368" s="1020"/>
      <c r="Y368" s="1020"/>
      <c r="Z368" s="1020"/>
      <c r="AA368" s="1020"/>
      <c r="AB368" s="1020"/>
      <c r="AC368" s="1020"/>
      <c r="AD368" s="1020"/>
      <c r="AE368" s="1020"/>
      <c r="AF368" s="1020"/>
      <c r="AG368" s="1020"/>
      <c r="AH368" s="1020"/>
      <c r="AI368" s="1020"/>
      <c r="AJ368" s="1020"/>
      <c r="AK368" s="1020"/>
      <c r="AL368" s="1020"/>
      <c r="AM368" s="1020"/>
      <c r="AN368" s="1020"/>
      <c r="AO368" s="1020"/>
      <c r="AP368" s="1020"/>
      <c r="AQ368" s="1020"/>
      <c r="AR368" s="1020"/>
      <c r="AS368" s="1020"/>
      <c r="AT368" s="1020"/>
      <c r="AU368" s="1020"/>
      <c r="AV368" s="1020"/>
      <c r="AW368" s="1020"/>
      <c r="AX368" s="1020"/>
    </row>
    <row r="369" spans="4:50" ht="12.75" customHeight="1">
      <c r="D369" s="1071"/>
      <c r="E369" s="1070"/>
      <c r="F369" s="1070"/>
      <c r="G369" s="1070"/>
      <c r="H369" s="1070"/>
      <c r="I369" s="1020"/>
      <c r="J369" s="1020"/>
      <c r="K369" s="1020"/>
      <c r="L369" s="1066"/>
      <c r="M369" s="1020"/>
      <c r="N369" s="1020"/>
      <c r="O369" s="1020"/>
      <c r="P369" s="1020"/>
      <c r="Q369" s="1020"/>
      <c r="R369" s="1020"/>
      <c r="S369" s="1020"/>
      <c r="T369" s="1036"/>
      <c r="U369" s="1036"/>
      <c r="V369" s="1020"/>
      <c r="W369" s="1020"/>
      <c r="X369" s="1020"/>
      <c r="Y369" s="1020"/>
      <c r="Z369" s="1020"/>
      <c r="AA369" s="1020"/>
      <c r="AB369" s="1020"/>
      <c r="AC369" s="1020"/>
      <c r="AD369" s="1020"/>
      <c r="AE369" s="1020"/>
      <c r="AF369" s="1020"/>
      <c r="AG369" s="1020"/>
      <c r="AH369" s="1020"/>
      <c r="AI369" s="1020"/>
      <c r="AJ369" s="1020"/>
      <c r="AK369" s="1020"/>
      <c r="AL369" s="1020"/>
      <c r="AM369" s="1020"/>
      <c r="AN369" s="1020"/>
      <c r="AO369" s="1020"/>
      <c r="AP369" s="1020"/>
      <c r="AQ369" s="1020"/>
      <c r="AR369" s="1020"/>
      <c r="AS369" s="1020"/>
      <c r="AT369" s="1020"/>
      <c r="AU369" s="1020"/>
      <c r="AV369" s="1020"/>
      <c r="AW369" s="1020"/>
      <c r="AX369" s="1020"/>
    </row>
    <row r="370" spans="4:50" ht="12.75" customHeight="1">
      <c r="D370" s="1071"/>
      <c r="E370" s="1070"/>
      <c r="F370" s="1070"/>
      <c r="G370" s="1070"/>
      <c r="H370" s="1070"/>
      <c r="I370" s="1020"/>
      <c r="J370" s="1020"/>
      <c r="K370" s="1020"/>
      <c r="L370" s="1066"/>
      <c r="M370" s="1020"/>
      <c r="N370" s="1020"/>
      <c r="O370" s="1020"/>
      <c r="P370" s="1020"/>
      <c r="Q370" s="1020"/>
      <c r="R370" s="1020"/>
      <c r="S370" s="1020"/>
      <c r="T370" s="1036"/>
      <c r="U370" s="1036"/>
      <c r="V370" s="1020"/>
      <c r="W370" s="1020"/>
      <c r="X370" s="1020"/>
      <c r="Y370" s="1020"/>
      <c r="Z370" s="1020"/>
      <c r="AA370" s="1020"/>
      <c r="AB370" s="1020"/>
      <c r="AC370" s="1020"/>
      <c r="AD370" s="1020"/>
      <c r="AE370" s="1020"/>
      <c r="AF370" s="1020"/>
      <c r="AG370" s="1020"/>
      <c r="AH370" s="1020"/>
      <c r="AI370" s="1020"/>
      <c r="AJ370" s="1020"/>
      <c r="AK370" s="1020"/>
      <c r="AL370" s="1020"/>
      <c r="AM370" s="1020"/>
      <c r="AN370" s="1020"/>
      <c r="AO370" s="1020"/>
      <c r="AP370" s="1020"/>
      <c r="AQ370" s="1020"/>
      <c r="AR370" s="1020"/>
      <c r="AS370" s="1020"/>
      <c r="AT370" s="1020"/>
      <c r="AU370" s="1020"/>
      <c r="AV370" s="1020"/>
      <c r="AW370" s="1020"/>
      <c r="AX370" s="1020"/>
    </row>
    <row r="371" spans="4:50" ht="12.75" customHeight="1">
      <c r="D371" s="1071"/>
      <c r="E371" s="1070"/>
      <c r="F371" s="1070"/>
      <c r="G371" s="1070"/>
      <c r="H371" s="1070"/>
      <c r="I371" s="1020"/>
      <c r="J371" s="1020"/>
      <c r="K371" s="1020"/>
      <c r="L371" s="1066"/>
      <c r="M371" s="1020"/>
      <c r="N371" s="1020"/>
      <c r="O371" s="1020"/>
      <c r="P371" s="1020"/>
      <c r="Q371" s="1020"/>
      <c r="R371" s="1020"/>
      <c r="S371" s="1020"/>
      <c r="T371" s="1036"/>
      <c r="U371" s="1036"/>
      <c r="V371" s="1020"/>
      <c r="W371" s="1020"/>
      <c r="X371" s="1020"/>
      <c r="Y371" s="1020"/>
      <c r="Z371" s="1020"/>
      <c r="AA371" s="1020"/>
      <c r="AB371" s="1020"/>
      <c r="AC371" s="1020"/>
      <c r="AD371" s="1020"/>
      <c r="AE371" s="1020"/>
      <c r="AF371" s="1020"/>
      <c r="AG371" s="1020"/>
      <c r="AH371" s="1020"/>
      <c r="AI371" s="1020"/>
      <c r="AJ371" s="1020"/>
      <c r="AK371" s="1020"/>
      <c r="AL371" s="1020"/>
      <c r="AM371" s="1020"/>
      <c r="AN371" s="1020"/>
      <c r="AO371" s="1020"/>
      <c r="AP371" s="1020"/>
      <c r="AQ371" s="1020"/>
      <c r="AR371" s="1020"/>
      <c r="AS371" s="1020"/>
      <c r="AT371" s="1020"/>
      <c r="AU371" s="1020"/>
      <c r="AV371" s="1020"/>
      <c r="AW371" s="1020"/>
      <c r="AX371" s="1020"/>
    </row>
    <row r="372" spans="4:50" ht="12.75" customHeight="1">
      <c r="D372" s="1071"/>
      <c r="E372" s="1070"/>
      <c r="F372" s="1070"/>
      <c r="G372" s="1070"/>
      <c r="H372" s="1070"/>
      <c r="I372" s="1020"/>
      <c r="J372" s="1020"/>
      <c r="K372" s="1020"/>
      <c r="L372" s="1066"/>
      <c r="M372" s="1020"/>
      <c r="N372" s="1020"/>
      <c r="O372" s="1020"/>
      <c r="P372" s="1020"/>
      <c r="Q372" s="1020"/>
      <c r="R372" s="1020"/>
      <c r="S372" s="1020"/>
      <c r="T372" s="1036"/>
      <c r="U372" s="1036"/>
      <c r="V372" s="1020"/>
      <c r="W372" s="1020"/>
      <c r="X372" s="1020"/>
      <c r="Y372" s="1020"/>
      <c r="Z372" s="1020"/>
      <c r="AA372" s="1020"/>
      <c r="AB372" s="1020"/>
      <c r="AC372" s="1020"/>
      <c r="AD372" s="1020"/>
      <c r="AE372" s="1020"/>
      <c r="AF372" s="1020"/>
      <c r="AG372" s="1020"/>
      <c r="AH372" s="1020"/>
      <c r="AI372" s="1020"/>
      <c r="AJ372" s="1020"/>
      <c r="AK372" s="1020"/>
      <c r="AL372" s="1020"/>
      <c r="AM372" s="1020"/>
      <c r="AN372" s="1020"/>
      <c r="AO372" s="1020"/>
      <c r="AP372" s="1020"/>
      <c r="AQ372" s="1020"/>
      <c r="AR372" s="1020"/>
      <c r="AS372" s="1020"/>
      <c r="AT372" s="1020"/>
      <c r="AU372" s="1020"/>
      <c r="AV372" s="1020"/>
      <c r="AW372" s="1020"/>
      <c r="AX372" s="1020"/>
    </row>
    <row r="373" spans="4:50" ht="12.75" customHeight="1">
      <c r="D373" s="1071"/>
      <c r="E373" s="1070"/>
      <c r="F373" s="1070"/>
      <c r="G373" s="1070"/>
      <c r="H373" s="1070"/>
      <c r="I373" s="1020"/>
      <c r="J373" s="1020"/>
      <c r="K373" s="1020"/>
      <c r="L373" s="1066"/>
      <c r="M373" s="1020"/>
      <c r="N373" s="1020"/>
      <c r="O373" s="1020"/>
      <c r="P373" s="1020"/>
      <c r="Q373" s="1020"/>
      <c r="R373" s="1020"/>
      <c r="S373" s="1020"/>
      <c r="T373" s="1036"/>
      <c r="U373" s="1036"/>
      <c r="V373" s="1020"/>
      <c r="W373" s="1020"/>
      <c r="X373" s="1020"/>
      <c r="Y373" s="1020"/>
      <c r="Z373" s="1020"/>
      <c r="AA373" s="1020"/>
      <c r="AB373" s="1020"/>
      <c r="AC373" s="1020"/>
      <c r="AD373" s="1020"/>
      <c r="AE373" s="1020"/>
      <c r="AF373" s="1020"/>
      <c r="AG373" s="1020"/>
      <c r="AH373" s="1020"/>
      <c r="AI373" s="1020"/>
      <c r="AJ373" s="1020"/>
      <c r="AK373" s="1020"/>
      <c r="AL373" s="1020"/>
      <c r="AM373" s="1020"/>
      <c r="AN373" s="1020"/>
      <c r="AO373" s="1020"/>
      <c r="AP373" s="1020"/>
      <c r="AQ373" s="1020"/>
      <c r="AR373" s="1020"/>
      <c r="AS373" s="1020"/>
      <c r="AT373" s="1020"/>
      <c r="AU373" s="1020"/>
      <c r="AV373" s="1020"/>
      <c r="AW373" s="1020"/>
      <c r="AX373" s="1020"/>
    </row>
    <row r="374" spans="4:50" ht="12.75" customHeight="1">
      <c r="D374" s="1071"/>
      <c r="E374" s="1070"/>
      <c r="F374" s="1070"/>
      <c r="G374" s="1070"/>
      <c r="H374" s="1070"/>
      <c r="I374" s="1020"/>
      <c r="J374" s="1020"/>
      <c r="K374" s="1020"/>
      <c r="L374" s="1066"/>
      <c r="M374" s="1020"/>
      <c r="N374" s="1020"/>
      <c r="O374" s="1020"/>
      <c r="P374" s="1020"/>
      <c r="Q374" s="1020"/>
      <c r="R374" s="1020"/>
      <c r="S374" s="1020"/>
      <c r="T374" s="1036"/>
      <c r="U374" s="1036"/>
      <c r="V374" s="1020"/>
      <c r="W374" s="1020"/>
      <c r="X374" s="1020"/>
      <c r="Y374" s="1020"/>
      <c r="Z374" s="1020"/>
      <c r="AA374" s="1020"/>
      <c r="AB374" s="1020"/>
      <c r="AC374" s="1020"/>
      <c r="AD374" s="1020"/>
      <c r="AE374" s="1020"/>
      <c r="AF374" s="1020"/>
      <c r="AG374" s="1020"/>
      <c r="AH374" s="1020"/>
      <c r="AI374" s="1020"/>
      <c r="AJ374" s="1020"/>
      <c r="AK374" s="1020"/>
      <c r="AL374" s="1020"/>
      <c r="AM374" s="1020"/>
      <c r="AN374" s="1020"/>
      <c r="AO374" s="1020"/>
      <c r="AP374" s="1020"/>
      <c r="AQ374" s="1020"/>
      <c r="AR374" s="1020"/>
      <c r="AS374" s="1020"/>
      <c r="AT374" s="1020"/>
      <c r="AU374" s="1020"/>
      <c r="AV374" s="1020"/>
      <c r="AW374" s="1020"/>
      <c r="AX374" s="1020"/>
    </row>
    <row r="375" spans="4:50" ht="12.75" customHeight="1">
      <c r="D375" s="1071"/>
      <c r="E375" s="1070"/>
      <c r="F375" s="1070"/>
      <c r="G375" s="1070"/>
      <c r="H375" s="1070"/>
      <c r="I375" s="1020"/>
      <c r="J375" s="1020"/>
      <c r="K375" s="1020"/>
      <c r="L375" s="1066"/>
      <c r="M375" s="1020"/>
      <c r="N375" s="1020"/>
      <c r="O375" s="1020"/>
      <c r="P375" s="1020"/>
      <c r="Q375" s="1020"/>
      <c r="R375" s="1020"/>
      <c r="S375" s="1020"/>
      <c r="T375" s="1036"/>
      <c r="U375" s="1036"/>
      <c r="V375" s="1020"/>
      <c r="W375" s="1020"/>
      <c r="X375" s="1020"/>
      <c r="Y375" s="1020"/>
      <c r="Z375" s="1020"/>
      <c r="AA375" s="1020"/>
      <c r="AB375" s="1020"/>
      <c r="AC375" s="1020"/>
      <c r="AD375" s="1020"/>
      <c r="AE375" s="1020"/>
      <c r="AF375" s="1020"/>
      <c r="AG375" s="1020"/>
      <c r="AH375" s="1020"/>
      <c r="AI375" s="1020"/>
      <c r="AJ375" s="1020"/>
      <c r="AK375" s="1020"/>
      <c r="AL375" s="1020"/>
      <c r="AM375" s="1020"/>
      <c r="AN375" s="1020"/>
      <c r="AO375" s="1020"/>
      <c r="AP375" s="1020"/>
      <c r="AQ375" s="1020"/>
      <c r="AR375" s="1020"/>
      <c r="AS375" s="1020"/>
      <c r="AT375" s="1020"/>
      <c r="AU375" s="1020"/>
      <c r="AV375" s="1020"/>
      <c r="AW375" s="1020"/>
      <c r="AX375" s="1020"/>
    </row>
    <row r="376" spans="4:50" ht="12.75" customHeight="1">
      <c r="D376" s="1071"/>
      <c r="E376" s="1070"/>
      <c r="F376" s="1070"/>
      <c r="G376" s="1070"/>
      <c r="H376" s="1070"/>
      <c r="I376" s="1020"/>
      <c r="J376" s="1020"/>
      <c r="K376" s="1020"/>
      <c r="L376" s="1066"/>
      <c r="M376" s="1020"/>
      <c r="N376" s="1020"/>
      <c r="O376" s="1020"/>
      <c r="P376" s="1020"/>
      <c r="Q376" s="1020"/>
      <c r="R376" s="1020"/>
      <c r="S376" s="1020"/>
      <c r="T376" s="1036"/>
      <c r="U376" s="1036"/>
      <c r="V376" s="1020"/>
      <c r="W376" s="1020"/>
      <c r="X376" s="1020"/>
      <c r="Y376" s="1020"/>
      <c r="Z376" s="1020"/>
      <c r="AA376" s="1020"/>
      <c r="AB376" s="1020"/>
      <c r="AC376" s="1020"/>
      <c r="AD376" s="1020"/>
      <c r="AE376" s="1020"/>
      <c r="AF376" s="1020"/>
      <c r="AG376" s="1020"/>
      <c r="AH376" s="1020"/>
      <c r="AI376" s="1020"/>
      <c r="AJ376" s="1020"/>
      <c r="AK376" s="1020"/>
      <c r="AL376" s="1020"/>
      <c r="AM376" s="1020"/>
      <c r="AN376" s="1020"/>
      <c r="AO376" s="1020"/>
      <c r="AP376" s="1020"/>
      <c r="AQ376" s="1020"/>
      <c r="AR376" s="1020"/>
      <c r="AS376" s="1020"/>
      <c r="AT376" s="1020"/>
      <c r="AU376" s="1020"/>
      <c r="AV376" s="1020"/>
      <c r="AW376" s="1020"/>
      <c r="AX376" s="1020"/>
    </row>
    <row r="377" spans="4:50" ht="12.75" customHeight="1">
      <c r="D377" s="1071"/>
      <c r="E377" s="1070"/>
      <c r="F377" s="1070"/>
      <c r="G377" s="1070"/>
      <c r="H377" s="1070"/>
      <c r="I377" s="1020"/>
      <c r="J377" s="1020"/>
      <c r="K377" s="1020"/>
      <c r="L377" s="1066"/>
      <c r="M377" s="1020"/>
      <c r="N377" s="1020"/>
      <c r="O377" s="1020"/>
      <c r="P377" s="1020"/>
      <c r="Q377" s="1020"/>
      <c r="R377" s="1020"/>
      <c r="S377" s="1020"/>
      <c r="T377" s="1036"/>
      <c r="U377" s="1036"/>
      <c r="V377" s="1020"/>
      <c r="W377" s="1020"/>
      <c r="X377" s="1020"/>
      <c r="Y377" s="1020"/>
      <c r="Z377" s="1020"/>
      <c r="AA377" s="1020"/>
      <c r="AB377" s="1020"/>
      <c r="AC377" s="1020"/>
      <c r="AD377" s="1020"/>
      <c r="AE377" s="1020"/>
      <c r="AF377" s="1020"/>
      <c r="AG377" s="1020"/>
      <c r="AH377" s="1020"/>
      <c r="AI377" s="1020"/>
      <c r="AJ377" s="1020"/>
      <c r="AK377" s="1020"/>
      <c r="AL377" s="1020"/>
      <c r="AM377" s="1020"/>
      <c r="AN377" s="1020"/>
      <c r="AO377" s="1020"/>
      <c r="AP377" s="1020"/>
      <c r="AQ377" s="1020"/>
      <c r="AR377" s="1020"/>
      <c r="AS377" s="1020"/>
      <c r="AT377" s="1020"/>
      <c r="AU377" s="1020"/>
      <c r="AV377" s="1020"/>
      <c r="AW377" s="1020"/>
      <c r="AX377" s="1020"/>
    </row>
    <row r="378" spans="4:50" ht="12.75" customHeight="1">
      <c r="D378" s="1071"/>
      <c r="E378" s="1070"/>
      <c r="F378" s="1070"/>
      <c r="G378" s="1070"/>
      <c r="H378" s="1070"/>
      <c r="I378" s="1020"/>
      <c r="J378" s="1020"/>
      <c r="K378" s="1020"/>
      <c r="L378" s="1066"/>
      <c r="M378" s="1020"/>
      <c r="N378" s="1020"/>
      <c r="O378" s="1020"/>
      <c r="P378" s="1020"/>
      <c r="Q378" s="1020"/>
      <c r="R378" s="1020"/>
      <c r="S378" s="1020"/>
      <c r="T378" s="1036"/>
      <c r="U378" s="1036"/>
      <c r="V378" s="1020"/>
      <c r="W378" s="1020"/>
      <c r="X378" s="1020"/>
      <c r="Y378" s="1020"/>
      <c r="Z378" s="1020"/>
      <c r="AA378" s="1020"/>
      <c r="AB378" s="1020"/>
      <c r="AC378" s="1020"/>
      <c r="AD378" s="1020"/>
      <c r="AE378" s="1020"/>
      <c r="AF378" s="1020"/>
      <c r="AG378" s="1020"/>
      <c r="AH378" s="1020"/>
      <c r="AI378" s="1020"/>
      <c r="AJ378" s="1020"/>
      <c r="AK378" s="1020"/>
      <c r="AL378" s="1020"/>
      <c r="AM378" s="1020"/>
      <c r="AN378" s="1020"/>
      <c r="AO378" s="1020"/>
      <c r="AP378" s="1020"/>
      <c r="AQ378" s="1020"/>
      <c r="AR378" s="1020"/>
      <c r="AS378" s="1020"/>
      <c r="AT378" s="1020"/>
      <c r="AU378" s="1020"/>
      <c r="AV378" s="1020"/>
      <c r="AW378" s="1020"/>
      <c r="AX378" s="1020"/>
    </row>
    <row r="379" spans="4:50" ht="12.75" customHeight="1">
      <c r="D379" s="1071"/>
      <c r="E379" s="1070"/>
      <c r="F379" s="1070"/>
      <c r="G379" s="1070"/>
      <c r="H379" s="1070"/>
      <c r="I379" s="1020"/>
      <c r="J379" s="1020"/>
      <c r="K379" s="1020"/>
      <c r="L379" s="1066"/>
      <c r="M379" s="1020"/>
      <c r="N379" s="1020"/>
      <c r="O379" s="1020"/>
      <c r="P379" s="1020"/>
      <c r="Q379" s="1020"/>
      <c r="R379" s="1020"/>
      <c r="S379" s="1020"/>
      <c r="T379" s="1036"/>
      <c r="U379" s="1036"/>
      <c r="V379" s="1020"/>
      <c r="W379" s="1020"/>
      <c r="X379" s="1020"/>
      <c r="Y379" s="1020"/>
      <c r="Z379" s="1020"/>
      <c r="AA379" s="1020"/>
      <c r="AB379" s="1020"/>
      <c r="AC379" s="1020"/>
      <c r="AD379" s="1020"/>
      <c r="AE379" s="1020"/>
      <c r="AF379" s="1020"/>
      <c r="AG379" s="1020"/>
      <c r="AH379" s="1020"/>
      <c r="AI379" s="1020"/>
      <c r="AJ379" s="1020"/>
      <c r="AK379" s="1020"/>
      <c r="AL379" s="1020"/>
      <c r="AM379" s="1020"/>
      <c r="AN379" s="1020"/>
      <c r="AO379" s="1020"/>
      <c r="AP379" s="1020"/>
      <c r="AQ379" s="1020"/>
      <c r="AR379" s="1020"/>
      <c r="AS379" s="1020"/>
      <c r="AT379" s="1020"/>
      <c r="AU379" s="1020"/>
      <c r="AV379" s="1020"/>
      <c r="AW379" s="1020"/>
      <c r="AX379" s="1020"/>
    </row>
    <row r="380" spans="4:50" ht="12.75" customHeight="1">
      <c r="D380" s="1071"/>
      <c r="E380" s="1070"/>
      <c r="F380" s="1070"/>
      <c r="G380" s="1070"/>
      <c r="H380" s="1070"/>
      <c r="I380" s="1020"/>
      <c r="J380" s="1020"/>
      <c r="K380" s="1020"/>
      <c r="L380" s="1066"/>
      <c r="M380" s="1020"/>
      <c r="N380" s="1020"/>
      <c r="O380" s="1020"/>
      <c r="P380" s="1020"/>
      <c r="Q380" s="1020"/>
      <c r="R380" s="1020"/>
      <c r="S380" s="1020"/>
      <c r="T380" s="1036"/>
      <c r="U380" s="1036"/>
      <c r="V380" s="1020"/>
      <c r="W380" s="1020"/>
      <c r="X380" s="1020"/>
      <c r="Y380" s="1020"/>
      <c r="Z380" s="1020"/>
      <c r="AA380" s="1020"/>
      <c r="AB380" s="1020"/>
      <c r="AC380" s="1020"/>
      <c r="AD380" s="1020"/>
      <c r="AE380" s="1020"/>
      <c r="AF380" s="1020"/>
      <c r="AG380" s="1020"/>
      <c r="AH380" s="1020"/>
      <c r="AI380" s="1020"/>
      <c r="AJ380" s="1020"/>
      <c r="AK380" s="1020"/>
      <c r="AL380" s="1020"/>
      <c r="AM380" s="1020"/>
      <c r="AN380" s="1020"/>
      <c r="AO380" s="1020"/>
      <c r="AP380" s="1020"/>
      <c r="AQ380" s="1020"/>
      <c r="AR380" s="1020"/>
      <c r="AS380" s="1020"/>
      <c r="AT380" s="1020"/>
      <c r="AU380" s="1020"/>
      <c r="AV380" s="1020"/>
      <c r="AW380" s="1020"/>
      <c r="AX380" s="1020"/>
    </row>
    <row r="381" spans="4:50" ht="12.75" customHeight="1">
      <c r="D381" s="1071"/>
      <c r="E381" s="1070"/>
      <c r="F381" s="1070"/>
      <c r="G381" s="1070"/>
      <c r="H381" s="1070"/>
      <c r="I381" s="1020"/>
      <c r="J381" s="1020"/>
      <c r="K381" s="1020"/>
      <c r="L381" s="1066"/>
      <c r="M381" s="1020"/>
      <c r="N381" s="1020"/>
      <c r="O381" s="1020"/>
      <c r="P381" s="1020"/>
      <c r="Q381" s="1020"/>
      <c r="R381" s="1020"/>
      <c r="S381" s="1020"/>
      <c r="T381" s="1036"/>
      <c r="U381" s="1036"/>
      <c r="V381" s="1020"/>
      <c r="W381" s="1020"/>
      <c r="X381" s="1020"/>
      <c r="Y381" s="1020"/>
      <c r="Z381" s="1020"/>
      <c r="AA381" s="1020"/>
      <c r="AB381" s="1020"/>
      <c r="AC381" s="1020"/>
      <c r="AD381" s="1020"/>
      <c r="AE381" s="1020"/>
      <c r="AF381" s="1020"/>
      <c r="AG381" s="1020"/>
      <c r="AH381" s="1020"/>
      <c r="AI381" s="1020"/>
      <c r="AJ381" s="1020"/>
      <c r="AK381" s="1020"/>
      <c r="AL381" s="1020"/>
      <c r="AM381" s="1020"/>
      <c r="AN381" s="1020"/>
      <c r="AO381" s="1020"/>
      <c r="AP381" s="1020"/>
      <c r="AQ381" s="1020"/>
      <c r="AR381" s="1020"/>
      <c r="AS381" s="1020"/>
      <c r="AT381" s="1020"/>
      <c r="AU381" s="1020"/>
      <c r="AV381" s="1020"/>
      <c r="AW381" s="1020"/>
      <c r="AX381" s="1020"/>
    </row>
    <row r="382" spans="4:50" ht="12.75" customHeight="1">
      <c r="D382" s="1071"/>
      <c r="E382" s="1070"/>
      <c r="F382" s="1070"/>
      <c r="G382" s="1070"/>
      <c r="H382" s="1070"/>
      <c r="I382" s="1020"/>
      <c r="J382" s="1020"/>
      <c r="K382" s="1020"/>
      <c r="L382" s="1066"/>
      <c r="M382" s="1020"/>
      <c r="N382" s="1020"/>
      <c r="O382" s="1020"/>
      <c r="P382" s="1020"/>
      <c r="Q382" s="1020"/>
      <c r="R382" s="1020"/>
      <c r="S382" s="1020"/>
      <c r="T382" s="1036"/>
      <c r="U382" s="1036"/>
      <c r="V382" s="1020"/>
      <c r="W382" s="1020"/>
      <c r="X382" s="1020"/>
      <c r="Y382" s="1020"/>
      <c r="Z382" s="1020"/>
      <c r="AA382" s="1020"/>
      <c r="AB382" s="1020"/>
      <c r="AC382" s="1020"/>
      <c r="AD382" s="1020"/>
      <c r="AE382" s="1020"/>
      <c r="AF382" s="1020"/>
      <c r="AG382" s="1020"/>
      <c r="AH382" s="1020"/>
      <c r="AI382" s="1020"/>
      <c r="AJ382" s="1020"/>
      <c r="AK382" s="1020"/>
      <c r="AL382" s="1020"/>
      <c r="AM382" s="1020"/>
      <c r="AN382" s="1020"/>
      <c r="AO382" s="1020"/>
      <c r="AP382" s="1020"/>
      <c r="AQ382" s="1020"/>
      <c r="AR382" s="1020"/>
      <c r="AS382" s="1020"/>
      <c r="AT382" s="1020"/>
      <c r="AU382" s="1020"/>
      <c r="AV382" s="1020"/>
      <c r="AW382" s="1020"/>
      <c r="AX382" s="1020"/>
    </row>
    <row r="383" spans="4:50" ht="12.75" customHeight="1">
      <c r="D383" s="1071"/>
      <c r="E383" s="1070"/>
      <c r="F383" s="1070"/>
      <c r="G383" s="1070"/>
      <c r="H383" s="1070"/>
      <c r="I383" s="1020"/>
      <c r="J383" s="1020"/>
      <c r="K383" s="1020"/>
      <c r="L383" s="1066"/>
      <c r="M383" s="1020"/>
      <c r="N383" s="1020"/>
      <c r="O383" s="1020"/>
      <c r="P383" s="1020"/>
      <c r="Q383" s="1020"/>
      <c r="R383" s="1020"/>
      <c r="S383" s="1020"/>
      <c r="T383" s="1036"/>
      <c r="U383" s="1036"/>
      <c r="V383" s="1020"/>
      <c r="W383" s="1020"/>
      <c r="X383" s="1020"/>
      <c r="Y383" s="1020"/>
      <c r="Z383" s="1020"/>
      <c r="AA383" s="1020"/>
      <c r="AB383" s="1020"/>
      <c r="AC383" s="1020"/>
      <c r="AD383" s="1020"/>
      <c r="AE383" s="1020"/>
      <c r="AF383" s="1020"/>
      <c r="AG383" s="1020"/>
      <c r="AH383" s="1020"/>
      <c r="AI383" s="1020"/>
      <c r="AJ383" s="1020"/>
      <c r="AK383" s="1020"/>
      <c r="AL383" s="1020"/>
      <c r="AM383" s="1020"/>
      <c r="AN383" s="1020"/>
      <c r="AO383" s="1020"/>
      <c r="AP383" s="1020"/>
      <c r="AQ383" s="1020"/>
      <c r="AR383" s="1020"/>
      <c r="AS383" s="1020"/>
      <c r="AT383" s="1020"/>
      <c r="AU383" s="1020"/>
      <c r="AV383" s="1020"/>
      <c r="AW383" s="1020"/>
      <c r="AX383" s="1020"/>
    </row>
    <row r="384" spans="4:50" ht="12.75" customHeight="1">
      <c r="D384" s="1071"/>
      <c r="E384" s="1070"/>
      <c r="F384" s="1070"/>
      <c r="G384" s="1070"/>
      <c r="H384" s="1070"/>
      <c r="I384" s="1020"/>
      <c r="J384" s="1020"/>
      <c r="K384" s="1020"/>
      <c r="L384" s="1066"/>
      <c r="M384" s="1020"/>
      <c r="N384" s="1020"/>
      <c r="O384" s="1020"/>
      <c r="P384" s="1020"/>
      <c r="Q384" s="1020"/>
      <c r="R384" s="1020"/>
      <c r="S384" s="1020"/>
      <c r="T384" s="1036"/>
      <c r="U384" s="1036"/>
      <c r="V384" s="1020"/>
      <c r="W384" s="1020"/>
      <c r="X384" s="1020"/>
      <c r="Y384" s="1020"/>
      <c r="Z384" s="1020"/>
      <c r="AA384" s="1020"/>
      <c r="AB384" s="1020"/>
      <c r="AC384" s="1020"/>
      <c r="AD384" s="1020"/>
      <c r="AE384" s="1020"/>
      <c r="AF384" s="1072"/>
      <c r="AG384" s="1073"/>
      <c r="AH384" s="1072"/>
      <c r="AI384" s="1020"/>
      <c r="AJ384" s="1020"/>
      <c r="AK384" s="1020"/>
      <c r="AL384" s="1020"/>
      <c r="AM384" s="1020"/>
      <c r="AN384" s="1020"/>
      <c r="AO384" s="1020"/>
      <c r="AP384" s="1020"/>
      <c r="AQ384" s="1020"/>
      <c r="AR384" s="1020"/>
      <c r="AS384" s="1020"/>
      <c r="AT384" s="1020"/>
      <c r="AU384" s="1020"/>
      <c r="AV384" s="1020"/>
      <c r="AW384" s="1020"/>
      <c r="AX384" s="1020"/>
    </row>
    <row r="385" spans="4:53" ht="12.75" customHeight="1">
      <c r="D385" s="1071"/>
      <c r="E385" s="1070"/>
      <c r="F385" s="1070"/>
      <c r="G385" s="1070"/>
      <c r="H385" s="1070"/>
      <c r="I385" s="1020"/>
      <c r="J385" s="1020"/>
      <c r="K385" s="1020"/>
      <c r="L385" s="1066"/>
      <c r="M385" s="1020"/>
      <c r="N385" s="1020"/>
      <c r="O385" s="1020"/>
      <c r="P385" s="1020"/>
      <c r="Q385" s="1020"/>
      <c r="R385" s="1020"/>
      <c r="S385" s="1020"/>
      <c r="T385" s="1036"/>
      <c r="U385" s="1036"/>
      <c r="V385" s="1020"/>
      <c r="W385" s="1020"/>
      <c r="X385" s="1020"/>
      <c r="Y385" s="1020"/>
      <c r="Z385" s="1020"/>
      <c r="AA385" s="1020"/>
      <c r="AB385" s="1020"/>
      <c r="AC385" s="1020"/>
      <c r="AD385" s="1020"/>
      <c r="AE385" s="1020"/>
      <c r="AF385" s="1074"/>
      <c r="AG385" s="1074"/>
      <c r="AH385" s="1072"/>
      <c r="AI385" s="1073"/>
      <c r="AJ385" s="1075"/>
      <c r="AK385" s="256"/>
      <c r="AL385" s="257"/>
      <c r="AM385" s="1076"/>
      <c r="AN385" s="1076"/>
      <c r="AO385" s="1077"/>
      <c r="AP385" s="1078"/>
      <c r="AQ385" s="1076"/>
      <c r="AR385" s="1076"/>
      <c r="AS385" s="1079">
        <v>20000</v>
      </c>
      <c r="AT385" s="1076"/>
      <c r="AU385" s="1072">
        <v>24</v>
      </c>
      <c r="AV385" s="1080"/>
      <c r="AW385" s="1081"/>
      <c r="AX385" s="1080"/>
      <c r="AY385" s="1076"/>
      <c r="AZ385" s="1076"/>
      <c r="BA385" s="1076"/>
    </row>
    <row r="386" spans="4:53" ht="12.75" customHeight="1">
      <c r="D386" s="1071"/>
      <c r="E386" s="1070"/>
      <c r="F386" s="1070"/>
      <c r="G386" s="1070"/>
      <c r="H386" s="1070"/>
      <c r="I386" s="1020"/>
      <c r="J386" s="1020"/>
      <c r="K386" s="1020"/>
      <c r="L386" s="1066"/>
      <c r="M386" s="1020"/>
      <c r="N386" s="1020"/>
      <c r="O386" s="1020"/>
      <c r="P386" s="1020"/>
      <c r="Q386" s="1020"/>
      <c r="R386" s="1020"/>
      <c r="S386" s="1020"/>
      <c r="T386" s="1036"/>
      <c r="U386" s="1036"/>
      <c r="V386" s="1020"/>
      <c r="W386" s="1020"/>
      <c r="X386" s="1020"/>
      <c r="Y386" s="1020"/>
      <c r="Z386" s="1020"/>
      <c r="AA386" s="1020"/>
      <c r="AB386" s="1020"/>
      <c r="AC386" s="1020"/>
      <c r="AD386" s="1020"/>
      <c r="AE386" s="1020"/>
      <c r="AF386" s="1074"/>
      <c r="AG386" s="1074"/>
      <c r="AH386" s="1072"/>
      <c r="AI386" s="1074"/>
      <c r="AJ386" s="1082"/>
      <c r="AK386" s="258"/>
      <c r="AL386" s="259"/>
      <c r="AM386" s="1079"/>
      <c r="AN386" s="1079"/>
      <c r="AO386" s="1083"/>
      <c r="AP386" s="1084"/>
      <c r="AQ386" s="1079"/>
      <c r="AR386" s="1079"/>
      <c r="AS386" s="1079">
        <v>15000</v>
      </c>
      <c r="AT386" s="1079"/>
      <c r="AU386" s="1074"/>
      <c r="AV386" s="1085"/>
      <c r="AW386" s="1086"/>
      <c r="AX386" s="1085"/>
      <c r="AY386" s="1079"/>
      <c r="AZ386" s="1079"/>
      <c r="BA386" s="1079"/>
    </row>
    <row r="387" spans="4:53" ht="12.75" customHeight="1">
      <c r="D387" s="1071"/>
      <c r="E387" s="1070"/>
      <c r="F387" s="1070"/>
      <c r="G387" s="1070"/>
      <c r="H387" s="1070"/>
      <c r="I387" s="1020"/>
      <c r="J387" s="1020"/>
      <c r="K387" s="1020"/>
      <c r="L387" s="1066"/>
      <c r="M387" s="1020"/>
      <c r="N387" s="1020"/>
      <c r="O387" s="1020"/>
      <c r="P387" s="1020"/>
      <c r="Q387" s="1020"/>
      <c r="R387" s="1020"/>
      <c r="S387" s="1020"/>
      <c r="T387" s="1036"/>
      <c r="U387" s="1036"/>
      <c r="V387" s="1020"/>
      <c r="W387" s="1020"/>
      <c r="X387" s="1020"/>
      <c r="Y387" s="1020"/>
      <c r="Z387" s="1020"/>
      <c r="AA387" s="1020"/>
      <c r="AB387" s="1020"/>
      <c r="AC387" s="1020"/>
      <c r="AD387" s="1020"/>
      <c r="AE387" s="1020"/>
      <c r="AF387" s="1074"/>
      <c r="AG387" s="1074"/>
      <c r="AH387" s="1072"/>
      <c r="AI387" s="1074"/>
      <c r="AJ387" s="1082"/>
      <c r="AK387" s="258"/>
      <c r="AL387" s="259"/>
      <c r="AM387" s="1079"/>
      <c r="AN387" s="1079"/>
      <c r="AO387" s="1083"/>
      <c r="AP387" s="1084"/>
      <c r="AQ387" s="1079"/>
      <c r="AR387" s="1079"/>
      <c r="AS387" s="1079"/>
      <c r="AT387" s="1079"/>
      <c r="AU387" s="1074"/>
      <c r="AV387" s="1085"/>
      <c r="AW387" s="1086"/>
      <c r="AX387" s="1085"/>
      <c r="AY387" s="1079"/>
      <c r="AZ387" s="1079"/>
      <c r="BA387" s="1079"/>
    </row>
    <row r="388" spans="4:53" ht="12.75" customHeight="1">
      <c r="D388" s="1071"/>
      <c r="E388" s="1070"/>
      <c r="F388" s="1070"/>
      <c r="G388" s="1070"/>
      <c r="H388" s="1070"/>
      <c r="I388" s="1020"/>
      <c r="J388" s="1020"/>
      <c r="K388" s="1020"/>
      <c r="L388" s="1066"/>
      <c r="M388" s="1020"/>
      <c r="N388" s="1020"/>
      <c r="O388" s="1020"/>
      <c r="P388" s="1020"/>
      <c r="Q388" s="1020"/>
      <c r="R388" s="1020"/>
      <c r="S388" s="1020"/>
      <c r="T388" s="1036"/>
      <c r="U388" s="1036"/>
      <c r="V388" s="1020"/>
      <c r="W388" s="1020"/>
      <c r="X388" s="1020"/>
      <c r="Y388" s="1020"/>
      <c r="Z388" s="1020"/>
      <c r="AA388" s="1020"/>
      <c r="AB388" s="1020"/>
      <c r="AC388" s="1020"/>
      <c r="AD388" s="1020"/>
      <c r="AE388" s="1020"/>
      <c r="AF388" s="1074"/>
      <c r="AG388" s="1074"/>
      <c r="AH388" s="1072"/>
      <c r="AI388" s="1074"/>
      <c r="AJ388" s="1082"/>
      <c r="AK388" s="258"/>
      <c r="AL388" s="259"/>
      <c r="AM388" s="1079"/>
      <c r="AN388" s="1079"/>
      <c r="AO388" s="1083"/>
      <c r="AP388" s="1084"/>
      <c r="AQ388" s="1079"/>
      <c r="AR388" s="1079"/>
      <c r="AS388" s="1079"/>
      <c r="AT388" s="1079"/>
      <c r="AU388" s="1074"/>
      <c r="AV388" s="1085"/>
      <c r="AW388" s="1086"/>
      <c r="AX388" s="1085"/>
      <c r="AY388" s="1079"/>
      <c r="AZ388" s="1079"/>
      <c r="BA388" s="1079"/>
    </row>
    <row r="389" spans="4:53" ht="12.75" customHeight="1">
      <c r="D389" s="1071"/>
      <c r="E389" s="1070"/>
      <c r="F389" s="1070"/>
      <c r="G389" s="1070"/>
      <c r="H389" s="1070"/>
      <c r="I389" s="1020"/>
      <c r="J389" s="1020"/>
      <c r="K389" s="1020"/>
      <c r="L389" s="1066"/>
      <c r="M389" s="1020"/>
      <c r="N389" s="1020"/>
      <c r="O389" s="1020"/>
      <c r="P389" s="1020"/>
      <c r="Q389" s="1020"/>
      <c r="R389" s="1020"/>
      <c r="S389" s="1020"/>
      <c r="T389" s="1036"/>
      <c r="U389" s="1036"/>
      <c r="V389" s="1020"/>
      <c r="W389" s="1020"/>
      <c r="X389" s="1020"/>
      <c r="Y389" s="1020"/>
      <c r="Z389" s="1020"/>
      <c r="AA389" s="1020"/>
      <c r="AB389" s="1020"/>
      <c r="AC389" s="1020"/>
      <c r="AD389" s="1020"/>
      <c r="AE389" s="1020"/>
      <c r="AF389" s="1074"/>
      <c r="AG389" s="1074"/>
      <c r="AH389" s="1072"/>
      <c r="AI389" s="1074"/>
      <c r="AJ389" s="1082"/>
      <c r="AK389" s="258"/>
      <c r="AL389" s="259"/>
      <c r="AM389" s="1079"/>
      <c r="AN389" s="1079"/>
      <c r="AO389" s="1083"/>
      <c r="AP389" s="1084"/>
      <c r="AQ389" s="1079"/>
      <c r="AR389" s="1079"/>
      <c r="AS389" s="1079"/>
      <c r="AT389" s="1079"/>
      <c r="AU389" s="1074"/>
      <c r="AV389" s="1085"/>
      <c r="AW389" s="1086"/>
      <c r="AX389" s="1085"/>
      <c r="AY389" s="1079"/>
      <c r="AZ389" s="1079"/>
      <c r="BA389" s="1079"/>
    </row>
    <row r="390" spans="4:53" ht="12.75" customHeight="1">
      <c r="D390" s="1071"/>
      <c r="E390" s="1070"/>
      <c r="F390" s="1070"/>
      <c r="G390" s="1070"/>
      <c r="H390" s="1070"/>
      <c r="I390" s="1020"/>
      <c r="J390" s="1020"/>
      <c r="K390" s="1020"/>
      <c r="L390" s="1066"/>
      <c r="M390" s="1020"/>
      <c r="N390" s="1020"/>
      <c r="O390" s="1020"/>
      <c r="P390" s="1020"/>
      <c r="Q390" s="1020"/>
      <c r="R390" s="1020"/>
      <c r="S390" s="1020"/>
      <c r="T390" s="1036"/>
      <c r="U390" s="1036"/>
      <c r="V390" s="1020"/>
      <c r="W390" s="1020"/>
      <c r="X390" s="1020"/>
      <c r="Y390" s="1020"/>
      <c r="Z390" s="1020"/>
      <c r="AA390" s="1020"/>
      <c r="AB390" s="1020"/>
      <c r="AC390" s="1020"/>
      <c r="AD390" s="1020"/>
      <c r="AE390" s="1020"/>
      <c r="AF390" s="1074"/>
      <c r="AG390" s="1074"/>
      <c r="AH390" s="1072"/>
      <c r="AI390" s="1074"/>
      <c r="AJ390" s="1082"/>
      <c r="AK390" s="258"/>
      <c r="AL390" s="259"/>
      <c r="AM390" s="1079"/>
      <c r="AN390" s="1079"/>
      <c r="AO390" s="1083"/>
      <c r="AP390" s="1084"/>
      <c r="AQ390" s="1079"/>
      <c r="AR390" s="1079"/>
      <c r="AS390" s="1079"/>
      <c r="AT390" s="1079"/>
      <c r="AU390" s="1074"/>
      <c r="AV390" s="1085"/>
      <c r="AW390" s="1086"/>
      <c r="AX390" s="1085"/>
      <c r="AY390" s="1079"/>
      <c r="AZ390" s="1079"/>
      <c r="BA390" s="1079"/>
    </row>
    <row r="391" spans="4:53" ht="12.75" customHeight="1">
      <c r="D391" s="1071"/>
      <c r="E391" s="1070"/>
      <c r="F391" s="1070"/>
      <c r="G391" s="1070"/>
      <c r="H391" s="1070"/>
      <c r="I391" s="1020"/>
      <c r="J391" s="1020"/>
      <c r="K391" s="1020"/>
      <c r="L391" s="1066"/>
      <c r="M391" s="1020"/>
      <c r="N391" s="1020"/>
      <c r="O391" s="1020"/>
      <c r="P391" s="1020"/>
      <c r="Q391" s="1020"/>
      <c r="R391" s="1020"/>
      <c r="S391" s="1020"/>
      <c r="T391" s="1036"/>
      <c r="U391" s="1036"/>
      <c r="V391" s="1020"/>
      <c r="W391" s="1020"/>
      <c r="X391" s="1020"/>
      <c r="Y391" s="1020"/>
      <c r="Z391" s="1020"/>
      <c r="AA391" s="1020"/>
      <c r="AB391" s="1020"/>
      <c r="AC391" s="1020"/>
      <c r="AD391" s="1020"/>
      <c r="AE391" s="1020"/>
      <c r="AF391" s="1074"/>
      <c r="AG391" s="1074"/>
      <c r="AH391" s="1072"/>
      <c r="AI391" s="1074"/>
      <c r="AJ391" s="1082"/>
      <c r="AK391" s="258"/>
      <c r="AL391" s="259"/>
      <c r="AM391" s="1079"/>
      <c r="AN391" s="1079"/>
      <c r="AO391" s="1083"/>
      <c r="AP391" s="1084"/>
      <c r="AQ391" s="1079"/>
      <c r="AR391" s="1079"/>
      <c r="AS391" s="1079"/>
      <c r="AT391" s="1079"/>
      <c r="AU391" s="1074"/>
      <c r="AV391" s="1085"/>
      <c r="AW391" s="1086"/>
      <c r="AX391" s="1085"/>
      <c r="AY391" s="1079"/>
      <c r="AZ391" s="1079"/>
      <c r="BA391" s="1079"/>
    </row>
    <row r="392" spans="4:53" ht="12.75" customHeight="1">
      <c r="D392" s="1071"/>
      <c r="E392" s="1070"/>
      <c r="F392" s="1070"/>
      <c r="G392" s="1070"/>
      <c r="H392" s="1070"/>
      <c r="I392" s="1020"/>
      <c r="J392" s="1020"/>
      <c r="K392" s="1020"/>
      <c r="L392" s="1066"/>
      <c r="M392" s="1020"/>
      <c r="N392" s="1020"/>
      <c r="O392" s="1020"/>
      <c r="P392" s="1020"/>
      <c r="Q392" s="1020"/>
      <c r="R392" s="1020"/>
      <c r="S392" s="1020"/>
      <c r="T392" s="1036"/>
      <c r="U392" s="1036"/>
      <c r="V392" s="1020"/>
      <c r="W392" s="1020"/>
      <c r="X392" s="1020"/>
      <c r="Y392" s="1020"/>
      <c r="Z392" s="1020"/>
      <c r="AA392" s="1020"/>
      <c r="AB392" s="1020"/>
      <c r="AC392" s="1020"/>
      <c r="AD392" s="1020"/>
      <c r="AE392" s="1020"/>
      <c r="AF392" s="1074"/>
      <c r="AG392" s="1074"/>
      <c r="AH392" s="1072"/>
      <c r="AI392" s="1074"/>
      <c r="AJ392" s="1082"/>
      <c r="AK392" s="258"/>
      <c r="AL392" s="259"/>
      <c r="AM392" s="1079"/>
      <c r="AN392" s="1079"/>
      <c r="AO392" s="1083"/>
      <c r="AP392" s="1084"/>
      <c r="AQ392" s="1079"/>
      <c r="AR392" s="1079"/>
      <c r="AS392" s="1079"/>
      <c r="AT392" s="1079"/>
      <c r="AU392" s="1074"/>
      <c r="AV392" s="1085"/>
      <c r="AW392" s="1086"/>
      <c r="AX392" s="1085"/>
      <c r="AY392" s="1079"/>
      <c r="AZ392" s="1079"/>
      <c r="BA392" s="1079"/>
    </row>
    <row r="393" spans="4:53" ht="12.75" customHeight="1">
      <c r="D393" s="1071"/>
      <c r="E393" s="1070"/>
      <c r="F393" s="1070"/>
      <c r="G393" s="1070"/>
      <c r="H393" s="1070"/>
      <c r="I393" s="1020"/>
      <c r="J393" s="1020"/>
      <c r="K393" s="1020"/>
      <c r="L393" s="1066"/>
      <c r="M393" s="1020"/>
      <c r="N393" s="1020"/>
      <c r="O393" s="1020"/>
      <c r="P393" s="1020"/>
      <c r="Q393" s="1020"/>
      <c r="R393" s="1020"/>
      <c r="S393" s="1020"/>
      <c r="T393" s="1036"/>
      <c r="U393" s="1036"/>
      <c r="V393" s="1020"/>
      <c r="W393" s="1020"/>
      <c r="X393" s="1020"/>
      <c r="Y393" s="1020"/>
      <c r="Z393" s="1020"/>
      <c r="AA393" s="1020"/>
      <c r="AB393" s="1020"/>
      <c r="AC393" s="1020"/>
      <c r="AD393" s="1020"/>
      <c r="AE393" s="1020"/>
      <c r="AF393" s="1074"/>
      <c r="AG393" s="1074"/>
      <c r="AH393" s="1072"/>
      <c r="AI393" s="1074"/>
      <c r="AJ393" s="1082"/>
      <c r="AK393" s="258"/>
      <c r="AL393" s="259"/>
      <c r="AM393" s="1079"/>
      <c r="AN393" s="1079"/>
      <c r="AO393" s="1083"/>
      <c r="AP393" s="1084"/>
      <c r="AQ393" s="1079"/>
      <c r="AR393" s="1079"/>
      <c r="AS393" s="1079"/>
      <c r="AT393" s="1079"/>
      <c r="AU393" s="1074"/>
      <c r="AV393" s="1085"/>
      <c r="AW393" s="1086"/>
      <c r="AX393" s="1085"/>
      <c r="AY393" s="1079"/>
      <c r="AZ393" s="1079"/>
      <c r="BA393" s="1079"/>
    </row>
    <row r="394" spans="4:53" ht="12.75" customHeight="1">
      <c r="D394" s="1071"/>
      <c r="E394" s="1070"/>
      <c r="F394" s="1070"/>
      <c r="G394" s="1070"/>
      <c r="H394" s="1070"/>
      <c r="I394" s="1020"/>
      <c r="J394" s="1020"/>
      <c r="K394" s="1020"/>
      <c r="L394" s="1066"/>
      <c r="M394" s="1020"/>
      <c r="N394" s="1020"/>
      <c r="O394" s="1020"/>
      <c r="P394" s="1020"/>
      <c r="Q394" s="1020"/>
      <c r="R394" s="1020"/>
      <c r="S394" s="1020"/>
      <c r="T394" s="1036"/>
      <c r="U394" s="1036"/>
      <c r="V394" s="1020"/>
      <c r="W394" s="1020"/>
      <c r="X394" s="1020"/>
      <c r="Y394" s="1020"/>
      <c r="Z394" s="1020"/>
      <c r="AA394" s="1020"/>
      <c r="AB394" s="1020"/>
      <c r="AC394" s="1020"/>
      <c r="AD394" s="1020"/>
      <c r="AE394" s="1020"/>
      <c r="AF394" s="1066"/>
      <c r="AG394" s="1020"/>
      <c r="AH394" s="1020"/>
      <c r="AI394" s="1074"/>
      <c r="AJ394" s="1082"/>
      <c r="AK394" s="258"/>
      <c r="AL394" s="259"/>
      <c r="AM394" s="1079"/>
      <c r="AN394" s="1079"/>
      <c r="AO394" s="1083"/>
      <c r="AP394" s="1084"/>
      <c r="AQ394" s="1079"/>
      <c r="AR394" s="1079"/>
      <c r="AS394" s="1079"/>
      <c r="AT394" s="1079"/>
      <c r="AU394" s="1074"/>
      <c r="AV394" s="1085"/>
      <c r="AW394" s="1086"/>
      <c r="AX394" s="1085"/>
      <c r="AY394" s="1079"/>
      <c r="AZ394" s="1079"/>
      <c r="BA394" s="1079"/>
    </row>
    <row r="395" spans="4:53" ht="12.75" customHeight="1">
      <c r="D395" s="1071"/>
      <c r="E395" s="1070"/>
      <c r="F395" s="1070"/>
      <c r="G395" s="1070"/>
      <c r="H395" s="1070"/>
      <c r="I395" s="1020"/>
      <c r="J395" s="1020"/>
      <c r="K395" s="1020"/>
      <c r="L395" s="1066"/>
      <c r="M395" s="1020"/>
      <c r="N395" s="1020"/>
      <c r="O395" s="1020"/>
      <c r="P395" s="1020"/>
      <c r="Q395" s="1020"/>
      <c r="R395" s="1020"/>
      <c r="S395" s="1020"/>
      <c r="T395" s="1036"/>
      <c r="U395" s="1036"/>
      <c r="V395" s="1020"/>
      <c r="W395" s="1020"/>
      <c r="X395" s="1020"/>
      <c r="Y395" s="1020"/>
      <c r="Z395" s="1020"/>
      <c r="AA395" s="1020"/>
      <c r="AB395" s="1020"/>
      <c r="AC395" s="1020"/>
      <c r="AD395" s="1020"/>
      <c r="AE395" s="1020"/>
      <c r="AF395" s="1066"/>
      <c r="AG395" s="1020"/>
      <c r="AH395" s="1020"/>
      <c r="AI395" s="1020"/>
      <c r="AJ395" s="1087"/>
      <c r="AK395" s="1020"/>
      <c r="AL395" s="1020"/>
      <c r="AM395" s="1020"/>
      <c r="AN395" s="1020"/>
      <c r="AO395" s="1020"/>
      <c r="AP395" s="1020"/>
      <c r="AQ395" s="1020"/>
      <c r="AR395" s="1020"/>
      <c r="AS395" s="1088"/>
      <c r="AT395" s="1020"/>
      <c r="AU395" s="1020"/>
      <c r="AV395" s="1020"/>
      <c r="AW395" s="1039"/>
      <c r="AX395" s="1040"/>
      <c r="AY395" s="1020"/>
      <c r="AZ395" s="1020"/>
      <c r="BA395" s="1020"/>
    </row>
    <row r="396" spans="4:53" ht="12.75" customHeight="1">
      <c r="D396" s="1071"/>
      <c r="E396" s="1070"/>
      <c r="F396" s="1070"/>
      <c r="G396" s="1070"/>
      <c r="H396" s="1070"/>
      <c r="I396" s="1020"/>
      <c r="J396" s="1020"/>
      <c r="K396" s="1020"/>
      <c r="L396" s="1066"/>
      <c r="M396" s="1020"/>
      <c r="N396" s="1020"/>
      <c r="O396" s="1020"/>
      <c r="P396" s="1020"/>
      <c r="Q396" s="1020"/>
      <c r="R396" s="1020"/>
      <c r="S396" s="1020"/>
      <c r="T396" s="1036"/>
      <c r="U396" s="1036"/>
      <c r="V396" s="1020"/>
      <c r="W396" s="1020"/>
      <c r="X396" s="1020"/>
      <c r="Y396" s="1020"/>
      <c r="Z396" s="1020"/>
      <c r="AA396" s="1020"/>
      <c r="AB396" s="1020"/>
      <c r="AC396" s="1020"/>
      <c r="AD396" s="1020"/>
      <c r="AE396" s="1020"/>
      <c r="AF396" s="1066"/>
      <c r="AG396" s="1020"/>
      <c r="AH396" s="1020"/>
      <c r="AI396" s="1020"/>
      <c r="AJ396" s="1087"/>
      <c r="AK396" s="1020"/>
      <c r="AL396" s="1020"/>
      <c r="AM396" s="1020"/>
      <c r="AN396" s="1020"/>
      <c r="AO396" s="1020"/>
      <c r="AP396" s="1020"/>
      <c r="AQ396" s="1020"/>
      <c r="AR396" s="1020"/>
      <c r="AS396" s="1088"/>
      <c r="AT396" s="1020"/>
      <c r="AU396" s="1020"/>
      <c r="AV396" s="1020"/>
      <c r="AW396" s="1039"/>
      <c r="AX396" s="1040"/>
      <c r="AY396" s="1020"/>
      <c r="AZ396" s="1020"/>
      <c r="BA396" s="1020"/>
    </row>
    <row r="397" spans="4:53" ht="12.75" customHeight="1">
      <c r="D397" s="1071"/>
      <c r="E397" s="1070"/>
      <c r="F397" s="1070"/>
      <c r="G397" s="1070"/>
      <c r="H397" s="1070"/>
      <c r="I397" s="1020"/>
      <c r="J397" s="1020"/>
      <c r="K397" s="1020"/>
      <c r="L397" s="1066"/>
      <c r="M397" s="1020"/>
      <c r="N397" s="1020"/>
      <c r="O397" s="1020"/>
      <c r="P397" s="1020"/>
      <c r="Q397" s="1020"/>
      <c r="R397" s="1020"/>
      <c r="S397" s="1020"/>
      <c r="T397" s="1036"/>
      <c r="U397" s="1036"/>
      <c r="V397" s="1020"/>
      <c r="W397" s="1020"/>
      <c r="X397" s="1020"/>
      <c r="Y397" s="1020"/>
      <c r="Z397" s="1020"/>
      <c r="AA397" s="1020"/>
      <c r="AB397" s="1020"/>
      <c r="AC397" s="1020"/>
      <c r="AD397" s="1020"/>
      <c r="AE397" s="1020"/>
      <c r="AF397" s="1066"/>
      <c r="AG397" s="1020"/>
      <c r="AH397" s="1020"/>
      <c r="AI397" s="1020"/>
      <c r="AJ397" s="1087"/>
      <c r="AK397" s="1020"/>
      <c r="AL397" s="1020"/>
      <c r="AM397" s="1020"/>
      <c r="AN397" s="1020"/>
      <c r="AO397" s="1020"/>
      <c r="AP397" s="1020"/>
      <c r="AQ397" s="1020"/>
      <c r="AR397" s="1020"/>
      <c r="AS397" s="1088"/>
      <c r="AT397" s="1020"/>
      <c r="AU397" s="1020"/>
      <c r="AV397" s="1020"/>
      <c r="AW397" s="1039"/>
      <c r="AX397" s="1040"/>
      <c r="AY397" s="1020"/>
      <c r="AZ397" s="1020"/>
      <c r="BA397" s="1020"/>
    </row>
    <row r="398" spans="4:53" ht="12.75" customHeight="1">
      <c r="D398" s="1071"/>
      <c r="E398" s="1070"/>
      <c r="F398" s="1070"/>
      <c r="G398" s="1070"/>
      <c r="H398" s="1070"/>
      <c r="I398" s="1020"/>
      <c r="J398" s="1020"/>
      <c r="K398" s="1020"/>
      <c r="L398" s="1066"/>
      <c r="M398" s="1020"/>
      <c r="N398" s="1020"/>
      <c r="O398" s="1020"/>
      <c r="P398" s="1020"/>
      <c r="Q398" s="1020"/>
      <c r="R398" s="1020"/>
      <c r="S398" s="1020"/>
      <c r="T398" s="1036"/>
      <c r="U398" s="1036"/>
      <c r="V398" s="1020"/>
      <c r="W398" s="1020"/>
      <c r="X398" s="1020"/>
      <c r="Y398" s="1020"/>
      <c r="Z398" s="1020"/>
      <c r="AA398" s="1020"/>
      <c r="AB398" s="1020"/>
      <c r="AC398" s="1020"/>
      <c r="AD398" s="1020"/>
      <c r="AE398" s="1020"/>
      <c r="AF398" s="1066"/>
      <c r="AG398" s="1020"/>
      <c r="AH398" s="1020"/>
      <c r="AI398" s="1020"/>
      <c r="AJ398" s="1087"/>
      <c r="AK398" s="1020"/>
      <c r="AL398" s="1020"/>
      <c r="AM398" s="1020"/>
      <c r="AN398" s="1020"/>
      <c r="AO398" s="1020"/>
      <c r="AP398" s="1020"/>
      <c r="AQ398" s="1020"/>
      <c r="AR398" s="1020"/>
      <c r="AS398" s="1088"/>
      <c r="AT398" s="1020"/>
      <c r="AU398" s="1020"/>
      <c r="AV398" s="1020"/>
      <c r="AW398" s="1039"/>
      <c r="AX398" s="1040"/>
      <c r="AY398" s="1020"/>
      <c r="AZ398" s="1020"/>
      <c r="BA398" s="1020"/>
    </row>
    <row r="399" spans="4:53" ht="12.75" customHeight="1">
      <c r="D399" s="1071"/>
      <c r="E399" s="1070"/>
      <c r="F399" s="1070"/>
      <c r="G399" s="1070"/>
      <c r="H399" s="1070"/>
      <c r="I399" s="1020"/>
      <c r="J399" s="1020"/>
      <c r="K399" s="1020"/>
      <c r="L399" s="1066"/>
      <c r="M399" s="1020"/>
      <c r="N399" s="1020"/>
      <c r="O399" s="1020"/>
      <c r="P399" s="1020"/>
      <c r="Q399" s="1020"/>
      <c r="R399" s="1020"/>
      <c r="S399" s="1020"/>
      <c r="T399" s="1036"/>
      <c r="U399" s="1036"/>
      <c r="V399" s="1020"/>
      <c r="W399" s="1020"/>
      <c r="X399" s="1020"/>
      <c r="Y399" s="1020"/>
      <c r="Z399" s="1020"/>
      <c r="AA399" s="1020"/>
      <c r="AB399" s="1020"/>
      <c r="AC399" s="1020"/>
      <c r="AD399" s="1020"/>
      <c r="AE399" s="1020"/>
      <c r="AF399" s="1066"/>
      <c r="AG399" s="1020"/>
      <c r="AH399" s="1020"/>
      <c r="AI399" s="1020"/>
      <c r="AJ399" s="1087"/>
      <c r="AK399" s="1020"/>
      <c r="AL399" s="1020"/>
      <c r="AM399" s="1020"/>
      <c r="AN399" s="1020"/>
      <c r="AO399" s="1020"/>
      <c r="AP399" s="1020"/>
      <c r="AQ399" s="1020"/>
      <c r="AR399" s="1020"/>
      <c r="AS399" s="1088"/>
      <c r="AT399" s="1020"/>
      <c r="AU399" s="1020"/>
      <c r="AV399" s="1020"/>
      <c r="AW399" s="1039"/>
      <c r="AX399" s="1040"/>
      <c r="AY399" s="1020"/>
      <c r="AZ399" s="1020"/>
      <c r="BA399" s="1020"/>
    </row>
    <row r="400" spans="4:53" ht="12.75" customHeight="1">
      <c r="D400" s="1071"/>
      <c r="E400" s="1070"/>
      <c r="F400" s="1070"/>
      <c r="G400" s="1070"/>
      <c r="H400" s="1070"/>
      <c r="I400" s="1020"/>
      <c r="J400" s="1020"/>
      <c r="K400" s="1020"/>
      <c r="L400" s="1066"/>
      <c r="M400" s="1020"/>
      <c r="N400" s="1020"/>
      <c r="O400" s="1020"/>
      <c r="P400" s="1020"/>
      <c r="Q400" s="1020"/>
      <c r="R400" s="1020"/>
      <c r="S400" s="1020"/>
      <c r="T400" s="1036"/>
      <c r="U400" s="1036"/>
      <c r="V400" s="1020"/>
      <c r="W400" s="1020"/>
      <c r="X400" s="1020"/>
      <c r="Y400" s="1020"/>
      <c r="Z400" s="1020"/>
      <c r="AA400" s="1020"/>
      <c r="AB400" s="1020"/>
      <c r="AC400" s="1020"/>
      <c r="AD400" s="1020"/>
      <c r="AE400" s="1020"/>
      <c r="AF400" s="1066"/>
      <c r="AG400" s="1020"/>
      <c r="AH400" s="1020"/>
      <c r="AI400" s="1020"/>
      <c r="AJ400" s="1087"/>
      <c r="AK400" s="1020"/>
      <c r="AL400" s="1020"/>
      <c r="AM400" s="1020"/>
      <c r="AN400" s="1020"/>
      <c r="AO400" s="1020"/>
      <c r="AP400" s="1020"/>
      <c r="AQ400" s="1020"/>
      <c r="AR400" s="1020"/>
      <c r="AS400" s="1088"/>
      <c r="AT400" s="1020"/>
      <c r="AU400" s="1020"/>
      <c r="AV400" s="1020"/>
      <c r="AW400" s="1039"/>
      <c r="AX400" s="1040"/>
      <c r="AY400" s="1020"/>
      <c r="AZ400" s="1020"/>
      <c r="BA400" s="1020"/>
    </row>
    <row r="401" spans="4:45" ht="12.75" customHeight="1">
      <c r="D401" s="1071"/>
      <c r="E401" s="1070"/>
      <c r="F401" s="1070"/>
      <c r="G401" s="1070"/>
      <c r="H401" s="1070"/>
      <c r="I401" s="1020"/>
      <c r="J401" s="1020"/>
      <c r="K401" s="1020"/>
      <c r="L401" s="1066"/>
      <c r="M401" s="1020"/>
      <c r="N401" s="1020"/>
      <c r="O401" s="1020"/>
      <c r="P401" s="1020"/>
      <c r="Q401" s="1020"/>
      <c r="R401" s="1020"/>
      <c r="S401" s="1020"/>
      <c r="T401" s="1036"/>
      <c r="U401" s="1036"/>
      <c r="V401" s="1020"/>
      <c r="W401" s="1020"/>
      <c r="X401" s="1020"/>
      <c r="Y401" s="1020"/>
      <c r="Z401" s="1020"/>
      <c r="AA401" s="1020"/>
      <c r="AB401" s="1020"/>
      <c r="AC401" s="1020"/>
      <c r="AD401" s="1020"/>
      <c r="AE401" s="1020"/>
      <c r="AF401" s="1066"/>
      <c r="AG401" s="1020"/>
      <c r="AH401" s="1020"/>
      <c r="AI401" s="1020"/>
      <c r="AJ401" s="1087"/>
      <c r="AK401" s="1020"/>
      <c r="AL401" s="1020"/>
      <c r="AM401" s="1020"/>
      <c r="AN401" s="1020"/>
      <c r="AO401" s="1020"/>
      <c r="AP401" s="1020"/>
      <c r="AQ401" s="1020"/>
      <c r="AR401" s="1020"/>
      <c r="AS401" s="1088"/>
    </row>
    <row r="402" spans="4:45" ht="12.75" customHeight="1">
      <c r="D402" s="1071"/>
      <c r="E402" s="1070"/>
      <c r="F402" s="1070"/>
      <c r="G402" s="1070"/>
      <c r="H402" s="1070"/>
      <c r="I402" s="1020"/>
      <c r="J402" s="1020"/>
      <c r="K402" s="1020"/>
      <c r="L402" s="1066"/>
      <c r="M402" s="1020"/>
      <c r="N402" s="1020"/>
      <c r="O402" s="1020"/>
      <c r="P402" s="1020"/>
      <c r="Q402" s="1020"/>
      <c r="R402" s="1020"/>
      <c r="S402" s="1020"/>
      <c r="T402" s="1036"/>
      <c r="U402" s="1036"/>
      <c r="V402" s="1020"/>
      <c r="W402" s="1020"/>
      <c r="X402" s="1020"/>
      <c r="Y402" s="1020"/>
      <c r="Z402" s="1020"/>
      <c r="AA402" s="1020"/>
      <c r="AB402" s="1020"/>
      <c r="AC402" s="1020"/>
      <c r="AD402" s="1020"/>
      <c r="AE402" s="1020"/>
      <c r="AF402" s="1020"/>
      <c r="AG402" s="1020"/>
      <c r="AH402" s="1020"/>
      <c r="AI402" s="1020"/>
      <c r="AJ402" s="1087"/>
      <c r="AK402" s="1020"/>
      <c r="AL402" s="1020"/>
      <c r="AM402" s="1020"/>
      <c r="AN402" s="1020"/>
      <c r="AO402" s="1020"/>
      <c r="AP402" s="1020"/>
      <c r="AQ402" s="1020"/>
      <c r="AR402" s="1020"/>
      <c r="AS402" s="1088"/>
    </row>
    <row r="403" spans="4:45" ht="12.75" customHeight="1">
      <c r="D403" s="1071"/>
      <c r="E403" s="1070"/>
      <c r="F403" s="1070"/>
      <c r="G403" s="1070"/>
      <c r="H403" s="1070"/>
      <c r="I403" s="1020"/>
      <c r="J403" s="1020"/>
      <c r="K403" s="1020"/>
      <c r="L403" s="1066"/>
      <c r="M403" s="1020"/>
      <c r="N403" s="1020"/>
      <c r="O403" s="1020"/>
      <c r="P403" s="1020"/>
      <c r="Q403" s="1020"/>
      <c r="R403" s="1020"/>
      <c r="S403" s="1020"/>
      <c r="T403" s="1036"/>
      <c r="U403" s="1036"/>
      <c r="V403" s="1020"/>
      <c r="W403" s="1020"/>
      <c r="X403" s="1020"/>
      <c r="Y403" s="1020"/>
      <c r="Z403" s="1020"/>
      <c r="AA403" s="1020"/>
      <c r="AB403" s="1020"/>
      <c r="AC403" s="1020"/>
      <c r="AD403" s="1020"/>
      <c r="AE403" s="1020"/>
      <c r="AF403" s="1020"/>
      <c r="AG403" s="1020"/>
      <c r="AH403" s="1020"/>
      <c r="AI403" s="1020"/>
      <c r="AJ403" s="1087"/>
      <c r="AK403" s="1020"/>
      <c r="AL403" s="1020"/>
      <c r="AM403" s="1020"/>
      <c r="AN403" s="1020"/>
      <c r="AO403" s="1020"/>
      <c r="AP403" s="1020"/>
      <c r="AQ403" s="1020"/>
      <c r="AR403" s="1020"/>
      <c r="AS403" s="1020"/>
    </row>
    <row r="404" spans="4:45" ht="12.75" customHeight="1">
      <c r="D404" s="1071"/>
      <c r="E404" s="1070"/>
      <c r="F404" s="1070"/>
      <c r="G404" s="1070"/>
      <c r="H404" s="1070"/>
      <c r="I404" s="1020"/>
      <c r="J404" s="1020"/>
      <c r="K404" s="1020"/>
      <c r="L404" s="1066"/>
      <c r="M404" s="1020"/>
      <c r="N404" s="1020"/>
      <c r="O404" s="1020"/>
      <c r="P404" s="1020"/>
      <c r="Q404" s="1020"/>
      <c r="R404" s="1020"/>
      <c r="S404" s="1020"/>
      <c r="T404" s="1036"/>
      <c r="U404" s="1036"/>
      <c r="V404" s="1020"/>
      <c r="W404" s="1020"/>
      <c r="X404" s="1020"/>
      <c r="Y404" s="1020"/>
      <c r="Z404" s="1020"/>
      <c r="AA404" s="1020"/>
      <c r="AB404" s="1020"/>
      <c r="AC404" s="1020"/>
      <c r="AD404" s="1020"/>
      <c r="AE404" s="1020"/>
      <c r="AF404" s="1020"/>
      <c r="AG404" s="1020"/>
      <c r="AH404" s="1020"/>
      <c r="AI404" s="1020"/>
      <c r="AJ404" s="1087"/>
      <c r="AK404" s="1020"/>
      <c r="AL404" s="1020"/>
      <c r="AM404" s="1020"/>
      <c r="AN404" s="1020"/>
      <c r="AO404" s="1020"/>
      <c r="AP404" s="1020"/>
      <c r="AQ404" s="1020"/>
      <c r="AR404" s="1020"/>
      <c r="AS404" s="1020"/>
    </row>
    <row r="405" spans="4:45" ht="12.75" customHeight="1">
      <c r="D405" s="1071"/>
      <c r="E405" s="1070"/>
      <c r="F405" s="1070"/>
      <c r="G405" s="1070"/>
      <c r="H405" s="1070"/>
      <c r="I405" s="1020"/>
      <c r="J405" s="1020"/>
      <c r="K405" s="1020"/>
      <c r="L405" s="1066"/>
      <c r="M405" s="1020"/>
      <c r="N405" s="1020"/>
      <c r="O405" s="1020"/>
      <c r="P405" s="1020"/>
      <c r="Q405" s="1020"/>
      <c r="R405" s="1020"/>
      <c r="S405" s="1020"/>
      <c r="T405" s="1036"/>
      <c r="U405" s="1036"/>
      <c r="V405" s="1020"/>
      <c r="W405" s="1020"/>
      <c r="X405" s="1020"/>
      <c r="Y405" s="1020"/>
      <c r="Z405" s="1020"/>
      <c r="AA405" s="1020"/>
      <c r="AB405" s="1020"/>
      <c r="AC405" s="1020"/>
      <c r="AD405" s="1020"/>
      <c r="AE405" s="1020"/>
      <c r="AF405" s="1020"/>
      <c r="AG405" s="1020"/>
      <c r="AH405" s="1020"/>
      <c r="AI405" s="1020"/>
      <c r="AJ405" s="1087"/>
      <c r="AK405" s="1020"/>
      <c r="AL405" s="1020"/>
      <c r="AM405" s="1020"/>
      <c r="AN405" s="1020"/>
      <c r="AO405" s="1020"/>
      <c r="AP405" s="1020"/>
      <c r="AQ405" s="1020"/>
      <c r="AR405" s="1020"/>
      <c r="AS405" s="1020"/>
    </row>
    <row r="406" spans="4:45" ht="12.75" customHeight="1">
      <c r="D406" s="1071"/>
      <c r="E406" s="1070"/>
      <c r="F406" s="1070"/>
      <c r="G406" s="1070"/>
      <c r="H406" s="1070"/>
      <c r="I406" s="1020"/>
      <c r="J406" s="1020"/>
      <c r="K406" s="1020"/>
      <c r="L406" s="1066"/>
      <c r="M406" s="1020"/>
      <c r="N406" s="1020"/>
      <c r="O406" s="1020"/>
      <c r="P406" s="1020"/>
      <c r="Q406" s="1020"/>
      <c r="R406" s="1020"/>
      <c r="S406" s="1020"/>
      <c r="T406" s="1036"/>
      <c r="U406" s="1036"/>
      <c r="V406" s="1020"/>
      <c r="W406" s="1020"/>
      <c r="X406" s="1020"/>
      <c r="Y406" s="1020"/>
      <c r="Z406" s="1020"/>
      <c r="AA406" s="1020"/>
      <c r="AB406" s="1020"/>
      <c r="AC406" s="1020"/>
      <c r="AD406" s="1020"/>
      <c r="AE406" s="1020"/>
      <c r="AF406" s="1020"/>
      <c r="AG406" s="1020"/>
      <c r="AH406" s="1020"/>
      <c r="AI406" s="1020"/>
      <c r="AJ406" s="1087"/>
      <c r="AK406" s="1020"/>
      <c r="AL406" s="1020"/>
      <c r="AM406" s="1020"/>
      <c r="AN406" s="1020"/>
      <c r="AO406" s="1020"/>
      <c r="AP406" s="1020"/>
      <c r="AQ406" s="1020"/>
      <c r="AR406" s="1020"/>
      <c r="AS406" s="1020"/>
    </row>
    <row r="407" spans="4:45" ht="12.75" customHeight="1">
      <c r="D407" s="1071"/>
      <c r="E407" s="1070"/>
      <c r="F407" s="1070"/>
      <c r="G407" s="1070"/>
      <c r="H407" s="1070"/>
      <c r="I407" s="1020"/>
      <c r="J407" s="1020"/>
      <c r="K407" s="1020"/>
      <c r="L407" s="1066"/>
      <c r="M407" s="1020"/>
      <c r="N407" s="1020"/>
      <c r="O407" s="1020"/>
      <c r="P407" s="1020"/>
      <c r="Q407" s="1020"/>
      <c r="R407" s="1020"/>
      <c r="S407" s="1020"/>
      <c r="T407" s="1036"/>
      <c r="U407" s="1036"/>
      <c r="V407" s="1020"/>
      <c r="W407" s="1020"/>
      <c r="X407" s="1020"/>
      <c r="Y407" s="1020"/>
      <c r="Z407" s="1020"/>
      <c r="AA407" s="1020"/>
      <c r="AB407" s="1020"/>
      <c r="AC407" s="1020"/>
      <c r="AD407" s="1020"/>
      <c r="AE407" s="1020"/>
      <c r="AF407" s="1020"/>
      <c r="AG407" s="1020"/>
      <c r="AH407" s="1020"/>
      <c r="AI407" s="1020"/>
      <c r="AJ407" s="1087"/>
      <c r="AK407" s="1020"/>
      <c r="AL407" s="1020"/>
      <c r="AM407" s="1020"/>
      <c r="AN407" s="1020"/>
      <c r="AO407" s="1020"/>
      <c r="AP407" s="1020"/>
      <c r="AQ407" s="1020"/>
      <c r="AR407" s="1020"/>
      <c r="AS407" s="1020"/>
    </row>
    <row r="408" spans="4:45" ht="12.75" customHeight="1">
      <c r="D408" s="1071"/>
      <c r="E408" s="1070"/>
      <c r="F408" s="1070"/>
      <c r="G408" s="1070"/>
      <c r="H408" s="1070"/>
      <c r="I408" s="1020"/>
      <c r="J408" s="1020"/>
      <c r="K408" s="1020"/>
      <c r="L408" s="1066"/>
      <c r="M408" s="1020"/>
      <c r="N408" s="1020"/>
      <c r="O408" s="1020"/>
      <c r="P408" s="1020"/>
      <c r="Q408" s="1020"/>
      <c r="R408" s="1020"/>
      <c r="S408" s="1020"/>
      <c r="T408" s="1036"/>
      <c r="U408" s="1036"/>
      <c r="V408" s="1020"/>
      <c r="W408" s="1020"/>
      <c r="X408" s="1020"/>
      <c r="Y408" s="1020"/>
      <c r="Z408" s="1020"/>
      <c r="AA408" s="1020"/>
      <c r="AB408" s="1020"/>
      <c r="AC408" s="1020"/>
      <c r="AD408" s="1020"/>
      <c r="AE408" s="1020"/>
      <c r="AF408" s="1020"/>
      <c r="AG408" s="1020"/>
      <c r="AH408" s="1020"/>
      <c r="AI408" s="1020"/>
      <c r="AJ408" s="1087"/>
      <c r="AK408" s="1020"/>
      <c r="AL408" s="1020"/>
      <c r="AM408" s="1020"/>
      <c r="AN408" s="1020"/>
      <c r="AO408" s="1020"/>
      <c r="AP408" s="1020"/>
      <c r="AQ408" s="1020"/>
      <c r="AR408" s="1020"/>
      <c r="AS408" s="1020"/>
    </row>
    <row r="409" spans="4:45" ht="12.75" customHeight="1">
      <c r="D409" s="1071"/>
      <c r="E409" s="1070"/>
      <c r="F409" s="1070"/>
      <c r="G409" s="1070"/>
      <c r="H409" s="1070"/>
      <c r="I409" s="1020"/>
      <c r="J409" s="1020"/>
      <c r="K409" s="1020"/>
      <c r="L409" s="1066"/>
      <c r="M409" s="1020"/>
      <c r="N409" s="1020"/>
      <c r="O409" s="1020"/>
      <c r="P409" s="1020"/>
      <c r="Q409" s="1020"/>
      <c r="R409" s="1020"/>
      <c r="S409" s="1020"/>
      <c r="T409" s="1036"/>
      <c r="U409" s="1036"/>
      <c r="V409" s="1020"/>
      <c r="W409" s="1020"/>
      <c r="X409" s="1020"/>
      <c r="Y409" s="1020"/>
      <c r="Z409" s="1020"/>
      <c r="AA409" s="1020"/>
      <c r="AB409" s="1020"/>
      <c r="AC409" s="1020"/>
      <c r="AD409" s="1020"/>
      <c r="AE409" s="1020"/>
      <c r="AF409" s="1020"/>
      <c r="AG409" s="1020"/>
      <c r="AH409" s="1020"/>
      <c r="AI409" s="1020"/>
      <c r="AJ409" s="1087"/>
      <c r="AK409" s="1020"/>
      <c r="AL409" s="1020"/>
      <c r="AM409" s="1020"/>
      <c r="AN409" s="1020"/>
      <c r="AO409" s="1020"/>
      <c r="AP409" s="1020"/>
      <c r="AQ409" s="1020"/>
      <c r="AR409" s="1020"/>
      <c r="AS409" s="1020"/>
    </row>
    <row r="410" spans="4:45" ht="12.75" customHeight="1">
      <c r="D410" s="1071"/>
      <c r="E410" s="1070"/>
      <c r="F410" s="1070"/>
      <c r="G410" s="1070"/>
      <c r="H410" s="1070"/>
      <c r="I410" s="1020"/>
      <c r="J410" s="1020"/>
      <c r="K410" s="1020"/>
      <c r="L410" s="1066"/>
      <c r="M410" s="1020"/>
      <c r="N410" s="1020"/>
      <c r="O410" s="1020"/>
      <c r="P410" s="1020"/>
      <c r="Q410" s="1020"/>
      <c r="R410" s="1020"/>
      <c r="S410" s="1020"/>
      <c r="T410" s="1036"/>
      <c r="U410" s="1036"/>
      <c r="V410" s="1020"/>
      <c r="W410" s="1020"/>
      <c r="X410" s="1020"/>
      <c r="Y410" s="1020"/>
      <c r="Z410" s="1020"/>
      <c r="AA410" s="1020"/>
      <c r="AB410" s="1020"/>
      <c r="AC410" s="1020"/>
      <c r="AD410" s="1020"/>
      <c r="AE410" s="1020"/>
      <c r="AF410" s="1020"/>
      <c r="AG410" s="1020"/>
      <c r="AH410" s="1020"/>
      <c r="AI410" s="1020"/>
      <c r="AJ410" s="1038"/>
      <c r="AK410" s="1020"/>
      <c r="AL410" s="1020"/>
      <c r="AM410" s="1020"/>
      <c r="AN410" s="1020"/>
      <c r="AO410" s="1020"/>
      <c r="AP410" s="1020"/>
      <c r="AQ410" s="1020"/>
      <c r="AR410" s="1020"/>
      <c r="AS410" s="1020"/>
    </row>
    <row r="411" spans="4:45" ht="12.75" customHeight="1">
      <c r="D411" s="1071"/>
      <c r="E411" s="1070"/>
      <c r="F411" s="1070"/>
      <c r="G411" s="1070"/>
      <c r="H411" s="1070"/>
      <c r="I411" s="1020"/>
      <c r="J411" s="1020"/>
      <c r="K411" s="1020"/>
      <c r="L411" s="1066"/>
      <c r="M411" s="1020"/>
      <c r="N411" s="1020"/>
      <c r="O411" s="1020"/>
      <c r="P411" s="1020"/>
      <c r="Q411" s="1020"/>
      <c r="R411" s="1020"/>
      <c r="S411" s="1020"/>
      <c r="T411" s="1036"/>
      <c r="U411" s="1036"/>
      <c r="V411" s="1020"/>
      <c r="W411" s="1020"/>
      <c r="X411" s="1020"/>
      <c r="Y411" s="1020"/>
      <c r="Z411" s="1020"/>
      <c r="AA411" s="1020"/>
      <c r="AB411" s="1020"/>
      <c r="AC411" s="1020"/>
      <c r="AD411" s="1020"/>
      <c r="AE411" s="1020"/>
      <c r="AF411" s="1020"/>
      <c r="AG411" s="1020"/>
      <c r="AH411" s="1020"/>
      <c r="AI411" s="1020"/>
      <c r="AJ411" s="1038"/>
      <c r="AK411" s="1020"/>
      <c r="AL411" s="1020"/>
      <c r="AM411" s="1020"/>
      <c r="AN411" s="1020"/>
      <c r="AO411" s="1020"/>
      <c r="AP411" s="1020"/>
      <c r="AQ411" s="1020"/>
      <c r="AR411" s="1020"/>
      <c r="AS411" s="1020"/>
    </row>
    <row r="412" spans="4:45" ht="12.75" customHeight="1">
      <c r="D412" s="1071"/>
      <c r="E412" s="1070"/>
      <c r="F412" s="1070"/>
      <c r="G412" s="1070"/>
      <c r="H412" s="1070"/>
      <c r="I412" s="1020"/>
      <c r="J412" s="1020"/>
      <c r="K412" s="1020"/>
      <c r="L412" s="1066"/>
      <c r="M412" s="1020"/>
      <c r="N412" s="1020"/>
      <c r="O412" s="1020"/>
      <c r="P412" s="1020"/>
      <c r="Q412" s="1020"/>
      <c r="R412" s="1020"/>
      <c r="S412" s="1020"/>
      <c r="T412" s="1036"/>
      <c r="U412" s="1036"/>
      <c r="V412" s="1020"/>
      <c r="W412" s="1020"/>
      <c r="X412" s="1020"/>
      <c r="Y412" s="1020"/>
      <c r="Z412" s="1020"/>
      <c r="AA412" s="1020"/>
      <c r="AB412" s="1020"/>
      <c r="AC412" s="1020"/>
      <c r="AD412" s="1020"/>
      <c r="AE412" s="1020"/>
      <c r="AF412" s="1020"/>
      <c r="AG412" s="1020"/>
      <c r="AH412" s="1020"/>
      <c r="AI412" s="1020"/>
      <c r="AJ412" s="1038"/>
      <c r="AK412" s="1020"/>
      <c r="AL412" s="1020"/>
      <c r="AM412" s="1020"/>
      <c r="AN412" s="1020"/>
      <c r="AO412" s="1020"/>
      <c r="AP412" s="1020"/>
      <c r="AQ412" s="1020"/>
      <c r="AR412" s="1020"/>
      <c r="AS412" s="1020"/>
    </row>
    <row r="413" spans="4:45" ht="12.75" customHeight="1">
      <c r="D413" s="1071"/>
      <c r="E413" s="1070"/>
      <c r="F413" s="1070"/>
      <c r="G413" s="1070"/>
      <c r="H413" s="1070"/>
      <c r="I413" s="1020"/>
      <c r="J413" s="1020"/>
      <c r="K413" s="1020"/>
      <c r="L413" s="1066"/>
      <c r="M413" s="1020"/>
      <c r="N413" s="1020"/>
      <c r="O413" s="1020"/>
      <c r="P413" s="1020"/>
      <c r="Q413" s="1020"/>
      <c r="R413" s="1020"/>
      <c r="S413" s="1020"/>
      <c r="T413" s="1036"/>
      <c r="U413" s="1036"/>
      <c r="V413" s="1020"/>
      <c r="W413" s="1020"/>
      <c r="X413" s="1020"/>
      <c r="Y413" s="1020"/>
      <c r="Z413" s="1020"/>
      <c r="AA413" s="1020"/>
      <c r="AB413" s="1020"/>
      <c r="AC413" s="1020"/>
      <c r="AD413" s="1020"/>
      <c r="AE413" s="1020"/>
      <c r="AF413" s="1020"/>
      <c r="AG413" s="1020"/>
      <c r="AH413" s="1020"/>
      <c r="AI413" s="1020"/>
      <c r="AJ413" s="1038"/>
      <c r="AK413" s="1020"/>
      <c r="AL413" s="1020"/>
      <c r="AM413" s="1020"/>
      <c r="AN413" s="1020"/>
      <c r="AO413" s="1020"/>
      <c r="AP413" s="1020"/>
      <c r="AQ413" s="1020"/>
      <c r="AR413" s="1020"/>
      <c r="AS413" s="1020"/>
    </row>
    <row r="414" spans="4:45" ht="12.75" customHeight="1">
      <c r="D414" s="1071"/>
      <c r="E414" s="1070"/>
      <c r="F414" s="1070"/>
      <c r="G414" s="1070"/>
      <c r="H414" s="1070"/>
      <c r="I414" s="1020"/>
      <c r="J414" s="1020"/>
      <c r="K414" s="1020"/>
      <c r="L414" s="1066"/>
      <c r="M414" s="1020"/>
      <c r="N414" s="1020"/>
      <c r="O414" s="1020"/>
      <c r="P414" s="1020"/>
      <c r="Q414" s="1020"/>
      <c r="R414" s="1020"/>
      <c r="S414" s="1020"/>
      <c r="T414" s="1036"/>
      <c r="U414" s="1036"/>
      <c r="V414" s="1020"/>
      <c r="W414" s="1020"/>
      <c r="X414" s="1020"/>
      <c r="Y414" s="1020"/>
      <c r="Z414" s="1020"/>
      <c r="AA414" s="1020"/>
      <c r="AB414" s="1020"/>
      <c r="AC414" s="1020"/>
      <c r="AD414" s="1020"/>
      <c r="AE414" s="1020"/>
      <c r="AF414" s="1020"/>
      <c r="AG414" s="1020"/>
      <c r="AH414" s="1020"/>
      <c r="AI414" s="1020"/>
      <c r="AJ414" s="1038"/>
      <c r="AK414" s="1020"/>
      <c r="AL414" s="1020"/>
      <c r="AM414" s="1020"/>
      <c r="AN414" s="1020"/>
      <c r="AO414" s="1020"/>
      <c r="AP414" s="1020"/>
      <c r="AQ414" s="1020"/>
      <c r="AR414" s="1020"/>
      <c r="AS414" s="1020"/>
    </row>
    <row r="415" spans="4:45" ht="12.75" customHeight="1">
      <c r="D415" s="1071"/>
      <c r="E415" s="1070"/>
      <c r="F415" s="1070"/>
      <c r="G415" s="1070"/>
      <c r="H415" s="1070"/>
      <c r="I415" s="1020"/>
      <c r="J415" s="1020"/>
      <c r="K415" s="1020"/>
      <c r="L415" s="1066"/>
      <c r="M415" s="1020"/>
      <c r="N415" s="1020"/>
      <c r="O415" s="1020"/>
      <c r="P415" s="1020"/>
      <c r="Q415" s="1020"/>
      <c r="R415" s="1020"/>
      <c r="S415" s="1020"/>
      <c r="T415" s="1036"/>
      <c r="U415" s="1036"/>
      <c r="V415" s="1020"/>
      <c r="W415" s="1020"/>
      <c r="X415" s="1020"/>
      <c r="Y415" s="1020"/>
      <c r="Z415" s="1020"/>
      <c r="AA415" s="1020"/>
      <c r="AB415" s="1020"/>
      <c r="AC415" s="1020"/>
      <c r="AD415" s="1020"/>
      <c r="AE415" s="1020"/>
      <c r="AF415" s="1020"/>
      <c r="AG415" s="1020"/>
      <c r="AH415" s="1020"/>
      <c r="AI415" s="1020"/>
      <c r="AJ415" s="1038"/>
      <c r="AK415" s="1020"/>
      <c r="AL415" s="1020"/>
      <c r="AM415" s="1020"/>
      <c r="AN415" s="1020"/>
      <c r="AO415" s="1020"/>
      <c r="AP415" s="1020"/>
      <c r="AQ415" s="1020"/>
      <c r="AR415" s="1020"/>
      <c r="AS415" s="1020"/>
    </row>
    <row r="416" spans="4:45" ht="12.75" customHeight="1">
      <c r="D416" s="1071"/>
      <c r="E416" s="1070"/>
      <c r="F416" s="1070"/>
      <c r="G416" s="1070"/>
      <c r="H416" s="1070"/>
      <c r="I416" s="1020"/>
      <c r="J416" s="1020"/>
      <c r="K416" s="1020"/>
      <c r="L416" s="1066"/>
      <c r="M416" s="1020"/>
      <c r="N416" s="1020"/>
      <c r="O416" s="1020"/>
      <c r="P416" s="1020"/>
      <c r="Q416" s="1020"/>
      <c r="R416" s="1020"/>
      <c r="S416" s="1020"/>
      <c r="T416" s="1036"/>
      <c r="U416" s="1036"/>
      <c r="V416" s="1020"/>
      <c r="W416" s="1020"/>
      <c r="X416" s="1020"/>
      <c r="Y416" s="1020"/>
      <c r="Z416" s="1020"/>
      <c r="AA416" s="1020"/>
      <c r="AB416" s="1020"/>
      <c r="AC416" s="1020"/>
      <c r="AD416" s="1020"/>
      <c r="AE416" s="1020"/>
      <c r="AF416" s="1020"/>
      <c r="AG416" s="1020"/>
      <c r="AH416" s="1020"/>
      <c r="AI416" s="1020"/>
      <c r="AJ416" s="1038"/>
      <c r="AK416" s="1020"/>
      <c r="AL416" s="1020"/>
      <c r="AM416" s="1020"/>
      <c r="AN416" s="1020"/>
      <c r="AO416" s="1020"/>
      <c r="AP416" s="1020"/>
      <c r="AQ416" s="1020"/>
      <c r="AR416" s="1020"/>
      <c r="AS416" s="1020"/>
    </row>
    <row r="417" spans="4:8" ht="12.75" customHeight="1">
      <c r="D417" s="1071"/>
      <c r="E417" s="1070"/>
      <c r="F417" s="1070"/>
      <c r="G417" s="1070"/>
      <c r="H417" s="1070"/>
    </row>
    <row r="418" spans="4:8" ht="12.75" customHeight="1">
      <c r="D418" s="1071"/>
      <c r="E418" s="1070"/>
      <c r="F418" s="1070"/>
      <c r="G418" s="1070"/>
      <c r="H418" s="1070"/>
    </row>
    <row r="419" spans="4:8" ht="12.75" customHeight="1">
      <c r="D419" s="1071"/>
      <c r="E419" s="1070"/>
      <c r="F419" s="1070"/>
      <c r="G419" s="1070"/>
      <c r="H419" s="1070"/>
    </row>
    <row r="420" spans="4:8" ht="12.75" customHeight="1">
      <c r="D420" s="1071"/>
      <c r="E420" s="1070"/>
      <c r="F420" s="1070"/>
      <c r="G420" s="1070"/>
      <c r="H420" s="1070"/>
    </row>
    <row r="421" spans="4:8" ht="12.75" customHeight="1">
      <c r="D421" s="1071"/>
      <c r="E421" s="1070"/>
      <c r="F421" s="1070"/>
      <c r="G421" s="1070"/>
      <c r="H421" s="1070"/>
    </row>
    <row r="422" spans="4:8" ht="12.75" customHeight="1">
      <c r="D422" s="1071"/>
      <c r="E422" s="1070"/>
      <c r="F422" s="1070"/>
      <c r="G422" s="1070"/>
      <c r="H422" s="1070"/>
    </row>
    <row r="423" spans="4:8" ht="12.75" customHeight="1">
      <c r="D423" s="1071"/>
      <c r="E423" s="1070"/>
      <c r="F423" s="1070"/>
      <c r="G423" s="1070"/>
      <c r="H423" s="1070"/>
    </row>
    <row r="424" spans="4:8" ht="12.75" customHeight="1">
      <c r="D424" s="1071"/>
      <c r="E424" s="1070"/>
      <c r="F424" s="1070"/>
      <c r="G424" s="1070"/>
      <c r="H424" s="1070"/>
    </row>
    <row r="425" spans="4:8" ht="12.75" customHeight="1">
      <c r="D425" s="1071"/>
      <c r="E425" s="1070"/>
      <c r="F425" s="1070"/>
      <c r="G425" s="1070"/>
      <c r="H425" s="1070"/>
    </row>
    <row r="426" spans="4:8" ht="12.75" customHeight="1">
      <c r="D426" s="1071"/>
      <c r="E426" s="1070"/>
      <c r="F426" s="1070"/>
      <c r="G426" s="1070"/>
      <c r="H426" s="1070"/>
    </row>
    <row r="427" spans="4:8" ht="12.75" customHeight="1">
      <c r="D427" s="1071"/>
      <c r="E427" s="1070"/>
      <c r="F427" s="1070"/>
      <c r="G427" s="1070"/>
      <c r="H427" s="1070"/>
    </row>
    <row r="428" spans="4:8" ht="12.75" customHeight="1">
      <c r="D428" s="1071"/>
      <c r="E428" s="1070"/>
      <c r="F428" s="1070"/>
      <c r="G428" s="1070"/>
      <c r="H428" s="1070"/>
    </row>
    <row r="429" spans="4:8" ht="12.75" customHeight="1">
      <c r="D429" s="1071"/>
      <c r="E429" s="1070"/>
      <c r="F429" s="1070"/>
      <c r="G429" s="1070"/>
      <c r="H429" s="1070"/>
    </row>
    <row r="430" spans="4:8" ht="12.75" customHeight="1">
      <c r="D430" s="1071"/>
      <c r="E430" s="1070"/>
      <c r="F430" s="1070"/>
      <c r="G430" s="1070"/>
      <c r="H430" s="1070"/>
    </row>
    <row r="431" spans="4:8" ht="12.75" customHeight="1">
      <c r="D431" s="1071"/>
      <c r="E431" s="1070"/>
      <c r="F431" s="1070"/>
      <c r="G431" s="1070"/>
      <c r="H431" s="1070"/>
    </row>
    <row r="432" spans="4:8" ht="12.75" customHeight="1">
      <c r="D432" s="1071"/>
      <c r="E432" s="1070"/>
      <c r="F432" s="1070"/>
      <c r="G432" s="1070"/>
      <c r="H432" s="1070"/>
    </row>
    <row r="433" spans="4:8" ht="12.75" customHeight="1">
      <c r="D433" s="1071"/>
      <c r="E433" s="1070"/>
      <c r="F433" s="1070"/>
      <c r="G433" s="1070"/>
      <c r="H433" s="1070"/>
    </row>
    <row r="434" spans="4:8" ht="12.75" customHeight="1">
      <c r="D434" s="1071"/>
      <c r="E434" s="1070"/>
      <c r="F434" s="1070"/>
      <c r="G434" s="1070"/>
      <c r="H434" s="1070"/>
    </row>
    <row r="435" spans="4:8" ht="12.75" customHeight="1">
      <c r="D435" s="1071"/>
      <c r="E435" s="1070"/>
      <c r="F435" s="1070"/>
      <c r="G435" s="1070"/>
      <c r="H435" s="1070"/>
    </row>
    <row r="436" spans="4:8" ht="12.75" customHeight="1">
      <c r="D436" s="1071"/>
      <c r="E436" s="1070"/>
      <c r="F436" s="1070"/>
      <c r="G436" s="1070"/>
      <c r="H436" s="1070"/>
    </row>
    <row r="437" spans="4:8" ht="12.75" customHeight="1">
      <c r="D437" s="1071"/>
      <c r="E437" s="1070"/>
      <c r="F437" s="1070"/>
      <c r="G437" s="1070"/>
      <c r="H437" s="1070"/>
    </row>
    <row r="438" spans="4:8" ht="12.75" customHeight="1">
      <c r="D438" s="1071"/>
      <c r="E438" s="1070"/>
      <c r="F438" s="1070"/>
      <c r="G438" s="1070"/>
      <c r="H438" s="1070"/>
    </row>
    <row r="439" spans="4:8" ht="12.75" customHeight="1">
      <c r="D439" s="1071"/>
      <c r="E439" s="1070"/>
      <c r="F439" s="1070"/>
      <c r="G439" s="1070"/>
      <c r="H439" s="1070"/>
    </row>
    <row r="440" spans="4:8" ht="12.75" customHeight="1">
      <c r="D440" s="1071"/>
      <c r="E440" s="1070"/>
      <c r="F440" s="1070"/>
      <c r="G440" s="1070"/>
      <c r="H440" s="1070"/>
    </row>
    <row r="441" spans="4:8" ht="12.75" customHeight="1">
      <c r="D441" s="1071"/>
      <c r="E441" s="1070"/>
      <c r="F441" s="1070"/>
      <c r="G441" s="1070"/>
      <c r="H441" s="1070"/>
    </row>
    <row r="442" spans="4:8" ht="12.75" customHeight="1">
      <c r="D442" s="1071"/>
      <c r="E442" s="1070"/>
      <c r="F442" s="1070"/>
      <c r="G442" s="1070"/>
      <c r="H442" s="1070"/>
    </row>
    <row r="443" spans="4:8" ht="12.75" customHeight="1">
      <c r="D443" s="1071"/>
      <c r="E443" s="1070"/>
      <c r="F443" s="1070"/>
      <c r="G443" s="1070"/>
      <c r="H443" s="1070"/>
    </row>
    <row r="444" spans="4:8" ht="12.75" customHeight="1">
      <c r="D444" s="1071"/>
      <c r="E444" s="1070"/>
      <c r="F444" s="1070"/>
      <c r="G444" s="1070"/>
      <c r="H444" s="1070"/>
    </row>
    <row r="445" spans="4:8" ht="12.75" customHeight="1">
      <c r="D445" s="1071"/>
      <c r="E445" s="1070"/>
      <c r="F445" s="1070"/>
      <c r="G445" s="1070"/>
      <c r="H445" s="1070"/>
    </row>
    <row r="446" spans="4:8" ht="12.75" customHeight="1">
      <c r="D446" s="1071"/>
      <c r="E446" s="1070"/>
      <c r="F446" s="1070"/>
      <c r="G446" s="1070"/>
      <c r="H446" s="1070"/>
    </row>
    <row r="447" spans="4:8" ht="12.75" customHeight="1">
      <c r="D447" s="1071"/>
      <c r="E447" s="1070"/>
      <c r="F447" s="1070"/>
      <c r="G447" s="1070"/>
      <c r="H447" s="1070"/>
    </row>
    <row r="448" spans="4:8" ht="12.75" customHeight="1">
      <c r="D448" s="1071"/>
      <c r="E448" s="1070"/>
      <c r="F448" s="1070"/>
      <c r="G448" s="1070"/>
      <c r="H448" s="1070"/>
    </row>
    <row r="449" spans="4:8" ht="12.75" customHeight="1">
      <c r="D449" s="1071"/>
      <c r="E449" s="1070"/>
      <c r="F449" s="1070"/>
      <c r="G449" s="1070"/>
      <c r="H449" s="1070"/>
    </row>
    <row r="450" spans="4:8" ht="12.75" customHeight="1">
      <c r="D450" s="1071"/>
      <c r="E450" s="1070"/>
      <c r="F450" s="1070"/>
      <c r="G450" s="1070"/>
      <c r="H450" s="1070"/>
    </row>
    <row r="451" spans="4:8" ht="12.75" customHeight="1">
      <c r="D451" s="1071"/>
      <c r="E451" s="1070"/>
      <c r="F451" s="1070"/>
      <c r="G451" s="1070"/>
      <c r="H451" s="1070"/>
    </row>
    <row r="452" spans="4:8" ht="12.75" customHeight="1">
      <c r="D452" s="1071"/>
      <c r="E452" s="1070"/>
      <c r="F452" s="1070"/>
      <c r="G452" s="1070"/>
      <c r="H452" s="1070"/>
    </row>
    <row r="453" spans="4:8" ht="12.75" customHeight="1">
      <c r="D453" s="1071"/>
      <c r="E453" s="1070"/>
      <c r="F453" s="1070"/>
      <c r="G453" s="1070"/>
      <c r="H453" s="1070"/>
    </row>
    <row r="454" spans="4:8" ht="12.75" customHeight="1">
      <c r="D454" s="1071"/>
      <c r="E454" s="1070"/>
      <c r="F454" s="1070"/>
      <c r="G454" s="1070"/>
      <c r="H454" s="1070"/>
    </row>
    <row r="455" spans="4:8" ht="12.75" customHeight="1">
      <c r="D455" s="1071"/>
      <c r="E455" s="1070"/>
      <c r="F455" s="1070"/>
      <c r="G455" s="1070"/>
      <c r="H455" s="1070"/>
    </row>
    <row r="456" spans="4:8" ht="12.75" customHeight="1">
      <c r="D456" s="1071"/>
      <c r="E456" s="1070"/>
      <c r="F456" s="1070"/>
      <c r="G456" s="1070"/>
      <c r="H456" s="1070"/>
    </row>
    <row r="457" spans="4:8" ht="12.75" customHeight="1">
      <c r="D457" s="1071"/>
      <c r="E457" s="1070"/>
      <c r="F457" s="1070"/>
      <c r="G457" s="1070"/>
      <c r="H457" s="1070"/>
    </row>
    <row r="458" spans="4:8" ht="12.75" customHeight="1">
      <c r="D458" s="1071"/>
      <c r="E458" s="1070"/>
      <c r="F458" s="1070"/>
      <c r="G458" s="1070"/>
      <c r="H458" s="1070"/>
    </row>
    <row r="459" spans="4:8" ht="12.75" customHeight="1">
      <c r="D459" s="1071"/>
      <c r="E459" s="1070"/>
      <c r="F459" s="1070"/>
      <c r="G459" s="1070"/>
      <c r="H459" s="1070"/>
    </row>
    <row r="460" spans="4:8" ht="12.75" customHeight="1">
      <c r="D460" s="1071"/>
      <c r="E460" s="1070"/>
      <c r="F460" s="1070"/>
      <c r="G460" s="1070"/>
      <c r="H460" s="1070"/>
    </row>
    <row r="461" spans="4:8" ht="12.75" customHeight="1">
      <c r="D461" s="1071"/>
      <c r="E461" s="1070"/>
      <c r="F461" s="1070"/>
      <c r="G461" s="1070"/>
      <c r="H461" s="1070"/>
    </row>
    <row r="462" spans="4:8" ht="12.75" customHeight="1">
      <c r="D462" s="1071"/>
      <c r="E462" s="1070"/>
      <c r="F462" s="1070"/>
      <c r="G462" s="1070"/>
      <c r="H462" s="1070"/>
    </row>
    <row r="463" spans="4:8" ht="12.75" customHeight="1">
      <c r="D463" s="1071"/>
      <c r="E463" s="1070"/>
      <c r="F463" s="1070"/>
      <c r="G463" s="1070"/>
      <c r="H463" s="1070"/>
    </row>
    <row r="464" spans="4:8" ht="12.75" customHeight="1">
      <c r="D464" s="1071"/>
      <c r="E464" s="1070"/>
      <c r="F464" s="1070"/>
      <c r="G464" s="1070"/>
      <c r="H464" s="1070"/>
    </row>
    <row r="465" spans="4:8" ht="12.75" customHeight="1">
      <c r="D465" s="1071"/>
      <c r="E465" s="1070"/>
      <c r="F465" s="1070"/>
      <c r="G465" s="1070"/>
      <c r="H465" s="1070"/>
    </row>
    <row r="466" spans="4:8" ht="12.75" customHeight="1">
      <c r="D466" s="1071"/>
      <c r="E466" s="1070"/>
      <c r="F466" s="1070"/>
      <c r="G466" s="1070"/>
      <c r="H466" s="1070"/>
    </row>
    <row r="467" spans="4:8" ht="12.75" customHeight="1">
      <c r="D467" s="1071"/>
      <c r="E467" s="1070"/>
      <c r="F467" s="1070"/>
      <c r="G467" s="1070"/>
      <c r="H467" s="1070"/>
    </row>
    <row r="468" spans="4:8" ht="12.75" customHeight="1">
      <c r="D468" s="1071"/>
      <c r="E468" s="1070"/>
      <c r="F468" s="1070"/>
      <c r="G468" s="1070"/>
      <c r="H468" s="1070"/>
    </row>
    <row r="469" spans="4:8" ht="12.75" customHeight="1">
      <c r="D469" s="1071"/>
      <c r="E469" s="1070"/>
      <c r="F469" s="1070"/>
      <c r="G469" s="1070"/>
      <c r="H469" s="1070"/>
    </row>
    <row r="470" spans="4:8" ht="12.75" customHeight="1">
      <c r="D470" s="1071"/>
      <c r="E470" s="1070"/>
      <c r="F470" s="1070"/>
      <c r="G470" s="1070"/>
      <c r="H470" s="1070"/>
    </row>
    <row r="471" spans="4:8" ht="12.75" customHeight="1">
      <c r="D471" s="1071"/>
      <c r="E471" s="1070"/>
      <c r="F471" s="1070"/>
      <c r="G471" s="1070"/>
      <c r="H471" s="1070"/>
    </row>
    <row r="472" spans="4:8" ht="12.75" customHeight="1">
      <c r="D472" s="1071"/>
      <c r="E472" s="1070"/>
      <c r="F472" s="1070"/>
      <c r="G472" s="1070"/>
      <c r="H472" s="1070"/>
    </row>
    <row r="473" spans="4:8" ht="12.75" customHeight="1">
      <c r="D473" s="1071"/>
      <c r="E473" s="1070"/>
      <c r="F473" s="1070"/>
      <c r="G473" s="1070"/>
      <c r="H473" s="1070"/>
    </row>
    <row r="474" spans="4:8" ht="12.75" customHeight="1">
      <c r="D474" s="1071"/>
      <c r="E474" s="1070"/>
      <c r="F474" s="1070"/>
      <c r="G474" s="1070"/>
      <c r="H474" s="1070"/>
    </row>
    <row r="475" spans="4:8" ht="12.75" customHeight="1">
      <c r="D475" s="1071"/>
      <c r="E475" s="1070"/>
      <c r="F475" s="1070"/>
      <c r="G475" s="1070"/>
      <c r="H475" s="1070"/>
    </row>
    <row r="476" spans="4:8" ht="12.75" customHeight="1">
      <c r="D476" s="1071"/>
      <c r="E476" s="1070"/>
      <c r="F476" s="1070"/>
      <c r="G476" s="1070"/>
      <c r="H476" s="1070"/>
    </row>
    <row r="477" spans="4:8" ht="12.75" customHeight="1">
      <c r="D477" s="1071"/>
      <c r="E477" s="1070"/>
      <c r="F477" s="1070"/>
      <c r="G477" s="1070"/>
      <c r="H477" s="1070"/>
    </row>
    <row r="478" spans="4:8" ht="12.75" customHeight="1">
      <c r="D478" s="1071"/>
      <c r="E478" s="1070"/>
      <c r="F478" s="1070"/>
      <c r="G478" s="1070"/>
      <c r="H478" s="1070"/>
    </row>
    <row r="479" spans="4:8" ht="12.75" customHeight="1">
      <c r="D479" s="1071"/>
      <c r="E479" s="1070"/>
      <c r="F479" s="1070"/>
      <c r="G479" s="1070"/>
      <c r="H479" s="1070"/>
    </row>
    <row r="480" spans="4:8" ht="12.75" customHeight="1">
      <c r="D480" s="1071"/>
      <c r="E480" s="1070"/>
      <c r="F480" s="1070"/>
      <c r="G480" s="1070"/>
      <c r="H480" s="1070"/>
    </row>
    <row r="481" spans="4:8" ht="12.75" customHeight="1">
      <c r="D481" s="1071"/>
      <c r="E481" s="1070"/>
      <c r="F481" s="1070"/>
      <c r="G481" s="1070"/>
      <c r="H481" s="1070"/>
    </row>
    <row r="482" spans="4:8" ht="12.75" customHeight="1">
      <c r="D482" s="1071"/>
      <c r="E482" s="1070"/>
      <c r="F482" s="1070"/>
      <c r="G482" s="1070"/>
      <c r="H482" s="1070"/>
    </row>
    <row r="483" spans="4:8" ht="12.75" customHeight="1">
      <c r="D483" s="1071"/>
      <c r="E483" s="1070"/>
      <c r="F483" s="1070"/>
      <c r="G483" s="1070"/>
      <c r="H483" s="1070"/>
    </row>
    <row r="484" spans="4:8" ht="12.75" customHeight="1">
      <c r="D484" s="1071"/>
      <c r="E484" s="1070"/>
      <c r="F484" s="1070"/>
      <c r="G484" s="1070"/>
      <c r="H484" s="1070"/>
    </row>
    <row r="485" spans="4:8" ht="12.75" customHeight="1">
      <c r="D485" s="1071"/>
      <c r="E485" s="1070"/>
      <c r="F485" s="1070"/>
      <c r="G485" s="1070"/>
      <c r="H485" s="1070"/>
    </row>
    <row r="486" spans="4:8" ht="12.75" customHeight="1">
      <c r="D486" s="1071"/>
      <c r="E486" s="1070"/>
      <c r="F486" s="1070"/>
      <c r="G486" s="1070"/>
      <c r="H486" s="1070"/>
    </row>
    <row r="487" spans="4:8" ht="12.75" customHeight="1">
      <c r="D487" s="1071"/>
      <c r="E487" s="1070"/>
      <c r="F487" s="1070"/>
      <c r="G487" s="1070"/>
      <c r="H487" s="1070"/>
    </row>
    <row r="488" spans="4:8" ht="12.75" customHeight="1">
      <c r="D488" s="1071"/>
      <c r="E488" s="1070"/>
      <c r="F488" s="1070"/>
      <c r="G488" s="1070"/>
      <c r="H488" s="1070"/>
    </row>
    <row r="489" spans="4:8" ht="12.75" customHeight="1">
      <c r="D489" s="1071"/>
      <c r="E489" s="1070"/>
      <c r="F489" s="1070"/>
      <c r="G489" s="1070"/>
      <c r="H489" s="1070"/>
    </row>
    <row r="490" spans="4:8" ht="12.75" customHeight="1">
      <c r="D490" s="1071"/>
      <c r="E490" s="1070"/>
      <c r="F490" s="1070"/>
      <c r="G490" s="1070"/>
      <c r="H490" s="1070"/>
    </row>
    <row r="491" spans="4:8" ht="12.75" customHeight="1">
      <c r="D491" s="1071"/>
      <c r="E491" s="1070"/>
      <c r="F491" s="1070"/>
      <c r="G491" s="1070"/>
      <c r="H491" s="1070"/>
    </row>
    <row r="492" spans="4:8" ht="12.75" customHeight="1">
      <c r="D492" s="1071"/>
      <c r="E492" s="1070"/>
      <c r="F492" s="1070"/>
      <c r="G492" s="1070"/>
      <c r="H492" s="1070"/>
    </row>
    <row r="493" spans="4:8" ht="12.75" customHeight="1">
      <c r="D493" s="1071"/>
      <c r="E493" s="1070"/>
      <c r="F493" s="1070"/>
      <c r="G493" s="1070"/>
      <c r="H493" s="1070"/>
    </row>
    <row r="494" spans="4:8" ht="12.75" customHeight="1">
      <c r="D494" s="1071"/>
      <c r="E494" s="1070"/>
      <c r="F494" s="1070"/>
      <c r="G494" s="1070"/>
      <c r="H494" s="1070"/>
    </row>
    <row r="495" spans="4:8" ht="12.75" customHeight="1">
      <c r="D495" s="1071"/>
      <c r="E495" s="1070"/>
      <c r="F495" s="1070"/>
      <c r="G495" s="1070"/>
      <c r="H495" s="1070"/>
    </row>
    <row r="496" spans="4:8" ht="12.75" customHeight="1">
      <c r="D496" s="1071"/>
      <c r="E496" s="1070"/>
      <c r="F496" s="1070"/>
      <c r="G496" s="1070"/>
      <c r="H496" s="1070"/>
    </row>
    <row r="497" spans="4:8" ht="12.75" customHeight="1">
      <c r="D497" s="1071"/>
      <c r="E497" s="1070"/>
      <c r="F497" s="1070"/>
      <c r="G497" s="1070"/>
      <c r="H497" s="1070"/>
    </row>
    <row r="498" spans="4:8" ht="12.75" customHeight="1">
      <c r="D498" s="1071"/>
      <c r="E498" s="1070"/>
      <c r="F498" s="1070"/>
      <c r="G498" s="1070"/>
      <c r="H498" s="1070"/>
    </row>
    <row r="499" spans="4:8" ht="12.75" customHeight="1">
      <c r="D499" s="1071"/>
      <c r="E499" s="1070"/>
      <c r="F499" s="1070"/>
      <c r="G499" s="1070"/>
      <c r="H499" s="1070"/>
    </row>
    <row r="500" spans="4:8" ht="12.75" customHeight="1">
      <c r="D500" s="1071"/>
      <c r="E500" s="1070"/>
      <c r="F500" s="1070"/>
      <c r="G500" s="1070"/>
      <c r="H500" s="1070"/>
    </row>
    <row r="501" spans="4:8" ht="12.75" customHeight="1">
      <c r="D501" s="1071"/>
      <c r="E501" s="1070"/>
      <c r="F501" s="1070"/>
      <c r="G501" s="1070"/>
      <c r="H501" s="1070"/>
    </row>
    <row r="502" spans="4:8" ht="12.75" customHeight="1">
      <c r="D502" s="1071"/>
      <c r="E502" s="1070"/>
      <c r="F502" s="1070"/>
      <c r="G502" s="1070"/>
      <c r="H502" s="1070"/>
    </row>
    <row r="503" spans="4:8" ht="12.75" customHeight="1">
      <c r="D503" s="1071"/>
      <c r="E503" s="1070"/>
      <c r="F503" s="1070"/>
      <c r="G503" s="1070"/>
      <c r="H503" s="1070"/>
    </row>
    <row r="504" spans="4:8" ht="12.75" customHeight="1">
      <c r="D504" s="1071"/>
      <c r="E504" s="1070"/>
      <c r="F504" s="1070"/>
      <c r="G504" s="1070"/>
      <c r="H504" s="1070"/>
    </row>
    <row r="505" spans="4:8" ht="12.75" customHeight="1">
      <c r="D505" s="1071"/>
      <c r="E505" s="1070"/>
      <c r="F505" s="1070"/>
      <c r="G505" s="1070"/>
      <c r="H505" s="1070"/>
    </row>
    <row r="506" spans="4:8" ht="12.75" customHeight="1">
      <c r="D506" s="1071"/>
      <c r="E506" s="1070"/>
      <c r="F506" s="1070"/>
      <c r="G506" s="1070"/>
      <c r="H506" s="1070"/>
    </row>
    <row r="507" spans="4:8" ht="12.75" customHeight="1">
      <c r="D507" s="1071"/>
      <c r="E507" s="1070"/>
      <c r="F507" s="1070"/>
      <c r="G507" s="1070"/>
      <c r="H507" s="1070"/>
    </row>
    <row r="508" spans="4:8" ht="12.75" customHeight="1">
      <c r="D508" s="1071"/>
      <c r="E508" s="1070"/>
      <c r="F508" s="1070"/>
      <c r="G508" s="1070"/>
      <c r="H508" s="1070"/>
    </row>
    <row r="509" spans="4:8" ht="12.75" customHeight="1">
      <c r="D509" s="1071"/>
      <c r="E509" s="1070"/>
      <c r="F509" s="1070"/>
      <c r="G509" s="1070"/>
      <c r="H509" s="1070"/>
    </row>
    <row r="510" spans="4:8" ht="12.75" customHeight="1">
      <c r="D510" s="1071"/>
      <c r="E510" s="1070"/>
      <c r="F510" s="1070"/>
      <c r="G510" s="1070"/>
      <c r="H510" s="1070"/>
    </row>
    <row r="511" spans="4:8" ht="12.75" customHeight="1">
      <c r="D511" s="1071"/>
      <c r="E511" s="1070"/>
      <c r="F511" s="1070"/>
      <c r="G511" s="1070"/>
      <c r="H511" s="1070"/>
    </row>
    <row r="512" spans="4:8" ht="12.75" customHeight="1">
      <c r="D512" s="1071"/>
      <c r="E512" s="1070"/>
      <c r="F512" s="1070"/>
      <c r="G512" s="1070"/>
      <c r="H512" s="1070"/>
    </row>
    <row r="513" spans="4:8" ht="12.75" customHeight="1">
      <c r="D513" s="1071"/>
      <c r="E513" s="1070"/>
      <c r="F513" s="1070"/>
      <c r="G513" s="1070"/>
      <c r="H513" s="1070"/>
    </row>
    <row r="514" spans="4:8" ht="12.75" customHeight="1">
      <c r="D514" s="1071"/>
      <c r="E514" s="1070"/>
      <c r="F514" s="1070"/>
      <c r="G514" s="1070"/>
      <c r="H514" s="1070"/>
    </row>
    <row r="515" spans="4:8" ht="12.75" customHeight="1">
      <c r="D515" s="1071"/>
      <c r="E515" s="1070"/>
      <c r="F515" s="1070"/>
      <c r="G515" s="1070"/>
      <c r="H515" s="1070"/>
    </row>
    <row r="516" spans="4:8" ht="12.75" customHeight="1">
      <c r="D516" s="1071"/>
      <c r="E516" s="1070"/>
      <c r="F516" s="1070"/>
      <c r="G516" s="1070"/>
      <c r="H516" s="1070"/>
    </row>
    <row r="517" spans="4:8" ht="12.75" customHeight="1">
      <c r="D517" s="1071"/>
      <c r="E517" s="1070"/>
      <c r="F517" s="1070"/>
      <c r="G517" s="1070"/>
      <c r="H517" s="1070"/>
    </row>
    <row r="518" spans="4:8" ht="12.75" customHeight="1">
      <c r="D518" s="1071"/>
      <c r="E518" s="1070"/>
      <c r="F518" s="1070"/>
      <c r="G518" s="1070"/>
      <c r="H518" s="1070"/>
    </row>
    <row r="519" spans="4:8" ht="12.75" customHeight="1">
      <c r="D519" s="1071"/>
      <c r="E519" s="1070"/>
      <c r="F519" s="1070"/>
      <c r="G519" s="1070"/>
      <c r="H519" s="1070"/>
    </row>
    <row r="520" spans="4:8" ht="12.75" customHeight="1">
      <c r="D520" s="1071"/>
      <c r="E520" s="1070"/>
      <c r="F520" s="1070"/>
      <c r="G520" s="1070"/>
      <c r="H520" s="1070"/>
    </row>
    <row r="521" spans="4:8" ht="12.75" customHeight="1">
      <c r="D521" s="1071"/>
      <c r="E521" s="1070"/>
      <c r="F521" s="1070"/>
      <c r="G521" s="1070"/>
      <c r="H521" s="1070"/>
    </row>
    <row r="522" spans="4:8" ht="12.75" customHeight="1">
      <c r="D522" s="1071"/>
      <c r="E522" s="1070"/>
      <c r="F522" s="1070"/>
      <c r="G522" s="1070"/>
      <c r="H522" s="1070"/>
    </row>
    <row r="523" spans="4:8" ht="12.75" customHeight="1">
      <c r="D523" s="1071"/>
      <c r="E523" s="1070"/>
      <c r="F523" s="1070"/>
      <c r="G523" s="1070"/>
      <c r="H523" s="1070"/>
    </row>
    <row r="524" spans="4:8" ht="12.75" customHeight="1">
      <c r="D524" s="1071"/>
      <c r="E524" s="1070"/>
      <c r="F524" s="1070"/>
      <c r="G524" s="1070"/>
      <c r="H524" s="1070"/>
    </row>
    <row r="525" spans="4:8" ht="12.75" customHeight="1">
      <c r="D525" s="1071"/>
      <c r="E525" s="1070"/>
      <c r="F525" s="1070"/>
      <c r="G525" s="1070"/>
      <c r="H525" s="1070"/>
    </row>
    <row r="526" spans="4:8" ht="12.75" customHeight="1">
      <c r="D526" s="1071"/>
      <c r="E526" s="1070"/>
      <c r="F526" s="1070"/>
      <c r="G526" s="1070"/>
      <c r="H526" s="1070"/>
    </row>
    <row r="527" spans="4:8" ht="12.75" customHeight="1">
      <c r="D527" s="1071"/>
      <c r="E527" s="1070"/>
      <c r="F527" s="1070"/>
      <c r="G527" s="1070"/>
      <c r="H527" s="1070"/>
    </row>
    <row r="528" spans="4:8" ht="12.75" customHeight="1">
      <c r="D528" s="1071"/>
      <c r="E528" s="1070"/>
      <c r="F528" s="1070"/>
      <c r="G528" s="1070"/>
      <c r="H528" s="1070"/>
    </row>
    <row r="529" spans="4:8" ht="12.75" customHeight="1">
      <c r="D529" s="1071"/>
      <c r="E529" s="1070"/>
      <c r="F529" s="1070"/>
      <c r="G529" s="1070"/>
      <c r="H529" s="1070"/>
    </row>
    <row r="530" spans="4:8" ht="12.75" customHeight="1">
      <c r="D530" s="1071"/>
      <c r="E530" s="1070"/>
      <c r="F530" s="1070"/>
      <c r="G530" s="1070"/>
      <c r="H530" s="1070"/>
    </row>
    <row r="531" spans="4:8" ht="12.75" customHeight="1">
      <c r="D531" s="1071"/>
      <c r="E531" s="1070"/>
      <c r="F531" s="1070"/>
      <c r="G531" s="1070"/>
      <c r="H531" s="1070"/>
    </row>
    <row r="532" spans="4:8" ht="12.75" customHeight="1">
      <c r="D532" s="1071"/>
      <c r="E532" s="1070"/>
      <c r="F532" s="1070"/>
      <c r="G532" s="1070"/>
      <c r="H532" s="1070"/>
    </row>
    <row r="533" spans="4:8" ht="12.75" customHeight="1">
      <c r="D533" s="1071"/>
      <c r="E533" s="1070"/>
      <c r="F533" s="1070"/>
      <c r="G533" s="1070"/>
      <c r="H533" s="1070"/>
    </row>
    <row r="534" spans="4:8" ht="12.75" customHeight="1">
      <c r="D534" s="1071"/>
      <c r="E534" s="1070"/>
      <c r="F534" s="1070"/>
      <c r="G534" s="1070"/>
      <c r="H534" s="1070"/>
    </row>
    <row r="535" spans="4:8" ht="12.75" customHeight="1">
      <c r="D535" s="1071"/>
      <c r="E535" s="1070"/>
      <c r="F535" s="1070"/>
      <c r="G535" s="1070"/>
      <c r="H535" s="1070"/>
    </row>
    <row r="536" spans="4:8" ht="12.75" customHeight="1">
      <c r="D536" s="1071"/>
      <c r="E536" s="1070"/>
      <c r="F536" s="1070"/>
      <c r="G536" s="1070"/>
      <c r="H536" s="1070"/>
    </row>
    <row r="537" spans="4:8" ht="12.75" customHeight="1">
      <c r="D537" s="1071"/>
      <c r="E537" s="1070"/>
      <c r="F537" s="1070"/>
      <c r="G537" s="1070"/>
      <c r="H537" s="1070"/>
    </row>
    <row r="538" spans="4:8" ht="12.75" customHeight="1">
      <c r="D538" s="1071"/>
      <c r="E538" s="1070"/>
      <c r="F538" s="1070"/>
      <c r="G538" s="1070"/>
      <c r="H538" s="1070"/>
    </row>
    <row r="539" spans="4:8" ht="12.75" customHeight="1">
      <c r="D539" s="1071"/>
      <c r="E539" s="1070"/>
      <c r="F539" s="1070"/>
      <c r="G539" s="1070"/>
      <c r="H539" s="1070"/>
    </row>
    <row r="540" spans="4:8" ht="12.75" customHeight="1">
      <c r="D540" s="1071"/>
      <c r="E540" s="1070"/>
      <c r="F540" s="1070"/>
      <c r="G540" s="1070"/>
      <c r="H540" s="1070"/>
    </row>
    <row r="541" spans="4:8" ht="12.75" customHeight="1">
      <c r="D541" s="1071"/>
      <c r="E541" s="1070"/>
      <c r="F541" s="1070"/>
      <c r="G541" s="1070"/>
      <c r="H541" s="1070"/>
    </row>
    <row r="542" spans="4:8" ht="12.75" customHeight="1">
      <c r="D542" s="1071"/>
      <c r="E542" s="1070"/>
      <c r="F542" s="1070"/>
      <c r="G542" s="1070"/>
      <c r="H542" s="1070"/>
    </row>
    <row r="543" spans="4:8" ht="12.75" customHeight="1">
      <c r="D543" s="1071"/>
      <c r="E543" s="1070"/>
      <c r="F543" s="1070"/>
      <c r="G543" s="1070"/>
      <c r="H543" s="1070"/>
    </row>
    <row r="544" spans="4:8" ht="12.75" customHeight="1">
      <c r="D544" s="1071"/>
      <c r="E544" s="1070"/>
      <c r="F544" s="1070"/>
      <c r="G544" s="1070"/>
      <c r="H544" s="1070"/>
    </row>
    <row r="545" spans="4:8" ht="12.75" customHeight="1">
      <c r="D545" s="1071"/>
      <c r="E545" s="1070"/>
      <c r="F545" s="1070"/>
      <c r="G545" s="1070"/>
      <c r="H545" s="1070"/>
    </row>
    <row r="546" spans="4:8" ht="12.75" customHeight="1">
      <c r="D546" s="1071"/>
      <c r="E546" s="1070"/>
      <c r="F546" s="1070"/>
      <c r="G546" s="1070"/>
      <c r="H546" s="1070"/>
    </row>
    <row r="547" spans="4:8" ht="12.75" customHeight="1">
      <c r="D547" s="1071"/>
      <c r="E547" s="1070"/>
      <c r="F547" s="1070"/>
      <c r="G547" s="1070"/>
      <c r="H547" s="1070"/>
    </row>
    <row r="548" spans="4:8" ht="12.75" customHeight="1">
      <c r="D548" s="1071"/>
      <c r="E548" s="1070"/>
      <c r="F548" s="1070"/>
      <c r="G548" s="1070"/>
      <c r="H548" s="1070"/>
    </row>
    <row r="549" spans="4:8" ht="12.75" customHeight="1">
      <c r="D549" s="1071"/>
      <c r="E549" s="1070"/>
      <c r="F549" s="1070"/>
      <c r="G549" s="1070"/>
      <c r="H549" s="1070"/>
    </row>
    <row r="550" spans="4:8" ht="12.75" customHeight="1">
      <c r="D550" s="1071"/>
      <c r="E550" s="1070"/>
      <c r="F550" s="1070"/>
      <c r="G550" s="1070"/>
      <c r="H550" s="1070"/>
    </row>
    <row r="551" spans="4:8" ht="12.75" customHeight="1">
      <c r="D551" s="1071"/>
      <c r="E551" s="1070"/>
      <c r="F551" s="1070"/>
      <c r="G551" s="1070"/>
      <c r="H551" s="1070"/>
    </row>
    <row r="552" spans="4:8" ht="12.75" customHeight="1">
      <c r="D552" s="1071"/>
      <c r="E552" s="1070"/>
      <c r="F552" s="1070"/>
      <c r="G552" s="1070"/>
      <c r="H552" s="1070"/>
    </row>
    <row r="553" spans="4:8" ht="12.75" customHeight="1">
      <c r="D553" s="1071"/>
      <c r="E553" s="1070"/>
      <c r="F553" s="1070"/>
      <c r="G553" s="1070"/>
      <c r="H553" s="1070"/>
    </row>
    <row r="554" spans="4:8" ht="12.75" customHeight="1">
      <c r="D554" s="1071"/>
      <c r="E554" s="1070"/>
      <c r="F554" s="1070"/>
      <c r="G554" s="1070"/>
      <c r="H554" s="1070"/>
    </row>
    <row r="555" spans="4:8" ht="12.75" customHeight="1">
      <c r="D555" s="1071"/>
      <c r="E555" s="1070"/>
      <c r="F555" s="1070"/>
      <c r="G555" s="1070"/>
      <c r="H555" s="1070"/>
    </row>
    <row r="556" spans="4:8" ht="12.75" customHeight="1">
      <c r="D556" s="1071"/>
      <c r="E556" s="1070"/>
      <c r="F556" s="1070"/>
      <c r="G556" s="1070"/>
      <c r="H556" s="1070"/>
    </row>
    <row r="557" spans="4:8" ht="12.75" customHeight="1">
      <c r="D557" s="1071"/>
      <c r="E557" s="1070"/>
      <c r="F557" s="1070"/>
      <c r="G557" s="1070"/>
      <c r="H557" s="1070"/>
    </row>
    <row r="558" spans="4:8" ht="12.75" customHeight="1">
      <c r="D558" s="1071"/>
      <c r="E558" s="1070"/>
      <c r="F558" s="1070"/>
      <c r="G558" s="1070"/>
      <c r="H558" s="1070"/>
    </row>
    <row r="559" spans="4:8" ht="12.75" customHeight="1">
      <c r="D559" s="1071"/>
      <c r="E559" s="1070"/>
      <c r="F559" s="1070"/>
      <c r="G559" s="1070"/>
      <c r="H559" s="1070"/>
    </row>
    <row r="560" spans="4:8" ht="12.75" customHeight="1">
      <c r="D560" s="1071"/>
      <c r="E560" s="1070"/>
      <c r="F560" s="1070"/>
      <c r="G560" s="1070"/>
      <c r="H560" s="1070"/>
    </row>
    <row r="561" spans="4:8" ht="12.75" customHeight="1">
      <c r="D561" s="1071"/>
      <c r="E561" s="1070"/>
      <c r="F561" s="1070"/>
      <c r="G561" s="1070"/>
      <c r="H561" s="1070"/>
    </row>
    <row r="562" spans="4:8" ht="12.75" customHeight="1">
      <c r="D562" s="1071"/>
      <c r="E562" s="1070"/>
      <c r="F562" s="1070"/>
      <c r="G562" s="1070"/>
      <c r="H562" s="1070"/>
    </row>
    <row r="563" spans="4:8" ht="12.75" customHeight="1">
      <c r="D563" s="1071"/>
      <c r="E563" s="1070"/>
      <c r="F563" s="1070"/>
      <c r="G563" s="1070"/>
      <c r="H563" s="1070"/>
    </row>
    <row r="564" spans="4:8" ht="12.75" customHeight="1">
      <c r="D564" s="1071"/>
      <c r="E564" s="1070"/>
      <c r="F564" s="1070"/>
      <c r="G564" s="1070"/>
      <c r="H564" s="1070"/>
    </row>
    <row r="565" spans="4:8" ht="12.75" customHeight="1">
      <c r="D565" s="1071"/>
      <c r="E565" s="1070"/>
      <c r="F565" s="1070"/>
      <c r="G565" s="1070"/>
      <c r="H565" s="1070"/>
    </row>
    <row r="566" spans="4:8" ht="12.75" customHeight="1">
      <c r="D566" s="1071"/>
      <c r="E566" s="1070"/>
      <c r="F566" s="1070"/>
      <c r="G566" s="1070"/>
      <c r="H566" s="1070"/>
    </row>
    <row r="567" spans="4:8" ht="12.75" customHeight="1">
      <c r="D567" s="1071"/>
      <c r="E567" s="1070"/>
      <c r="F567" s="1070"/>
      <c r="G567" s="1070"/>
      <c r="H567" s="1070"/>
    </row>
    <row r="568" spans="4:8" ht="12.75" customHeight="1">
      <c r="D568" s="1071"/>
      <c r="E568" s="1070"/>
      <c r="F568" s="1070"/>
      <c r="G568" s="1070"/>
      <c r="H568" s="1070"/>
    </row>
    <row r="569" spans="4:8" ht="12.75" customHeight="1">
      <c r="D569" s="1071"/>
      <c r="E569" s="1070"/>
      <c r="F569" s="1070"/>
      <c r="G569" s="1070"/>
      <c r="H569" s="1070"/>
    </row>
    <row r="570" spans="4:8" ht="12.75" customHeight="1">
      <c r="D570" s="1071"/>
      <c r="E570" s="1070"/>
      <c r="F570" s="1070"/>
      <c r="G570" s="1070"/>
      <c r="H570" s="1070"/>
    </row>
    <row r="571" spans="4:8" ht="12.75" customHeight="1">
      <c r="D571" s="1071"/>
      <c r="E571" s="1070"/>
      <c r="F571" s="1070"/>
      <c r="G571" s="1070"/>
      <c r="H571" s="1070"/>
    </row>
    <row r="572" spans="4:8" ht="12.75" customHeight="1">
      <c r="D572" s="1071"/>
      <c r="E572" s="1070"/>
      <c r="F572" s="1070"/>
      <c r="G572" s="1070"/>
      <c r="H572" s="1070"/>
    </row>
    <row r="573" spans="4:8" ht="12.75" customHeight="1">
      <c r="D573" s="1071"/>
      <c r="E573" s="1070"/>
      <c r="F573" s="1070"/>
      <c r="G573" s="1070"/>
      <c r="H573" s="1070"/>
    </row>
    <row r="574" spans="4:8" ht="12.75" customHeight="1">
      <c r="D574" s="1071"/>
      <c r="E574" s="1070"/>
      <c r="F574" s="1070"/>
      <c r="G574" s="1070"/>
      <c r="H574" s="1070"/>
    </row>
    <row r="575" spans="4:8" ht="12.75" customHeight="1">
      <c r="D575" s="1071"/>
      <c r="E575" s="1070"/>
      <c r="F575" s="1070"/>
      <c r="G575" s="1070"/>
      <c r="H575" s="1070"/>
    </row>
    <row r="576" spans="4:8" ht="12.75" customHeight="1">
      <c r="D576" s="1071"/>
      <c r="E576" s="1070"/>
      <c r="F576" s="1070"/>
      <c r="G576" s="1070"/>
      <c r="H576" s="1070"/>
    </row>
    <row r="577" spans="4:8" ht="12.75" customHeight="1">
      <c r="D577" s="1071"/>
      <c r="E577" s="1070"/>
      <c r="F577" s="1070"/>
      <c r="G577" s="1070"/>
      <c r="H577" s="1070"/>
    </row>
    <row r="578" spans="4:8" ht="12.75" customHeight="1">
      <c r="D578" s="1071"/>
      <c r="E578" s="1070"/>
      <c r="F578" s="1070"/>
      <c r="G578" s="1070"/>
      <c r="H578" s="1070"/>
    </row>
    <row r="579" spans="4:8" ht="12.75" customHeight="1">
      <c r="D579" s="1071"/>
      <c r="E579" s="1070"/>
      <c r="F579" s="1070"/>
      <c r="G579" s="1070"/>
      <c r="H579" s="1070"/>
    </row>
    <row r="580" spans="4:8" ht="12.75" customHeight="1">
      <c r="D580" s="1071"/>
      <c r="E580" s="1070"/>
      <c r="F580" s="1070"/>
      <c r="G580" s="1070"/>
      <c r="H580" s="1070"/>
    </row>
    <row r="581" spans="4:8" ht="12.75" customHeight="1">
      <c r="D581" s="1071"/>
      <c r="E581" s="1070"/>
      <c r="F581" s="1070"/>
      <c r="G581" s="1070"/>
      <c r="H581" s="1070"/>
    </row>
    <row r="582" spans="4:8" ht="12.75" customHeight="1">
      <c r="D582" s="1071"/>
      <c r="E582" s="1070"/>
      <c r="F582" s="1070"/>
      <c r="G582" s="1070"/>
      <c r="H582" s="1070"/>
    </row>
    <row r="583" spans="4:8" ht="12.75" customHeight="1">
      <c r="D583" s="1071"/>
      <c r="E583" s="1070"/>
      <c r="F583" s="1070"/>
      <c r="G583" s="1070"/>
      <c r="H583" s="1070"/>
    </row>
    <row r="584" spans="4:8" ht="12.75" customHeight="1">
      <c r="D584" s="1071"/>
      <c r="E584" s="1070"/>
      <c r="F584" s="1070"/>
      <c r="G584" s="1070"/>
      <c r="H584" s="1070"/>
    </row>
    <row r="585" spans="4:8" ht="12.75" customHeight="1">
      <c r="D585" s="1071"/>
      <c r="E585" s="1070"/>
      <c r="F585" s="1070"/>
      <c r="G585" s="1070"/>
      <c r="H585" s="1070"/>
    </row>
    <row r="586" spans="4:8" ht="12.75" customHeight="1">
      <c r="D586" s="1071"/>
      <c r="E586" s="1070"/>
      <c r="F586" s="1070"/>
      <c r="G586" s="1070"/>
      <c r="H586" s="1070"/>
    </row>
    <row r="587" spans="4:8" ht="12.75" customHeight="1">
      <c r="D587" s="1071"/>
      <c r="E587" s="1070"/>
      <c r="F587" s="1070"/>
      <c r="G587" s="1070"/>
      <c r="H587" s="1070"/>
    </row>
    <row r="588" spans="4:8" ht="12.75" customHeight="1">
      <c r="D588" s="1071"/>
      <c r="E588" s="1070"/>
      <c r="F588" s="1070"/>
      <c r="G588" s="1070"/>
      <c r="H588" s="1070"/>
    </row>
    <row r="589" spans="4:8" ht="12.75" customHeight="1">
      <c r="D589" s="1071"/>
      <c r="E589" s="1070"/>
      <c r="F589" s="1070"/>
      <c r="G589" s="1070"/>
      <c r="H589" s="1070"/>
    </row>
    <row r="590" spans="4:8" ht="12.75" customHeight="1">
      <c r="D590" s="1071"/>
      <c r="E590" s="1070"/>
      <c r="F590" s="1070"/>
      <c r="G590" s="1070"/>
      <c r="H590" s="1070"/>
    </row>
    <row r="591" spans="4:8" ht="12.75" customHeight="1">
      <c r="D591" s="1071"/>
      <c r="E591" s="1070"/>
      <c r="F591" s="1070"/>
      <c r="G591" s="1070"/>
      <c r="H591" s="1070"/>
    </row>
    <row r="592" spans="4:8" ht="12.75" customHeight="1">
      <c r="D592" s="1071"/>
      <c r="E592" s="1070"/>
      <c r="F592" s="1070"/>
      <c r="G592" s="1070"/>
      <c r="H592" s="1070"/>
    </row>
    <row r="593" spans="4:8" ht="12.75" customHeight="1">
      <c r="D593" s="1071"/>
      <c r="E593" s="1070"/>
      <c r="F593" s="1070"/>
      <c r="G593" s="1070"/>
      <c r="H593" s="1070"/>
    </row>
    <row r="594" spans="4:8" ht="12.75" customHeight="1">
      <c r="D594" s="1071"/>
      <c r="E594" s="1070"/>
      <c r="F594" s="1070"/>
      <c r="G594" s="1070"/>
      <c r="H594" s="1070"/>
    </row>
    <row r="595" spans="4:8" ht="12.75" customHeight="1">
      <c r="D595" s="1071"/>
      <c r="E595" s="1070"/>
      <c r="F595" s="1070"/>
      <c r="G595" s="1070"/>
      <c r="H595" s="1070"/>
    </row>
    <row r="596" spans="4:8" ht="12.75" customHeight="1">
      <c r="D596" s="1071"/>
      <c r="E596" s="1070"/>
      <c r="F596" s="1070"/>
      <c r="G596" s="1070"/>
      <c r="H596" s="1070"/>
    </row>
    <row r="597" spans="4:8" ht="12.75" customHeight="1">
      <c r="D597" s="1071"/>
      <c r="E597" s="1070"/>
      <c r="F597" s="1070"/>
      <c r="G597" s="1070"/>
      <c r="H597" s="1070"/>
    </row>
    <row r="598" spans="4:8" ht="12.75" customHeight="1">
      <c r="D598" s="1071"/>
      <c r="E598" s="1070"/>
      <c r="F598" s="1070"/>
      <c r="G598" s="1070"/>
      <c r="H598" s="1070"/>
    </row>
    <row r="599" spans="4:8" ht="12.75" customHeight="1">
      <c r="D599" s="1071"/>
      <c r="E599" s="1070"/>
      <c r="F599" s="1070"/>
      <c r="G599" s="1070"/>
      <c r="H599" s="1070"/>
    </row>
    <row r="600" spans="4:8" ht="12.75" customHeight="1">
      <c r="D600" s="1071"/>
      <c r="E600" s="1070"/>
      <c r="F600" s="1070"/>
      <c r="G600" s="1070"/>
      <c r="H600" s="1070"/>
    </row>
    <row r="601" spans="4:8" ht="12.75" customHeight="1">
      <c r="D601" s="1071"/>
      <c r="E601" s="1070"/>
      <c r="F601" s="1070"/>
      <c r="G601" s="1070"/>
      <c r="H601" s="1070"/>
    </row>
    <row r="602" spans="4:8" ht="12.75" customHeight="1">
      <c r="D602" s="1071"/>
      <c r="E602" s="1070"/>
      <c r="F602" s="1070"/>
      <c r="G602" s="1070"/>
      <c r="H602" s="1070"/>
    </row>
    <row r="603" spans="4:8" ht="12.75" customHeight="1">
      <c r="D603" s="1071"/>
      <c r="E603" s="1070"/>
      <c r="F603" s="1070"/>
      <c r="G603" s="1070"/>
      <c r="H603" s="1070"/>
    </row>
    <row r="604" spans="4:8" ht="12.75" customHeight="1">
      <c r="D604" s="1071"/>
      <c r="E604" s="1070"/>
      <c r="F604" s="1070"/>
      <c r="G604" s="1070"/>
      <c r="H604" s="1070"/>
    </row>
    <row r="605" spans="4:8" ht="12.75" customHeight="1">
      <c r="D605" s="1071"/>
      <c r="E605" s="1070"/>
      <c r="F605" s="1070"/>
      <c r="G605" s="1070"/>
      <c r="H605" s="1070"/>
    </row>
    <row r="606" spans="4:8" ht="12.75" customHeight="1">
      <c r="D606" s="1071"/>
      <c r="E606" s="1070"/>
      <c r="F606" s="1070"/>
      <c r="G606" s="1070"/>
      <c r="H606" s="1070"/>
    </row>
    <row r="607" spans="4:8" ht="12.75" customHeight="1">
      <c r="D607" s="1071"/>
      <c r="E607" s="1070"/>
      <c r="F607" s="1070"/>
      <c r="G607" s="1070"/>
      <c r="H607" s="1070"/>
    </row>
    <row r="608" spans="4:8" ht="12.75" customHeight="1">
      <c r="D608" s="1071"/>
      <c r="E608" s="1070"/>
      <c r="F608" s="1070"/>
      <c r="G608" s="1070"/>
      <c r="H608" s="1070"/>
    </row>
    <row r="609" spans="4:8" ht="12.75" customHeight="1">
      <c r="D609" s="1071"/>
      <c r="E609" s="1070"/>
      <c r="F609" s="1070"/>
      <c r="G609" s="1070"/>
      <c r="H609" s="1070"/>
    </row>
    <row r="610" spans="4:8" ht="12.75" customHeight="1">
      <c r="D610" s="1071"/>
      <c r="E610" s="1070"/>
      <c r="F610" s="1070"/>
      <c r="G610" s="1070"/>
      <c r="H610" s="1070"/>
    </row>
    <row r="611" spans="4:8" ht="12.75" customHeight="1">
      <c r="D611" s="1071"/>
      <c r="E611" s="1070"/>
      <c r="F611" s="1070"/>
      <c r="G611" s="1070"/>
      <c r="H611" s="1070"/>
    </row>
    <row r="612" spans="4:8" ht="12.75" customHeight="1">
      <c r="D612" s="1071"/>
      <c r="E612" s="1070"/>
      <c r="F612" s="1070"/>
      <c r="G612" s="1070"/>
      <c r="H612" s="1070"/>
    </row>
    <row r="613" spans="4:8" ht="12.75" customHeight="1">
      <c r="D613" s="1071"/>
      <c r="E613" s="1070"/>
      <c r="F613" s="1070"/>
      <c r="G613" s="1070"/>
      <c r="H613" s="1070"/>
    </row>
    <row r="614" spans="4:8" ht="12.75" customHeight="1">
      <c r="D614" s="1071"/>
      <c r="E614" s="1070"/>
      <c r="F614" s="1070"/>
      <c r="G614" s="1070"/>
      <c r="H614" s="1070"/>
    </row>
    <row r="615" spans="4:8" ht="12.75" customHeight="1">
      <c r="D615" s="1071"/>
      <c r="E615" s="1070"/>
      <c r="F615" s="1070"/>
      <c r="G615" s="1070"/>
      <c r="H615" s="1070"/>
    </row>
    <row r="616" spans="4:8" ht="12.75" customHeight="1">
      <c r="D616" s="1071"/>
      <c r="E616" s="1070"/>
      <c r="F616" s="1070"/>
      <c r="G616" s="1070"/>
      <c r="H616" s="1070"/>
    </row>
    <row r="617" spans="4:8" ht="12.75" customHeight="1">
      <c r="D617" s="1071"/>
      <c r="E617" s="1070"/>
      <c r="F617" s="1070"/>
      <c r="G617" s="1070"/>
      <c r="H617" s="1070"/>
    </row>
    <row r="618" spans="4:8" ht="12.75" customHeight="1">
      <c r="D618" s="1071"/>
      <c r="E618" s="1070"/>
      <c r="F618" s="1070"/>
      <c r="G618" s="1070"/>
      <c r="H618" s="1070"/>
    </row>
    <row r="619" spans="4:8" ht="12.75" customHeight="1">
      <c r="D619" s="1071"/>
      <c r="E619" s="1070"/>
      <c r="F619" s="1070"/>
      <c r="G619" s="1070"/>
      <c r="H619" s="1070"/>
    </row>
    <row r="620" spans="4:8" ht="12.75" customHeight="1">
      <c r="D620" s="1071"/>
      <c r="E620" s="1070"/>
      <c r="F620" s="1070"/>
      <c r="G620" s="1070"/>
      <c r="H620" s="1070"/>
    </row>
    <row r="621" spans="4:8" ht="12.75" customHeight="1">
      <c r="D621" s="1071"/>
      <c r="E621" s="1070"/>
      <c r="F621" s="1070"/>
      <c r="G621" s="1070"/>
      <c r="H621" s="1070"/>
    </row>
    <row r="622" spans="4:8" ht="12.75" customHeight="1">
      <c r="D622" s="1071"/>
      <c r="E622" s="1070"/>
      <c r="F622" s="1070"/>
      <c r="G622" s="1070"/>
      <c r="H622" s="1070"/>
    </row>
    <row r="623" spans="4:8" ht="12.75" customHeight="1">
      <c r="D623" s="1071"/>
      <c r="E623" s="1070"/>
      <c r="F623" s="1070"/>
      <c r="G623" s="1070"/>
      <c r="H623" s="1070"/>
    </row>
    <row r="624" spans="4:8" ht="12.75" customHeight="1">
      <c r="D624" s="1071"/>
      <c r="E624" s="1070"/>
      <c r="F624" s="1070"/>
      <c r="G624" s="1070"/>
      <c r="H624" s="1070"/>
    </row>
    <row r="625" spans="4:8" ht="12.75" customHeight="1">
      <c r="D625" s="1071"/>
      <c r="E625" s="1070"/>
      <c r="F625" s="1070"/>
      <c r="G625" s="1070"/>
      <c r="H625" s="1070"/>
    </row>
    <row r="626" spans="4:8" ht="12.75" customHeight="1">
      <c r="D626" s="1071"/>
      <c r="E626" s="1070"/>
      <c r="F626" s="1070"/>
      <c r="G626" s="1070"/>
      <c r="H626" s="1070"/>
    </row>
    <row r="627" spans="4:8" ht="12.75" customHeight="1">
      <c r="D627" s="1071"/>
      <c r="E627" s="1070"/>
      <c r="F627" s="1070"/>
      <c r="G627" s="1070"/>
      <c r="H627" s="1070"/>
    </row>
    <row r="628" spans="4:8" ht="12.75" customHeight="1">
      <c r="D628" s="1071"/>
      <c r="E628" s="1070"/>
      <c r="F628" s="1070"/>
      <c r="G628" s="1070"/>
      <c r="H628" s="1070"/>
    </row>
    <row r="629" spans="4:8" ht="12.75" customHeight="1">
      <c r="D629" s="1071"/>
      <c r="E629" s="1070"/>
      <c r="F629" s="1070"/>
      <c r="G629" s="1070"/>
      <c r="H629" s="1070"/>
    </row>
    <row r="630" spans="4:8" ht="12.75" customHeight="1">
      <c r="D630" s="1071"/>
      <c r="E630" s="1070"/>
      <c r="F630" s="1070"/>
      <c r="G630" s="1070"/>
      <c r="H630" s="1070"/>
    </row>
    <row r="631" spans="4:8" ht="12.75" customHeight="1">
      <c r="D631" s="1071"/>
      <c r="E631" s="1070"/>
      <c r="F631" s="1070"/>
      <c r="G631" s="1070"/>
      <c r="H631" s="1070"/>
    </row>
    <row r="632" spans="4:8" ht="12.75" customHeight="1">
      <c r="D632" s="1071"/>
      <c r="E632" s="1070"/>
      <c r="F632" s="1070"/>
      <c r="G632" s="1070"/>
      <c r="H632" s="1070"/>
    </row>
    <row r="633" spans="4:8" ht="12.75" customHeight="1">
      <c r="D633" s="1071"/>
      <c r="E633" s="1070"/>
      <c r="F633" s="1070"/>
      <c r="G633" s="1070"/>
      <c r="H633" s="1070"/>
    </row>
    <row r="634" spans="4:8" ht="12.75" customHeight="1">
      <c r="D634" s="1071"/>
      <c r="E634" s="1070"/>
      <c r="F634" s="1070"/>
      <c r="G634" s="1070"/>
      <c r="H634" s="1070"/>
    </row>
    <row r="635" spans="4:8" ht="12.75" customHeight="1">
      <c r="D635" s="1071"/>
      <c r="E635" s="1070"/>
      <c r="F635" s="1070"/>
      <c r="G635" s="1070"/>
      <c r="H635" s="1070"/>
    </row>
    <row r="636" spans="4:8" ht="12.75" customHeight="1">
      <c r="D636" s="1071"/>
      <c r="E636" s="1070"/>
      <c r="F636" s="1070"/>
      <c r="G636" s="1070"/>
      <c r="H636" s="1070"/>
    </row>
    <row r="637" spans="4:8" ht="12.75" customHeight="1">
      <c r="D637" s="1071"/>
      <c r="E637" s="1070"/>
      <c r="F637" s="1070"/>
      <c r="G637" s="1070"/>
      <c r="H637" s="1070"/>
    </row>
    <row r="638" spans="4:8" ht="12.75" customHeight="1">
      <c r="D638" s="1071"/>
      <c r="E638" s="1070"/>
      <c r="F638" s="1070"/>
      <c r="G638" s="1070"/>
      <c r="H638" s="1070"/>
    </row>
    <row r="639" spans="4:8" ht="12.75" customHeight="1">
      <c r="D639" s="1071"/>
      <c r="E639" s="1070"/>
      <c r="F639" s="1070"/>
      <c r="G639" s="1070"/>
      <c r="H639" s="1070"/>
    </row>
    <row r="640" spans="4:8" ht="12.75" customHeight="1">
      <c r="D640" s="1071"/>
      <c r="E640" s="1070"/>
      <c r="F640" s="1070"/>
      <c r="G640" s="1070"/>
      <c r="H640" s="1070"/>
    </row>
    <row r="641" spans="4:8" ht="12.75" customHeight="1">
      <c r="D641" s="1071"/>
      <c r="E641" s="1070"/>
      <c r="F641" s="1070"/>
      <c r="G641" s="1070"/>
      <c r="H641" s="1070"/>
    </row>
    <row r="642" spans="4:8" ht="12.75" customHeight="1">
      <c r="D642" s="1071"/>
      <c r="E642" s="1070"/>
      <c r="F642" s="1070"/>
      <c r="G642" s="1070"/>
      <c r="H642" s="1070"/>
    </row>
    <row r="643" spans="4:8" ht="12.75" customHeight="1">
      <c r="D643" s="1071"/>
      <c r="E643" s="1070"/>
      <c r="F643" s="1070"/>
      <c r="G643" s="1070"/>
      <c r="H643" s="1070"/>
    </row>
    <row r="644" spans="4:8" ht="12.75" customHeight="1">
      <c r="D644" s="1071"/>
      <c r="E644" s="1070"/>
      <c r="F644" s="1070"/>
      <c r="G644" s="1070"/>
      <c r="H644" s="1070"/>
    </row>
    <row r="645" spans="4:8" ht="12.75" customHeight="1">
      <c r="D645" s="1071"/>
      <c r="E645" s="1070"/>
      <c r="F645" s="1070"/>
      <c r="G645" s="1070"/>
      <c r="H645" s="1070"/>
    </row>
    <row r="646" spans="4:8" ht="12.75" customHeight="1">
      <c r="D646" s="1071"/>
      <c r="E646" s="1070"/>
      <c r="F646" s="1070"/>
      <c r="G646" s="1070"/>
      <c r="H646" s="1070"/>
    </row>
    <row r="647" spans="4:8" ht="12.75" customHeight="1">
      <c r="D647" s="1071"/>
      <c r="E647" s="1070"/>
      <c r="F647" s="1070"/>
      <c r="G647" s="1070"/>
      <c r="H647" s="1070"/>
    </row>
    <row r="648" spans="4:8" ht="12.75" customHeight="1">
      <c r="D648" s="1071"/>
      <c r="E648" s="1070"/>
      <c r="F648" s="1070"/>
      <c r="G648" s="1070"/>
      <c r="H648" s="1070"/>
    </row>
    <row r="649" spans="4:8" ht="12.75" customHeight="1">
      <c r="D649" s="1071"/>
      <c r="E649" s="1070"/>
      <c r="F649" s="1070"/>
      <c r="G649" s="1070"/>
      <c r="H649" s="1070"/>
    </row>
    <row r="650" spans="4:8" ht="12.75" customHeight="1">
      <c r="D650" s="1071"/>
      <c r="E650" s="1070"/>
      <c r="F650" s="1070"/>
      <c r="G650" s="1070"/>
      <c r="H650" s="1070"/>
    </row>
    <row r="651" spans="4:8" ht="12.75" customHeight="1">
      <c r="D651" s="1071"/>
      <c r="E651" s="1070"/>
      <c r="F651" s="1070"/>
      <c r="G651" s="1070"/>
      <c r="H651" s="1070"/>
    </row>
    <row r="652" spans="4:8" ht="12.75" customHeight="1">
      <c r="D652" s="1071"/>
      <c r="E652" s="1070"/>
      <c r="F652" s="1070"/>
      <c r="G652" s="1070"/>
      <c r="H652" s="1070"/>
    </row>
    <row r="653" spans="4:8" ht="12.75" customHeight="1">
      <c r="D653" s="1071"/>
      <c r="E653" s="1070"/>
      <c r="F653" s="1070"/>
      <c r="G653" s="1070"/>
      <c r="H653" s="1070"/>
    </row>
    <row r="654" spans="4:8" ht="12.75" customHeight="1">
      <c r="D654" s="1071"/>
      <c r="E654" s="1070"/>
      <c r="F654" s="1070"/>
      <c r="G654" s="1070"/>
      <c r="H654" s="1070"/>
    </row>
    <row r="655" spans="4:8" ht="12.75" customHeight="1">
      <c r="D655" s="1071"/>
      <c r="E655" s="1070"/>
      <c r="F655" s="1070"/>
      <c r="G655" s="1070"/>
      <c r="H655" s="1070"/>
    </row>
    <row r="656" spans="4:8" ht="12.75" customHeight="1">
      <c r="D656" s="1071"/>
      <c r="E656" s="1070"/>
      <c r="F656" s="1070"/>
      <c r="G656" s="1070"/>
      <c r="H656" s="1070"/>
    </row>
    <row r="657" spans="4:8" ht="12.75" customHeight="1">
      <c r="D657" s="1071"/>
      <c r="E657" s="1070"/>
      <c r="F657" s="1070"/>
      <c r="G657" s="1070"/>
      <c r="H657" s="1070"/>
    </row>
    <row r="658" spans="4:8" ht="12.75" customHeight="1">
      <c r="D658" s="1071"/>
      <c r="E658" s="1070"/>
      <c r="F658" s="1070"/>
      <c r="G658" s="1070"/>
      <c r="H658" s="1070"/>
    </row>
    <row r="659" spans="4:8" ht="12.75" customHeight="1">
      <c r="D659" s="1071"/>
      <c r="E659" s="1070"/>
      <c r="F659" s="1070"/>
      <c r="G659" s="1070"/>
      <c r="H659" s="1070"/>
    </row>
    <row r="660" spans="4:8" ht="12.75" customHeight="1">
      <c r="D660" s="1071"/>
      <c r="E660" s="1070"/>
      <c r="F660" s="1070"/>
      <c r="G660" s="1070"/>
      <c r="H660" s="1070"/>
    </row>
    <row r="661" spans="4:8" ht="12.75" customHeight="1">
      <c r="D661" s="1071"/>
      <c r="E661" s="1070"/>
      <c r="F661" s="1070"/>
      <c r="G661" s="1070"/>
      <c r="H661" s="1070"/>
    </row>
    <row r="662" spans="4:8" ht="12.75" customHeight="1">
      <c r="D662" s="1071"/>
      <c r="E662" s="1070"/>
      <c r="F662" s="1070"/>
      <c r="G662" s="1070"/>
      <c r="H662" s="1070"/>
    </row>
    <row r="663" spans="4:8" ht="12.75" customHeight="1">
      <c r="D663" s="1071"/>
      <c r="E663" s="1070"/>
      <c r="F663" s="1070"/>
      <c r="G663" s="1070"/>
      <c r="H663" s="1070"/>
    </row>
    <row r="664" spans="4:8" ht="12.75" customHeight="1">
      <c r="D664" s="1071"/>
      <c r="E664" s="1070"/>
      <c r="F664" s="1070"/>
      <c r="G664" s="1070"/>
      <c r="H664" s="1070"/>
    </row>
    <row r="665" spans="4:8" ht="12.75" customHeight="1">
      <c r="D665" s="1071"/>
      <c r="E665" s="1070"/>
      <c r="F665" s="1070"/>
      <c r="G665" s="1070"/>
      <c r="H665" s="1070"/>
    </row>
    <row r="666" spans="4:8" ht="12.75" customHeight="1">
      <c r="D666" s="1071"/>
      <c r="E666" s="1070"/>
      <c r="F666" s="1070"/>
      <c r="G666" s="1070"/>
      <c r="H666" s="1070"/>
    </row>
    <row r="667" spans="4:8" ht="12.75" customHeight="1">
      <c r="D667" s="1071"/>
      <c r="E667" s="1070"/>
      <c r="F667" s="1070"/>
      <c r="G667" s="1070"/>
      <c r="H667" s="1070"/>
    </row>
    <row r="668" spans="4:8" ht="12.75" customHeight="1">
      <c r="D668" s="1071"/>
      <c r="E668" s="1070"/>
      <c r="F668" s="1070"/>
      <c r="G668" s="1070"/>
      <c r="H668" s="1070"/>
    </row>
    <row r="669" spans="4:8" ht="12.75" customHeight="1">
      <c r="D669" s="1071"/>
      <c r="E669" s="1070"/>
      <c r="F669" s="1070"/>
      <c r="G669" s="1070"/>
      <c r="H669" s="1070"/>
    </row>
    <row r="670" spans="4:8" ht="12.75" customHeight="1">
      <c r="D670" s="1071"/>
      <c r="E670" s="1070"/>
      <c r="F670" s="1070"/>
      <c r="G670" s="1070"/>
      <c r="H670" s="1070"/>
    </row>
    <row r="671" spans="4:8" ht="12.75" customHeight="1">
      <c r="D671" s="1071"/>
      <c r="E671" s="1070"/>
      <c r="F671" s="1070"/>
      <c r="G671" s="1070"/>
      <c r="H671" s="1070"/>
    </row>
    <row r="672" spans="4:8" ht="12.75" customHeight="1">
      <c r="D672" s="1071"/>
      <c r="E672" s="1070"/>
      <c r="F672" s="1070"/>
      <c r="G672" s="1070"/>
      <c r="H672" s="1070"/>
    </row>
    <row r="673" spans="4:8" ht="12.75" customHeight="1">
      <c r="D673" s="1071"/>
      <c r="E673" s="1070"/>
      <c r="F673" s="1070"/>
      <c r="G673" s="1070"/>
      <c r="H673" s="1070"/>
    </row>
    <row r="674" spans="4:8" ht="12.75" customHeight="1">
      <c r="D674" s="1071"/>
      <c r="E674" s="1070"/>
      <c r="F674" s="1070"/>
      <c r="G674" s="1070"/>
      <c r="H674" s="1070"/>
    </row>
    <row r="675" spans="4:8" ht="12.75" customHeight="1">
      <c r="D675" s="1071"/>
      <c r="E675" s="1070"/>
      <c r="F675" s="1070"/>
      <c r="G675" s="1070"/>
      <c r="H675" s="1070"/>
    </row>
    <row r="676" spans="4:8" ht="12.75" customHeight="1">
      <c r="D676" s="1071"/>
      <c r="E676" s="1070"/>
      <c r="F676" s="1070"/>
      <c r="G676" s="1070"/>
      <c r="H676" s="1070"/>
    </row>
    <row r="677" spans="4:8" ht="12.75" customHeight="1">
      <c r="D677" s="1071"/>
      <c r="E677" s="1070"/>
      <c r="F677" s="1070"/>
      <c r="G677" s="1070"/>
      <c r="H677" s="1070"/>
    </row>
    <row r="678" spans="4:8" ht="12.75" customHeight="1">
      <c r="D678" s="1071"/>
      <c r="E678" s="1070"/>
      <c r="F678" s="1070"/>
      <c r="G678" s="1070"/>
      <c r="H678" s="1070"/>
    </row>
    <row r="679" spans="4:8" ht="12.75" customHeight="1">
      <c r="D679" s="1071"/>
      <c r="E679" s="1070"/>
      <c r="F679" s="1070"/>
      <c r="G679" s="1070"/>
      <c r="H679" s="1070"/>
    </row>
    <row r="680" spans="4:8" ht="12.75" customHeight="1">
      <c r="D680" s="1071"/>
      <c r="E680" s="1070"/>
      <c r="F680" s="1070"/>
      <c r="G680" s="1070"/>
      <c r="H680" s="1070"/>
    </row>
    <row r="681" spans="4:8" ht="12.75" customHeight="1">
      <c r="D681" s="1071"/>
      <c r="E681" s="1070"/>
      <c r="F681" s="1070"/>
      <c r="G681" s="1070"/>
      <c r="H681" s="1070"/>
    </row>
    <row r="682" spans="4:8" ht="12.75" customHeight="1">
      <c r="D682" s="1071"/>
      <c r="E682" s="1070"/>
      <c r="F682" s="1070"/>
      <c r="G682" s="1070"/>
      <c r="H682" s="1070"/>
    </row>
    <row r="683" spans="4:8" ht="12.75" customHeight="1">
      <c r="D683" s="1071"/>
      <c r="E683" s="1070"/>
      <c r="F683" s="1070"/>
      <c r="G683" s="1070"/>
      <c r="H683" s="1070"/>
    </row>
    <row r="684" spans="4:8" ht="12.75" customHeight="1">
      <c r="D684" s="1071"/>
      <c r="E684" s="1070"/>
      <c r="F684" s="1070"/>
      <c r="G684" s="1070"/>
      <c r="H684" s="1070"/>
    </row>
    <row r="685" spans="4:8" ht="12.75" customHeight="1">
      <c r="D685" s="1071"/>
      <c r="E685" s="1070"/>
      <c r="F685" s="1070"/>
      <c r="G685" s="1070"/>
      <c r="H685" s="1070"/>
    </row>
    <row r="686" spans="4:8" ht="12.75" customHeight="1">
      <c r="D686" s="1071"/>
      <c r="E686" s="1070"/>
      <c r="F686" s="1070"/>
      <c r="G686" s="1070"/>
      <c r="H686" s="1070"/>
    </row>
    <row r="687" spans="4:8" ht="12.75" customHeight="1">
      <c r="D687" s="1071"/>
      <c r="E687" s="1070"/>
      <c r="F687" s="1070"/>
      <c r="G687" s="1070"/>
      <c r="H687" s="1070"/>
    </row>
    <row r="688" spans="4:8" ht="12.75" customHeight="1">
      <c r="D688" s="1071"/>
      <c r="E688" s="1070"/>
      <c r="F688" s="1070"/>
      <c r="G688" s="1070"/>
      <c r="H688" s="1070"/>
    </row>
    <row r="689" spans="4:8" ht="12.75" customHeight="1">
      <c r="D689" s="1071"/>
      <c r="E689" s="1070"/>
      <c r="F689" s="1070"/>
      <c r="G689" s="1070"/>
      <c r="H689" s="1070"/>
    </row>
    <row r="690" spans="4:8" ht="12.75" customHeight="1">
      <c r="D690" s="1071"/>
      <c r="E690" s="1070"/>
      <c r="F690" s="1070"/>
      <c r="G690" s="1070"/>
      <c r="H690" s="1070"/>
    </row>
    <row r="691" spans="4:8" ht="12.75" customHeight="1">
      <c r="D691" s="1071"/>
      <c r="E691" s="1070"/>
      <c r="F691" s="1070"/>
      <c r="G691" s="1070"/>
      <c r="H691" s="1070"/>
    </row>
    <row r="692" spans="4:8" ht="12.75" customHeight="1">
      <c r="D692" s="1071"/>
      <c r="E692" s="1070"/>
      <c r="F692" s="1070"/>
      <c r="G692" s="1070"/>
      <c r="H692" s="1070"/>
    </row>
    <row r="693" spans="4:8" ht="12.75" customHeight="1">
      <c r="D693" s="1071"/>
      <c r="E693" s="1070"/>
      <c r="F693" s="1070"/>
      <c r="G693" s="1070"/>
      <c r="H693" s="1070"/>
    </row>
    <row r="694" spans="4:8" ht="12.75" customHeight="1">
      <c r="D694" s="1071"/>
      <c r="E694" s="1070"/>
      <c r="F694" s="1070"/>
      <c r="G694" s="1070"/>
      <c r="H694" s="1070"/>
    </row>
    <row r="695" spans="4:8" ht="12.75" customHeight="1">
      <c r="D695" s="1071"/>
      <c r="E695" s="1070"/>
      <c r="F695" s="1070"/>
      <c r="G695" s="1070"/>
      <c r="H695" s="1070"/>
    </row>
    <row r="696" spans="4:8" ht="12.75" customHeight="1">
      <c r="D696" s="1071"/>
      <c r="E696" s="1070"/>
      <c r="F696" s="1070"/>
      <c r="G696" s="1070"/>
      <c r="H696" s="1070"/>
    </row>
    <row r="697" spans="4:8" ht="12.75" customHeight="1">
      <c r="D697" s="1071"/>
      <c r="E697" s="1070"/>
      <c r="F697" s="1070"/>
      <c r="G697" s="1070"/>
      <c r="H697" s="1070"/>
    </row>
    <row r="698" spans="4:8" ht="12.75" customHeight="1">
      <c r="D698" s="1071"/>
      <c r="E698" s="1070"/>
      <c r="F698" s="1070"/>
      <c r="G698" s="1070"/>
      <c r="H698" s="1070"/>
    </row>
    <row r="699" spans="4:8" ht="12.75" customHeight="1">
      <c r="D699" s="1071"/>
      <c r="E699" s="1070"/>
      <c r="F699" s="1070"/>
      <c r="G699" s="1070"/>
      <c r="H699" s="1070"/>
    </row>
    <row r="700" spans="4:8" ht="12.75" customHeight="1">
      <c r="D700" s="1071"/>
      <c r="E700" s="1070"/>
      <c r="F700" s="1070"/>
      <c r="G700" s="1070"/>
      <c r="H700" s="1070"/>
    </row>
    <row r="701" spans="4:8" ht="12.75" customHeight="1">
      <c r="D701" s="1071"/>
      <c r="E701" s="1070"/>
      <c r="F701" s="1070"/>
      <c r="G701" s="1070"/>
      <c r="H701" s="1070"/>
    </row>
    <row r="702" spans="4:8" ht="12.75" customHeight="1">
      <c r="D702" s="1071"/>
      <c r="E702" s="1070"/>
      <c r="F702" s="1070"/>
      <c r="G702" s="1070"/>
      <c r="H702" s="1070"/>
    </row>
    <row r="703" spans="4:8" ht="12.75" customHeight="1">
      <c r="D703" s="1071"/>
      <c r="E703" s="1070"/>
      <c r="F703" s="1070"/>
      <c r="G703" s="1070"/>
      <c r="H703" s="1070"/>
    </row>
    <row r="704" spans="4:8" ht="12.75" customHeight="1">
      <c r="D704" s="1071"/>
      <c r="E704" s="1070"/>
      <c r="F704" s="1070"/>
      <c r="G704" s="1070"/>
      <c r="H704" s="1070"/>
    </row>
    <row r="705" spans="4:8" ht="12.75" customHeight="1">
      <c r="D705" s="1071"/>
      <c r="E705" s="1070"/>
      <c r="F705" s="1070"/>
      <c r="G705" s="1070"/>
      <c r="H705" s="1070"/>
    </row>
    <row r="706" spans="4:8" ht="12.75" customHeight="1">
      <c r="D706" s="1071"/>
      <c r="E706" s="1070"/>
      <c r="F706" s="1070"/>
      <c r="G706" s="1070"/>
      <c r="H706" s="1070"/>
    </row>
    <row r="707" spans="4:8" ht="12.75" customHeight="1">
      <c r="D707" s="1071"/>
      <c r="E707" s="1070"/>
      <c r="F707" s="1070"/>
      <c r="G707" s="1070"/>
      <c r="H707" s="1070"/>
    </row>
    <row r="708" spans="4:8" ht="12.75" customHeight="1">
      <c r="D708" s="1071"/>
      <c r="E708" s="1070"/>
      <c r="F708" s="1070"/>
      <c r="G708" s="1070"/>
      <c r="H708" s="1070"/>
    </row>
    <row r="709" spans="4:8" ht="12.75" customHeight="1">
      <c r="D709" s="1071"/>
      <c r="E709" s="1070"/>
      <c r="F709" s="1070"/>
      <c r="G709" s="1070"/>
      <c r="H709" s="1070"/>
    </row>
    <row r="710" spans="4:8" ht="12.75" customHeight="1">
      <c r="D710" s="1071"/>
      <c r="E710" s="1070"/>
      <c r="F710" s="1070"/>
      <c r="G710" s="1070"/>
      <c r="H710" s="1070"/>
    </row>
    <row r="711" spans="4:8" ht="12.75" customHeight="1">
      <c r="D711" s="1071"/>
      <c r="E711" s="1070"/>
      <c r="F711" s="1070"/>
      <c r="G711" s="1070"/>
      <c r="H711" s="1070"/>
    </row>
    <row r="712" spans="4:8" ht="12.75" customHeight="1">
      <c r="D712" s="1071"/>
      <c r="E712" s="1070"/>
      <c r="F712" s="1070"/>
      <c r="G712" s="1070"/>
      <c r="H712" s="1070"/>
    </row>
    <row r="713" spans="4:8" ht="12.75" customHeight="1">
      <c r="D713" s="1071"/>
      <c r="E713" s="1070"/>
      <c r="F713" s="1070"/>
      <c r="G713" s="1070"/>
      <c r="H713" s="1070"/>
    </row>
    <row r="714" spans="4:8" ht="12.75" customHeight="1">
      <c r="D714" s="1071"/>
      <c r="E714" s="1070"/>
      <c r="F714" s="1070"/>
      <c r="G714" s="1070"/>
      <c r="H714" s="1070"/>
    </row>
    <row r="715" spans="4:8" ht="12.75" customHeight="1">
      <c r="D715" s="1071"/>
      <c r="E715" s="1070"/>
      <c r="F715" s="1070"/>
      <c r="G715" s="1070"/>
      <c r="H715" s="1070"/>
    </row>
    <row r="716" spans="4:8" ht="12.75" customHeight="1">
      <c r="D716" s="1071"/>
      <c r="E716" s="1070"/>
      <c r="F716" s="1070"/>
      <c r="G716" s="1070"/>
      <c r="H716" s="1070"/>
    </row>
    <row r="717" spans="4:8" ht="12.75" customHeight="1">
      <c r="D717" s="1071"/>
      <c r="E717" s="1070"/>
      <c r="F717" s="1070"/>
      <c r="G717" s="1070"/>
      <c r="H717" s="1070"/>
    </row>
    <row r="718" spans="4:8" ht="12.75" customHeight="1">
      <c r="D718" s="1071"/>
      <c r="E718" s="1070"/>
      <c r="F718" s="1070"/>
      <c r="G718" s="1070"/>
      <c r="H718" s="1070"/>
    </row>
    <row r="719" spans="4:8" ht="12.75" customHeight="1">
      <c r="D719" s="1071"/>
      <c r="E719" s="1070"/>
      <c r="F719" s="1070"/>
      <c r="G719" s="1070"/>
      <c r="H719" s="1070"/>
    </row>
    <row r="720" spans="4:8" ht="12.75" customHeight="1">
      <c r="D720" s="1071"/>
      <c r="E720" s="1070"/>
      <c r="F720" s="1070"/>
      <c r="G720" s="1070"/>
      <c r="H720" s="1070"/>
    </row>
    <row r="721" spans="4:8" ht="12.75" customHeight="1">
      <c r="D721" s="1071"/>
      <c r="E721" s="1070"/>
      <c r="F721" s="1070"/>
      <c r="G721" s="1070"/>
      <c r="H721" s="1070"/>
    </row>
    <row r="722" spans="4:8" ht="12.75" customHeight="1">
      <c r="D722" s="1071"/>
      <c r="E722" s="1070"/>
      <c r="F722" s="1070"/>
      <c r="G722" s="1070"/>
      <c r="H722" s="1070"/>
    </row>
    <row r="723" spans="4:8" ht="12.75" customHeight="1">
      <c r="D723" s="1071"/>
      <c r="E723" s="1070"/>
      <c r="F723" s="1070"/>
      <c r="G723" s="1070"/>
      <c r="H723" s="1070"/>
    </row>
    <row r="724" spans="4:8" ht="12.75" customHeight="1">
      <c r="D724" s="1071"/>
      <c r="E724" s="1070"/>
      <c r="F724" s="1070"/>
      <c r="G724" s="1070"/>
      <c r="H724" s="1070"/>
    </row>
    <row r="725" spans="4:8" ht="12.75" customHeight="1">
      <c r="D725" s="1071"/>
      <c r="E725" s="1070"/>
      <c r="F725" s="1070"/>
      <c r="G725" s="1070"/>
      <c r="H725" s="1070"/>
    </row>
    <row r="726" spans="4:8" ht="12.75" customHeight="1">
      <c r="D726" s="1071"/>
      <c r="E726" s="1070"/>
      <c r="F726" s="1070"/>
      <c r="G726" s="1070"/>
      <c r="H726" s="1070"/>
    </row>
    <row r="727" spans="4:8" ht="12.75" customHeight="1">
      <c r="D727" s="1071"/>
      <c r="E727" s="1070"/>
      <c r="F727" s="1070"/>
      <c r="G727" s="1070"/>
      <c r="H727" s="1070"/>
    </row>
    <row r="728" spans="4:8" ht="12.75" customHeight="1">
      <c r="D728" s="1071"/>
      <c r="E728" s="1070"/>
      <c r="F728" s="1070"/>
      <c r="G728" s="1070"/>
      <c r="H728" s="1070"/>
    </row>
    <row r="729" spans="4:8" ht="12.75" customHeight="1">
      <c r="D729" s="1071"/>
      <c r="E729" s="1070"/>
      <c r="F729" s="1070"/>
      <c r="G729" s="1070"/>
      <c r="H729" s="1070"/>
    </row>
    <row r="730" spans="4:8" ht="12.75" customHeight="1">
      <c r="D730" s="1071"/>
      <c r="E730" s="1070"/>
      <c r="F730" s="1070"/>
      <c r="G730" s="1070"/>
      <c r="H730" s="1070"/>
    </row>
    <row r="731" spans="4:8" ht="12.75" customHeight="1">
      <c r="D731" s="1071"/>
      <c r="E731" s="1070"/>
      <c r="F731" s="1070"/>
      <c r="G731" s="1070"/>
      <c r="H731" s="1070"/>
    </row>
    <row r="732" spans="4:8" ht="12.75" customHeight="1">
      <c r="D732" s="1071"/>
      <c r="E732" s="1070"/>
      <c r="F732" s="1070"/>
      <c r="G732" s="1070"/>
      <c r="H732" s="1070"/>
    </row>
    <row r="733" spans="4:8" ht="12.75" customHeight="1">
      <c r="D733" s="1071"/>
      <c r="E733" s="1070"/>
      <c r="F733" s="1070"/>
      <c r="G733" s="1070"/>
      <c r="H733" s="1070"/>
    </row>
    <row r="734" spans="4:8" ht="12.75" customHeight="1">
      <c r="D734" s="1071"/>
      <c r="E734" s="1070"/>
      <c r="F734" s="1070"/>
      <c r="G734" s="1070"/>
      <c r="H734" s="1070"/>
    </row>
    <row r="735" spans="4:8" ht="12.75" customHeight="1">
      <c r="D735" s="1071"/>
      <c r="E735" s="1070"/>
      <c r="F735" s="1070"/>
      <c r="G735" s="1070"/>
      <c r="H735" s="1070"/>
    </row>
    <row r="736" spans="4:8" ht="12.75" customHeight="1">
      <c r="D736" s="1071"/>
      <c r="E736" s="1070"/>
      <c r="F736" s="1070"/>
      <c r="G736" s="1070"/>
      <c r="H736" s="1070"/>
    </row>
    <row r="737" spans="4:8" ht="12.75" customHeight="1">
      <c r="D737" s="1071"/>
      <c r="E737" s="1070"/>
      <c r="F737" s="1070"/>
      <c r="G737" s="1070"/>
      <c r="H737" s="1070"/>
    </row>
    <row r="738" spans="4:8" ht="12.75" customHeight="1">
      <c r="D738" s="1071"/>
      <c r="E738" s="1070"/>
      <c r="F738" s="1070"/>
      <c r="G738" s="1070"/>
      <c r="H738" s="1070"/>
    </row>
    <row r="739" spans="4:8" ht="12.75" customHeight="1">
      <c r="D739" s="1071"/>
      <c r="E739" s="1070"/>
      <c r="F739" s="1070"/>
      <c r="G739" s="1070"/>
      <c r="H739" s="1070"/>
    </row>
    <row r="740" spans="4:8" ht="12.75" customHeight="1">
      <c r="D740" s="1071"/>
      <c r="E740" s="1070"/>
      <c r="F740" s="1070"/>
      <c r="G740" s="1070"/>
      <c r="H740" s="1070"/>
    </row>
    <row r="741" spans="4:8" ht="12.75" customHeight="1">
      <c r="D741" s="1071"/>
      <c r="E741" s="1070"/>
      <c r="F741" s="1070"/>
      <c r="G741" s="1070"/>
      <c r="H741" s="1070"/>
    </row>
    <row r="742" spans="4:8" ht="12.75" customHeight="1">
      <c r="D742" s="1071"/>
      <c r="E742" s="1070"/>
      <c r="F742" s="1070"/>
      <c r="G742" s="1070"/>
      <c r="H742" s="1070"/>
    </row>
    <row r="743" spans="4:8" ht="13.5" customHeight="1">
      <c r="D743" s="1071"/>
      <c r="E743" s="1070"/>
      <c r="F743" s="1070"/>
      <c r="G743" s="1070"/>
      <c r="H743" s="1070"/>
    </row>
    <row r="744" spans="4:8" ht="12.75" customHeight="1">
      <c r="D744" s="1071"/>
      <c r="E744" s="1070"/>
      <c r="F744" s="1070"/>
      <c r="G744" s="1070"/>
      <c r="H744" s="1070"/>
    </row>
    <row r="745" spans="4:8" ht="12.75" customHeight="1">
      <c r="D745" s="1071"/>
      <c r="E745" s="1070"/>
      <c r="F745" s="1070"/>
      <c r="G745" s="1070"/>
      <c r="H745" s="1070"/>
    </row>
    <row r="746" spans="4:8" ht="12.75" customHeight="1">
      <c r="D746" s="1071"/>
      <c r="E746" s="1070"/>
      <c r="F746" s="1070"/>
      <c r="G746" s="1070"/>
      <c r="H746" s="1070"/>
    </row>
    <row r="747" spans="4:8" ht="12.75" customHeight="1">
      <c r="D747" s="1071"/>
      <c r="E747" s="1070"/>
      <c r="F747" s="1070"/>
      <c r="G747" s="1070"/>
      <c r="H747" s="1070"/>
    </row>
    <row r="748" spans="4:8" ht="12.75" customHeight="1">
      <c r="D748" s="1071"/>
      <c r="E748" s="1070"/>
      <c r="F748" s="1070"/>
      <c r="G748" s="1070"/>
      <c r="H748" s="1070"/>
    </row>
    <row r="749" spans="4:8" ht="12.75" customHeight="1">
      <c r="D749" s="1071"/>
      <c r="E749" s="1070"/>
      <c r="F749" s="1070"/>
      <c r="G749" s="1070"/>
      <c r="H749" s="1070"/>
    </row>
    <row r="750" spans="4:8" ht="12.75" customHeight="1">
      <c r="D750" s="1071"/>
      <c r="E750" s="1070"/>
      <c r="F750" s="1070"/>
      <c r="G750" s="1070"/>
      <c r="H750" s="1070"/>
    </row>
    <row r="751" spans="4:8" ht="12.75" customHeight="1">
      <c r="D751" s="1071"/>
      <c r="E751" s="1070"/>
      <c r="F751" s="1070"/>
      <c r="G751" s="1070"/>
      <c r="H751" s="1070"/>
    </row>
    <row r="752" spans="4:8" ht="12.75" customHeight="1">
      <c r="D752" s="1071"/>
      <c r="E752" s="1070"/>
      <c r="F752" s="1070"/>
      <c r="G752" s="1070"/>
      <c r="H752" s="1070"/>
    </row>
    <row r="753" spans="4:8" ht="12.75" customHeight="1">
      <c r="D753" s="1071"/>
      <c r="E753" s="1070"/>
      <c r="F753" s="1070"/>
      <c r="G753" s="1070"/>
      <c r="H753" s="1070"/>
    </row>
    <row r="754" spans="4:8" ht="12.75" customHeight="1">
      <c r="D754" s="1071"/>
      <c r="E754" s="1070"/>
      <c r="F754" s="1070"/>
      <c r="G754" s="1070"/>
      <c r="H754" s="1070"/>
    </row>
    <row r="755" spans="4:8" ht="12.75" customHeight="1">
      <c r="D755" s="1071"/>
      <c r="E755" s="1070"/>
      <c r="F755" s="1070"/>
      <c r="G755" s="1070"/>
      <c r="H755" s="1070"/>
    </row>
    <row r="756" spans="4:8" ht="12.75" customHeight="1">
      <c r="D756" s="1071"/>
      <c r="E756" s="1070"/>
      <c r="F756" s="1070"/>
      <c r="G756" s="1070"/>
      <c r="H756" s="1070"/>
    </row>
    <row r="757" spans="4:8" ht="12.75" customHeight="1">
      <c r="D757" s="1071"/>
      <c r="E757" s="1070"/>
      <c r="F757" s="1070"/>
      <c r="G757" s="1070"/>
      <c r="H757" s="1070"/>
    </row>
    <row r="758" spans="4:8" ht="12.75" customHeight="1">
      <c r="D758" s="1071"/>
      <c r="E758" s="1070"/>
      <c r="F758" s="1070"/>
      <c r="G758" s="1070"/>
      <c r="H758" s="1070"/>
    </row>
    <row r="759" spans="4:8" ht="12.75" customHeight="1">
      <c r="D759" s="1071"/>
      <c r="E759" s="1070"/>
      <c r="F759" s="1070"/>
      <c r="G759" s="1070"/>
      <c r="H759" s="1070"/>
    </row>
    <row r="760" spans="4:8" ht="12.75" customHeight="1">
      <c r="D760" s="1071"/>
      <c r="E760" s="1070"/>
      <c r="F760" s="1070"/>
      <c r="G760" s="1070"/>
      <c r="H760" s="1070"/>
    </row>
    <row r="761" spans="4:8" ht="12.75" customHeight="1">
      <c r="D761" s="1071"/>
      <c r="E761" s="1070"/>
      <c r="F761" s="1070"/>
      <c r="G761" s="1070"/>
      <c r="H761" s="1070"/>
    </row>
    <row r="762" spans="4:8" ht="12.75" customHeight="1">
      <c r="D762" s="1071"/>
      <c r="E762" s="1070"/>
      <c r="F762" s="1070"/>
      <c r="G762" s="1070"/>
      <c r="H762" s="1070"/>
    </row>
    <row r="763" spans="4:8" ht="12.75" customHeight="1">
      <c r="D763" s="1071"/>
      <c r="E763" s="1070"/>
      <c r="F763" s="1070"/>
      <c r="G763" s="1070"/>
      <c r="H763" s="1070"/>
    </row>
    <row r="764" spans="4:8" ht="12.75" customHeight="1">
      <c r="D764" s="1071"/>
      <c r="E764" s="1070"/>
      <c r="F764" s="1070"/>
      <c r="G764" s="1070"/>
      <c r="H764" s="1070"/>
    </row>
    <row r="765" spans="4:8" ht="12.75" customHeight="1">
      <c r="D765" s="1071"/>
      <c r="E765" s="1070"/>
      <c r="F765" s="1070"/>
      <c r="G765" s="1070"/>
      <c r="H765" s="1070"/>
    </row>
    <row r="766" spans="4:8" ht="12.75" customHeight="1">
      <c r="D766" s="1071"/>
      <c r="E766" s="1070"/>
      <c r="F766" s="1070"/>
      <c r="G766" s="1070"/>
      <c r="H766" s="1070"/>
    </row>
    <row r="767" spans="4:8" ht="12.75" customHeight="1">
      <c r="D767" s="1071"/>
      <c r="E767" s="1070"/>
      <c r="F767" s="1070"/>
      <c r="G767" s="1070"/>
      <c r="H767" s="1070"/>
    </row>
    <row r="768" spans="4:8" ht="12.75" customHeight="1">
      <c r="D768" s="1071"/>
      <c r="E768" s="1070"/>
      <c r="F768" s="1070"/>
      <c r="G768" s="1070"/>
      <c r="H768" s="1070"/>
    </row>
    <row r="769" spans="4:30" ht="12.75" customHeight="1">
      <c r="D769" s="1071"/>
      <c r="E769" s="1070"/>
      <c r="F769" s="1070"/>
      <c r="G769" s="1070"/>
      <c r="H769" s="1070"/>
      <c r="I769" s="1020"/>
      <c r="J769" s="1020"/>
      <c r="K769" s="1020"/>
      <c r="L769" s="1066"/>
      <c r="M769" s="1020"/>
      <c r="N769" s="1020"/>
      <c r="O769" s="1020"/>
      <c r="P769" s="1020"/>
      <c r="Q769" s="1020"/>
      <c r="R769" s="1020"/>
      <c r="S769" s="1020"/>
      <c r="T769" s="1036"/>
      <c r="U769" s="1036"/>
      <c r="V769" s="1020"/>
      <c r="W769" s="1020"/>
      <c r="X769" s="1020"/>
      <c r="Y769" s="1020"/>
      <c r="Z769" s="1020"/>
      <c r="AA769" s="1020"/>
      <c r="AB769" s="1020"/>
      <c r="AC769" s="1020"/>
      <c r="AD769" s="1020"/>
    </row>
    <row r="770" spans="4:30" ht="12.75" customHeight="1">
      <c r="D770" s="1071"/>
      <c r="E770" s="1070"/>
      <c r="F770" s="1070"/>
      <c r="G770" s="1070"/>
      <c r="H770" s="1070"/>
      <c r="I770" s="1020"/>
      <c r="J770" s="1020"/>
      <c r="K770" s="1020"/>
      <c r="L770" s="1066"/>
      <c r="M770" s="1020"/>
      <c r="N770" s="1020"/>
      <c r="O770" s="1020"/>
      <c r="P770" s="1020"/>
      <c r="Q770" s="1020"/>
      <c r="R770" s="1020"/>
      <c r="S770" s="1020"/>
      <c r="T770" s="1036"/>
      <c r="U770" s="1036"/>
      <c r="V770" s="1020"/>
      <c r="W770" s="1020"/>
      <c r="X770" s="1020"/>
      <c r="Y770" s="1020"/>
      <c r="Z770" s="1020"/>
      <c r="AA770" s="1020"/>
      <c r="AB770" s="1020"/>
      <c r="AC770" s="1020"/>
      <c r="AD770" s="1020">
        <v>1</v>
      </c>
    </row>
    <row r="771" spans="4:30" ht="12.75" customHeight="1">
      <c r="D771" s="1071"/>
      <c r="E771" s="1070"/>
      <c r="F771" s="1070"/>
      <c r="G771" s="1070"/>
      <c r="H771" s="1070"/>
      <c r="I771" s="1020"/>
      <c r="J771" s="1020"/>
      <c r="K771" s="1020"/>
      <c r="L771" s="1066"/>
      <c r="M771" s="1020"/>
      <c r="N771" s="1020"/>
      <c r="O771" s="1020"/>
      <c r="P771" s="1020"/>
      <c r="Q771" s="1020"/>
      <c r="R771" s="1020"/>
      <c r="S771" s="1020"/>
      <c r="T771" s="1036"/>
      <c r="U771" s="1036"/>
      <c r="V771" s="1020"/>
      <c r="W771" s="1020"/>
      <c r="X771" s="1020"/>
      <c r="Y771" s="1020"/>
      <c r="Z771" s="1020"/>
      <c r="AA771" s="1020"/>
      <c r="AB771" s="1020"/>
      <c r="AC771" s="1020"/>
      <c r="AD771" s="1020"/>
    </row>
    <row r="772" spans="4:30" ht="12.75" customHeight="1">
      <c r="D772" s="1071"/>
      <c r="E772" s="1070"/>
      <c r="F772" s="1070"/>
      <c r="G772" s="1070"/>
      <c r="H772" s="1070"/>
      <c r="I772" s="1020"/>
      <c r="J772" s="1020"/>
      <c r="K772" s="1020"/>
      <c r="L772" s="1066"/>
      <c r="M772" s="1020"/>
      <c r="N772" s="1020"/>
      <c r="O772" s="1020"/>
      <c r="P772" s="1020"/>
      <c r="Q772" s="1020"/>
      <c r="R772" s="1020"/>
      <c r="S772" s="1020"/>
      <c r="T772" s="1036"/>
      <c r="U772" s="1036"/>
      <c r="V772" s="1020"/>
      <c r="W772" s="1020"/>
      <c r="X772" s="1020"/>
      <c r="Y772" s="1020"/>
      <c r="Z772" s="1020"/>
      <c r="AA772" s="1020"/>
      <c r="AB772" s="1020"/>
      <c r="AC772" s="1020"/>
      <c r="AD772" s="1020"/>
    </row>
    <row r="773" spans="4:30" ht="12.75" customHeight="1">
      <c r="D773" s="1071"/>
      <c r="E773" s="1070"/>
      <c r="F773" s="1070"/>
      <c r="G773" s="1070"/>
      <c r="H773" s="1070"/>
      <c r="I773" s="1020"/>
      <c r="J773" s="1020"/>
      <c r="K773" s="1020"/>
      <c r="L773" s="1066"/>
      <c r="M773" s="1020"/>
      <c r="N773" s="1020"/>
      <c r="O773" s="1020"/>
      <c r="P773" s="1020"/>
      <c r="Q773" s="1020"/>
      <c r="R773" s="1020"/>
      <c r="S773" s="1020"/>
      <c r="T773" s="1036"/>
      <c r="U773" s="1036"/>
      <c r="V773" s="1020"/>
      <c r="W773" s="1020"/>
      <c r="X773" s="1020"/>
      <c r="Y773" s="1020"/>
      <c r="Z773" s="1020"/>
      <c r="AA773" s="1020"/>
      <c r="AB773" s="1020"/>
      <c r="AC773" s="1020"/>
      <c r="AD773" s="1020"/>
    </row>
    <row r="774" spans="4:30" ht="12.75" customHeight="1">
      <c r="D774" s="1071"/>
      <c r="E774" s="1070"/>
      <c r="F774" s="1070"/>
      <c r="G774" s="1070"/>
      <c r="H774" s="1070"/>
      <c r="I774" s="1020"/>
      <c r="J774" s="1020"/>
      <c r="K774" s="1020"/>
      <c r="L774" s="1066"/>
      <c r="M774" s="1020"/>
      <c r="N774" s="1020"/>
      <c r="O774" s="1020"/>
      <c r="P774" s="1020"/>
      <c r="Q774" s="1020"/>
      <c r="R774" s="1020"/>
      <c r="S774" s="1020"/>
      <c r="T774" s="1036"/>
      <c r="U774" s="1036"/>
      <c r="V774" s="1020"/>
      <c r="W774" s="1020"/>
      <c r="X774" s="1020"/>
      <c r="Y774" s="1020"/>
      <c r="Z774" s="1020"/>
      <c r="AA774" s="1020"/>
      <c r="AB774" s="1020"/>
      <c r="AC774" s="1020"/>
      <c r="AD774" s="1020"/>
    </row>
    <row r="775" spans="4:30" ht="12.75" customHeight="1">
      <c r="D775" s="1071"/>
      <c r="E775" s="1070"/>
      <c r="F775" s="1070"/>
      <c r="G775" s="1070"/>
      <c r="H775" s="1070"/>
      <c r="I775" s="1020"/>
      <c r="J775" s="1020"/>
      <c r="K775" s="1020"/>
      <c r="L775" s="1066"/>
      <c r="M775" s="1020"/>
      <c r="N775" s="1020"/>
      <c r="O775" s="1020"/>
      <c r="P775" s="1020"/>
      <c r="Q775" s="1020"/>
      <c r="R775" s="1020"/>
      <c r="S775" s="1020"/>
      <c r="T775" s="1036"/>
      <c r="U775" s="1036"/>
      <c r="V775" s="1020"/>
      <c r="W775" s="1020"/>
      <c r="X775" s="1020"/>
      <c r="Y775" s="1020"/>
      <c r="Z775" s="1020"/>
      <c r="AA775" s="1020"/>
      <c r="AB775" s="1020"/>
      <c r="AC775" s="1020"/>
      <c r="AD775" s="1020"/>
    </row>
    <row r="776" spans="4:30" ht="12.75" customHeight="1">
      <c r="D776" s="1071"/>
      <c r="E776" s="1070"/>
      <c r="F776" s="1070"/>
      <c r="G776" s="1070"/>
      <c r="H776" s="1070"/>
      <c r="I776" s="1020"/>
      <c r="J776" s="1020"/>
      <c r="K776" s="1020"/>
      <c r="L776" s="1066"/>
      <c r="M776" s="1020"/>
      <c r="N776" s="1020"/>
      <c r="O776" s="1020"/>
      <c r="P776" s="1020"/>
      <c r="Q776" s="1020"/>
      <c r="R776" s="1020"/>
      <c r="S776" s="1020"/>
      <c r="T776" s="1036"/>
      <c r="U776" s="1036"/>
      <c r="V776" s="1020"/>
      <c r="W776" s="1020"/>
      <c r="X776" s="1020"/>
      <c r="Y776" s="1020"/>
      <c r="Z776" s="1020"/>
      <c r="AA776" s="1020"/>
      <c r="AB776" s="1020"/>
      <c r="AC776" s="1020"/>
      <c r="AD776" s="1020"/>
    </row>
    <row r="777" spans="4:30" ht="12.75" customHeight="1">
      <c r="D777" s="1071"/>
      <c r="E777" s="1070"/>
      <c r="F777" s="1070"/>
      <c r="G777" s="1070"/>
      <c r="H777" s="1070"/>
      <c r="I777" s="1020"/>
      <c r="J777" s="1020"/>
      <c r="K777" s="1020"/>
      <c r="L777" s="1066"/>
      <c r="M777" s="1020"/>
      <c r="N777" s="1020"/>
      <c r="O777" s="1020"/>
      <c r="P777" s="1020"/>
      <c r="Q777" s="1020"/>
      <c r="R777" s="1020"/>
      <c r="S777" s="1020"/>
      <c r="T777" s="1036"/>
      <c r="U777" s="1036"/>
      <c r="V777" s="1020"/>
      <c r="W777" s="1020"/>
      <c r="X777" s="1020"/>
      <c r="Y777" s="1020"/>
      <c r="Z777" s="1020"/>
      <c r="AA777" s="1020"/>
      <c r="AB777" s="1020"/>
      <c r="AC777" s="1020"/>
      <c r="AD777" s="1020"/>
    </row>
    <row r="778" spans="4:30" ht="12.75" customHeight="1">
      <c r="D778" s="1071"/>
      <c r="E778" s="1070"/>
      <c r="F778" s="1070"/>
      <c r="G778" s="1070"/>
      <c r="H778" s="1070"/>
      <c r="I778" s="1020"/>
      <c r="J778" s="1020"/>
      <c r="K778" s="1020"/>
      <c r="L778" s="1066"/>
      <c r="M778" s="1020"/>
      <c r="N778" s="1020"/>
      <c r="O778" s="1020"/>
      <c r="P778" s="1020"/>
      <c r="Q778" s="1020"/>
      <c r="R778" s="1020"/>
      <c r="S778" s="1020"/>
      <c r="T778" s="1036"/>
      <c r="U778" s="1036"/>
      <c r="V778" s="1020"/>
      <c r="W778" s="1020"/>
      <c r="X778" s="1020"/>
      <c r="Y778" s="1020"/>
      <c r="Z778" s="1020"/>
      <c r="AA778" s="1020"/>
      <c r="AB778" s="1020"/>
      <c r="AC778" s="1020"/>
      <c r="AD778" s="1020"/>
    </row>
    <row r="779" spans="4:30" ht="12.75" customHeight="1">
      <c r="D779" s="1071"/>
      <c r="E779" s="1070"/>
      <c r="F779" s="1070"/>
      <c r="G779" s="1070"/>
      <c r="H779" s="1070"/>
      <c r="I779" s="1020"/>
      <c r="J779" s="1020"/>
      <c r="K779" s="1020"/>
      <c r="L779" s="1066"/>
      <c r="M779" s="1020"/>
      <c r="N779" s="1020"/>
      <c r="O779" s="1020"/>
      <c r="P779" s="1020"/>
      <c r="Q779" s="1020"/>
      <c r="R779" s="1020"/>
      <c r="S779" s="1020"/>
      <c r="T779" s="1036"/>
      <c r="U779" s="1036"/>
      <c r="V779" s="1020"/>
      <c r="W779" s="1020"/>
      <c r="X779" s="1020"/>
      <c r="Y779" s="1020"/>
      <c r="Z779" s="1020"/>
      <c r="AA779" s="1020"/>
      <c r="AB779" s="1020"/>
      <c r="AC779" s="1020"/>
      <c r="AD779" s="1020"/>
    </row>
    <row r="780" spans="4:30" ht="12.75" customHeight="1">
      <c r="D780" s="1071"/>
      <c r="E780" s="1070"/>
      <c r="F780" s="1070"/>
      <c r="G780" s="1070"/>
      <c r="H780" s="1070"/>
      <c r="I780" s="1020"/>
      <c r="J780" s="1020"/>
      <c r="K780" s="1020"/>
      <c r="L780" s="1066"/>
      <c r="M780" s="1020"/>
      <c r="N780" s="1020"/>
      <c r="O780" s="1020"/>
      <c r="P780" s="1020"/>
      <c r="Q780" s="1020"/>
      <c r="R780" s="1020"/>
      <c r="S780" s="1020"/>
      <c r="T780" s="1036"/>
      <c r="U780" s="1036"/>
      <c r="V780" s="1020"/>
      <c r="W780" s="1020"/>
      <c r="X780" s="1020"/>
      <c r="Y780" s="1020"/>
      <c r="Z780" s="1020"/>
      <c r="AA780" s="1020"/>
      <c r="AB780" s="1020"/>
      <c r="AC780" s="1020"/>
      <c r="AD780" s="1020"/>
    </row>
    <row r="781" spans="4:30" ht="12.75" customHeight="1">
      <c r="D781" s="1071"/>
      <c r="E781" s="1070"/>
      <c r="F781" s="1070"/>
      <c r="G781" s="1070"/>
      <c r="H781" s="1070"/>
      <c r="I781" s="1020"/>
      <c r="J781" s="1020"/>
      <c r="K781" s="1020"/>
      <c r="L781" s="1066"/>
      <c r="M781" s="1020"/>
      <c r="N781" s="1020"/>
      <c r="O781" s="1020"/>
      <c r="P781" s="1020"/>
      <c r="Q781" s="1020"/>
      <c r="R781" s="1020"/>
      <c r="S781" s="1020"/>
      <c r="T781" s="1036"/>
      <c r="U781" s="1036"/>
      <c r="V781" s="1020"/>
      <c r="W781" s="1020"/>
      <c r="X781" s="1020"/>
      <c r="Y781" s="1020"/>
      <c r="Z781" s="1020"/>
      <c r="AA781" s="1020"/>
      <c r="AB781" s="1020"/>
      <c r="AC781" s="1020"/>
      <c r="AD781" s="1020"/>
    </row>
    <row r="782" spans="4:30" ht="12.75" customHeight="1">
      <c r="D782" s="1071"/>
      <c r="E782" s="1070"/>
      <c r="F782" s="1070"/>
      <c r="G782" s="1070"/>
      <c r="H782" s="1070"/>
      <c r="I782" s="1020"/>
      <c r="J782" s="1020"/>
      <c r="K782" s="1020"/>
      <c r="L782" s="1066"/>
      <c r="M782" s="1020"/>
      <c r="N782" s="1020"/>
      <c r="O782" s="1020"/>
      <c r="P782" s="1020"/>
      <c r="Q782" s="1020"/>
      <c r="R782" s="1020"/>
      <c r="S782" s="1020"/>
      <c r="T782" s="1036"/>
      <c r="U782" s="1036"/>
      <c r="V782" s="1020"/>
      <c r="W782" s="1020"/>
      <c r="X782" s="1020"/>
      <c r="Y782" s="1020"/>
      <c r="Z782" s="1020"/>
      <c r="AA782" s="1020"/>
      <c r="AB782" s="1020"/>
      <c r="AC782" s="1020"/>
      <c r="AD782" s="1020"/>
    </row>
    <row r="783" spans="4:30" ht="12.75" customHeight="1">
      <c r="D783" s="1071"/>
      <c r="E783" s="1070"/>
      <c r="F783" s="1070"/>
      <c r="G783" s="1070"/>
      <c r="H783" s="1070"/>
      <c r="I783" s="1020"/>
      <c r="J783" s="1020"/>
      <c r="K783" s="1020"/>
      <c r="L783" s="1066"/>
      <c r="M783" s="1020"/>
      <c r="N783" s="1020"/>
      <c r="O783" s="1020"/>
      <c r="P783" s="1020"/>
      <c r="Q783" s="1020"/>
      <c r="R783" s="1020"/>
      <c r="S783" s="1020"/>
      <c r="T783" s="1036"/>
      <c r="U783" s="1036"/>
      <c r="V783" s="1020"/>
      <c r="W783" s="1020"/>
      <c r="X783" s="1020"/>
      <c r="Y783" s="1020"/>
      <c r="Z783" s="1020"/>
      <c r="AA783" s="1020"/>
      <c r="AB783" s="1020"/>
      <c r="AC783" s="1020"/>
      <c r="AD783" s="1020"/>
    </row>
    <row r="784" spans="4:30" ht="12.75" customHeight="1">
      <c r="D784" s="1071"/>
      <c r="E784" s="1070"/>
      <c r="F784" s="1070"/>
      <c r="G784" s="1070"/>
      <c r="H784" s="1070"/>
      <c r="I784" s="1020"/>
      <c r="J784" s="1020"/>
      <c r="K784" s="1020"/>
      <c r="L784" s="1066"/>
      <c r="M784" s="1020"/>
      <c r="N784" s="1020"/>
      <c r="O784" s="1020"/>
      <c r="P784" s="1020"/>
      <c r="Q784" s="1020"/>
      <c r="R784" s="1020"/>
      <c r="S784" s="1020"/>
      <c r="T784" s="1036"/>
      <c r="U784" s="1036"/>
      <c r="V784" s="1020"/>
      <c r="W784" s="1020"/>
      <c r="X784" s="1020"/>
      <c r="Y784" s="1020"/>
      <c r="Z784" s="1020"/>
      <c r="AA784" s="1020"/>
      <c r="AB784" s="1020"/>
      <c r="AC784" s="1020"/>
      <c r="AD784" s="1020"/>
    </row>
    <row r="785" spans="4:31" ht="12.75" customHeight="1">
      <c r="D785" s="1071"/>
      <c r="E785" s="1070"/>
      <c r="F785" s="1070"/>
      <c r="G785" s="1070"/>
      <c r="H785" s="1070"/>
      <c r="I785" s="1020"/>
      <c r="J785" s="1020"/>
      <c r="K785" s="1020"/>
      <c r="L785" s="1066"/>
      <c r="M785" s="1020"/>
      <c r="N785" s="1020"/>
      <c r="O785" s="1020"/>
      <c r="P785" s="1020"/>
      <c r="Q785" s="1020"/>
      <c r="R785" s="1020"/>
      <c r="S785" s="1020"/>
      <c r="T785" s="1036"/>
      <c r="U785" s="1036"/>
      <c r="V785" s="1020"/>
      <c r="W785" s="1020"/>
      <c r="X785" s="1020"/>
      <c r="Y785" s="1020"/>
      <c r="Z785" s="1020"/>
      <c r="AA785" s="1020"/>
      <c r="AB785" s="1020"/>
      <c r="AC785" s="1020"/>
      <c r="AD785" s="1020"/>
      <c r="AE785" s="1020"/>
    </row>
    <row r="786" spans="4:31" ht="12.75" customHeight="1">
      <c r="D786" s="1071"/>
      <c r="E786" s="1070"/>
      <c r="F786" s="1070"/>
      <c r="G786" s="1070"/>
      <c r="H786" s="1070"/>
      <c r="I786" s="1020"/>
      <c r="J786" s="1020"/>
      <c r="K786" s="1020"/>
      <c r="L786" s="1066"/>
      <c r="M786" s="1020"/>
      <c r="N786" s="1020"/>
      <c r="O786" s="1020"/>
      <c r="P786" s="1020"/>
      <c r="Q786" s="1020"/>
      <c r="R786" s="1020"/>
      <c r="S786" s="1020"/>
      <c r="T786" s="1036"/>
      <c r="U786" s="1036"/>
      <c r="V786" s="1020"/>
      <c r="W786" s="1020"/>
      <c r="X786" s="1020"/>
      <c r="Y786" s="1020"/>
      <c r="Z786" s="1020"/>
      <c r="AA786" s="1020"/>
      <c r="AB786" s="1020"/>
      <c r="AC786" s="1020"/>
      <c r="AD786" s="1020"/>
      <c r="AE786" s="1020"/>
    </row>
    <row r="787" spans="4:31" ht="12.75" customHeight="1">
      <c r="D787" s="1071"/>
      <c r="E787" s="1070"/>
      <c r="F787" s="1070"/>
      <c r="G787" s="1070"/>
      <c r="H787" s="1070"/>
      <c r="I787" s="1020"/>
      <c r="J787" s="1020"/>
      <c r="K787" s="1020"/>
      <c r="L787" s="1066"/>
      <c r="M787" s="1020"/>
      <c r="N787" s="1020"/>
      <c r="O787" s="1020"/>
      <c r="P787" s="1020"/>
      <c r="Q787" s="1020"/>
      <c r="R787" s="1020"/>
      <c r="S787" s="1020"/>
      <c r="T787" s="1036"/>
      <c r="U787" s="1036"/>
      <c r="V787" s="1020"/>
      <c r="W787" s="1020"/>
      <c r="X787" s="1020"/>
      <c r="Y787" s="1020"/>
      <c r="Z787" s="1020"/>
      <c r="AA787" s="1020"/>
      <c r="AB787" s="1020"/>
      <c r="AC787" s="1020"/>
      <c r="AD787" s="1020"/>
      <c r="AE787" s="1020"/>
    </row>
    <row r="788" spans="4:31" ht="12.75" customHeight="1">
      <c r="D788" s="1071"/>
      <c r="E788" s="1070"/>
      <c r="F788" s="1070"/>
      <c r="G788" s="1070"/>
      <c r="H788" s="1070"/>
      <c r="I788" s="1020"/>
      <c r="J788" s="1020"/>
      <c r="K788" s="1020"/>
      <c r="L788" s="1066"/>
      <c r="M788" s="1020"/>
      <c r="N788" s="1020"/>
      <c r="O788" s="1020"/>
      <c r="P788" s="1020"/>
      <c r="Q788" s="1020"/>
      <c r="R788" s="1020"/>
      <c r="S788" s="1020"/>
      <c r="T788" s="1036"/>
      <c r="U788" s="1036"/>
      <c r="V788" s="1020"/>
      <c r="W788" s="1020"/>
      <c r="X788" s="1020"/>
      <c r="Y788" s="1020"/>
      <c r="Z788" s="1020"/>
      <c r="AA788" s="1020"/>
      <c r="AB788" s="1020"/>
      <c r="AC788" s="1020"/>
      <c r="AD788" s="1020"/>
      <c r="AE788" s="1020"/>
    </row>
    <row r="789" spans="4:31" ht="12.75" customHeight="1">
      <c r="D789" s="1071"/>
      <c r="E789" s="1070"/>
      <c r="F789" s="1070"/>
      <c r="G789" s="1070"/>
      <c r="H789" s="1070"/>
      <c r="I789" s="1020"/>
      <c r="J789" s="1020"/>
      <c r="K789" s="1020"/>
      <c r="L789" s="1066"/>
      <c r="M789" s="1020"/>
      <c r="N789" s="1020"/>
      <c r="O789" s="1020"/>
      <c r="P789" s="1020"/>
      <c r="Q789" s="1020"/>
      <c r="R789" s="1020"/>
      <c r="S789" s="1020"/>
      <c r="T789" s="1036"/>
      <c r="U789" s="1036"/>
      <c r="V789" s="1020"/>
      <c r="W789" s="1020"/>
      <c r="X789" s="1020"/>
      <c r="Y789" s="1020"/>
      <c r="Z789" s="1020"/>
      <c r="AA789" s="1020"/>
      <c r="AB789" s="1020"/>
      <c r="AC789" s="1020"/>
      <c r="AD789" s="1020"/>
      <c r="AE789" s="1020"/>
    </row>
    <row r="790" spans="4:31" ht="12.75" customHeight="1">
      <c r="D790" s="1071"/>
      <c r="E790" s="1070"/>
      <c r="F790" s="1070"/>
      <c r="G790" s="1070"/>
      <c r="H790" s="1070"/>
      <c r="I790" s="1020"/>
      <c r="J790" s="1020"/>
      <c r="K790" s="1020"/>
      <c r="L790" s="1066"/>
      <c r="M790" s="1020"/>
      <c r="N790" s="1020"/>
      <c r="O790" s="1020"/>
      <c r="P790" s="1020"/>
      <c r="Q790" s="1020"/>
      <c r="R790" s="1020"/>
      <c r="S790" s="1020"/>
      <c r="T790" s="1036"/>
      <c r="U790" s="1036"/>
      <c r="V790" s="1020"/>
      <c r="W790" s="1020"/>
      <c r="X790" s="1020"/>
      <c r="Y790" s="1020"/>
      <c r="Z790" s="1020"/>
      <c r="AA790" s="1020"/>
      <c r="AB790" s="1020"/>
      <c r="AC790" s="1020"/>
      <c r="AD790" s="1020"/>
      <c r="AE790" s="1020"/>
    </row>
    <row r="791" spans="4:31" ht="12.75" customHeight="1">
      <c r="D791" s="1071"/>
      <c r="E791" s="1070"/>
      <c r="F791" s="1070"/>
      <c r="G791" s="1070"/>
      <c r="H791" s="1070"/>
      <c r="I791" s="1020"/>
      <c r="J791" s="1020"/>
      <c r="K791" s="1020"/>
      <c r="L791" s="1066"/>
      <c r="M791" s="1020"/>
      <c r="N791" s="1020"/>
      <c r="O791" s="1020"/>
      <c r="P791" s="1020"/>
      <c r="Q791" s="1020"/>
      <c r="R791" s="1020"/>
      <c r="S791" s="1020"/>
      <c r="T791" s="1036"/>
      <c r="U791" s="1036"/>
      <c r="V791" s="1020"/>
      <c r="W791" s="1020"/>
      <c r="X791" s="1020"/>
      <c r="Y791" s="1020"/>
      <c r="Z791" s="1020"/>
      <c r="AA791" s="1020"/>
      <c r="AB791" s="1020"/>
      <c r="AC791" s="1020"/>
      <c r="AD791" s="1020"/>
      <c r="AE791" s="1020"/>
    </row>
    <row r="792" spans="4:31" ht="12.75" customHeight="1">
      <c r="D792" s="1071"/>
      <c r="E792" s="1070"/>
      <c r="F792" s="1070"/>
      <c r="G792" s="1070"/>
      <c r="H792" s="1070"/>
      <c r="I792" s="1020"/>
      <c r="J792" s="1020"/>
      <c r="K792" s="1020"/>
      <c r="L792" s="1066"/>
      <c r="M792" s="1020"/>
      <c r="N792" s="1020"/>
      <c r="O792" s="1020"/>
      <c r="P792" s="1020"/>
      <c r="Q792" s="1020"/>
      <c r="R792" s="1020"/>
      <c r="S792" s="1020"/>
      <c r="T792" s="1036"/>
      <c r="U792" s="1036"/>
      <c r="V792" s="1020"/>
      <c r="W792" s="1020"/>
      <c r="X792" s="1020"/>
      <c r="Y792" s="1020"/>
      <c r="Z792" s="1020"/>
      <c r="AA792" s="1020"/>
      <c r="AB792" s="1020"/>
      <c r="AC792" s="1020"/>
      <c r="AD792" s="1020"/>
      <c r="AE792" s="1020"/>
    </row>
    <row r="793" spans="4:31" ht="12" customHeight="1">
      <c r="D793" s="1071"/>
      <c r="E793" s="1020"/>
      <c r="F793" s="1070"/>
      <c r="G793" s="1070"/>
      <c r="H793" s="1070"/>
      <c r="I793" s="1020"/>
      <c r="J793" s="1020"/>
      <c r="K793" s="1020"/>
      <c r="L793" s="1066"/>
      <c r="M793" s="1020"/>
      <c r="N793" s="1020"/>
      <c r="O793" s="1020"/>
      <c r="P793" s="1020"/>
      <c r="Q793" s="1020"/>
      <c r="R793" s="1020"/>
      <c r="S793" s="1020"/>
      <c r="T793" s="1036"/>
      <c r="U793" s="1036"/>
      <c r="V793" s="1020"/>
      <c r="W793" s="1020"/>
      <c r="X793" s="1020"/>
      <c r="Y793" s="1020"/>
      <c r="Z793" s="1020"/>
      <c r="AA793" s="1020"/>
      <c r="AB793" s="1020"/>
      <c r="AC793" s="1020"/>
      <c r="AD793" s="1020"/>
      <c r="AE793" s="1020"/>
    </row>
    <row r="794" spans="4:31" ht="12.75" customHeight="1">
      <c r="D794" s="1071"/>
      <c r="E794" s="1020"/>
      <c r="F794" s="1070"/>
      <c r="G794" s="1070"/>
      <c r="H794" s="1070"/>
      <c r="I794" s="1020"/>
      <c r="J794" s="1020"/>
      <c r="K794" s="1020"/>
      <c r="L794" s="1066"/>
      <c r="M794" s="1020"/>
      <c r="N794" s="1020"/>
      <c r="O794" s="1020"/>
      <c r="P794" s="1020"/>
      <c r="Q794" s="1020"/>
      <c r="R794" s="1020"/>
      <c r="S794" s="1020"/>
      <c r="T794" s="1036"/>
      <c r="U794" s="1036"/>
      <c r="V794" s="1020"/>
      <c r="W794" s="1020"/>
      <c r="X794" s="1020"/>
      <c r="Y794" s="1020"/>
      <c r="Z794" s="1020"/>
      <c r="AA794" s="1020"/>
      <c r="AB794" s="1020"/>
      <c r="AC794" s="1020"/>
      <c r="AD794" s="1020"/>
      <c r="AE794" s="1020"/>
    </row>
    <row r="795" spans="4:31" ht="12.75" customHeight="1">
      <c r="D795" s="1020"/>
      <c r="E795" s="1020"/>
      <c r="F795" s="1020"/>
      <c r="G795" s="1020"/>
      <c r="H795" s="1020"/>
      <c r="I795" s="1020"/>
      <c r="J795" s="1020"/>
      <c r="K795" s="1020"/>
      <c r="L795" s="1066"/>
      <c r="M795" s="1020"/>
      <c r="N795" s="1020"/>
      <c r="O795" s="1020"/>
      <c r="P795" s="1020"/>
      <c r="Q795" s="1020"/>
      <c r="R795" s="1020"/>
      <c r="S795" s="1020"/>
      <c r="T795" s="1036"/>
      <c r="U795" s="1036"/>
      <c r="V795" s="1020"/>
      <c r="W795" s="1020"/>
      <c r="X795" s="1020"/>
      <c r="Y795" s="1020"/>
      <c r="Z795" s="1020"/>
      <c r="AA795" s="1020"/>
      <c r="AB795" s="1020"/>
      <c r="AC795" s="1020"/>
      <c r="AD795" s="1020"/>
      <c r="AE795" s="1020"/>
    </row>
    <row r="796" spans="4:31" ht="12.75" customHeight="1">
      <c r="D796" s="1020"/>
      <c r="E796" s="1020"/>
      <c r="F796" s="1020"/>
      <c r="G796" s="1020"/>
      <c r="H796" s="1020"/>
      <c r="I796" s="1020"/>
      <c r="J796" s="1020"/>
      <c r="K796" s="1020"/>
      <c r="L796" s="1066"/>
      <c r="M796" s="1020"/>
      <c r="N796" s="1020"/>
      <c r="O796" s="1020"/>
      <c r="P796" s="1020"/>
      <c r="Q796" s="1020"/>
      <c r="R796" s="1020"/>
      <c r="S796" s="1020"/>
      <c r="T796" s="1036"/>
      <c r="U796" s="1036"/>
      <c r="V796" s="1020"/>
      <c r="W796" s="1020"/>
      <c r="X796" s="1020"/>
      <c r="Y796" s="1020"/>
      <c r="Z796" s="1020"/>
      <c r="AA796" s="1020"/>
      <c r="AB796" s="1020"/>
      <c r="AC796" s="1020"/>
      <c r="AD796" s="1020"/>
      <c r="AE796" s="1020"/>
    </row>
    <row r="797" spans="4:31" ht="12.75" customHeight="1">
      <c r="D797" s="1020"/>
      <c r="E797" s="1020"/>
      <c r="F797" s="1020"/>
      <c r="G797" s="1020"/>
      <c r="H797" s="1020"/>
      <c r="I797" s="1020"/>
      <c r="J797" s="1020"/>
      <c r="K797" s="1020"/>
      <c r="L797" s="1066"/>
      <c r="M797" s="1020"/>
      <c r="N797" s="1020"/>
      <c r="O797" s="1020"/>
      <c r="P797" s="1020"/>
      <c r="Q797" s="1020"/>
      <c r="R797" s="1020"/>
      <c r="S797" s="1020"/>
      <c r="T797" s="1036"/>
      <c r="U797" s="1036"/>
      <c r="V797" s="1020"/>
      <c r="W797" s="1020"/>
      <c r="X797" s="1020"/>
      <c r="Y797" s="1020"/>
      <c r="Z797" s="1020"/>
      <c r="AA797" s="1020"/>
      <c r="AB797" s="1020"/>
      <c r="AC797" s="1020"/>
      <c r="AD797" s="1020"/>
      <c r="AE797" s="1020"/>
    </row>
    <row r="798" spans="4:31" ht="12.75" customHeight="1">
      <c r="D798" s="1020"/>
      <c r="E798" s="1020"/>
      <c r="F798" s="1020"/>
      <c r="G798" s="1020"/>
      <c r="H798" s="1020"/>
      <c r="I798" s="1020"/>
      <c r="J798" s="1020"/>
      <c r="K798" s="1020"/>
      <c r="L798" s="1066"/>
      <c r="M798" s="1020"/>
      <c r="N798" s="1020"/>
      <c r="O798" s="1020"/>
      <c r="P798" s="1020"/>
      <c r="Q798" s="1020"/>
      <c r="R798" s="1020"/>
      <c r="S798" s="1020"/>
      <c r="T798" s="1036"/>
      <c r="U798" s="1036"/>
      <c r="V798" s="1020"/>
      <c r="W798" s="1020"/>
      <c r="X798" s="1020"/>
      <c r="Y798" s="1020"/>
      <c r="Z798" s="1020"/>
      <c r="AA798" s="1020"/>
      <c r="AB798" s="1020"/>
      <c r="AC798" s="1020"/>
      <c r="AD798" s="1020"/>
      <c r="AE798" s="1089"/>
    </row>
    <row r="799" spans="4:31" ht="12.75" customHeight="1">
      <c r="D799" s="1020"/>
      <c r="E799" s="1020"/>
      <c r="F799" s="1020"/>
      <c r="G799" s="1020"/>
      <c r="H799" s="1020"/>
      <c r="I799" s="1020"/>
      <c r="J799" s="1020"/>
      <c r="K799" s="1020"/>
      <c r="L799" s="1066"/>
      <c r="M799" s="1020"/>
      <c r="N799" s="1020"/>
      <c r="O799" s="1020"/>
      <c r="P799" s="1020"/>
      <c r="Q799" s="1020"/>
      <c r="R799" s="1020"/>
      <c r="S799" s="1020"/>
      <c r="T799" s="1036"/>
      <c r="U799" s="1036"/>
      <c r="V799" s="1020"/>
      <c r="W799" s="1020"/>
      <c r="X799" s="1020"/>
      <c r="Y799" s="1020"/>
      <c r="Z799" s="1020"/>
      <c r="AA799" s="1020"/>
      <c r="AB799" s="1020"/>
      <c r="AC799" s="1020"/>
      <c r="AD799" s="1020"/>
      <c r="AE799" s="1020"/>
    </row>
    <row r="800" spans="4:31" ht="12.75" customHeight="1">
      <c r="D800" s="1020"/>
      <c r="E800" s="1020"/>
      <c r="F800" s="1020"/>
      <c r="G800" s="1020"/>
      <c r="H800" s="1020"/>
      <c r="I800" s="1020"/>
      <c r="J800" s="1020"/>
      <c r="K800" s="1020"/>
      <c r="L800" s="1066"/>
      <c r="M800" s="1020"/>
      <c r="N800" s="1020"/>
      <c r="O800" s="1020"/>
      <c r="P800" s="1020"/>
      <c r="Q800" s="1020"/>
      <c r="R800" s="1020"/>
      <c r="S800" s="1020"/>
      <c r="T800" s="1036"/>
      <c r="U800" s="1036"/>
      <c r="V800" s="1020"/>
      <c r="W800" s="1020"/>
      <c r="X800" s="1020"/>
      <c r="Y800" s="1020"/>
      <c r="Z800" s="1020"/>
      <c r="AA800" s="1020"/>
      <c r="AB800" s="1020"/>
      <c r="AC800" s="1020"/>
      <c r="AD800" s="1020"/>
      <c r="AE800" s="1020"/>
    </row>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329">
    <mergeCell ref="T69:U69"/>
    <mergeCell ref="T70:U70"/>
    <mergeCell ref="N64:O64"/>
    <mergeCell ref="P64:Q64"/>
    <mergeCell ref="T71:U71"/>
    <mergeCell ref="T72:U72"/>
    <mergeCell ref="K71:L71"/>
    <mergeCell ref="N71:O71"/>
    <mergeCell ref="N72:O72"/>
    <mergeCell ref="K72:L72"/>
    <mergeCell ref="K69:L69"/>
    <mergeCell ref="N69:O69"/>
    <mergeCell ref="P69:Q69"/>
    <mergeCell ref="K70:L70"/>
    <mergeCell ref="N70:O70"/>
    <mergeCell ref="P70:Q70"/>
    <mergeCell ref="N66:O66"/>
    <mergeCell ref="P66:Q66"/>
    <mergeCell ref="K67:L67"/>
    <mergeCell ref="N67:O67"/>
    <mergeCell ref="P67:Q67"/>
    <mergeCell ref="K68:L68"/>
    <mergeCell ref="N68:O68"/>
    <mergeCell ref="P68:Q68"/>
    <mergeCell ref="T67:U67"/>
    <mergeCell ref="T68:U68"/>
    <mergeCell ref="G2:I2"/>
    <mergeCell ref="B4:I4"/>
    <mergeCell ref="K4:Q4"/>
    <mergeCell ref="E6:I6"/>
    <mergeCell ref="K6:L6"/>
    <mergeCell ref="N6:Q6"/>
    <mergeCell ref="F26:I26"/>
    <mergeCell ref="E9:I9"/>
    <mergeCell ref="K9:L9"/>
    <mergeCell ref="N9:Q9"/>
    <mergeCell ref="E10:I10"/>
    <mergeCell ref="K10:L10"/>
    <mergeCell ref="N10:Q10"/>
    <mergeCell ref="K7:L7"/>
    <mergeCell ref="N7:Q7"/>
    <mergeCell ref="E8:I8"/>
    <mergeCell ref="K8:L8"/>
    <mergeCell ref="N8:Q8"/>
    <mergeCell ref="E11:F11"/>
    <mergeCell ref="H11:I11"/>
    <mergeCell ref="K11:L11"/>
    <mergeCell ref="N11:O11"/>
    <mergeCell ref="P11:Q11"/>
    <mergeCell ref="E12:F12"/>
    <mergeCell ref="H12:I12"/>
    <mergeCell ref="K12:L12"/>
    <mergeCell ref="N12:O12"/>
    <mergeCell ref="P12:Q12"/>
    <mergeCell ref="F16:I16"/>
    <mergeCell ref="F17:I17"/>
    <mergeCell ref="K17:L17"/>
    <mergeCell ref="N17:O17"/>
    <mergeCell ref="P17:Q17"/>
    <mergeCell ref="E13:F13"/>
    <mergeCell ref="H13:I13"/>
    <mergeCell ref="K13:L13"/>
    <mergeCell ref="N13:O13"/>
    <mergeCell ref="P13:Q13"/>
    <mergeCell ref="F15:I15"/>
    <mergeCell ref="K15:L16"/>
    <mergeCell ref="M15:M16"/>
    <mergeCell ref="N15:O16"/>
    <mergeCell ref="P15:Q16"/>
    <mergeCell ref="F20:I20"/>
    <mergeCell ref="K20:L20"/>
    <mergeCell ref="N20:O20"/>
    <mergeCell ref="P20:Q20"/>
    <mergeCell ref="T20:U20"/>
    <mergeCell ref="Y20:Z20"/>
    <mergeCell ref="T18:U18"/>
    <mergeCell ref="Y18:Z18"/>
    <mergeCell ref="F19:I19"/>
    <mergeCell ref="K19:L19"/>
    <mergeCell ref="N19:O19"/>
    <mergeCell ref="P19:Q19"/>
    <mergeCell ref="T19:U19"/>
    <mergeCell ref="Y19:Z19"/>
    <mergeCell ref="K18:L18"/>
    <mergeCell ref="N18:O18"/>
    <mergeCell ref="P18:Q18"/>
    <mergeCell ref="K21:L21"/>
    <mergeCell ref="N21:O21"/>
    <mergeCell ref="P21:Q21"/>
    <mergeCell ref="T21:U21"/>
    <mergeCell ref="F22:I22"/>
    <mergeCell ref="K22:L22"/>
    <mergeCell ref="N22:O22"/>
    <mergeCell ref="P22:Q22"/>
    <mergeCell ref="T22:U22"/>
    <mergeCell ref="K25:L25"/>
    <mergeCell ref="N25:O25"/>
    <mergeCell ref="P25:Q25"/>
    <mergeCell ref="T25:U25"/>
    <mergeCell ref="K23:L23"/>
    <mergeCell ref="N23:O23"/>
    <mergeCell ref="P23:Q23"/>
    <mergeCell ref="T23:U23"/>
    <mergeCell ref="F24:I24"/>
    <mergeCell ref="K24:L24"/>
    <mergeCell ref="N24:O24"/>
    <mergeCell ref="P24:Q24"/>
    <mergeCell ref="T24:U24"/>
    <mergeCell ref="B29:C29"/>
    <mergeCell ref="F29:I29"/>
    <mergeCell ref="K29:L29"/>
    <mergeCell ref="N29:O29"/>
    <mergeCell ref="P29:Q29"/>
    <mergeCell ref="T29:U29"/>
    <mergeCell ref="K26:L26"/>
    <mergeCell ref="N26:O26"/>
    <mergeCell ref="P26:Q26"/>
    <mergeCell ref="T26:U26"/>
    <mergeCell ref="F27:I27"/>
    <mergeCell ref="K27:L27"/>
    <mergeCell ref="N27:O27"/>
    <mergeCell ref="P27:Q27"/>
    <mergeCell ref="T27:U27"/>
    <mergeCell ref="F31:I31"/>
    <mergeCell ref="K31:L31"/>
    <mergeCell ref="N31:O31"/>
    <mergeCell ref="P31:Q31"/>
    <mergeCell ref="T31:U31"/>
    <mergeCell ref="K28:L28"/>
    <mergeCell ref="N28:O28"/>
    <mergeCell ref="P28:Q28"/>
    <mergeCell ref="T28:U28"/>
    <mergeCell ref="K32:L32"/>
    <mergeCell ref="N32:O32"/>
    <mergeCell ref="P32:Q32"/>
    <mergeCell ref="T32:U32"/>
    <mergeCell ref="K33:L33"/>
    <mergeCell ref="N33:O33"/>
    <mergeCell ref="P33:Q33"/>
    <mergeCell ref="T33:U33"/>
    <mergeCell ref="K30:L30"/>
    <mergeCell ref="N30:O30"/>
    <mergeCell ref="P30:Q30"/>
    <mergeCell ref="T30:U30"/>
    <mergeCell ref="K34:L34"/>
    <mergeCell ref="N34:O34"/>
    <mergeCell ref="P34:Q34"/>
    <mergeCell ref="T34:U34"/>
    <mergeCell ref="F35:I35"/>
    <mergeCell ref="K35:L35"/>
    <mergeCell ref="N35:O35"/>
    <mergeCell ref="P35:Q35"/>
    <mergeCell ref="T35:U35"/>
    <mergeCell ref="F36:I36"/>
    <mergeCell ref="K36:L36"/>
    <mergeCell ref="N36:O36"/>
    <mergeCell ref="P36:Q36"/>
    <mergeCell ref="T36:U36"/>
    <mergeCell ref="F37:I37"/>
    <mergeCell ref="K37:L37"/>
    <mergeCell ref="N37:O37"/>
    <mergeCell ref="P37:Q37"/>
    <mergeCell ref="T37:U37"/>
    <mergeCell ref="F38:I38"/>
    <mergeCell ref="K38:L38"/>
    <mergeCell ref="N38:O38"/>
    <mergeCell ref="P38:Q38"/>
    <mergeCell ref="T38:U38"/>
    <mergeCell ref="K39:L39"/>
    <mergeCell ref="N39:O39"/>
    <mergeCell ref="P39:Q39"/>
    <mergeCell ref="T39:U39"/>
    <mergeCell ref="K42:L42"/>
    <mergeCell ref="N42:O42"/>
    <mergeCell ref="P42:Q42"/>
    <mergeCell ref="T42:U42"/>
    <mergeCell ref="K43:L43"/>
    <mergeCell ref="N43:O43"/>
    <mergeCell ref="P43:Q43"/>
    <mergeCell ref="T43:U43"/>
    <mergeCell ref="F39:I39"/>
    <mergeCell ref="F40:G40"/>
    <mergeCell ref="K40:L40"/>
    <mergeCell ref="N40:O40"/>
    <mergeCell ref="P40:Q40"/>
    <mergeCell ref="T40:U40"/>
    <mergeCell ref="K41:L41"/>
    <mergeCell ref="N41:O41"/>
    <mergeCell ref="P41:Q41"/>
    <mergeCell ref="T41:U41"/>
    <mergeCell ref="K44:L44"/>
    <mergeCell ref="N44:O44"/>
    <mergeCell ref="P44:Q44"/>
    <mergeCell ref="T44:U44"/>
    <mergeCell ref="K45:L45"/>
    <mergeCell ref="N45:O45"/>
    <mergeCell ref="P45:Q45"/>
    <mergeCell ref="T45:U45"/>
    <mergeCell ref="K48:L48"/>
    <mergeCell ref="N48:O48"/>
    <mergeCell ref="P48:Q48"/>
    <mergeCell ref="T48:U48"/>
    <mergeCell ref="K46:L46"/>
    <mergeCell ref="N46:O46"/>
    <mergeCell ref="P46:Q46"/>
    <mergeCell ref="T46:U46"/>
    <mergeCell ref="D65:F66"/>
    <mergeCell ref="G65:I66"/>
    <mergeCell ref="B58:C58"/>
    <mergeCell ref="D58:F58"/>
    <mergeCell ref="G58:I58"/>
    <mergeCell ref="K47:L47"/>
    <mergeCell ref="N47:O47"/>
    <mergeCell ref="P47:Q47"/>
    <mergeCell ref="T47:U47"/>
    <mergeCell ref="B59:C60"/>
    <mergeCell ref="D59:F60"/>
    <mergeCell ref="G59:I60"/>
    <mergeCell ref="K49:L49"/>
    <mergeCell ref="N49:O49"/>
    <mergeCell ref="P49:Q49"/>
    <mergeCell ref="T49:U49"/>
    <mergeCell ref="F47:I47"/>
    <mergeCell ref="F49:I49"/>
    <mergeCell ref="F50:I50"/>
    <mergeCell ref="F51:I51"/>
    <mergeCell ref="F52:I52"/>
    <mergeCell ref="F53:I53"/>
    <mergeCell ref="K57:L57"/>
    <mergeCell ref="N57:O57"/>
    <mergeCell ref="P50:Q50"/>
    <mergeCell ref="T50:U50"/>
    <mergeCell ref="T54:U54"/>
    <mergeCell ref="K51:L51"/>
    <mergeCell ref="N51:O51"/>
    <mergeCell ref="P51:Q51"/>
    <mergeCell ref="T51:U51"/>
    <mergeCell ref="T55:U55"/>
    <mergeCell ref="K52:L52"/>
    <mergeCell ref="N52:O52"/>
    <mergeCell ref="P52:Q52"/>
    <mergeCell ref="T52:U52"/>
    <mergeCell ref="K50:L50"/>
    <mergeCell ref="N50:O50"/>
    <mergeCell ref="T64:U64"/>
    <mergeCell ref="T65:U65"/>
    <mergeCell ref="T66:U66"/>
    <mergeCell ref="T63:U63"/>
    <mergeCell ref="K53:L53"/>
    <mergeCell ref="N53:O53"/>
    <mergeCell ref="P53:Q53"/>
    <mergeCell ref="T53:U53"/>
    <mergeCell ref="T58:U58"/>
    <mergeCell ref="K61:L61"/>
    <mergeCell ref="N61:O61"/>
    <mergeCell ref="P61:Q61"/>
    <mergeCell ref="K62:L62"/>
    <mergeCell ref="N62:O62"/>
    <mergeCell ref="P62:Q62"/>
    <mergeCell ref="K63:L63"/>
    <mergeCell ref="N63:O63"/>
    <mergeCell ref="P63:Q63"/>
    <mergeCell ref="K59:L59"/>
    <mergeCell ref="N59:O59"/>
    <mergeCell ref="K64:L64"/>
    <mergeCell ref="K55:L55"/>
    <mergeCell ref="N55:O55"/>
    <mergeCell ref="K56:L56"/>
    <mergeCell ref="N56:O56"/>
    <mergeCell ref="K75:L75"/>
    <mergeCell ref="N75:O75"/>
    <mergeCell ref="K66:L66"/>
    <mergeCell ref="K76:L76"/>
    <mergeCell ref="N76:O76"/>
    <mergeCell ref="P76:Q76"/>
    <mergeCell ref="B69:C70"/>
    <mergeCell ref="D69:F70"/>
    <mergeCell ref="G69:I70"/>
    <mergeCell ref="K60:L60"/>
    <mergeCell ref="N60:O60"/>
    <mergeCell ref="P74:Q74"/>
    <mergeCell ref="P75:Q75"/>
    <mergeCell ref="B65:C66"/>
    <mergeCell ref="B63:C64"/>
    <mergeCell ref="D63:F64"/>
    <mergeCell ref="G63:I64"/>
    <mergeCell ref="B61:C62"/>
    <mergeCell ref="D61:F62"/>
    <mergeCell ref="G61:I62"/>
    <mergeCell ref="B67:C68"/>
    <mergeCell ref="D67:F68"/>
    <mergeCell ref="G67:I68"/>
    <mergeCell ref="L270:M270"/>
    <mergeCell ref="C82:D82"/>
    <mergeCell ref="F82:H82"/>
    <mergeCell ref="L83:M83"/>
    <mergeCell ref="O83:Q83"/>
    <mergeCell ref="K269:M269"/>
    <mergeCell ref="P269:Q269"/>
    <mergeCell ref="K77:L77"/>
    <mergeCell ref="N77:O77"/>
    <mergeCell ref="B81:D81"/>
    <mergeCell ref="F81:I81"/>
    <mergeCell ref="K82:M82"/>
    <mergeCell ref="O82:Q82"/>
    <mergeCell ref="E7:F7"/>
    <mergeCell ref="D72:F72"/>
    <mergeCell ref="K73:L73"/>
    <mergeCell ref="N73:O73"/>
    <mergeCell ref="P73:Q73"/>
    <mergeCell ref="T61:U61"/>
    <mergeCell ref="K74:L74"/>
    <mergeCell ref="N74:O74"/>
    <mergeCell ref="T62:U62"/>
    <mergeCell ref="P59:Q59"/>
    <mergeCell ref="T59:U59"/>
    <mergeCell ref="P60:Q60"/>
    <mergeCell ref="T60:U60"/>
    <mergeCell ref="K58:L58"/>
    <mergeCell ref="N58:O58"/>
    <mergeCell ref="P58:Q58"/>
    <mergeCell ref="P56:Q56"/>
    <mergeCell ref="K54:L54"/>
    <mergeCell ref="N54:O54"/>
    <mergeCell ref="P54:Q54"/>
    <mergeCell ref="P55:Q55"/>
    <mergeCell ref="T56:U56"/>
    <mergeCell ref="P57:Q57"/>
    <mergeCell ref="T57:U57"/>
  </mergeCells>
  <pageMargins left="0.70866141732283472" right="0.70866141732283472" top="0.82677165354330717" bottom="0.74803149606299213" header="0.31496062992125984" footer="0.31496062992125984"/>
  <pageSetup paperSize="5" scale="70" orientation="portrait" r:id="rId1"/>
  <headerFooter>
    <oddHeader xml:space="preserve">&amp;R&amp;"Century Gothic,Bold"&amp;18ANNEX A: 
SAMPLE PACKAGE COMPUTATION
</oddHeader>
  </headerFooter>
  <colBreaks count="1" manualBreakCount="1">
    <brk id="9" max="88" man="1"/>
  </colBreaks>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5"/>
  <dimension ref="A1:U124"/>
  <sheetViews>
    <sheetView showGridLines="0" showZeros="0" view="pageLayout" topLeftCell="B92" zoomScaleNormal="100" zoomScaleSheetLayoutView="85" workbookViewId="0">
      <selection activeCell="W112" sqref="W112"/>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1182</v>
      </c>
      <c r="B3" s="22"/>
      <c r="C3" s="76"/>
      <c r="D3" s="1471" t="str">
        <f>FORM!I26</f>
        <v>buyer</v>
      </c>
      <c r="E3" s="1471"/>
      <c r="F3" s="1471"/>
      <c r="G3" s="1471"/>
      <c r="H3" s="1471"/>
      <c r="I3" s="1471"/>
      <c r="J3" s="1471"/>
      <c r="K3" s="1471"/>
      <c r="L3" s="1471"/>
      <c r="M3" s="1471"/>
      <c r="N3" s="1471"/>
      <c r="O3" s="1471"/>
      <c r="P3" s="1471"/>
      <c r="Q3" s="1471"/>
      <c r="R3" s="22"/>
      <c r="S3" s="22"/>
      <c r="T3" s="22"/>
      <c r="U3" s="24" t="s">
        <v>1183</v>
      </c>
    </row>
    <row r="4" spans="1:21">
      <c r="A4" s="1472" t="str">
        <f>FORM!I30</f>
        <v>address</v>
      </c>
      <c r="B4" s="1472"/>
      <c r="C4" s="1472"/>
      <c r="D4" s="1472"/>
      <c r="E4" s="1472"/>
      <c r="F4" s="1472"/>
      <c r="G4" s="1472"/>
      <c r="H4" s="1472"/>
      <c r="I4" s="1472"/>
      <c r="J4" s="1472"/>
      <c r="K4" s="1472"/>
      <c r="L4" s="1472"/>
      <c r="M4" s="1472"/>
      <c r="N4" s="1472"/>
      <c r="O4" s="1472"/>
      <c r="P4" s="1472"/>
      <c r="Q4" s="1472"/>
      <c r="R4" s="22"/>
      <c r="S4" s="22"/>
      <c r="T4" s="22"/>
      <c r="U4" s="24" t="s">
        <v>1184</v>
      </c>
    </row>
    <row r="5" spans="1:21" ht="16.5" customHeight="1">
      <c r="A5" s="1473" t="s">
        <v>1185</v>
      </c>
      <c r="B5" s="1473"/>
      <c r="C5" s="1473"/>
      <c r="D5" s="1473"/>
      <c r="E5" s="1473"/>
      <c r="F5" s="1473"/>
      <c r="G5" s="1473"/>
      <c r="H5" s="1473"/>
      <c r="I5" s="1473"/>
      <c r="J5" s="1473"/>
      <c r="K5" s="1473"/>
      <c r="L5" s="1473"/>
      <c r="M5" s="1473"/>
      <c r="N5" s="1473"/>
      <c r="O5" s="1473"/>
      <c r="P5" s="1473"/>
      <c r="Q5" s="1473"/>
      <c r="R5" s="1473"/>
      <c r="S5" s="1473"/>
      <c r="T5" s="1473"/>
      <c r="U5" s="1473"/>
    </row>
    <row r="6" spans="1:21">
      <c r="A6" s="1473"/>
      <c r="B6" s="1473"/>
      <c r="C6" s="1473"/>
      <c r="D6" s="1473"/>
      <c r="E6" s="1473"/>
      <c r="F6" s="1473"/>
      <c r="G6" s="1473"/>
      <c r="H6" s="1473"/>
      <c r="I6" s="1473"/>
      <c r="J6" s="1473"/>
      <c r="K6" s="1473"/>
      <c r="L6" s="1473"/>
      <c r="M6" s="1473"/>
      <c r="N6" s="1473"/>
      <c r="O6" s="1473"/>
      <c r="P6" s="1473"/>
      <c r="Q6" s="1473"/>
      <c r="R6" s="1473"/>
      <c r="S6" s="1473"/>
      <c r="T6" s="1473"/>
      <c r="U6" s="1473"/>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1186</v>
      </c>
      <c r="B8" s="22"/>
      <c r="C8" s="22"/>
      <c r="D8" s="22"/>
      <c r="E8" s="22"/>
      <c r="F8" s="22"/>
      <c r="G8" s="22"/>
      <c r="H8" s="1471" t="str">
        <f>FORM!AB11</f>
        <v>Iloilo Southprime Developers Inc.</v>
      </c>
      <c r="I8" s="1471"/>
      <c r="J8" s="1471"/>
      <c r="K8" s="1471"/>
      <c r="L8" s="1471"/>
      <c r="M8" s="1471"/>
      <c r="N8" s="1471"/>
      <c r="O8" s="1471"/>
      <c r="P8" s="22"/>
      <c r="Q8" s="22"/>
      <c r="R8" s="22"/>
      <c r="S8" s="22"/>
      <c r="T8" s="22"/>
      <c r="U8" s="24" t="s">
        <v>1187</v>
      </c>
    </row>
    <row r="9" spans="1:21">
      <c r="A9" s="1474" t="s">
        <v>1188</v>
      </c>
      <c r="B9" s="1474"/>
      <c r="C9" s="1474"/>
      <c r="D9" s="1474"/>
      <c r="E9" s="1474"/>
      <c r="F9" s="1474"/>
      <c r="G9" s="1474"/>
      <c r="H9" s="1474"/>
      <c r="I9" s="1474"/>
      <c r="J9" s="1474"/>
      <c r="K9" s="1474"/>
      <c r="L9" s="1474"/>
      <c r="M9" s="1474"/>
      <c r="N9" s="1474"/>
      <c r="O9" s="1474"/>
      <c r="P9" s="1474"/>
      <c r="Q9" s="1474"/>
      <c r="R9" s="1474"/>
      <c r="S9" s="1474"/>
      <c r="T9" s="1474"/>
      <c r="U9" s="1474"/>
    </row>
    <row r="10" spans="1:21">
      <c r="A10" s="1470" t="str">
        <f>FORM!AB12</f>
        <v>Avancena St Brgy. Avancena Molo Iloilo City</v>
      </c>
      <c r="B10" s="1470"/>
      <c r="C10" s="1470"/>
      <c r="D10" s="1470"/>
      <c r="E10" s="1470"/>
      <c r="F10" s="1470"/>
      <c r="G10" s="1470"/>
      <c r="H10" s="1470"/>
      <c r="I10" s="1470"/>
      <c r="J10" s="1470"/>
      <c r="K10" s="1470"/>
      <c r="L10" s="1470"/>
      <c r="M10" s="1470"/>
      <c r="N10" s="1470"/>
      <c r="O10" s="1470"/>
      <c r="P10" s="1470"/>
      <c r="Q10" s="22"/>
      <c r="R10" s="22"/>
      <c r="S10" s="22"/>
      <c r="T10" s="22"/>
      <c r="U10" s="24" t="s">
        <v>1189</v>
      </c>
    </row>
    <row r="11" spans="1:21">
      <c r="A11" s="22" t="s">
        <v>1190</v>
      </c>
      <c r="B11" s="22"/>
      <c r="C11" s="22"/>
      <c r="D11" s="22"/>
      <c r="E11" s="22"/>
      <c r="F11" s="22"/>
      <c r="G11" s="22"/>
      <c r="H11" s="22"/>
      <c r="I11" s="1472" t="str">
        <f>FORM!I11</f>
        <v>The Southprime Flats</v>
      </c>
      <c r="J11" s="1472"/>
      <c r="K11" s="1472"/>
      <c r="L11" s="1472"/>
      <c r="M11" s="1472"/>
      <c r="N11" s="1472"/>
      <c r="O11" s="1472"/>
      <c r="P11" s="1472"/>
      <c r="Q11" s="1472"/>
      <c r="R11" s="1472"/>
      <c r="S11" s="1472"/>
      <c r="T11" s="1472"/>
      <c r="U11" s="1472"/>
    </row>
    <row r="12" spans="1:21">
      <c r="A12" s="22" t="s">
        <v>1191</v>
      </c>
      <c r="B12" s="22"/>
      <c r="C12" s="22"/>
      <c r="D12" s="22"/>
      <c r="E12" s="22"/>
      <c r="F12" s="22"/>
      <c r="G12" s="22"/>
      <c r="H12" s="22"/>
      <c r="I12" s="22"/>
      <c r="J12" s="22"/>
      <c r="K12" s="22"/>
      <c r="L12" s="22"/>
      <c r="M12" s="1475" t="str">
        <f>FORM!AB13</f>
        <v>Abeto Street, Brgy. Abeto-Mirasol, Mandurriao, Iloilo City</v>
      </c>
      <c r="N12" s="1475"/>
      <c r="O12" s="1475"/>
      <c r="P12" s="1475"/>
      <c r="Q12" s="1475"/>
      <c r="R12" s="1475"/>
      <c r="S12" s="1475"/>
      <c r="T12" s="1475"/>
      <c r="U12" s="1475"/>
    </row>
    <row r="13" spans="1:21">
      <c r="A13" s="22" t="s">
        <v>1192</v>
      </c>
      <c r="B13" s="22"/>
      <c r="C13" s="22"/>
      <c r="D13" s="22"/>
      <c r="E13" s="22"/>
      <c r="F13" s="22"/>
      <c r="G13" s="22"/>
      <c r="H13" s="22"/>
      <c r="I13" s="22"/>
      <c r="J13" s="22"/>
      <c r="K13" s="1476" t="str">
        <f>'STANDARD COMP.'!E10</f>
        <v>Studio</v>
      </c>
      <c r="L13" s="1472"/>
      <c r="M13" s="1472"/>
      <c r="N13" s="1472"/>
      <c r="O13" s="1472"/>
      <c r="P13" s="1472"/>
      <c r="Q13" s="1472"/>
      <c r="R13" s="1472"/>
      <c r="S13" s="1472"/>
      <c r="T13" s="1472"/>
      <c r="U13" s="1472"/>
    </row>
    <row r="14" spans="1:21" ht="13.5" customHeight="1">
      <c r="A14" s="22" t="s">
        <v>1193</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1194</v>
      </c>
      <c r="B16" s="27"/>
      <c r="C16" s="27"/>
      <c r="D16" s="25"/>
      <c r="E16" s="1475" t="str">
        <f>FORM!I11</f>
        <v>The Southprime Flats</v>
      </c>
      <c r="F16" s="1475"/>
      <c r="G16" s="1475"/>
      <c r="H16" s="1475"/>
      <c r="I16" s="1475"/>
      <c r="J16" s="1475"/>
      <c r="K16" s="1475"/>
      <c r="L16" s="1475"/>
      <c r="M16" s="1475"/>
      <c r="N16" s="1475"/>
      <c r="O16" s="1475"/>
      <c r="P16" s="1475"/>
      <c r="Q16" s="1475"/>
      <c r="R16" s="1475"/>
      <c r="S16" s="1475"/>
      <c r="T16" s="1475"/>
      <c r="U16" s="58"/>
    </row>
    <row r="17" spans="1:21" ht="14.1">
      <c r="A17" s="28" t="s">
        <v>1195</v>
      </c>
      <c r="B17" s="29"/>
      <c r="C17" s="29"/>
      <c r="D17" s="30"/>
      <c r="E17" s="31" t="s">
        <v>1196</v>
      </c>
      <c r="F17" s="30"/>
      <c r="G17" s="30"/>
      <c r="H17" s="30"/>
      <c r="I17" s="30"/>
      <c r="J17" s="30"/>
      <c r="K17" s="30"/>
      <c r="L17" s="56" t="s">
        <v>1197</v>
      </c>
      <c r="M17" s="30"/>
      <c r="N17" s="30"/>
      <c r="O17" s="30"/>
      <c r="P17" s="30"/>
      <c r="Q17" s="30"/>
      <c r="R17" s="30"/>
      <c r="S17" s="30"/>
      <c r="T17" s="31" t="s">
        <v>1198</v>
      </c>
      <c r="U17" s="55"/>
    </row>
    <row r="18" spans="1:21" ht="14.1">
      <c r="A18" s="32"/>
      <c r="B18" s="5"/>
      <c r="C18" s="5"/>
      <c r="D18" s="5"/>
      <c r="E18" s="33" t="s">
        <v>1199</v>
      </c>
      <c r="F18" s="5"/>
      <c r="G18" s="5"/>
      <c r="H18" s="5"/>
      <c r="I18" s="5"/>
      <c r="J18" s="5"/>
      <c r="K18" s="5"/>
      <c r="L18" s="33" t="s">
        <v>1200</v>
      </c>
      <c r="M18" s="5"/>
      <c r="N18" s="5"/>
      <c r="O18" s="5"/>
      <c r="P18" s="5"/>
      <c r="Q18" s="5"/>
      <c r="R18" s="5"/>
      <c r="S18" s="5"/>
      <c r="T18" s="33" t="s">
        <v>1201</v>
      </c>
      <c r="U18" s="34"/>
    </row>
    <row r="19" spans="1:21">
      <c r="T19" s="2" t="s">
        <v>60</v>
      </c>
    </row>
    <row r="20" spans="1:21" ht="14.1">
      <c r="A20" s="1477" t="s">
        <v>1202</v>
      </c>
      <c r="B20" s="1478"/>
      <c r="C20" s="1478"/>
      <c r="D20" s="1478"/>
      <c r="E20" s="1478"/>
      <c r="F20" s="1479"/>
      <c r="G20" s="1477" t="s">
        <v>1203</v>
      </c>
      <c r="H20" s="1478"/>
      <c r="I20" s="1478"/>
      <c r="J20" s="1478"/>
      <c r="K20" s="1478"/>
      <c r="L20" s="1479"/>
      <c r="M20" s="1477" t="s">
        <v>1204</v>
      </c>
      <c r="N20" s="1478"/>
      <c r="O20" s="1478"/>
      <c r="P20" s="1478"/>
      <c r="Q20" s="1479"/>
      <c r="R20" s="1477" t="s">
        <v>1200</v>
      </c>
      <c r="S20" s="1478"/>
      <c r="T20" s="1478"/>
      <c r="U20" s="1479"/>
    </row>
    <row r="21" spans="1:21" ht="14.1">
      <c r="A21" s="39" t="s">
        <v>1205</v>
      </c>
      <c r="B21" s="40"/>
      <c r="C21" s="40"/>
      <c r="D21" s="1480" t="str">
        <f>FORM!I14</f>
        <v>B3</v>
      </c>
      <c r="E21" s="1481"/>
      <c r="F21" s="1482"/>
      <c r="G21" s="39" t="s">
        <v>1205</v>
      </c>
      <c r="H21" s="40"/>
      <c r="I21" s="41"/>
      <c r="J21" s="1483"/>
      <c r="K21" s="1484"/>
      <c r="L21" s="1485"/>
      <c r="M21" s="39" t="s">
        <v>1206</v>
      </c>
      <c r="N21" s="40"/>
      <c r="O21" s="41"/>
      <c r="P21" s="1486"/>
      <c r="Q21" s="1487"/>
      <c r="R21" s="80" t="s">
        <v>1205</v>
      </c>
      <c r="S21" s="81"/>
      <c r="T21" s="1488"/>
      <c r="U21" s="1489"/>
    </row>
    <row r="22" spans="1:21" ht="14.1">
      <c r="A22" s="37" t="s">
        <v>1207</v>
      </c>
      <c r="B22" s="38"/>
      <c r="C22" s="38"/>
      <c r="D22" s="1480" t="str">
        <f>FORM!I16</f>
        <v>11th Floor</v>
      </c>
      <c r="E22" s="1481"/>
      <c r="F22" s="1482"/>
      <c r="G22" s="39" t="s">
        <v>1208</v>
      </c>
      <c r="H22" s="40"/>
      <c r="I22" s="41"/>
      <c r="J22" s="1483"/>
      <c r="K22" s="1484"/>
      <c r="L22" s="1485"/>
      <c r="M22" s="39" t="s">
        <v>1209</v>
      </c>
      <c r="N22" s="40"/>
      <c r="O22" s="41"/>
      <c r="P22" s="1486"/>
      <c r="Q22" s="1487"/>
      <c r="R22" s="80" t="s">
        <v>1210</v>
      </c>
      <c r="S22" s="81"/>
      <c r="T22" s="1488"/>
      <c r="U22" s="1489"/>
    </row>
    <row r="23" spans="1:21" ht="14.1">
      <c r="A23" s="39" t="s">
        <v>1210</v>
      </c>
      <c r="B23" s="40"/>
      <c r="C23" s="41"/>
      <c r="D23" s="1480" t="str">
        <f>FORM!I18</f>
        <v>E-11K</v>
      </c>
      <c r="E23" s="1481"/>
      <c r="F23" s="1482"/>
      <c r="G23" s="39" t="s">
        <v>1211</v>
      </c>
      <c r="H23" s="40"/>
      <c r="I23" s="41"/>
      <c r="J23" s="1483"/>
      <c r="K23" s="1484"/>
      <c r="L23" s="1485"/>
      <c r="M23" s="39" t="s">
        <v>1212</v>
      </c>
      <c r="N23" s="40"/>
      <c r="O23" s="41"/>
      <c r="P23" s="1486"/>
      <c r="Q23" s="1487"/>
      <c r="R23" s="80" t="s">
        <v>1213</v>
      </c>
      <c r="S23" s="81"/>
      <c r="T23" s="1488"/>
      <c r="U23" s="1489"/>
    </row>
    <row r="24" spans="1:21" ht="16.5" customHeight="1">
      <c r="A24" s="37" t="s">
        <v>1214</v>
      </c>
      <c r="B24" s="38"/>
      <c r="C24" s="38"/>
      <c r="D24" s="1493">
        <f>'STANDARD COMP.'!E13</f>
        <v>22</v>
      </c>
      <c r="E24" s="1494"/>
      <c r="F24" s="1495"/>
      <c r="G24" s="39" t="s">
        <v>1213</v>
      </c>
      <c r="H24" s="40"/>
      <c r="I24" s="41"/>
      <c r="J24" s="1483"/>
      <c r="K24" s="1484"/>
      <c r="L24" s="1485"/>
      <c r="M24" s="37" t="s">
        <v>1215</v>
      </c>
      <c r="N24" s="38"/>
      <c r="O24" s="38"/>
      <c r="P24" s="1486"/>
      <c r="Q24" s="1487"/>
      <c r="R24" s="1496" t="s">
        <v>1216</v>
      </c>
      <c r="S24" s="1497"/>
      <c r="T24" s="1500"/>
      <c r="U24" s="1501"/>
    </row>
    <row r="25" spans="1:21" ht="14.1">
      <c r="A25" s="39" t="s">
        <v>1217</v>
      </c>
      <c r="B25" s="40"/>
      <c r="C25" s="41"/>
      <c r="D25" s="1504" t="str">
        <f>K13</f>
        <v>Studio</v>
      </c>
      <c r="E25" s="1481"/>
      <c r="F25" s="1482"/>
      <c r="G25" s="39" t="s">
        <v>1218</v>
      </c>
      <c r="H25" s="40"/>
      <c r="I25" s="41"/>
      <c r="J25" s="1483"/>
      <c r="K25" s="1484"/>
      <c r="L25" s="1485"/>
      <c r="M25" s="39" t="s">
        <v>1219</v>
      </c>
      <c r="N25" s="40"/>
      <c r="O25" s="41"/>
      <c r="P25" s="1480"/>
      <c r="Q25" s="1482"/>
      <c r="R25" s="1498"/>
      <c r="S25" s="1499"/>
      <c r="T25" s="1502"/>
      <c r="U25" s="1503"/>
    </row>
    <row r="27" spans="1:21" ht="14.1">
      <c r="A27" s="39" t="s">
        <v>1220</v>
      </c>
      <c r="B27" s="40"/>
      <c r="C27" s="40"/>
      <c r="D27" s="40"/>
      <c r="E27" s="40"/>
      <c r="F27" s="40"/>
      <c r="G27" s="40"/>
      <c r="H27" s="41"/>
      <c r="I27" s="1490">
        <f>'STANDARD COMP.'!F15</f>
        <v>4123028.1810342241</v>
      </c>
      <c r="J27" s="1491"/>
      <c r="K27" s="1491"/>
      <c r="L27" s="1491"/>
      <c r="M27" s="1491"/>
      <c r="N27" s="1491"/>
      <c r="O27" s="1491"/>
      <c r="P27" s="1491"/>
      <c r="Q27" s="1491"/>
      <c r="R27" s="1491"/>
      <c r="S27" s="1491"/>
      <c r="T27" s="1491"/>
      <c r="U27" s="1492"/>
    </row>
    <row r="28" spans="1:21" ht="14.1">
      <c r="A28" s="39" t="s">
        <v>1221</v>
      </c>
      <c r="B28" s="40"/>
      <c r="C28" s="42"/>
      <c r="D28" s="42"/>
      <c r="E28" s="42"/>
      <c r="F28" s="42"/>
      <c r="G28" s="42"/>
      <c r="H28" s="43"/>
      <c r="I28" s="1490">
        <f>'STANDARD COMP.'!F16</f>
        <v>0</v>
      </c>
      <c r="J28" s="1491"/>
      <c r="K28" s="1491"/>
      <c r="L28" s="1491"/>
      <c r="M28" s="1491"/>
      <c r="N28" s="1491"/>
      <c r="O28" s="1491"/>
      <c r="P28" s="1491"/>
      <c r="Q28" s="1491"/>
      <c r="R28" s="1491"/>
      <c r="S28" s="1491"/>
      <c r="T28" s="1491"/>
      <c r="U28" s="1492"/>
    </row>
    <row r="29" spans="1:21" ht="14.1">
      <c r="A29" s="49" t="s">
        <v>1222</v>
      </c>
      <c r="B29" s="50"/>
      <c r="C29" s="51"/>
      <c r="D29" s="51"/>
      <c r="E29" s="51"/>
      <c r="F29" s="51"/>
      <c r="G29" s="51"/>
      <c r="H29" s="48"/>
      <c r="I29" s="1490">
        <f>'STANDARD COMP.'!F17</f>
        <v>4123028.1810342241</v>
      </c>
      <c r="J29" s="1491"/>
      <c r="K29" s="1491"/>
      <c r="L29" s="1491"/>
      <c r="M29" s="1491"/>
      <c r="N29" s="1491"/>
      <c r="O29" s="1491"/>
      <c r="P29" s="1491"/>
      <c r="Q29" s="1491"/>
      <c r="R29" s="1491"/>
      <c r="S29" s="1491"/>
      <c r="T29" s="1491"/>
      <c r="U29" s="1492"/>
    </row>
    <row r="30" spans="1:21" ht="14.1">
      <c r="A30" s="39" t="s">
        <v>1223</v>
      </c>
      <c r="B30" s="40"/>
      <c r="C30" s="42"/>
      <c r="D30" s="42"/>
      <c r="E30" s="42"/>
      <c r="F30" s="42"/>
      <c r="G30" s="42"/>
      <c r="H30" s="43"/>
      <c r="I30" s="1490">
        <f>'STANDARD COMP.'!F20</f>
        <v>525686.0930818636</v>
      </c>
      <c r="J30" s="1491"/>
      <c r="K30" s="1491"/>
      <c r="L30" s="1491"/>
      <c r="M30" s="1491"/>
      <c r="N30" s="1491"/>
      <c r="O30" s="1491"/>
      <c r="P30" s="1491"/>
      <c r="Q30" s="1491"/>
      <c r="R30" s="1491"/>
      <c r="S30" s="1491"/>
      <c r="T30" s="1491"/>
      <c r="U30" s="1492"/>
    </row>
    <row r="31" spans="1:21" ht="14.1">
      <c r="A31" s="39" t="s">
        <v>1224</v>
      </c>
      <c r="B31" s="40"/>
      <c r="C31" s="42"/>
      <c r="D31" s="42"/>
      <c r="E31" s="42"/>
      <c r="F31" s="42"/>
      <c r="G31" s="42"/>
      <c r="H31" s="43"/>
      <c r="I31" s="1490">
        <f>'STANDARD COMP.'!F19</f>
        <v>0</v>
      </c>
      <c r="J31" s="1491"/>
      <c r="K31" s="1491"/>
      <c r="L31" s="1491"/>
      <c r="M31" s="1491"/>
      <c r="N31" s="1491"/>
      <c r="O31" s="1491"/>
      <c r="P31" s="1491"/>
      <c r="Q31" s="1491"/>
      <c r="R31" s="1491"/>
      <c r="S31" s="1491"/>
      <c r="T31" s="1491"/>
      <c r="U31" s="1492"/>
    </row>
    <row r="32" spans="1:21" ht="14.1">
      <c r="A32" s="39" t="s">
        <v>170</v>
      </c>
      <c r="B32" s="40"/>
      <c r="C32" s="42"/>
      <c r="D32" s="42"/>
      <c r="E32" s="42"/>
      <c r="F32" s="42"/>
      <c r="G32" s="42"/>
      <c r="H32" s="43"/>
      <c r="I32" s="1490">
        <f>'STANDARD COMP.'!F22</f>
        <v>4648714.2741160877</v>
      </c>
      <c r="J32" s="1491"/>
      <c r="K32" s="1491"/>
      <c r="L32" s="1491"/>
      <c r="M32" s="1491"/>
      <c r="N32" s="1491"/>
      <c r="O32" s="1491"/>
      <c r="P32" s="1491"/>
      <c r="Q32" s="1491"/>
      <c r="R32" s="1491"/>
      <c r="S32" s="1491"/>
      <c r="T32" s="1491"/>
      <c r="U32" s="1492"/>
    </row>
    <row r="34" spans="1:21">
      <c r="A34" s="70" t="s">
        <v>1225</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1226</v>
      </c>
      <c r="E36" s="18"/>
      <c r="F36" s="18"/>
      <c r="G36" s="18"/>
      <c r="H36" s="18"/>
      <c r="I36" s="18"/>
      <c r="J36" s="18"/>
      <c r="K36" s="18"/>
      <c r="L36" s="18"/>
      <c r="M36" s="18" t="s">
        <v>1227</v>
      </c>
      <c r="O36" s="18"/>
      <c r="P36" s="18"/>
      <c r="Q36" s="18"/>
      <c r="R36" s="18"/>
      <c r="S36" s="18" t="s">
        <v>1228</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1229</v>
      </c>
      <c r="T39"/>
    </row>
    <row r="40" spans="1:21" ht="13.5" customHeight="1">
      <c r="A40" s="75" t="s">
        <v>1230</v>
      </c>
      <c r="C40" s="1507" t="s">
        <v>1231</v>
      </c>
      <c r="D40" s="1507"/>
      <c r="E40" s="1507"/>
      <c r="F40" s="1507"/>
      <c r="G40" s="1507"/>
      <c r="H40" s="1507"/>
      <c r="I40" s="1507"/>
      <c r="J40" s="1507"/>
      <c r="K40" s="1507"/>
      <c r="L40" s="1507"/>
      <c r="M40" s="1507"/>
      <c r="N40" s="1507"/>
      <c r="O40" s="150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"&amp;PROPER(IF(LEN(LEFT(TRIM(MID(SUBSTITUTE([9]Sheet1!A2,".",REPT(" ",255)),255,200)),2))=1,CHOOSE(1*LEFT(TRIM(MID(SUBSTITUTE([9]Sheet1!A2,".",REPT(" ",255)),255,200)),2),"ten","twenty","thirty","forty","fifty","sixty","seventy","eighty","ninety")&amp;" cents","")&amp;CONCATENATE(CHOOSE(MID(TEXT(INT(LEFT(TRIM(MID(SUBSTITUTE([9]Sheet1!A2,".",REPT(" ",255)),255,200)),2)),REPT(0,12)),11,1)+1,"",CHOOSE(MID(TEXT(INT(LEFT(TRIM(MID(SUBSTITUTE([9]Sheet1!A2,".",REPT(" ",255)),255,200)),2)),REPT(0,12)),12,1)+1,"ten","eleven","twelve","thirteen","fourteen","fifteen","sixteen","seventeen","eighteen","nineteen")&amp;" cents","twenty","thirty","forty","fifty","sixty","seventy","eighty","ninety"),IF(VALUE(MID(TEXT(INT(LEFT(TRIM(MID(SUBSTITUTE([9]Sheet1!A2,".",REPT(" ",255)),255,200)),2)),REPT(0,12)),11,1))&gt;1,CHOOSE(MID(TEXT(INT(LEFT(TRIM(MID(SUBSTITUTE([9]Sheet1!A2,".",REPT(" ",255)),255,200)),2)),REPT(0,12)),12,1)+1,"","-one","-two","-three","-four","-five","-six","-seven","-eight","-nine")&amp;" cents",IF(LEFT(TRIM(MID(SUBSTITUTE([9]Sheet1!A2,".",REPT(" ",255)),255,200)),2)="01","one cent",IF(LEFT(TRIM(MID(SUBSTITUTE([9]Sheet1!A2,".",REPT(" ",255)),255,200)),1)="0",CHOOSE(MID(TEXT(INT(LEFT(TRIM(MID(SUBSTITUTE([9]Sheet1!A2,".",REPT(" ",255)),255,200)),2)),REPT(0,12)),12,1)+1,"","one","two","three","four","five","six","seven","eight","nine")&amp;" cents","")))))))</f>
        <v>Thirty Thousand  Pesos</v>
      </c>
      <c r="P40" s="1508"/>
      <c r="Q40" s="1508"/>
      <c r="R40" s="1508"/>
      <c r="S40" s="79" t="s">
        <v>1232</v>
      </c>
      <c r="T40" s="358">
        <f>FORM!I22</f>
        <v>30000</v>
      </c>
      <c r="U40" s="82" t="s">
        <v>1233</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60</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1234</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1235</v>
      </c>
      <c r="D89" s="59"/>
      <c r="E89" s="59"/>
      <c r="F89" s="59"/>
      <c r="G89" s="59"/>
      <c r="H89" s="59"/>
      <c r="I89" s="59"/>
      <c r="J89" s="59"/>
      <c r="K89" s="66" t="s">
        <v>1236</v>
      </c>
      <c r="L89" s="59"/>
      <c r="M89" s="59"/>
      <c r="N89" s="59"/>
      <c r="O89" s="59"/>
      <c r="P89" s="59"/>
      <c r="Q89" s="59"/>
      <c r="R89" s="66" t="s">
        <v>1237</v>
      </c>
      <c r="S89" s="66"/>
      <c r="T89" s="66"/>
      <c r="U89" s="65"/>
    </row>
    <row r="90" spans="1:21" ht="14.1">
      <c r="A90" s="187"/>
      <c r="B90" s="188"/>
      <c r="C90" s="59" t="s">
        <v>1238</v>
      </c>
      <c r="D90" s="189"/>
      <c r="E90" s="1509"/>
      <c r="F90" s="1509"/>
      <c r="G90" s="1509"/>
      <c r="H90" s="189"/>
      <c r="I90" s="189"/>
      <c r="J90" s="188"/>
      <c r="K90" s="59" t="s">
        <v>1239</v>
      </c>
      <c r="L90" s="189"/>
      <c r="M90" s="1509"/>
      <c r="N90" s="1509"/>
      <c r="O90" s="1509"/>
      <c r="P90" s="189"/>
      <c r="Q90" s="188"/>
      <c r="R90" s="59" t="s">
        <v>1240</v>
      </c>
      <c r="S90" s="1509"/>
      <c r="T90" s="1509"/>
      <c r="U90" s="65"/>
    </row>
    <row r="91" spans="1:21" ht="14.1">
      <c r="A91" s="187"/>
      <c r="B91" s="188"/>
      <c r="C91" s="59" t="s">
        <v>1241</v>
      </c>
      <c r="D91" s="189"/>
      <c r="E91" s="1509"/>
      <c r="F91" s="1509"/>
      <c r="G91" s="1509"/>
      <c r="H91" s="189"/>
      <c r="I91" s="189"/>
      <c r="J91" s="188"/>
      <c r="K91" s="59" t="s">
        <v>1242</v>
      </c>
      <c r="L91" s="189"/>
      <c r="M91" s="1509"/>
      <c r="N91" s="1509"/>
      <c r="O91" s="1509"/>
      <c r="P91" s="189"/>
      <c r="Q91" s="188"/>
      <c r="R91" s="59" t="s">
        <v>1243</v>
      </c>
      <c r="S91" s="1510"/>
      <c r="T91" s="1510"/>
      <c r="U91" s="65"/>
    </row>
    <row r="92" spans="1:21" ht="14.1">
      <c r="A92" s="187"/>
      <c r="B92" s="189"/>
      <c r="C92" s="189"/>
      <c r="D92" s="189"/>
      <c r="E92" s="189"/>
      <c r="F92" s="189"/>
      <c r="G92" s="189"/>
      <c r="H92" s="189"/>
      <c r="I92" s="189"/>
      <c r="J92" s="189"/>
      <c r="K92" s="189"/>
      <c r="L92" s="189"/>
      <c r="M92" s="189"/>
      <c r="N92" s="189"/>
      <c r="O92" s="189"/>
      <c r="P92" s="189"/>
      <c r="Q92" s="188"/>
      <c r="R92" s="59" t="s">
        <v>1244</v>
      </c>
      <c r="S92" s="1510"/>
      <c r="T92" s="1510"/>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511" t="s">
        <v>1245</v>
      </c>
      <c r="B95" s="1512"/>
      <c r="C95" s="1512"/>
      <c r="D95" s="1512"/>
      <c r="E95" s="1512"/>
      <c r="F95" s="1512"/>
      <c r="G95" s="1512"/>
      <c r="H95" s="1512"/>
      <c r="I95" s="1512"/>
      <c r="J95" s="1512"/>
      <c r="K95" s="1512"/>
      <c r="L95" s="1512"/>
      <c r="M95" s="1512"/>
      <c r="N95" s="1512"/>
      <c r="O95" s="1512"/>
      <c r="P95" s="1512"/>
      <c r="Q95" s="1512"/>
      <c r="R95" s="1512"/>
      <c r="S95" s="1512"/>
      <c r="T95" s="1512"/>
      <c r="U95" s="1513"/>
    </row>
    <row r="96" spans="1:21">
      <c r="A96" s="1505" t="s">
        <v>1052</v>
      </c>
      <c r="B96" s="1505"/>
      <c r="C96" s="1505"/>
      <c r="D96" s="1505"/>
      <c r="E96" s="1505"/>
      <c r="F96" s="1505"/>
      <c r="G96" s="1505"/>
      <c r="H96" s="1505"/>
      <c r="I96" s="1505" t="s">
        <v>1246</v>
      </c>
      <c r="J96" s="1505"/>
      <c r="K96" s="1505"/>
      <c r="L96" s="1505"/>
      <c r="M96" s="1505"/>
      <c r="N96" s="1505"/>
      <c r="O96" s="1505"/>
      <c r="P96" s="1506" t="s">
        <v>1054</v>
      </c>
      <c r="Q96" s="1506"/>
      <c r="R96" s="1506"/>
      <c r="S96" s="1506"/>
      <c r="T96" s="1506"/>
      <c r="U96" s="1506"/>
    </row>
    <row r="97" spans="1:21" ht="14.1">
      <c r="A97" s="1321" t="str">
        <f>FORM!I46</f>
        <v>Brokerage/Realty</v>
      </c>
      <c r="B97" s="1321"/>
      <c r="C97" s="1321"/>
      <c r="D97" s="1321"/>
      <c r="E97" s="1321"/>
      <c r="F97" s="1321"/>
      <c r="G97" s="1321"/>
      <c r="H97" s="1321"/>
      <c r="I97" s="1322">
        <f>FORM!M46</f>
        <v>0</v>
      </c>
      <c r="J97" s="1322"/>
      <c r="K97" s="1322"/>
      <c r="L97" s="1322"/>
      <c r="M97" s="1322"/>
      <c r="N97" s="1322"/>
      <c r="O97" s="1322"/>
      <c r="P97" s="1322">
        <f>FORM!T46</f>
        <v>0</v>
      </c>
      <c r="Q97" s="1322"/>
      <c r="R97" s="1322"/>
      <c r="S97" s="1322"/>
      <c r="T97" s="1322"/>
      <c r="U97" s="1322"/>
    </row>
    <row r="98" spans="1:21" ht="14.1">
      <c r="A98" s="1321" t="str">
        <f>FORM!I47</f>
        <v>Broker Head/AVP</v>
      </c>
      <c r="B98" s="1321"/>
      <c r="C98" s="1321"/>
      <c r="D98" s="1321"/>
      <c r="E98" s="1321"/>
      <c r="F98" s="1321"/>
      <c r="G98" s="1321"/>
      <c r="H98" s="1321"/>
      <c r="I98" s="1322">
        <f>FORM!M47</f>
        <v>0</v>
      </c>
      <c r="J98" s="1322"/>
      <c r="K98" s="1322"/>
      <c r="L98" s="1322"/>
      <c r="M98" s="1322"/>
      <c r="N98" s="1322"/>
      <c r="O98" s="1322"/>
      <c r="P98" s="1322">
        <f>FORM!T47</f>
        <v>0</v>
      </c>
      <c r="Q98" s="1322"/>
      <c r="R98" s="1322"/>
      <c r="S98" s="1322"/>
      <c r="T98" s="1322"/>
      <c r="U98" s="1322"/>
    </row>
    <row r="99" spans="1:21" ht="14.1">
      <c r="A99" s="1321" t="str">
        <f>FORM!I48</f>
        <v>Sales Manager</v>
      </c>
      <c r="B99" s="1321"/>
      <c r="C99" s="1321"/>
      <c r="D99" s="1321"/>
      <c r="E99" s="1321"/>
      <c r="F99" s="1321"/>
      <c r="G99" s="1321"/>
      <c r="H99" s="1321"/>
      <c r="I99" s="1322">
        <f>FORM!M48</f>
        <v>0</v>
      </c>
      <c r="J99" s="1322"/>
      <c r="K99" s="1322"/>
      <c r="L99" s="1322"/>
      <c r="M99" s="1322"/>
      <c r="N99" s="1322"/>
      <c r="O99" s="1322"/>
      <c r="P99" s="1322">
        <f>FORM!T48</f>
        <v>0</v>
      </c>
      <c r="Q99" s="1322"/>
      <c r="R99" s="1322"/>
      <c r="S99" s="1322"/>
      <c r="T99" s="1322"/>
      <c r="U99" s="1322"/>
    </row>
    <row r="100" spans="1:21" ht="14.1">
      <c r="A100" s="1321" t="str">
        <f>FORM!I49</f>
        <v xml:space="preserve">Sales Agent/Property Consultant </v>
      </c>
      <c r="B100" s="1321"/>
      <c r="C100" s="1321"/>
      <c r="D100" s="1321"/>
      <c r="E100" s="1321"/>
      <c r="F100" s="1321"/>
      <c r="G100" s="1321"/>
      <c r="H100" s="1321"/>
      <c r="I100" s="1322">
        <f>FORM!M49</f>
        <v>0</v>
      </c>
      <c r="J100" s="1322"/>
      <c r="K100" s="1322"/>
      <c r="L100" s="1322"/>
      <c r="M100" s="1322"/>
      <c r="N100" s="1322"/>
      <c r="O100" s="1322"/>
      <c r="P100" s="1322">
        <f>FORM!T49</f>
        <v>0</v>
      </c>
      <c r="Q100" s="1322"/>
      <c r="R100" s="1322"/>
      <c r="S100" s="1322"/>
      <c r="T100" s="1322"/>
      <c r="U100" s="1322"/>
    </row>
    <row r="102" spans="1:21" ht="14.1">
      <c r="A102" s="1514" t="s">
        <v>1247</v>
      </c>
      <c r="B102" s="1515"/>
      <c r="C102" s="1515"/>
      <c r="D102" s="1515"/>
      <c r="E102" s="1515"/>
      <c r="F102" s="1515"/>
      <c r="G102" s="1515"/>
      <c r="H102" s="1515"/>
      <c r="I102" s="1515"/>
      <c r="J102" s="1515"/>
      <c r="K102" s="1515"/>
      <c r="L102" s="1515"/>
      <c r="M102" s="1515"/>
      <c r="N102" s="1515"/>
      <c r="O102" s="1515"/>
      <c r="P102" s="1515"/>
      <c r="Q102" s="1515"/>
      <c r="R102" s="1515"/>
      <c r="S102" s="1515"/>
      <c r="T102" s="1515"/>
      <c r="U102" s="1515"/>
    </row>
    <row r="103" spans="1:21" ht="14.1">
      <c r="A103" s="597"/>
      <c r="B103" s="83"/>
      <c r="C103" s="83"/>
      <c r="D103" s="83"/>
      <c r="E103" s="83"/>
      <c r="F103" s="83"/>
      <c r="G103" s="83"/>
      <c r="H103" s="83"/>
      <c r="I103" s="83"/>
      <c r="J103" s="83"/>
      <c r="K103" s="83"/>
      <c r="L103" s="83"/>
      <c r="M103" s="83"/>
      <c r="N103" s="83"/>
      <c r="O103" s="83"/>
      <c r="P103" s="83"/>
      <c r="Q103" s="83"/>
      <c r="R103" s="83"/>
      <c r="S103" s="83"/>
      <c r="T103" s="83"/>
      <c r="U103" s="83"/>
    </row>
    <row r="113" spans="1:21">
      <c r="G113" s="22"/>
      <c r="H113" s="1470" t="str">
        <f>D3</f>
        <v>buyer</v>
      </c>
      <c r="I113" s="1470"/>
      <c r="J113" s="1470"/>
      <c r="K113" s="1470"/>
      <c r="L113" s="1470"/>
      <c r="M113" s="1470"/>
      <c r="N113" s="1470"/>
      <c r="O113" s="1470"/>
      <c r="P113" s="1470"/>
      <c r="Q113" s="1470"/>
    </row>
    <row r="114" spans="1:21" ht="25.5" customHeight="1">
      <c r="A114" s="1516" t="s">
        <v>1248</v>
      </c>
      <c r="B114" s="1516"/>
      <c r="C114" s="1516"/>
      <c r="D114" s="1516"/>
      <c r="E114" s="1516"/>
      <c r="F114" s="1516"/>
      <c r="G114" s="1516"/>
      <c r="H114" s="1516"/>
      <c r="I114" s="1516"/>
      <c r="J114" s="1516"/>
      <c r="K114" s="1516"/>
      <c r="L114" s="1516"/>
      <c r="M114" s="1516"/>
      <c r="N114" s="1516"/>
      <c r="O114" s="1516"/>
      <c r="P114" s="1516"/>
      <c r="Q114" s="1516"/>
      <c r="R114" s="1516"/>
      <c r="S114" s="1516"/>
      <c r="T114" s="1516"/>
      <c r="U114" s="1516"/>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22"/>
      <c r="B116" s="22"/>
      <c r="C116" s="22"/>
      <c r="D116" s="22"/>
      <c r="E116" s="22"/>
      <c r="F116" s="22"/>
      <c r="G116" s="22"/>
      <c r="H116" s="22"/>
      <c r="I116" s="22"/>
      <c r="J116" s="22"/>
      <c r="K116" s="22"/>
      <c r="L116" s="22"/>
      <c r="M116" s="22"/>
      <c r="N116" s="22"/>
      <c r="O116" s="22"/>
      <c r="P116" s="22"/>
      <c r="Q116" s="22"/>
      <c r="R116" s="22"/>
      <c r="S116" s="22"/>
      <c r="T116" s="22"/>
      <c r="U116" s="22"/>
    </row>
    <row r="117" spans="1:21">
      <c r="A117" s="1517" t="s">
        <v>1249</v>
      </c>
      <c r="B117" s="1517"/>
      <c r="C117" s="1517"/>
      <c r="D117" s="1517"/>
      <c r="E117" s="1517"/>
      <c r="F117" s="1517"/>
      <c r="G117" s="1517"/>
      <c r="H117" s="1517"/>
      <c r="I117" s="1517"/>
      <c r="J117" s="1517"/>
      <c r="K117" s="1517"/>
      <c r="L117" s="1517"/>
      <c r="M117" s="1517"/>
      <c r="N117" s="1517"/>
      <c r="O117" s="1517"/>
      <c r="P117" s="1517"/>
      <c r="Q117" s="1517"/>
      <c r="R117" s="1517"/>
      <c r="S117" s="1517"/>
      <c r="T117" s="1517"/>
      <c r="U117" s="1517"/>
    </row>
    <row r="118" spans="1:21" ht="21.75" customHeight="1">
      <c r="A118" s="1518" t="str">
        <f>H8</f>
        <v>Iloilo Southprime Developers Inc.</v>
      </c>
      <c r="B118" s="1518"/>
      <c r="C118" s="1518"/>
      <c r="D118" s="1518"/>
      <c r="E118" s="1518"/>
      <c r="F118" s="1518"/>
      <c r="G118" s="1518"/>
      <c r="H118" s="1518"/>
      <c r="I118" s="1518"/>
      <c r="J118" s="1518"/>
      <c r="K118" s="1518"/>
      <c r="L118" s="1518"/>
      <c r="M118" s="1518"/>
      <c r="N118" s="1518"/>
      <c r="O118" s="1518"/>
      <c r="P118" s="1518"/>
      <c r="Q118" s="1518"/>
      <c r="R118" s="1518"/>
      <c r="S118" s="1518"/>
      <c r="T118" s="1518"/>
      <c r="U118" s="1518"/>
    </row>
    <row r="119" spans="1:21">
      <c r="A119" s="22"/>
      <c r="B119" s="22"/>
      <c r="C119" s="22"/>
      <c r="D119" s="22"/>
      <c r="E119" s="22"/>
      <c r="F119" s="22"/>
      <c r="G119" s="22"/>
      <c r="H119" s="22"/>
      <c r="I119" s="22"/>
      <c r="J119" s="22"/>
      <c r="K119" s="22"/>
      <c r="L119" s="22"/>
      <c r="M119" s="22"/>
      <c r="N119" s="22"/>
      <c r="O119" s="22"/>
      <c r="P119" s="22"/>
      <c r="Q119" s="22"/>
      <c r="R119" s="22"/>
      <c r="S119" s="22"/>
      <c r="T119" s="22"/>
      <c r="U119" s="22"/>
    </row>
    <row r="120" spans="1:21">
      <c r="A120" s="22"/>
      <c r="B120" s="22"/>
      <c r="C120" s="22"/>
      <c r="D120" s="22"/>
      <c r="E120" s="22"/>
      <c r="F120" s="22"/>
      <c r="G120" s="22"/>
      <c r="H120" s="23"/>
      <c r="I120" s="23"/>
      <c r="J120" s="23"/>
      <c r="K120" s="23"/>
      <c r="L120" s="23"/>
      <c r="M120" s="23"/>
      <c r="N120" s="23"/>
      <c r="O120" s="23"/>
      <c r="P120" s="23"/>
      <c r="Q120" s="23"/>
      <c r="R120" s="22"/>
      <c r="S120" s="22"/>
      <c r="T120" s="22"/>
      <c r="U120" s="22"/>
    </row>
    <row r="124" spans="1:21">
      <c r="I124" s="52"/>
    </row>
  </sheetData>
  <sheetProtection algorithmName="SHA-512" hashValue="Do1E/vM9OaXRkg7qDFfBYp4fdB9eiyI7tnKFjvvdXxqKbqoDJIjP8n3kVeRFy4klbd4B5gUgg5PoLMJOsiikbg==" saltValue="4wvn9yWBdkJWZLRPVHoFCQ==" spinCount="100000" sheet="1"/>
  <mergeCells count="70">
    <mergeCell ref="A102:U102"/>
    <mergeCell ref="H113:Q113"/>
    <mergeCell ref="A114:U114"/>
    <mergeCell ref="A117:U117"/>
    <mergeCell ref="A118:U118"/>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83"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69633"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69634" r:id="rId5" name="Check Box 2">
              <controlPr defaultSize="0" autoFill="0" autoLine="0" autoPict="0">
                <anchor moveWithCells="1">
                  <from>
                    <xdr:col>11</xdr:col>
                    <xdr:colOff>69850</xdr:colOff>
                    <xdr:row>35</xdr:row>
                    <xdr:rowOff>0</xdr:rowOff>
                  </from>
                  <to>
                    <xdr:col>12</xdr:col>
                    <xdr:colOff>3175</xdr:colOff>
                    <xdr:row>36</xdr:row>
                    <xdr:rowOff>12700</xdr:rowOff>
                  </to>
                </anchor>
              </controlPr>
            </control>
          </mc:Choice>
        </mc:AlternateContent>
        <mc:AlternateContent xmlns:mc="http://schemas.openxmlformats.org/markup-compatibility/2006">
          <mc:Choice Requires="x14">
            <control shapeId="69635"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69636"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69637"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69638"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69639"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69640"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69641"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69642" r:id="rId13" name="Check Box 10">
              <controlPr defaultSize="0" autoFill="0" autoLine="0" autoPict="0">
                <anchor moveWithCells="1">
                  <from>
                    <xdr:col>16</xdr:col>
                    <xdr:colOff>139700</xdr:colOff>
                    <xdr:row>88</xdr:row>
                    <xdr:rowOff>0</xdr:rowOff>
                  </from>
                  <to>
                    <xdr:col>17</xdr:col>
                    <xdr:colOff>3175</xdr:colOff>
                    <xdr:row>89</xdr:row>
                    <xdr:rowOff>25400</xdr:rowOff>
                  </to>
                </anchor>
              </controlPr>
            </control>
          </mc:Choice>
        </mc:AlternateContent>
        <mc:AlternateContent xmlns:mc="http://schemas.openxmlformats.org/markup-compatibility/2006">
          <mc:Choice Requires="x14">
            <control shapeId="69643"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69644"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69645"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69646"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69647"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69648"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69649"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69650"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69651"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5">
    <tabColor rgb="FFFFFF00"/>
  </sheetPr>
  <dimension ref="A1:R80"/>
  <sheetViews>
    <sheetView showGridLines="0" showZeros="0" view="pageBreakPreview" topLeftCell="A34" zoomScaleNormal="90" zoomScaleSheetLayoutView="100" zoomScalePageLayoutView="85" workbookViewId="0">
      <selection activeCell="F53" sqref="F53"/>
    </sheetView>
  </sheetViews>
  <sheetFormatPr defaultColWidth="9.140625" defaultRowHeight="12.6"/>
  <cols>
    <col min="1" max="1" width="0.85546875" style="99" customWidth="1"/>
    <col min="2" max="2" width="12" style="99" customWidth="1"/>
    <col min="3" max="3" width="26.42578125" style="99" customWidth="1"/>
    <col min="4" max="4" width="18.140625" style="131" customWidth="1"/>
    <col min="5" max="5" width="16.85546875" style="99" customWidth="1"/>
    <col min="6" max="6" width="15.140625" style="99" customWidth="1"/>
    <col min="7" max="7" width="8" style="99" customWidth="1"/>
    <col min="8" max="8" width="18" style="99" customWidth="1"/>
    <col min="9" max="9" width="0.42578125" style="99" customWidth="1"/>
    <col min="10" max="10" width="9.140625" style="99"/>
    <col min="11" max="11" width="19.140625" style="99" customWidth="1"/>
    <col min="12" max="12" width="19.42578125" style="260" customWidth="1"/>
    <col min="13" max="13" width="5.140625" style="99" customWidth="1"/>
    <col min="14" max="14" width="14" style="99" customWidth="1"/>
    <col min="15" max="15" width="19.5703125" style="99" customWidth="1"/>
    <col min="16" max="16" width="19.85546875" style="99" customWidth="1"/>
    <col min="17" max="17" width="9.140625" style="99"/>
    <col min="18" max="18" width="10.85546875" style="99" bestFit="1" customWidth="1"/>
    <col min="19" max="16384" width="9.140625" style="99"/>
  </cols>
  <sheetData>
    <row r="1" spans="1:18" ht="2.25" customHeight="1">
      <c r="A1" s="1020"/>
      <c r="B1" s="1020"/>
      <c r="C1" s="1020"/>
      <c r="D1" s="1066"/>
      <c r="E1" s="1020"/>
      <c r="F1" s="1020"/>
      <c r="G1" s="1020"/>
      <c r="H1" s="1020"/>
      <c r="I1" s="1020"/>
      <c r="J1" s="1020"/>
      <c r="K1" s="1020"/>
      <c r="L1" s="1759"/>
      <c r="M1" s="1020"/>
      <c r="N1" s="1020"/>
      <c r="O1" s="1020"/>
      <c r="P1" s="1020"/>
      <c r="Q1" s="1020"/>
      <c r="R1" s="261">
        <f>EDATE(L17,'STANDARD COMP.'!E28)</f>
        <v>46784</v>
      </c>
    </row>
    <row r="2" spans="1:18">
      <c r="A2" s="1020"/>
      <c r="B2" s="84" t="s">
        <v>1059</v>
      </c>
      <c r="C2" s="1022">
        <f>FORM!I20</f>
        <v>45901</v>
      </c>
      <c r="D2" s="1023"/>
      <c r="E2" s="1020"/>
      <c r="F2" s="135" t="s">
        <v>1060</v>
      </c>
      <c r="G2" s="1760" t="s">
        <v>1061</v>
      </c>
      <c r="H2" s="1761"/>
      <c r="I2" s="1021"/>
      <c r="J2" s="85" t="s">
        <v>1059</v>
      </c>
      <c r="K2" s="1762">
        <f>C2</f>
        <v>45901</v>
      </c>
      <c r="L2" s="1021"/>
      <c r="M2" s="1021"/>
      <c r="N2" s="1020"/>
      <c r="O2" s="135" t="s">
        <v>1062</v>
      </c>
      <c r="P2" s="1763" t="s">
        <v>1063</v>
      </c>
      <c r="Q2" s="1020"/>
      <c r="R2" s="1020"/>
    </row>
    <row r="3" spans="1:18" s="86" customFormat="1">
      <c r="C3" s="87"/>
      <c r="D3" s="87"/>
      <c r="G3" s="88"/>
      <c r="H3" s="88"/>
      <c r="I3" s="88"/>
      <c r="J3" s="89"/>
      <c r="K3" s="90"/>
      <c r="L3" s="91"/>
      <c r="M3" s="89"/>
      <c r="N3" s="89"/>
      <c r="O3" s="1537"/>
      <c r="P3" s="1537"/>
    </row>
    <row r="4" spans="1:18" s="86" customFormat="1" ht="18" customHeight="1">
      <c r="B4" s="1426" t="s">
        <v>1252</v>
      </c>
      <c r="C4" s="1426"/>
      <c r="D4" s="1426"/>
      <c r="E4" s="1426"/>
      <c r="F4" s="1426"/>
      <c r="G4" s="1426"/>
      <c r="H4" s="1426"/>
      <c r="I4" s="179"/>
      <c r="J4" s="1428" t="s">
        <v>1065</v>
      </c>
      <c r="K4" s="1428"/>
      <c r="L4" s="1428"/>
      <c r="M4" s="1428"/>
      <c r="N4" s="1428"/>
      <c r="O4" s="1428"/>
      <c r="P4" s="1428"/>
    </row>
    <row r="5" spans="1:18" s="86" customFormat="1">
      <c r="B5" s="88" t="s">
        <v>60</v>
      </c>
      <c r="C5" s="88"/>
      <c r="D5" s="92"/>
      <c r="E5" s="88"/>
      <c r="F5" s="88"/>
      <c r="G5" s="88"/>
      <c r="H5" s="88"/>
      <c r="I5" s="88"/>
      <c r="J5" s="93"/>
      <c r="K5" s="94"/>
      <c r="L5" s="95"/>
      <c r="M5" s="94"/>
      <c r="N5" s="94"/>
      <c r="O5" s="94"/>
      <c r="P5" s="96"/>
    </row>
    <row r="6" spans="1:18" s="86" customFormat="1">
      <c r="B6" s="211" t="s">
        <v>1066</v>
      </c>
      <c r="C6" s="209"/>
      <c r="D6" s="1027" t="s">
        <v>1015</v>
      </c>
      <c r="E6" s="1764" t="str">
        <f>FORM!I26</f>
        <v>buyer</v>
      </c>
      <c r="F6" s="1764"/>
      <c r="G6" s="1764"/>
      <c r="H6" s="1764"/>
      <c r="I6" s="88"/>
      <c r="J6" s="238" t="s">
        <v>1066</v>
      </c>
      <c r="K6" s="226"/>
      <c r="L6" s="1765" t="s">
        <v>1015</v>
      </c>
      <c r="M6" s="1642" t="str">
        <f t="shared" ref="M6:M13" si="0">E6</f>
        <v>buyer</v>
      </c>
      <c r="N6" s="1643"/>
      <c r="O6" s="1643"/>
      <c r="P6" s="1644"/>
    </row>
    <row r="7" spans="1:18" s="86" customFormat="1">
      <c r="B7" s="211" t="s">
        <v>1014</v>
      </c>
      <c r="C7" s="209"/>
      <c r="D7" s="1027" t="s">
        <v>1015</v>
      </c>
      <c r="E7" s="1766" t="str">
        <f>FORM!I11</f>
        <v>The Southprime Flats</v>
      </c>
      <c r="F7" s="1767"/>
      <c r="G7" s="1069" t="str">
        <f>FORM!I14</f>
        <v>B3</v>
      </c>
      <c r="H7" s="1091"/>
      <c r="I7" s="88"/>
      <c r="J7" s="144" t="s">
        <v>1014</v>
      </c>
      <c r="K7" s="227"/>
      <c r="L7" s="1765" t="s">
        <v>1015</v>
      </c>
      <c r="M7" s="1642" t="str">
        <f t="shared" si="0"/>
        <v>The Southprime Flats</v>
      </c>
      <c r="N7" s="1643"/>
      <c r="O7" s="1643"/>
      <c r="P7" s="1644"/>
    </row>
    <row r="8" spans="1:18" s="86" customFormat="1">
      <c r="B8" s="279" t="s">
        <v>1068</v>
      </c>
      <c r="C8" s="280"/>
      <c r="D8" s="1027" t="s">
        <v>1015</v>
      </c>
      <c r="E8" s="1768" t="str">
        <f>'STANDARD COMP.'!E8</f>
        <v>E-11K</v>
      </c>
      <c r="F8" s="1768"/>
      <c r="G8" s="1768"/>
      <c r="H8" s="1768"/>
      <c r="I8" s="88"/>
      <c r="J8" s="144" t="s">
        <v>1068</v>
      </c>
      <c r="K8" s="227"/>
      <c r="L8" s="1765" t="s">
        <v>1015</v>
      </c>
      <c r="M8" s="1642" t="str">
        <f t="shared" si="0"/>
        <v>E-11K</v>
      </c>
      <c r="N8" s="1643"/>
      <c r="O8" s="1643"/>
      <c r="P8" s="1644"/>
    </row>
    <row r="9" spans="1:18" hidden="1">
      <c r="A9" s="1020"/>
      <c r="B9" s="1535" t="s">
        <v>1070</v>
      </c>
      <c r="C9" s="1536"/>
      <c r="D9" s="1027" t="s">
        <v>1015</v>
      </c>
      <c r="E9" s="1521" t="e">
        <f>FORM!#REF!</f>
        <v>#REF!</v>
      </c>
      <c r="F9" s="1521"/>
      <c r="G9" s="1521"/>
      <c r="H9" s="1521"/>
      <c r="I9" s="1024"/>
      <c r="J9" s="144" t="s">
        <v>1070</v>
      </c>
      <c r="K9" s="227"/>
      <c r="L9" s="1765" t="s">
        <v>1015</v>
      </c>
      <c r="M9" s="1642" t="e">
        <f t="shared" si="0"/>
        <v>#REF!</v>
      </c>
      <c r="N9" s="1643"/>
      <c r="O9" s="1643"/>
      <c r="P9" s="1644"/>
      <c r="Q9" s="1020"/>
      <c r="R9" s="1020"/>
    </row>
    <row r="10" spans="1:18">
      <c r="A10" s="1769"/>
      <c r="B10" s="1535" t="s">
        <v>1071</v>
      </c>
      <c r="C10" s="1536"/>
      <c r="D10" s="1027" t="s">
        <v>1015</v>
      </c>
      <c r="E10" s="1521" t="str">
        <f>'STANDARD COMP.'!E10</f>
        <v>Studio</v>
      </c>
      <c r="F10" s="1521"/>
      <c r="G10" s="1521"/>
      <c r="H10" s="1521"/>
      <c r="I10" s="100"/>
      <c r="J10" s="144" t="s">
        <v>1071</v>
      </c>
      <c r="K10" s="227"/>
      <c r="L10" s="1765" t="s">
        <v>1015</v>
      </c>
      <c r="M10" s="1642" t="str">
        <f t="shared" si="0"/>
        <v>Studio</v>
      </c>
      <c r="N10" s="1643"/>
      <c r="O10" s="1643"/>
      <c r="P10" s="1644"/>
      <c r="Q10" s="1770"/>
      <c r="R10" s="1020"/>
    </row>
    <row r="11" spans="1:18">
      <c r="A11" s="1020"/>
      <c r="B11" s="211" t="s">
        <v>1072</v>
      </c>
      <c r="C11" s="209"/>
      <c r="D11" s="1027" t="s">
        <v>1015</v>
      </c>
      <c r="E11" s="1709">
        <f>'STANDARD COMP.'!E11:F11</f>
        <v>22</v>
      </c>
      <c r="F11" s="1771"/>
      <c r="G11" s="1772" t="s">
        <v>1073</v>
      </c>
      <c r="H11" s="1773"/>
      <c r="I11" s="1024"/>
      <c r="J11" s="144" t="s">
        <v>1072</v>
      </c>
      <c r="K11" s="227"/>
      <c r="L11" s="1774" t="s">
        <v>1015</v>
      </c>
      <c r="M11" s="1649">
        <f t="shared" si="0"/>
        <v>22</v>
      </c>
      <c r="N11" s="1649"/>
      <c r="O11" s="1028" t="s">
        <v>1073</v>
      </c>
      <c r="P11" s="1288"/>
      <c r="Q11" s="1020"/>
      <c r="R11" s="1020"/>
    </row>
    <row r="12" spans="1:18">
      <c r="A12" s="1020"/>
      <c r="B12" s="211" t="s">
        <v>1074</v>
      </c>
      <c r="C12" s="209"/>
      <c r="D12" s="1027" t="s">
        <v>1015</v>
      </c>
      <c r="E12" s="1713">
        <f>'STANDARD COMP.'!E12:F12</f>
        <v>0</v>
      </c>
      <c r="F12" s="1775"/>
      <c r="G12" s="1772" t="s">
        <v>1073</v>
      </c>
      <c r="H12" s="1776"/>
      <c r="I12" s="1024"/>
      <c r="J12" s="148" t="s">
        <v>1074</v>
      </c>
      <c r="K12" s="227"/>
      <c r="L12" s="1765" t="s">
        <v>1015</v>
      </c>
      <c r="M12" s="1652">
        <f t="shared" si="0"/>
        <v>0</v>
      </c>
      <c r="N12" s="1777"/>
      <c r="O12" s="1778" t="s">
        <v>1073</v>
      </c>
      <c r="P12" s="1029"/>
      <c r="Q12" s="1020"/>
      <c r="R12" s="1020"/>
    </row>
    <row r="13" spans="1:18">
      <c r="A13" s="1020"/>
      <c r="B13" s="279" t="s">
        <v>1075</v>
      </c>
      <c r="C13" s="280"/>
      <c r="D13" s="1027" t="s">
        <v>1015</v>
      </c>
      <c r="E13" s="1713">
        <f>'STANDARD COMP.'!E13:F13</f>
        <v>22</v>
      </c>
      <c r="F13" s="1775"/>
      <c r="G13" s="1772" t="s">
        <v>1073</v>
      </c>
      <c r="H13" s="1776"/>
      <c r="I13" s="1024"/>
      <c r="J13" s="238" t="s">
        <v>1075</v>
      </c>
      <c r="K13" s="101"/>
      <c r="L13" s="1765" t="s">
        <v>1015</v>
      </c>
      <c r="M13" s="1652">
        <f t="shared" si="0"/>
        <v>22</v>
      </c>
      <c r="N13" s="1777"/>
      <c r="O13" s="1778" t="s">
        <v>1073</v>
      </c>
      <c r="P13" s="1029"/>
      <c r="Q13" s="1020"/>
      <c r="R13" s="1020"/>
    </row>
    <row r="14" spans="1:18">
      <c r="A14" s="1020"/>
      <c r="B14" s="1024"/>
      <c r="C14" s="1024"/>
      <c r="D14" s="1027"/>
      <c r="E14" s="1024"/>
      <c r="F14" s="1024"/>
      <c r="G14" s="1024"/>
      <c r="H14" s="1024"/>
      <c r="I14" s="1024"/>
      <c r="J14" s="1024"/>
      <c r="K14" s="1024"/>
      <c r="L14" s="1779"/>
      <c r="M14" s="1024"/>
      <c r="N14" s="1024"/>
      <c r="O14" s="1024"/>
      <c r="P14" s="1024"/>
      <c r="Q14" s="1020"/>
      <c r="R14" s="1020"/>
    </row>
    <row r="15" spans="1:18" ht="15" customHeight="1">
      <c r="A15" s="1020"/>
      <c r="B15" s="141" t="s">
        <v>1078</v>
      </c>
      <c r="C15" s="226"/>
      <c r="D15" s="1027" t="s">
        <v>1015</v>
      </c>
      <c r="E15" s="1780"/>
      <c r="F15" s="1526">
        <f>'STANDARD COMP.'!F15</f>
        <v>4123028.1810342241</v>
      </c>
      <c r="G15" s="1527"/>
      <c r="H15" s="1528"/>
      <c r="I15" s="100"/>
      <c r="J15" s="1402" t="s">
        <v>1079</v>
      </c>
      <c r="K15" s="1402"/>
      <c r="L15" s="1533" t="s">
        <v>989</v>
      </c>
      <c r="M15" s="1402" t="s">
        <v>992</v>
      </c>
      <c r="N15" s="1402"/>
      <c r="O15" s="1417" t="s">
        <v>206</v>
      </c>
      <c r="P15" s="1418"/>
      <c r="Q15" s="1020"/>
      <c r="R15" s="1020"/>
    </row>
    <row r="16" spans="1:18" s="3" customFormat="1">
      <c r="B16" s="1552" t="s">
        <v>1253</v>
      </c>
      <c r="C16" s="1552"/>
      <c r="D16" s="1027" t="s">
        <v>1015</v>
      </c>
      <c r="E16" s="356">
        <v>0.1</v>
      </c>
      <c r="F16" s="1530">
        <f>(F15-F17)*E25*E16</f>
        <v>51537.852262927801</v>
      </c>
      <c r="G16" s="1530"/>
      <c r="H16" s="1531"/>
      <c r="I16" s="1024"/>
      <c r="J16" s="1402"/>
      <c r="K16" s="1402"/>
      <c r="L16" s="1533"/>
      <c r="M16" s="1402"/>
      <c r="N16" s="1402"/>
      <c r="O16" s="1419"/>
      <c r="P16" s="1420"/>
    </row>
    <row r="17" spans="1:16">
      <c r="A17" s="1020"/>
      <c r="B17" s="144" t="s">
        <v>1080</v>
      </c>
      <c r="C17" s="148"/>
      <c r="D17" s="1027" t="s">
        <v>1015</v>
      </c>
      <c r="E17" s="1780"/>
      <c r="F17" s="1529">
        <f>'STANDARD COMP.'!F16:I16</f>
        <v>0</v>
      </c>
      <c r="G17" s="1530"/>
      <c r="H17" s="1531"/>
      <c r="I17" s="100"/>
      <c r="J17" s="1521" t="s">
        <v>1031</v>
      </c>
      <c r="K17" s="1521"/>
      <c r="L17" s="1781">
        <f>C2</f>
        <v>45901</v>
      </c>
      <c r="M17" s="1403">
        <f>FORM!I22</f>
        <v>30000</v>
      </c>
      <c r="N17" s="1403"/>
      <c r="O17" s="1666"/>
      <c r="P17" s="1657"/>
    </row>
    <row r="18" spans="1:16" s="3" customFormat="1">
      <c r="B18" s="129" t="s">
        <v>1082</v>
      </c>
      <c r="C18" s="101"/>
      <c r="D18" s="1027" t="s">
        <v>1015</v>
      </c>
      <c r="E18" s="357"/>
      <c r="F18" s="1544">
        <f>F15-F16-F17</f>
        <v>4071490.3287712964</v>
      </c>
      <c r="G18" s="1545"/>
      <c r="H18" s="1545"/>
      <c r="I18" s="1546"/>
      <c r="J18" s="1521" t="s">
        <v>1254</v>
      </c>
      <c r="K18" s="1521"/>
      <c r="L18" s="1781">
        <f>L17+7</f>
        <v>45908</v>
      </c>
      <c r="M18" s="1403">
        <f>F27</f>
        <v>544647.05273164506</v>
      </c>
      <c r="N18" s="1403"/>
      <c r="O18" s="1666"/>
      <c r="P18" s="1657"/>
    </row>
    <row r="19" spans="1:16">
      <c r="A19" s="1769"/>
      <c r="B19" s="147"/>
      <c r="C19" s="1024"/>
      <c r="D19" s="1027"/>
      <c r="E19" s="408">
        <f>(F18)*E20</f>
        <v>488578.83945255558</v>
      </c>
      <c r="F19" s="1721"/>
      <c r="G19" s="1721"/>
      <c r="H19" s="1721"/>
      <c r="I19" s="1024"/>
      <c r="J19" s="1411" t="s">
        <v>1167</v>
      </c>
      <c r="K19" s="1411"/>
      <c r="L19" s="262">
        <f>IF(AND(DAY(R1)&gt;=6,DAY(R1)&lt;=20),DATE(YEAR(R1),MONTH(R1)+1,DAY(20)),IF(AND(DAY(R1)&gt;=21,DAY(R1)&lt;=30),DATE(YEAR(R1),MONTH(R1)+1,IF(DAY(EOMONTH(R1,1))&lt;30,DAY(EOMONTH(R1,1)),DAY(30))),DATE(YEAR(R1),MONTH(R1)+1,DAY(5))))</f>
        <v>46817</v>
      </c>
      <c r="M19" s="1542">
        <f>F29</f>
        <v>4022529.3691215152</v>
      </c>
      <c r="N19" s="1542"/>
      <c r="O19" s="1548"/>
      <c r="P19" s="1549"/>
    </row>
    <row r="20" spans="1:16">
      <c r="A20" s="1020"/>
      <c r="B20" s="228" t="s">
        <v>1087</v>
      </c>
      <c r="C20" s="228"/>
      <c r="D20" s="1027" t="s">
        <v>1015</v>
      </c>
      <c r="E20" s="1782">
        <f>'STANDARD COMP.'!E19</f>
        <v>0.12</v>
      </c>
      <c r="F20" s="1783"/>
      <c r="G20" s="1783"/>
      <c r="H20" s="1783"/>
      <c r="I20" s="1024"/>
      <c r="J20" s="1671"/>
      <c r="K20" s="1671"/>
      <c r="L20" s="1784"/>
      <c r="M20" s="1785"/>
      <c r="N20" s="1785"/>
      <c r="O20" s="1024"/>
      <c r="P20" s="1024"/>
    </row>
    <row r="21" spans="1:16">
      <c r="A21" s="1020"/>
      <c r="B21" s="238" t="s">
        <v>1090</v>
      </c>
      <c r="C21" s="126"/>
      <c r="D21" s="1027" t="s">
        <v>1015</v>
      </c>
      <c r="E21" s="1782"/>
      <c r="F21" s="1532">
        <f>'STANDARD COMP.'!F20</f>
        <v>525686.0930818636</v>
      </c>
      <c r="G21" s="1532"/>
      <c r="H21" s="1532"/>
      <c r="I21" s="1024"/>
      <c r="J21" s="1027"/>
      <c r="K21" s="1027"/>
      <c r="L21" s="1784"/>
      <c r="M21" s="1786"/>
      <c r="N21" s="1786"/>
      <c r="O21" s="1024"/>
      <c r="P21" s="1024"/>
    </row>
    <row r="22" spans="1:16">
      <c r="A22" s="1020"/>
      <c r="B22" s="147"/>
      <c r="C22" s="1024"/>
      <c r="D22" s="1027"/>
      <c r="E22" s="1024"/>
      <c r="F22" s="1721"/>
      <c r="G22" s="1721"/>
      <c r="H22" s="1721"/>
      <c r="I22" s="1024"/>
      <c r="J22" s="1027"/>
      <c r="K22" s="1027"/>
      <c r="L22" s="1784"/>
      <c r="M22" s="1786"/>
      <c r="N22" s="1786"/>
      <c r="O22" s="1024"/>
      <c r="P22" s="1024"/>
    </row>
    <row r="23" spans="1:16">
      <c r="A23" s="3"/>
      <c r="B23" s="1404" t="s">
        <v>1096</v>
      </c>
      <c r="C23" s="1404"/>
      <c r="D23" s="1027" t="s">
        <v>1015</v>
      </c>
      <c r="E23" s="428"/>
      <c r="F23" s="1543">
        <f>F18+SUM(F20:I21)</f>
        <v>4597176.4218531605</v>
      </c>
      <c r="G23" s="1543"/>
      <c r="H23" s="1543"/>
      <c r="I23" s="1543"/>
      <c r="J23" s="156"/>
      <c r="K23" s="1024"/>
      <c r="L23" s="1779"/>
      <c r="M23" s="1024"/>
      <c r="N23" s="1024"/>
      <c r="O23" s="1024"/>
      <c r="P23" s="1024"/>
    </row>
    <row r="24" spans="1:16" s="3" customFormat="1">
      <c r="A24" s="1020"/>
      <c r="B24" s="147"/>
      <c r="C24" s="1024"/>
      <c r="D24" s="1027" t="s">
        <v>1015</v>
      </c>
      <c r="E24" s="1787"/>
      <c r="F24" s="1721"/>
      <c r="G24" s="1785"/>
      <c r="H24" s="1785"/>
      <c r="I24" s="1024"/>
      <c r="J24" s="1024"/>
      <c r="K24" s="1788"/>
      <c r="L24" s="1779"/>
      <c r="M24" s="1024"/>
      <c r="N24" s="1024"/>
      <c r="O24" s="1024"/>
      <c r="P24" s="1024"/>
    </row>
    <row r="25" spans="1:16">
      <c r="A25" s="1020"/>
      <c r="B25" s="1553" t="s">
        <v>1255</v>
      </c>
      <c r="C25" s="1553"/>
      <c r="D25" s="1027" t="s">
        <v>1015</v>
      </c>
      <c r="E25" s="264">
        <f>'STANDARD COMP.'!E24</f>
        <v>0.125</v>
      </c>
      <c r="F25" s="1554">
        <f>E25*F23</f>
        <v>574647.05273164506</v>
      </c>
      <c r="G25" s="1555"/>
      <c r="H25" s="1556"/>
      <c r="I25" s="1024"/>
      <c r="J25" s="100" t="s">
        <v>1168</v>
      </c>
      <c r="K25" s="100"/>
      <c r="L25" s="263"/>
      <c r="M25" s="100"/>
      <c r="N25" s="3"/>
      <c r="O25" s="100" t="s">
        <v>1169</v>
      </c>
      <c r="P25" s="1024"/>
    </row>
    <row r="26" spans="1:16">
      <c r="A26" s="3"/>
      <c r="B26" s="1552" t="s">
        <v>1101</v>
      </c>
      <c r="C26" s="1552"/>
      <c r="D26" s="1027" t="s">
        <v>1015</v>
      </c>
      <c r="E26" s="265"/>
      <c r="F26" s="1550">
        <f>'STANDARD COMP.'!F25</f>
        <v>30000</v>
      </c>
      <c r="G26" s="1530"/>
      <c r="H26" s="1531"/>
      <c r="I26" s="100"/>
      <c r="J26" s="1024"/>
      <c r="K26" s="1024"/>
      <c r="L26" s="1765"/>
      <c r="M26" s="1024"/>
      <c r="N26" s="1024"/>
      <c r="O26" s="1024"/>
      <c r="P26" s="1024"/>
    </row>
    <row r="27" spans="1:16" s="3" customFormat="1">
      <c r="B27" s="1404" t="s">
        <v>1256</v>
      </c>
      <c r="C27" s="1404"/>
      <c r="D27" s="1027" t="s">
        <v>1015</v>
      </c>
      <c r="E27" s="266"/>
      <c r="F27" s="1527">
        <f>F25-F26</f>
        <v>544647.05273164506</v>
      </c>
      <c r="G27" s="1527"/>
      <c r="H27" s="1528"/>
      <c r="I27" s="100"/>
      <c r="J27" s="100"/>
      <c r="K27" s="100"/>
      <c r="L27" s="252"/>
      <c r="M27" s="100"/>
      <c r="N27" s="100"/>
      <c r="O27" s="100"/>
      <c r="P27" s="100"/>
    </row>
    <row r="28" spans="1:16" s="3" customFormat="1">
      <c r="B28" s="147"/>
      <c r="C28" s="1024"/>
      <c r="D28" s="1027"/>
      <c r="E28" s="1024"/>
      <c r="F28" s="1059"/>
      <c r="G28" s="1059"/>
      <c r="H28" s="1059"/>
      <c r="I28" s="100"/>
      <c r="J28" s="1413" t="str">
        <f>FORM!I28</f>
        <v xml:space="preserve">agent </v>
      </c>
      <c r="K28" s="1413"/>
      <c r="L28" s="1413"/>
      <c r="M28" s="100"/>
      <c r="N28" s="100"/>
      <c r="O28" s="1413" t="str">
        <f>FORM!I26</f>
        <v>buyer</v>
      </c>
      <c r="P28" s="1413"/>
    </row>
    <row r="29" spans="1:16" s="3" customFormat="1">
      <c r="A29" s="1020"/>
      <c r="B29" s="129" t="s">
        <v>1109</v>
      </c>
      <c r="C29" s="101"/>
      <c r="D29" s="1027" t="s">
        <v>1015</v>
      </c>
      <c r="E29" s="267">
        <f>100%-E25</f>
        <v>0.875</v>
      </c>
      <c r="F29" s="1534">
        <f>F23*E29</f>
        <v>4022529.3691215152</v>
      </c>
      <c r="G29" s="1527"/>
      <c r="H29" s="1528"/>
      <c r="I29" s="1024"/>
      <c r="J29" s="1068" t="s">
        <v>1170</v>
      </c>
      <c r="K29" s="1068"/>
      <c r="L29" s="1789"/>
      <c r="M29" s="1024"/>
      <c r="N29" s="1024"/>
      <c r="O29" s="1068" t="s">
        <v>1171</v>
      </c>
      <c r="P29" s="1069"/>
    </row>
    <row r="30" spans="1:16">
      <c r="A30" s="3"/>
      <c r="B30" s="147"/>
      <c r="C30" s="1024"/>
      <c r="D30" s="1027"/>
      <c r="E30" s="1024"/>
      <c r="F30" s="1024"/>
      <c r="G30" s="1024"/>
      <c r="H30" s="1024"/>
      <c r="I30" s="100"/>
      <c r="J30" s="1024"/>
      <c r="K30" s="1024"/>
      <c r="L30" s="1790"/>
      <c r="M30" s="1024"/>
      <c r="N30" s="1024"/>
      <c r="O30" s="1024"/>
      <c r="P30" s="1024"/>
    </row>
    <row r="31" spans="1:16" s="3" customFormat="1">
      <c r="A31" s="1020"/>
      <c r="B31" s="88"/>
      <c r="C31" s="1024"/>
      <c r="D31" s="1027"/>
      <c r="E31" s="1024"/>
      <c r="F31" s="1024"/>
      <c r="G31" s="1024"/>
      <c r="H31" s="1024"/>
      <c r="I31" s="1024"/>
      <c r="J31" s="1024"/>
      <c r="K31" s="1024"/>
      <c r="L31" s="1790"/>
      <c r="M31" s="1024"/>
      <c r="N31" s="1024"/>
      <c r="O31" s="1024"/>
      <c r="P31" s="1024"/>
    </row>
    <row r="32" spans="1:16">
      <c r="A32" s="1020"/>
      <c r="B32" s="101" t="s">
        <v>1112</v>
      </c>
      <c r="C32" s="101"/>
      <c r="D32" s="175"/>
      <c r="E32" s="175"/>
      <c r="F32" s="175"/>
      <c r="G32" s="175"/>
      <c r="H32" s="175"/>
      <c r="I32" s="1024"/>
      <c r="J32" s="1024"/>
      <c r="K32" s="1024"/>
      <c r="L32" s="1779"/>
      <c r="M32" s="1024"/>
      <c r="N32" s="1024"/>
      <c r="O32" s="1024"/>
      <c r="P32" s="1024"/>
    </row>
    <row r="33" spans="2:9">
      <c r="B33" s="88"/>
      <c r="C33" s="1024"/>
      <c r="D33" s="1027"/>
      <c r="E33" s="1024"/>
      <c r="F33" s="1024"/>
      <c r="G33" s="1024"/>
      <c r="H33" s="1024"/>
      <c r="I33" s="1024"/>
    </row>
    <row r="34" spans="2:9">
      <c r="B34" s="208" t="s">
        <v>53</v>
      </c>
      <c r="C34" s="208" t="s">
        <v>54</v>
      </c>
      <c r="D34" s="208" t="s">
        <v>55</v>
      </c>
      <c r="E34" s="208" t="s">
        <v>1115</v>
      </c>
      <c r="F34" s="1402" t="s">
        <v>1116</v>
      </c>
      <c r="G34" s="1402"/>
      <c r="H34" s="1402"/>
      <c r="I34" s="1024"/>
    </row>
    <row r="35" spans="2:9">
      <c r="B35" s="246">
        <v>5</v>
      </c>
      <c r="C35" s="437">
        <f>'STANDARD COMP.'!C35</f>
        <v>7.0000000000000007E-2</v>
      </c>
      <c r="D35" s="248">
        <f>PMT(C35/12,B35*12,-1)</f>
        <v>1.9801198540349535E-2</v>
      </c>
      <c r="E35" s="1060">
        <f>F29*D35</f>
        <v>79650.902672362077</v>
      </c>
      <c r="F35" s="1403">
        <f>E35/0.33</f>
        <v>241366.37173443052</v>
      </c>
      <c r="G35" s="1403"/>
      <c r="H35" s="1403"/>
      <c r="I35" s="1024"/>
    </row>
    <row r="36" spans="2:9">
      <c r="B36" s="246">
        <v>10</v>
      </c>
      <c r="C36" s="437">
        <f>'STANDARD COMP.'!C36</f>
        <v>7.0000000000000007E-2</v>
      </c>
      <c r="D36" s="248">
        <f>PMT(C36/12,B36*12,-1)</f>
        <v>1.1610847921862406E-2</v>
      </c>
      <c r="E36" s="1060">
        <f>F29*D36</f>
        <v>46704.976766095038</v>
      </c>
      <c r="F36" s="1403">
        <f>E36/0.33</f>
        <v>141530.23262453041</v>
      </c>
      <c r="G36" s="1403"/>
      <c r="H36" s="1403"/>
      <c r="I36" s="1024"/>
    </row>
    <row r="37" spans="2:9">
      <c r="B37" s="246">
        <v>15</v>
      </c>
      <c r="C37" s="437">
        <f>'STANDARD COMP.'!C37</f>
        <v>7.0000000000000007E-2</v>
      </c>
      <c r="D37" s="248">
        <f>PMT(C37/12,B37*12,-1)</f>
        <v>8.988282708524269E-3</v>
      </c>
      <c r="E37" s="1060">
        <f>F29*D37</f>
        <v>36155.631173005953</v>
      </c>
      <c r="F37" s="1403">
        <f>E37/0.33</f>
        <v>109562.51870607864</v>
      </c>
      <c r="G37" s="1403"/>
      <c r="H37" s="1403"/>
      <c r="I37" s="1024"/>
    </row>
    <row r="38" spans="2:9">
      <c r="B38" s="246">
        <v>20</v>
      </c>
      <c r="C38" s="437">
        <f>'STANDARD COMP.'!C38</f>
        <v>7.0000000000000007E-2</v>
      </c>
      <c r="D38" s="248">
        <f>PMT(C38/12,B38*12,-1)</f>
        <v>7.7529893561887461E-3</v>
      </c>
      <c r="E38" s="1060">
        <f>F29*D38</f>
        <v>31186.627383755738</v>
      </c>
      <c r="F38" s="1403">
        <f>E38/0.33</f>
        <v>94504.931465926478</v>
      </c>
      <c r="G38" s="1403"/>
      <c r="H38" s="1403"/>
      <c r="I38" s="1024"/>
    </row>
    <row r="39" spans="2:9">
      <c r="B39" s="979" t="str">
        <f>'STANDARD COMP.'!B39</f>
        <v>Fixed for three (3) years</v>
      </c>
      <c r="C39" s="1020"/>
      <c r="D39" s="1020"/>
      <c r="E39" s="1020"/>
      <c r="F39" s="1024"/>
      <c r="G39" s="1024"/>
      <c r="H39" s="1024"/>
      <c r="I39" s="1024"/>
    </row>
    <row r="40" spans="2:9">
      <c r="B40" s="979" t="str">
        <f>'STANDARD COMP.'!B40</f>
        <v>Sample Computation for Interest rate is at 7% fixed for three (3) years only</v>
      </c>
      <c r="C40" s="1020"/>
      <c r="D40" s="1027"/>
      <c r="E40" s="1024"/>
      <c r="F40" s="1024"/>
      <c r="G40" s="1024"/>
      <c r="H40" s="1024"/>
      <c r="I40" s="1024"/>
    </row>
    <row r="41" spans="2:9">
      <c r="B41" s="166" t="s">
        <v>1126</v>
      </c>
      <c r="C41" s="249"/>
      <c r="D41" s="1027"/>
      <c r="E41" s="1024"/>
      <c r="F41" s="1024"/>
      <c r="G41" s="1024"/>
      <c r="H41" s="1024"/>
      <c r="I41" s="1024"/>
    </row>
    <row r="42" spans="2:9">
      <c r="B42" s="166" t="s">
        <v>1128</v>
      </c>
      <c r="C42" s="1024"/>
      <c r="D42" s="1027"/>
      <c r="E42" s="1024"/>
      <c r="F42" s="1024"/>
      <c r="G42" s="1024"/>
      <c r="H42" s="1024"/>
      <c r="I42" s="1024"/>
    </row>
    <row r="43" spans="2:9">
      <c r="B43" s="166"/>
      <c r="C43" s="1024"/>
      <c r="D43" s="1027"/>
      <c r="E43" s="1024"/>
      <c r="F43" s="1024"/>
      <c r="G43" s="1024"/>
      <c r="H43" s="1024"/>
      <c r="I43" s="1024"/>
    </row>
    <row r="44" spans="2:9">
      <c r="B44" s="101" t="s">
        <v>1131</v>
      </c>
      <c r="C44" s="238"/>
      <c r="D44" s="245"/>
      <c r="E44" s="1153"/>
      <c r="F44" s="1147"/>
      <c r="G44" s="167"/>
      <c r="H44" s="167"/>
      <c r="I44" s="167"/>
    </row>
    <row r="45" spans="2:9">
      <c r="B45" s="175"/>
      <c r="C45" s="245"/>
      <c r="D45" s="245"/>
      <c r="E45" s="1154"/>
      <c r="F45" s="1155"/>
      <c r="G45" s="465"/>
      <c r="H45" s="465"/>
      <c r="I45" s="465"/>
    </row>
    <row r="46" spans="2:9">
      <c r="B46" s="129" t="s">
        <v>1134</v>
      </c>
      <c r="C46" s="129"/>
      <c r="D46" s="142" t="s">
        <v>1015</v>
      </c>
      <c r="E46" s="241">
        <v>0.8</v>
      </c>
      <c r="F46" s="1399">
        <f>E46*F23</f>
        <v>3677741.1374825286</v>
      </c>
      <c r="G46" s="1400"/>
      <c r="H46" s="1400"/>
      <c r="I46" s="1401"/>
    </row>
    <row r="47" spans="2:9">
      <c r="B47" s="1024"/>
      <c r="C47" s="178"/>
      <c r="D47" s="178"/>
      <c r="E47" s="1156"/>
      <c r="F47" s="1059"/>
      <c r="G47" s="1059"/>
      <c r="H47" s="1059"/>
      <c r="I47" s="1059"/>
    </row>
    <row r="48" spans="2:9">
      <c r="B48" s="208" t="s">
        <v>53</v>
      </c>
      <c r="C48" s="208" t="s">
        <v>54</v>
      </c>
      <c r="D48" s="208" t="s">
        <v>55</v>
      </c>
      <c r="E48" s="208" t="s">
        <v>1115</v>
      </c>
      <c r="F48" s="1402" t="s">
        <v>1116</v>
      </c>
      <c r="G48" s="1402"/>
      <c r="H48" s="1402"/>
      <c r="I48" s="1402"/>
    </row>
    <row r="49" spans="1:9">
      <c r="A49" s="1020"/>
      <c r="B49" s="246">
        <v>1</v>
      </c>
      <c r="C49" s="1157">
        <v>0.12</v>
      </c>
      <c r="D49" s="248">
        <f>PMT(C49/12,B49*12,-1)</f>
        <v>8.88487886783417E-2</v>
      </c>
      <c r="E49" s="1060">
        <f>$F$46*D49</f>
        <v>326762.84513782919</v>
      </c>
      <c r="F49" s="1403">
        <f>E49/0.33</f>
        <v>990190.43981160352</v>
      </c>
      <c r="G49" s="1403"/>
      <c r="H49" s="1403"/>
      <c r="I49" s="1403"/>
    </row>
    <row r="50" spans="1:9" ht="15" customHeight="1">
      <c r="A50" s="1020"/>
      <c r="B50" s="246">
        <v>3</v>
      </c>
      <c r="C50" s="1157">
        <v>0.16</v>
      </c>
      <c r="D50" s="248">
        <f>PMT(C50/12,B50*12,-1)</f>
        <v>3.5157033036350094E-2</v>
      </c>
      <c r="E50" s="1060">
        <f>$F$46*D50</f>
        <v>129298.46666961703</v>
      </c>
      <c r="F50" s="1403">
        <f>E50/0.33</f>
        <v>391813.53536247584</v>
      </c>
      <c r="G50" s="1403"/>
      <c r="H50" s="1403"/>
      <c r="I50" s="1403"/>
    </row>
    <row r="51" spans="1:9" ht="14.25" customHeight="1">
      <c r="A51" s="1020"/>
      <c r="B51" s="246">
        <v>5</v>
      </c>
      <c r="C51" s="1157">
        <v>0.18</v>
      </c>
      <c r="D51" s="248">
        <f>PMT(C51/12,B51*12,-1)</f>
        <v>2.5393427427109084E-2</v>
      </c>
      <c r="E51" s="1060">
        <f>$F$46*D51</f>
        <v>93390.452670356201</v>
      </c>
      <c r="F51" s="1403">
        <f>E51/0.33</f>
        <v>283001.3717283521</v>
      </c>
      <c r="G51" s="1403"/>
      <c r="H51" s="1403"/>
      <c r="I51" s="1403"/>
    </row>
    <row r="52" spans="1:9" ht="15" customHeight="1">
      <c r="A52" s="1020"/>
      <c r="B52" s="246">
        <v>10</v>
      </c>
      <c r="C52" s="1157">
        <v>0.2</v>
      </c>
      <c r="D52" s="248">
        <f>PMT(C52/12,B52*12,-1)</f>
        <v>1.9325567219932577E-2</v>
      </c>
      <c r="E52" s="1060">
        <f>$F$46*D52</f>
        <v>71074.433569929912</v>
      </c>
      <c r="F52" s="1403">
        <f>E52/0.33</f>
        <v>215377.07142403003</v>
      </c>
      <c r="G52" s="1403"/>
      <c r="H52" s="1403"/>
      <c r="I52" s="1403"/>
    </row>
    <row r="53" spans="1:9" ht="14.25" customHeight="1" thickBot="1">
      <c r="A53" s="268" t="e">
        <f>(F18-(#REF!+F16))*12%</f>
        <v>#REF!</v>
      </c>
      <c r="B53" s="1158" t="s">
        <v>1142</v>
      </c>
      <c r="C53" s="1159"/>
      <c r="D53" s="1159"/>
      <c r="E53" s="1159"/>
      <c r="F53" s="1159"/>
      <c r="G53" s="1159"/>
      <c r="H53" s="1159"/>
      <c r="I53" s="1159"/>
    </row>
    <row r="54" spans="1:9" ht="15" customHeight="1">
      <c r="A54" s="1020"/>
      <c r="B54" s="1020"/>
      <c r="C54" s="249"/>
      <c r="D54" s="1027"/>
      <c r="E54" s="1024"/>
      <c r="F54" s="1024"/>
      <c r="G54" s="1024"/>
      <c r="H54" s="1024"/>
      <c r="I54" s="1024"/>
    </row>
    <row r="55" spans="1:9" ht="14.25" customHeight="1">
      <c r="A55" s="1020"/>
      <c r="B55" s="1020"/>
      <c r="C55" s="1024"/>
      <c r="D55" s="1020"/>
      <c r="E55" s="1020"/>
      <c r="F55" s="1020"/>
      <c r="G55" s="1020"/>
      <c r="H55" s="1020"/>
      <c r="I55" s="1020"/>
    </row>
    <row r="56" spans="1:9" ht="15" customHeight="1">
      <c r="A56" s="1020"/>
      <c r="B56" s="101" t="s">
        <v>1146</v>
      </c>
      <c r="C56" s="101"/>
      <c r="D56" s="175"/>
      <c r="E56" s="175"/>
      <c r="F56" s="175"/>
      <c r="G56" s="175"/>
      <c r="H56" s="175"/>
      <c r="I56" s="1020"/>
    </row>
    <row r="57" spans="1:9" ht="11.25" customHeight="1">
      <c r="A57" s="1020"/>
      <c r="B57" s="175"/>
      <c r="C57" s="175"/>
      <c r="D57" s="175"/>
      <c r="E57" s="175"/>
      <c r="F57" s="175"/>
      <c r="G57" s="175"/>
      <c r="H57" s="175"/>
      <c r="I57" s="1020"/>
    </row>
    <row r="58" spans="1:9" ht="15" customHeight="1">
      <c r="A58" s="1020"/>
      <c r="B58" s="1551" t="s">
        <v>1149</v>
      </c>
      <c r="C58" s="1551"/>
      <c r="D58" s="1551" t="s">
        <v>991</v>
      </c>
      <c r="E58" s="1551"/>
      <c r="F58" s="1551"/>
      <c r="G58" s="1551" t="s">
        <v>1150</v>
      </c>
      <c r="H58" s="1551"/>
      <c r="I58" s="1020"/>
    </row>
    <row r="59" spans="1:9" ht="14.25" customHeight="1">
      <c r="A59" s="1020"/>
      <c r="B59" s="1429">
        <f>'STANDARD COMP.'!B59</f>
        <v>0</v>
      </c>
      <c r="C59" s="1430"/>
      <c r="D59" s="1429">
        <f>'STANDARD COMP.'!D59:D59</f>
        <v>0</v>
      </c>
      <c r="E59" s="1433"/>
      <c r="F59" s="1430"/>
      <c r="G59" s="1538">
        <f>'STANDARD COMP.'!G59</f>
        <v>0</v>
      </c>
      <c r="H59" s="1539"/>
      <c r="I59" s="1020"/>
    </row>
    <row r="60" spans="1:9" ht="15" customHeight="1">
      <c r="A60" s="1020"/>
      <c r="B60" s="1431"/>
      <c r="C60" s="1432"/>
      <c r="D60" s="1431"/>
      <c r="E60" s="1434"/>
      <c r="F60" s="1432"/>
      <c r="G60" s="1540"/>
      <c r="H60" s="1541"/>
      <c r="I60" s="1020"/>
    </row>
    <row r="61" spans="1:9" ht="14.25" customHeight="1">
      <c r="A61" s="1020"/>
      <c r="B61" s="1429">
        <f>'STANDARD COMP.'!B61</f>
        <v>0</v>
      </c>
      <c r="C61" s="1430"/>
      <c r="D61" s="1429">
        <f>'STANDARD COMP.'!D61:D61</f>
        <v>0</v>
      </c>
      <c r="E61" s="1433"/>
      <c r="F61" s="1430"/>
      <c r="G61" s="1538">
        <f>'STANDARD COMP.'!G61</f>
        <v>0</v>
      </c>
      <c r="H61" s="1539"/>
      <c r="I61" s="1020"/>
    </row>
    <row r="62" spans="1:9">
      <c r="A62" s="1020"/>
      <c r="B62" s="1431"/>
      <c r="C62" s="1432"/>
      <c r="D62" s="1431"/>
      <c r="E62" s="1434"/>
      <c r="F62" s="1432"/>
      <c r="G62" s="1540"/>
      <c r="H62" s="1541"/>
      <c r="I62" s="1020"/>
    </row>
    <row r="63" spans="1:9">
      <c r="A63" s="1020"/>
      <c r="B63" s="1429">
        <f>'STANDARD COMP.'!B63</f>
        <v>0</v>
      </c>
      <c r="C63" s="1430"/>
      <c r="D63" s="1429">
        <f>'STANDARD COMP.'!D63:D63</f>
        <v>0</v>
      </c>
      <c r="E63" s="1433"/>
      <c r="F63" s="1430"/>
      <c r="G63" s="1538">
        <f>'STANDARD COMP.'!G63</f>
        <v>0</v>
      </c>
      <c r="H63" s="1539"/>
      <c r="I63" s="1020"/>
    </row>
    <row r="64" spans="1:9">
      <c r="A64" s="1020"/>
      <c r="B64" s="1431"/>
      <c r="C64" s="1432"/>
      <c r="D64" s="1431"/>
      <c r="E64" s="1434"/>
      <c r="F64" s="1432"/>
      <c r="G64" s="1540"/>
      <c r="H64" s="1541"/>
      <c r="I64" s="1020"/>
    </row>
    <row r="65" spans="2:8">
      <c r="B65" s="1429">
        <f>'STANDARD COMP.'!B65</f>
        <v>0</v>
      </c>
      <c r="C65" s="1430"/>
      <c r="D65" s="1429">
        <f>'STANDARD COMP.'!D65:D65</f>
        <v>0</v>
      </c>
      <c r="E65" s="1433"/>
      <c r="F65" s="1430"/>
      <c r="G65" s="1538">
        <f>'STANDARD COMP.'!G65</f>
        <v>0</v>
      </c>
      <c r="H65" s="1539"/>
    </row>
    <row r="66" spans="2:8">
      <c r="B66" s="1431"/>
      <c r="C66" s="1432"/>
      <c r="D66" s="1431"/>
      <c r="E66" s="1434"/>
      <c r="F66" s="1432"/>
      <c r="G66" s="1540"/>
      <c r="H66" s="1541"/>
    </row>
    <row r="67" spans="2:8">
      <c r="B67" s="1429">
        <f>'STANDARD COMP.'!B67</f>
        <v>0</v>
      </c>
      <c r="C67" s="1430"/>
      <c r="D67" s="1429">
        <f>'STANDARD COMP.'!D67:D67</f>
        <v>0</v>
      </c>
      <c r="E67" s="1433"/>
      <c r="F67" s="1430"/>
      <c r="G67" s="1538">
        <f>'STANDARD COMP.'!G67</f>
        <v>0</v>
      </c>
      <c r="H67" s="1539"/>
    </row>
    <row r="68" spans="2:8">
      <c r="B68" s="1431"/>
      <c r="C68" s="1432"/>
      <c r="D68" s="1431"/>
      <c r="E68" s="1434"/>
      <c r="F68" s="1432"/>
      <c r="G68" s="1540"/>
      <c r="H68" s="1541"/>
    </row>
    <row r="69" spans="2:8">
      <c r="B69" s="1429">
        <f>'STANDARD COMP.'!B69</f>
        <v>0</v>
      </c>
      <c r="C69" s="1430"/>
      <c r="D69" s="1429">
        <f>'STANDARD COMP.'!D69:D69</f>
        <v>0</v>
      </c>
      <c r="E69" s="1433"/>
      <c r="F69" s="1430"/>
      <c r="G69" s="1538">
        <f>'STANDARD COMP.'!G69</f>
        <v>0</v>
      </c>
      <c r="H69" s="1539"/>
    </row>
    <row r="70" spans="2:8">
      <c r="B70" s="1431"/>
      <c r="C70" s="1432"/>
      <c r="D70" s="1431"/>
      <c r="E70" s="1434"/>
      <c r="F70" s="1432"/>
      <c r="G70" s="1540"/>
      <c r="H70" s="1541"/>
    </row>
    <row r="71" spans="2:8">
      <c r="B71" s="1027"/>
      <c r="C71" s="1027"/>
      <c r="D71" s="1791"/>
      <c r="E71" s="1791"/>
      <c r="F71" s="1791"/>
      <c r="G71" s="1027"/>
      <c r="H71" s="1027"/>
    </row>
    <row r="72" spans="2:8">
      <c r="B72" s="250"/>
      <c r="C72" s="250" t="s">
        <v>1257</v>
      </c>
      <c r="D72" s="1670"/>
      <c r="E72" s="1670"/>
      <c r="F72" s="1670"/>
      <c r="G72" s="1027"/>
      <c r="H72" s="1027"/>
    </row>
    <row r="73" spans="2:8">
      <c r="B73" s="1027"/>
      <c r="C73" s="1027"/>
      <c r="D73" s="1791"/>
      <c r="E73" s="1791"/>
      <c r="F73" s="1791"/>
      <c r="G73" s="1027"/>
      <c r="H73" s="1027"/>
    </row>
    <row r="74" spans="2:8">
      <c r="B74" s="1027"/>
      <c r="C74" s="1027"/>
      <c r="D74" s="1791"/>
      <c r="E74" s="1791"/>
      <c r="F74" s="1791"/>
      <c r="G74" s="1027"/>
      <c r="H74" s="1027"/>
    </row>
    <row r="76" spans="2:8">
      <c r="B76" s="100" t="s">
        <v>1168</v>
      </c>
      <c r="C76" s="100"/>
      <c r="D76" s="263"/>
      <c r="E76" s="100"/>
      <c r="F76" s="100" t="s">
        <v>1169</v>
      </c>
      <c r="G76" s="1024"/>
      <c r="H76" s="1020"/>
    </row>
    <row r="77" spans="2:8">
      <c r="B77" s="1024"/>
      <c r="C77" s="1024"/>
      <c r="D77" s="1765"/>
      <c r="E77" s="1024"/>
      <c r="F77" s="1024"/>
      <c r="G77" s="1024"/>
      <c r="H77" s="1020"/>
    </row>
    <row r="78" spans="2:8">
      <c r="B78" s="100"/>
      <c r="C78" s="100"/>
      <c r="D78" s="252"/>
      <c r="E78" s="100"/>
      <c r="F78" s="100"/>
      <c r="G78" s="100"/>
      <c r="H78" s="1020"/>
    </row>
    <row r="79" spans="2:8">
      <c r="B79" s="1413" t="str">
        <f>FORM!I28</f>
        <v xml:space="preserve">agent </v>
      </c>
      <c r="C79" s="1413"/>
      <c r="D79" s="1413"/>
      <c r="E79" s="100"/>
      <c r="F79" s="1547" t="str">
        <f>FORM!I26</f>
        <v>buyer</v>
      </c>
      <c r="G79" s="1547"/>
      <c r="H79" s="1547"/>
    </row>
    <row r="80" spans="2:8">
      <c r="B80" s="1068" t="s">
        <v>1170</v>
      </c>
      <c r="C80" s="1068"/>
      <c r="D80" s="1789"/>
      <c r="E80" s="1024"/>
      <c r="F80" s="1069" t="s">
        <v>1171</v>
      </c>
      <c r="G80" s="1069"/>
      <c r="H80" s="1792"/>
    </row>
  </sheetData>
  <sheetProtection password="CC2E" sheet="1" formatCells="0" formatColumns="0" formatRows="0"/>
  <mergeCells count="91">
    <mergeCell ref="B23:C23"/>
    <mergeCell ref="B16:C16"/>
    <mergeCell ref="B27:C27"/>
    <mergeCell ref="F27:H27"/>
    <mergeCell ref="B63:C64"/>
    <mergeCell ref="B26:C26"/>
    <mergeCell ref="B25:C25"/>
    <mergeCell ref="B61:C62"/>
    <mergeCell ref="D61:F62"/>
    <mergeCell ref="G61:H62"/>
    <mergeCell ref="G24:H24"/>
    <mergeCell ref="F25:H25"/>
    <mergeCell ref="F35:H35"/>
    <mergeCell ref="F50:I50"/>
    <mergeCell ref="F51:I51"/>
    <mergeCell ref="F52:I52"/>
    <mergeCell ref="F79:H79"/>
    <mergeCell ref="O15:P16"/>
    <mergeCell ref="O17:P17"/>
    <mergeCell ref="O18:P18"/>
    <mergeCell ref="O19:P19"/>
    <mergeCell ref="D63:F64"/>
    <mergeCell ref="B79:D79"/>
    <mergeCell ref="F26:H26"/>
    <mergeCell ref="B58:C58"/>
    <mergeCell ref="D58:F58"/>
    <mergeCell ref="G58:H58"/>
    <mergeCell ref="D72:F72"/>
    <mergeCell ref="B59:C60"/>
    <mergeCell ref="D59:F60"/>
    <mergeCell ref="G59:H60"/>
    <mergeCell ref="B69:C70"/>
    <mergeCell ref="B65:C66"/>
    <mergeCell ref="D65:F66"/>
    <mergeCell ref="G65:H66"/>
    <mergeCell ref="B67:C68"/>
    <mergeCell ref="D67:F68"/>
    <mergeCell ref="G67:H68"/>
    <mergeCell ref="D69:F70"/>
    <mergeCell ref="G69:H70"/>
    <mergeCell ref="O28:P28"/>
    <mergeCell ref="J18:K18"/>
    <mergeCell ref="M18:N18"/>
    <mergeCell ref="J20:K20"/>
    <mergeCell ref="M20:N20"/>
    <mergeCell ref="J19:K19"/>
    <mergeCell ref="M19:N19"/>
    <mergeCell ref="J28:L28"/>
    <mergeCell ref="F23:I23"/>
    <mergeCell ref="F18:I18"/>
    <mergeCell ref="G63:H64"/>
    <mergeCell ref="F46:I46"/>
    <mergeCell ref="F48:I48"/>
    <mergeCell ref="F49:I49"/>
    <mergeCell ref="E6:H6"/>
    <mergeCell ref="M6:P6"/>
    <mergeCell ref="M7:P7"/>
    <mergeCell ref="E8:H8"/>
    <mergeCell ref="M8:P8"/>
    <mergeCell ref="E7:F7"/>
    <mergeCell ref="G2:H2"/>
    <mergeCell ref="E13:F13"/>
    <mergeCell ref="M13:N13"/>
    <mergeCell ref="B9:C9"/>
    <mergeCell ref="B10:C10"/>
    <mergeCell ref="E12:F12"/>
    <mergeCell ref="M12:N12"/>
    <mergeCell ref="E10:H10"/>
    <mergeCell ref="M10:P10"/>
    <mergeCell ref="E11:F11"/>
    <mergeCell ref="M11:N11"/>
    <mergeCell ref="O3:P3"/>
    <mergeCell ref="B4:H4"/>
    <mergeCell ref="J4:P4"/>
    <mergeCell ref="E9:H9"/>
    <mergeCell ref="M9:P9"/>
    <mergeCell ref="F15:H15"/>
    <mergeCell ref="F17:H17"/>
    <mergeCell ref="F38:H38"/>
    <mergeCell ref="M15:N16"/>
    <mergeCell ref="F20:H20"/>
    <mergeCell ref="F21:H21"/>
    <mergeCell ref="M17:N17"/>
    <mergeCell ref="J15:K16"/>
    <mergeCell ref="J17:K17"/>
    <mergeCell ref="L15:L16"/>
    <mergeCell ref="F36:H36"/>
    <mergeCell ref="F37:H37"/>
    <mergeCell ref="F34:H34"/>
    <mergeCell ref="F29:H29"/>
    <mergeCell ref="F16:H16"/>
  </mergeCells>
  <pageMargins left="0.70866141732283472" right="0.70866141732283472" top="0.9055118110236221" bottom="0.74803149606299213" header="0.31496062992125984" footer="0.31496062992125984"/>
  <pageSetup paperSize="14" scale="75" orientation="portrait" r:id="rId1"/>
  <headerFooter>
    <oddHeader xml:space="preserve">&amp;R&amp;"Century Gothic,Bold"&amp;18ANNEX A: 
SAMPLE PACKAGE COMPUTATION
</oddHeader>
  </headerFooter>
  <colBreaks count="1" manualBreakCount="1">
    <brk id="8" max="80" man="1"/>
  </colBreak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2"/>
  <dimension ref="A1:U123"/>
  <sheetViews>
    <sheetView showGridLines="0" showZeros="0" view="pageLayout" topLeftCell="A97" zoomScaleNormal="100" zoomScaleSheetLayoutView="85" workbookViewId="0">
      <selection activeCell="A113" sqref="A113:U113"/>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1182</v>
      </c>
      <c r="B3" s="22"/>
      <c r="C3" s="76"/>
      <c r="D3" s="1471" t="str">
        <f>FORM!I26</f>
        <v>buyer</v>
      </c>
      <c r="E3" s="1471"/>
      <c r="F3" s="1471"/>
      <c r="G3" s="1471"/>
      <c r="H3" s="1471"/>
      <c r="I3" s="1471"/>
      <c r="J3" s="1471"/>
      <c r="K3" s="1471"/>
      <c r="L3" s="1471"/>
      <c r="M3" s="1471"/>
      <c r="N3" s="1471"/>
      <c r="O3" s="1471"/>
      <c r="P3" s="1471"/>
      <c r="Q3" s="1471"/>
      <c r="R3" s="22"/>
      <c r="S3" s="22"/>
      <c r="T3" s="22"/>
      <c r="U3" s="24" t="s">
        <v>1183</v>
      </c>
    </row>
    <row r="4" spans="1:21">
      <c r="A4" s="1472" t="str">
        <f>FORM!I30</f>
        <v>address</v>
      </c>
      <c r="B4" s="1472"/>
      <c r="C4" s="1472"/>
      <c r="D4" s="1472"/>
      <c r="E4" s="1472"/>
      <c r="F4" s="1472"/>
      <c r="G4" s="1472"/>
      <c r="H4" s="1472"/>
      <c r="I4" s="1472"/>
      <c r="J4" s="1472"/>
      <c r="K4" s="1472"/>
      <c r="L4" s="1472"/>
      <c r="M4" s="1472"/>
      <c r="N4" s="1472"/>
      <c r="O4" s="1472"/>
      <c r="P4" s="1472"/>
      <c r="Q4" s="1472"/>
      <c r="R4" s="22"/>
      <c r="S4" s="22"/>
      <c r="T4" s="22"/>
      <c r="U4" s="24" t="s">
        <v>1184</v>
      </c>
    </row>
    <row r="5" spans="1:21" ht="16.5" customHeight="1">
      <c r="A5" s="1473" t="s">
        <v>1185</v>
      </c>
      <c r="B5" s="1473"/>
      <c r="C5" s="1473"/>
      <c r="D5" s="1473"/>
      <c r="E5" s="1473"/>
      <c r="F5" s="1473"/>
      <c r="G5" s="1473"/>
      <c r="H5" s="1473"/>
      <c r="I5" s="1473"/>
      <c r="J5" s="1473"/>
      <c r="K5" s="1473"/>
      <c r="L5" s="1473"/>
      <c r="M5" s="1473"/>
      <c r="N5" s="1473"/>
      <c r="O5" s="1473"/>
      <c r="P5" s="1473"/>
      <c r="Q5" s="1473"/>
      <c r="R5" s="1473"/>
      <c r="S5" s="1473"/>
      <c r="T5" s="1473"/>
      <c r="U5" s="1473"/>
    </row>
    <row r="6" spans="1:21">
      <c r="A6" s="1473"/>
      <c r="B6" s="1473"/>
      <c r="C6" s="1473"/>
      <c r="D6" s="1473"/>
      <c r="E6" s="1473"/>
      <c r="F6" s="1473"/>
      <c r="G6" s="1473"/>
      <c r="H6" s="1473"/>
      <c r="I6" s="1473"/>
      <c r="J6" s="1473"/>
      <c r="K6" s="1473"/>
      <c r="L6" s="1473"/>
      <c r="M6" s="1473"/>
      <c r="N6" s="1473"/>
      <c r="O6" s="1473"/>
      <c r="P6" s="1473"/>
      <c r="Q6" s="1473"/>
      <c r="R6" s="1473"/>
      <c r="S6" s="1473"/>
      <c r="T6" s="1473"/>
      <c r="U6" s="1473"/>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1186</v>
      </c>
      <c r="B8" s="22"/>
      <c r="C8" s="22"/>
      <c r="D8" s="22"/>
      <c r="E8" s="22"/>
      <c r="F8" s="22"/>
      <c r="G8" s="22"/>
      <c r="H8" s="1471" t="str">
        <f>FORM!AB11</f>
        <v>Iloilo Southprime Developers Inc.</v>
      </c>
      <c r="I8" s="1471"/>
      <c r="J8" s="1471"/>
      <c r="K8" s="1471"/>
      <c r="L8" s="1471"/>
      <c r="M8" s="1471"/>
      <c r="N8" s="1471"/>
      <c r="O8" s="1471"/>
      <c r="P8" s="22"/>
      <c r="Q8" s="22"/>
      <c r="R8" s="22"/>
      <c r="S8" s="22"/>
      <c r="T8" s="22"/>
      <c r="U8" s="24" t="s">
        <v>1187</v>
      </c>
    </row>
    <row r="9" spans="1:21">
      <c r="A9" s="1474" t="s">
        <v>1188</v>
      </c>
      <c r="B9" s="1474"/>
      <c r="C9" s="1474"/>
      <c r="D9" s="1474"/>
      <c r="E9" s="1474"/>
      <c r="F9" s="1474"/>
      <c r="G9" s="1474"/>
      <c r="H9" s="1474"/>
      <c r="I9" s="1474"/>
      <c r="J9" s="1474"/>
      <c r="K9" s="1474"/>
      <c r="L9" s="1474"/>
      <c r="M9" s="1474"/>
      <c r="N9" s="1474"/>
      <c r="O9" s="1474"/>
      <c r="P9" s="1474"/>
      <c r="Q9" s="1474"/>
      <c r="R9" s="1474"/>
      <c r="S9" s="1474"/>
      <c r="T9" s="1474"/>
      <c r="U9" s="1474"/>
    </row>
    <row r="10" spans="1:21">
      <c r="A10" s="1470" t="str">
        <f>FORM!AB12</f>
        <v>Avancena St Brgy. Avancena Molo Iloilo City</v>
      </c>
      <c r="B10" s="1470"/>
      <c r="C10" s="1470"/>
      <c r="D10" s="1470"/>
      <c r="E10" s="1470"/>
      <c r="F10" s="1470"/>
      <c r="G10" s="1470"/>
      <c r="H10" s="1470"/>
      <c r="I10" s="1470"/>
      <c r="J10" s="1470"/>
      <c r="K10" s="1470"/>
      <c r="L10" s="1470"/>
      <c r="M10" s="1470"/>
      <c r="N10" s="1470"/>
      <c r="O10" s="1470"/>
      <c r="P10" s="1470"/>
      <c r="Q10" s="22"/>
      <c r="R10" s="22"/>
      <c r="S10" s="22"/>
      <c r="T10" s="22"/>
      <c r="U10" s="24" t="s">
        <v>1189</v>
      </c>
    </row>
    <row r="11" spans="1:21">
      <c r="A11" s="22" t="s">
        <v>1190</v>
      </c>
      <c r="B11" s="22"/>
      <c r="C11" s="22"/>
      <c r="D11" s="22"/>
      <c r="E11" s="22"/>
      <c r="F11" s="22"/>
      <c r="G11" s="22"/>
      <c r="H11" s="22"/>
      <c r="I11" s="1472" t="str">
        <f>FORM!I11</f>
        <v>The Southprime Flats</v>
      </c>
      <c r="J11" s="1472"/>
      <c r="K11" s="1472"/>
      <c r="L11" s="1472"/>
      <c r="M11" s="1472"/>
      <c r="N11" s="1472"/>
      <c r="O11" s="1472"/>
      <c r="P11" s="1472"/>
      <c r="Q11" s="1472"/>
      <c r="R11" s="1472"/>
      <c r="S11" s="1472"/>
      <c r="T11" s="1472"/>
      <c r="U11" s="1472"/>
    </row>
    <row r="12" spans="1:21">
      <c r="A12" s="22" t="s">
        <v>1191</v>
      </c>
      <c r="B12" s="22"/>
      <c r="C12" s="22"/>
      <c r="D12" s="22"/>
      <c r="E12" s="22"/>
      <c r="F12" s="22"/>
      <c r="G12" s="22"/>
      <c r="H12" s="22"/>
      <c r="I12" s="22"/>
      <c r="J12" s="22"/>
      <c r="K12" s="22"/>
      <c r="L12" s="22"/>
      <c r="M12" s="1475" t="str">
        <f>FORM!AB13</f>
        <v>Abeto Street, Brgy. Abeto-Mirasol, Mandurriao, Iloilo City</v>
      </c>
      <c r="N12" s="1475"/>
      <c r="O12" s="1475"/>
      <c r="P12" s="1475"/>
      <c r="Q12" s="1475"/>
      <c r="R12" s="1475"/>
      <c r="S12" s="1475"/>
      <c r="T12" s="1475"/>
      <c r="U12" s="1475"/>
    </row>
    <row r="13" spans="1:21">
      <c r="A13" s="22" t="s">
        <v>1192</v>
      </c>
      <c r="B13" s="22"/>
      <c r="C13" s="22"/>
      <c r="D13" s="22"/>
      <c r="E13" s="22"/>
      <c r="F13" s="22"/>
      <c r="G13" s="22"/>
      <c r="H13" s="22"/>
      <c r="I13" s="22"/>
      <c r="J13" s="22"/>
      <c r="K13" s="1476" t="str">
        <f>'STANDARD COMP.'!E10</f>
        <v>Studio</v>
      </c>
      <c r="L13" s="1472"/>
      <c r="M13" s="1472"/>
      <c r="N13" s="1472"/>
      <c r="O13" s="1472"/>
      <c r="P13" s="1472"/>
      <c r="Q13" s="1472"/>
      <c r="R13" s="1472"/>
      <c r="S13" s="1472"/>
      <c r="T13" s="1472"/>
      <c r="U13" s="1472"/>
    </row>
    <row r="14" spans="1:21" ht="13.5" customHeight="1">
      <c r="A14" s="22" t="s">
        <v>1193</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1194</v>
      </c>
      <c r="B16" s="27"/>
      <c r="C16" s="27"/>
      <c r="D16" s="25"/>
      <c r="E16" s="1475" t="str">
        <f>FORM!I11</f>
        <v>The Southprime Flats</v>
      </c>
      <c r="F16" s="1475"/>
      <c r="G16" s="1475"/>
      <c r="H16" s="1475"/>
      <c r="I16" s="1475"/>
      <c r="J16" s="1475"/>
      <c r="K16" s="1475"/>
      <c r="L16" s="1475"/>
      <c r="M16" s="1475"/>
      <c r="N16" s="1475"/>
      <c r="O16" s="1475"/>
      <c r="P16" s="1475"/>
      <c r="Q16" s="1475"/>
      <c r="R16" s="1475"/>
      <c r="S16" s="1475"/>
      <c r="T16" s="1475"/>
      <c r="U16" s="58"/>
    </row>
    <row r="17" spans="1:21" ht="14.1">
      <c r="A17" s="28" t="s">
        <v>1195</v>
      </c>
      <c r="B17" s="29"/>
      <c r="C17" s="29"/>
      <c r="D17" s="30"/>
      <c r="E17" s="31" t="s">
        <v>1196</v>
      </c>
      <c r="F17" s="30"/>
      <c r="G17" s="30"/>
      <c r="H17" s="30"/>
      <c r="I17" s="30"/>
      <c r="J17" s="30"/>
      <c r="K17" s="30"/>
      <c r="L17" s="56" t="s">
        <v>1197</v>
      </c>
      <c r="M17" s="30"/>
      <c r="N17" s="30"/>
      <c r="O17" s="30"/>
      <c r="P17" s="30"/>
      <c r="Q17" s="30"/>
      <c r="R17" s="30"/>
      <c r="S17" s="30"/>
      <c r="T17" s="31" t="s">
        <v>1198</v>
      </c>
      <c r="U17" s="55"/>
    </row>
    <row r="18" spans="1:21" ht="14.1">
      <c r="A18" s="32"/>
      <c r="B18" s="5"/>
      <c r="C18" s="5"/>
      <c r="D18" s="5"/>
      <c r="E18" s="33" t="s">
        <v>1199</v>
      </c>
      <c r="F18" s="5"/>
      <c r="G18" s="5"/>
      <c r="H18" s="5"/>
      <c r="I18" s="5"/>
      <c r="J18" s="5"/>
      <c r="K18" s="5"/>
      <c r="L18" s="33" t="s">
        <v>1200</v>
      </c>
      <c r="M18" s="5"/>
      <c r="N18" s="5"/>
      <c r="O18" s="5"/>
      <c r="P18" s="5"/>
      <c r="Q18" s="5"/>
      <c r="R18" s="5"/>
      <c r="S18" s="5"/>
      <c r="T18" s="33" t="s">
        <v>1201</v>
      </c>
      <c r="U18" s="34"/>
    </row>
    <row r="19" spans="1:21">
      <c r="T19" s="2" t="s">
        <v>60</v>
      </c>
    </row>
    <row r="20" spans="1:21" ht="14.1">
      <c r="A20" s="1477" t="s">
        <v>1202</v>
      </c>
      <c r="B20" s="1478"/>
      <c r="C20" s="1478"/>
      <c r="D20" s="1478"/>
      <c r="E20" s="1478"/>
      <c r="F20" s="1479"/>
      <c r="G20" s="1477" t="s">
        <v>1203</v>
      </c>
      <c r="H20" s="1478"/>
      <c r="I20" s="1478"/>
      <c r="J20" s="1478"/>
      <c r="K20" s="1478"/>
      <c r="L20" s="1479"/>
      <c r="M20" s="1477" t="s">
        <v>1204</v>
      </c>
      <c r="N20" s="1478"/>
      <c r="O20" s="1478"/>
      <c r="P20" s="1478"/>
      <c r="Q20" s="1479"/>
      <c r="R20" s="1477" t="s">
        <v>1200</v>
      </c>
      <c r="S20" s="1478"/>
      <c r="T20" s="1478"/>
      <c r="U20" s="1479"/>
    </row>
    <row r="21" spans="1:21" ht="14.1">
      <c r="A21" s="39" t="s">
        <v>1205</v>
      </c>
      <c r="B21" s="40"/>
      <c r="C21" s="40"/>
      <c r="D21" s="1480" t="str">
        <f>FORM!I14</f>
        <v>B3</v>
      </c>
      <c r="E21" s="1481"/>
      <c r="F21" s="1482"/>
      <c r="G21" s="39" t="s">
        <v>1205</v>
      </c>
      <c r="H21" s="40"/>
      <c r="I21" s="41"/>
      <c r="J21" s="1483"/>
      <c r="K21" s="1484"/>
      <c r="L21" s="1485"/>
      <c r="M21" s="39" t="s">
        <v>1206</v>
      </c>
      <c r="N21" s="40"/>
      <c r="O21" s="41"/>
      <c r="P21" s="1486"/>
      <c r="Q21" s="1487"/>
      <c r="R21" s="80" t="s">
        <v>1205</v>
      </c>
      <c r="S21" s="81"/>
      <c r="T21" s="1488"/>
      <c r="U21" s="1489"/>
    </row>
    <row r="22" spans="1:21" ht="14.1">
      <c r="A22" s="37" t="s">
        <v>1207</v>
      </c>
      <c r="B22" s="38"/>
      <c r="C22" s="38"/>
      <c r="D22" s="1480" t="str">
        <f>FORM!I16</f>
        <v>11th Floor</v>
      </c>
      <c r="E22" s="1481"/>
      <c r="F22" s="1482"/>
      <c r="G22" s="39" t="s">
        <v>1208</v>
      </c>
      <c r="H22" s="40"/>
      <c r="I22" s="41"/>
      <c r="J22" s="1483"/>
      <c r="K22" s="1484"/>
      <c r="L22" s="1485"/>
      <c r="M22" s="39" t="s">
        <v>1209</v>
      </c>
      <c r="N22" s="40"/>
      <c r="O22" s="41"/>
      <c r="P22" s="1486"/>
      <c r="Q22" s="1487"/>
      <c r="R22" s="80" t="s">
        <v>1210</v>
      </c>
      <c r="S22" s="81"/>
      <c r="T22" s="1488"/>
      <c r="U22" s="1489"/>
    </row>
    <row r="23" spans="1:21" ht="14.1">
      <c r="A23" s="39" t="s">
        <v>1210</v>
      </c>
      <c r="B23" s="40"/>
      <c r="C23" s="41"/>
      <c r="D23" s="1480" t="str">
        <f>FORM!I18</f>
        <v>E-11K</v>
      </c>
      <c r="E23" s="1481"/>
      <c r="F23" s="1482"/>
      <c r="G23" s="39" t="s">
        <v>1211</v>
      </c>
      <c r="H23" s="40"/>
      <c r="I23" s="41"/>
      <c r="J23" s="1483"/>
      <c r="K23" s="1484"/>
      <c r="L23" s="1485"/>
      <c r="M23" s="39" t="s">
        <v>1212</v>
      </c>
      <c r="N23" s="40"/>
      <c r="O23" s="41"/>
      <c r="P23" s="1486"/>
      <c r="Q23" s="1487"/>
      <c r="R23" s="80" t="s">
        <v>1213</v>
      </c>
      <c r="S23" s="81"/>
      <c r="T23" s="1488"/>
      <c r="U23" s="1489"/>
    </row>
    <row r="24" spans="1:21" ht="16.5" customHeight="1">
      <c r="A24" s="37" t="s">
        <v>1214</v>
      </c>
      <c r="B24" s="38"/>
      <c r="C24" s="38"/>
      <c r="D24" s="1493">
        <f>'STANDARD COMP.'!E13</f>
        <v>22</v>
      </c>
      <c r="E24" s="1494"/>
      <c r="F24" s="1495"/>
      <c r="G24" s="39" t="s">
        <v>1213</v>
      </c>
      <c r="H24" s="40"/>
      <c r="I24" s="41"/>
      <c r="J24" s="1483"/>
      <c r="K24" s="1484"/>
      <c r="L24" s="1485"/>
      <c r="M24" s="37" t="s">
        <v>1215</v>
      </c>
      <c r="N24" s="38"/>
      <c r="O24" s="38"/>
      <c r="P24" s="1486"/>
      <c r="Q24" s="1487"/>
      <c r="R24" s="1496" t="s">
        <v>1216</v>
      </c>
      <c r="S24" s="1497"/>
      <c r="T24" s="1500"/>
      <c r="U24" s="1501"/>
    </row>
    <row r="25" spans="1:21" ht="14.1">
      <c r="A25" s="39" t="s">
        <v>1217</v>
      </c>
      <c r="B25" s="40"/>
      <c r="C25" s="41"/>
      <c r="D25" s="1504" t="str">
        <f>K13</f>
        <v>Studio</v>
      </c>
      <c r="E25" s="1481"/>
      <c r="F25" s="1482"/>
      <c r="G25" s="39" t="s">
        <v>1218</v>
      </c>
      <c r="H25" s="40"/>
      <c r="I25" s="41"/>
      <c r="J25" s="1483"/>
      <c r="K25" s="1484"/>
      <c r="L25" s="1485"/>
      <c r="M25" s="39" t="s">
        <v>1219</v>
      </c>
      <c r="N25" s="40"/>
      <c r="O25" s="41"/>
      <c r="P25" s="1480"/>
      <c r="Q25" s="1482"/>
      <c r="R25" s="1498"/>
      <c r="S25" s="1499"/>
      <c r="T25" s="1502"/>
      <c r="U25" s="1503"/>
    </row>
    <row r="27" spans="1:21" ht="14.1">
      <c r="A27" s="39" t="s">
        <v>1220</v>
      </c>
      <c r="B27" s="40"/>
      <c r="C27" s="40"/>
      <c r="D27" s="40"/>
      <c r="E27" s="40"/>
      <c r="F27" s="40"/>
      <c r="G27" s="40"/>
      <c r="H27" s="41"/>
      <c r="I27" s="1557">
        <f>'SPOT EQUITY_7DAYS'!F15</f>
        <v>4123028.1810342241</v>
      </c>
      <c r="J27" s="1558"/>
      <c r="K27" s="1558"/>
      <c r="L27" s="1558"/>
      <c r="M27" s="1558"/>
      <c r="N27" s="1558"/>
      <c r="O27" s="1558"/>
      <c r="P27" s="1558"/>
      <c r="Q27" s="1558"/>
      <c r="R27" s="1558"/>
      <c r="S27" s="1558"/>
      <c r="T27" s="1558"/>
      <c r="U27" s="1559"/>
    </row>
    <row r="28" spans="1:21" ht="14.1">
      <c r="A28" s="39" t="s">
        <v>1221</v>
      </c>
      <c r="B28" s="40"/>
      <c r="C28" s="42"/>
      <c r="D28" s="42"/>
      <c r="E28" s="42"/>
      <c r="F28" s="42"/>
      <c r="G28" s="42"/>
      <c r="H28" s="43"/>
      <c r="I28" s="1560">
        <f>'SPOT EQUITY_7DAYS'!F16+'SPOT EQUITY_7DAYS'!F17</f>
        <v>51537.852262927801</v>
      </c>
      <c r="J28" s="1561"/>
      <c r="K28" s="1561"/>
      <c r="L28" s="1561"/>
      <c r="M28" s="1561"/>
      <c r="N28" s="1561"/>
      <c r="O28" s="1561"/>
      <c r="P28" s="1561"/>
      <c r="Q28" s="1561"/>
      <c r="R28" s="1561"/>
      <c r="S28" s="1561"/>
      <c r="T28" s="1561"/>
      <c r="U28" s="1562"/>
    </row>
    <row r="29" spans="1:21" ht="14.1">
      <c r="A29" s="49" t="s">
        <v>1222</v>
      </c>
      <c r="B29" s="50"/>
      <c r="C29" s="51"/>
      <c r="D29" s="51"/>
      <c r="E29" s="51"/>
      <c r="F29" s="51"/>
      <c r="G29" s="51"/>
      <c r="H29" s="48"/>
      <c r="I29" s="1557">
        <f>'SPOT EQUITY_7DAYS'!F18</f>
        <v>4071490.3287712964</v>
      </c>
      <c r="J29" s="1558"/>
      <c r="K29" s="1558"/>
      <c r="L29" s="1558"/>
      <c r="M29" s="1558"/>
      <c r="N29" s="1558"/>
      <c r="O29" s="1558"/>
      <c r="P29" s="1558"/>
      <c r="Q29" s="1558"/>
      <c r="R29" s="1558"/>
      <c r="S29" s="1558"/>
      <c r="T29" s="1558"/>
      <c r="U29" s="1559"/>
    </row>
    <row r="30" spans="1:21" ht="14.1">
      <c r="A30" s="39" t="s">
        <v>1223</v>
      </c>
      <c r="B30" s="40"/>
      <c r="C30" s="42"/>
      <c r="D30" s="42"/>
      <c r="E30" s="42"/>
      <c r="F30" s="42"/>
      <c r="G30" s="42"/>
      <c r="H30" s="43"/>
      <c r="I30" s="1557">
        <f>'SPOT EQUITY_7DAYS'!F21</f>
        <v>525686.0930818636</v>
      </c>
      <c r="J30" s="1558"/>
      <c r="K30" s="1558"/>
      <c r="L30" s="1558"/>
      <c r="M30" s="1558"/>
      <c r="N30" s="1558"/>
      <c r="O30" s="1558"/>
      <c r="P30" s="1558"/>
      <c r="Q30" s="1558"/>
      <c r="R30" s="1558"/>
      <c r="S30" s="1558"/>
      <c r="T30" s="1558"/>
      <c r="U30" s="1559"/>
    </row>
    <row r="31" spans="1:21" ht="14.1">
      <c r="A31" s="39" t="s">
        <v>1224</v>
      </c>
      <c r="B31" s="40"/>
      <c r="C31" s="42"/>
      <c r="D31" s="42"/>
      <c r="E31" s="42"/>
      <c r="F31" s="42"/>
      <c r="G31" s="42"/>
      <c r="H31" s="43"/>
      <c r="I31" s="1557">
        <f>'SPOT EQUITY_7DAYS'!F20</f>
        <v>0</v>
      </c>
      <c r="J31" s="1558"/>
      <c r="K31" s="1558"/>
      <c r="L31" s="1558"/>
      <c r="M31" s="1558"/>
      <c r="N31" s="1558"/>
      <c r="O31" s="1558"/>
      <c r="P31" s="1558"/>
      <c r="Q31" s="1558"/>
      <c r="R31" s="1558"/>
      <c r="S31" s="1558"/>
      <c r="T31" s="1558"/>
      <c r="U31" s="1559"/>
    </row>
    <row r="32" spans="1:21" ht="14.1">
      <c r="A32" s="39" t="s">
        <v>170</v>
      </c>
      <c r="B32" s="40"/>
      <c r="C32" s="42"/>
      <c r="D32" s="42"/>
      <c r="E32" s="42"/>
      <c r="F32" s="42"/>
      <c r="G32" s="42"/>
      <c r="H32" s="43"/>
      <c r="I32" s="1557">
        <f>'SPOT EQUITY_7DAYS'!F23</f>
        <v>4597176.4218531605</v>
      </c>
      <c r="J32" s="1558"/>
      <c r="K32" s="1558"/>
      <c r="L32" s="1558"/>
      <c r="M32" s="1558"/>
      <c r="N32" s="1558"/>
      <c r="O32" s="1558"/>
      <c r="P32" s="1558"/>
      <c r="Q32" s="1558"/>
      <c r="R32" s="1558"/>
      <c r="S32" s="1558"/>
      <c r="T32" s="1558"/>
      <c r="U32" s="1559"/>
    </row>
    <row r="34" spans="1:21">
      <c r="A34" s="70" t="s">
        <v>1225</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1226</v>
      </c>
      <c r="E36" s="18"/>
      <c r="F36" s="18"/>
      <c r="G36" s="18"/>
      <c r="H36" s="18"/>
      <c r="I36" s="18"/>
      <c r="J36" s="18"/>
      <c r="K36" s="18"/>
      <c r="L36" s="18"/>
      <c r="M36" s="18" t="s">
        <v>1227</v>
      </c>
      <c r="O36" s="18"/>
      <c r="P36" s="18"/>
      <c r="Q36" s="18"/>
      <c r="R36" s="18"/>
      <c r="S36" s="18" t="s">
        <v>1228</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1229</v>
      </c>
      <c r="T39"/>
    </row>
    <row r="40" spans="1:21" ht="13.5" customHeight="1">
      <c r="A40" s="75" t="s">
        <v>1230</v>
      </c>
      <c r="C40" s="1507" t="s">
        <v>1231</v>
      </c>
      <c r="D40" s="1507"/>
      <c r="E40" s="1507"/>
      <c r="F40" s="1507"/>
      <c r="G40" s="1507"/>
      <c r="H40" s="1507"/>
      <c r="I40" s="1507"/>
      <c r="J40" s="1507"/>
      <c r="K40" s="1507"/>
      <c r="L40" s="1507"/>
      <c r="M40" s="1507"/>
      <c r="N40" s="1507"/>
      <c r="O40" s="150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"&amp;PROPER(IF(LEN(LEFT(TRIM(MID(SUBSTITUTE([9]Sheet1!A2,".",REPT(" ",255)),255,200)),2))=1,CHOOSE(1*LEFT(TRIM(MID(SUBSTITUTE([9]Sheet1!A2,".",REPT(" ",255)),255,200)),2),"ten","twenty","thirty","forty","fifty","sixty","seventy","eighty","ninety")&amp;" cents","")&amp;CONCATENATE(CHOOSE(MID(TEXT(INT(LEFT(TRIM(MID(SUBSTITUTE([9]Sheet1!A2,".",REPT(" ",255)),255,200)),2)),REPT(0,12)),11,1)+1,"",CHOOSE(MID(TEXT(INT(LEFT(TRIM(MID(SUBSTITUTE([9]Sheet1!A2,".",REPT(" ",255)),255,200)),2)),REPT(0,12)),12,1)+1,"ten","eleven","twelve","thirteen","fourteen","fifteen","sixteen","seventeen","eighteen","nineteen")&amp;" cents","twenty","thirty","forty","fifty","sixty","seventy","eighty","ninety"),IF(VALUE(MID(TEXT(INT(LEFT(TRIM(MID(SUBSTITUTE([9]Sheet1!A2,".",REPT(" ",255)),255,200)),2)),REPT(0,12)),11,1))&gt;1,CHOOSE(MID(TEXT(INT(LEFT(TRIM(MID(SUBSTITUTE([9]Sheet1!A2,".",REPT(" ",255)),255,200)),2)),REPT(0,12)),12,1)+1,"","-one","-two","-three","-four","-five","-six","-seven","-eight","-nine")&amp;" cents",IF(LEFT(TRIM(MID(SUBSTITUTE([9]Sheet1!A2,".",REPT(" ",255)),255,200)),2)="01","one cent",IF(LEFT(TRIM(MID(SUBSTITUTE([9]Sheet1!A2,".",REPT(" ",255)),255,200)),1)="0",CHOOSE(MID(TEXT(INT(LEFT(TRIM(MID(SUBSTITUTE([9]Sheet1!A2,".",REPT(" ",255)),255,200)),2)),REPT(0,12)),12,1)+1,"","one","two","three","four","five","six","seven","eight","nine")&amp;" cents","")))))))</f>
        <v>Thirty Thousand  Pesos</v>
      </c>
      <c r="P40" s="1508"/>
      <c r="Q40" s="1508"/>
      <c r="R40" s="1508"/>
      <c r="S40" s="79" t="s">
        <v>1232</v>
      </c>
      <c r="T40" s="358">
        <f>FORM!I22</f>
        <v>30000</v>
      </c>
      <c r="U40" s="82" t="s">
        <v>1233</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60</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1234</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1235</v>
      </c>
      <c r="D89" s="59"/>
      <c r="E89" s="59"/>
      <c r="F89" s="59"/>
      <c r="G89" s="59"/>
      <c r="H89" s="59"/>
      <c r="I89" s="59"/>
      <c r="J89" s="59"/>
      <c r="K89" s="66" t="s">
        <v>1236</v>
      </c>
      <c r="L89" s="59"/>
      <c r="M89" s="59"/>
      <c r="N89" s="59"/>
      <c r="O89" s="59"/>
      <c r="P89" s="59"/>
      <c r="Q89" s="59"/>
      <c r="R89" s="66" t="s">
        <v>1237</v>
      </c>
      <c r="S89" s="66"/>
      <c r="T89" s="66"/>
      <c r="U89" s="65"/>
    </row>
    <row r="90" spans="1:21" ht="14.1">
      <c r="A90" s="187"/>
      <c r="B90" s="188"/>
      <c r="C90" s="59" t="s">
        <v>1238</v>
      </c>
      <c r="D90" s="189"/>
      <c r="E90" s="1509"/>
      <c r="F90" s="1509"/>
      <c r="G90" s="1509"/>
      <c r="H90" s="189"/>
      <c r="I90" s="189"/>
      <c r="J90" s="188"/>
      <c r="K90" s="59" t="s">
        <v>1239</v>
      </c>
      <c r="L90" s="189"/>
      <c r="M90" s="1509"/>
      <c r="N90" s="1509"/>
      <c r="O90" s="1509"/>
      <c r="P90" s="189"/>
      <c r="Q90" s="188"/>
      <c r="R90" s="59" t="s">
        <v>1240</v>
      </c>
      <c r="S90" s="1509"/>
      <c r="T90" s="1509"/>
      <c r="U90" s="65"/>
    </row>
    <row r="91" spans="1:21" ht="14.1">
      <c r="A91" s="187"/>
      <c r="B91" s="188"/>
      <c r="C91" s="59" t="s">
        <v>1241</v>
      </c>
      <c r="D91" s="189"/>
      <c r="E91" s="1509"/>
      <c r="F91" s="1509"/>
      <c r="G91" s="1509"/>
      <c r="H91" s="189"/>
      <c r="I91" s="189"/>
      <c r="J91" s="188"/>
      <c r="K91" s="59" t="s">
        <v>1242</v>
      </c>
      <c r="L91" s="189"/>
      <c r="M91" s="1509"/>
      <c r="N91" s="1509"/>
      <c r="O91" s="1509"/>
      <c r="P91" s="189"/>
      <c r="Q91" s="188"/>
      <c r="R91" s="59" t="s">
        <v>1243</v>
      </c>
      <c r="S91" s="1510"/>
      <c r="T91" s="1510"/>
      <c r="U91" s="65"/>
    </row>
    <row r="92" spans="1:21" ht="14.1">
      <c r="A92" s="187"/>
      <c r="B92" s="189"/>
      <c r="C92" s="189"/>
      <c r="D92" s="189"/>
      <c r="E92" s="189"/>
      <c r="F92" s="189"/>
      <c r="G92" s="189"/>
      <c r="H92" s="189"/>
      <c r="I92" s="189"/>
      <c r="J92" s="189"/>
      <c r="K92" s="189"/>
      <c r="L92" s="189"/>
      <c r="M92" s="189"/>
      <c r="N92" s="189"/>
      <c r="O92" s="189"/>
      <c r="P92" s="189"/>
      <c r="Q92" s="188"/>
      <c r="R92" s="59" t="s">
        <v>1244</v>
      </c>
      <c r="S92" s="1510"/>
      <c r="T92" s="1510"/>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511" t="s">
        <v>1245</v>
      </c>
      <c r="B95" s="1512"/>
      <c r="C95" s="1512"/>
      <c r="D95" s="1512"/>
      <c r="E95" s="1512"/>
      <c r="F95" s="1512"/>
      <c r="G95" s="1512"/>
      <c r="H95" s="1512"/>
      <c r="I95" s="1512"/>
      <c r="J95" s="1512"/>
      <c r="K95" s="1512"/>
      <c r="L95" s="1512"/>
      <c r="M95" s="1512"/>
      <c r="N95" s="1512"/>
      <c r="O95" s="1512"/>
      <c r="P95" s="1512"/>
      <c r="Q95" s="1512"/>
      <c r="R95" s="1512"/>
      <c r="S95" s="1512"/>
      <c r="T95" s="1512"/>
      <c r="U95" s="1513"/>
    </row>
    <row r="96" spans="1:21">
      <c r="A96" s="1505" t="s">
        <v>1052</v>
      </c>
      <c r="B96" s="1505"/>
      <c r="C96" s="1505"/>
      <c r="D96" s="1505"/>
      <c r="E96" s="1505"/>
      <c r="F96" s="1505"/>
      <c r="G96" s="1505"/>
      <c r="H96" s="1505"/>
      <c r="I96" s="1505" t="s">
        <v>1246</v>
      </c>
      <c r="J96" s="1505"/>
      <c r="K96" s="1505"/>
      <c r="L96" s="1505"/>
      <c r="M96" s="1505"/>
      <c r="N96" s="1505"/>
      <c r="O96" s="1505"/>
      <c r="P96" s="1506" t="s">
        <v>1054</v>
      </c>
      <c r="Q96" s="1506"/>
      <c r="R96" s="1506"/>
      <c r="S96" s="1506"/>
      <c r="T96" s="1506"/>
      <c r="U96" s="1506"/>
    </row>
    <row r="97" spans="1:21" ht="14.1">
      <c r="A97" s="1321" t="str">
        <f>FORM!I46</f>
        <v>Brokerage/Realty</v>
      </c>
      <c r="B97" s="1321"/>
      <c r="C97" s="1321"/>
      <c r="D97" s="1321"/>
      <c r="E97" s="1321"/>
      <c r="F97" s="1321"/>
      <c r="G97" s="1321"/>
      <c r="H97" s="1321"/>
      <c r="I97" s="1322">
        <f>FORM!M46</f>
        <v>0</v>
      </c>
      <c r="J97" s="1322"/>
      <c r="K97" s="1322"/>
      <c r="L97" s="1322"/>
      <c r="M97" s="1322"/>
      <c r="N97" s="1322"/>
      <c r="O97" s="1322"/>
      <c r="P97" s="1322">
        <f>FORM!T46</f>
        <v>0</v>
      </c>
      <c r="Q97" s="1322"/>
      <c r="R97" s="1322"/>
      <c r="S97" s="1322"/>
      <c r="T97" s="1322"/>
      <c r="U97" s="1322"/>
    </row>
    <row r="98" spans="1:21" ht="14.1">
      <c r="A98" s="1321" t="str">
        <f>FORM!I47</f>
        <v>Broker Head/AVP</v>
      </c>
      <c r="B98" s="1321"/>
      <c r="C98" s="1321"/>
      <c r="D98" s="1321"/>
      <c r="E98" s="1321"/>
      <c r="F98" s="1321"/>
      <c r="G98" s="1321"/>
      <c r="H98" s="1321"/>
      <c r="I98" s="1322">
        <f>FORM!M47</f>
        <v>0</v>
      </c>
      <c r="J98" s="1322"/>
      <c r="K98" s="1322"/>
      <c r="L98" s="1322"/>
      <c r="M98" s="1322"/>
      <c r="N98" s="1322"/>
      <c r="O98" s="1322"/>
      <c r="P98" s="1322">
        <f>FORM!T47</f>
        <v>0</v>
      </c>
      <c r="Q98" s="1322"/>
      <c r="R98" s="1322"/>
      <c r="S98" s="1322"/>
      <c r="T98" s="1322"/>
      <c r="U98" s="1322"/>
    </row>
    <row r="99" spans="1:21" ht="14.1">
      <c r="A99" s="1321" t="str">
        <f>FORM!I48</f>
        <v>Sales Manager</v>
      </c>
      <c r="B99" s="1321"/>
      <c r="C99" s="1321"/>
      <c r="D99" s="1321"/>
      <c r="E99" s="1321"/>
      <c r="F99" s="1321"/>
      <c r="G99" s="1321"/>
      <c r="H99" s="1321"/>
      <c r="I99" s="1322">
        <f>FORM!M48</f>
        <v>0</v>
      </c>
      <c r="J99" s="1322"/>
      <c r="K99" s="1322"/>
      <c r="L99" s="1322"/>
      <c r="M99" s="1322"/>
      <c r="N99" s="1322"/>
      <c r="O99" s="1322"/>
      <c r="P99" s="1322">
        <f>FORM!T48</f>
        <v>0</v>
      </c>
      <c r="Q99" s="1322"/>
      <c r="R99" s="1322"/>
      <c r="S99" s="1322"/>
      <c r="T99" s="1322"/>
      <c r="U99" s="1322"/>
    </row>
    <row r="100" spans="1:21" ht="14.1">
      <c r="A100" s="1321" t="str">
        <f>FORM!I49</f>
        <v xml:space="preserve">Sales Agent/Property Consultant </v>
      </c>
      <c r="B100" s="1321"/>
      <c r="C100" s="1321"/>
      <c r="D100" s="1321"/>
      <c r="E100" s="1321"/>
      <c r="F100" s="1321"/>
      <c r="G100" s="1321"/>
      <c r="H100" s="1321"/>
      <c r="I100" s="1322">
        <f>FORM!M49</f>
        <v>0</v>
      </c>
      <c r="J100" s="1322"/>
      <c r="K100" s="1322"/>
      <c r="L100" s="1322"/>
      <c r="M100" s="1322"/>
      <c r="N100" s="1322"/>
      <c r="O100" s="1322"/>
      <c r="P100" s="1322">
        <f>FORM!T49</f>
        <v>0</v>
      </c>
      <c r="Q100" s="1322"/>
      <c r="R100" s="1322"/>
      <c r="S100" s="1322"/>
      <c r="T100" s="1322"/>
      <c r="U100" s="1322"/>
    </row>
    <row r="102" spans="1:21" ht="14.1">
      <c r="A102" s="1514" t="s">
        <v>1247</v>
      </c>
      <c r="B102" s="1515"/>
      <c r="C102" s="1515"/>
      <c r="D102" s="1515"/>
      <c r="E102" s="1515"/>
      <c r="F102" s="1515"/>
      <c r="G102" s="1515"/>
      <c r="H102" s="1515"/>
      <c r="I102" s="1515"/>
      <c r="J102" s="1515"/>
      <c r="K102" s="1515"/>
      <c r="L102" s="1515"/>
      <c r="M102" s="1515"/>
      <c r="N102" s="1515"/>
      <c r="O102" s="1515"/>
      <c r="P102" s="1515"/>
      <c r="Q102" s="1515"/>
      <c r="R102" s="1515"/>
      <c r="S102" s="1515"/>
      <c r="T102" s="1515"/>
      <c r="U102" s="1515"/>
    </row>
    <row r="112" spans="1:21">
      <c r="G112" s="22"/>
      <c r="H112" s="1470" t="str">
        <f>D3</f>
        <v>buyer</v>
      </c>
      <c r="I112" s="1470"/>
      <c r="J112" s="1470"/>
      <c r="K112" s="1470"/>
      <c r="L112" s="1470"/>
      <c r="M112" s="1470"/>
      <c r="N112" s="1470"/>
      <c r="O112" s="1470"/>
      <c r="P112" s="1470"/>
      <c r="Q112" s="1470"/>
    </row>
    <row r="113" spans="1:21" ht="25.5" customHeight="1">
      <c r="A113" s="1516" t="s">
        <v>1248</v>
      </c>
      <c r="B113" s="1516"/>
      <c r="C113" s="1516"/>
      <c r="D113" s="1516"/>
      <c r="E113" s="1516"/>
      <c r="F113" s="1516"/>
      <c r="G113" s="1516"/>
      <c r="H113" s="1516"/>
      <c r="I113" s="1516"/>
      <c r="J113" s="1516"/>
      <c r="K113" s="1516"/>
      <c r="L113" s="1516"/>
      <c r="M113" s="1516"/>
      <c r="N113" s="1516"/>
      <c r="O113" s="1516"/>
      <c r="P113" s="1516"/>
      <c r="Q113" s="1516"/>
      <c r="R113" s="1516"/>
      <c r="S113" s="1516"/>
      <c r="T113" s="1516"/>
      <c r="U113" s="1516"/>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517" t="s">
        <v>1249</v>
      </c>
      <c r="B116" s="1517"/>
      <c r="C116" s="1517"/>
      <c r="D116" s="1517"/>
      <c r="E116" s="1517"/>
      <c r="F116" s="1517"/>
      <c r="G116" s="1517"/>
      <c r="H116" s="1517"/>
      <c r="I116" s="1517"/>
      <c r="J116" s="1517"/>
      <c r="K116" s="1517"/>
      <c r="L116" s="1517"/>
      <c r="M116" s="1517"/>
      <c r="N116" s="1517"/>
      <c r="O116" s="1517"/>
      <c r="P116" s="1517"/>
      <c r="Q116" s="1517"/>
      <c r="R116" s="1517"/>
      <c r="S116" s="1517"/>
      <c r="T116" s="1517"/>
      <c r="U116" s="1517"/>
    </row>
    <row r="117" spans="1:21" ht="21.75" customHeight="1">
      <c r="A117" s="1518" t="str">
        <f>H8</f>
        <v>Iloilo Southprime Developers Inc.</v>
      </c>
      <c r="B117" s="1518"/>
      <c r="C117" s="1518"/>
      <c r="D117" s="1518"/>
      <c r="E117" s="1518"/>
      <c r="F117" s="1518"/>
      <c r="G117" s="1518"/>
      <c r="H117" s="1518"/>
      <c r="I117" s="1518"/>
      <c r="J117" s="1518"/>
      <c r="K117" s="1518"/>
      <c r="L117" s="1518"/>
      <c r="M117" s="1518"/>
      <c r="N117" s="1518"/>
      <c r="O117" s="1518"/>
      <c r="P117" s="1518"/>
      <c r="Q117" s="1518"/>
      <c r="R117" s="1518"/>
      <c r="S117" s="1518"/>
      <c r="T117" s="1518"/>
      <c r="U117" s="1518"/>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GpnajCD5mLWO85F1acDIL1r96kLcwEmNR1mZk+T76u1ki7CwNdyRb9rVyIHE5xr+aJ3hD+twgrdsWfJMsviw9A==" saltValue="W+uC6xHLTKzMZ3fwu9n5TA==" spinCount="100000" sheet="1" objects="1" scenarios="1"/>
  <mergeCells count="70">
    <mergeCell ref="A98:H98"/>
    <mergeCell ref="I98:O98"/>
    <mergeCell ref="P98:U98"/>
    <mergeCell ref="E90:G90"/>
    <mergeCell ref="I96:O96"/>
    <mergeCell ref="P96:U96"/>
    <mergeCell ref="A97:H97"/>
    <mergeCell ref="I97:O97"/>
    <mergeCell ref="P97:U97"/>
    <mergeCell ref="D22:F22"/>
    <mergeCell ref="D24:F24"/>
    <mergeCell ref="E91:G91"/>
    <mergeCell ref="S91:T91"/>
    <mergeCell ref="D3:Q3"/>
    <mergeCell ref="C40:N40"/>
    <mergeCell ref="H8:O8"/>
    <mergeCell ref="I29:U29"/>
    <mergeCell ref="J24:L24"/>
    <mergeCell ref="P24:Q24"/>
    <mergeCell ref="J25:L25"/>
    <mergeCell ref="P25:Q25"/>
    <mergeCell ref="I28:U28"/>
    <mergeCell ref="I27:U27"/>
    <mergeCell ref="I11:U11"/>
    <mergeCell ref="M12:U12"/>
    <mergeCell ref="A4:Q4"/>
    <mergeCell ref="A5:U6"/>
    <mergeCell ref="A9:U9"/>
    <mergeCell ref="T21:U21"/>
    <mergeCell ref="E16:T16"/>
    <mergeCell ref="A20:F20"/>
    <mergeCell ref="G20:L20"/>
    <mergeCell ref="M20:Q20"/>
    <mergeCell ref="R20:U20"/>
    <mergeCell ref="D21:F21"/>
    <mergeCell ref="J21:L21"/>
    <mergeCell ref="P21:Q21"/>
    <mergeCell ref="K13:U13"/>
    <mergeCell ref="A10:P10"/>
    <mergeCell ref="A117:U117"/>
    <mergeCell ref="A99:H99"/>
    <mergeCell ref="I99:O99"/>
    <mergeCell ref="P99:U99"/>
    <mergeCell ref="A100:H100"/>
    <mergeCell ref="I100:O100"/>
    <mergeCell ref="P100:U100"/>
    <mergeCell ref="A102:U102"/>
    <mergeCell ref="H112:Q112"/>
    <mergeCell ref="D23:F23"/>
    <mergeCell ref="A113:U113"/>
    <mergeCell ref="A116:U116"/>
    <mergeCell ref="O40:R40"/>
    <mergeCell ref="R24:S25"/>
    <mergeCell ref="T24:U25"/>
    <mergeCell ref="D25:F25"/>
    <mergeCell ref="I30:U30"/>
    <mergeCell ref="I31:U31"/>
    <mergeCell ref="I32:U32"/>
    <mergeCell ref="S92:T92"/>
    <mergeCell ref="S90:T90"/>
    <mergeCell ref="M90:O90"/>
    <mergeCell ref="M91:O91"/>
    <mergeCell ref="A95:U95"/>
    <mergeCell ref="A96:H96"/>
    <mergeCell ref="T22:U22"/>
    <mergeCell ref="J23:L23"/>
    <mergeCell ref="P23:Q23"/>
    <mergeCell ref="T23:U23"/>
    <mergeCell ref="J22:L22"/>
    <mergeCell ref="P22:Q22"/>
  </mergeCells>
  <pageMargins left="0.51181102362204722" right="0.51181102362204722" top="0.94488188976377963" bottom="0.74803149606299213" header="0.31496062992125984" footer="0.31496062992125984"/>
  <pageSetup paperSize="14" scale="7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6397" r:id="rId4" name="Check Box 13">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16399" r:id="rId5" name="Check Box 15">
              <controlPr defaultSize="0" autoFill="0" autoLine="0" autoPict="0">
                <anchor moveWithCells="1">
                  <from>
                    <xdr:col>11</xdr:col>
                    <xdr:colOff>69850</xdr:colOff>
                    <xdr:row>35</xdr:row>
                    <xdr:rowOff>0</xdr:rowOff>
                  </from>
                  <to>
                    <xdr:col>12</xdr:col>
                    <xdr:colOff>3175</xdr:colOff>
                    <xdr:row>36</xdr:row>
                    <xdr:rowOff>12700</xdr:rowOff>
                  </to>
                </anchor>
              </controlPr>
            </control>
          </mc:Choice>
        </mc:AlternateContent>
        <mc:AlternateContent xmlns:mc="http://schemas.openxmlformats.org/markup-compatibility/2006">
          <mc:Choice Requires="x14">
            <control shapeId="16400" r:id="rId6" name="Check Box 16">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16401" r:id="rId7" name="Check Box 17">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16402" r:id="rId8" name="Check Box 18">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16403" r:id="rId9" name="Check Box 19">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16404" r:id="rId10" name="Check Box 20">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16405" r:id="rId11" name="Check Box 21">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16406" r:id="rId12" name="Check Box 22">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16407" r:id="rId13" name="Check Box 23">
              <controlPr defaultSize="0" autoFill="0" autoLine="0" autoPict="0">
                <anchor moveWithCells="1">
                  <from>
                    <xdr:col>16</xdr:col>
                    <xdr:colOff>139700</xdr:colOff>
                    <xdr:row>88</xdr:row>
                    <xdr:rowOff>0</xdr:rowOff>
                  </from>
                  <to>
                    <xdr:col>17</xdr:col>
                    <xdr:colOff>3175</xdr:colOff>
                    <xdr:row>89</xdr:row>
                    <xdr:rowOff>25400</xdr:rowOff>
                  </to>
                </anchor>
              </controlPr>
            </control>
          </mc:Choice>
        </mc:AlternateContent>
        <mc:AlternateContent xmlns:mc="http://schemas.openxmlformats.org/markup-compatibility/2006">
          <mc:Choice Requires="x14">
            <control shapeId="16408" r:id="rId14" name="Check Box 24">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16409" r:id="rId15" name="Check Box 25">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16410" r:id="rId16" name="Check Box 26">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16411" r:id="rId17" name="Check Box 27">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16412" r:id="rId18" name="Check Box 28">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16413" r:id="rId19" name="Check Box 29">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16414" r:id="rId20" name="Check Box 30">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16415" r:id="rId21" name="Check Box 31">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16416" r:id="rId22" name="Check Box 32">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6">
    <tabColor rgb="FFFFFF00"/>
  </sheetPr>
  <dimension ref="A1:AD80"/>
  <sheetViews>
    <sheetView showGridLines="0" showZeros="0" view="pageBreakPreview" topLeftCell="A35" zoomScale="85" zoomScaleNormal="90" zoomScaleSheetLayoutView="85" zoomScalePageLayoutView="85" workbookViewId="0">
      <selection activeCell="F54" sqref="F54"/>
    </sheetView>
  </sheetViews>
  <sheetFormatPr defaultColWidth="9.140625" defaultRowHeight="14.45"/>
  <cols>
    <col min="1" max="1" width="0.85546875" customWidth="1"/>
    <col min="2" max="2" width="13" customWidth="1"/>
    <col min="3" max="3" width="19.85546875" customWidth="1"/>
    <col min="4" max="4" width="18.140625" style="103" customWidth="1"/>
    <col min="5" max="5" width="18" customWidth="1"/>
    <col min="6" max="6" width="15.5703125" bestFit="1" customWidth="1"/>
    <col min="7" max="7" width="7.140625" customWidth="1"/>
    <col min="8" max="8" width="5.42578125" customWidth="1"/>
    <col min="9" max="9" width="6.85546875" customWidth="1"/>
    <col min="10" max="10" width="8.85546875" customWidth="1"/>
    <col min="11" max="11" width="5.5703125" hidden="1" customWidth="1"/>
    <col min="12" max="12" width="0.140625" hidden="1" customWidth="1"/>
    <col min="13" max="13" width="13.85546875" customWidth="1"/>
    <col min="14" max="14" width="18.5703125" customWidth="1"/>
    <col min="15" max="15" width="21.85546875" style="104" customWidth="1"/>
    <col min="17" max="17" width="14.85546875" customWidth="1"/>
    <col min="18" max="18" width="17.5703125" customWidth="1"/>
    <col min="19" max="19" width="15.85546875" customWidth="1"/>
    <col min="20" max="20" width="8.140625" customWidth="1"/>
    <col min="22" max="22" width="9.140625" style="105"/>
    <col min="23" max="23" width="9.140625" style="105" customWidth="1"/>
    <col min="24" max="25" width="9.140625" style="105" hidden="1" customWidth="1"/>
    <col min="26" max="29" width="9.140625" style="105" customWidth="1"/>
    <col min="30" max="30" width="9.140625" style="105"/>
  </cols>
  <sheetData>
    <row r="1" spans="2:30" ht="3" customHeight="1">
      <c r="U1" s="168">
        <f>EDATE(O18,'STANDARD COMP.'!E28)</f>
        <v>46784</v>
      </c>
    </row>
    <row r="2" spans="2:30" s="119" customFormat="1" ht="12.95">
      <c r="B2" s="85" t="s">
        <v>1059</v>
      </c>
      <c r="C2" s="1762">
        <f>FORM!I20</f>
        <v>45901</v>
      </c>
      <c r="D2" s="1021"/>
      <c r="E2" s="1021"/>
      <c r="F2" s="85" t="s">
        <v>1173</v>
      </c>
      <c r="G2" s="1793" t="s">
        <v>1061</v>
      </c>
      <c r="H2" s="1760"/>
      <c r="I2" s="1760"/>
      <c r="J2" s="1761"/>
      <c r="K2" s="1020"/>
      <c r="L2" s="1020"/>
      <c r="M2" s="456" t="s">
        <v>1059</v>
      </c>
      <c r="N2" s="1762">
        <f>C2</f>
        <v>45901</v>
      </c>
      <c r="O2" s="1021"/>
      <c r="Q2" s="84" t="str">
        <f>F2</f>
        <v>PAGE:</v>
      </c>
      <c r="R2" s="1746" t="s">
        <v>1063</v>
      </c>
      <c r="S2" s="1747"/>
      <c r="V2" s="112"/>
      <c r="W2" s="112"/>
      <c r="X2" s="112"/>
      <c r="Y2" s="112"/>
      <c r="Z2" s="112"/>
      <c r="AA2" s="112"/>
      <c r="AB2" s="112"/>
      <c r="AC2" s="112"/>
      <c r="AD2" s="112"/>
    </row>
    <row r="3" spans="2:30" s="1" customFormat="1" ht="12.6">
      <c r="C3" s="106"/>
      <c r="D3" s="106"/>
      <c r="G3" s="107"/>
      <c r="H3" s="107"/>
      <c r="I3" s="107"/>
      <c r="J3" s="108"/>
      <c r="K3" s="107"/>
      <c r="L3" s="107"/>
      <c r="N3" s="106"/>
      <c r="O3" s="106"/>
      <c r="R3" s="1566"/>
      <c r="S3" s="1566"/>
      <c r="V3" s="109"/>
      <c r="W3" s="109"/>
      <c r="X3" s="109"/>
      <c r="Y3" s="109"/>
      <c r="Z3" s="109"/>
      <c r="AA3" s="109"/>
      <c r="AB3" s="109"/>
      <c r="AC3" s="109"/>
      <c r="AD3" s="109"/>
    </row>
    <row r="4" spans="2:30" s="111" customFormat="1" ht="12" customHeight="1">
      <c r="B4" s="1447" t="s">
        <v>1258</v>
      </c>
      <c r="C4" s="1447"/>
      <c r="D4" s="1447"/>
      <c r="E4" s="1447"/>
      <c r="F4" s="1447"/>
      <c r="G4" s="1447"/>
      <c r="H4" s="1447"/>
      <c r="I4" s="1447"/>
      <c r="J4" s="1447"/>
      <c r="K4" s="110"/>
      <c r="L4" s="110"/>
      <c r="M4" s="1447" t="s">
        <v>1065</v>
      </c>
      <c r="N4" s="1447"/>
      <c r="O4" s="1447"/>
      <c r="P4" s="1447"/>
      <c r="Q4" s="1447"/>
      <c r="R4" s="1447"/>
      <c r="S4" s="1447"/>
      <c r="V4" s="112"/>
      <c r="W4" s="112"/>
      <c r="X4" s="112"/>
      <c r="Y4" s="112"/>
      <c r="Z4" s="112"/>
      <c r="AA4" s="112"/>
      <c r="AB4" s="112"/>
      <c r="AC4" s="112"/>
      <c r="AD4" s="112"/>
    </row>
    <row r="5" spans="2:30" s="111" customFormat="1" ht="12" customHeight="1">
      <c r="B5" s="1447"/>
      <c r="C5" s="1447"/>
      <c r="D5" s="1447"/>
      <c r="E5" s="1447"/>
      <c r="F5" s="1447"/>
      <c r="G5" s="1447"/>
      <c r="H5" s="1447"/>
      <c r="I5" s="1447"/>
      <c r="J5" s="1447"/>
      <c r="K5" s="110"/>
      <c r="L5" s="110"/>
      <c r="M5" s="1447"/>
      <c r="N5" s="1447"/>
      <c r="O5" s="1447"/>
      <c r="P5" s="1447"/>
      <c r="Q5" s="1447"/>
      <c r="R5" s="1447"/>
      <c r="S5" s="1447"/>
      <c r="V5" s="112"/>
      <c r="W5" s="112"/>
      <c r="X5" s="112"/>
      <c r="Y5" s="112"/>
      <c r="Z5" s="112"/>
      <c r="AA5" s="112"/>
      <c r="AB5" s="112"/>
      <c r="AC5" s="112"/>
      <c r="AD5" s="112"/>
    </row>
    <row r="6" spans="2:30" s="111" customFormat="1" ht="12" customHeight="1">
      <c r="B6" s="113"/>
      <c r="C6" s="113"/>
      <c r="D6" s="114"/>
      <c r="E6" s="113"/>
      <c r="F6" s="113"/>
      <c r="G6" s="113"/>
      <c r="H6" s="113"/>
      <c r="I6" s="113"/>
      <c r="J6" s="113"/>
      <c r="K6" s="113"/>
      <c r="L6" s="113"/>
      <c r="M6" s="115"/>
      <c r="N6" s="116"/>
      <c r="O6" s="117"/>
      <c r="P6" s="116"/>
      <c r="Q6" s="116"/>
      <c r="R6" s="116"/>
      <c r="S6" s="117"/>
      <c r="V6" s="112"/>
      <c r="W6" s="112"/>
      <c r="X6" s="112"/>
      <c r="Y6" s="112"/>
      <c r="Z6" s="112"/>
      <c r="AA6" s="112"/>
      <c r="AB6" s="112"/>
      <c r="AC6" s="112"/>
      <c r="AD6" s="112"/>
    </row>
    <row r="7" spans="2:30" s="111" customFormat="1" ht="12.95">
      <c r="B7" s="225" t="s">
        <v>1066</v>
      </c>
      <c r="C7" s="226"/>
      <c r="D7" s="1027" t="s">
        <v>1015</v>
      </c>
      <c r="E7" s="1642" t="str">
        <f>FORM!I26</f>
        <v>buyer</v>
      </c>
      <c r="F7" s="1643"/>
      <c r="G7" s="1643"/>
      <c r="H7" s="1643"/>
      <c r="I7" s="1643"/>
      <c r="J7" s="1644"/>
      <c r="K7" s="113"/>
      <c r="L7" s="113"/>
      <c r="M7" s="225" t="s">
        <v>1066</v>
      </c>
      <c r="N7" s="226"/>
      <c r="O7" s="1027" t="s">
        <v>1015</v>
      </c>
      <c r="P7" s="1642" t="str">
        <f>E7</f>
        <v>buyer</v>
      </c>
      <c r="Q7" s="1643"/>
      <c r="R7" s="1643"/>
      <c r="S7" s="1644"/>
      <c r="V7" s="112"/>
      <c r="W7" s="112"/>
      <c r="X7" s="112"/>
      <c r="Y7" s="112"/>
      <c r="Z7" s="112"/>
      <c r="AA7" s="112"/>
      <c r="AB7" s="112"/>
      <c r="AC7" s="112"/>
      <c r="AD7" s="112"/>
    </row>
    <row r="8" spans="2:30" s="111" customFormat="1" ht="12.95">
      <c r="B8" s="144" t="s">
        <v>1014</v>
      </c>
      <c r="C8" s="227"/>
      <c r="D8" s="1027" t="s">
        <v>1015</v>
      </c>
      <c r="E8" s="1646" t="str">
        <f>FORM!I11</f>
        <v>The Southprime Flats</v>
      </c>
      <c r="F8" s="1647"/>
      <c r="G8" s="1028" t="str">
        <f>FORM!I14</f>
        <v>B3</v>
      </c>
      <c r="H8" s="1028"/>
      <c r="I8" s="1028"/>
      <c r="J8" s="1029"/>
      <c r="K8" s="113"/>
      <c r="L8" s="113"/>
      <c r="M8" s="144" t="s">
        <v>1014</v>
      </c>
      <c r="N8" s="227"/>
      <c r="O8" s="1027" t="s">
        <v>1015</v>
      </c>
      <c r="P8" s="1794" t="str">
        <f>E8</f>
        <v>The Southprime Flats</v>
      </c>
      <c r="Q8" s="1671"/>
      <c r="R8" s="1671"/>
      <c r="S8" s="1795"/>
      <c r="V8" s="112"/>
      <c r="W8" s="112"/>
      <c r="X8" s="112"/>
      <c r="Y8" s="112"/>
      <c r="Z8" s="112"/>
      <c r="AA8" s="112"/>
      <c r="AB8" s="112"/>
      <c r="AC8" s="112"/>
      <c r="AD8" s="112"/>
    </row>
    <row r="9" spans="2:30" s="111" customFormat="1" ht="12.95">
      <c r="B9" s="144" t="s">
        <v>1068</v>
      </c>
      <c r="C9" s="227"/>
      <c r="D9" s="1027" t="s">
        <v>1015</v>
      </c>
      <c r="E9" s="1642" t="str">
        <f>'STANDARD COMP.'!E8</f>
        <v>E-11K</v>
      </c>
      <c r="F9" s="1643"/>
      <c r="G9" s="1643"/>
      <c r="H9" s="1643"/>
      <c r="I9" s="1643"/>
      <c r="J9" s="1644"/>
      <c r="K9" s="113"/>
      <c r="L9" s="113"/>
      <c r="M9" s="144" t="s">
        <v>1068</v>
      </c>
      <c r="N9" s="227"/>
      <c r="O9" s="1027" t="s">
        <v>1015</v>
      </c>
      <c r="P9" s="1642" t="str">
        <f>B9</f>
        <v>UNIT NUMBER</v>
      </c>
      <c r="Q9" s="1643"/>
      <c r="R9" s="1643"/>
      <c r="S9" s="1644"/>
      <c r="V9" s="112"/>
      <c r="W9" s="112"/>
      <c r="X9" s="112"/>
      <c r="Y9" s="112"/>
      <c r="Z9" s="112"/>
      <c r="AA9" s="112"/>
      <c r="AB9" s="112"/>
      <c r="AC9" s="112"/>
      <c r="AD9" s="112"/>
    </row>
    <row r="10" spans="2:30" s="119" customFormat="1" ht="12.95" hidden="1">
      <c r="B10" s="144" t="s">
        <v>1070</v>
      </c>
      <c r="C10" s="227"/>
      <c r="D10" s="1027" t="s">
        <v>1015</v>
      </c>
      <c r="E10" s="1642" t="e">
        <f>FORM!#REF!</f>
        <v>#REF!</v>
      </c>
      <c r="F10" s="1643"/>
      <c r="G10" s="1643"/>
      <c r="H10" s="1643"/>
      <c r="I10" s="1643"/>
      <c r="J10" s="1644"/>
      <c r="K10" s="118"/>
      <c r="L10" s="118"/>
      <c r="M10" s="144" t="s">
        <v>1070</v>
      </c>
      <c r="N10" s="227"/>
      <c r="O10" s="1027" t="s">
        <v>1015</v>
      </c>
      <c r="P10" s="1794" t="e">
        <f t="shared" ref="P10:P14" si="0">E10</f>
        <v>#REF!</v>
      </c>
      <c r="Q10" s="1671"/>
      <c r="R10" s="1671"/>
      <c r="S10" s="1795"/>
      <c r="V10" s="112"/>
      <c r="W10" s="112"/>
      <c r="X10" s="112"/>
      <c r="Y10" s="112"/>
      <c r="Z10" s="112"/>
      <c r="AA10" s="112"/>
      <c r="AB10" s="112"/>
      <c r="AC10" s="112"/>
      <c r="AD10" s="112"/>
    </row>
    <row r="11" spans="2:30" s="119" customFormat="1" ht="12.95">
      <c r="B11" s="144" t="s">
        <v>1071</v>
      </c>
      <c r="C11" s="227"/>
      <c r="D11" s="1027" t="s">
        <v>1015</v>
      </c>
      <c r="E11" s="1642" t="str">
        <f>'STANDARD COMP.'!E10</f>
        <v>Studio</v>
      </c>
      <c r="F11" s="1643"/>
      <c r="G11" s="1643"/>
      <c r="H11" s="1643"/>
      <c r="I11" s="1643"/>
      <c r="J11" s="1644"/>
      <c r="K11" s="118"/>
      <c r="L11" s="118"/>
      <c r="M11" s="144" t="s">
        <v>1071</v>
      </c>
      <c r="N11" s="227"/>
      <c r="O11" s="1027" t="s">
        <v>1015</v>
      </c>
      <c r="P11" s="1796" t="str">
        <f t="shared" si="0"/>
        <v>Studio</v>
      </c>
      <c r="Q11" s="1797"/>
      <c r="R11" s="1797"/>
      <c r="S11" s="1798"/>
      <c r="T11" s="452"/>
      <c r="V11" s="112"/>
      <c r="W11" s="112"/>
      <c r="X11" s="112"/>
      <c r="Y11" s="112"/>
      <c r="Z11" s="112"/>
      <c r="AA11" s="112"/>
      <c r="AB11" s="112"/>
      <c r="AC11" s="112"/>
      <c r="AD11" s="112"/>
    </row>
    <row r="12" spans="2:30" s="119" customFormat="1" ht="12.95">
      <c r="B12" s="426" t="s">
        <v>1072</v>
      </c>
      <c r="C12" s="269"/>
      <c r="D12" s="1027" t="s">
        <v>1015</v>
      </c>
      <c r="E12" s="1648">
        <f>'STANDARD COMP.'!E11:F11</f>
        <v>22</v>
      </c>
      <c r="F12" s="1799"/>
      <c r="G12" s="1028" t="s">
        <v>1073</v>
      </c>
      <c r="H12" s="1287"/>
      <c r="I12" s="1028"/>
      <c r="J12" s="1029"/>
      <c r="K12" s="118"/>
      <c r="L12" s="118"/>
      <c r="M12" s="144" t="s">
        <v>1072</v>
      </c>
      <c r="N12" s="227"/>
      <c r="O12" s="1027" t="s">
        <v>1015</v>
      </c>
      <c r="P12" s="1648">
        <f t="shared" si="0"/>
        <v>22</v>
      </c>
      <c r="Q12" s="1649"/>
      <c r="R12" s="1028" t="s">
        <v>1073</v>
      </c>
      <c r="S12" s="1288"/>
      <c r="V12" s="112"/>
      <c r="W12" s="112"/>
      <c r="X12" s="112"/>
      <c r="Y12" s="112"/>
      <c r="Z12" s="112"/>
      <c r="AA12" s="112"/>
      <c r="AB12" s="112"/>
      <c r="AC12" s="112"/>
      <c r="AD12" s="112"/>
    </row>
    <row r="13" spans="2:30" s="119" customFormat="1" ht="12.95">
      <c r="B13" s="148" t="s">
        <v>1074</v>
      </c>
      <c r="C13" s="269"/>
      <c r="D13" s="1027" t="s">
        <v>1015</v>
      </c>
      <c r="E13" s="1652">
        <f>'STANDARD COMP.'!E12:F12</f>
        <v>0</v>
      </c>
      <c r="F13" s="1800"/>
      <c r="G13" s="1028" t="s">
        <v>1073</v>
      </c>
      <c r="H13" s="1028"/>
      <c r="I13" s="1028"/>
      <c r="J13" s="1029" t="s">
        <v>60</v>
      </c>
      <c r="K13" s="118"/>
      <c r="L13" s="118"/>
      <c r="M13" s="148" t="s">
        <v>1074</v>
      </c>
      <c r="N13" s="227"/>
      <c r="O13" s="1027" t="s">
        <v>1015</v>
      </c>
      <c r="P13" s="1652">
        <f t="shared" si="0"/>
        <v>0</v>
      </c>
      <c r="Q13" s="1653"/>
      <c r="R13" s="1028" t="s">
        <v>1073</v>
      </c>
      <c r="S13" s="1029"/>
      <c r="V13" s="112"/>
      <c r="W13" s="112"/>
      <c r="X13" s="112"/>
      <c r="Y13" s="112"/>
      <c r="Z13" s="112"/>
      <c r="AA13" s="112"/>
      <c r="AB13" s="112"/>
      <c r="AC13" s="112"/>
      <c r="AD13" s="112"/>
    </row>
    <row r="14" spans="2:30" s="119" customFormat="1" ht="12.95">
      <c r="B14" s="238" t="s">
        <v>1075</v>
      </c>
      <c r="C14" s="101"/>
      <c r="D14" s="1027" t="s">
        <v>1015</v>
      </c>
      <c r="E14" s="1652">
        <f>'STANDARD COMP.'!E13:F13</f>
        <v>22</v>
      </c>
      <c r="F14" s="1800"/>
      <c r="G14" s="1028" t="s">
        <v>1073</v>
      </c>
      <c r="H14" s="1028"/>
      <c r="I14" s="1028"/>
      <c r="J14" s="1029"/>
      <c r="K14" s="118"/>
      <c r="L14" s="118"/>
      <c r="M14" s="238" t="s">
        <v>1075</v>
      </c>
      <c r="N14" s="101"/>
      <c r="O14" s="1027" t="s">
        <v>1015</v>
      </c>
      <c r="P14" s="1801">
        <f t="shared" si="0"/>
        <v>22</v>
      </c>
      <c r="Q14" s="1802"/>
      <c r="R14" s="1803" t="s">
        <v>1073</v>
      </c>
      <c r="S14" s="1716"/>
      <c r="V14" s="112"/>
      <c r="W14" s="112"/>
      <c r="X14" s="112"/>
      <c r="Y14" s="112"/>
      <c r="Z14" s="112"/>
      <c r="AA14" s="112"/>
      <c r="AB14" s="112"/>
      <c r="AC14" s="112"/>
      <c r="AD14" s="112"/>
    </row>
    <row r="15" spans="2:30" s="119" customFormat="1" ht="12.95">
      <c r="B15" s="1024"/>
      <c r="C15" s="1024"/>
      <c r="D15" s="1027"/>
      <c r="E15" s="1024"/>
      <c r="F15" s="1024"/>
      <c r="G15" s="1024"/>
      <c r="H15" s="1024"/>
      <c r="I15" s="1024"/>
      <c r="J15" s="1024"/>
      <c r="K15" s="118"/>
      <c r="L15" s="118"/>
      <c r="M15" s="1024"/>
      <c r="N15" s="1024"/>
      <c r="O15" s="1033"/>
      <c r="P15" s="1024"/>
      <c r="Q15" s="1024"/>
      <c r="R15" s="1024"/>
      <c r="S15" s="1024"/>
      <c r="V15" s="112"/>
      <c r="W15" s="112"/>
      <c r="X15" s="112"/>
      <c r="Y15" s="112"/>
      <c r="Z15" s="112"/>
      <c r="AA15" s="112"/>
      <c r="AB15" s="112"/>
      <c r="AC15" s="112"/>
      <c r="AD15" s="112"/>
    </row>
    <row r="16" spans="2:30" s="119" customFormat="1" ht="15" customHeight="1">
      <c r="B16" s="141" t="s">
        <v>1078</v>
      </c>
      <c r="C16" s="228"/>
      <c r="D16" s="142" t="s">
        <v>1015</v>
      </c>
      <c r="E16" s="410"/>
      <c r="F16" s="1572">
        <f>'STANDARD COMP.'!F15</f>
        <v>4123028.1810342241</v>
      </c>
      <c r="G16" s="1448"/>
      <c r="H16" s="1448"/>
      <c r="I16" s="1448"/>
      <c r="J16" s="1449"/>
      <c r="K16" s="120"/>
      <c r="L16" s="120"/>
      <c r="M16" s="1402" t="s">
        <v>1079</v>
      </c>
      <c r="N16" s="1402"/>
      <c r="O16" s="1416" t="s">
        <v>989</v>
      </c>
      <c r="P16" s="1402" t="s">
        <v>992</v>
      </c>
      <c r="Q16" s="1402"/>
      <c r="R16" s="1417" t="s">
        <v>206</v>
      </c>
      <c r="S16" s="1418"/>
      <c r="V16" s="112"/>
      <c r="W16" s="112"/>
      <c r="X16" s="112"/>
      <c r="Y16" s="112"/>
      <c r="Z16" s="112"/>
      <c r="AA16" s="112"/>
      <c r="AB16" s="112"/>
      <c r="AC16" s="112"/>
      <c r="AD16" s="112"/>
    </row>
    <row r="17" spans="1:30" s="121" customFormat="1" ht="12.95">
      <c r="B17" s="1552" t="s">
        <v>1253</v>
      </c>
      <c r="C17" s="1552"/>
      <c r="D17" s="1027" t="s">
        <v>1015</v>
      </c>
      <c r="E17" s="411">
        <v>0.05</v>
      </c>
      <c r="F17" s="1573">
        <f>((F16-F18)*E26*E17)</f>
        <v>25768.926131463901</v>
      </c>
      <c r="G17" s="1456"/>
      <c r="H17" s="1456"/>
      <c r="I17" s="1456"/>
      <c r="J17" s="1457"/>
      <c r="K17" s="118"/>
      <c r="L17" s="118"/>
      <c r="M17" s="1402"/>
      <c r="N17" s="1402"/>
      <c r="O17" s="1416"/>
      <c r="P17" s="1402"/>
      <c r="Q17" s="1402"/>
      <c r="R17" s="1419"/>
      <c r="S17" s="1420"/>
      <c r="V17" s="122"/>
      <c r="W17" s="122"/>
      <c r="X17" s="122"/>
      <c r="Y17" s="122"/>
      <c r="Z17" s="122"/>
      <c r="AA17" s="122"/>
      <c r="AB17" s="122"/>
      <c r="AC17" s="122"/>
      <c r="AD17" s="122"/>
    </row>
    <row r="18" spans="1:30" s="119" customFormat="1" ht="12.95">
      <c r="B18" s="144" t="s">
        <v>1080</v>
      </c>
      <c r="C18" s="148"/>
      <c r="D18" s="1027" t="s">
        <v>1015</v>
      </c>
      <c r="E18" s="1780"/>
      <c r="F18" s="1564">
        <f>'STANDARD COMP.'!F16:I16</f>
        <v>0</v>
      </c>
      <c r="G18" s="1453"/>
      <c r="H18" s="1453"/>
      <c r="I18" s="1453"/>
      <c r="J18" s="1454"/>
      <c r="K18" s="120"/>
      <c r="L18" s="120"/>
      <c r="M18" s="1521" t="s">
        <v>1031</v>
      </c>
      <c r="N18" s="1521"/>
      <c r="O18" s="1781">
        <f>C2</f>
        <v>45901</v>
      </c>
      <c r="P18" s="1403">
        <f>FORM!I22</f>
        <v>30000</v>
      </c>
      <c r="Q18" s="1403"/>
      <c r="R18" s="1666"/>
      <c r="S18" s="1657"/>
      <c r="V18" s="112"/>
      <c r="W18" s="112"/>
      <c r="X18" s="112"/>
      <c r="Y18" s="112"/>
      <c r="Z18" s="112"/>
      <c r="AA18" s="112"/>
      <c r="AB18" s="112"/>
      <c r="AC18" s="112"/>
      <c r="AD18" s="112"/>
    </row>
    <row r="19" spans="1:30" s="121" customFormat="1" ht="12.95">
      <c r="B19" s="129" t="s">
        <v>1082</v>
      </c>
      <c r="C19" s="101"/>
      <c r="D19" s="142" t="s">
        <v>1015</v>
      </c>
      <c r="E19" s="410"/>
      <c r="F19" s="1572">
        <f>F16-F17-F18</f>
        <v>4097259.25490276</v>
      </c>
      <c r="G19" s="1448"/>
      <c r="H19" s="1448"/>
      <c r="I19" s="1448"/>
      <c r="J19" s="1449"/>
      <c r="K19" s="118"/>
      <c r="L19" s="118"/>
      <c r="M19" s="1521" t="s">
        <v>1254</v>
      </c>
      <c r="N19" s="1521"/>
      <c r="O19" s="1781">
        <f>O18+30</f>
        <v>45931</v>
      </c>
      <c r="P19" s="1403">
        <f>F28</f>
        <v>547868.1684980779</v>
      </c>
      <c r="Q19" s="1403"/>
      <c r="R19" s="1666"/>
      <c r="S19" s="1657"/>
      <c r="V19" s="122"/>
      <c r="W19" s="122"/>
      <c r="X19" s="122"/>
      <c r="Y19" s="122"/>
      <c r="Z19" s="122"/>
      <c r="AA19" s="122"/>
      <c r="AB19" s="122"/>
      <c r="AC19" s="122"/>
      <c r="AD19" s="122"/>
    </row>
    <row r="20" spans="1:30" s="119" customFormat="1" ht="12.95">
      <c r="B20" s="147"/>
      <c r="C20" s="1024"/>
      <c r="D20" s="1027"/>
      <c r="E20" s="408">
        <f>(F19)*E21</f>
        <v>491671.11058833118</v>
      </c>
      <c r="F20" s="1721"/>
      <c r="G20" s="1721"/>
      <c r="H20" s="1721"/>
      <c r="I20" s="1024"/>
      <c r="J20" s="1024"/>
      <c r="K20" s="118"/>
      <c r="L20" s="118"/>
      <c r="M20" s="1411" t="s">
        <v>1167</v>
      </c>
      <c r="N20" s="1411"/>
      <c r="O20" s="262">
        <f>IF(AND(DAY(U1)&gt;=6,DAY(U1)&lt;=20),DATE(YEAR(U1),MONTH(U1)+1,DAY(20)),IF(AND(DAY(U1)&gt;=21,DAY(U1)&lt;=30),DATE(YEAR(U1),MONTH(U1)+1,IF(DAY(EOMONTH(U1,1))&lt;30,DAY(EOMONTH(U1,1)),DAY(30))),DATE(YEAR(U1),MONTH(U1)+1,DAY(5))))</f>
        <v>46817</v>
      </c>
      <c r="P20" s="1542">
        <f>F30</f>
        <v>4045077.1794865453</v>
      </c>
      <c r="Q20" s="1542"/>
      <c r="R20" s="1548"/>
      <c r="S20" s="1549"/>
      <c r="V20" s="112"/>
      <c r="W20" s="112"/>
      <c r="X20" s="1567" t="s">
        <v>1084</v>
      </c>
      <c r="Y20" s="1567"/>
      <c r="Z20" s="112"/>
      <c r="AA20" s="112"/>
      <c r="AB20" s="112"/>
      <c r="AC20" s="112"/>
      <c r="AD20" s="112"/>
    </row>
    <row r="21" spans="1:30" s="119" customFormat="1" ht="12.95">
      <c r="B21" s="148" t="s">
        <v>1087</v>
      </c>
      <c r="C21" s="148"/>
      <c r="D21" s="1027" t="s">
        <v>1015</v>
      </c>
      <c r="E21" s="1041">
        <v>0.12</v>
      </c>
      <c r="F21" s="1455"/>
      <c r="G21" s="1456"/>
      <c r="H21" s="1569"/>
      <c r="I21" s="1028"/>
      <c r="J21" s="1029"/>
      <c r="K21" s="118"/>
      <c r="L21" s="118"/>
      <c r="M21" s="1409"/>
      <c r="N21" s="1409"/>
      <c r="O21" s="1804"/>
      <c r="P21" s="1571"/>
      <c r="Q21" s="1571"/>
      <c r="R21" s="1024"/>
      <c r="S21" s="1024"/>
      <c r="T21" s="112"/>
      <c r="U21" s="112"/>
      <c r="V21" s="112"/>
      <c r="W21" s="112"/>
    </row>
    <row r="22" spans="1:30" s="119" customFormat="1" ht="12.95">
      <c r="B22" s="238" t="s">
        <v>1090</v>
      </c>
      <c r="C22" s="126"/>
      <c r="D22" s="1027" t="s">
        <v>1015</v>
      </c>
      <c r="E22" s="1041"/>
      <c r="F22" s="1455">
        <f>'STANDARD COMP.'!F20</f>
        <v>525686.0930818636</v>
      </c>
      <c r="G22" s="1456"/>
      <c r="H22" s="1569"/>
      <c r="I22" s="1028"/>
      <c r="J22" s="1029"/>
      <c r="K22" s="118"/>
      <c r="L22" s="118"/>
      <c r="M22" s="142"/>
      <c r="N22" s="142"/>
      <c r="O22" s="274"/>
      <c r="P22" s="427"/>
      <c r="Q22" s="427"/>
      <c r="R22" s="100"/>
      <c r="S22" s="100"/>
      <c r="T22" s="112"/>
      <c r="U22" s="112"/>
      <c r="V22" s="112"/>
      <c r="W22" s="112"/>
    </row>
    <row r="23" spans="1:30" s="119" customFormat="1" ht="12.95">
      <c r="B23" s="147"/>
      <c r="C23" s="1024"/>
      <c r="D23" s="1027"/>
      <c r="E23" s="1024"/>
      <c r="F23" s="1721"/>
      <c r="G23" s="1721"/>
      <c r="H23" s="1805"/>
      <c r="I23" s="1024"/>
      <c r="J23" s="1024"/>
      <c r="K23" s="118"/>
      <c r="L23" s="118"/>
      <c r="M23" s="1020"/>
      <c r="N23" s="1020"/>
      <c r="O23" s="1020"/>
      <c r="P23" s="1020"/>
      <c r="Q23" s="1020"/>
      <c r="R23" s="1020"/>
      <c r="S23" s="1020"/>
      <c r="T23" s="112"/>
      <c r="U23" s="112"/>
      <c r="V23" s="112"/>
      <c r="W23" s="112"/>
    </row>
    <row r="24" spans="1:30" s="119" customFormat="1" ht="12.95">
      <c r="B24" s="129" t="s">
        <v>1096</v>
      </c>
      <c r="C24" s="101"/>
      <c r="D24" s="142" t="s">
        <v>1015</v>
      </c>
      <c r="E24" s="453"/>
      <c r="F24" s="1570">
        <f>F19+SUM(F21:I22)</f>
        <v>4622945.3479846232</v>
      </c>
      <c r="G24" s="1570"/>
      <c r="H24" s="1570"/>
      <c r="I24" s="1570"/>
      <c r="J24" s="1570"/>
      <c r="K24" s="120"/>
      <c r="L24" s="120"/>
      <c r="M24" s="1020"/>
      <c r="N24" s="1020"/>
      <c r="O24" s="1020"/>
      <c r="P24" s="1020"/>
      <c r="Q24" s="1020"/>
      <c r="R24" s="1020"/>
      <c r="S24" s="1020"/>
      <c r="T24" s="112"/>
      <c r="U24" s="112"/>
      <c r="V24" s="112"/>
      <c r="W24" s="112"/>
    </row>
    <row r="25" spans="1:30" s="119" customFormat="1" ht="12.95">
      <c r="B25" s="147"/>
      <c r="C25" s="1024"/>
      <c r="D25" s="1027"/>
      <c r="E25" s="1803"/>
      <c r="F25" s="1721"/>
      <c r="G25" s="1721"/>
      <c r="H25" s="1805"/>
      <c r="I25" s="1024"/>
      <c r="J25" s="1024"/>
      <c r="K25" s="118"/>
      <c r="L25" s="118"/>
      <c r="M25" s="100" t="s">
        <v>1168</v>
      </c>
      <c r="N25" s="100"/>
      <c r="O25" s="100"/>
      <c r="P25" s="100"/>
      <c r="Q25" s="1020"/>
      <c r="R25" s="100" t="s">
        <v>1169</v>
      </c>
      <c r="S25" s="100"/>
      <c r="T25" s="112"/>
      <c r="U25" s="112"/>
      <c r="V25" s="112"/>
      <c r="W25" s="112"/>
    </row>
    <row r="26" spans="1:30" s="119" customFormat="1" ht="12.95">
      <c r="A26" s="121"/>
      <c r="B26" s="141" t="s">
        <v>1259</v>
      </c>
      <c r="C26" s="226"/>
      <c r="D26" s="142" t="s">
        <v>1015</v>
      </c>
      <c r="E26" s="270">
        <f>'STANDARD COMP.'!E24</f>
        <v>0.125</v>
      </c>
      <c r="F26" s="1450">
        <f>F24*E26</f>
        <v>577868.1684980779</v>
      </c>
      <c r="G26" s="1448"/>
      <c r="H26" s="1563"/>
      <c r="I26" s="271"/>
      <c r="J26" s="143"/>
      <c r="K26" s="120"/>
      <c r="L26" s="120"/>
      <c r="M26" s="1024"/>
      <c r="N26" s="1024"/>
      <c r="O26" s="1027"/>
      <c r="P26" s="1024"/>
      <c r="Q26" s="1024"/>
      <c r="R26" s="1024"/>
      <c r="S26" s="1024"/>
      <c r="T26" s="112"/>
      <c r="U26" s="112"/>
      <c r="V26" s="112"/>
      <c r="W26" s="112"/>
    </row>
    <row r="27" spans="1:30" s="121" customFormat="1" ht="12.95">
      <c r="B27" s="225" t="s">
        <v>1101</v>
      </c>
      <c r="C27" s="228"/>
      <c r="D27" s="1027" t="s">
        <v>1015</v>
      </c>
      <c r="E27" s="1806"/>
      <c r="F27" s="1455">
        <f>'STANDARD COMP.'!F25</f>
        <v>30000</v>
      </c>
      <c r="G27" s="1456"/>
      <c r="H27" s="1569"/>
      <c r="I27" s="271"/>
      <c r="J27" s="143"/>
      <c r="K27" s="120"/>
      <c r="L27" s="120"/>
      <c r="M27" s="100"/>
      <c r="N27" s="100"/>
      <c r="O27" s="142"/>
      <c r="P27" s="100"/>
      <c r="Q27" s="100"/>
      <c r="R27" s="100"/>
      <c r="S27" s="100"/>
      <c r="T27" s="122"/>
      <c r="U27" s="122"/>
      <c r="V27" s="122"/>
      <c r="W27" s="122"/>
    </row>
    <row r="28" spans="1:30" s="121" customFormat="1" ht="12.95">
      <c r="A28" s="119"/>
      <c r="B28" s="129" t="s">
        <v>1256</v>
      </c>
      <c r="C28" s="101"/>
      <c r="D28" s="142" t="s">
        <v>1015</v>
      </c>
      <c r="E28" s="272"/>
      <c r="F28" s="1450">
        <f>F26-F27</f>
        <v>547868.1684980779</v>
      </c>
      <c r="G28" s="1448"/>
      <c r="H28" s="1563"/>
      <c r="I28" s="271"/>
      <c r="J28" s="143"/>
      <c r="K28" s="118"/>
      <c r="L28" s="118"/>
      <c r="M28" s="1413" t="str">
        <f>FORM!I28</f>
        <v xml:space="preserve">agent </v>
      </c>
      <c r="N28" s="1413"/>
      <c r="O28" s="167"/>
      <c r="P28" s="100"/>
      <c r="Q28" s="100"/>
      <c r="R28" s="1413" t="str">
        <f>FORM!I26</f>
        <v>buyer</v>
      </c>
      <c r="S28" s="1413"/>
      <c r="T28" s="122"/>
      <c r="U28" s="122"/>
      <c r="V28" s="122"/>
      <c r="W28" s="122"/>
    </row>
    <row r="29" spans="1:30" s="119" customFormat="1" ht="12.95">
      <c r="A29" s="121"/>
      <c r="B29" s="147"/>
      <c r="C29" s="1024"/>
      <c r="D29" s="1027"/>
      <c r="E29" s="1027"/>
      <c r="F29" s="1450"/>
      <c r="G29" s="1448"/>
      <c r="H29" s="1563"/>
      <c r="I29" s="271"/>
      <c r="J29" s="143"/>
      <c r="K29" s="120"/>
      <c r="L29" s="120"/>
      <c r="M29" s="1068" t="s">
        <v>1170</v>
      </c>
      <c r="N29" s="1068"/>
      <c r="O29" s="1027"/>
      <c r="P29" s="1024"/>
      <c r="Q29" s="1024"/>
      <c r="R29" s="1068" t="s">
        <v>1171</v>
      </c>
      <c r="S29" s="1069"/>
      <c r="T29" s="112"/>
      <c r="U29" s="112"/>
      <c r="V29" s="112"/>
      <c r="W29" s="112"/>
    </row>
    <row r="30" spans="1:30" s="121" customFormat="1" ht="12.95">
      <c r="A30" s="119"/>
      <c r="B30" s="129" t="s">
        <v>1109</v>
      </c>
      <c r="C30" s="101"/>
      <c r="D30" s="142" t="s">
        <v>1015</v>
      </c>
      <c r="E30" s="273">
        <f>100%-E26</f>
        <v>0.875</v>
      </c>
      <c r="F30" s="1450">
        <f>F24*E30</f>
        <v>4045077.1794865453</v>
      </c>
      <c r="G30" s="1448"/>
      <c r="H30" s="1563"/>
      <c r="I30" s="1028"/>
      <c r="J30" s="1029"/>
      <c r="K30" s="118"/>
      <c r="L30" s="118"/>
      <c r="M30" s="118"/>
      <c r="N30" s="118"/>
      <c r="O30" s="118"/>
      <c r="P30" s="118"/>
      <c r="Q30" s="118"/>
      <c r="R30" s="118"/>
      <c r="S30" s="118"/>
      <c r="T30" s="122"/>
      <c r="U30" s="122"/>
      <c r="V30" s="122"/>
      <c r="W30" s="122"/>
    </row>
    <row r="31" spans="1:30" s="119" customFormat="1" ht="12.95">
      <c r="B31" s="123"/>
      <c r="C31" s="118"/>
      <c r="D31" s="124"/>
      <c r="E31" s="118"/>
      <c r="F31" s="125"/>
      <c r="G31" s="118"/>
      <c r="H31" s="118"/>
      <c r="I31" s="118"/>
      <c r="J31" s="118"/>
      <c r="K31" s="120"/>
      <c r="L31" s="120"/>
      <c r="O31" s="454"/>
      <c r="T31" s="112"/>
      <c r="U31" s="112"/>
      <c r="V31" s="112"/>
      <c r="W31" s="112"/>
    </row>
    <row r="32" spans="1:30" s="121" customFormat="1" ht="12.95">
      <c r="A32" s="119"/>
      <c r="B32" s="113"/>
      <c r="C32" s="118"/>
      <c r="D32" s="124"/>
      <c r="E32" s="118"/>
      <c r="F32" s="118"/>
      <c r="G32" s="118"/>
      <c r="H32" s="118"/>
      <c r="I32" s="118"/>
      <c r="J32" s="118"/>
      <c r="K32" s="118"/>
      <c r="L32" s="118"/>
      <c r="M32" s="119"/>
      <c r="N32" s="119"/>
      <c r="O32" s="454"/>
      <c r="P32" s="119"/>
      <c r="Q32" s="119"/>
      <c r="R32" s="119"/>
      <c r="S32" s="119"/>
      <c r="T32" s="122"/>
      <c r="U32" s="122"/>
      <c r="V32" s="122"/>
      <c r="W32" s="122"/>
    </row>
    <row r="33" spans="1:23" s="119" customFormat="1" ht="12.95">
      <c r="B33" s="101" t="s">
        <v>1112</v>
      </c>
      <c r="C33" s="126"/>
      <c r="D33" s="127"/>
      <c r="E33" s="94"/>
      <c r="F33" s="94"/>
      <c r="G33" s="94"/>
      <c r="H33" s="94"/>
      <c r="I33" s="94"/>
      <c r="J33" s="94"/>
      <c r="K33" s="118"/>
      <c r="L33" s="118"/>
      <c r="O33" s="454"/>
      <c r="T33" s="112"/>
      <c r="U33" s="112"/>
      <c r="V33" s="112"/>
      <c r="W33" s="112"/>
    </row>
    <row r="34" spans="1:23" s="119" customFormat="1" ht="12.95">
      <c r="B34" s="113"/>
      <c r="C34" s="118"/>
      <c r="D34" s="124"/>
      <c r="E34" s="118"/>
      <c r="F34" s="118"/>
      <c r="G34" s="118"/>
      <c r="H34" s="118"/>
      <c r="I34" s="118"/>
      <c r="J34" s="118"/>
      <c r="K34" s="120"/>
      <c r="L34" s="120"/>
      <c r="O34" s="454"/>
      <c r="T34" s="112"/>
      <c r="U34" s="112"/>
      <c r="V34" s="112"/>
      <c r="W34" s="112"/>
    </row>
    <row r="35" spans="1:23" s="121" customFormat="1" ht="12.95">
      <c r="A35" s="119"/>
      <c r="B35" s="208" t="s">
        <v>53</v>
      </c>
      <c r="C35" s="208" t="s">
        <v>54</v>
      </c>
      <c r="D35" s="208" t="s">
        <v>55</v>
      </c>
      <c r="E35" s="208" t="s">
        <v>1115</v>
      </c>
      <c r="F35" s="1402" t="s">
        <v>1179</v>
      </c>
      <c r="G35" s="1402"/>
      <c r="H35" s="1402"/>
      <c r="I35" s="1402"/>
      <c r="J35" s="1402"/>
      <c r="K35" s="118"/>
      <c r="L35" s="118"/>
      <c r="M35" s="119"/>
      <c r="N35" s="119"/>
      <c r="O35" s="454"/>
      <c r="P35" s="119"/>
      <c r="Q35" s="119"/>
      <c r="R35" s="119"/>
      <c r="S35" s="119"/>
      <c r="T35" s="122"/>
      <c r="U35" s="122"/>
      <c r="V35" s="122"/>
      <c r="W35" s="122"/>
    </row>
    <row r="36" spans="1:23" s="119" customFormat="1" ht="12.95">
      <c r="B36" s="246">
        <v>5</v>
      </c>
      <c r="C36" s="437">
        <f>'STANDARD COMP.'!C35</f>
        <v>7.0000000000000007E-2</v>
      </c>
      <c r="D36" s="248">
        <f>PMT(C36/12,B36*12,-1)</f>
        <v>1.9801198540349535E-2</v>
      </c>
      <c r="E36" s="1060">
        <f>F30*D36</f>
        <v>80097.376342050193</v>
      </c>
      <c r="F36" s="1403">
        <f>E36/0.33</f>
        <v>242719.32224863695</v>
      </c>
      <c r="G36" s="1403"/>
      <c r="H36" s="1403"/>
      <c r="I36" s="1403"/>
      <c r="J36" s="1403"/>
      <c r="K36" s="118"/>
      <c r="L36" s="118"/>
      <c r="O36" s="454"/>
      <c r="T36" s="112"/>
      <c r="U36" s="112"/>
      <c r="V36" s="112"/>
      <c r="W36" s="112"/>
    </row>
    <row r="37" spans="1:23" s="119" customFormat="1" ht="12.95">
      <c r="B37" s="246">
        <v>10</v>
      </c>
      <c r="C37" s="437">
        <f>'STANDARD COMP.'!C36</f>
        <v>7.0000000000000007E-2</v>
      </c>
      <c r="D37" s="248">
        <f>PMT(C37/12,B37*12,-1)</f>
        <v>1.1610847921862406E-2</v>
      </c>
      <c r="E37" s="1060">
        <f>F30*D37</f>
        <v>46966.775963214401</v>
      </c>
      <c r="F37" s="1403">
        <f>E37/0.33</f>
        <v>142323.56352489212</v>
      </c>
      <c r="G37" s="1403"/>
      <c r="H37" s="1403"/>
      <c r="I37" s="1403"/>
      <c r="J37" s="1403"/>
      <c r="K37" s="118"/>
      <c r="L37" s="118"/>
      <c r="O37" s="454"/>
      <c r="T37" s="112"/>
      <c r="U37" s="112"/>
      <c r="V37" s="112"/>
      <c r="W37" s="112"/>
    </row>
    <row r="38" spans="1:23" s="119" customFormat="1" ht="12.95">
      <c r="B38" s="246">
        <v>15</v>
      </c>
      <c r="C38" s="437">
        <f>'STANDARD COMP.'!C37</f>
        <v>7.0000000000000007E-2</v>
      </c>
      <c r="D38" s="248">
        <f t="shared" ref="D38" si="1">PMT(C38/12,B38*12,-1)</f>
        <v>8.988282708524269E-3</v>
      </c>
      <c r="E38" s="1060">
        <f>F30*D38</f>
        <v>36358.297267025038</v>
      </c>
      <c r="F38" s="1403">
        <f>E38/0.33</f>
        <v>110176.65838492435</v>
      </c>
      <c r="G38" s="1403"/>
      <c r="H38" s="1403"/>
      <c r="I38" s="1403"/>
      <c r="J38" s="1403"/>
      <c r="K38" s="118"/>
      <c r="L38" s="118"/>
      <c r="O38" s="454"/>
      <c r="T38" s="112"/>
      <c r="U38" s="112"/>
      <c r="V38" s="112"/>
      <c r="W38" s="112"/>
    </row>
    <row r="39" spans="1:23" s="119" customFormat="1" ht="12.95">
      <c r="B39" s="246">
        <v>20</v>
      </c>
      <c r="C39" s="437">
        <f>'STANDARD COMP.'!C38</f>
        <v>7.0000000000000007E-2</v>
      </c>
      <c r="D39" s="248">
        <f t="shared" ref="D39" si="2">PMT(C39/12,B39*12,-1)</f>
        <v>7.7529893561887461E-3</v>
      </c>
      <c r="E39" s="1060">
        <f>F30*D39</f>
        <v>31361.440317521181</v>
      </c>
      <c r="F39" s="1403">
        <f>E39/0.33</f>
        <v>95034.667628852054</v>
      </c>
      <c r="G39" s="1403"/>
      <c r="H39" s="1403"/>
      <c r="I39" s="1403"/>
      <c r="J39" s="1403"/>
      <c r="K39" s="118"/>
      <c r="L39" s="118"/>
      <c r="O39" s="454"/>
      <c r="T39" s="112"/>
      <c r="U39" s="112"/>
      <c r="V39" s="112"/>
      <c r="W39" s="112"/>
    </row>
    <row r="40" spans="1:23" s="119" customFormat="1" ht="12.95">
      <c r="B40" s="565" t="str">
        <f>'STANDARD COMP.'!B39</f>
        <v>Fixed for three (3) years</v>
      </c>
      <c r="C40" s="118"/>
      <c r="D40" s="118"/>
      <c r="E40" s="118"/>
      <c r="F40" s="118"/>
      <c r="G40" s="118"/>
      <c r="H40" s="118"/>
      <c r="I40" s="118"/>
      <c r="J40" s="118"/>
      <c r="K40" s="118"/>
      <c r="L40" s="118"/>
      <c r="O40" s="454"/>
      <c r="T40" s="112"/>
      <c r="U40" s="112"/>
      <c r="V40" s="112"/>
      <c r="W40" s="112"/>
    </row>
    <row r="41" spans="1:23" s="119" customFormat="1" ht="12.95">
      <c r="B41" s="565" t="str">
        <f>'STANDARD COMP.'!B40</f>
        <v>Sample Computation for Interest rate is at 7% fixed for three (3) years only</v>
      </c>
      <c r="C41" s="118"/>
      <c r="D41" s="124"/>
      <c r="E41" s="118"/>
      <c r="F41" s="118"/>
      <c r="G41" s="118"/>
      <c r="H41" s="118"/>
      <c r="I41" s="118"/>
      <c r="J41" s="118"/>
      <c r="K41" s="118"/>
      <c r="L41" s="118"/>
      <c r="O41" s="454"/>
      <c r="T41" s="112"/>
      <c r="U41" s="112"/>
      <c r="V41" s="112"/>
      <c r="W41" s="112"/>
    </row>
    <row r="42" spans="1:23" s="119" customFormat="1" ht="12.95">
      <c r="B42" s="451" t="s">
        <v>1126</v>
      </c>
      <c r="C42" s="118"/>
      <c r="D42" s="124"/>
      <c r="E42" s="118"/>
      <c r="F42" s="118"/>
      <c r="G42" s="118"/>
      <c r="H42" s="118"/>
      <c r="I42" s="118"/>
      <c r="J42" s="118"/>
      <c r="K42" s="118"/>
      <c r="L42" s="118"/>
      <c r="O42" s="454"/>
      <c r="T42" s="112"/>
      <c r="U42" s="112"/>
      <c r="V42" s="112"/>
      <c r="W42" s="112"/>
    </row>
    <row r="43" spans="1:23" s="119" customFormat="1" ht="12.95">
      <c r="B43" s="451" t="s">
        <v>1128</v>
      </c>
      <c r="C43" s="128"/>
      <c r="D43" s="124"/>
      <c r="E43" s="118"/>
      <c r="F43" s="118"/>
      <c r="G43" s="118"/>
      <c r="H43" s="118"/>
      <c r="I43" s="118"/>
      <c r="J43" s="118"/>
      <c r="K43" s="118"/>
      <c r="L43" s="118"/>
      <c r="O43" s="454"/>
      <c r="T43" s="112"/>
      <c r="U43" s="112"/>
      <c r="V43" s="112"/>
      <c r="W43" s="112"/>
    </row>
    <row r="44" spans="1:23" s="119" customFormat="1" ht="12.95">
      <c r="B44" s="166"/>
      <c r="C44" s="1024"/>
      <c r="D44" s="1027"/>
      <c r="E44" s="1024"/>
      <c r="F44" s="1024"/>
      <c r="G44" s="1024"/>
      <c r="H44" s="1024"/>
      <c r="I44" s="1024"/>
      <c r="J44" s="118"/>
      <c r="K44" s="118"/>
      <c r="L44" s="118"/>
      <c r="O44" s="454"/>
      <c r="T44" s="112"/>
      <c r="U44" s="112"/>
      <c r="V44" s="112"/>
      <c r="W44" s="112"/>
    </row>
    <row r="45" spans="1:23" s="119" customFormat="1" ht="12.95">
      <c r="B45" s="101" t="s">
        <v>1131</v>
      </c>
      <c r="C45" s="238"/>
      <c r="D45" s="245"/>
      <c r="E45" s="1153"/>
      <c r="F45" s="1147"/>
      <c r="G45" s="167"/>
      <c r="H45" s="167"/>
      <c r="I45" s="167"/>
      <c r="J45" s="118"/>
      <c r="K45" s="118"/>
      <c r="L45" s="118"/>
      <c r="O45" s="454"/>
      <c r="T45" s="112"/>
      <c r="U45" s="112"/>
      <c r="V45" s="112"/>
      <c r="W45" s="112"/>
    </row>
    <row r="46" spans="1:23" s="119" customFormat="1" ht="12.95">
      <c r="B46" s="175"/>
      <c r="C46" s="245"/>
      <c r="D46" s="245"/>
      <c r="E46" s="1154"/>
      <c r="F46" s="1155"/>
      <c r="G46" s="465"/>
      <c r="H46" s="465"/>
      <c r="I46" s="465"/>
      <c r="J46" s="118"/>
      <c r="K46" s="118"/>
      <c r="L46" s="118"/>
      <c r="O46" s="454"/>
      <c r="T46" s="112"/>
      <c r="U46" s="112"/>
      <c r="V46" s="112"/>
      <c r="W46" s="112"/>
    </row>
    <row r="47" spans="1:23" s="119" customFormat="1" ht="12.95">
      <c r="B47" s="129" t="s">
        <v>1134</v>
      </c>
      <c r="C47" s="129"/>
      <c r="D47" s="142" t="s">
        <v>1015</v>
      </c>
      <c r="E47" s="241">
        <v>0.8</v>
      </c>
      <c r="F47" s="1399">
        <f>E47*F24</f>
        <v>3698356.2783876988</v>
      </c>
      <c r="G47" s="1400"/>
      <c r="H47" s="1400"/>
      <c r="I47" s="1401"/>
      <c r="J47" s="118"/>
      <c r="K47" s="118"/>
      <c r="L47" s="118"/>
      <c r="O47" s="454"/>
      <c r="T47" s="112"/>
      <c r="U47" s="112"/>
      <c r="V47" s="112"/>
      <c r="W47" s="112"/>
    </row>
    <row r="48" spans="1:23" s="119" customFormat="1" ht="12.95">
      <c r="B48" s="1024"/>
      <c r="C48" s="178"/>
      <c r="D48" s="178"/>
      <c r="E48" s="1156"/>
      <c r="F48" s="1059"/>
      <c r="G48" s="1059"/>
      <c r="H48" s="1059"/>
      <c r="I48" s="1059"/>
      <c r="J48" s="118"/>
      <c r="K48" s="118"/>
      <c r="L48" s="118"/>
      <c r="O48" s="454"/>
      <c r="T48" s="112"/>
      <c r="U48" s="112"/>
      <c r="V48" s="112"/>
      <c r="W48" s="112"/>
    </row>
    <row r="49" spans="1:30" s="119" customFormat="1" ht="12.95">
      <c r="B49" s="208" t="s">
        <v>53</v>
      </c>
      <c r="C49" s="208" t="s">
        <v>54</v>
      </c>
      <c r="D49" s="208" t="s">
        <v>55</v>
      </c>
      <c r="E49" s="208" t="s">
        <v>1115</v>
      </c>
      <c r="F49" s="1402" t="s">
        <v>1116</v>
      </c>
      <c r="G49" s="1402"/>
      <c r="H49" s="1402"/>
      <c r="I49" s="1402"/>
      <c r="J49" s="118"/>
      <c r="K49" s="118"/>
      <c r="L49" s="118"/>
      <c r="O49" s="454"/>
      <c r="T49" s="112"/>
      <c r="U49" s="112"/>
      <c r="V49" s="112"/>
      <c r="W49" s="112"/>
    </row>
    <row r="50" spans="1:30" s="119" customFormat="1" ht="12.95">
      <c r="A50" s="455" t="e">
        <f>(E19-#REF!)*12%</f>
        <v>#REF!</v>
      </c>
      <c r="B50" s="246">
        <v>1</v>
      </c>
      <c r="C50" s="1157">
        <v>0.12</v>
      </c>
      <c r="D50" s="248">
        <f>PMT(C50/12,B50*12,-1)</f>
        <v>8.88487886783417E-2</v>
      </c>
      <c r="E50" s="1060">
        <f>$F$47*D50</f>
        <v>328594.47543568694</v>
      </c>
      <c r="F50" s="1403">
        <f>E50/0.33</f>
        <v>995740.83465359674</v>
      </c>
      <c r="G50" s="1403"/>
      <c r="H50" s="1403"/>
      <c r="I50" s="1403"/>
      <c r="J50" s="118"/>
      <c r="K50" s="118"/>
      <c r="L50" s="118"/>
      <c r="O50" s="454"/>
      <c r="T50" s="112"/>
      <c r="U50" s="112"/>
      <c r="V50" s="112"/>
      <c r="W50" s="112"/>
    </row>
    <row r="51" spans="1:30" s="119" customFormat="1" ht="12.95">
      <c r="B51" s="246">
        <v>3</v>
      </c>
      <c r="C51" s="1157">
        <v>0.16</v>
      </c>
      <c r="D51" s="248">
        <f>PMT(C51/12,B51*12,-1)</f>
        <v>3.5157033036350094E-2</v>
      </c>
      <c r="E51" s="1060">
        <f>$F$47*D51</f>
        <v>130023.23385946911</v>
      </c>
      <c r="F51" s="1403">
        <f>E51/0.33</f>
        <v>394009.79957414878</v>
      </c>
      <c r="G51" s="1403"/>
      <c r="H51" s="1403"/>
      <c r="I51" s="1403"/>
      <c r="J51" s="118"/>
      <c r="K51" s="118"/>
      <c r="L51" s="118"/>
      <c r="O51" s="454"/>
      <c r="T51" s="112"/>
      <c r="U51" s="112"/>
      <c r="V51" s="112"/>
      <c r="W51" s="112"/>
    </row>
    <row r="52" spans="1:30" s="119" customFormat="1" ht="12.95">
      <c r="B52" s="246">
        <v>5</v>
      </c>
      <c r="C52" s="1157">
        <v>0.18</v>
      </c>
      <c r="D52" s="248">
        <f>PMT(C52/12,B52*12,-1)</f>
        <v>2.5393427427109084E-2</v>
      </c>
      <c r="E52" s="1060">
        <f>$F$47*D52</f>
        <v>93913.941754831263</v>
      </c>
      <c r="F52" s="1403">
        <f>E52/0.33</f>
        <v>284587.70228736743</v>
      </c>
      <c r="G52" s="1403"/>
      <c r="H52" s="1403"/>
      <c r="I52" s="1403"/>
      <c r="J52" s="118"/>
      <c r="K52" s="118"/>
      <c r="L52" s="118"/>
      <c r="O52" s="454"/>
      <c r="T52" s="112"/>
      <c r="U52" s="112"/>
      <c r="V52" s="112"/>
      <c r="W52" s="112"/>
    </row>
    <row r="53" spans="1:30" s="119" customFormat="1" ht="15" customHeight="1">
      <c r="B53" s="246">
        <v>10</v>
      </c>
      <c r="C53" s="1157">
        <v>0.2</v>
      </c>
      <c r="D53" s="248">
        <f>PMT(C53/12,B53*12,-1)</f>
        <v>1.9325567219932577E-2</v>
      </c>
      <c r="E53" s="1060">
        <f>$F$47*D53</f>
        <v>71472.832861241157</v>
      </c>
      <c r="F53" s="1403">
        <f>E53/0.33</f>
        <v>216584.34200376106</v>
      </c>
      <c r="G53" s="1403"/>
      <c r="H53" s="1403"/>
      <c r="I53" s="1403"/>
      <c r="J53" s="118"/>
      <c r="K53" s="118"/>
      <c r="L53" s="118"/>
      <c r="O53" s="454"/>
      <c r="T53" s="112"/>
      <c r="U53" s="112"/>
      <c r="V53" s="112"/>
      <c r="W53" s="112"/>
    </row>
    <row r="54" spans="1:30" s="119" customFormat="1" ht="13.5" thickBot="1">
      <c r="B54" s="1158" t="s">
        <v>1142</v>
      </c>
      <c r="C54" s="1159"/>
      <c r="D54" s="1159"/>
      <c r="E54" s="1159"/>
      <c r="F54" s="1159"/>
      <c r="G54" s="1159"/>
      <c r="H54" s="1159"/>
      <c r="I54" s="1159"/>
      <c r="J54" s="118"/>
      <c r="K54" s="118"/>
      <c r="L54" s="118"/>
      <c r="O54" s="454"/>
      <c r="T54" s="112"/>
      <c r="U54" s="112"/>
      <c r="V54" s="112"/>
      <c r="W54" s="112"/>
    </row>
    <row r="55" spans="1:30" s="119" customFormat="1" ht="15" customHeight="1">
      <c r="C55" s="118"/>
      <c r="D55" s="124"/>
      <c r="E55" s="118"/>
      <c r="F55" s="118"/>
      <c r="G55" s="118"/>
      <c r="H55" s="118"/>
      <c r="I55" s="118"/>
      <c r="J55" s="118"/>
      <c r="K55" s="118"/>
      <c r="L55" s="118"/>
      <c r="O55" s="454"/>
      <c r="T55" s="112"/>
      <c r="U55" s="112"/>
      <c r="V55" s="112"/>
      <c r="W55" s="112"/>
    </row>
    <row r="56" spans="1:30" s="119" customFormat="1" ht="12.95">
      <c r="C56" s="118"/>
      <c r="D56" s="124"/>
      <c r="E56" s="118"/>
      <c r="F56" s="118"/>
      <c r="G56" s="118"/>
      <c r="H56" s="118"/>
      <c r="I56" s="118"/>
      <c r="J56" s="118"/>
      <c r="O56" s="454"/>
      <c r="T56" s="112"/>
      <c r="U56" s="112"/>
      <c r="V56" s="112"/>
      <c r="W56" s="112"/>
    </row>
    <row r="57" spans="1:30" s="119" customFormat="1" ht="15" customHeight="1">
      <c r="B57" s="129" t="s">
        <v>1146</v>
      </c>
      <c r="C57" s="129"/>
      <c r="D57" s="178"/>
      <c r="E57" s="178"/>
      <c r="F57" s="178"/>
      <c r="G57" s="178"/>
      <c r="H57" s="178"/>
      <c r="I57" s="178"/>
      <c r="J57" s="178"/>
      <c r="O57" s="454"/>
      <c r="V57" s="112"/>
      <c r="W57" s="112"/>
      <c r="X57" s="1568" t="s">
        <v>1153</v>
      </c>
      <c r="Y57" s="1568"/>
      <c r="Z57" s="112"/>
      <c r="AA57" s="112"/>
      <c r="AB57" s="112"/>
      <c r="AC57" s="112"/>
      <c r="AD57" s="112"/>
    </row>
    <row r="58" spans="1:30" s="119" customFormat="1" ht="12.95">
      <c r="B58" s="178"/>
      <c r="C58" s="178"/>
      <c r="D58" s="178"/>
      <c r="E58" s="178"/>
      <c r="F58" s="178"/>
      <c r="G58" s="178"/>
      <c r="H58" s="178"/>
      <c r="I58" s="178"/>
      <c r="J58" s="178"/>
      <c r="O58" s="454"/>
      <c r="V58" s="112"/>
      <c r="W58" s="112"/>
      <c r="X58" s="112"/>
      <c r="Y58" s="112"/>
      <c r="Z58" s="112"/>
      <c r="AA58" s="112"/>
      <c r="AB58" s="112"/>
      <c r="AC58" s="112"/>
      <c r="AD58" s="112"/>
    </row>
    <row r="59" spans="1:30" s="119" customFormat="1" ht="15" customHeight="1">
      <c r="B59" s="1402" t="s">
        <v>1027</v>
      </c>
      <c r="C59" s="1402"/>
      <c r="D59" s="1402" t="s">
        <v>991</v>
      </c>
      <c r="E59" s="1402"/>
      <c r="F59" s="1402"/>
      <c r="G59" s="1402" t="s">
        <v>1150</v>
      </c>
      <c r="H59" s="1402"/>
      <c r="I59" s="1402"/>
      <c r="J59" s="1402"/>
      <c r="O59" s="454"/>
      <c r="V59" s="112"/>
      <c r="W59" s="112"/>
      <c r="X59" s="112"/>
      <c r="Y59" s="112"/>
      <c r="Z59" s="112"/>
      <c r="AA59" s="112"/>
      <c r="AB59" s="112"/>
      <c r="AC59" s="112"/>
      <c r="AD59" s="112"/>
    </row>
    <row r="60" spans="1:30" s="119" customFormat="1" ht="12.95">
      <c r="B60" s="1728">
        <f>'SPOT EQUITY_7DAYS'!B59</f>
        <v>0</v>
      </c>
      <c r="C60" s="1729"/>
      <c r="D60" s="1728">
        <f>'SPOT EQUITY_7DAYS'!D59:D59</f>
        <v>0</v>
      </c>
      <c r="E60" s="1730"/>
      <c r="F60" s="1729"/>
      <c r="G60" s="1731">
        <f>'SPOT EQUITY_7DAYS'!G59</f>
        <v>0</v>
      </c>
      <c r="H60" s="1732"/>
      <c r="I60" s="1732"/>
      <c r="J60" s="1733"/>
      <c r="O60" s="454"/>
      <c r="V60" s="112"/>
      <c r="W60" s="112"/>
      <c r="X60" s="112"/>
      <c r="Y60" s="112"/>
      <c r="Z60" s="112"/>
      <c r="AA60" s="112"/>
      <c r="AB60" s="112"/>
      <c r="AC60" s="112"/>
      <c r="AD60" s="112"/>
    </row>
    <row r="61" spans="1:30" s="119" customFormat="1" ht="15" customHeight="1">
      <c r="B61" s="1734"/>
      <c r="C61" s="1735"/>
      <c r="D61" s="1734"/>
      <c r="E61" s="1736"/>
      <c r="F61" s="1735"/>
      <c r="G61" s="1737"/>
      <c r="H61" s="1738"/>
      <c r="I61" s="1738"/>
      <c r="J61" s="1739"/>
      <c r="O61" s="454"/>
      <c r="V61" s="112"/>
      <c r="W61" s="112"/>
      <c r="X61" s="112"/>
      <c r="Y61" s="112"/>
      <c r="Z61" s="112"/>
      <c r="AA61" s="112"/>
      <c r="AB61" s="112"/>
      <c r="AC61" s="112"/>
      <c r="AD61" s="112"/>
    </row>
    <row r="62" spans="1:30" s="119" customFormat="1" ht="12.95">
      <c r="B62" s="1728">
        <f>'SPOT EQUITY_7DAYS'!B61</f>
        <v>0</v>
      </c>
      <c r="C62" s="1729"/>
      <c r="D62" s="1728">
        <f>'SPOT EQUITY_7DAYS'!D61:D61</f>
        <v>0</v>
      </c>
      <c r="E62" s="1730"/>
      <c r="F62" s="1729"/>
      <c r="G62" s="1731">
        <f>'SPOT EQUITY_7DAYS'!G61</f>
        <v>0</v>
      </c>
      <c r="H62" s="1732"/>
      <c r="I62" s="1732"/>
      <c r="J62" s="1733"/>
      <c r="O62" s="454"/>
      <c r="V62" s="112"/>
      <c r="W62" s="112"/>
      <c r="X62" s="112"/>
      <c r="Y62" s="112"/>
      <c r="Z62" s="112"/>
      <c r="AA62" s="112"/>
      <c r="AB62" s="112"/>
      <c r="AC62" s="112"/>
      <c r="AD62" s="112"/>
    </row>
    <row r="63" spans="1:30" s="119" customFormat="1" ht="12.95">
      <c r="B63" s="1734"/>
      <c r="C63" s="1735"/>
      <c r="D63" s="1734"/>
      <c r="E63" s="1736"/>
      <c r="F63" s="1735"/>
      <c r="G63" s="1737"/>
      <c r="H63" s="1738"/>
      <c r="I63" s="1738"/>
      <c r="J63" s="1739"/>
      <c r="O63" s="454"/>
      <c r="V63" s="112"/>
      <c r="W63" s="112"/>
      <c r="X63" s="112"/>
      <c r="Y63" s="112"/>
      <c r="Z63" s="112"/>
      <c r="AA63" s="112"/>
      <c r="AB63" s="112"/>
      <c r="AC63" s="112"/>
      <c r="AD63" s="112"/>
    </row>
    <row r="64" spans="1:30" s="119" customFormat="1" ht="12.95">
      <c r="B64" s="1728">
        <f>'SPOT EQUITY_7DAYS'!B63</f>
        <v>0</v>
      </c>
      <c r="C64" s="1729"/>
      <c r="D64" s="1728">
        <f>'SPOT EQUITY_7DAYS'!D63:D63</f>
        <v>0</v>
      </c>
      <c r="E64" s="1730"/>
      <c r="F64" s="1729"/>
      <c r="G64" s="1731">
        <f>'SPOT EQUITY_7DAYS'!G63</f>
        <v>0</v>
      </c>
      <c r="H64" s="1732"/>
      <c r="I64" s="1732"/>
      <c r="J64" s="1733"/>
      <c r="O64" s="454"/>
      <c r="V64" s="112"/>
      <c r="W64" s="112"/>
      <c r="X64" s="112"/>
      <c r="Y64" s="112"/>
      <c r="Z64" s="112"/>
      <c r="AA64" s="112"/>
      <c r="AB64" s="112"/>
      <c r="AC64" s="112"/>
      <c r="AD64" s="112"/>
    </row>
    <row r="65" spans="2:30" s="119" customFormat="1" ht="12.95">
      <c r="B65" s="1734"/>
      <c r="C65" s="1735"/>
      <c r="D65" s="1734"/>
      <c r="E65" s="1736"/>
      <c r="F65" s="1735"/>
      <c r="G65" s="1737"/>
      <c r="H65" s="1738"/>
      <c r="I65" s="1738"/>
      <c r="J65" s="1739"/>
      <c r="O65" s="454"/>
      <c r="V65" s="112"/>
      <c r="W65" s="112"/>
      <c r="X65" s="112"/>
      <c r="Y65" s="112"/>
      <c r="Z65" s="112"/>
      <c r="AA65" s="112"/>
      <c r="AB65" s="112"/>
      <c r="AC65" s="112"/>
      <c r="AD65" s="112"/>
    </row>
    <row r="66" spans="2:30" s="119" customFormat="1" ht="12.95">
      <c r="B66" s="1728">
        <f>'SPOT EQUITY_7DAYS'!B65</f>
        <v>0</v>
      </c>
      <c r="C66" s="1729"/>
      <c r="D66" s="1728">
        <f>'SPOT EQUITY_7DAYS'!D65:D65</f>
        <v>0</v>
      </c>
      <c r="E66" s="1730"/>
      <c r="F66" s="1729"/>
      <c r="G66" s="1731">
        <f>'SPOT EQUITY_7DAYS'!G65</f>
        <v>0</v>
      </c>
      <c r="H66" s="1732"/>
      <c r="I66" s="1732"/>
      <c r="J66" s="1733"/>
      <c r="O66" s="454"/>
      <c r="V66" s="112"/>
      <c r="W66" s="112"/>
      <c r="X66" s="112"/>
      <c r="Y66" s="112"/>
      <c r="Z66" s="112"/>
      <c r="AA66" s="112"/>
      <c r="AB66" s="112"/>
      <c r="AC66" s="112"/>
      <c r="AD66" s="112"/>
    </row>
    <row r="67" spans="2:30" s="119" customFormat="1" ht="12.95">
      <c r="B67" s="1734"/>
      <c r="C67" s="1735"/>
      <c r="D67" s="1734"/>
      <c r="E67" s="1736"/>
      <c r="F67" s="1735"/>
      <c r="G67" s="1737"/>
      <c r="H67" s="1738"/>
      <c r="I67" s="1738"/>
      <c r="J67" s="1739"/>
      <c r="O67" s="454"/>
      <c r="V67" s="112"/>
      <c r="W67" s="112"/>
      <c r="X67" s="112"/>
      <c r="Y67" s="112"/>
      <c r="Z67" s="112"/>
      <c r="AA67" s="112"/>
      <c r="AB67" s="112"/>
      <c r="AC67" s="112"/>
      <c r="AD67" s="112"/>
    </row>
    <row r="68" spans="2:30" s="119" customFormat="1" ht="12.95">
      <c r="B68" s="1728">
        <f>'SPOT EQUITY_7DAYS'!B67</f>
        <v>0</v>
      </c>
      <c r="C68" s="1729"/>
      <c r="D68" s="1728">
        <f>'SPOT EQUITY_7DAYS'!D67:D67</f>
        <v>0</v>
      </c>
      <c r="E68" s="1730"/>
      <c r="F68" s="1729"/>
      <c r="G68" s="1731">
        <f>'SPOT EQUITY_7DAYS'!G67</f>
        <v>0</v>
      </c>
      <c r="H68" s="1732"/>
      <c r="I68" s="1732"/>
      <c r="J68" s="1733"/>
      <c r="O68" s="454"/>
      <c r="V68" s="112"/>
      <c r="W68" s="112"/>
      <c r="X68" s="112"/>
      <c r="Y68" s="112"/>
      <c r="Z68" s="112"/>
      <c r="AA68" s="112"/>
      <c r="AB68" s="112"/>
      <c r="AC68" s="112"/>
      <c r="AD68" s="112"/>
    </row>
    <row r="69" spans="2:30" s="119" customFormat="1" ht="12.95">
      <c r="B69" s="1734"/>
      <c r="C69" s="1735"/>
      <c r="D69" s="1734"/>
      <c r="E69" s="1736"/>
      <c r="F69" s="1735"/>
      <c r="G69" s="1737"/>
      <c r="H69" s="1738"/>
      <c r="I69" s="1738"/>
      <c r="J69" s="1739"/>
      <c r="O69" s="454"/>
      <c r="V69" s="112"/>
      <c r="W69" s="112"/>
      <c r="X69" s="112"/>
      <c r="Y69" s="112"/>
      <c r="Z69" s="112"/>
      <c r="AA69" s="112"/>
      <c r="AB69" s="112"/>
      <c r="AC69" s="112"/>
      <c r="AD69" s="112"/>
    </row>
    <row r="70" spans="2:30" s="119" customFormat="1" ht="12.95">
      <c r="B70" s="1728">
        <f>'SPOT EQUITY_7DAYS'!B69</f>
        <v>0</v>
      </c>
      <c r="C70" s="1729"/>
      <c r="D70" s="1728">
        <f>'SPOT EQUITY_7DAYS'!D69:D69</f>
        <v>0</v>
      </c>
      <c r="E70" s="1730"/>
      <c r="F70" s="1729"/>
      <c r="G70" s="1731">
        <f>'SPOT EQUITY_7DAYS'!G69</f>
        <v>0</v>
      </c>
      <c r="H70" s="1732"/>
      <c r="I70" s="1732"/>
      <c r="J70" s="1733"/>
      <c r="O70" s="454"/>
      <c r="V70" s="112"/>
      <c r="W70" s="112"/>
      <c r="X70" s="112"/>
      <c r="Y70" s="112"/>
      <c r="Z70" s="112"/>
      <c r="AA70" s="112"/>
      <c r="AB70" s="112"/>
      <c r="AC70" s="112"/>
      <c r="AD70" s="112"/>
    </row>
    <row r="71" spans="2:30">
      <c r="B71" s="1734"/>
      <c r="C71" s="1735"/>
      <c r="D71" s="1734"/>
      <c r="E71" s="1736"/>
      <c r="F71" s="1735"/>
      <c r="G71" s="1737"/>
      <c r="H71" s="1738"/>
      <c r="I71" s="1738"/>
      <c r="J71" s="1739"/>
    </row>
    <row r="72" spans="2:30">
      <c r="B72" s="119"/>
      <c r="C72" s="119"/>
      <c r="D72" s="162"/>
      <c r="E72" s="119"/>
      <c r="F72" s="119"/>
      <c r="G72" s="119"/>
      <c r="H72" s="119"/>
      <c r="I72" s="119"/>
      <c r="J72" s="119"/>
    </row>
    <row r="73" spans="2:30">
      <c r="B73" s="250"/>
      <c r="C73" s="276" t="s">
        <v>1181</v>
      </c>
      <c r="D73" s="1565"/>
      <c r="E73" s="1565"/>
      <c r="F73" s="1565"/>
      <c r="G73" s="119"/>
      <c r="H73" s="119"/>
      <c r="I73" s="119"/>
      <c r="J73" s="119"/>
    </row>
    <row r="74" spans="2:30">
      <c r="B74" s="119"/>
      <c r="C74" s="119"/>
      <c r="D74" s="162"/>
      <c r="E74" s="119"/>
      <c r="F74" s="119"/>
      <c r="G74" s="119"/>
      <c r="H74" s="119"/>
      <c r="I74" s="119"/>
      <c r="J74" s="119"/>
    </row>
    <row r="75" spans="2:30">
      <c r="B75" s="119"/>
      <c r="C75" s="119"/>
      <c r="D75" s="162"/>
      <c r="E75" s="119"/>
      <c r="F75" s="119"/>
      <c r="G75" s="119"/>
      <c r="H75" s="119"/>
      <c r="I75" s="119"/>
      <c r="J75" s="119"/>
    </row>
    <row r="76" spans="2:30">
      <c r="B76" s="3" t="s">
        <v>1260</v>
      </c>
      <c r="C76" s="1020"/>
      <c r="D76" s="1066"/>
      <c r="E76" s="1020"/>
      <c r="F76" s="3" t="s">
        <v>1169</v>
      </c>
      <c r="G76" s="1020"/>
      <c r="H76" s="1020"/>
      <c r="I76" s="1020"/>
      <c r="J76" s="119"/>
    </row>
    <row r="77" spans="2:30">
      <c r="B77" s="1020"/>
      <c r="C77" s="1020"/>
      <c r="D77" s="1066"/>
      <c r="E77" s="1020"/>
      <c r="F77" s="1020"/>
      <c r="G77" s="1020"/>
      <c r="H77" s="1020"/>
      <c r="I77" s="1020"/>
      <c r="J77" s="119"/>
    </row>
    <row r="78" spans="2:30">
      <c r="B78" s="1807" t="str">
        <f>FORM!I28</f>
        <v xml:space="preserve">agent </v>
      </c>
      <c r="C78" s="1807"/>
      <c r="D78" s="1066"/>
      <c r="E78" s="1020"/>
      <c r="F78" s="1808" t="str">
        <f>FORM!I26</f>
        <v>buyer</v>
      </c>
      <c r="G78" s="1808"/>
      <c r="H78" s="1808"/>
      <c r="I78" s="1020"/>
      <c r="J78" s="119"/>
    </row>
    <row r="79" spans="2:30">
      <c r="B79" s="1792" t="s">
        <v>1261</v>
      </c>
      <c r="C79" s="1792"/>
      <c r="D79" s="1744"/>
      <c r="E79" s="1020"/>
      <c r="F79" s="1792" t="s">
        <v>1261</v>
      </c>
      <c r="G79" s="1809"/>
      <c r="H79" s="1809"/>
      <c r="I79" s="1810"/>
      <c r="J79" s="119"/>
    </row>
    <row r="80" spans="2:30">
      <c r="B80" s="119"/>
      <c r="C80" s="119"/>
      <c r="D80" s="162"/>
      <c r="E80" s="119"/>
      <c r="F80" s="119"/>
      <c r="G80" s="119"/>
      <c r="H80" s="119"/>
      <c r="I80" s="119"/>
      <c r="J80" s="119"/>
    </row>
  </sheetData>
  <sheetProtection password="CC2E" sheet="1" formatCells="0" formatColumns="0" formatRows="0"/>
  <mergeCells count="89">
    <mergeCell ref="R16:S17"/>
    <mergeCell ref="R18:S18"/>
    <mergeCell ref="F16:J16"/>
    <mergeCell ref="F17:J17"/>
    <mergeCell ref="F19:J19"/>
    <mergeCell ref="O16:O17"/>
    <mergeCell ref="P16:Q17"/>
    <mergeCell ref="M16:N17"/>
    <mergeCell ref="R19:S19"/>
    <mergeCell ref="M18:N18"/>
    <mergeCell ref="P18:Q18"/>
    <mergeCell ref="M19:N19"/>
    <mergeCell ref="P19:Q19"/>
    <mergeCell ref="G59:J59"/>
    <mergeCell ref="R20:S20"/>
    <mergeCell ref="M21:N21"/>
    <mergeCell ref="P21:Q21"/>
    <mergeCell ref="F21:H21"/>
    <mergeCell ref="F51:I51"/>
    <mergeCell ref="F52:I52"/>
    <mergeCell ref="F53:I53"/>
    <mergeCell ref="X20:Y20"/>
    <mergeCell ref="X57:Y57"/>
    <mergeCell ref="F22:H22"/>
    <mergeCell ref="M28:N28"/>
    <mergeCell ref="F36:J36"/>
    <mergeCell ref="F37:J37"/>
    <mergeCell ref="F38:J38"/>
    <mergeCell ref="F26:H26"/>
    <mergeCell ref="F27:H27"/>
    <mergeCell ref="F28:H28"/>
    <mergeCell ref="R28:S28"/>
    <mergeCell ref="M20:N20"/>
    <mergeCell ref="P20:Q20"/>
    <mergeCell ref="F24:J24"/>
    <mergeCell ref="F49:I49"/>
    <mergeCell ref="F50:I50"/>
    <mergeCell ref="E12:F12"/>
    <mergeCell ref="P12:Q12"/>
    <mergeCell ref="E13:F13"/>
    <mergeCell ref="P13:Q13"/>
    <mergeCell ref="E14:F14"/>
    <mergeCell ref="P14:Q14"/>
    <mergeCell ref="E11:J11"/>
    <mergeCell ref="P11:S11"/>
    <mergeCell ref="R3:S3"/>
    <mergeCell ref="B4:J5"/>
    <mergeCell ref="M4:S5"/>
    <mergeCell ref="E7:J7"/>
    <mergeCell ref="P7:S7"/>
    <mergeCell ref="P8:S8"/>
    <mergeCell ref="G2:J2"/>
    <mergeCell ref="R2:S2"/>
    <mergeCell ref="E9:J9"/>
    <mergeCell ref="P9:S9"/>
    <mergeCell ref="E10:J10"/>
    <mergeCell ref="P10:S10"/>
    <mergeCell ref="E8:F8"/>
    <mergeCell ref="G79:H79"/>
    <mergeCell ref="B78:C78"/>
    <mergeCell ref="F78:H78"/>
    <mergeCell ref="B64:C65"/>
    <mergeCell ref="D64:F65"/>
    <mergeCell ref="B70:C71"/>
    <mergeCell ref="D70:F71"/>
    <mergeCell ref="G70:J71"/>
    <mergeCell ref="D73:F73"/>
    <mergeCell ref="B66:C67"/>
    <mergeCell ref="D66:F67"/>
    <mergeCell ref="G66:J67"/>
    <mergeCell ref="B68:C69"/>
    <mergeCell ref="D68:F69"/>
    <mergeCell ref="G68:J69"/>
    <mergeCell ref="B17:C17"/>
    <mergeCell ref="G60:J61"/>
    <mergeCell ref="G62:J63"/>
    <mergeCell ref="G64:J65"/>
    <mergeCell ref="F29:H29"/>
    <mergeCell ref="F35:J35"/>
    <mergeCell ref="F30:H30"/>
    <mergeCell ref="D59:F59"/>
    <mergeCell ref="F39:J39"/>
    <mergeCell ref="B59:C59"/>
    <mergeCell ref="B60:C61"/>
    <mergeCell ref="D60:F61"/>
    <mergeCell ref="B62:C63"/>
    <mergeCell ref="D62:F63"/>
    <mergeCell ref="F18:J18"/>
    <mergeCell ref="F47:I47"/>
  </mergeCells>
  <phoneticPr fontId="27" type="noConversion"/>
  <pageMargins left="0.59055118110236227" right="0.59055118110236227" top="0.86614173228346458" bottom="0.74803149606299213" header="0.31496062992125984" footer="0.31496062992125984"/>
  <pageSetup paperSize="14" scale="70" orientation="portrait" r:id="rId1"/>
  <headerFooter>
    <oddHeader xml:space="preserve">&amp;R&amp;"Century Gothic,Bold"&amp;18ANNEX A: 
SAMPLE PACKAGE COMPUTATION
</oddHeader>
  </headerFooter>
  <colBreaks count="1" manualBreakCount="1">
    <brk id="11" max="79" man="1"/>
  </col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16"/>
  <dimension ref="A1:U123"/>
  <sheetViews>
    <sheetView showGridLines="0" showZeros="0" view="pageLayout" topLeftCell="A97" zoomScaleNormal="100" zoomScaleSheetLayoutView="85" workbookViewId="0">
      <selection activeCell="A113" sqref="A113:U113"/>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1182</v>
      </c>
      <c r="B3" s="22"/>
      <c r="C3" s="76"/>
      <c r="D3" s="1471" t="str">
        <f>FORM!I26</f>
        <v>buyer</v>
      </c>
      <c r="E3" s="1471"/>
      <c r="F3" s="1471"/>
      <c r="G3" s="1471"/>
      <c r="H3" s="1471"/>
      <c r="I3" s="1471"/>
      <c r="J3" s="1471"/>
      <c r="K3" s="1471"/>
      <c r="L3" s="1471"/>
      <c r="M3" s="1471"/>
      <c r="N3" s="1471"/>
      <c r="O3" s="1471"/>
      <c r="P3" s="1471"/>
      <c r="Q3" s="1471"/>
      <c r="R3" s="22"/>
      <c r="S3" s="22"/>
      <c r="T3" s="22"/>
      <c r="U3" s="24" t="s">
        <v>1183</v>
      </c>
    </row>
    <row r="4" spans="1:21">
      <c r="A4" s="1472" t="str">
        <f>FORM!I30</f>
        <v>address</v>
      </c>
      <c r="B4" s="1472"/>
      <c r="C4" s="1472"/>
      <c r="D4" s="1472"/>
      <c r="E4" s="1472"/>
      <c r="F4" s="1472"/>
      <c r="G4" s="1472"/>
      <c r="H4" s="1472"/>
      <c r="I4" s="1472"/>
      <c r="J4" s="1472"/>
      <c r="K4" s="1472"/>
      <c r="L4" s="1472"/>
      <c r="M4" s="1472"/>
      <c r="N4" s="1472"/>
      <c r="O4" s="1472"/>
      <c r="P4" s="1472"/>
      <c r="Q4" s="1472"/>
      <c r="R4" s="22"/>
      <c r="S4" s="22"/>
      <c r="T4" s="22"/>
      <c r="U4" s="24" t="s">
        <v>1184</v>
      </c>
    </row>
    <row r="5" spans="1:21" ht="16.5" customHeight="1">
      <c r="A5" s="1473" t="s">
        <v>1185</v>
      </c>
      <c r="B5" s="1473"/>
      <c r="C5" s="1473"/>
      <c r="D5" s="1473"/>
      <c r="E5" s="1473"/>
      <c r="F5" s="1473"/>
      <c r="G5" s="1473"/>
      <c r="H5" s="1473"/>
      <c r="I5" s="1473"/>
      <c r="J5" s="1473"/>
      <c r="K5" s="1473"/>
      <c r="L5" s="1473"/>
      <c r="M5" s="1473"/>
      <c r="N5" s="1473"/>
      <c r="O5" s="1473"/>
      <c r="P5" s="1473"/>
      <c r="Q5" s="1473"/>
      <c r="R5" s="1473"/>
      <c r="S5" s="1473"/>
      <c r="T5" s="1473"/>
      <c r="U5" s="1473"/>
    </row>
    <row r="6" spans="1:21">
      <c r="A6" s="1473"/>
      <c r="B6" s="1473"/>
      <c r="C6" s="1473"/>
      <c r="D6" s="1473"/>
      <c r="E6" s="1473"/>
      <c r="F6" s="1473"/>
      <c r="G6" s="1473"/>
      <c r="H6" s="1473"/>
      <c r="I6" s="1473"/>
      <c r="J6" s="1473"/>
      <c r="K6" s="1473"/>
      <c r="L6" s="1473"/>
      <c r="M6" s="1473"/>
      <c r="N6" s="1473"/>
      <c r="O6" s="1473"/>
      <c r="P6" s="1473"/>
      <c r="Q6" s="1473"/>
      <c r="R6" s="1473"/>
      <c r="S6" s="1473"/>
      <c r="T6" s="1473"/>
      <c r="U6" s="1473"/>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1186</v>
      </c>
      <c r="B8" s="22"/>
      <c r="C8" s="22"/>
      <c r="D8" s="22"/>
      <c r="E8" s="22"/>
      <c r="F8" s="22"/>
      <c r="G8" s="22"/>
      <c r="H8" s="1471" t="str">
        <f>FORM!AB11</f>
        <v>Iloilo Southprime Developers Inc.</v>
      </c>
      <c r="I8" s="1471"/>
      <c r="J8" s="1471"/>
      <c r="K8" s="1471"/>
      <c r="L8" s="1471"/>
      <c r="M8" s="1471"/>
      <c r="N8" s="1471"/>
      <c r="O8" s="1471"/>
      <c r="P8" s="22"/>
      <c r="Q8" s="22"/>
      <c r="R8" s="22"/>
      <c r="S8" s="22"/>
      <c r="T8" s="22"/>
      <c r="U8" s="24" t="s">
        <v>1187</v>
      </c>
    </row>
    <row r="9" spans="1:21">
      <c r="A9" s="1474" t="s">
        <v>1188</v>
      </c>
      <c r="B9" s="1474"/>
      <c r="C9" s="1474"/>
      <c r="D9" s="1474"/>
      <c r="E9" s="1474"/>
      <c r="F9" s="1474"/>
      <c r="G9" s="1474"/>
      <c r="H9" s="1474"/>
      <c r="I9" s="1474"/>
      <c r="J9" s="1474"/>
      <c r="K9" s="1474"/>
      <c r="L9" s="1474"/>
      <c r="M9" s="1474"/>
      <c r="N9" s="1474"/>
      <c r="O9" s="1474"/>
      <c r="P9" s="1474"/>
      <c r="Q9" s="1474"/>
      <c r="R9" s="1474"/>
      <c r="S9" s="1474"/>
      <c r="T9" s="1474"/>
      <c r="U9" s="1474"/>
    </row>
    <row r="10" spans="1:21">
      <c r="A10" s="1470" t="str">
        <f>FORM!AB12</f>
        <v>Avancena St Brgy. Avancena Molo Iloilo City</v>
      </c>
      <c r="B10" s="1470"/>
      <c r="C10" s="1470"/>
      <c r="D10" s="1470"/>
      <c r="E10" s="1470"/>
      <c r="F10" s="1470"/>
      <c r="G10" s="1470"/>
      <c r="H10" s="1470"/>
      <c r="I10" s="1470"/>
      <c r="J10" s="1470"/>
      <c r="K10" s="1470"/>
      <c r="L10" s="1470"/>
      <c r="M10" s="1470"/>
      <c r="N10" s="1470"/>
      <c r="O10" s="1470"/>
      <c r="P10" s="1470"/>
      <c r="Q10" s="22"/>
      <c r="R10" s="22"/>
      <c r="S10" s="22"/>
      <c r="T10" s="22"/>
      <c r="U10" s="24" t="s">
        <v>1189</v>
      </c>
    </row>
    <row r="11" spans="1:21">
      <c r="A11" s="22" t="s">
        <v>1190</v>
      </c>
      <c r="B11" s="22"/>
      <c r="C11" s="22"/>
      <c r="D11" s="22"/>
      <c r="E11" s="22"/>
      <c r="F11" s="22"/>
      <c r="G11" s="22"/>
      <c r="H11" s="22"/>
      <c r="I11" s="1472" t="str">
        <f>FORM!I11</f>
        <v>The Southprime Flats</v>
      </c>
      <c r="J11" s="1472"/>
      <c r="K11" s="1472"/>
      <c r="L11" s="1472"/>
      <c r="M11" s="1472"/>
      <c r="N11" s="1472"/>
      <c r="O11" s="1472"/>
      <c r="P11" s="1472"/>
      <c r="Q11" s="1472"/>
      <c r="R11" s="1472"/>
      <c r="S11" s="1472"/>
      <c r="T11" s="1472"/>
      <c r="U11" s="1472"/>
    </row>
    <row r="12" spans="1:21">
      <c r="A12" s="22" t="s">
        <v>1191</v>
      </c>
      <c r="B12" s="22"/>
      <c r="C12" s="22"/>
      <c r="D12" s="22"/>
      <c r="E12" s="22"/>
      <c r="F12" s="22"/>
      <c r="G12" s="22"/>
      <c r="H12" s="22"/>
      <c r="I12" s="22"/>
      <c r="J12" s="22"/>
      <c r="K12" s="22"/>
      <c r="L12" s="22"/>
      <c r="M12" s="1475" t="str">
        <f>FORM!AB13</f>
        <v>Abeto Street, Brgy. Abeto-Mirasol, Mandurriao, Iloilo City</v>
      </c>
      <c r="N12" s="1475"/>
      <c r="O12" s="1475"/>
      <c r="P12" s="1475"/>
      <c r="Q12" s="1475"/>
      <c r="R12" s="1475"/>
      <c r="S12" s="1475"/>
      <c r="T12" s="1475"/>
      <c r="U12" s="1475"/>
    </row>
    <row r="13" spans="1:21">
      <c r="A13" s="22" t="s">
        <v>1192</v>
      </c>
      <c r="B13" s="22"/>
      <c r="C13" s="22"/>
      <c r="D13" s="22"/>
      <c r="E13" s="22"/>
      <c r="F13" s="22"/>
      <c r="G13" s="22"/>
      <c r="H13" s="22"/>
      <c r="I13" s="22"/>
      <c r="J13" s="22"/>
      <c r="K13" s="1476" t="str">
        <f>'STANDARD COMP.'!E10</f>
        <v>Studio</v>
      </c>
      <c r="L13" s="1472"/>
      <c r="M13" s="1472"/>
      <c r="N13" s="1472"/>
      <c r="O13" s="1472"/>
      <c r="P13" s="1472"/>
      <c r="Q13" s="1472"/>
      <c r="R13" s="1472"/>
      <c r="S13" s="1472"/>
      <c r="T13" s="1472"/>
      <c r="U13" s="1472"/>
    </row>
    <row r="14" spans="1:21" ht="13.5" customHeight="1">
      <c r="A14" s="22" t="s">
        <v>1193</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1194</v>
      </c>
      <c r="B16" s="27"/>
      <c r="C16" s="27"/>
      <c r="D16" s="25"/>
      <c r="E16" s="1475" t="str">
        <f>FORM!I11</f>
        <v>The Southprime Flats</v>
      </c>
      <c r="F16" s="1475"/>
      <c r="G16" s="1475"/>
      <c r="H16" s="1475"/>
      <c r="I16" s="1475"/>
      <c r="J16" s="1475"/>
      <c r="K16" s="1475"/>
      <c r="L16" s="1475"/>
      <c r="M16" s="1475"/>
      <c r="N16" s="1475"/>
      <c r="O16" s="1475"/>
      <c r="P16" s="1475"/>
      <c r="Q16" s="1475"/>
      <c r="R16" s="1475"/>
      <c r="S16" s="1475"/>
      <c r="T16" s="1475"/>
      <c r="U16" s="58"/>
    </row>
    <row r="17" spans="1:21" ht="14.1">
      <c r="A17" s="28" t="s">
        <v>1195</v>
      </c>
      <c r="B17" s="29"/>
      <c r="C17" s="29"/>
      <c r="D17" s="30"/>
      <c r="E17" s="31" t="s">
        <v>1196</v>
      </c>
      <c r="F17" s="30"/>
      <c r="G17" s="30"/>
      <c r="H17" s="30"/>
      <c r="I17" s="30"/>
      <c r="J17" s="30"/>
      <c r="K17" s="30"/>
      <c r="L17" s="56" t="s">
        <v>1197</v>
      </c>
      <c r="M17" s="30"/>
      <c r="N17" s="30"/>
      <c r="O17" s="30"/>
      <c r="P17" s="30"/>
      <c r="Q17" s="30"/>
      <c r="R17" s="30"/>
      <c r="S17" s="30"/>
      <c r="T17" s="31" t="s">
        <v>1198</v>
      </c>
      <c r="U17" s="55"/>
    </row>
    <row r="18" spans="1:21" ht="14.1">
      <c r="A18" s="32"/>
      <c r="B18" s="5"/>
      <c r="C18" s="5"/>
      <c r="D18" s="5"/>
      <c r="E18" s="33" t="s">
        <v>1199</v>
      </c>
      <c r="F18" s="5"/>
      <c r="G18" s="5"/>
      <c r="H18" s="5"/>
      <c r="I18" s="5"/>
      <c r="J18" s="5"/>
      <c r="K18" s="5"/>
      <c r="L18" s="33" t="s">
        <v>1200</v>
      </c>
      <c r="M18" s="5"/>
      <c r="N18" s="5"/>
      <c r="O18" s="5"/>
      <c r="P18" s="5"/>
      <c r="Q18" s="5"/>
      <c r="R18" s="5"/>
      <c r="S18" s="5"/>
      <c r="T18" s="33" t="s">
        <v>1201</v>
      </c>
      <c r="U18" s="34"/>
    </row>
    <row r="19" spans="1:21">
      <c r="T19" s="2" t="s">
        <v>60</v>
      </c>
    </row>
    <row r="20" spans="1:21" ht="14.1">
      <c r="A20" s="1477" t="s">
        <v>1202</v>
      </c>
      <c r="B20" s="1478"/>
      <c r="C20" s="1478"/>
      <c r="D20" s="1478"/>
      <c r="E20" s="1478"/>
      <c r="F20" s="1479"/>
      <c r="G20" s="1477" t="s">
        <v>1203</v>
      </c>
      <c r="H20" s="1478"/>
      <c r="I20" s="1478"/>
      <c r="J20" s="1478"/>
      <c r="K20" s="1478"/>
      <c r="L20" s="1479"/>
      <c r="M20" s="1477" t="s">
        <v>1204</v>
      </c>
      <c r="N20" s="1478"/>
      <c r="O20" s="1478"/>
      <c r="P20" s="1478"/>
      <c r="Q20" s="1479"/>
      <c r="R20" s="1477" t="s">
        <v>1200</v>
      </c>
      <c r="S20" s="1478"/>
      <c r="T20" s="1478"/>
      <c r="U20" s="1479"/>
    </row>
    <row r="21" spans="1:21" ht="14.1">
      <c r="A21" s="39" t="s">
        <v>1205</v>
      </c>
      <c r="B21" s="40"/>
      <c r="C21" s="40"/>
      <c r="D21" s="1480" t="str">
        <f>FORM!I14</f>
        <v>B3</v>
      </c>
      <c r="E21" s="1481"/>
      <c r="F21" s="1482"/>
      <c r="G21" s="39" t="s">
        <v>1205</v>
      </c>
      <c r="H21" s="40"/>
      <c r="I21" s="41"/>
      <c r="J21" s="1483"/>
      <c r="K21" s="1484"/>
      <c r="L21" s="1485"/>
      <c r="M21" s="39" t="s">
        <v>1206</v>
      </c>
      <c r="N21" s="40"/>
      <c r="O21" s="41"/>
      <c r="P21" s="1486"/>
      <c r="Q21" s="1487"/>
      <c r="R21" s="80" t="s">
        <v>1205</v>
      </c>
      <c r="S21" s="81"/>
      <c r="T21" s="1488"/>
      <c r="U21" s="1489"/>
    </row>
    <row r="22" spans="1:21" ht="14.1">
      <c r="A22" s="37" t="s">
        <v>1207</v>
      </c>
      <c r="B22" s="38"/>
      <c r="C22" s="38"/>
      <c r="D22" s="1480" t="str">
        <f>FORM!I16</f>
        <v>11th Floor</v>
      </c>
      <c r="E22" s="1481"/>
      <c r="F22" s="1482"/>
      <c r="G22" s="39" t="s">
        <v>1208</v>
      </c>
      <c r="H22" s="40"/>
      <c r="I22" s="41"/>
      <c r="J22" s="1483"/>
      <c r="K22" s="1484"/>
      <c r="L22" s="1485"/>
      <c r="M22" s="39" t="s">
        <v>1209</v>
      </c>
      <c r="N22" s="40"/>
      <c r="O22" s="41"/>
      <c r="P22" s="1486"/>
      <c r="Q22" s="1487"/>
      <c r="R22" s="80" t="s">
        <v>1210</v>
      </c>
      <c r="S22" s="81"/>
      <c r="T22" s="1488"/>
      <c r="U22" s="1489"/>
    </row>
    <row r="23" spans="1:21" ht="14.1">
      <c r="A23" s="39" t="s">
        <v>1210</v>
      </c>
      <c r="B23" s="40"/>
      <c r="C23" s="41"/>
      <c r="D23" s="1480" t="str">
        <f>FORM!I18</f>
        <v>E-11K</v>
      </c>
      <c r="E23" s="1481"/>
      <c r="F23" s="1482"/>
      <c r="G23" s="39" t="s">
        <v>1211</v>
      </c>
      <c r="H23" s="40"/>
      <c r="I23" s="41"/>
      <c r="J23" s="1483"/>
      <c r="K23" s="1484"/>
      <c r="L23" s="1485"/>
      <c r="M23" s="39" t="s">
        <v>1212</v>
      </c>
      <c r="N23" s="40"/>
      <c r="O23" s="41"/>
      <c r="P23" s="1486"/>
      <c r="Q23" s="1487"/>
      <c r="R23" s="80" t="s">
        <v>1213</v>
      </c>
      <c r="S23" s="81"/>
      <c r="T23" s="1488"/>
      <c r="U23" s="1489"/>
    </row>
    <row r="24" spans="1:21" ht="16.5" customHeight="1">
      <c r="A24" s="37" t="s">
        <v>1214</v>
      </c>
      <c r="B24" s="38"/>
      <c r="C24" s="38"/>
      <c r="D24" s="1493">
        <f>'STANDARD COMP.'!E13</f>
        <v>22</v>
      </c>
      <c r="E24" s="1494"/>
      <c r="F24" s="1495"/>
      <c r="G24" s="39" t="s">
        <v>1213</v>
      </c>
      <c r="H24" s="40"/>
      <c r="I24" s="41"/>
      <c r="J24" s="1483"/>
      <c r="K24" s="1484"/>
      <c r="L24" s="1485"/>
      <c r="M24" s="37" t="s">
        <v>1215</v>
      </c>
      <c r="N24" s="38"/>
      <c r="O24" s="38"/>
      <c r="P24" s="1486"/>
      <c r="Q24" s="1487"/>
      <c r="R24" s="1496" t="s">
        <v>1216</v>
      </c>
      <c r="S24" s="1497"/>
      <c r="T24" s="1500"/>
      <c r="U24" s="1501"/>
    </row>
    <row r="25" spans="1:21" ht="14.1">
      <c r="A25" s="39" t="s">
        <v>1217</v>
      </c>
      <c r="B25" s="40"/>
      <c r="C25" s="41"/>
      <c r="D25" s="1504" t="str">
        <f>K13</f>
        <v>Studio</v>
      </c>
      <c r="E25" s="1481"/>
      <c r="F25" s="1482"/>
      <c r="G25" s="39" t="s">
        <v>1218</v>
      </c>
      <c r="H25" s="40"/>
      <c r="I25" s="41"/>
      <c r="J25" s="1483"/>
      <c r="K25" s="1484"/>
      <c r="L25" s="1485"/>
      <c r="M25" s="39" t="s">
        <v>1219</v>
      </c>
      <c r="N25" s="40"/>
      <c r="O25" s="41"/>
      <c r="P25" s="1480"/>
      <c r="Q25" s="1482"/>
      <c r="R25" s="1498"/>
      <c r="S25" s="1499"/>
      <c r="T25" s="1502"/>
      <c r="U25" s="1503"/>
    </row>
    <row r="27" spans="1:21" ht="14.1">
      <c r="A27" s="39" t="s">
        <v>1220</v>
      </c>
      <c r="B27" s="40"/>
      <c r="C27" s="40"/>
      <c r="D27" s="40"/>
      <c r="E27" s="40"/>
      <c r="F27" s="40"/>
      <c r="G27" s="40"/>
      <c r="H27" s="41"/>
      <c r="I27" s="1574">
        <f>'SPOT EQUITY_30DAYS'!F16</f>
        <v>4123028.1810342241</v>
      </c>
      <c r="J27" s="1575"/>
      <c r="K27" s="1575"/>
      <c r="L27" s="1575"/>
      <c r="M27" s="1575"/>
      <c r="N27" s="1575"/>
      <c r="O27" s="1575"/>
      <c r="P27" s="1575"/>
      <c r="Q27" s="1575"/>
      <c r="R27" s="1575"/>
      <c r="S27" s="1575"/>
      <c r="T27" s="1575"/>
      <c r="U27" s="1576"/>
    </row>
    <row r="28" spans="1:21" ht="14.1">
      <c r="A28" s="39" t="s">
        <v>1221</v>
      </c>
      <c r="B28" s="40"/>
      <c r="C28" s="42"/>
      <c r="D28" s="42"/>
      <c r="E28" s="42"/>
      <c r="F28" s="42"/>
      <c r="G28" s="42"/>
      <c r="H28" s="43"/>
      <c r="I28" s="1574">
        <f>'SPOT EQUITY_30DAYS'!F17+'SPOT EQUITY_30DAYS'!F18</f>
        <v>25768.926131463901</v>
      </c>
      <c r="J28" s="1575"/>
      <c r="K28" s="1575"/>
      <c r="L28" s="1575"/>
      <c r="M28" s="1575"/>
      <c r="N28" s="1575"/>
      <c r="O28" s="1575"/>
      <c r="P28" s="1575"/>
      <c r="Q28" s="1575"/>
      <c r="R28" s="1575"/>
      <c r="S28" s="1575"/>
      <c r="T28" s="1575"/>
      <c r="U28" s="1576"/>
    </row>
    <row r="29" spans="1:21" ht="14.1">
      <c r="A29" s="49" t="s">
        <v>1222</v>
      </c>
      <c r="B29" s="50"/>
      <c r="C29" s="51"/>
      <c r="D29" s="51"/>
      <c r="E29" s="51"/>
      <c r="F29" s="51"/>
      <c r="G29" s="51"/>
      <c r="H29" s="48"/>
      <c r="I29" s="1574">
        <f>'SPOT EQUITY_30DAYS'!F19</f>
        <v>4097259.25490276</v>
      </c>
      <c r="J29" s="1575"/>
      <c r="K29" s="1575"/>
      <c r="L29" s="1575"/>
      <c r="M29" s="1575"/>
      <c r="N29" s="1575"/>
      <c r="O29" s="1575"/>
      <c r="P29" s="1575"/>
      <c r="Q29" s="1575"/>
      <c r="R29" s="1575"/>
      <c r="S29" s="1575"/>
      <c r="T29" s="1575"/>
      <c r="U29" s="1576"/>
    </row>
    <row r="30" spans="1:21" ht="14.1">
      <c r="A30" s="39" t="s">
        <v>1223</v>
      </c>
      <c r="B30" s="40"/>
      <c r="C30" s="42"/>
      <c r="D30" s="42"/>
      <c r="E30" s="42"/>
      <c r="F30" s="42"/>
      <c r="G30" s="42"/>
      <c r="H30" s="43"/>
      <c r="I30" s="1574">
        <f>'SPOT EQUITY_30DAYS'!F22</f>
        <v>525686.0930818636</v>
      </c>
      <c r="J30" s="1575"/>
      <c r="K30" s="1575"/>
      <c r="L30" s="1575"/>
      <c r="M30" s="1575"/>
      <c r="N30" s="1575"/>
      <c r="O30" s="1575"/>
      <c r="P30" s="1575"/>
      <c r="Q30" s="1575"/>
      <c r="R30" s="1575"/>
      <c r="S30" s="1575"/>
      <c r="T30" s="1575"/>
      <c r="U30" s="1576"/>
    </row>
    <row r="31" spans="1:21" ht="14.1">
      <c r="A31" s="39" t="s">
        <v>1224</v>
      </c>
      <c r="B31" s="40"/>
      <c r="C31" s="42"/>
      <c r="D31" s="42"/>
      <c r="E31" s="42"/>
      <c r="F31" s="42"/>
      <c r="G31" s="42"/>
      <c r="H31" s="43"/>
      <c r="I31" s="1574">
        <f>'SPOT EQUITY_30DAYS'!F21</f>
        <v>0</v>
      </c>
      <c r="J31" s="1575"/>
      <c r="K31" s="1575"/>
      <c r="L31" s="1575"/>
      <c r="M31" s="1575"/>
      <c r="N31" s="1575"/>
      <c r="O31" s="1575"/>
      <c r="P31" s="1575"/>
      <c r="Q31" s="1575"/>
      <c r="R31" s="1575"/>
      <c r="S31" s="1575"/>
      <c r="T31" s="1575"/>
      <c r="U31" s="1576"/>
    </row>
    <row r="32" spans="1:21" ht="14.1">
      <c r="A32" s="39" t="s">
        <v>170</v>
      </c>
      <c r="B32" s="40"/>
      <c r="C32" s="42"/>
      <c r="D32" s="42"/>
      <c r="E32" s="42"/>
      <c r="F32" s="42"/>
      <c r="G32" s="42"/>
      <c r="H32" s="43"/>
      <c r="I32" s="1574">
        <f>'SPOT EQUITY_30DAYS'!F24</f>
        <v>4622945.3479846232</v>
      </c>
      <c r="J32" s="1575"/>
      <c r="K32" s="1575"/>
      <c r="L32" s="1575"/>
      <c r="M32" s="1575"/>
      <c r="N32" s="1575"/>
      <c r="O32" s="1575"/>
      <c r="P32" s="1575"/>
      <c r="Q32" s="1575"/>
      <c r="R32" s="1575"/>
      <c r="S32" s="1575"/>
      <c r="T32" s="1575"/>
      <c r="U32" s="1576"/>
    </row>
    <row r="34" spans="1:21">
      <c r="A34" s="70" t="s">
        <v>1225</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1226</v>
      </c>
      <c r="E36" s="18"/>
      <c r="F36" s="18"/>
      <c r="G36" s="18"/>
      <c r="H36" s="18"/>
      <c r="I36" s="18"/>
      <c r="J36" s="18"/>
      <c r="K36" s="18"/>
      <c r="L36" s="18"/>
      <c r="M36" s="18" t="s">
        <v>1227</v>
      </c>
      <c r="O36" s="18"/>
      <c r="P36" s="18"/>
      <c r="Q36" s="18"/>
      <c r="R36" s="18"/>
      <c r="S36" s="18" t="s">
        <v>1228</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1229</v>
      </c>
      <c r="T39"/>
    </row>
    <row r="40" spans="1:21" ht="13.5" customHeight="1">
      <c r="A40" s="75" t="s">
        <v>1230</v>
      </c>
      <c r="C40" s="1507" t="s">
        <v>1231</v>
      </c>
      <c r="D40" s="1507"/>
      <c r="E40" s="1507"/>
      <c r="F40" s="1507"/>
      <c r="G40" s="1507"/>
      <c r="H40" s="1507"/>
      <c r="I40" s="1507"/>
      <c r="J40" s="1507"/>
      <c r="K40" s="1507"/>
      <c r="L40" s="1507"/>
      <c r="M40" s="1507"/>
      <c r="N40" s="1507"/>
      <c r="O40" s="150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"&amp;PROPER(IF(LEN(LEFT(TRIM(MID(SUBSTITUTE([9]Sheet1!A2,".",REPT(" ",255)),255,200)),2))=1,CHOOSE(1*LEFT(TRIM(MID(SUBSTITUTE([9]Sheet1!A2,".",REPT(" ",255)),255,200)),2),"ten","twenty","thirty","forty","fifty","sixty","seventy","eighty","ninety")&amp;" cents","")&amp;CONCATENATE(CHOOSE(MID(TEXT(INT(LEFT(TRIM(MID(SUBSTITUTE([9]Sheet1!A2,".",REPT(" ",255)),255,200)),2)),REPT(0,12)),11,1)+1,"",CHOOSE(MID(TEXT(INT(LEFT(TRIM(MID(SUBSTITUTE([9]Sheet1!A2,".",REPT(" ",255)),255,200)),2)),REPT(0,12)),12,1)+1,"ten","eleven","twelve","thirteen","fourteen","fifteen","sixteen","seventeen","eighteen","nineteen")&amp;" cents","twenty","thirty","forty","fifty","sixty","seventy","eighty","ninety"),IF(VALUE(MID(TEXT(INT(LEFT(TRIM(MID(SUBSTITUTE([9]Sheet1!A2,".",REPT(" ",255)),255,200)),2)),REPT(0,12)),11,1))&gt;1,CHOOSE(MID(TEXT(INT(LEFT(TRIM(MID(SUBSTITUTE([9]Sheet1!A2,".",REPT(" ",255)),255,200)),2)),REPT(0,12)),12,1)+1,"","-one","-two","-three","-four","-five","-six","-seven","-eight","-nine")&amp;" cents",IF(LEFT(TRIM(MID(SUBSTITUTE([9]Sheet1!A2,".",REPT(" ",255)),255,200)),2)="01","one cent",IF(LEFT(TRIM(MID(SUBSTITUTE([9]Sheet1!A2,".",REPT(" ",255)),255,200)),1)="0",CHOOSE(MID(TEXT(INT(LEFT(TRIM(MID(SUBSTITUTE([9]Sheet1!A2,".",REPT(" ",255)),255,200)),2)),REPT(0,12)),12,1)+1,"","one","two","three","four","five","six","seven","eight","nine")&amp;" cents","")))))))</f>
        <v>Thirty Thousand  Pesos</v>
      </c>
      <c r="P40" s="1508"/>
      <c r="Q40" s="1508"/>
      <c r="R40" s="1508"/>
      <c r="S40" s="79" t="s">
        <v>1232</v>
      </c>
      <c r="T40" s="358">
        <f>FORM!I22</f>
        <v>30000</v>
      </c>
      <c r="U40" s="82" t="s">
        <v>1233</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60</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1234</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1235</v>
      </c>
      <c r="D89" s="59"/>
      <c r="E89" s="59"/>
      <c r="F89" s="59"/>
      <c r="G89" s="59"/>
      <c r="H89" s="59"/>
      <c r="I89" s="59"/>
      <c r="J89" s="59"/>
      <c r="K89" s="66" t="s">
        <v>1236</v>
      </c>
      <c r="L89" s="59"/>
      <c r="M89" s="59"/>
      <c r="N89" s="59"/>
      <c r="O89" s="59"/>
      <c r="P89" s="59"/>
      <c r="Q89" s="59"/>
      <c r="R89" s="66" t="s">
        <v>1237</v>
      </c>
      <c r="S89" s="66"/>
      <c r="T89" s="66"/>
      <c r="U89" s="65"/>
    </row>
    <row r="90" spans="1:21" ht="14.1">
      <c r="A90" s="187"/>
      <c r="B90" s="188"/>
      <c r="C90" s="59" t="s">
        <v>1238</v>
      </c>
      <c r="D90" s="189"/>
      <c r="E90" s="1509"/>
      <c r="F90" s="1509"/>
      <c r="G90" s="1509"/>
      <c r="H90" s="189"/>
      <c r="I90" s="189"/>
      <c r="J90" s="188"/>
      <c r="K90" s="59" t="s">
        <v>1239</v>
      </c>
      <c r="L90" s="189"/>
      <c r="M90" s="1509"/>
      <c r="N90" s="1509"/>
      <c r="O90" s="1509"/>
      <c r="P90" s="189"/>
      <c r="Q90" s="188"/>
      <c r="R90" s="59" t="s">
        <v>1240</v>
      </c>
      <c r="S90" s="1509"/>
      <c r="T90" s="1509"/>
      <c r="U90" s="65"/>
    </row>
    <row r="91" spans="1:21" ht="14.1">
      <c r="A91" s="187"/>
      <c r="B91" s="188"/>
      <c r="C91" s="59" t="s">
        <v>1241</v>
      </c>
      <c r="D91" s="189"/>
      <c r="E91" s="1509"/>
      <c r="F91" s="1509"/>
      <c r="G91" s="1509"/>
      <c r="H91" s="189"/>
      <c r="I91" s="189"/>
      <c r="J91" s="188"/>
      <c r="K91" s="59" t="s">
        <v>1242</v>
      </c>
      <c r="L91" s="189"/>
      <c r="M91" s="1509"/>
      <c r="N91" s="1509"/>
      <c r="O91" s="1509"/>
      <c r="P91" s="189"/>
      <c r="Q91" s="188"/>
      <c r="R91" s="59" t="s">
        <v>1243</v>
      </c>
      <c r="S91" s="1510"/>
      <c r="T91" s="1510"/>
      <c r="U91" s="65"/>
    </row>
    <row r="92" spans="1:21" ht="14.1">
      <c r="A92" s="187"/>
      <c r="B92" s="189"/>
      <c r="C92" s="189"/>
      <c r="D92" s="189"/>
      <c r="E92" s="189"/>
      <c r="F92" s="189"/>
      <c r="G92" s="189"/>
      <c r="H92" s="189"/>
      <c r="I92" s="189"/>
      <c r="J92" s="189"/>
      <c r="K92" s="189"/>
      <c r="L92" s="189"/>
      <c r="M92" s="189"/>
      <c r="N92" s="189"/>
      <c r="O92" s="189"/>
      <c r="P92" s="189"/>
      <c r="Q92" s="188"/>
      <c r="R92" s="59" t="s">
        <v>1244</v>
      </c>
      <c r="S92" s="1510"/>
      <c r="T92" s="1510"/>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511" t="s">
        <v>1245</v>
      </c>
      <c r="B95" s="1512"/>
      <c r="C95" s="1512"/>
      <c r="D95" s="1512"/>
      <c r="E95" s="1512"/>
      <c r="F95" s="1512"/>
      <c r="G95" s="1512"/>
      <c r="H95" s="1512"/>
      <c r="I95" s="1512"/>
      <c r="J95" s="1512"/>
      <c r="K95" s="1512"/>
      <c r="L95" s="1512"/>
      <c r="M95" s="1512"/>
      <c r="N95" s="1512"/>
      <c r="O95" s="1512"/>
      <c r="P95" s="1512"/>
      <c r="Q95" s="1512"/>
      <c r="R95" s="1512"/>
      <c r="S95" s="1512"/>
      <c r="T95" s="1512"/>
      <c r="U95" s="1513"/>
    </row>
    <row r="96" spans="1:21">
      <c r="A96" s="1505" t="s">
        <v>1052</v>
      </c>
      <c r="B96" s="1505"/>
      <c r="C96" s="1505"/>
      <c r="D96" s="1505"/>
      <c r="E96" s="1505"/>
      <c r="F96" s="1505"/>
      <c r="G96" s="1505"/>
      <c r="H96" s="1505"/>
      <c r="I96" s="1505" t="s">
        <v>1246</v>
      </c>
      <c r="J96" s="1505"/>
      <c r="K96" s="1505"/>
      <c r="L96" s="1505"/>
      <c r="M96" s="1505"/>
      <c r="N96" s="1505"/>
      <c r="O96" s="1505"/>
      <c r="P96" s="1506" t="s">
        <v>1054</v>
      </c>
      <c r="Q96" s="1506"/>
      <c r="R96" s="1506"/>
      <c r="S96" s="1506"/>
      <c r="T96" s="1506"/>
      <c r="U96" s="1506"/>
    </row>
    <row r="97" spans="1:21" ht="14.1">
      <c r="A97" s="1321" t="str">
        <f>FORM!I46</f>
        <v>Brokerage/Realty</v>
      </c>
      <c r="B97" s="1321"/>
      <c r="C97" s="1321"/>
      <c r="D97" s="1321"/>
      <c r="E97" s="1321"/>
      <c r="F97" s="1321"/>
      <c r="G97" s="1321"/>
      <c r="H97" s="1321"/>
      <c r="I97" s="1322">
        <f>FORM!M46</f>
        <v>0</v>
      </c>
      <c r="J97" s="1322"/>
      <c r="K97" s="1322"/>
      <c r="L97" s="1322"/>
      <c r="M97" s="1322"/>
      <c r="N97" s="1322"/>
      <c r="O97" s="1322"/>
      <c r="P97" s="1322">
        <f>FORM!T46</f>
        <v>0</v>
      </c>
      <c r="Q97" s="1322"/>
      <c r="R97" s="1322"/>
      <c r="S97" s="1322"/>
      <c r="T97" s="1322"/>
      <c r="U97" s="1322"/>
    </row>
    <row r="98" spans="1:21" ht="14.1">
      <c r="A98" s="1321" t="str">
        <f>FORM!I47</f>
        <v>Broker Head/AVP</v>
      </c>
      <c r="B98" s="1321"/>
      <c r="C98" s="1321"/>
      <c r="D98" s="1321"/>
      <c r="E98" s="1321"/>
      <c r="F98" s="1321"/>
      <c r="G98" s="1321"/>
      <c r="H98" s="1321"/>
      <c r="I98" s="1322">
        <f>FORM!M47</f>
        <v>0</v>
      </c>
      <c r="J98" s="1322"/>
      <c r="K98" s="1322"/>
      <c r="L98" s="1322"/>
      <c r="M98" s="1322"/>
      <c r="N98" s="1322"/>
      <c r="O98" s="1322"/>
      <c r="P98" s="1322">
        <f>FORM!T47</f>
        <v>0</v>
      </c>
      <c r="Q98" s="1322"/>
      <c r="R98" s="1322"/>
      <c r="S98" s="1322"/>
      <c r="T98" s="1322"/>
      <c r="U98" s="1322"/>
    </row>
    <row r="99" spans="1:21" ht="14.1">
      <c r="A99" s="1321" t="str">
        <f>FORM!I48</f>
        <v>Sales Manager</v>
      </c>
      <c r="B99" s="1321"/>
      <c r="C99" s="1321"/>
      <c r="D99" s="1321"/>
      <c r="E99" s="1321"/>
      <c r="F99" s="1321"/>
      <c r="G99" s="1321"/>
      <c r="H99" s="1321"/>
      <c r="I99" s="1322">
        <f>FORM!M48</f>
        <v>0</v>
      </c>
      <c r="J99" s="1322"/>
      <c r="K99" s="1322"/>
      <c r="L99" s="1322"/>
      <c r="M99" s="1322"/>
      <c r="N99" s="1322"/>
      <c r="O99" s="1322"/>
      <c r="P99" s="1322">
        <f>FORM!T48</f>
        <v>0</v>
      </c>
      <c r="Q99" s="1322"/>
      <c r="R99" s="1322"/>
      <c r="S99" s="1322"/>
      <c r="T99" s="1322"/>
      <c r="U99" s="1322"/>
    </row>
    <row r="100" spans="1:21" ht="14.1">
      <c r="A100" s="1321" t="str">
        <f>FORM!I49</f>
        <v xml:space="preserve">Sales Agent/Property Consultant </v>
      </c>
      <c r="B100" s="1321"/>
      <c r="C100" s="1321"/>
      <c r="D100" s="1321"/>
      <c r="E100" s="1321"/>
      <c r="F100" s="1321"/>
      <c r="G100" s="1321"/>
      <c r="H100" s="1321"/>
      <c r="I100" s="1322">
        <f>FORM!M49</f>
        <v>0</v>
      </c>
      <c r="J100" s="1322"/>
      <c r="K100" s="1322"/>
      <c r="L100" s="1322"/>
      <c r="M100" s="1322"/>
      <c r="N100" s="1322"/>
      <c r="O100" s="1322"/>
      <c r="P100" s="1322">
        <f>FORM!T49</f>
        <v>0</v>
      </c>
      <c r="Q100" s="1322"/>
      <c r="R100" s="1322"/>
      <c r="S100" s="1322"/>
      <c r="T100" s="1322"/>
      <c r="U100" s="1322"/>
    </row>
    <row r="102" spans="1:21" ht="14.1">
      <c r="A102" s="1514" t="s">
        <v>1247</v>
      </c>
      <c r="B102" s="1515"/>
      <c r="C102" s="1515"/>
      <c r="D102" s="1515"/>
      <c r="E102" s="1515"/>
      <c r="F102" s="1515"/>
      <c r="G102" s="1515"/>
      <c r="H102" s="1515"/>
      <c r="I102" s="1515"/>
      <c r="J102" s="1515"/>
      <c r="K102" s="1515"/>
      <c r="L102" s="1515"/>
      <c r="M102" s="1515"/>
      <c r="N102" s="1515"/>
      <c r="O102" s="1515"/>
      <c r="P102" s="1515"/>
      <c r="Q102" s="1515"/>
      <c r="R102" s="1515"/>
      <c r="S102" s="1515"/>
      <c r="T102" s="1515"/>
      <c r="U102" s="1515"/>
    </row>
    <row r="112" spans="1:21">
      <c r="G112" s="22"/>
      <c r="H112" s="1470" t="str">
        <f>D3</f>
        <v>buyer</v>
      </c>
      <c r="I112" s="1470"/>
      <c r="J112" s="1470"/>
      <c r="K112" s="1470"/>
      <c r="L112" s="1470"/>
      <c r="M112" s="1470"/>
      <c r="N112" s="1470"/>
      <c r="O112" s="1470"/>
      <c r="P112" s="1470"/>
      <c r="Q112" s="1470"/>
    </row>
    <row r="113" spans="1:21" ht="25.5" customHeight="1">
      <c r="A113" s="1516" t="s">
        <v>1248</v>
      </c>
      <c r="B113" s="1516"/>
      <c r="C113" s="1516"/>
      <c r="D113" s="1516"/>
      <c r="E113" s="1516"/>
      <c r="F113" s="1516"/>
      <c r="G113" s="1516"/>
      <c r="H113" s="1516"/>
      <c r="I113" s="1516"/>
      <c r="J113" s="1516"/>
      <c r="K113" s="1516"/>
      <c r="L113" s="1516"/>
      <c r="M113" s="1516"/>
      <c r="N113" s="1516"/>
      <c r="O113" s="1516"/>
      <c r="P113" s="1516"/>
      <c r="Q113" s="1516"/>
      <c r="R113" s="1516"/>
      <c r="S113" s="1516"/>
      <c r="T113" s="1516"/>
      <c r="U113" s="1516"/>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517" t="s">
        <v>1249</v>
      </c>
      <c r="B116" s="1517"/>
      <c r="C116" s="1517"/>
      <c r="D116" s="1517"/>
      <c r="E116" s="1517"/>
      <c r="F116" s="1517"/>
      <c r="G116" s="1517"/>
      <c r="H116" s="1517"/>
      <c r="I116" s="1517"/>
      <c r="J116" s="1517"/>
      <c r="K116" s="1517"/>
      <c r="L116" s="1517"/>
      <c r="M116" s="1517"/>
      <c r="N116" s="1517"/>
      <c r="O116" s="1517"/>
      <c r="P116" s="1517"/>
      <c r="Q116" s="1517"/>
      <c r="R116" s="1517"/>
      <c r="S116" s="1517"/>
      <c r="T116" s="1517"/>
      <c r="U116" s="1517"/>
    </row>
    <row r="117" spans="1:21" ht="21.75" customHeight="1">
      <c r="A117" s="1518" t="str">
        <f>H8</f>
        <v>Iloilo Southprime Developers Inc.</v>
      </c>
      <c r="B117" s="1518"/>
      <c r="C117" s="1518"/>
      <c r="D117" s="1518"/>
      <c r="E117" s="1518"/>
      <c r="F117" s="1518"/>
      <c r="G117" s="1518"/>
      <c r="H117" s="1518"/>
      <c r="I117" s="1518"/>
      <c r="J117" s="1518"/>
      <c r="K117" s="1518"/>
      <c r="L117" s="1518"/>
      <c r="M117" s="1518"/>
      <c r="N117" s="1518"/>
      <c r="O117" s="1518"/>
      <c r="P117" s="1518"/>
      <c r="Q117" s="1518"/>
      <c r="R117" s="1518"/>
      <c r="S117" s="1518"/>
      <c r="T117" s="1518"/>
      <c r="U117" s="1518"/>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voKcy1ASwRI268mxikEyvlsI2QZU8VnmPEhyTGgBEms2CFChqDCs3JgEHBD0syNbbUYQv9D+xIcYiRuJJ/aY3g==" saltValue="zxTIcZSTc6QIMbeLn1o5sA==" spinCount="100000" sheet="1" objects="1" scenarios="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78125"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0657"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0658" r:id="rId5" name="Check Box 2">
              <controlPr defaultSize="0" autoFill="0" autoLine="0" autoPict="0">
                <anchor moveWithCells="1">
                  <from>
                    <xdr:col>11</xdr:col>
                    <xdr:colOff>69850</xdr:colOff>
                    <xdr:row>35</xdr:row>
                    <xdr:rowOff>0</xdr:rowOff>
                  </from>
                  <to>
                    <xdr:col>12</xdr:col>
                    <xdr:colOff>3175</xdr:colOff>
                    <xdr:row>36</xdr:row>
                    <xdr:rowOff>12700</xdr:rowOff>
                  </to>
                </anchor>
              </controlPr>
            </control>
          </mc:Choice>
        </mc:AlternateContent>
        <mc:AlternateContent xmlns:mc="http://schemas.openxmlformats.org/markup-compatibility/2006">
          <mc:Choice Requires="x14">
            <control shapeId="70659"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0660"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0661"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0662"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0663"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0664"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0665"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0666" r:id="rId13" name="Check Box 10">
              <controlPr defaultSize="0" autoFill="0" autoLine="0" autoPict="0">
                <anchor moveWithCells="1">
                  <from>
                    <xdr:col>16</xdr:col>
                    <xdr:colOff>139700</xdr:colOff>
                    <xdr:row>88</xdr:row>
                    <xdr:rowOff>0</xdr:rowOff>
                  </from>
                  <to>
                    <xdr:col>17</xdr:col>
                    <xdr:colOff>3175</xdr:colOff>
                    <xdr:row>89</xdr:row>
                    <xdr:rowOff>25400</xdr:rowOff>
                  </to>
                </anchor>
              </controlPr>
            </control>
          </mc:Choice>
        </mc:AlternateContent>
        <mc:AlternateContent xmlns:mc="http://schemas.openxmlformats.org/markup-compatibility/2006">
          <mc:Choice Requires="x14">
            <control shapeId="70667"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0668"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0669"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0670"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0671"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0672"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0673"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0674"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0675"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7"/>
  <dimension ref="A1:BB77"/>
  <sheetViews>
    <sheetView showGridLines="0" showZeros="0" showRuler="0" view="pageLayout" topLeftCell="A14" zoomScale="85" zoomScaleNormal="80" zoomScaleSheetLayoutView="100" zoomScalePageLayoutView="85" workbookViewId="0">
      <selection activeCell="F21" sqref="F21:H21"/>
    </sheetView>
  </sheetViews>
  <sheetFormatPr defaultColWidth="9.140625" defaultRowHeight="14.45"/>
  <cols>
    <col min="1" max="1" width="1" customWidth="1"/>
    <col min="2" max="2" width="13.140625" customWidth="1"/>
    <col min="3" max="3" width="18.140625" customWidth="1"/>
    <col min="4" max="4" width="16.42578125" style="103" customWidth="1"/>
    <col min="5" max="5" width="14" customWidth="1"/>
    <col min="6" max="6" width="9.42578125" customWidth="1"/>
    <col min="7" max="7" width="13" customWidth="1"/>
    <col min="8" max="8" width="4.140625" customWidth="1"/>
    <col min="9" max="9" width="22" customWidth="1"/>
    <col min="10" max="10" width="0.85546875" customWidth="1"/>
    <col min="11" max="11" width="1" customWidth="1"/>
    <col min="13" max="13" width="21.5703125" customWidth="1"/>
    <col min="14" max="14" width="17.85546875" style="104" customWidth="1"/>
    <col min="15" max="15" width="5.85546875" customWidth="1"/>
    <col min="16" max="16" width="17.5703125" customWidth="1"/>
    <col min="17" max="17" width="11.140625" customWidth="1"/>
    <col min="18" max="18" width="9" customWidth="1"/>
    <col min="19" max="19" width="18.140625" customWidth="1"/>
  </cols>
  <sheetData>
    <row r="1" spans="1:54" ht="7.5" customHeight="1"/>
    <row r="2" spans="1:54" s="119" customFormat="1" ht="12.95">
      <c r="B2" s="132" t="s">
        <v>1059</v>
      </c>
      <c r="C2" s="1762">
        <f>FORM!I20</f>
        <v>45901</v>
      </c>
      <c r="D2" s="133"/>
      <c r="F2" s="133"/>
      <c r="G2" s="134" t="s">
        <v>1172</v>
      </c>
      <c r="H2" s="1811" t="s">
        <v>1061</v>
      </c>
      <c r="I2" s="1811"/>
      <c r="J2" s="133"/>
      <c r="K2" s="3"/>
      <c r="L2" s="135" t="s">
        <v>1262</v>
      </c>
      <c r="M2" s="1022">
        <f>C2</f>
        <v>45901</v>
      </c>
      <c r="N2" s="136"/>
      <c r="O2" s="136"/>
      <c r="Q2" s="135" t="str">
        <f>G2</f>
        <v xml:space="preserve">PAGE: </v>
      </c>
      <c r="R2" s="1812" t="s">
        <v>1063</v>
      </c>
      <c r="S2" s="1813"/>
    </row>
    <row r="3" spans="1:54" s="1" customFormat="1" ht="12.6">
      <c r="B3" s="86"/>
      <c r="C3" s="87"/>
      <c r="D3" s="87"/>
      <c r="E3" s="86"/>
      <c r="F3" s="86"/>
      <c r="G3" s="88"/>
      <c r="H3" s="88"/>
      <c r="I3" s="88"/>
      <c r="J3" s="92"/>
      <c r="K3" s="88"/>
      <c r="L3" s="86"/>
      <c r="M3" s="87"/>
      <c r="N3" s="87"/>
      <c r="O3" s="86"/>
      <c r="P3" s="86"/>
      <c r="Q3" s="86"/>
      <c r="R3" s="1596"/>
      <c r="S3" s="1596"/>
    </row>
    <row r="4" spans="1:54" s="111" customFormat="1" ht="12.75" customHeight="1">
      <c r="A4" s="113"/>
      <c r="B4" s="1447" t="s">
        <v>1263</v>
      </c>
      <c r="C4" s="1447"/>
      <c r="D4" s="1447"/>
      <c r="E4" s="1447"/>
      <c r="F4" s="1447"/>
      <c r="G4" s="1447"/>
      <c r="H4" s="1447"/>
      <c r="I4" s="1447"/>
      <c r="J4" s="137"/>
      <c r="K4" s="138"/>
      <c r="L4" s="1447" t="s">
        <v>1065</v>
      </c>
      <c r="M4" s="1447"/>
      <c r="N4" s="1447"/>
      <c r="O4" s="1447"/>
      <c r="P4" s="1447"/>
      <c r="Q4" s="1447"/>
      <c r="R4" s="1447"/>
      <c r="S4" s="1447"/>
    </row>
    <row r="5" spans="1:54" s="111" customFormat="1" ht="12.75" customHeight="1">
      <c r="A5" s="113"/>
      <c r="B5" s="1447"/>
      <c r="C5" s="1447"/>
      <c r="D5" s="1447"/>
      <c r="E5" s="1447"/>
      <c r="F5" s="1447"/>
      <c r="G5" s="1447"/>
      <c r="H5" s="1447"/>
      <c r="I5" s="1447"/>
      <c r="J5" s="137"/>
      <c r="K5" s="138"/>
      <c r="L5" s="1447"/>
      <c r="M5" s="1447"/>
      <c r="N5" s="1447"/>
      <c r="O5" s="1447"/>
      <c r="P5" s="1447"/>
      <c r="Q5" s="1447"/>
      <c r="R5" s="1447"/>
      <c r="S5" s="1447"/>
    </row>
    <row r="6" spans="1:54" s="111" customFormat="1" ht="12.75" customHeight="1">
      <c r="A6" s="113"/>
      <c r="B6" s="139"/>
      <c r="C6" s="139"/>
      <c r="D6" s="140"/>
      <c r="E6" s="139"/>
      <c r="F6" s="139"/>
      <c r="G6" s="139"/>
      <c r="H6" s="139"/>
      <c r="I6" s="139"/>
      <c r="J6" s="139"/>
      <c r="K6" s="139"/>
      <c r="L6" s="93"/>
      <c r="M6" s="94"/>
      <c r="N6" s="96"/>
      <c r="O6" s="94"/>
      <c r="P6" s="94"/>
      <c r="Q6" s="94"/>
      <c r="R6" s="94"/>
      <c r="S6" s="96"/>
    </row>
    <row r="7" spans="1:54" s="458" customFormat="1" ht="12.6">
      <c r="A7" s="457"/>
      <c r="B7" s="225" t="s">
        <v>1066</v>
      </c>
      <c r="C7" s="226"/>
      <c r="D7" s="1027" t="s">
        <v>1015</v>
      </c>
      <c r="E7" s="1642" t="str">
        <f>FORM!I26</f>
        <v>buyer</v>
      </c>
      <c r="F7" s="1643"/>
      <c r="G7" s="1643"/>
      <c r="H7" s="1643"/>
      <c r="I7" s="1644"/>
      <c r="J7" s="100"/>
      <c r="K7" s="142"/>
      <c r="L7" s="225" t="s">
        <v>1066</v>
      </c>
      <c r="M7" s="228"/>
      <c r="N7" s="1027" t="s">
        <v>1015</v>
      </c>
      <c r="O7" s="1642" t="str">
        <f t="shared" ref="O7:O11" si="0">E7</f>
        <v>buyer</v>
      </c>
      <c r="P7" s="1643"/>
      <c r="Q7" s="1643"/>
      <c r="R7" s="1643"/>
      <c r="S7" s="1644"/>
      <c r="AN7" s="459"/>
      <c r="BA7" s="460"/>
      <c r="BB7" s="461"/>
    </row>
    <row r="8" spans="1:54" s="458" customFormat="1" ht="12.6">
      <c r="A8" s="457"/>
      <c r="B8" s="144" t="s">
        <v>1014</v>
      </c>
      <c r="C8" s="227"/>
      <c r="D8" s="1027" t="s">
        <v>1015</v>
      </c>
      <c r="E8" s="1646" t="str">
        <f>FORM!I11</f>
        <v>The Southprime Flats</v>
      </c>
      <c r="F8" s="1647"/>
      <c r="G8" s="1647"/>
      <c r="H8" s="1028" t="str">
        <f>FORM!I14</f>
        <v>B3</v>
      </c>
      <c r="I8" s="1029"/>
      <c r="J8" s="100"/>
      <c r="K8" s="142"/>
      <c r="L8" s="144" t="s">
        <v>1014</v>
      </c>
      <c r="M8" s="148"/>
      <c r="N8" s="1027" t="s">
        <v>1015</v>
      </c>
      <c r="O8" s="1642" t="str">
        <f t="shared" si="0"/>
        <v>The Southprime Flats</v>
      </c>
      <c r="P8" s="1643"/>
      <c r="Q8" s="1643"/>
      <c r="R8" s="1643"/>
      <c r="S8" s="1644"/>
      <c r="AN8" s="459"/>
      <c r="BA8" s="460"/>
      <c r="BB8" s="461"/>
    </row>
    <row r="9" spans="1:54" s="458" customFormat="1" ht="12.6">
      <c r="A9" s="457"/>
      <c r="B9" s="144" t="s">
        <v>1068</v>
      </c>
      <c r="C9" s="227"/>
      <c r="D9" s="1027" t="s">
        <v>1015</v>
      </c>
      <c r="E9" s="1642" t="str">
        <f>'STANDARD COMP.'!E8</f>
        <v>E-11K</v>
      </c>
      <c r="F9" s="1643"/>
      <c r="G9" s="1643"/>
      <c r="H9" s="1643"/>
      <c r="I9" s="1644"/>
      <c r="J9" s="100"/>
      <c r="K9" s="142"/>
      <c r="L9" s="144" t="s">
        <v>1068</v>
      </c>
      <c r="M9" s="148"/>
      <c r="N9" s="1027" t="s">
        <v>1015</v>
      </c>
      <c r="O9" s="1642" t="str">
        <f t="shared" si="0"/>
        <v>E-11K</v>
      </c>
      <c r="P9" s="1643"/>
      <c r="Q9" s="1643"/>
      <c r="R9" s="1643"/>
      <c r="S9" s="1644"/>
      <c r="AN9" s="459"/>
      <c r="BA9" s="460"/>
      <c r="BB9" s="461"/>
    </row>
    <row r="10" spans="1:54" s="458" customFormat="1" ht="12.6" hidden="1">
      <c r="A10" s="457"/>
      <c r="B10" s="144" t="s">
        <v>1070</v>
      </c>
      <c r="C10" s="227"/>
      <c r="D10" s="1027" t="s">
        <v>1015</v>
      </c>
      <c r="E10" s="1642" t="e">
        <f>FORM!#REF!</f>
        <v>#REF!</v>
      </c>
      <c r="F10" s="1643"/>
      <c r="G10" s="1643"/>
      <c r="H10" s="1643"/>
      <c r="I10" s="1644"/>
      <c r="J10" s="100"/>
      <c r="K10" s="142"/>
      <c r="L10" s="144" t="s">
        <v>1070</v>
      </c>
      <c r="M10" s="148"/>
      <c r="N10" s="1027" t="s">
        <v>1015</v>
      </c>
      <c r="O10" s="1642" t="e">
        <f t="shared" si="0"/>
        <v>#REF!</v>
      </c>
      <c r="P10" s="1643"/>
      <c r="Q10" s="1643"/>
      <c r="R10" s="1643"/>
      <c r="S10" s="1644"/>
      <c r="AN10" s="459"/>
      <c r="BA10" s="460"/>
      <c r="BB10" s="461"/>
    </row>
    <row r="11" spans="1:54" s="458" customFormat="1" ht="12.6">
      <c r="A11" s="457"/>
      <c r="B11" s="144" t="s">
        <v>1071</v>
      </c>
      <c r="C11" s="227"/>
      <c r="D11" s="1027" t="s">
        <v>1015</v>
      </c>
      <c r="E11" s="1642" t="str">
        <f>'STANDARD COMP.'!E10</f>
        <v>Studio</v>
      </c>
      <c r="F11" s="1643"/>
      <c r="G11" s="1643"/>
      <c r="H11" s="1643"/>
      <c r="I11" s="1644"/>
      <c r="J11" s="100"/>
      <c r="K11" s="142"/>
      <c r="L11" s="144" t="s">
        <v>1071</v>
      </c>
      <c r="M11" s="148"/>
      <c r="N11" s="1027" t="s">
        <v>1015</v>
      </c>
      <c r="O11" s="1814" t="str">
        <f t="shared" si="0"/>
        <v>Studio</v>
      </c>
      <c r="P11" s="1815"/>
      <c r="Q11" s="1815"/>
      <c r="R11" s="1815"/>
      <c r="S11" s="1816"/>
      <c r="AN11" s="459"/>
      <c r="BA11" s="460"/>
      <c r="BB11" s="461"/>
    </row>
    <row r="12" spans="1:54" s="458" customFormat="1" ht="12.6">
      <c r="A12" s="457"/>
      <c r="B12" s="144" t="s">
        <v>1072</v>
      </c>
      <c r="C12" s="227"/>
      <c r="D12" s="1027" t="s">
        <v>1015</v>
      </c>
      <c r="E12" s="1817">
        <f>'STANDARD COMP.'!E11:F11</f>
        <v>22</v>
      </c>
      <c r="F12" s="1671"/>
      <c r="G12" s="1024" t="s">
        <v>1073</v>
      </c>
      <c r="H12" s="1818"/>
      <c r="I12" s="462"/>
      <c r="J12" s="100"/>
      <c r="K12" s="142"/>
      <c r="L12" s="144" t="s">
        <v>1072</v>
      </c>
      <c r="M12" s="148"/>
      <c r="N12" s="1027" t="s">
        <v>1015</v>
      </c>
      <c r="O12" s="1819">
        <f>E12</f>
        <v>22</v>
      </c>
      <c r="P12" s="1820"/>
      <c r="Q12" s="1289" t="s">
        <v>1073</v>
      </c>
      <c r="R12" s="1821"/>
      <c r="S12" s="1029"/>
      <c r="AN12" s="459"/>
      <c r="BA12" s="460"/>
      <c r="BB12" s="461"/>
    </row>
    <row r="13" spans="1:54" s="458" customFormat="1" ht="12.6">
      <c r="A13" s="457"/>
      <c r="B13" s="148" t="s">
        <v>1074</v>
      </c>
      <c r="C13" s="227"/>
      <c r="D13" s="1027" t="s">
        <v>1015</v>
      </c>
      <c r="E13" s="1822">
        <f>'STANDARD COMP.'!E12:F12</f>
        <v>0</v>
      </c>
      <c r="F13" s="1823"/>
      <c r="G13" s="1824" t="s">
        <v>1073</v>
      </c>
      <c r="H13" s="1825"/>
      <c r="I13" s="463"/>
      <c r="J13" s="1024"/>
      <c r="K13" s="142"/>
      <c r="L13" s="148" t="s">
        <v>1074</v>
      </c>
      <c r="M13" s="148"/>
      <c r="N13" s="1826" t="s">
        <v>1015</v>
      </c>
      <c r="O13" s="1827">
        <f>E13</f>
        <v>0</v>
      </c>
      <c r="P13" s="1828"/>
      <c r="Q13" s="1829" t="s">
        <v>1073</v>
      </c>
      <c r="R13" s="1020"/>
      <c r="S13" s="1830"/>
      <c r="AN13" s="459"/>
      <c r="BA13" s="460"/>
      <c r="BB13" s="461"/>
    </row>
    <row r="14" spans="1:54" s="458" customFormat="1" ht="12.6">
      <c r="A14" s="457"/>
      <c r="B14" s="238" t="s">
        <v>1075</v>
      </c>
      <c r="C14" s="101"/>
      <c r="D14" s="1027" t="s">
        <v>1015</v>
      </c>
      <c r="E14" s="1652">
        <f>'STANDARD COMP.'!E13:F13</f>
        <v>22</v>
      </c>
      <c r="F14" s="1653"/>
      <c r="G14" s="1028" t="s">
        <v>1073</v>
      </c>
      <c r="H14" s="1028"/>
      <c r="I14" s="464"/>
      <c r="J14" s="1024" t="s">
        <v>60</v>
      </c>
      <c r="K14" s="142"/>
      <c r="L14" s="238" t="s">
        <v>1075</v>
      </c>
      <c r="M14" s="126"/>
      <c r="N14" s="1027" t="s">
        <v>1015</v>
      </c>
      <c r="O14" s="1831">
        <f>E14</f>
        <v>22</v>
      </c>
      <c r="P14" s="1832"/>
      <c r="Q14" s="1289" t="s">
        <v>1073</v>
      </c>
      <c r="R14" s="1821"/>
      <c r="S14" s="1029"/>
      <c r="AN14" s="459"/>
      <c r="BA14" s="460"/>
      <c r="BB14" s="461"/>
    </row>
    <row r="15" spans="1:54" s="119" customFormat="1" ht="12.95">
      <c r="A15" s="118"/>
      <c r="B15" s="1024"/>
      <c r="C15" s="1024"/>
      <c r="D15" s="1027"/>
      <c r="E15" s="1833"/>
      <c r="F15" s="1024"/>
      <c r="G15" s="1024"/>
      <c r="H15" s="1024"/>
      <c r="I15" s="1024"/>
      <c r="J15" s="1834"/>
      <c r="K15" s="1024"/>
      <c r="L15" s="1024"/>
      <c r="M15" s="1024"/>
      <c r="N15" s="1033"/>
      <c r="O15" s="1024"/>
      <c r="P15" s="1024"/>
      <c r="Q15" s="1024"/>
      <c r="R15" s="1024"/>
      <c r="S15" s="1024"/>
    </row>
    <row r="16" spans="1:54" s="119" customFormat="1" ht="12.95">
      <c r="A16" s="118"/>
      <c r="B16" s="141" t="s">
        <v>1078</v>
      </c>
      <c r="C16" s="226"/>
      <c r="D16" s="142" t="s">
        <v>1015</v>
      </c>
      <c r="E16" s="598">
        <f>'STANDARD COMP.'!E28</f>
        <v>29</v>
      </c>
      <c r="F16" s="1395">
        <f>'STANDARD COMP.'!F15</f>
        <v>4123028.1810342241</v>
      </c>
      <c r="G16" s="1395"/>
      <c r="H16" s="1594"/>
      <c r="I16" s="143"/>
      <c r="J16" s="100"/>
      <c r="K16" s="100"/>
      <c r="L16" s="1402" t="s">
        <v>1079</v>
      </c>
      <c r="M16" s="1402"/>
      <c r="N16" s="1416" t="s">
        <v>989</v>
      </c>
      <c r="O16" s="1402" t="s">
        <v>992</v>
      </c>
      <c r="P16" s="1402"/>
      <c r="Q16" s="1417" t="s">
        <v>206</v>
      </c>
      <c r="R16" s="1588"/>
      <c r="S16" s="1418"/>
    </row>
    <row r="17" spans="1:19" s="121" customFormat="1" ht="12.95">
      <c r="A17" s="118"/>
      <c r="B17" s="144" t="s">
        <v>1264</v>
      </c>
      <c r="C17" s="148"/>
      <c r="D17" s="1027" t="s">
        <v>1015</v>
      </c>
      <c r="E17" s="145">
        <f>IF(E16&gt;18,10%,IF(E16&gt;=12,5%,IF(E16&gt;5,2.5%,)))</f>
        <v>0.1</v>
      </c>
      <c r="F17" s="1591">
        <f>F16*E17</f>
        <v>412302.81810342241</v>
      </c>
      <c r="G17" s="1591"/>
      <c r="H17" s="1593"/>
      <c r="I17" s="143"/>
      <c r="J17" s="1024"/>
      <c r="K17" s="1024"/>
      <c r="L17" s="1402"/>
      <c r="M17" s="1402"/>
      <c r="N17" s="1416"/>
      <c r="O17" s="1402"/>
      <c r="P17" s="1402"/>
      <c r="Q17" s="1419"/>
      <c r="R17" s="1589"/>
      <c r="S17" s="1420"/>
    </row>
    <row r="18" spans="1:19" s="119" customFormat="1" ht="12.95">
      <c r="A18" s="120"/>
      <c r="B18" s="144" t="s">
        <v>1080</v>
      </c>
      <c r="C18" s="148"/>
      <c r="D18" s="1027" t="s">
        <v>1015</v>
      </c>
      <c r="E18" s="145"/>
      <c r="F18" s="1590">
        <f>'STANDARD COMP.'!F16:I16</f>
        <v>0</v>
      </c>
      <c r="G18" s="1591"/>
      <c r="H18" s="1591"/>
      <c r="I18" s="1592"/>
      <c r="J18" s="100"/>
      <c r="K18" s="100"/>
      <c r="L18" s="1521" t="s">
        <v>1031</v>
      </c>
      <c r="M18" s="1521"/>
      <c r="N18" s="1781">
        <f>C2</f>
        <v>45901</v>
      </c>
      <c r="O18" s="1403">
        <f>F27</f>
        <v>30000</v>
      </c>
      <c r="P18" s="1403"/>
      <c r="Q18" s="1835"/>
      <c r="R18" s="1836"/>
      <c r="S18" s="1837"/>
    </row>
    <row r="19" spans="1:19" s="121" customFormat="1" ht="12.95">
      <c r="A19" s="118"/>
      <c r="B19" s="129" t="s">
        <v>1222</v>
      </c>
      <c r="C19" s="101"/>
      <c r="D19" s="142" t="s">
        <v>1015</v>
      </c>
      <c r="E19" s="146"/>
      <c r="F19" s="1587">
        <f>F16-(F17+F18)</f>
        <v>3710725.3629308017</v>
      </c>
      <c r="G19" s="1395"/>
      <c r="H19" s="1395"/>
      <c r="I19" s="1396"/>
      <c r="J19" s="1024"/>
      <c r="K19" s="1024"/>
      <c r="L19" s="1521" t="s">
        <v>1265</v>
      </c>
      <c r="M19" s="1521"/>
      <c r="N19" s="1781">
        <f>N18+30</f>
        <v>45931</v>
      </c>
      <c r="O19" s="1403">
        <f>F28</f>
        <v>4173335.7514868099</v>
      </c>
      <c r="P19" s="1403"/>
      <c r="Q19" s="1835"/>
      <c r="R19" s="1836"/>
      <c r="S19" s="1837"/>
    </row>
    <row r="20" spans="1:19" s="119" customFormat="1" ht="12.95">
      <c r="A20" s="118"/>
      <c r="B20" s="147"/>
      <c r="C20" s="1031"/>
      <c r="D20" s="1027"/>
      <c r="E20" s="127">
        <v>70000</v>
      </c>
      <c r="F20" s="1595">
        <f>E21*F19</f>
        <v>445287.04355169617</v>
      </c>
      <c r="G20" s="1595"/>
      <c r="H20" s="1595"/>
      <c r="I20" s="1595"/>
      <c r="J20" s="1024"/>
      <c r="K20" s="1024"/>
      <c r="L20" s="1409"/>
      <c r="M20" s="1409"/>
      <c r="N20" s="465"/>
      <c r="O20" s="1571"/>
      <c r="P20" s="1571"/>
      <c r="Q20" s="1586"/>
      <c r="R20" s="1586"/>
      <c r="S20" s="100"/>
    </row>
    <row r="21" spans="1:19" s="119" customFormat="1" ht="12.95">
      <c r="A21" s="118"/>
      <c r="B21" s="149" t="s">
        <v>1087</v>
      </c>
      <c r="C21" s="149"/>
      <c r="D21" s="1027" t="s">
        <v>1015</v>
      </c>
      <c r="E21" s="1838">
        <v>0.12</v>
      </c>
      <c r="F21" s="1455"/>
      <c r="G21" s="1456"/>
      <c r="H21" s="1569"/>
      <c r="I21" s="1029"/>
      <c r="J21" s="1024"/>
      <c r="K21" s="1024"/>
      <c r="L21" s="142"/>
      <c r="M21" s="142"/>
      <c r="N21" s="167"/>
      <c r="O21" s="466"/>
      <c r="P21" s="466"/>
      <c r="Q21" s="466"/>
      <c r="R21" s="100"/>
      <c r="S21" s="100"/>
    </row>
    <row r="22" spans="1:19" s="119" customFormat="1" ht="12.95">
      <c r="A22" s="118"/>
      <c r="B22" s="150" t="s">
        <v>1090</v>
      </c>
      <c r="C22" s="149"/>
      <c r="D22" s="1027" t="s">
        <v>1015</v>
      </c>
      <c r="E22" s="833">
        <f>7.5%+2.75%</f>
        <v>0.10249999999999999</v>
      </c>
      <c r="F22" s="1581">
        <f>(E22*F16)+E20</f>
        <v>492610.38855600794</v>
      </c>
      <c r="G22" s="1582"/>
      <c r="H22" s="1583"/>
      <c r="I22" s="1029"/>
      <c r="J22" s="1024"/>
      <c r="K22" s="1024"/>
      <c r="L22" s="142"/>
      <c r="M22" s="142"/>
      <c r="N22" s="167"/>
      <c r="O22" s="466"/>
      <c r="P22" s="466"/>
      <c r="Q22" s="466"/>
      <c r="R22" s="100"/>
      <c r="S22" s="100"/>
    </row>
    <row r="23" spans="1:19" s="119" customFormat="1" ht="12.95">
      <c r="A23" s="120"/>
      <c r="B23" s="151"/>
      <c r="C23" s="1839"/>
      <c r="D23" s="1027"/>
      <c r="E23" s="1024"/>
      <c r="F23" s="1721"/>
      <c r="G23" s="1721"/>
      <c r="H23" s="1721"/>
      <c r="I23" s="1024"/>
      <c r="J23" s="100"/>
      <c r="K23" s="1024"/>
      <c r="L23" s="156"/>
      <c r="M23" s="1024" t="s">
        <v>60</v>
      </c>
      <c r="N23" s="1033"/>
      <c r="O23" s="1024"/>
      <c r="P23" s="1024"/>
      <c r="Q23" s="1024"/>
      <c r="R23" s="1024"/>
      <c r="S23" s="1024"/>
    </row>
    <row r="24" spans="1:19" s="119" customFormat="1" ht="12.95">
      <c r="A24" s="118"/>
      <c r="B24" s="129" t="s">
        <v>1096</v>
      </c>
      <c r="C24" s="101"/>
      <c r="D24" s="142" t="s">
        <v>1015</v>
      </c>
      <c r="E24" s="152"/>
      <c r="F24" s="1577">
        <f>SUM(F22,F21,F19)</f>
        <v>4203335.7514868099</v>
      </c>
      <c r="G24" s="1448"/>
      <c r="H24" s="1563"/>
      <c r="I24" s="143"/>
      <c r="J24" s="1024"/>
      <c r="K24" s="100"/>
      <c r="L24" s="156"/>
      <c r="M24" s="1024"/>
      <c r="N24" s="1033"/>
      <c r="O24" s="1024"/>
      <c r="P24" s="1024"/>
      <c r="Q24" s="1024"/>
      <c r="R24" s="1024"/>
      <c r="S24" s="1024"/>
    </row>
    <row r="25" spans="1:19" s="121" customFormat="1" ht="12.95">
      <c r="A25" s="118"/>
      <c r="B25" s="147"/>
      <c r="C25" s="1024"/>
      <c r="D25" s="1027"/>
      <c r="E25" s="1024"/>
      <c r="F25" s="1721"/>
      <c r="G25" s="1721"/>
      <c r="H25" s="1721"/>
      <c r="I25" s="1024"/>
      <c r="J25" s="1024"/>
      <c r="K25" s="1024"/>
      <c r="L25" s="100" t="s">
        <v>1168</v>
      </c>
      <c r="M25" s="100"/>
      <c r="N25" s="142"/>
      <c r="O25" s="100"/>
      <c r="P25" s="119"/>
      <c r="Q25" s="100" t="s">
        <v>1169</v>
      </c>
      <c r="R25" s="1024"/>
      <c r="S25" s="1024"/>
    </row>
    <row r="26" spans="1:19" s="119" customFormat="1" ht="12.95">
      <c r="A26" s="120"/>
      <c r="B26" s="1585" t="s">
        <v>1265</v>
      </c>
      <c r="C26" s="1585"/>
      <c r="D26" s="142" t="s">
        <v>1015</v>
      </c>
      <c r="E26" s="153">
        <v>1</v>
      </c>
      <c r="F26" s="1450">
        <f>F24*E26</f>
        <v>4203335.7514868099</v>
      </c>
      <c r="G26" s="1448"/>
      <c r="H26" s="1448"/>
      <c r="I26" s="1449"/>
      <c r="J26" s="100"/>
      <c r="K26" s="1024"/>
      <c r="L26" s="1024"/>
      <c r="M26" s="1024"/>
      <c r="N26" s="1027"/>
      <c r="O26" s="1024"/>
      <c r="P26" s="1024"/>
      <c r="Q26" s="1024"/>
      <c r="R26" s="1024"/>
      <c r="S26" s="1024"/>
    </row>
    <row r="27" spans="1:19" s="121" customFormat="1" ht="12.95">
      <c r="A27" s="118"/>
      <c r="B27" s="1425" t="s">
        <v>1266</v>
      </c>
      <c r="C27" s="1425"/>
      <c r="D27" s="1027" t="s">
        <v>1015</v>
      </c>
      <c r="E27" s="1840"/>
      <c r="F27" s="1578">
        <f>'STANDARD COMP.'!F25</f>
        <v>30000</v>
      </c>
      <c r="G27" s="1579"/>
      <c r="H27" s="1579"/>
      <c r="I27" s="1580"/>
      <c r="J27" s="100"/>
      <c r="K27" s="100"/>
      <c r="L27" s="1024"/>
      <c r="M27" s="1024"/>
      <c r="N27" s="1027"/>
      <c r="O27" s="1024"/>
      <c r="P27" s="1024"/>
      <c r="Q27" s="1024"/>
      <c r="R27" s="1024"/>
      <c r="S27" s="1024"/>
    </row>
    <row r="28" spans="1:19" s="121" customFormat="1" ht="12.95">
      <c r="A28" s="120"/>
      <c r="B28" s="1585" t="s">
        <v>1267</v>
      </c>
      <c r="C28" s="1585"/>
      <c r="D28" s="142" t="s">
        <v>1015</v>
      </c>
      <c r="E28" s="154"/>
      <c r="F28" s="1450">
        <f>F26-F27</f>
        <v>4173335.7514868099</v>
      </c>
      <c r="G28" s="1448"/>
      <c r="H28" s="1448"/>
      <c r="I28" s="1449"/>
      <c r="J28" s="1024"/>
      <c r="K28" s="100"/>
      <c r="L28" s="1413" t="str">
        <f>FORM!I28</f>
        <v xml:space="preserve">agent </v>
      </c>
      <c r="M28" s="1413"/>
      <c r="N28" s="1413"/>
      <c r="O28" s="100"/>
      <c r="P28" s="100"/>
      <c r="Q28" s="1413" t="str">
        <f>FORM!I26</f>
        <v>buyer</v>
      </c>
      <c r="R28" s="1413"/>
      <c r="S28" s="1413"/>
    </row>
    <row r="29" spans="1:19" s="119" customFormat="1" ht="12.95">
      <c r="A29" s="118"/>
      <c r="B29" s="147"/>
      <c r="C29" s="1024"/>
      <c r="D29" s="1027"/>
      <c r="E29" s="1024"/>
      <c r="F29" s="1024"/>
      <c r="G29" s="1024"/>
      <c r="H29" s="1024"/>
      <c r="I29" s="1024"/>
      <c r="J29" s="1024"/>
      <c r="K29" s="1024"/>
      <c r="L29" s="1069" t="s">
        <v>1170</v>
      </c>
      <c r="M29" s="1841"/>
      <c r="N29" s="1674"/>
      <c r="O29" s="1024"/>
      <c r="P29" s="1024"/>
      <c r="Q29" s="1068" t="s">
        <v>1171</v>
      </c>
      <c r="R29" s="1841"/>
      <c r="S29" s="1674"/>
    </row>
    <row r="30" spans="1:19" s="119" customFormat="1" ht="12.95">
      <c r="A30" s="118"/>
      <c r="D30" s="162"/>
      <c r="E30" s="130"/>
      <c r="I30" s="100"/>
      <c r="J30" s="100"/>
      <c r="K30" s="1024"/>
      <c r="L30" s="1020"/>
      <c r="M30" s="1020"/>
      <c r="N30" s="1088"/>
      <c r="O30" s="1020"/>
      <c r="P30" s="1020"/>
      <c r="Q30" s="1020"/>
      <c r="R30" s="1020"/>
      <c r="S30" s="1020"/>
    </row>
    <row r="31" spans="1:19" s="121" customFormat="1" ht="12.95">
      <c r="A31" s="118"/>
      <c r="B31" s="119"/>
      <c r="C31" s="119"/>
      <c r="D31" s="162"/>
      <c r="E31" s="119"/>
      <c r="F31" s="119"/>
      <c r="G31" s="119"/>
      <c r="H31" s="119"/>
      <c r="I31" s="1024"/>
      <c r="J31" s="1024"/>
      <c r="K31" s="100"/>
      <c r="L31" s="1020"/>
      <c r="M31" s="1020"/>
      <c r="N31" s="1088"/>
      <c r="O31" s="1020"/>
      <c r="P31" s="1020"/>
      <c r="Q31" s="1020"/>
      <c r="R31" s="1020"/>
      <c r="S31" s="1020"/>
    </row>
    <row r="32" spans="1:19" s="119" customFormat="1" ht="12.95">
      <c r="A32" s="118"/>
      <c r="B32" s="101" t="s">
        <v>1146</v>
      </c>
      <c r="C32" s="163"/>
      <c r="D32" s="100"/>
      <c r="E32" s="100"/>
      <c r="F32" s="100"/>
      <c r="G32" s="100"/>
      <c r="H32" s="100"/>
      <c r="I32" s="100"/>
      <c r="J32" s="1024"/>
      <c r="K32" s="1024"/>
      <c r="L32" s="1020"/>
      <c r="M32" s="1020"/>
      <c r="N32" s="1088"/>
      <c r="O32" s="1020"/>
      <c r="P32" s="1020"/>
      <c r="Q32" s="1020"/>
      <c r="R32" s="1020"/>
      <c r="S32" s="1020"/>
    </row>
    <row r="33" spans="1:19" s="119" customFormat="1" ht="12.95">
      <c r="A33" s="118"/>
      <c r="B33" s="100"/>
      <c r="C33" s="100"/>
      <c r="D33" s="100"/>
      <c r="E33" s="100"/>
      <c r="F33" s="100"/>
      <c r="G33" s="100"/>
      <c r="H33" s="100"/>
      <c r="I33" s="100"/>
      <c r="J33" s="1024"/>
      <c r="K33" s="1024"/>
      <c r="L33" s="1584"/>
      <c r="M33" s="1584"/>
      <c r="N33" s="1584"/>
      <c r="O33" s="1020"/>
      <c r="P33" s="1020"/>
      <c r="Q33" s="1020"/>
      <c r="R33" s="1020"/>
      <c r="S33" s="1020"/>
    </row>
    <row r="34" spans="1:19" s="119" customFormat="1" ht="12.95">
      <c r="A34" s="118"/>
      <c r="B34" s="1402" t="s">
        <v>1149</v>
      </c>
      <c r="C34" s="1402"/>
      <c r="D34" s="1402" t="s">
        <v>991</v>
      </c>
      <c r="E34" s="1402"/>
      <c r="F34" s="1402"/>
      <c r="G34" s="1402"/>
      <c r="H34" s="1402" t="s">
        <v>1150</v>
      </c>
      <c r="I34" s="1402"/>
      <c r="J34" s="1024"/>
      <c r="K34" s="1024"/>
      <c r="L34" s="1020"/>
      <c r="M34" s="1088"/>
      <c r="N34" s="1088"/>
      <c r="O34" s="1020"/>
      <c r="P34" s="1020"/>
      <c r="Q34" s="1020"/>
      <c r="R34" s="1020"/>
      <c r="S34" s="1020"/>
    </row>
    <row r="35" spans="1:19" s="119" customFormat="1" ht="12.95">
      <c r="A35" s="118"/>
      <c r="B35" s="1601">
        <f>'SPOT EQUITY_30DAYS'!B60</f>
        <v>0</v>
      </c>
      <c r="C35" s="1603"/>
      <c r="D35" s="1601">
        <f>'SPOT EQUITY_30DAYS'!D60:D60</f>
        <v>0</v>
      </c>
      <c r="E35" s="1602"/>
      <c r="F35" s="1602"/>
      <c r="G35" s="1603"/>
      <c r="H35" s="1597">
        <f>'SPOT EQUITY_30DAYS'!G60</f>
        <v>0</v>
      </c>
      <c r="I35" s="1598"/>
      <c r="J35" s="1024"/>
      <c r="K35" s="1024"/>
      <c r="L35" s="1020"/>
      <c r="M35" s="1088"/>
      <c r="N35" s="1088"/>
      <c r="O35" s="1020"/>
      <c r="P35" s="1020"/>
      <c r="Q35" s="1020"/>
      <c r="R35" s="1020"/>
      <c r="S35" s="1020"/>
    </row>
    <row r="36" spans="1:19" s="119" customFormat="1" ht="12.95">
      <c r="A36" s="118"/>
      <c r="B36" s="1604"/>
      <c r="C36" s="1606"/>
      <c r="D36" s="1604"/>
      <c r="E36" s="1605"/>
      <c r="F36" s="1605"/>
      <c r="G36" s="1606"/>
      <c r="H36" s="1599"/>
      <c r="I36" s="1600"/>
      <c r="J36" s="1024"/>
      <c r="K36" s="1024"/>
      <c r="M36" s="454"/>
      <c r="N36" s="454"/>
    </row>
    <row r="37" spans="1:19" s="119" customFormat="1" ht="12.95">
      <c r="A37" s="118"/>
      <c r="B37" s="1601">
        <f>'SPOT EQUITY_30DAYS'!B62</f>
        <v>0</v>
      </c>
      <c r="C37" s="1603"/>
      <c r="D37" s="1601">
        <f>'SPOT EQUITY_30DAYS'!D62:D62</f>
        <v>0</v>
      </c>
      <c r="E37" s="1602"/>
      <c r="F37" s="1602"/>
      <c r="G37" s="1603"/>
      <c r="H37" s="1597">
        <f>'SPOT EQUITY_30DAYS'!G62</f>
        <v>0</v>
      </c>
      <c r="I37" s="1598"/>
      <c r="J37" s="1024"/>
      <c r="K37" s="1024"/>
      <c r="N37" s="454"/>
    </row>
    <row r="38" spans="1:19" s="119" customFormat="1" ht="12.95">
      <c r="A38" s="118"/>
      <c r="B38" s="1604"/>
      <c r="C38" s="1606"/>
      <c r="D38" s="1604"/>
      <c r="E38" s="1605"/>
      <c r="F38" s="1605"/>
      <c r="G38" s="1606"/>
      <c r="H38" s="1599"/>
      <c r="I38" s="1600"/>
      <c r="J38" s="1024"/>
      <c r="K38" s="1024"/>
      <c r="N38" s="454"/>
    </row>
    <row r="39" spans="1:19" s="119" customFormat="1" ht="16.5" customHeight="1">
      <c r="A39" s="118"/>
      <c r="B39" s="1601">
        <f>'SPOT EQUITY_30DAYS'!B64</f>
        <v>0</v>
      </c>
      <c r="C39" s="1603"/>
      <c r="D39" s="1601">
        <f>'SPOT EQUITY_30DAYS'!D64:D64</f>
        <v>0</v>
      </c>
      <c r="E39" s="1602"/>
      <c r="F39" s="1602"/>
      <c r="G39" s="1603"/>
      <c r="H39" s="1597">
        <f>'SPOT EQUITY_30DAYS'!G64</f>
        <v>0</v>
      </c>
      <c r="I39" s="1598"/>
      <c r="J39" s="1024"/>
      <c r="K39" s="1024"/>
      <c r="N39" s="454"/>
    </row>
    <row r="40" spans="1:19" s="119" customFormat="1" ht="12.95">
      <c r="A40" s="118"/>
      <c r="B40" s="1604"/>
      <c r="C40" s="1606"/>
      <c r="D40" s="1604"/>
      <c r="E40" s="1605"/>
      <c r="F40" s="1605"/>
      <c r="G40" s="1606"/>
      <c r="H40" s="1599"/>
      <c r="I40" s="1600"/>
      <c r="J40" s="1024"/>
      <c r="K40" s="1024"/>
      <c r="N40" s="454"/>
    </row>
    <row r="41" spans="1:19" s="119" customFormat="1" ht="16.5" customHeight="1">
      <c r="A41" s="118"/>
      <c r="B41" s="1601">
        <f>'SPOT EQUITY_30DAYS'!B66</f>
        <v>0</v>
      </c>
      <c r="C41" s="1603"/>
      <c r="D41" s="1601">
        <f>'SPOT EQUITY_30DAYS'!D66:D66</f>
        <v>0</v>
      </c>
      <c r="E41" s="1602"/>
      <c r="F41" s="1602"/>
      <c r="G41" s="1603"/>
      <c r="H41" s="1597">
        <f>'SPOT EQUITY_30DAYS'!G66</f>
        <v>0</v>
      </c>
      <c r="I41" s="1598"/>
      <c r="J41" s="1024"/>
      <c r="K41" s="1024"/>
      <c r="N41" s="454"/>
    </row>
    <row r="42" spans="1:19" s="119" customFormat="1" ht="12.95">
      <c r="A42" s="118"/>
      <c r="B42" s="1604"/>
      <c r="C42" s="1606"/>
      <c r="D42" s="1604"/>
      <c r="E42" s="1605"/>
      <c r="F42" s="1605"/>
      <c r="G42" s="1606"/>
      <c r="H42" s="1599"/>
      <c r="I42" s="1600"/>
      <c r="J42" s="1024"/>
      <c r="K42" s="1024"/>
      <c r="N42" s="454"/>
    </row>
    <row r="43" spans="1:19" s="119" customFormat="1" ht="16.5" customHeight="1">
      <c r="A43" s="118"/>
      <c r="B43" s="1601">
        <f>'SPOT EQUITY_30DAYS'!B68</f>
        <v>0</v>
      </c>
      <c r="C43" s="1603"/>
      <c r="D43" s="1601">
        <f>'SPOT EQUITY_30DAYS'!D68:D68</f>
        <v>0</v>
      </c>
      <c r="E43" s="1602"/>
      <c r="F43" s="1602"/>
      <c r="G43" s="1603"/>
      <c r="H43" s="1597">
        <f>'SPOT EQUITY_30DAYS'!G68</f>
        <v>0</v>
      </c>
      <c r="I43" s="1598"/>
      <c r="J43" s="1024"/>
      <c r="K43" s="1024"/>
      <c r="N43" s="454"/>
    </row>
    <row r="44" spans="1:19" s="119" customFormat="1" ht="12.95">
      <c r="A44" s="118"/>
      <c r="B44" s="1604"/>
      <c r="C44" s="1606"/>
      <c r="D44" s="1604"/>
      <c r="E44" s="1605"/>
      <c r="F44" s="1605"/>
      <c r="G44" s="1606"/>
      <c r="H44" s="1599"/>
      <c r="I44" s="1600"/>
      <c r="J44" s="1024"/>
      <c r="K44" s="1024"/>
      <c r="N44" s="454"/>
    </row>
    <row r="45" spans="1:19" s="119" customFormat="1" ht="16.5" customHeight="1">
      <c r="A45" s="118"/>
      <c r="B45" s="1601">
        <f>'SPOT EQUITY_30DAYS'!B70</f>
        <v>0</v>
      </c>
      <c r="C45" s="1603"/>
      <c r="D45" s="1601">
        <f>'SPOT EQUITY_30DAYS'!D70:D70</f>
        <v>0</v>
      </c>
      <c r="E45" s="1602"/>
      <c r="F45" s="1602"/>
      <c r="G45" s="1603"/>
      <c r="H45" s="1597">
        <f>'SPOT EQUITY_30DAYS'!G70</f>
        <v>0</v>
      </c>
      <c r="I45" s="1598"/>
      <c r="J45" s="1024"/>
      <c r="K45" s="1024"/>
      <c r="N45" s="454"/>
    </row>
    <row r="46" spans="1:19" s="119" customFormat="1" ht="12.95">
      <c r="A46" s="118"/>
      <c r="B46" s="1604"/>
      <c r="C46" s="1606"/>
      <c r="D46" s="1604"/>
      <c r="E46" s="1605"/>
      <c r="F46" s="1605"/>
      <c r="G46" s="1606"/>
      <c r="H46" s="1599"/>
      <c r="I46" s="1600"/>
      <c r="J46" s="1024"/>
      <c r="K46" s="1024"/>
      <c r="N46" s="454"/>
    </row>
    <row r="47" spans="1:19" s="119" customFormat="1" ht="12.75" customHeight="1">
      <c r="A47" s="118"/>
      <c r="B47" s="1024"/>
      <c r="C47" s="1024"/>
      <c r="D47" s="1024"/>
      <c r="E47" s="1024"/>
      <c r="F47" s="1024"/>
      <c r="G47" s="1024"/>
      <c r="H47" s="1024"/>
      <c r="I47" s="1024"/>
      <c r="J47" s="1024"/>
      <c r="K47" s="1024"/>
      <c r="N47" s="454"/>
    </row>
    <row r="48" spans="1:19" s="119" customFormat="1" ht="12.75" customHeight="1">
      <c r="A48" s="118"/>
      <c r="B48" s="1024"/>
      <c r="C48" s="1024"/>
      <c r="D48" s="1024"/>
      <c r="E48" s="1024"/>
      <c r="F48" s="1024"/>
      <c r="G48" s="1024"/>
      <c r="H48" s="1024"/>
      <c r="I48" s="1024"/>
      <c r="J48" s="1024"/>
      <c r="K48" s="1024"/>
      <c r="N48" s="454"/>
    </row>
    <row r="49" spans="1:14" s="119" customFormat="1" ht="12.75" customHeight="1">
      <c r="A49" s="118"/>
      <c r="B49" s="250"/>
      <c r="C49" s="161" t="s">
        <v>1181</v>
      </c>
      <c r="D49" s="1670"/>
      <c r="E49" s="1670"/>
      <c r="F49" s="1670"/>
      <c r="G49" s="1670"/>
      <c r="H49" s="1024"/>
      <c r="I49" s="1024"/>
      <c r="J49" s="1024"/>
      <c r="K49" s="1024"/>
      <c r="N49" s="454"/>
    </row>
    <row r="50" spans="1:14" s="119" customFormat="1" ht="12.75" customHeight="1">
      <c r="A50" s="118"/>
      <c r="B50" s="439"/>
      <c r="C50" s="1024"/>
      <c r="D50" s="1024"/>
      <c r="E50" s="1024"/>
      <c r="F50" s="1024"/>
      <c r="G50" s="1024"/>
      <c r="H50" s="1024"/>
      <c r="I50" s="1024"/>
      <c r="J50" s="1024"/>
      <c r="K50" s="1024"/>
      <c r="N50" s="454"/>
    </row>
    <row r="51" spans="1:14" s="119" customFormat="1" ht="12.75" customHeight="1">
      <c r="A51" s="118"/>
      <c r="B51" s="439"/>
      <c r="C51" s="1024"/>
      <c r="D51" s="1024"/>
      <c r="E51" s="1024"/>
      <c r="F51" s="1024"/>
      <c r="G51" s="1024"/>
      <c r="H51" s="1024"/>
      <c r="I51" s="1024"/>
      <c r="J51" s="1024"/>
      <c r="K51" s="1024"/>
      <c r="N51" s="454"/>
    </row>
    <row r="52" spans="1:14" s="119" customFormat="1" ht="12.75" customHeight="1">
      <c r="A52" s="118"/>
      <c r="B52" s="439"/>
      <c r="C52" s="1024"/>
      <c r="D52" s="1024"/>
      <c r="E52" s="1024"/>
      <c r="F52" s="1024"/>
      <c r="G52" s="1024"/>
      <c r="H52" s="1024"/>
      <c r="I52" s="1024"/>
      <c r="J52" s="1024"/>
      <c r="K52" s="1024"/>
      <c r="N52" s="454"/>
    </row>
    <row r="53" spans="1:14" s="119" customFormat="1" ht="12.75" customHeight="1">
      <c r="A53" s="118"/>
      <c r="B53" s="439"/>
      <c r="C53" s="1024"/>
      <c r="D53" s="1024"/>
      <c r="E53" s="1024"/>
      <c r="F53" s="1024"/>
      <c r="G53" s="1024"/>
      <c r="H53" s="1024"/>
      <c r="I53" s="1024"/>
      <c r="J53" s="1024"/>
      <c r="K53" s="1024"/>
      <c r="N53" s="454"/>
    </row>
    <row r="54" spans="1:14" s="119" customFormat="1" ht="12.75" customHeight="1">
      <c r="A54" s="118"/>
      <c r="B54" s="439"/>
      <c r="C54" s="1024"/>
      <c r="D54" s="1024"/>
      <c r="E54" s="1024"/>
      <c r="F54" s="1024"/>
      <c r="G54" s="1024"/>
      <c r="H54" s="1024"/>
      <c r="I54" s="1024"/>
      <c r="J54" s="1024"/>
      <c r="K54" s="1024"/>
      <c r="N54" s="454"/>
    </row>
    <row r="55" spans="1:14" s="119" customFormat="1" ht="12.75" customHeight="1">
      <c r="A55" s="118"/>
      <c r="B55" s="439"/>
      <c r="C55" s="1024"/>
      <c r="D55" s="1024"/>
      <c r="E55" s="1024"/>
      <c r="F55" s="1024"/>
      <c r="G55" s="1024"/>
      <c r="H55" s="1024"/>
      <c r="I55" s="1024"/>
      <c r="J55" s="1024"/>
      <c r="K55" s="1024"/>
      <c r="N55" s="454"/>
    </row>
    <row r="56" spans="1:14" s="119" customFormat="1" ht="12.75" customHeight="1">
      <c r="A56" s="118"/>
      <c r="B56" s="439"/>
      <c r="C56" s="1024"/>
      <c r="D56" s="1024"/>
      <c r="E56" s="1024"/>
      <c r="F56" s="1024"/>
      <c r="G56" s="1024"/>
      <c r="H56" s="1024"/>
      <c r="I56" s="1024"/>
      <c r="J56" s="1024"/>
      <c r="K56" s="1024"/>
      <c r="N56" s="454"/>
    </row>
    <row r="57" spans="1:14" s="119" customFormat="1" ht="12.75" customHeight="1">
      <c r="A57" s="118"/>
      <c r="B57" s="439"/>
      <c r="C57" s="1024"/>
      <c r="D57" s="1024"/>
      <c r="E57" s="1024"/>
      <c r="F57" s="1024"/>
      <c r="G57" s="1024"/>
      <c r="H57" s="1024"/>
      <c r="I57" s="1024"/>
      <c r="J57" s="1024"/>
      <c r="K57" s="1024"/>
      <c r="N57" s="454"/>
    </row>
    <row r="58" spans="1:14" s="119" customFormat="1" ht="12.75" customHeight="1">
      <c r="A58" s="118"/>
      <c r="B58" s="439"/>
      <c r="C58" s="1024"/>
      <c r="D58" s="1024"/>
      <c r="E58" s="1024"/>
      <c r="F58" s="1024"/>
      <c r="G58" s="1024"/>
      <c r="H58" s="1024"/>
      <c r="I58" s="1024"/>
      <c r="J58" s="1024"/>
      <c r="K58" s="1024"/>
      <c r="N58" s="454"/>
    </row>
    <row r="59" spans="1:14" s="119" customFormat="1" ht="12.75" customHeight="1">
      <c r="A59" s="118"/>
      <c r="B59" s="439"/>
      <c r="C59" s="1024"/>
      <c r="D59" s="1024"/>
      <c r="E59" s="1024"/>
      <c r="F59" s="1024"/>
      <c r="G59" s="1024"/>
      <c r="H59" s="1024"/>
      <c r="I59" s="1024"/>
      <c r="J59" s="1024"/>
      <c r="K59" s="1024"/>
      <c r="N59" s="454"/>
    </row>
    <row r="60" spans="1:14" s="119" customFormat="1" ht="12.75" customHeight="1">
      <c r="A60" s="118"/>
      <c r="B60" s="1024"/>
      <c r="C60" s="1024"/>
      <c r="D60" s="1027"/>
      <c r="E60" s="1024"/>
      <c r="F60" s="1024"/>
      <c r="G60" s="1024"/>
      <c r="H60" s="1024"/>
      <c r="I60" s="1024"/>
      <c r="J60" s="1024"/>
      <c r="K60" s="1024"/>
      <c r="N60" s="454"/>
    </row>
    <row r="61" spans="1:14" s="119" customFormat="1" ht="12.75" customHeight="1">
      <c r="A61" s="118"/>
      <c r="B61" s="1024"/>
      <c r="C61" s="1024"/>
      <c r="D61" s="1027"/>
      <c r="E61" s="1024"/>
      <c r="F61" s="1024"/>
      <c r="G61" s="1024"/>
      <c r="H61" s="1024"/>
      <c r="I61" s="1024"/>
      <c r="J61" s="1024"/>
      <c r="K61" s="1024"/>
      <c r="N61" s="454"/>
    </row>
    <row r="62" spans="1:14" s="119" customFormat="1" ht="12.75" customHeight="1">
      <c r="A62" s="118"/>
      <c r="B62" s="100" t="s">
        <v>1168</v>
      </c>
      <c r="C62" s="100"/>
      <c r="D62" s="142"/>
      <c r="E62" s="100"/>
      <c r="G62" s="100" t="s">
        <v>1169</v>
      </c>
      <c r="H62" s="1024"/>
      <c r="I62" s="1024"/>
      <c r="J62" s="1024"/>
      <c r="K62" s="1024"/>
      <c r="N62" s="454"/>
    </row>
    <row r="63" spans="1:14" s="119" customFormat="1" ht="12.95">
      <c r="A63" s="118"/>
      <c r="B63" s="1024"/>
      <c r="C63" s="1024"/>
      <c r="D63" s="1027"/>
      <c r="E63" s="1024"/>
      <c r="F63" s="1024"/>
      <c r="G63" s="1024"/>
      <c r="H63" s="1024"/>
      <c r="I63" s="1024"/>
      <c r="J63" s="1024"/>
      <c r="K63" s="1024"/>
      <c r="N63" s="454"/>
    </row>
    <row r="64" spans="1:14" s="119" customFormat="1" ht="12.95">
      <c r="A64" s="118"/>
      <c r="B64" s="1024"/>
      <c r="C64" s="1024"/>
      <c r="D64" s="1027"/>
      <c r="E64" s="1024"/>
      <c r="F64" s="1024"/>
      <c r="G64" s="1024"/>
      <c r="H64" s="1024"/>
      <c r="I64" s="1024"/>
      <c r="J64" s="100"/>
      <c r="K64" s="1024"/>
      <c r="N64" s="454"/>
    </row>
    <row r="65" spans="1:14" s="119" customFormat="1" ht="12.75" customHeight="1">
      <c r="A65" s="118"/>
      <c r="B65" s="1413" t="str">
        <f>FORM!I28</f>
        <v xml:space="preserve">agent </v>
      </c>
      <c r="C65" s="1413"/>
      <c r="D65" s="1413"/>
      <c r="E65" s="100"/>
      <c r="F65" s="100"/>
      <c r="G65" s="1413" t="str">
        <f>FORM!I26</f>
        <v>buyer</v>
      </c>
      <c r="H65" s="1413"/>
      <c r="I65" s="1413"/>
      <c r="J65" s="1024"/>
      <c r="K65" s="1024"/>
      <c r="N65" s="454"/>
    </row>
    <row r="66" spans="1:14" s="119" customFormat="1" ht="12.75" customHeight="1">
      <c r="A66" s="118"/>
      <c r="B66" s="1069" t="s">
        <v>1171</v>
      </c>
      <c r="C66" s="1841"/>
      <c r="D66" s="1674"/>
      <c r="E66" s="1024"/>
      <c r="F66" s="1024"/>
      <c r="G66" s="1068" t="s">
        <v>1171</v>
      </c>
      <c r="H66" s="1841"/>
      <c r="I66" s="1674"/>
      <c r="J66" s="1024"/>
      <c r="K66" s="1024"/>
      <c r="N66" s="454"/>
    </row>
    <row r="67" spans="1:14" s="119" customFormat="1" ht="12.75" customHeight="1">
      <c r="A67" s="118"/>
      <c r="B67" s="1024"/>
      <c r="C67" s="1024"/>
      <c r="D67" s="1027"/>
      <c r="E67" s="1024"/>
      <c r="F67" s="1024"/>
      <c r="G67" s="1024"/>
      <c r="H67" s="1024"/>
      <c r="I67" s="1024"/>
      <c r="J67" s="1024"/>
      <c r="K67" s="1024"/>
      <c r="N67" s="454"/>
    </row>
    <row r="68" spans="1:14" s="119" customFormat="1" ht="12.75" customHeight="1">
      <c r="B68" s="1024"/>
      <c r="C68" s="1024"/>
      <c r="D68" s="1027"/>
      <c r="E68" s="1024"/>
      <c r="F68" s="1024"/>
      <c r="G68" s="1024"/>
      <c r="H68" s="1024"/>
      <c r="I68" s="1024"/>
      <c r="J68" s="1020"/>
      <c r="K68" s="100"/>
      <c r="N68" s="454"/>
    </row>
    <row r="69" spans="1:14" s="119" customFormat="1" ht="12.75" customHeight="1">
      <c r="B69" s="1020"/>
      <c r="C69" s="1020"/>
      <c r="D69" s="1066"/>
      <c r="E69" s="1020"/>
      <c r="F69" s="1020"/>
      <c r="G69" s="1020"/>
      <c r="H69" s="1020"/>
      <c r="I69" s="1020"/>
      <c r="J69" s="1020"/>
      <c r="K69" s="1020"/>
      <c r="N69" s="454"/>
    </row>
    <row r="70" spans="1:14">
      <c r="B70" s="2"/>
      <c r="C70" s="2"/>
      <c r="D70" s="83"/>
      <c r="E70" s="2"/>
      <c r="F70" s="2"/>
      <c r="G70" s="2"/>
      <c r="H70" s="2"/>
      <c r="I70" s="2"/>
      <c r="J70" s="2"/>
      <c r="K70" s="2"/>
    </row>
    <row r="71" spans="1:14">
      <c r="B71" s="2"/>
      <c r="C71" s="2"/>
      <c r="D71" s="83"/>
      <c r="E71" s="2"/>
      <c r="F71" s="2"/>
      <c r="G71" s="2"/>
      <c r="H71" s="2"/>
      <c r="I71" s="2"/>
      <c r="J71" s="2"/>
      <c r="K71" s="2"/>
    </row>
    <row r="72" spans="1:14">
      <c r="A72" s="158">
        <f>F19*E21</f>
        <v>445287.04355169617</v>
      </c>
      <c r="B72" s="2"/>
      <c r="C72" s="2"/>
      <c r="D72" s="83"/>
      <c r="E72" s="2"/>
      <c r="F72" s="2"/>
      <c r="G72" s="2"/>
      <c r="H72" s="2"/>
      <c r="I72" s="2"/>
      <c r="J72" s="2"/>
      <c r="K72" s="2"/>
    </row>
    <row r="73" spans="1:14">
      <c r="B73" s="2"/>
      <c r="C73" s="2"/>
      <c r="D73" s="83"/>
      <c r="E73" s="2"/>
      <c r="F73" s="2"/>
      <c r="G73" s="2"/>
      <c r="H73" s="2"/>
      <c r="I73" s="2"/>
      <c r="J73" s="2"/>
      <c r="K73" s="2"/>
    </row>
    <row r="74" spans="1:14">
      <c r="A74" s="159">
        <f>F19*12%</f>
        <v>445287.04355169617</v>
      </c>
      <c r="B74" s="2"/>
      <c r="C74" s="2"/>
      <c r="D74" s="83"/>
      <c r="E74" s="2"/>
      <c r="F74" s="2"/>
      <c r="G74" s="2"/>
      <c r="H74" s="2"/>
      <c r="I74" s="2"/>
      <c r="K74" s="2"/>
    </row>
    <row r="75" spans="1:14">
      <c r="K75" s="2"/>
    </row>
    <row r="76" spans="1:14">
      <c r="K76" s="2"/>
    </row>
    <row r="77" spans="1:14">
      <c r="K77" s="2"/>
    </row>
  </sheetData>
  <sheetProtection password="CC2E" sheet="1" formatCells="0" formatColumns="0" formatRows="0"/>
  <mergeCells count="79">
    <mergeCell ref="B41:C42"/>
    <mergeCell ref="D41:G42"/>
    <mergeCell ref="H41:I42"/>
    <mergeCell ref="B43:C44"/>
    <mergeCell ref="D43:G44"/>
    <mergeCell ref="H43:I44"/>
    <mergeCell ref="B37:C38"/>
    <mergeCell ref="D37:G38"/>
    <mergeCell ref="H37:I38"/>
    <mergeCell ref="B39:C40"/>
    <mergeCell ref="D39:G40"/>
    <mergeCell ref="H39:I40"/>
    <mergeCell ref="C66:D66"/>
    <mergeCell ref="H66:I66"/>
    <mergeCell ref="B28:C28"/>
    <mergeCell ref="M29:N29"/>
    <mergeCell ref="B65:D65"/>
    <mergeCell ref="H34:I34"/>
    <mergeCell ref="D34:G34"/>
    <mergeCell ref="B34:C34"/>
    <mergeCell ref="H45:I46"/>
    <mergeCell ref="D45:G46"/>
    <mergeCell ref="B45:C46"/>
    <mergeCell ref="G65:I65"/>
    <mergeCell ref="D49:G49"/>
    <mergeCell ref="B35:C36"/>
    <mergeCell ref="D35:G36"/>
    <mergeCell ref="H35:I36"/>
    <mergeCell ref="H2:I2"/>
    <mergeCell ref="R2:S2"/>
    <mergeCell ref="O11:S11"/>
    <mergeCell ref="R3:S3"/>
    <mergeCell ref="O9:S9"/>
    <mergeCell ref="O10:S10"/>
    <mergeCell ref="E7:I7"/>
    <mergeCell ref="E9:I9"/>
    <mergeCell ref="E10:I10"/>
    <mergeCell ref="B4:I5"/>
    <mergeCell ref="L4:S5"/>
    <mergeCell ref="O7:S7"/>
    <mergeCell ref="O8:S8"/>
    <mergeCell ref="E11:I11"/>
    <mergeCell ref="E8:G8"/>
    <mergeCell ref="E14:F14"/>
    <mergeCell ref="O14:P14"/>
    <mergeCell ref="L20:M20"/>
    <mergeCell ref="O20:P20"/>
    <mergeCell ref="O12:P12"/>
    <mergeCell ref="E13:F13"/>
    <mergeCell ref="O13:P13"/>
    <mergeCell ref="L16:M17"/>
    <mergeCell ref="N16:N17"/>
    <mergeCell ref="O16:P17"/>
    <mergeCell ref="F17:H17"/>
    <mergeCell ref="F16:H16"/>
    <mergeCell ref="E12:F12"/>
    <mergeCell ref="F20:I20"/>
    <mergeCell ref="Q20:R20"/>
    <mergeCell ref="F19:I19"/>
    <mergeCell ref="Q16:S17"/>
    <mergeCell ref="Q18:S18"/>
    <mergeCell ref="Q19:S19"/>
    <mergeCell ref="L19:M19"/>
    <mergeCell ref="L18:M18"/>
    <mergeCell ref="O18:P18"/>
    <mergeCell ref="O19:P19"/>
    <mergeCell ref="F18:I18"/>
    <mergeCell ref="Q28:S28"/>
    <mergeCell ref="L33:N33"/>
    <mergeCell ref="F28:I28"/>
    <mergeCell ref="L28:N28"/>
    <mergeCell ref="B26:C26"/>
    <mergeCell ref="B27:C27"/>
    <mergeCell ref="R29:S29"/>
    <mergeCell ref="F24:H24"/>
    <mergeCell ref="F21:H21"/>
    <mergeCell ref="F26:I26"/>
    <mergeCell ref="F27:I27"/>
    <mergeCell ref="F22:H22"/>
  </mergeCells>
  <pageMargins left="0.59055118110236227" right="0.59055118110236227" top="1.1811023622047245" bottom="0.74803149606299213" header="0.31496062992125984" footer="0.31496062992125984"/>
  <pageSetup paperSize="14" scale="80" orientation="portrait" r:id="rId1"/>
  <headerFooter>
    <oddHeader xml:space="preserve">&amp;R&amp;"Century Gothic,Bold"&amp;18ANNEX A: 
SAMPLE PACKAGE COMPUTATION
</oddHeader>
  </headerFooter>
  <colBreaks count="1" manualBreakCount="1">
    <brk id="10" max="65" man="1"/>
  </colBreaks>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9"/>
  <dimension ref="A1:U123"/>
  <sheetViews>
    <sheetView showGridLines="0" showZeros="0" view="pageLayout" topLeftCell="A10" zoomScaleNormal="100" zoomScaleSheetLayoutView="85" workbookViewId="0">
      <selection activeCell="I31" sqref="I31:U31"/>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1182</v>
      </c>
      <c r="B3" s="22"/>
      <c r="C3" s="76"/>
      <c r="D3" s="1471" t="str">
        <f>FORM!I26</f>
        <v>buyer</v>
      </c>
      <c r="E3" s="1471"/>
      <c r="F3" s="1471"/>
      <c r="G3" s="1471"/>
      <c r="H3" s="1471"/>
      <c r="I3" s="1471"/>
      <c r="J3" s="1471"/>
      <c r="K3" s="1471"/>
      <c r="L3" s="1471"/>
      <c r="M3" s="1471"/>
      <c r="N3" s="1471"/>
      <c r="O3" s="1471"/>
      <c r="P3" s="1471"/>
      <c r="Q3" s="1471"/>
      <c r="R3" s="22"/>
      <c r="S3" s="22"/>
      <c r="T3" s="22"/>
      <c r="U3" s="24" t="s">
        <v>1183</v>
      </c>
    </row>
    <row r="4" spans="1:21">
      <c r="A4" s="1472" t="str">
        <f>FORM!I30</f>
        <v>address</v>
      </c>
      <c r="B4" s="1472"/>
      <c r="C4" s="1472"/>
      <c r="D4" s="1472"/>
      <c r="E4" s="1472"/>
      <c r="F4" s="1472"/>
      <c r="G4" s="1472"/>
      <c r="H4" s="1472"/>
      <c r="I4" s="1472"/>
      <c r="J4" s="1472"/>
      <c r="K4" s="1472"/>
      <c r="L4" s="1472"/>
      <c r="M4" s="1472"/>
      <c r="N4" s="1472"/>
      <c r="O4" s="1472"/>
      <c r="P4" s="1472"/>
      <c r="Q4" s="1472"/>
      <c r="R4" s="22"/>
      <c r="S4" s="22"/>
      <c r="T4" s="22"/>
      <c r="U4" s="24" t="s">
        <v>1184</v>
      </c>
    </row>
    <row r="5" spans="1:21" ht="16.5" customHeight="1">
      <c r="A5" s="1473" t="s">
        <v>1185</v>
      </c>
      <c r="B5" s="1473"/>
      <c r="C5" s="1473"/>
      <c r="D5" s="1473"/>
      <c r="E5" s="1473"/>
      <c r="F5" s="1473"/>
      <c r="G5" s="1473"/>
      <c r="H5" s="1473"/>
      <c r="I5" s="1473"/>
      <c r="J5" s="1473"/>
      <c r="K5" s="1473"/>
      <c r="L5" s="1473"/>
      <c r="M5" s="1473"/>
      <c r="N5" s="1473"/>
      <c r="O5" s="1473"/>
      <c r="P5" s="1473"/>
      <c r="Q5" s="1473"/>
      <c r="R5" s="1473"/>
      <c r="S5" s="1473"/>
      <c r="T5" s="1473"/>
      <c r="U5" s="1473"/>
    </row>
    <row r="6" spans="1:21">
      <c r="A6" s="1473"/>
      <c r="B6" s="1473"/>
      <c r="C6" s="1473"/>
      <c r="D6" s="1473"/>
      <c r="E6" s="1473"/>
      <c r="F6" s="1473"/>
      <c r="G6" s="1473"/>
      <c r="H6" s="1473"/>
      <c r="I6" s="1473"/>
      <c r="J6" s="1473"/>
      <c r="K6" s="1473"/>
      <c r="L6" s="1473"/>
      <c r="M6" s="1473"/>
      <c r="N6" s="1473"/>
      <c r="O6" s="1473"/>
      <c r="P6" s="1473"/>
      <c r="Q6" s="1473"/>
      <c r="R6" s="1473"/>
      <c r="S6" s="1473"/>
      <c r="T6" s="1473"/>
      <c r="U6" s="1473"/>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1186</v>
      </c>
      <c r="B8" s="22"/>
      <c r="C8" s="22"/>
      <c r="D8" s="22"/>
      <c r="E8" s="22"/>
      <c r="F8" s="22"/>
      <c r="G8" s="22"/>
      <c r="H8" s="1471" t="str">
        <f>FORM!AB11</f>
        <v>Iloilo Southprime Developers Inc.</v>
      </c>
      <c r="I8" s="1471"/>
      <c r="J8" s="1471"/>
      <c r="K8" s="1471"/>
      <c r="L8" s="1471"/>
      <c r="M8" s="1471"/>
      <c r="N8" s="1471"/>
      <c r="O8" s="1471"/>
      <c r="P8" s="22"/>
      <c r="Q8" s="22"/>
      <c r="R8" s="22"/>
      <c r="S8" s="22"/>
      <c r="T8" s="22"/>
      <c r="U8" s="24" t="s">
        <v>1187</v>
      </c>
    </row>
    <row r="9" spans="1:21">
      <c r="A9" s="1474" t="s">
        <v>1188</v>
      </c>
      <c r="B9" s="1474"/>
      <c r="C9" s="1474"/>
      <c r="D9" s="1474"/>
      <c r="E9" s="1474"/>
      <c r="F9" s="1474"/>
      <c r="G9" s="1474"/>
      <c r="H9" s="1474"/>
      <c r="I9" s="1474"/>
      <c r="J9" s="1474"/>
      <c r="K9" s="1474"/>
      <c r="L9" s="1474"/>
      <c r="M9" s="1474"/>
      <c r="N9" s="1474"/>
      <c r="O9" s="1474"/>
      <c r="P9" s="1474"/>
      <c r="Q9" s="1474"/>
      <c r="R9" s="1474"/>
      <c r="S9" s="1474"/>
      <c r="T9" s="1474"/>
      <c r="U9" s="1474"/>
    </row>
    <row r="10" spans="1:21">
      <c r="A10" s="1470" t="str">
        <f>FORM!AB12</f>
        <v>Avancena St Brgy. Avancena Molo Iloilo City</v>
      </c>
      <c r="B10" s="1470"/>
      <c r="C10" s="1470"/>
      <c r="D10" s="1470"/>
      <c r="E10" s="1470"/>
      <c r="F10" s="1470"/>
      <c r="G10" s="1470"/>
      <c r="H10" s="1470"/>
      <c r="I10" s="1470"/>
      <c r="J10" s="1470"/>
      <c r="K10" s="1470"/>
      <c r="L10" s="1470"/>
      <c r="M10" s="1470"/>
      <c r="N10" s="1470"/>
      <c r="O10" s="1470"/>
      <c r="P10" s="1470"/>
      <c r="Q10" s="22"/>
      <c r="R10" s="22"/>
      <c r="S10" s="22"/>
      <c r="T10" s="22"/>
      <c r="U10" s="24" t="s">
        <v>1189</v>
      </c>
    </row>
    <row r="11" spans="1:21">
      <c r="A11" s="22" t="s">
        <v>1190</v>
      </c>
      <c r="B11" s="22"/>
      <c r="C11" s="22"/>
      <c r="D11" s="22"/>
      <c r="E11" s="22"/>
      <c r="F11" s="22"/>
      <c r="G11" s="22"/>
      <c r="H11" s="22"/>
      <c r="I11" s="1472" t="str">
        <f>FORM!I11</f>
        <v>The Southprime Flats</v>
      </c>
      <c r="J11" s="1472"/>
      <c r="K11" s="1472"/>
      <c r="L11" s="1472"/>
      <c r="M11" s="1472"/>
      <c r="N11" s="1472"/>
      <c r="O11" s="1472"/>
      <c r="P11" s="1472"/>
      <c r="Q11" s="1472"/>
      <c r="R11" s="1472"/>
      <c r="S11" s="1472"/>
      <c r="T11" s="1472"/>
      <c r="U11" s="1472"/>
    </row>
    <row r="12" spans="1:21">
      <c r="A12" s="22" t="s">
        <v>1191</v>
      </c>
      <c r="B12" s="22"/>
      <c r="C12" s="22"/>
      <c r="D12" s="22"/>
      <c r="E12" s="22"/>
      <c r="F12" s="22"/>
      <c r="G12" s="22"/>
      <c r="H12" s="22"/>
      <c r="I12" s="22"/>
      <c r="J12" s="22"/>
      <c r="K12" s="22"/>
      <c r="L12" s="22"/>
      <c r="M12" s="1475" t="str">
        <f>FORM!AB13</f>
        <v>Abeto Street, Brgy. Abeto-Mirasol, Mandurriao, Iloilo City</v>
      </c>
      <c r="N12" s="1475"/>
      <c r="O12" s="1475"/>
      <c r="P12" s="1475"/>
      <c r="Q12" s="1475"/>
      <c r="R12" s="1475"/>
      <c r="S12" s="1475"/>
      <c r="T12" s="1475"/>
      <c r="U12" s="1475"/>
    </row>
    <row r="13" spans="1:21">
      <c r="A13" s="22" t="s">
        <v>1192</v>
      </c>
      <c r="B13" s="22"/>
      <c r="C13" s="22"/>
      <c r="D13" s="22"/>
      <c r="E13" s="22"/>
      <c r="F13" s="22"/>
      <c r="G13" s="22"/>
      <c r="H13" s="22"/>
      <c r="I13" s="22"/>
      <c r="J13" s="22"/>
      <c r="K13" s="1476" t="str">
        <f>'STANDARD COMP.'!E10</f>
        <v>Studio</v>
      </c>
      <c r="L13" s="1472"/>
      <c r="M13" s="1472"/>
      <c r="N13" s="1472"/>
      <c r="O13" s="1472"/>
      <c r="P13" s="1472"/>
      <c r="Q13" s="1472"/>
      <c r="R13" s="1472"/>
      <c r="S13" s="1472"/>
      <c r="T13" s="1472"/>
      <c r="U13" s="1472"/>
    </row>
    <row r="14" spans="1:21" ht="13.5" customHeight="1">
      <c r="A14" s="22" t="s">
        <v>1193</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1194</v>
      </c>
      <c r="B16" s="27"/>
      <c r="C16" s="27"/>
      <c r="D16" s="25"/>
      <c r="E16" s="1475" t="str">
        <f>FORM!I11</f>
        <v>The Southprime Flats</v>
      </c>
      <c r="F16" s="1475"/>
      <c r="G16" s="1475"/>
      <c r="H16" s="1475"/>
      <c r="I16" s="1475"/>
      <c r="J16" s="1475"/>
      <c r="K16" s="1475"/>
      <c r="L16" s="1475"/>
      <c r="M16" s="1475"/>
      <c r="N16" s="1475"/>
      <c r="O16" s="1475"/>
      <c r="P16" s="1475"/>
      <c r="Q16" s="1475"/>
      <c r="R16" s="1475"/>
      <c r="S16" s="1475"/>
      <c r="T16" s="1475"/>
      <c r="U16" s="58"/>
    </row>
    <row r="17" spans="1:21" ht="14.1">
      <c r="A17" s="28" t="s">
        <v>1195</v>
      </c>
      <c r="B17" s="29"/>
      <c r="C17" s="29"/>
      <c r="D17" s="30"/>
      <c r="E17" s="31" t="s">
        <v>1196</v>
      </c>
      <c r="F17" s="30"/>
      <c r="G17" s="30"/>
      <c r="H17" s="30"/>
      <c r="I17" s="30"/>
      <c r="J17" s="30"/>
      <c r="K17" s="30"/>
      <c r="L17" s="56" t="s">
        <v>1197</v>
      </c>
      <c r="M17" s="30"/>
      <c r="N17" s="30"/>
      <c r="O17" s="30"/>
      <c r="P17" s="30"/>
      <c r="Q17" s="30"/>
      <c r="R17" s="30"/>
      <c r="S17" s="30"/>
      <c r="T17" s="31" t="s">
        <v>1198</v>
      </c>
      <c r="U17" s="55"/>
    </row>
    <row r="18" spans="1:21" ht="14.1">
      <c r="A18" s="32"/>
      <c r="B18" s="5"/>
      <c r="C18" s="5"/>
      <c r="D18" s="5"/>
      <c r="E18" s="33" t="s">
        <v>1199</v>
      </c>
      <c r="F18" s="5"/>
      <c r="G18" s="5"/>
      <c r="H18" s="5"/>
      <c r="I18" s="5"/>
      <c r="J18" s="5"/>
      <c r="K18" s="5"/>
      <c r="L18" s="33" t="s">
        <v>1200</v>
      </c>
      <c r="M18" s="5"/>
      <c r="N18" s="5"/>
      <c r="O18" s="5"/>
      <c r="P18" s="5"/>
      <c r="Q18" s="5"/>
      <c r="R18" s="5"/>
      <c r="S18" s="5"/>
      <c r="T18" s="33" t="s">
        <v>1201</v>
      </c>
      <c r="U18" s="34"/>
    </row>
    <row r="19" spans="1:21">
      <c r="T19" s="2" t="s">
        <v>60</v>
      </c>
    </row>
    <row r="20" spans="1:21" ht="14.1">
      <c r="A20" s="1477" t="s">
        <v>1202</v>
      </c>
      <c r="B20" s="1478"/>
      <c r="C20" s="1478"/>
      <c r="D20" s="1478"/>
      <c r="E20" s="1478"/>
      <c r="F20" s="1479"/>
      <c r="G20" s="1477" t="s">
        <v>1203</v>
      </c>
      <c r="H20" s="1478"/>
      <c r="I20" s="1478"/>
      <c r="J20" s="1478"/>
      <c r="K20" s="1478"/>
      <c r="L20" s="1479"/>
      <c r="M20" s="1477" t="s">
        <v>1204</v>
      </c>
      <c r="N20" s="1478"/>
      <c r="O20" s="1478"/>
      <c r="P20" s="1478"/>
      <c r="Q20" s="1479"/>
      <c r="R20" s="1477" t="s">
        <v>1200</v>
      </c>
      <c r="S20" s="1478"/>
      <c r="T20" s="1478"/>
      <c r="U20" s="1479"/>
    </row>
    <row r="21" spans="1:21" ht="14.1">
      <c r="A21" s="39" t="s">
        <v>1205</v>
      </c>
      <c r="B21" s="40"/>
      <c r="C21" s="40"/>
      <c r="D21" s="1480" t="str">
        <f>FORM!I14</f>
        <v>B3</v>
      </c>
      <c r="E21" s="1481"/>
      <c r="F21" s="1482"/>
      <c r="G21" s="39" t="s">
        <v>1205</v>
      </c>
      <c r="H21" s="40"/>
      <c r="I21" s="41"/>
      <c r="J21" s="1483"/>
      <c r="K21" s="1484"/>
      <c r="L21" s="1485"/>
      <c r="M21" s="39" t="s">
        <v>1206</v>
      </c>
      <c r="N21" s="40"/>
      <c r="O21" s="41"/>
      <c r="P21" s="1486"/>
      <c r="Q21" s="1487"/>
      <c r="R21" s="80" t="s">
        <v>1205</v>
      </c>
      <c r="S21" s="81"/>
      <c r="T21" s="1488"/>
      <c r="U21" s="1489"/>
    </row>
    <row r="22" spans="1:21" ht="14.1">
      <c r="A22" s="37" t="s">
        <v>1207</v>
      </c>
      <c r="B22" s="38"/>
      <c r="C22" s="38"/>
      <c r="D22" s="1480" t="str">
        <f>FORM!I16</f>
        <v>11th Floor</v>
      </c>
      <c r="E22" s="1481"/>
      <c r="F22" s="1482"/>
      <c r="G22" s="39" t="s">
        <v>1208</v>
      </c>
      <c r="H22" s="40"/>
      <c r="I22" s="41"/>
      <c r="J22" s="1483"/>
      <c r="K22" s="1484"/>
      <c r="L22" s="1485"/>
      <c r="M22" s="39" t="s">
        <v>1209</v>
      </c>
      <c r="N22" s="40"/>
      <c r="O22" s="41"/>
      <c r="P22" s="1486"/>
      <c r="Q22" s="1487"/>
      <c r="R22" s="80" t="s">
        <v>1210</v>
      </c>
      <c r="S22" s="81"/>
      <c r="T22" s="1488"/>
      <c r="U22" s="1489"/>
    </row>
    <row r="23" spans="1:21" ht="14.1">
      <c r="A23" s="39" t="s">
        <v>1210</v>
      </c>
      <c r="B23" s="40"/>
      <c r="C23" s="41"/>
      <c r="D23" s="1480" t="str">
        <f>FORM!I18</f>
        <v>E-11K</v>
      </c>
      <c r="E23" s="1481"/>
      <c r="F23" s="1482"/>
      <c r="G23" s="39" t="s">
        <v>1211</v>
      </c>
      <c r="H23" s="40"/>
      <c r="I23" s="41"/>
      <c r="J23" s="1483"/>
      <c r="K23" s="1484"/>
      <c r="L23" s="1485"/>
      <c r="M23" s="39" t="s">
        <v>1212</v>
      </c>
      <c r="N23" s="40"/>
      <c r="O23" s="41"/>
      <c r="P23" s="1486"/>
      <c r="Q23" s="1487"/>
      <c r="R23" s="80" t="s">
        <v>1213</v>
      </c>
      <c r="S23" s="81"/>
      <c r="T23" s="1488"/>
      <c r="U23" s="1489"/>
    </row>
    <row r="24" spans="1:21" ht="16.5" customHeight="1">
      <c r="A24" s="37" t="s">
        <v>1214</v>
      </c>
      <c r="B24" s="38"/>
      <c r="C24" s="38"/>
      <c r="D24" s="1493">
        <f>'STANDARD COMP.'!E13</f>
        <v>22</v>
      </c>
      <c r="E24" s="1494"/>
      <c r="F24" s="1495"/>
      <c r="G24" s="39" t="s">
        <v>1213</v>
      </c>
      <c r="H24" s="40"/>
      <c r="I24" s="41"/>
      <c r="J24" s="1483"/>
      <c r="K24" s="1484"/>
      <c r="L24" s="1485"/>
      <c r="M24" s="37" t="s">
        <v>1215</v>
      </c>
      <c r="N24" s="38"/>
      <c r="O24" s="38"/>
      <c r="P24" s="1486"/>
      <c r="Q24" s="1487"/>
      <c r="R24" s="1496" t="s">
        <v>1216</v>
      </c>
      <c r="S24" s="1497"/>
      <c r="T24" s="1500"/>
      <c r="U24" s="1501"/>
    </row>
    <row r="25" spans="1:21" ht="14.1">
      <c r="A25" s="39" t="s">
        <v>1217</v>
      </c>
      <c r="B25" s="40"/>
      <c r="C25" s="41"/>
      <c r="D25" s="1504" t="str">
        <f>K13</f>
        <v>Studio</v>
      </c>
      <c r="E25" s="1481"/>
      <c r="F25" s="1482"/>
      <c r="G25" s="39" t="s">
        <v>1218</v>
      </c>
      <c r="H25" s="40"/>
      <c r="I25" s="41"/>
      <c r="J25" s="1483"/>
      <c r="K25" s="1484"/>
      <c r="L25" s="1485"/>
      <c r="M25" s="39" t="s">
        <v>1219</v>
      </c>
      <c r="N25" s="40"/>
      <c r="O25" s="41"/>
      <c r="P25" s="1480"/>
      <c r="Q25" s="1482"/>
      <c r="R25" s="1498"/>
      <c r="S25" s="1499"/>
      <c r="T25" s="1502"/>
      <c r="U25" s="1503"/>
    </row>
    <row r="27" spans="1:21" ht="14.1">
      <c r="A27" s="39" t="s">
        <v>1220</v>
      </c>
      <c r="B27" s="40"/>
      <c r="C27" s="40"/>
      <c r="D27" s="40"/>
      <c r="E27" s="40"/>
      <c r="F27" s="40"/>
      <c r="G27" s="40"/>
      <c r="H27" s="41"/>
      <c r="I27" s="1574">
        <f>'SPOT CASH_30 DAYS'!F16</f>
        <v>4123028.1810342241</v>
      </c>
      <c r="J27" s="1575"/>
      <c r="K27" s="1575"/>
      <c r="L27" s="1575"/>
      <c r="M27" s="1575"/>
      <c r="N27" s="1575"/>
      <c r="O27" s="1575"/>
      <c r="P27" s="1575"/>
      <c r="Q27" s="1575"/>
      <c r="R27" s="1575"/>
      <c r="S27" s="1575"/>
      <c r="T27" s="1575"/>
      <c r="U27" s="1576"/>
    </row>
    <row r="28" spans="1:21" ht="14.1">
      <c r="A28" s="39" t="s">
        <v>1221</v>
      </c>
      <c r="B28" s="40"/>
      <c r="C28" s="42"/>
      <c r="D28" s="42"/>
      <c r="E28" s="42"/>
      <c r="F28" s="42"/>
      <c r="G28" s="42"/>
      <c r="H28" s="43"/>
      <c r="I28" s="1490">
        <f>'SPOT CASH_30 DAYS'!F17+'SPOT CASH_30 DAYS'!F18</f>
        <v>412302.81810342241</v>
      </c>
      <c r="J28" s="1491"/>
      <c r="K28" s="1491"/>
      <c r="L28" s="1491"/>
      <c r="M28" s="1491"/>
      <c r="N28" s="1491"/>
      <c r="O28" s="1491"/>
      <c r="P28" s="1491"/>
      <c r="Q28" s="1491"/>
      <c r="R28" s="1491"/>
      <c r="S28" s="1491"/>
      <c r="T28" s="1491"/>
      <c r="U28" s="1492"/>
    </row>
    <row r="29" spans="1:21" ht="14.1">
      <c r="A29" s="49" t="s">
        <v>1222</v>
      </c>
      <c r="B29" s="50"/>
      <c r="C29" s="51"/>
      <c r="D29" s="51"/>
      <c r="E29" s="51"/>
      <c r="F29" s="51"/>
      <c r="G29" s="51"/>
      <c r="H29" s="48"/>
      <c r="I29" s="1574">
        <f>'SPOT CASH_30 DAYS'!F19</f>
        <v>3710725.3629308017</v>
      </c>
      <c r="J29" s="1575"/>
      <c r="K29" s="1575"/>
      <c r="L29" s="1575"/>
      <c r="M29" s="1575"/>
      <c r="N29" s="1575"/>
      <c r="O29" s="1575"/>
      <c r="P29" s="1575"/>
      <c r="Q29" s="1575"/>
      <c r="R29" s="1575"/>
      <c r="S29" s="1575"/>
      <c r="T29" s="1575"/>
      <c r="U29" s="1576"/>
    </row>
    <row r="30" spans="1:21" ht="14.1">
      <c r="A30" s="39" t="s">
        <v>1223</v>
      </c>
      <c r="B30" s="40"/>
      <c r="C30" s="42"/>
      <c r="D30" s="42"/>
      <c r="E30" s="42"/>
      <c r="F30" s="42"/>
      <c r="G30" s="42"/>
      <c r="H30" s="43"/>
      <c r="I30" s="1574">
        <f>'SPOT CASH_30 DAYS'!F22</f>
        <v>492610.38855600794</v>
      </c>
      <c r="J30" s="1575"/>
      <c r="K30" s="1575"/>
      <c r="L30" s="1575"/>
      <c r="M30" s="1575"/>
      <c r="N30" s="1575"/>
      <c r="O30" s="1575"/>
      <c r="P30" s="1575"/>
      <c r="Q30" s="1575"/>
      <c r="R30" s="1575"/>
      <c r="S30" s="1575"/>
      <c r="T30" s="1575"/>
      <c r="U30" s="1576"/>
    </row>
    <row r="31" spans="1:21" ht="14.1">
      <c r="A31" s="39" t="s">
        <v>1224</v>
      </c>
      <c r="B31" s="40"/>
      <c r="C31" s="42"/>
      <c r="D31" s="42"/>
      <c r="E31" s="42"/>
      <c r="F31" s="42"/>
      <c r="G31" s="42"/>
      <c r="H31" s="43"/>
      <c r="I31" s="1574">
        <f>'SPOT CASH_30 DAYS'!F21</f>
        <v>0</v>
      </c>
      <c r="J31" s="1575"/>
      <c r="K31" s="1575"/>
      <c r="L31" s="1575"/>
      <c r="M31" s="1575"/>
      <c r="N31" s="1575"/>
      <c r="O31" s="1575"/>
      <c r="P31" s="1575"/>
      <c r="Q31" s="1575"/>
      <c r="R31" s="1575"/>
      <c r="S31" s="1575"/>
      <c r="T31" s="1575"/>
      <c r="U31" s="1576"/>
    </row>
    <row r="32" spans="1:21" ht="14.1">
      <c r="A32" s="39" t="s">
        <v>170</v>
      </c>
      <c r="B32" s="40"/>
      <c r="C32" s="42"/>
      <c r="D32" s="42"/>
      <c r="E32" s="42"/>
      <c r="F32" s="42"/>
      <c r="G32" s="42"/>
      <c r="H32" s="43"/>
      <c r="I32" s="1574">
        <f>'SPOT CASH_30 DAYS'!F24</f>
        <v>4203335.7514868099</v>
      </c>
      <c r="J32" s="1575"/>
      <c r="K32" s="1575"/>
      <c r="L32" s="1575"/>
      <c r="M32" s="1575"/>
      <c r="N32" s="1575"/>
      <c r="O32" s="1575"/>
      <c r="P32" s="1575"/>
      <c r="Q32" s="1575"/>
      <c r="R32" s="1575"/>
      <c r="S32" s="1575"/>
      <c r="T32" s="1575"/>
      <c r="U32" s="1576"/>
    </row>
    <row r="34" spans="1:21">
      <c r="A34" s="70" t="s">
        <v>1225</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1226</v>
      </c>
      <c r="E36" s="18"/>
      <c r="F36" s="18"/>
      <c r="G36" s="18"/>
      <c r="H36" s="18"/>
      <c r="I36" s="18"/>
      <c r="J36" s="18"/>
      <c r="K36" s="18"/>
      <c r="L36" s="18"/>
      <c r="M36" s="18" t="s">
        <v>1227</v>
      </c>
      <c r="O36" s="18"/>
      <c r="P36" s="18"/>
      <c r="Q36" s="18"/>
      <c r="R36" s="18"/>
      <c r="S36" s="18" t="s">
        <v>1228</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1229</v>
      </c>
      <c r="T39"/>
    </row>
    <row r="40" spans="1:21" ht="13.5" customHeight="1">
      <c r="A40" s="75" t="s">
        <v>1230</v>
      </c>
      <c r="C40" s="1507" t="s">
        <v>1231</v>
      </c>
      <c r="D40" s="1507"/>
      <c r="E40" s="1507"/>
      <c r="F40" s="1507"/>
      <c r="G40" s="1507"/>
      <c r="H40" s="1507"/>
      <c r="I40" s="1507"/>
      <c r="J40" s="1507"/>
      <c r="K40" s="1507"/>
      <c r="L40" s="1507"/>
      <c r="M40" s="1507"/>
      <c r="N40" s="1507"/>
      <c r="O40" s="150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"&amp;PROPER(IF(LEN(LEFT(TRIM(MID(SUBSTITUTE([9]Sheet1!A2,".",REPT(" ",255)),255,200)),2))=1,CHOOSE(1*LEFT(TRIM(MID(SUBSTITUTE([9]Sheet1!A2,".",REPT(" ",255)),255,200)),2),"ten","twenty","thirty","forty","fifty","sixty","seventy","eighty","ninety")&amp;" cents","")&amp;CONCATENATE(CHOOSE(MID(TEXT(INT(LEFT(TRIM(MID(SUBSTITUTE([9]Sheet1!A2,".",REPT(" ",255)),255,200)),2)),REPT(0,12)),11,1)+1,"",CHOOSE(MID(TEXT(INT(LEFT(TRIM(MID(SUBSTITUTE([9]Sheet1!A2,".",REPT(" ",255)),255,200)),2)),REPT(0,12)),12,1)+1,"ten","eleven","twelve","thirteen","fourteen","fifteen","sixteen","seventeen","eighteen","nineteen")&amp;" cents","twenty","thirty","forty","fifty","sixty","seventy","eighty","ninety"),IF(VALUE(MID(TEXT(INT(LEFT(TRIM(MID(SUBSTITUTE([9]Sheet1!A2,".",REPT(" ",255)),255,200)),2)),REPT(0,12)),11,1))&gt;1,CHOOSE(MID(TEXT(INT(LEFT(TRIM(MID(SUBSTITUTE([9]Sheet1!A2,".",REPT(" ",255)),255,200)),2)),REPT(0,12)),12,1)+1,"","-one","-two","-three","-four","-five","-six","-seven","-eight","-nine")&amp;" cents",IF(LEFT(TRIM(MID(SUBSTITUTE([9]Sheet1!A2,".",REPT(" ",255)),255,200)),2)="01","one cent",IF(LEFT(TRIM(MID(SUBSTITUTE([9]Sheet1!A2,".",REPT(" ",255)),255,200)),1)="0",CHOOSE(MID(TEXT(INT(LEFT(TRIM(MID(SUBSTITUTE([9]Sheet1!A2,".",REPT(" ",255)),255,200)),2)),REPT(0,12)),12,1)+1,"","one","two","three","four","five","six","seven","eight","nine")&amp;" cents","")))))))</f>
        <v>Thirty Thousand  Pesos</v>
      </c>
      <c r="P40" s="1508"/>
      <c r="Q40" s="1508"/>
      <c r="R40" s="1508"/>
      <c r="S40" s="79" t="s">
        <v>1232</v>
      </c>
      <c r="T40" s="358">
        <f>FORM!I22</f>
        <v>30000</v>
      </c>
      <c r="U40" s="82" t="s">
        <v>1233</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60</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1234</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1235</v>
      </c>
      <c r="D89" s="59"/>
      <c r="E89" s="59"/>
      <c r="F89" s="59"/>
      <c r="G89" s="59"/>
      <c r="H89" s="59"/>
      <c r="I89" s="59"/>
      <c r="J89" s="59"/>
      <c r="K89" s="66" t="s">
        <v>1236</v>
      </c>
      <c r="L89" s="59"/>
      <c r="M89" s="59"/>
      <c r="N89" s="59"/>
      <c r="O89" s="59"/>
      <c r="P89" s="59"/>
      <c r="Q89" s="59"/>
      <c r="R89" s="66" t="s">
        <v>1237</v>
      </c>
      <c r="S89" s="66"/>
      <c r="T89" s="66"/>
      <c r="U89" s="65"/>
    </row>
    <row r="90" spans="1:21" ht="14.1">
      <c r="A90" s="187"/>
      <c r="B90" s="188"/>
      <c r="C90" s="59" t="s">
        <v>1238</v>
      </c>
      <c r="D90" s="189"/>
      <c r="E90" s="1509"/>
      <c r="F90" s="1509"/>
      <c r="G90" s="1509"/>
      <c r="H90" s="189"/>
      <c r="I90" s="189"/>
      <c r="J90" s="188"/>
      <c r="K90" s="59" t="s">
        <v>1239</v>
      </c>
      <c r="L90" s="189"/>
      <c r="M90" s="1509"/>
      <c r="N90" s="1509"/>
      <c r="O90" s="1509"/>
      <c r="P90" s="189"/>
      <c r="Q90" s="188"/>
      <c r="R90" s="59" t="s">
        <v>1240</v>
      </c>
      <c r="S90" s="1509"/>
      <c r="T90" s="1509"/>
      <c r="U90" s="65"/>
    </row>
    <row r="91" spans="1:21" ht="14.1">
      <c r="A91" s="187"/>
      <c r="B91" s="188"/>
      <c r="C91" s="59" t="s">
        <v>1241</v>
      </c>
      <c r="D91" s="189"/>
      <c r="E91" s="1509"/>
      <c r="F91" s="1509"/>
      <c r="G91" s="1509"/>
      <c r="H91" s="189"/>
      <c r="I91" s="189"/>
      <c r="J91" s="188"/>
      <c r="K91" s="59" t="s">
        <v>1242</v>
      </c>
      <c r="L91" s="189"/>
      <c r="M91" s="1509"/>
      <c r="N91" s="1509"/>
      <c r="O91" s="1509"/>
      <c r="P91" s="189"/>
      <c r="Q91" s="188"/>
      <c r="R91" s="59" t="s">
        <v>1243</v>
      </c>
      <c r="S91" s="1510"/>
      <c r="T91" s="1510"/>
      <c r="U91" s="65"/>
    </row>
    <row r="92" spans="1:21" ht="14.1">
      <c r="A92" s="187"/>
      <c r="B92" s="189"/>
      <c r="C92" s="189"/>
      <c r="D92" s="189"/>
      <c r="E92" s="189"/>
      <c r="F92" s="189"/>
      <c r="G92" s="189"/>
      <c r="H92" s="189"/>
      <c r="I92" s="189"/>
      <c r="J92" s="189"/>
      <c r="K92" s="189"/>
      <c r="L92" s="189"/>
      <c r="M92" s="189"/>
      <c r="N92" s="189"/>
      <c r="O92" s="189"/>
      <c r="P92" s="189"/>
      <c r="Q92" s="188"/>
      <c r="R92" s="59" t="s">
        <v>1244</v>
      </c>
      <c r="S92" s="1510"/>
      <c r="T92" s="1510"/>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511" t="s">
        <v>1245</v>
      </c>
      <c r="B95" s="1512"/>
      <c r="C95" s="1512"/>
      <c r="D95" s="1512"/>
      <c r="E95" s="1512"/>
      <c r="F95" s="1512"/>
      <c r="G95" s="1512"/>
      <c r="H95" s="1512"/>
      <c r="I95" s="1512"/>
      <c r="J95" s="1512"/>
      <c r="K95" s="1512"/>
      <c r="L95" s="1512"/>
      <c r="M95" s="1512"/>
      <c r="N95" s="1512"/>
      <c r="O95" s="1512"/>
      <c r="P95" s="1512"/>
      <c r="Q95" s="1512"/>
      <c r="R95" s="1512"/>
      <c r="S95" s="1512"/>
      <c r="T95" s="1512"/>
      <c r="U95" s="1513"/>
    </row>
    <row r="96" spans="1:21">
      <c r="A96" s="1505" t="s">
        <v>1052</v>
      </c>
      <c r="B96" s="1505"/>
      <c r="C96" s="1505"/>
      <c r="D96" s="1505"/>
      <c r="E96" s="1505"/>
      <c r="F96" s="1505"/>
      <c r="G96" s="1505"/>
      <c r="H96" s="1505"/>
      <c r="I96" s="1505" t="s">
        <v>1246</v>
      </c>
      <c r="J96" s="1505"/>
      <c r="K96" s="1505"/>
      <c r="L96" s="1505"/>
      <c r="M96" s="1505"/>
      <c r="N96" s="1505"/>
      <c r="O96" s="1505"/>
      <c r="P96" s="1506" t="s">
        <v>1054</v>
      </c>
      <c r="Q96" s="1506"/>
      <c r="R96" s="1506"/>
      <c r="S96" s="1506"/>
      <c r="T96" s="1506"/>
      <c r="U96" s="1506"/>
    </row>
    <row r="97" spans="1:21" ht="14.1">
      <c r="A97" s="1321" t="str">
        <f>FORM!I46</f>
        <v>Brokerage/Realty</v>
      </c>
      <c r="B97" s="1321"/>
      <c r="C97" s="1321"/>
      <c r="D97" s="1321"/>
      <c r="E97" s="1321"/>
      <c r="F97" s="1321"/>
      <c r="G97" s="1321"/>
      <c r="H97" s="1321"/>
      <c r="I97" s="1322">
        <f>FORM!M46</f>
        <v>0</v>
      </c>
      <c r="J97" s="1322"/>
      <c r="K97" s="1322"/>
      <c r="L97" s="1322"/>
      <c r="M97" s="1322"/>
      <c r="N97" s="1322"/>
      <c r="O97" s="1322"/>
      <c r="P97" s="1322">
        <f>FORM!T46</f>
        <v>0</v>
      </c>
      <c r="Q97" s="1322"/>
      <c r="R97" s="1322"/>
      <c r="S97" s="1322"/>
      <c r="T97" s="1322"/>
      <c r="U97" s="1322"/>
    </row>
    <row r="98" spans="1:21" ht="14.1">
      <c r="A98" s="1321" t="str">
        <f>FORM!I47</f>
        <v>Broker Head/AVP</v>
      </c>
      <c r="B98" s="1321"/>
      <c r="C98" s="1321"/>
      <c r="D98" s="1321"/>
      <c r="E98" s="1321"/>
      <c r="F98" s="1321"/>
      <c r="G98" s="1321"/>
      <c r="H98" s="1321"/>
      <c r="I98" s="1322">
        <f>FORM!M47</f>
        <v>0</v>
      </c>
      <c r="J98" s="1322"/>
      <c r="K98" s="1322"/>
      <c r="L98" s="1322"/>
      <c r="M98" s="1322"/>
      <c r="N98" s="1322"/>
      <c r="O98" s="1322"/>
      <c r="P98" s="1322">
        <f>FORM!T47</f>
        <v>0</v>
      </c>
      <c r="Q98" s="1322"/>
      <c r="R98" s="1322"/>
      <c r="S98" s="1322"/>
      <c r="T98" s="1322"/>
      <c r="U98" s="1322"/>
    </row>
    <row r="99" spans="1:21" ht="14.1">
      <c r="A99" s="1321" t="str">
        <f>FORM!I48</f>
        <v>Sales Manager</v>
      </c>
      <c r="B99" s="1321"/>
      <c r="C99" s="1321"/>
      <c r="D99" s="1321"/>
      <c r="E99" s="1321"/>
      <c r="F99" s="1321"/>
      <c r="G99" s="1321"/>
      <c r="H99" s="1321"/>
      <c r="I99" s="1322">
        <f>FORM!M48</f>
        <v>0</v>
      </c>
      <c r="J99" s="1322"/>
      <c r="K99" s="1322"/>
      <c r="L99" s="1322"/>
      <c r="M99" s="1322"/>
      <c r="N99" s="1322"/>
      <c r="O99" s="1322"/>
      <c r="P99" s="1322">
        <f>FORM!T48</f>
        <v>0</v>
      </c>
      <c r="Q99" s="1322"/>
      <c r="R99" s="1322"/>
      <c r="S99" s="1322"/>
      <c r="T99" s="1322"/>
      <c r="U99" s="1322"/>
    </row>
    <row r="100" spans="1:21" ht="14.1">
      <c r="A100" s="1321" t="str">
        <f>FORM!I49</f>
        <v xml:space="preserve">Sales Agent/Property Consultant </v>
      </c>
      <c r="B100" s="1321"/>
      <c r="C100" s="1321"/>
      <c r="D100" s="1321"/>
      <c r="E100" s="1321"/>
      <c r="F100" s="1321"/>
      <c r="G100" s="1321"/>
      <c r="H100" s="1321"/>
      <c r="I100" s="1322">
        <f>FORM!M49</f>
        <v>0</v>
      </c>
      <c r="J100" s="1322"/>
      <c r="K100" s="1322"/>
      <c r="L100" s="1322"/>
      <c r="M100" s="1322"/>
      <c r="N100" s="1322"/>
      <c r="O100" s="1322"/>
      <c r="P100" s="1322">
        <f>FORM!T49</f>
        <v>0</v>
      </c>
      <c r="Q100" s="1322"/>
      <c r="R100" s="1322"/>
      <c r="S100" s="1322"/>
      <c r="T100" s="1322"/>
      <c r="U100" s="1322"/>
    </row>
    <row r="102" spans="1:21" ht="14.1">
      <c r="A102" s="1514" t="s">
        <v>1247</v>
      </c>
      <c r="B102" s="1515"/>
      <c r="C102" s="1515"/>
      <c r="D102" s="1515"/>
      <c r="E102" s="1515"/>
      <c r="F102" s="1515"/>
      <c r="G102" s="1515"/>
      <c r="H102" s="1515"/>
      <c r="I102" s="1515"/>
      <c r="J102" s="1515"/>
      <c r="K102" s="1515"/>
      <c r="L102" s="1515"/>
      <c r="M102" s="1515"/>
      <c r="N102" s="1515"/>
      <c r="O102" s="1515"/>
      <c r="P102" s="1515"/>
      <c r="Q102" s="1515"/>
      <c r="R102" s="1515"/>
      <c r="S102" s="1515"/>
      <c r="T102" s="1515"/>
      <c r="U102" s="1515"/>
    </row>
    <row r="112" spans="1:21">
      <c r="G112" s="22"/>
      <c r="H112" s="1470" t="str">
        <f>D3</f>
        <v>buyer</v>
      </c>
      <c r="I112" s="1470"/>
      <c r="J112" s="1470"/>
      <c r="K112" s="1470"/>
      <c r="L112" s="1470"/>
      <c r="M112" s="1470"/>
      <c r="N112" s="1470"/>
      <c r="O112" s="1470"/>
      <c r="P112" s="1470"/>
      <c r="Q112" s="1470"/>
    </row>
    <row r="113" spans="1:21" ht="25.5" customHeight="1">
      <c r="A113" s="1516" t="s">
        <v>1248</v>
      </c>
      <c r="B113" s="1516"/>
      <c r="C113" s="1516"/>
      <c r="D113" s="1516"/>
      <c r="E113" s="1516"/>
      <c r="F113" s="1516"/>
      <c r="G113" s="1516"/>
      <c r="H113" s="1516"/>
      <c r="I113" s="1516"/>
      <c r="J113" s="1516"/>
      <c r="K113" s="1516"/>
      <c r="L113" s="1516"/>
      <c r="M113" s="1516"/>
      <c r="N113" s="1516"/>
      <c r="O113" s="1516"/>
      <c r="P113" s="1516"/>
      <c r="Q113" s="1516"/>
      <c r="R113" s="1516"/>
      <c r="S113" s="1516"/>
      <c r="T113" s="1516"/>
      <c r="U113" s="1516"/>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517" t="s">
        <v>1249</v>
      </c>
      <c r="B116" s="1517"/>
      <c r="C116" s="1517"/>
      <c r="D116" s="1517"/>
      <c r="E116" s="1517"/>
      <c r="F116" s="1517"/>
      <c r="G116" s="1517"/>
      <c r="H116" s="1517"/>
      <c r="I116" s="1517"/>
      <c r="J116" s="1517"/>
      <c r="K116" s="1517"/>
      <c r="L116" s="1517"/>
      <c r="M116" s="1517"/>
      <c r="N116" s="1517"/>
      <c r="O116" s="1517"/>
      <c r="P116" s="1517"/>
      <c r="Q116" s="1517"/>
      <c r="R116" s="1517"/>
      <c r="S116" s="1517"/>
      <c r="T116" s="1517"/>
      <c r="U116" s="1517"/>
    </row>
    <row r="117" spans="1:21" ht="21.75" customHeight="1">
      <c r="A117" s="1518" t="str">
        <f>H8</f>
        <v>Iloilo Southprime Developers Inc.</v>
      </c>
      <c r="B117" s="1518"/>
      <c r="C117" s="1518"/>
      <c r="D117" s="1518"/>
      <c r="E117" s="1518"/>
      <c r="F117" s="1518"/>
      <c r="G117" s="1518"/>
      <c r="H117" s="1518"/>
      <c r="I117" s="1518"/>
      <c r="J117" s="1518"/>
      <c r="K117" s="1518"/>
      <c r="L117" s="1518"/>
      <c r="M117" s="1518"/>
      <c r="N117" s="1518"/>
      <c r="O117" s="1518"/>
      <c r="P117" s="1518"/>
      <c r="Q117" s="1518"/>
      <c r="R117" s="1518"/>
      <c r="S117" s="1518"/>
      <c r="T117" s="1518"/>
      <c r="U117" s="1518"/>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9Ay9xAtqCJJGk3pdNit0vG8gWU16P9xptqCpLMU6Pxtona2P6QZGQFw/m7K8X31qTJ2uXLmlEQX95c0JyA9UYA==" saltValue="QUIhTTWPYP3RBSe+lEiU8Q==" spinCount="100000" sheet="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8"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1681"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1682" r:id="rId5" name="Check Box 2">
              <controlPr defaultSize="0" autoFill="0" autoLine="0" autoPict="0">
                <anchor moveWithCells="1">
                  <from>
                    <xdr:col>11</xdr:col>
                    <xdr:colOff>69850</xdr:colOff>
                    <xdr:row>35</xdr:row>
                    <xdr:rowOff>0</xdr:rowOff>
                  </from>
                  <to>
                    <xdr:col>12</xdr:col>
                    <xdr:colOff>3175</xdr:colOff>
                    <xdr:row>36</xdr:row>
                    <xdr:rowOff>12700</xdr:rowOff>
                  </to>
                </anchor>
              </controlPr>
            </control>
          </mc:Choice>
        </mc:AlternateContent>
        <mc:AlternateContent xmlns:mc="http://schemas.openxmlformats.org/markup-compatibility/2006">
          <mc:Choice Requires="x14">
            <control shapeId="71683"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1684"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1685"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1686"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1687"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1688"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1689"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1690" r:id="rId13" name="Check Box 10">
              <controlPr defaultSize="0" autoFill="0" autoLine="0" autoPict="0">
                <anchor moveWithCells="1">
                  <from>
                    <xdr:col>16</xdr:col>
                    <xdr:colOff>139700</xdr:colOff>
                    <xdr:row>88</xdr:row>
                    <xdr:rowOff>0</xdr:rowOff>
                  </from>
                  <to>
                    <xdr:col>17</xdr:col>
                    <xdr:colOff>3175</xdr:colOff>
                    <xdr:row>89</xdr:row>
                    <xdr:rowOff>25400</xdr:rowOff>
                  </to>
                </anchor>
              </controlPr>
            </control>
          </mc:Choice>
        </mc:AlternateContent>
        <mc:AlternateContent xmlns:mc="http://schemas.openxmlformats.org/markup-compatibility/2006">
          <mc:Choice Requires="x14">
            <control shapeId="71691"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1692"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1693"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1694"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1695"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1696"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1697"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1698"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1699"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8">
    <tabColor rgb="FFFF0000"/>
  </sheetPr>
  <dimension ref="A1:BA67"/>
  <sheetViews>
    <sheetView showGridLines="0" showZeros="0" view="pageLayout" topLeftCell="A7" zoomScale="85" zoomScaleNormal="100" zoomScaleSheetLayoutView="80" zoomScalePageLayoutView="85" workbookViewId="0">
      <selection activeCell="A23" sqref="A23"/>
    </sheetView>
  </sheetViews>
  <sheetFormatPr defaultColWidth="9.140625" defaultRowHeight="14.45"/>
  <cols>
    <col min="1" max="1" width="2.140625" customWidth="1"/>
    <col min="2" max="2" width="11.140625" customWidth="1"/>
    <col min="3" max="3" width="20.140625" customWidth="1"/>
    <col min="4" max="4" width="13.140625" style="103" customWidth="1"/>
    <col min="5" max="5" width="14" customWidth="1"/>
    <col min="6" max="6" width="22.5703125" customWidth="1"/>
    <col min="7" max="7" width="3.140625" customWidth="1"/>
    <col min="8" max="8" width="11.140625" customWidth="1"/>
    <col min="9" max="9" width="14.5703125" customWidth="1"/>
    <col min="10" max="10" width="0.85546875" customWidth="1"/>
    <col min="11" max="11" width="0.42578125" customWidth="1"/>
    <col min="13" max="13" width="18.42578125" customWidth="1"/>
    <col min="14" max="14" width="16.140625" style="104" customWidth="1"/>
    <col min="15" max="15" width="8" customWidth="1"/>
    <col min="16" max="16" width="15.42578125" customWidth="1"/>
    <col min="17" max="17" width="16.140625" customWidth="1"/>
    <col min="18" max="18" width="4.85546875" customWidth="1"/>
    <col min="19" max="19" width="22.5703125" customWidth="1"/>
  </cols>
  <sheetData>
    <row r="1" spans="1:53" s="119" customFormat="1" ht="12.95">
      <c r="A1" s="1020"/>
      <c r="B1" s="84" t="s">
        <v>1059</v>
      </c>
      <c r="C1" s="1022">
        <f>FORM!I20</f>
        <v>45901</v>
      </c>
      <c r="D1" s="1023"/>
      <c r="F1" s="1023"/>
      <c r="G1" s="1023"/>
      <c r="H1" s="134" t="s">
        <v>1173</v>
      </c>
      <c r="I1" s="1290" t="s">
        <v>1061</v>
      </c>
      <c r="J1" s="1021"/>
      <c r="K1" s="1020"/>
      <c r="L1" s="160" t="s">
        <v>1059</v>
      </c>
      <c r="M1" s="1022">
        <f>C1</f>
        <v>45901</v>
      </c>
      <c r="N1" s="1023"/>
      <c r="O1" s="1020"/>
      <c r="Q1" s="160" t="s">
        <v>1173</v>
      </c>
      <c r="R1" s="1842" t="s">
        <v>1063</v>
      </c>
      <c r="S1" s="1842"/>
      <c r="T1" s="1020"/>
    </row>
    <row r="2" spans="1:53" s="1" customFormat="1" ht="12.6">
      <c r="A2" s="86"/>
      <c r="B2" s="86"/>
      <c r="C2" s="87"/>
      <c r="D2" s="87"/>
      <c r="E2" s="86"/>
      <c r="F2" s="86"/>
      <c r="G2" s="88"/>
      <c r="H2" s="88"/>
      <c r="I2" s="88"/>
      <c r="J2" s="92"/>
      <c r="K2" s="88"/>
      <c r="L2" s="86"/>
      <c r="M2" s="87"/>
      <c r="N2" s="87"/>
      <c r="O2" s="86"/>
      <c r="P2" s="86"/>
      <c r="Q2" s="86"/>
      <c r="R2" s="1596"/>
      <c r="S2" s="1596"/>
      <c r="T2" s="86"/>
    </row>
    <row r="3" spans="1:53" s="111" customFormat="1" ht="12.75" customHeight="1">
      <c r="A3" s="88"/>
      <c r="B3" s="1447" t="s">
        <v>1268</v>
      </c>
      <c r="C3" s="1447"/>
      <c r="D3" s="1447"/>
      <c r="E3" s="1447"/>
      <c r="F3" s="1447"/>
      <c r="G3" s="1447"/>
      <c r="H3" s="1447"/>
      <c r="I3" s="1447"/>
      <c r="J3" s="137"/>
      <c r="K3" s="138"/>
      <c r="L3" s="1447" t="s">
        <v>1065</v>
      </c>
      <c r="M3" s="1447"/>
      <c r="N3" s="1447"/>
      <c r="O3" s="1447"/>
      <c r="P3" s="1447"/>
      <c r="Q3" s="1447"/>
      <c r="R3" s="1447"/>
      <c r="S3" s="1447"/>
      <c r="T3" s="86"/>
    </row>
    <row r="4" spans="1:53" s="111" customFormat="1" ht="12.75" customHeight="1">
      <c r="A4" s="88"/>
      <c r="B4" s="1447"/>
      <c r="C4" s="1447"/>
      <c r="D4" s="1447"/>
      <c r="E4" s="1447"/>
      <c r="F4" s="1447"/>
      <c r="G4" s="1447"/>
      <c r="H4" s="1447"/>
      <c r="I4" s="1447"/>
      <c r="J4" s="137"/>
      <c r="K4" s="138"/>
      <c r="L4" s="1447"/>
      <c r="M4" s="1447"/>
      <c r="N4" s="1447"/>
      <c r="O4" s="1447"/>
      <c r="P4" s="1447"/>
      <c r="Q4" s="1447"/>
      <c r="R4" s="1447"/>
      <c r="S4" s="1447"/>
      <c r="T4" s="86"/>
    </row>
    <row r="5" spans="1:53" s="111" customFormat="1" ht="12.75" customHeight="1">
      <c r="A5" s="88"/>
      <c r="B5" s="139"/>
      <c r="C5" s="139"/>
      <c r="D5" s="140"/>
      <c r="E5" s="139"/>
      <c r="F5" s="139"/>
      <c r="G5" s="139"/>
      <c r="H5" s="139"/>
      <c r="I5" s="139"/>
      <c r="J5" s="139"/>
      <c r="K5" s="139"/>
      <c r="L5" s="93"/>
      <c r="M5" s="94"/>
      <c r="N5" s="96"/>
      <c r="O5" s="94"/>
      <c r="P5" s="94"/>
      <c r="Q5" s="94"/>
      <c r="R5" s="94"/>
      <c r="S5" s="96"/>
      <c r="T5" s="86"/>
    </row>
    <row r="6" spans="1:53" s="458" customFormat="1" ht="12.6">
      <c r="A6" s="1024"/>
      <c r="B6" s="225" t="s">
        <v>1066</v>
      </c>
      <c r="C6" s="226"/>
      <c r="D6" s="1027" t="s">
        <v>1015</v>
      </c>
      <c r="E6" s="1764" t="str">
        <f>FORM!I26</f>
        <v>buyer</v>
      </c>
      <c r="F6" s="1764"/>
      <c r="G6" s="1764"/>
      <c r="H6" s="1764"/>
      <c r="I6" s="1764"/>
      <c r="J6" s="100"/>
      <c r="K6" s="142"/>
      <c r="L6" s="225" t="s">
        <v>1066</v>
      </c>
      <c r="M6" s="228"/>
      <c r="N6" s="1027" t="s">
        <v>1015</v>
      </c>
      <c r="O6" s="1521" t="str">
        <f t="shared" ref="O6:O13" si="0">E6</f>
        <v>buyer</v>
      </c>
      <c r="P6" s="1521"/>
      <c r="Q6" s="1521"/>
      <c r="R6" s="1521"/>
      <c r="S6" s="1521"/>
      <c r="T6" s="1020"/>
      <c r="AM6" s="459"/>
      <c r="AZ6" s="460"/>
      <c r="BA6" s="461"/>
    </row>
    <row r="7" spans="1:53" s="458" customFormat="1" ht="12.6">
      <c r="A7" s="1024"/>
      <c r="B7" s="144" t="s">
        <v>1014</v>
      </c>
      <c r="C7" s="227"/>
      <c r="D7" s="1027" t="s">
        <v>1015</v>
      </c>
      <c r="E7" s="1766" t="str">
        <f>FORM!I11</f>
        <v>The Southprime Flats</v>
      </c>
      <c r="F7" s="1767"/>
      <c r="G7" s="1069" t="str">
        <f>FORM!I14</f>
        <v>B3</v>
      </c>
      <c r="H7" s="1069"/>
      <c r="I7" s="1091"/>
      <c r="J7" s="100"/>
      <c r="K7" s="142"/>
      <c r="L7" s="144" t="s">
        <v>1014</v>
      </c>
      <c r="M7" s="148"/>
      <c r="N7" s="1027" t="s">
        <v>1015</v>
      </c>
      <c r="O7" s="1521" t="str">
        <f t="shared" si="0"/>
        <v>The Southprime Flats</v>
      </c>
      <c r="P7" s="1521"/>
      <c r="Q7" s="1521"/>
      <c r="R7" s="1521"/>
      <c r="S7" s="1521"/>
      <c r="T7" s="1020"/>
      <c r="AM7" s="459"/>
      <c r="AZ7" s="460"/>
      <c r="BA7" s="461"/>
    </row>
    <row r="8" spans="1:53" s="458" customFormat="1" ht="12.6">
      <c r="A8" s="1024"/>
      <c r="B8" s="144" t="s">
        <v>1068</v>
      </c>
      <c r="C8" s="227"/>
      <c r="D8" s="1027" t="s">
        <v>1015</v>
      </c>
      <c r="E8" s="1768" t="str">
        <f>'STANDARD COMP.'!E8</f>
        <v>E-11K</v>
      </c>
      <c r="F8" s="1768"/>
      <c r="G8" s="1768"/>
      <c r="H8" s="1768"/>
      <c r="I8" s="1768"/>
      <c r="J8" s="100"/>
      <c r="K8" s="142"/>
      <c r="L8" s="144" t="s">
        <v>1068</v>
      </c>
      <c r="M8" s="148"/>
      <c r="N8" s="1027" t="s">
        <v>1015</v>
      </c>
      <c r="O8" s="1521" t="str">
        <f t="shared" si="0"/>
        <v>E-11K</v>
      </c>
      <c r="P8" s="1521"/>
      <c r="Q8" s="1521"/>
      <c r="R8" s="1521"/>
      <c r="S8" s="1521"/>
      <c r="T8" s="1020"/>
      <c r="AM8" s="459"/>
      <c r="AZ8" s="460"/>
      <c r="BA8" s="461"/>
    </row>
    <row r="9" spans="1:53" s="458" customFormat="1" ht="12.6" hidden="1">
      <c r="A9" s="1024"/>
      <c r="B9" s="144" t="s">
        <v>1070</v>
      </c>
      <c r="C9" s="227"/>
      <c r="D9" s="1027" t="s">
        <v>1015</v>
      </c>
      <c r="E9" s="1521" t="e">
        <f>FORM!#REF!</f>
        <v>#REF!</v>
      </c>
      <c r="F9" s="1521"/>
      <c r="G9" s="1521"/>
      <c r="H9" s="1521"/>
      <c r="I9" s="1521"/>
      <c r="J9" s="100"/>
      <c r="K9" s="142"/>
      <c r="L9" s="144" t="s">
        <v>1070</v>
      </c>
      <c r="M9" s="148"/>
      <c r="N9" s="1027" t="s">
        <v>1015</v>
      </c>
      <c r="O9" s="1521" t="e">
        <f t="shared" si="0"/>
        <v>#REF!</v>
      </c>
      <c r="P9" s="1521"/>
      <c r="Q9" s="1521"/>
      <c r="R9" s="1521"/>
      <c r="S9" s="1521"/>
      <c r="T9" s="1020"/>
      <c r="AM9" s="459"/>
      <c r="AZ9" s="460"/>
      <c r="BA9" s="461"/>
    </row>
    <row r="10" spans="1:53" s="458" customFormat="1" ht="12.6">
      <c r="A10" s="1024"/>
      <c r="B10" s="144" t="s">
        <v>1071</v>
      </c>
      <c r="C10" s="227"/>
      <c r="D10" s="1027" t="s">
        <v>1015</v>
      </c>
      <c r="E10" s="1521" t="str">
        <f>'STANDARD COMP.'!E10</f>
        <v>Studio</v>
      </c>
      <c r="F10" s="1521"/>
      <c r="G10" s="1521"/>
      <c r="H10" s="1521"/>
      <c r="I10" s="1521"/>
      <c r="J10" s="100"/>
      <c r="K10" s="142"/>
      <c r="L10" s="144" t="s">
        <v>1071</v>
      </c>
      <c r="M10" s="148"/>
      <c r="N10" s="1027" t="s">
        <v>1015</v>
      </c>
      <c r="O10" s="1521" t="str">
        <f t="shared" si="0"/>
        <v>Studio</v>
      </c>
      <c r="P10" s="1521"/>
      <c r="Q10" s="1521"/>
      <c r="R10" s="1521"/>
      <c r="S10" s="1521"/>
      <c r="T10" s="1020"/>
      <c r="AM10" s="459"/>
      <c r="AZ10" s="460"/>
      <c r="BA10" s="461"/>
    </row>
    <row r="11" spans="1:53" s="458" customFormat="1" ht="12.6">
      <c r="A11" s="1024"/>
      <c r="B11" s="144" t="s">
        <v>1072</v>
      </c>
      <c r="C11" s="227"/>
      <c r="D11" s="1027" t="s">
        <v>1015</v>
      </c>
      <c r="E11" s="1709">
        <f>'STANDARD COMP.'!E11:F11</f>
        <v>22</v>
      </c>
      <c r="F11" s="1672"/>
      <c r="G11" s="1711" t="s">
        <v>1073</v>
      </c>
      <c r="H11" s="1711"/>
      <c r="I11" s="1712"/>
      <c r="J11" s="100"/>
      <c r="K11" s="142"/>
      <c r="L11" s="144" t="s">
        <v>1072</v>
      </c>
      <c r="M11" s="148"/>
      <c r="N11" s="1027" t="s">
        <v>1015</v>
      </c>
      <c r="O11" s="1709">
        <f t="shared" si="0"/>
        <v>22</v>
      </c>
      <c r="P11" s="1710"/>
      <c r="Q11" s="1711" t="s">
        <v>1073</v>
      </c>
      <c r="R11" s="1711"/>
      <c r="S11" s="1712"/>
      <c r="T11" s="1020"/>
      <c r="AM11" s="459"/>
      <c r="AZ11" s="460"/>
      <c r="BA11" s="461"/>
    </row>
    <row r="12" spans="1:53" s="458" customFormat="1" ht="12.6">
      <c r="A12" s="1024"/>
      <c r="B12" s="148" t="s">
        <v>1074</v>
      </c>
      <c r="C12" s="227"/>
      <c r="D12" s="1027" t="s">
        <v>1015</v>
      </c>
      <c r="E12" s="1713">
        <f>'STANDARD COMP.'!E12:F12</f>
        <v>0</v>
      </c>
      <c r="F12" s="1714"/>
      <c r="G12" s="1711" t="s">
        <v>1073</v>
      </c>
      <c r="H12" s="1711"/>
      <c r="I12" s="1712"/>
      <c r="J12" s="1024"/>
      <c r="K12" s="142"/>
      <c r="L12" s="148" t="s">
        <v>1074</v>
      </c>
      <c r="M12" s="148"/>
      <c r="N12" s="1027" t="s">
        <v>1015</v>
      </c>
      <c r="O12" s="1713">
        <f t="shared" si="0"/>
        <v>0</v>
      </c>
      <c r="P12" s="1714"/>
      <c r="Q12" s="1711" t="s">
        <v>1073</v>
      </c>
      <c r="R12" s="1711"/>
      <c r="S12" s="1712"/>
      <c r="T12" s="1020"/>
      <c r="AM12" s="459"/>
      <c r="AZ12" s="460"/>
      <c r="BA12" s="461"/>
    </row>
    <row r="13" spans="1:53" s="458" customFormat="1" ht="12.6">
      <c r="A13" s="1024"/>
      <c r="B13" s="238" t="s">
        <v>1075</v>
      </c>
      <c r="C13" s="101"/>
      <c r="D13" s="1027" t="s">
        <v>1015</v>
      </c>
      <c r="E13" s="1713">
        <f>'STANDARD COMP.'!E13:F13</f>
        <v>22</v>
      </c>
      <c r="F13" s="1714"/>
      <c r="G13" s="1711" t="s">
        <v>1073</v>
      </c>
      <c r="H13" s="1711"/>
      <c r="I13" s="1712"/>
      <c r="J13" s="1024" t="s">
        <v>60</v>
      </c>
      <c r="K13" s="142"/>
      <c r="L13" s="238" t="s">
        <v>1075</v>
      </c>
      <c r="M13" s="126"/>
      <c r="N13" s="1027" t="s">
        <v>1015</v>
      </c>
      <c r="O13" s="1713">
        <f t="shared" si="0"/>
        <v>22</v>
      </c>
      <c r="P13" s="1714"/>
      <c r="Q13" s="1711" t="s">
        <v>1073</v>
      </c>
      <c r="R13" s="1711"/>
      <c r="S13" s="1712"/>
      <c r="T13" s="1020"/>
      <c r="AM13" s="459"/>
      <c r="AZ13" s="460"/>
      <c r="BA13" s="461"/>
    </row>
    <row r="14" spans="1:53" s="119" customFormat="1" ht="12.95">
      <c r="A14" s="1024"/>
      <c r="B14" s="1024"/>
      <c r="C14" s="1024"/>
      <c r="D14" s="1027"/>
      <c r="E14" s="1024"/>
      <c r="F14" s="1024"/>
      <c r="G14" s="1024"/>
      <c r="H14" s="1024"/>
      <c r="I14" s="1024"/>
      <c r="J14" s="1024"/>
      <c r="K14" s="1024"/>
      <c r="L14" s="1024"/>
      <c r="M14" s="1024"/>
      <c r="N14" s="1033"/>
      <c r="O14" s="1024"/>
      <c r="P14" s="1024"/>
      <c r="Q14" s="1024"/>
      <c r="R14" s="1024"/>
      <c r="S14" s="1024"/>
      <c r="T14" s="1020"/>
    </row>
    <row r="15" spans="1:53" s="119" customFormat="1" ht="12.95">
      <c r="A15" s="1024"/>
      <c r="B15" s="141" t="s">
        <v>1078</v>
      </c>
      <c r="C15" s="226"/>
      <c r="D15" s="142" t="s">
        <v>1015</v>
      </c>
      <c r="E15" s="599">
        <f>'STANDARD COMP.'!E28</f>
        <v>29</v>
      </c>
      <c r="F15" s="1610">
        <f>'STANDARD COMP.'!F15</f>
        <v>4123028.1810342241</v>
      </c>
      <c r="G15" s="1610"/>
      <c r="H15" s="1610"/>
      <c r="I15" s="1610"/>
      <c r="J15" s="100"/>
      <c r="K15" s="100"/>
      <c r="L15" s="1402" t="s">
        <v>1079</v>
      </c>
      <c r="M15" s="1402"/>
      <c r="N15" s="1416" t="s">
        <v>989</v>
      </c>
      <c r="O15" s="1402" t="s">
        <v>992</v>
      </c>
      <c r="P15" s="1402"/>
      <c r="Q15" s="1417" t="s">
        <v>206</v>
      </c>
      <c r="R15" s="1588"/>
      <c r="S15" s="1418"/>
      <c r="T15" s="1020"/>
    </row>
    <row r="16" spans="1:53" s="121" customFormat="1" ht="12.95">
      <c r="A16" s="1024"/>
      <c r="B16" s="144" t="s">
        <v>1264</v>
      </c>
      <c r="C16" s="148"/>
      <c r="D16" s="1027" t="s">
        <v>1015</v>
      </c>
      <c r="E16" s="411">
        <f>IF(E15&gt;11,5%,IF(E15&gt;5,2.5%,))</f>
        <v>0.05</v>
      </c>
      <c r="F16" s="1611">
        <f>F15*E16</f>
        <v>206151.40905171121</v>
      </c>
      <c r="G16" s="1611"/>
      <c r="H16" s="1611"/>
      <c r="I16" s="1611"/>
      <c r="J16" s="1024"/>
      <c r="K16" s="1024"/>
      <c r="L16" s="1402"/>
      <c r="M16" s="1402"/>
      <c r="N16" s="1416"/>
      <c r="O16" s="1402"/>
      <c r="P16" s="1402"/>
      <c r="Q16" s="1419"/>
      <c r="R16" s="1589"/>
      <c r="S16" s="1420"/>
      <c r="T16" s="3"/>
    </row>
    <row r="17" spans="1:20" s="119" customFormat="1" ht="12.95">
      <c r="A17" s="100"/>
      <c r="B17" s="144" t="s">
        <v>1080</v>
      </c>
      <c r="C17" s="148"/>
      <c r="D17" s="1027" t="s">
        <v>1015</v>
      </c>
      <c r="E17" s="411"/>
      <c r="F17" s="1611">
        <f>'STANDARD COMP.'!F16:I16</f>
        <v>0</v>
      </c>
      <c r="G17" s="1611"/>
      <c r="H17" s="1611"/>
      <c r="I17" s="1611"/>
      <c r="J17" s="100"/>
      <c r="K17" s="100"/>
      <c r="L17" s="1521" t="s">
        <v>1031</v>
      </c>
      <c r="M17" s="1521"/>
      <c r="N17" s="1781">
        <f>C1</f>
        <v>45901</v>
      </c>
      <c r="O17" s="1403">
        <f>F26</f>
        <v>30000</v>
      </c>
      <c r="P17" s="1403"/>
      <c r="Q17" s="1835"/>
      <c r="R17" s="1836"/>
      <c r="S17" s="1837"/>
      <c r="T17" s="1020"/>
    </row>
    <row r="18" spans="1:20" s="121" customFormat="1" ht="12.95">
      <c r="A18" s="1024"/>
      <c r="B18" s="129" t="s">
        <v>1222</v>
      </c>
      <c r="C18" s="101"/>
      <c r="D18" s="142" t="s">
        <v>1015</v>
      </c>
      <c r="E18" s="467"/>
      <c r="F18" s="1610">
        <f>F15-(F16+F17)</f>
        <v>3916876.7719825129</v>
      </c>
      <c r="G18" s="1610"/>
      <c r="H18" s="1610"/>
      <c r="I18" s="1610"/>
      <c r="J18" s="1024"/>
      <c r="K18" s="1024"/>
      <c r="L18" s="1521" t="s">
        <v>1265</v>
      </c>
      <c r="M18" s="1521"/>
      <c r="N18" s="1781">
        <f>N17+60</f>
        <v>45961</v>
      </c>
      <c r="O18" s="1403">
        <f>F27</f>
        <v>4736129.0981979817</v>
      </c>
      <c r="P18" s="1403"/>
      <c r="Q18" s="1835"/>
      <c r="R18" s="1836"/>
      <c r="S18" s="1837"/>
      <c r="T18" s="3"/>
    </row>
    <row r="19" spans="1:20" s="119" customFormat="1">
      <c r="A19" s="1024"/>
      <c r="B19" s="147"/>
      <c r="C19" s="1024"/>
      <c r="D19" s="1027"/>
      <c r="E19" s="127">
        <v>70000</v>
      </c>
      <c r="F19" s="468">
        <f>E20*F18</f>
        <v>470025.21263790154</v>
      </c>
      <c r="G19" s="1721"/>
      <c r="H19" s="1721"/>
      <c r="I19" s="1024"/>
      <c r="J19" s="1024"/>
      <c r="K19" s="1024"/>
      <c r="L19"/>
      <c r="M19"/>
      <c r="N19"/>
      <c r="O19"/>
      <c r="P19"/>
      <c r="Q19"/>
      <c r="R19"/>
      <c r="S19"/>
      <c r="T19" s="1020"/>
    </row>
    <row r="20" spans="1:20" s="119" customFormat="1" ht="12.95">
      <c r="A20" s="1024"/>
      <c r="B20" s="148" t="s">
        <v>1087</v>
      </c>
      <c r="C20" s="148"/>
      <c r="D20" s="1027" t="s">
        <v>1015</v>
      </c>
      <c r="E20" s="1782">
        <v>0.12</v>
      </c>
      <c r="F20" s="1532">
        <f>IF(F18&lt;='INTERNAL PRICELIST'!T3,"",F18*E20)</f>
        <v>470025.21263790154</v>
      </c>
      <c r="G20" s="1532"/>
      <c r="H20" s="1532"/>
      <c r="I20" s="1532"/>
      <c r="J20" s="1024"/>
      <c r="K20" s="1024"/>
      <c r="L20" s="142"/>
      <c r="M20" s="142"/>
      <c r="N20" s="167"/>
      <c r="O20" s="427"/>
      <c r="P20" s="427"/>
      <c r="Q20" s="466"/>
      <c r="R20" s="100"/>
      <c r="S20" s="100"/>
      <c r="T20" s="1020"/>
    </row>
    <row r="21" spans="1:20" s="119" customFormat="1" ht="12.95">
      <c r="A21" s="1024"/>
      <c r="B21" s="238" t="s">
        <v>1090</v>
      </c>
      <c r="C21" s="126"/>
      <c r="D21" s="1027" t="s">
        <v>1015</v>
      </c>
      <c r="E21" s="469">
        <v>7.4999999999999997E-2</v>
      </c>
      <c r="F21" s="1532">
        <f>(F15*E21)+E19</f>
        <v>379227.11357756681</v>
      </c>
      <c r="G21" s="1532"/>
      <c r="H21" s="1532"/>
      <c r="I21" s="1532"/>
      <c r="J21" s="1024"/>
      <c r="K21" s="1024"/>
      <c r="L21" s="142"/>
      <c r="M21" s="142"/>
      <c r="N21" s="167"/>
      <c r="O21" s="427"/>
      <c r="P21" s="427"/>
      <c r="Q21" s="466"/>
      <c r="R21" s="100"/>
      <c r="S21" s="100"/>
      <c r="T21" s="1020"/>
    </row>
    <row r="22" spans="1:20" s="119" customFormat="1" ht="12.95">
      <c r="A22" s="100"/>
      <c r="B22" s="147"/>
      <c r="C22" s="1024"/>
      <c r="D22" s="1027"/>
      <c r="E22" s="1027"/>
      <c r="F22" s="1721"/>
      <c r="G22" s="1721"/>
      <c r="H22" s="1721"/>
      <c r="I22" s="1024"/>
      <c r="J22" s="1024"/>
      <c r="K22" s="1024"/>
      <c r="L22" s="142"/>
      <c r="M22" s="142"/>
      <c r="N22" s="167"/>
      <c r="O22" s="427"/>
      <c r="P22" s="427"/>
      <c r="Q22" s="466"/>
      <c r="R22" s="100"/>
      <c r="S22" s="100"/>
      <c r="T22" s="1020"/>
    </row>
    <row r="23" spans="1:20" s="119" customFormat="1" ht="12.95">
      <c r="A23" s="1024"/>
      <c r="B23" s="129" t="s">
        <v>1096</v>
      </c>
      <c r="C23" s="101"/>
      <c r="D23" s="142" t="s">
        <v>1015</v>
      </c>
      <c r="E23" s="453"/>
      <c r="F23" s="1570">
        <f>SUM(F21,F20,F18)</f>
        <v>4766129.0981979817</v>
      </c>
      <c r="G23" s="1570"/>
      <c r="H23" s="1570"/>
      <c r="I23" s="1570"/>
      <c r="J23" s="100"/>
      <c r="K23" s="100"/>
      <c r="L23" s="156"/>
      <c r="M23" s="1024"/>
      <c r="N23" s="1033"/>
      <c r="O23" s="1024"/>
      <c r="P23" s="1024"/>
      <c r="Q23" s="1024"/>
      <c r="R23" s="1024"/>
      <c r="S23" s="1024"/>
      <c r="T23" s="1020"/>
    </row>
    <row r="24" spans="1:20" s="121" customFormat="1" ht="12.95">
      <c r="A24" s="1024"/>
      <c r="B24" s="147"/>
      <c r="C24" s="1024"/>
      <c r="D24" s="1027"/>
      <c r="E24" s="1027"/>
      <c r="F24" s="1721"/>
      <c r="G24" s="1721"/>
      <c r="H24" s="1721"/>
      <c r="I24" s="1024"/>
      <c r="J24" s="1024"/>
      <c r="K24" s="1024"/>
      <c r="L24" s="156"/>
      <c r="M24" s="1024"/>
      <c r="N24" s="1033"/>
      <c r="O24" s="1024"/>
      <c r="P24" s="1024"/>
      <c r="Q24" s="1024"/>
      <c r="R24" s="1024"/>
      <c r="S24" s="1024"/>
      <c r="T24" s="3"/>
    </row>
    <row r="25" spans="1:20" s="119" customFormat="1" ht="12.95">
      <c r="A25" s="100"/>
      <c r="B25" s="1585" t="s">
        <v>1265</v>
      </c>
      <c r="C25" s="1585"/>
      <c r="D25" s="1027" t="s">
        <v>1015</v>
      </c>
      <c r="E25" s="1843">
        <v>1</v>
      </c>
      <c r="F25" s="1570">
        <f>E25*F23</f>
        <v>4766129.0981979817</v>
      </c>
      <c r="G25" s="1570"/>
      <c r="H25" s="1570"/>
      <c r="I25" s="1570"/>
      <c r="J25" s="1024"/>
      <c r="K25" s="1024"/>
      <c r="L25" s="100" t="s">
        <v>1168</v>
      </c>
      <c r="M25" s="100"/>
      <c r="N25" s="142"/>
      <c r="O25" s="100"/>
      <c r="Q25" s="100" t="s">
        <v>1169</v>
      </c>
      <c r="R25" s="1024"/>
      <c r="S25" s="1024"/>
      <c r="T25" s="1020"/>
    </row>
    <row r="26" spans="1:20" s="121" customFormat="1" ht="12.95">
      <c r="A26" s="1024"/>
      <c r="B26" s="1425" t="s">
        <v>1266</v>
      </c>
      <c r="C26" s="1425"/>
      <c r="D26" s="142" t="s">
        <v>1015</v>
      </c>
      <c r="E26" s="453"/>
      <c r="F26" s="1532">
        <f>'STANDARD COMP.'!F25</f>
        <v>30000</v>
      </c>
      <c r="G26" s="1532"/>
      <c r="H26" s="1532"/>
      <c r="I26" s="1532"/>
      <c r="J26" s="100"/>
      <c r="K26" s="100"/>
      <c r="L26" s="1024"/>
      <c r="M26" s="1024"/>
      <c r="N26" s="1027"/>
      <c r="O26" s="1024"/>
      <c r="P26" s="1024"/>
      <c r="Q26" s="1024"/>
      <c r="R26" s="1024"/>
      <c r="S26" s="1024"/>
      <c r="T26" s="3"/>
    </row>
    <row r="27" spans="1:20" s="121" customFormat="1" ht="12.95">
      <c r="A27" s="100"/>
      <c r="B27" s="1609" t="s">
        <v>1267</v>
      </c>
      <c r="C27" s="1609"/>
      <c r="D27" s="1027" t="s">
        <v>1015</v>
      </c>
      <c r="E27" s="1283"/>
      <c r="F27" s="1570">
        <f>(F25-F26)</f>
        <v>4736129.0981979817</v>
      </c>
      <c r="G27" s="1570"/>
      <c r="H27" s="1570"/>
      <c r="I27" s="1570"/>
      <c r="J27" s="100"/>
      <c r="K27" s="100"/>
      <c r="L27" s="1024"/>
      <c r="M27" s="1024"/>
      <c r="N27" s="1027"/>
      <c r="O27" s="1024"/>
      <c r="P27" s="1024"/>
      <c r="Q27" s="1024"/>
      <c r="R27" s="1024"/>
      <c r="S27" s="1024"/>
      <c r="T27" s="3"/>
    </row>
    <row r="28" spans="1:20" s="119" customFormat="1">
      <c r="A28" s="1024"/>
      <c r="B28"/>
      <c r="C28"/>
      <c r="D28"/>
      <c r="E28"/>
      <c r="F28"/>
      <c r="G28"/>
      <c r="H28"/>
      <c r="I28"/>
      <c r="J28" s="1024"/>
      <c r="K28" s="1024"/>
      <c r="L28" s="1413" t="str">
        <f>FORM!I28</f>
        <v xml:space="preserve">agent </v>
      </c>
      <c r="M28" s="1413"/>
      <c r="N28" s="1413"/>
      <c r="O28" s="100"/>
      <c r="P28" s="100"/>
      <c r="Q28" s="1413" t="str">
        <f>FORM!I26</f>
        <v>buyer</v>
      </c>
      <c r="R28" s="1413"/>
      <c r="S28" s="1413"/>
      <c r="T28" s="1020"/>
    </row>
    <row r="29" spans="1:20" s="119" customFormat="1" ht="12.95">
      <c r="A29" s="1024"/>
      <c r="B29" s="170"/>
      <c r="C29" s="1024"/>
      <c r="D29" s="1027"/>
      <c r="E29" s="1024"/>
      <c r="F29" s="1024"/>
      <c r="G29" s="1024"/>
      <c r="H29" s="1024"/>
      <c r="I29" s="1024"/>
      <c r="J29" s="1024"/>
      <c r="K29" s="1024"/>
      <c r="L29" s="1069" t="s">
        <v>1170</v>
      </c>
      <c r="M29" s="1841"/>
      <c r="N29" s="1674"/>
      <c r="O29" s="1024"/>
      <c r="P29" s="1024"/>
      <c r="Q29" s="1068" t="s">
        <v>1171</v>
      </c>
      <c r="R29" s="1841"/>
      <c r="S29" s="1674"/>
      <c r="T29" s="1020"/>
    </row>
    <row r="30" spans="1:20" s="121" customFormat="1" ht="12.95">
      <c r="A30" s="1024"/>
      <c r="B30" s="161"/>
      <c r="C30" s="119"/>
      <c r="D30" s="162"/>
      <c r="E30" s="130"/>
      <c r="F30" s="119"/>
      <c r="G30" s="119"/>
      <c r="H30" s="1844"/>
      <c r="I30" s="1844"/>
      <c r="J30" s="100"/>
      <c r="K30" s="100"/>
      <c r="L30" s="1020"/>
      <c r="M30" s="1020"/>
      <c r="N30" s="1020"/>
      <c r="O30" s="1020"/>
      <c r="P30" s="1020"/>
      <c r="Q30" s="1020"/>
      <c r="R30" s="1020"/>
      <c r="S30" s="1020"/>
      <c r="T30" s="3"/>
    </row>
    <row r="31" spans="1:20" s="119" customFormat="1" ht="12.95">
      <c r="A31" s="1024"/>
      <c r="B31" s="101" t="s">
        <v>1146</v>
      </c>
      <c r="C31" s="163"/>
      <c r="D31" s="100"/>
      <c r="E31" s="100"/>
      <c r="F31" s="100"/>
      <c r="G31" s="100"/>
      <c r="H31" s="100"/>
      <c r="I31" s="164"/>
      <c r="J31" s="1024"/>
      <c r="K31" s="1024"/>
      <c r="M31" s="454"/>
      <c r="N31" s="454"/>
      <c r="T31" s="1020"/>
    </row>
    <row r="32" spans="1:20" s="119" customFormat="1" ht="12.95">
      <c r="A32" s="1024"/>
      <c r="B32" s="100"/>
      <c r="C32" s="100"/>
      <c r="D32" s="100"/>
      <c r="E32" s="100"/>
      <c r="F32" s="100"/>
      <c r="G32" s="100"/>
      <c r="H32" s="100"/>
      <c r="I32" s="100"/>
      <c r="J32" s="1024"/>
      <c r="K32" s="1024"/>
      <c r="M32" s="454"/>
      <c r="N32" s="454"/>
      <c r="T32" s="1020"/>
    </row>
    <row r="33" spans="1:20" s="119" customFormat="1" ht="12.95">
      <c r="A33" s="1024"/>
      <c r="B33" s="1402" t="s">
        <v>1027</v>
      </c>
      <c r="C33" s="1402"/>
      <c r="D33" s="1402" t="s">
        <v>1028</v>
      </c>
      <c r="E33" s="1402"/>
      <c r="F33" s="1402"/>
      <c r="G33" s="1402" t="s">
        <v>1150</v>
      </c>
      <c r="H33" s="1402"/>
      <c r="I33" s="1402"/>
      <c r="J33" s="1024"/>
      <c r="K33" s="1024"/>
      <c r="M33" s="454"/>
      <c r="N33" s="454"/>
      <c r="T33" s="1020"/>
    </row>
    <row r="34" spans="1:20" s="119" customFormat="1" ht="12.95">
      <c r="A34" s="1024"/>
      <c r="B34" s="1601">
        <f>'SPOT CASH_30 DAYS'!B35</f>
        <v>0</v>
      </c>
      <c r="C34" s="1603"/>
      <c r="D34" s="1601">
        <f>'SPOT CASH_30 DAYS'!D35</f>
        <v>0</v>
      </c>
      <c r="E34" s="1602"/>
      <c r="F34" s="1603"/>
      <c r="G34" s="1597">
        <f>'SPOT CASH_30 DAYS'!H35</f>
        <v>0</v>
      </c>
      <c r="H34" s="1607"/>
      <c r="I34" s="1598"/>
      <c r="J34" s="1024"/>
      <c r="K34" s="1024"/>
      <c r="M34" s="454"/>
      <c r="N34" s="454"/>
      <c r="T34" s="1020"/>
    </row>
    <row r="35" spans="1:20" s="119" customFormat="1" ht="12.95">
      <c r="A35" s="1024"/>
      <c r="B35" s="1604"/>
      <c r="C35" s="1606"/>
      <c r="D35" s="1604"/>
      <c r="E35" s="1605"/>
      <c r="F35" s="1606"/>
      <c r="G35" s="1599"/>
      <c r="H35" s="1608"/>
      <c r="I35" s="1600"/>
      <c r="J35" s="1024"/>
      <c r="K35" s="1024"/>
      <c r="M35" s="454"/>
      <c r="N35" s="454"/>
      <c r="T35" s="1020"/>
    </row>
    <row r="36" spans="1:20" s="119" customFormat="1" ht="12.95">
      <c r="A36" s="1024"/>
      <c r="B36" s="1601">
        <f>'SPOT CASH_30 DAYS'!B37</f>
        <v>0</v>
      </c>
      <c r="C36" s="1603"/>
      <c r="D36" s="1601">
        <f>'SPOT CASH_30 DAYS'!D37</f>
        <v>0</v>
      </c>
      <c r="E36" s="1602"/>
      <c r="F36" s="1603"/>
      <c r="G36" s="1597">
        <f>'SPOT CASH_30 DAYS'!H37</f>
        <v>0</v>
      </c>
      <c r="H36" s="1607"/>
      <c r="I36" s="1598"/>
      <c r="J36" s="1024"/>
      <c r="K36" s="1024"/>
      <c r="M36" s="454"/>
      <c r="N36" s="454"/>
      <c r="T36" s="1020"/>
    </row>
    <row r="37" spans="1:20" s="119" customFormat="1" ht="12.95">
      <c r="A37" s="1024"/>
      <c r="B37" s="1604"/>
      <c r="C37" s="1606"/>
      <c r="D37" s="1604"/>
      <c r="E37" s="1605"/>
      <c r="F37" s="1606"/>
      <c r="G37" s="1599"/>
      <c r="H37" s="1608"/>
      <c r="I37" s="1600"/>
      <c r="J37" s="1024"/>
      <c r="K37" s="1024"/>
      <c r="N37" s="454"/>
      <c r="T37" s="1020"/>
    </row>
    <row r="38" spans="1:20" s="119" customFormat="1" ht="16.5" customHeight="1">
      <c r="A38" s="1024"/>
      <c r="B38" s="1601">
        <f>'SPOT CASH_30 DAYS'!B39</f>
        <v>0</v>
      </c>
      <c r="C38" s="1603"/>
      <c r="D38" s="1601">
        <f>'SPOT CASH_30 DAYS'!D39</f>
        <v>0</v>
      </c>
      <c r="E38" s="1602"/>
      <c r="F38" s="1603"/>
      <c r="G38" s="1597">
        <f>'SPOT CASH_30 DAYS'!H39</f>
        <v>0</v>
      </c>
      <c r="H38" s="1607"/>
      <c r="I38" s="1598"/>
      <c r="J38" s="1024"/>
      <c r="K38" s="1024"/>
      <c r="N38" s="454"/>
      <c r="T38" s="1020"/>
    </row>
    <row r="39" spans="1:20" s="119" customFormat="1" ht="12.95">
      <c r="A39" s="1024"/>
      <c r="B39" s="1604"/>
      <c r="C39" s="1606"/>
      <c r="D39" s="1604"/>
      <c r="E39" s="1605"/>
      <c r="F39" s="1606"/>
      <c r="G39" s="1599"/>
      <c r="H39" s="1608"/>
      <c r="I39" s="1600"/>
      <c r="J39" s="1024"/>
      <c r="K39" s="1024"/>
      <c r="N39" s="454"/>
      <c r="T39" s="1020"/>
    </row>
    <row r="40" spans="1:20" s="119" customFormat="1" ht="16.5" customHeight="1">
      <c r="A40" s="1024"/>
      <c r="B40" s="1601">
        <f>'SPOT CASH_30 DAYS'!B41</f>
        <v>0</v>
      </c>
      <c r="C40" s="1603"/>
      <c r="D40" s="1601">
        <f>'SPOT CASH_30 DAYS'!D41</f>
        <v>0</v>
      </c>
      <c r="E40" s="1602"/>
      <c r="F40" s="1603"/>
      <c r="G40" s="1597">
        <f>'SPOT CASH_30 DAYS'!H41</f>
        <v>0</v>
      </c>
      <c r="H40" s="1607"/>
      <c r="I40" s="1598"/>
      <c r="J40" s="1024"/>
      <c r="K40" s="1024"/>
      <c r="N40" s="454"/>
      <c r="T40" s="1020"/>
    </row>
    <row r="41" spans="1:20" s="119" customFormat="1" ht="12.95">
      <c r="A41" s="1024"/>
      <c r="B41" s="1604"/>
      <c r="C41" s="1606"/>
      <c r="D41" s="1604"/>
      <c r="E41" s="1605"/>
      <c r="F41" s="1606"/>
      <c r="G41" s="1599"/>
      <c r="H41" s="1608"/>
      <c r="I41" s="1600"/>
      <c r="J41" s="1024"/>
      <c r="K41" s="1024"/>
      <c r="N41" s="454"/>
      <c r="T41" s="1020"/>
    </row>
    <row r="42" spans="1:20" s="119" customFormat="1" ht="12.75" customHeight="1">
      <c r="A42" s="1024"/>
      <c r="B42" s="1601">
        <f>'SPOT CASH_30 DAYS'!B43</f>
        <v>0</v>
      </c>
      <c r="C42" s="1603"/>
      <c r="D42" s="1601">
        <f>'SPOT CASH_30 DAYS'!D43</f>
        <v>0</v>
      </c>
      <c r="E42" s="1602"/>
      <c r="F42" s="1603"/>
      <c r="G42" s="1597">
        <f>'SPOT CASH_30 DAYS'!H43</f>
        <v>0</v>
      </c>
      <c r="H42" s="1607"/>
      <c r="I42" s="1598"/>
      <c r="J42" s="1024"/>
      <c r="K42" s="1024"/>
      <c r="N42" s="454"/>
      <c r="T42" s="1020"/>
    </row>
    <row r="43" spans="1:20" s="119" customFormat="1" ht="15" customHeight="1">
      <c r="A43" s="1024"/>
      <c r="B43" s="1604"/>
      <c r="C43" s="1606"/>
      <c r="D43" s="1604"/>
      <c r="E43" s="1605"/>
      <c r="F43" s="1606"/>
      <c r="G43" s="1599"/>
      <c r="H43" s="1608"/>
      <c r="I43" s="1600"/>
      <c r="J43" s="1024"/>
      <c r="K43" s="1024"/>
      <c r="N43" s="454"/>
      <c r="T43" s="1020"/>
    </row>
    <row r="44" spans="1:20" s="119" customFormat="1" ht="12.75" customHeight="1">
      <c r="A44" s="1024"/>
      <c r="B44" s="1601">
        <f>'SPOT CASH_30 DAYS'!B45</f>
        <v>0</v>
      </c>
      <c r="C44" s="1603"/>
      <c r="D44" s="1601">
        <f>'SPOT CASH_30 DAYS'!D45</f>
        <v>0</v>
      </c>
      <c r="E44" s="1602"/>
      <c r="F44" s="1603"/>
      <c r="G44" s="1597">
        <f>'SPOT CASH_30 DAYS'!H45</f>
        <v>0</v>
      </c>
      <c r="H44" s="1607"/>
      <c r="I44" s="1598"/>
      <c r="J44" s="100"/>
      <c r="K44" s="100"/>
      <c r="N44" s="454"/>
      <c r="T44" s="1020"/>
    </row>
    <row r="45" spans="1:20" s="119" customFormat="1" ht="12.75" customHeight="1">
      <c r="A45" s="1024"/>
      <c r="B45" s="1604"/>
      <c r="C45" s="1606"/>
      <c r="D45" s="1604"/>
      <c r="E45" s="1605"/>
      <c r="F45" s="1606"/>
      <c r="G45" s="1599"/>
      <c r="H45" s="1608"/>
      <c r="I45" s="1600"/>
      <c r="J45" s="100"/>
      <c r="K45" s="100"/>
      <c r="N45" s="454"/>
      <c r="T45" s="1020"/>
    </row>
    <row r="46" spans="1:20" s="119" customFormat="1" ht="12.75" customHeight="1">
      <c r="A46" s="1024"/>
      <c r="D46" s="162"/>
      <c r="J46" s="100"/>
      <c r="K46" s="100"/>
      <c r="N46" s="454"/>
      <c r="T46" s="1020"/>
    </row>
    <row r="47" spans="1:20" s="119" customFormat="1" ht="12.75" customHeight="1">
      <c r="A47" s="1024"/>
      <c r="B47" s="250"/>
      <c r="C47" s="250" t="s">
        <v>1165</v>
      </c>
      <c r="D47" s="1670"/>
      <c r="E47" s="1670"/>
      <c r="F47" s="1670"/>
      <c r="G47" s="100"/>
      <c r="H47" s="100"/>
      <c r="I47" s="100"/>
      <c r="J47" s="100"/>
      <c r="K47" s="100"/>
      <c r="N47" s="454"/>
      <c r="T47" s="1020"/>
    </row>
    <row r="48" spans="1:20" s="119" customFormat="1" ht="12.75" customHeight="1">
      <c r="A48" s="1024"/>
      <c r="B48" s="100"/>
      <c r="C48" s="100"/>
      <c r="D48" s="100"/>
      <c r="E48" s="100"/>
      <c r="F48" s="100"/>
      <c r="G48" s="100"/>
      <c r="H48" s="100"/>
      <c r="I48" s="100"/>
      <c r="J48" s="100"/>
      <c r="K48" s="100"/>
      <c r="N48" s="454"/>
      <c r="T48" s="1020"/>
    </row>
    <row r="49" spans="1:20" s="119" customFormat="1" ht="12.75" customHeight="1">
      <c r="A49" s="1024"/>
      <c r="D49" s="162"/>
      <c r="G49" s="100"/>
      <c r="H49" s="100"/>
      <c r="I49" s="100"/>
      <c r="J49" s="100"/>
      <c r="K49" s="100"/>
      <c r="N49" s="454"/>
      <c r="T49" s="1020"/>
    </row>
    <row r="50" spans="1:20" s="119" customFormat="1" ht="12.75" customHeight="1">
      <c r="A50" s="1024"/>
      <c r="B50" s="1024"/>
      <c r="C50" s="1024"/>
      <c r="D50" s="1027"/>
      <c r="E50" s="1024"/>
      <c r="F50" s="1024"/>
      <c r="G50" s="1024"/>
      <c r="H50" s="1024"/>
      <c r="I50" s="1024"/>
      <c r="J50" s="100"/>
      <c r="K50" s="100"/>
      <c r="N50" s="454"/>
      <c r="T50" s="1020"/>
    </row>
    <row r="51" spans="1:20" s="119" customFormat="1" ht="12.95">
      <c r="A51" s="1020"/>
      <c r="B51" s="100" t="s">
        <v>1168</v>
      </c>
      <c r="C51" s="100"/>
      <c r="D51" s="142"/>
      <c r="E51" s="100"/>
      <c r="F51" s="100" t="s">
        <v>1169</v>
      </c>
      <c r="G51" s="100"/>
      <c r="H51" s="1024"/>
      <c r="I51" s="1024"/>
      <c r="J51" s="1024"/>
      <c r="K51" s="100"/>
      <c r="N51" s="454"/>
      <c r="T51" s="1020"/>
    </row>
    <row r="52" spans="1:20" s="119" customFormat="1" ht="12.95">
      <c r="A52" s="1020"/>
      <c r="B52" s="1024"/>
      <c r="C52" s="1024"/>
      <c r="D52" s="1027"/>
      <c r="E52" s="1024"/>
      <c r="F52" s="1024"/>
      <c r="G52" s="1024"/>
      <c r="H52" s="1024"/>
      <c r="I52" s="1024"/>
      <c r="J52" s="1024"/>
      <c r="K52" s="100"/>
      <c r="N52" s="454"/>
      <c r="T52" s="1020"/>
    </row>
    <row r="53" spans="1:20" s="119" customFormat="1" ht="12.95">
      <c r="A53" s="1020"/>
      <c r="B53" s="1024"/>
      <c r="C53" s="1024"/>
      <c r="D53" s="1027"/>
      <c r="E53" s="1024"/>
      <c r="F53" s="1024"/>
      <c r="G53" s="1024"/>
      <c r="H53" s="1024"/>
      <c r="I53" s="1024"/>
      <c r="J53" s="1024"/>
      <c r="K53" s="100"/>
      <c r="N53" s="454"/>
      <c r="T53" s="1020"/>
    </row>
    <row r="54" spans="1:20" s="119" customFormat="1" ht="12.95">
      <c r="B54" s="1413" t="str">
        <f>FORM!I28</f>
        <v xml:space="preserve">agent </v>
      </c>
      <c r="C54" s="1413"/>
      <c r="D54" s="1413"/>
      <c r="E54" s="100"/>
      <c r="F54" s="100"/>
      <c r="G54" s="1413" t="str">
        <f>FORM!I26</f>
        <v>buyer</v>
      </c>
      <c r="H54" s="1413"/>
      <c r="I54" s="1413"/>
      <c r="J54" s="1024"/>
      <c r="K54" s="100"/>
      <c r="N54" s="454"/>
      <c r="T54" s="1020"/>
    </row>
    <row r="55" spans="1:20" s="119" customFormat="1" ht="12.95">
      <c r="A55" s="470">
        <f>F18*E20</f>
        <v>470025.21263790154</v>
      </c>
      <c r="B55" s="1069" t="s">
        <v>1170</v>
      </c>
      <c r="C55" s="1841"/>
      <c r="D55" s="1674"/>
      <c r="E55" s="1024"/>
      <c r="F55" s="1024"/>
      <c r="G55" s="1674" t="s">
        <v>1170</v>
      </c>
      <c r="H55" s="1674"/>
      <c r="I55" s="1674"/>
      <c r="J55" s="1024"/>
      <c r="K55" s="1020"/>
      <c r="N55" s="454"/>
      <c r="T55" s="1020"/>
    </row>
    <row r="56" spans="1:20">
      <c r="B56" s="98"/>
      <c r="C56" s="98"/>
      <c r="D56" s="171"/>
      <c r="E56" s="98"/>
      <c r="F56" s="98"/>
      <c r="G56" s="98"/>
      <c r="H56" s="98"/>
      <c r="I56" s="98"/>
      <c r="J56" s="102"/>
      <c r="K56" s="2"/>
      <c r="T56" s="2"/>
    </row>
    <row r="57" spans="1:20">
      <c r="A57" s="277">
        <f>F18*12%</f>
        <v>470025.21263790154</v>
      </c>
      <c r="B57" s="102"/>
      <c r="C57" s="102"/>
      <c r="D57" s="155"/>
      <c r="E57" s="102"/>
      <c r="F57" s="102"/>
      <c r="G57" s="102"/>
      <c r="H57" s="102"/>
      <c r="I57" s="102"/>
      <c r="J57" s="102"/>
      <c r="K57" s="2"/>
      <c r="T57" s="2"/>
    </row>
    <row r="58" spans="1:20">
      <c r="B58" s="102"/>
      <c r="C58" s="102"/>
      <c r="D58" s="155"/>
      <c r="E58" s="102"/>
      <c r="F58" s="102"/>
      <c r="G58" s="102"/>
      <c r="H58" s="102"/>
      <c r="I58" s="102"/>
      <c r="J58" s="102"/>
      <c r="K58" s="2"/>
      <c r="T58" s="2"/>
    </row>
    <row r="59" spans="1:20">
      <c r="B59" s="2"/>
      <c r="C59" s="2"/>
      <c r="D59" s="83"/>
      <c r="E59" s="2"/>
      <c r="F59" s="2"/>
      <c r="G59" s="2"/>
      <c r="H59" s="2"/>
      <c r="I59" s="2"/>
      <c r="J59" s="2"/>
      <c r="K59" s="2"/>
      <c r="T59" s="2"/>
    </row>
    <row r="60" spans="1:20">
      <c r="B60" s="2"/>
      <c r="C60" s="2"/>
      <c r="D60" s="83"/>
      <c r="E60" s="2"/>
      <c r="F60" s="2"/>
      <c r="G60" s="2"/>
      <c r="H60" s="2"/>
      <c r="I60" s="2"/>
      <c r="J60" s="2"/>
      <c r="K60" s="2"/>
      <c r="T60" s="2"/>
    </row>
    <row r="61" spans="1:20">
      <c r="B61" s="2"/>
      <c r="C61" s="2"/>
      <c r="D61" s="83"/>
      <c r="E61" s="2"/>
      <c r="F61" s="2"/>
      <c r="G61" s="2"/>
      <c r="H61" s="2"/>
      <c r="I61" s="2"/>
      <c r="J61" s="2"/>
      <c r="K61" s="2"/>
    </row>
    <row r="62" spans="1:20">
      <c r="K62" s="2"/>
    </row>
    <row r="63" spans="1:20">
      <c r="K63" s="2"/>
    </row>
    <row r="64" spans="1:20">
      <c r="K64" s="2"/>
    </row>
    <row r="65" spans="11:11">
      <c r="K65" s="2"/>
    </row>
    <row r="66" spans="11:11">
      <c r="K66" s="2"/>
    </row>
    <row r="67" spans="11:11">
      <c r="K67" s="2"/>
    </row>
  </sheetData>
  <sheetProtection sheet="1" formatCells="0" formatColumns="0" formatRows="0"/>
  <mergeCells count="80">
    <mergeCell ref="D44:F45"/>
    <mergeCell ref="B44:C45"/>
    <mergeCell ref="G55:I55"/>
    <mergeCell ref="D47:F47"/>
    <mergeCell ref="D40:F41"/>
    <mergeCell ref="G40:I41"/>
    <mergeCell ref="B40:C41"/>
    <mergeCell ref="B42:C43"/>
    <mergeCell ref="D42:F43"/>
    <mergeCell ref="G42:I43"/>
    <mergeCell ref="G44:I45"/>
    <mergeCell ref="C55:D55"/>
    <mergeCell ref="B54:D54"/>
    <mergeCell ref="G54:I54"/>
    <mergeCell ref="B36:C37"/>
    <mergeCell ref="D36:F37"/>
    <mergeCell ref="G36:I37"/>
    <mergeCell ref="B38:C39"/>
    <mergeCell ref="D38:F39"/>
    <mergeCell ref="G38:I39"/>
    <mergeCell ref="F21:I21"/>
    <mergeCell ref="F17:I17"/>
    <mergeCell ref="L18:M18"/>
    <mergeCell ref="F18:I18"/>
    <mergeCell ref="F20:I20"/>
    <mergeCell ref="E13:F13"/>
    <mergeCell ref="F15:I15"/>
    <mergeCell ref="F16:I16"/>
    <mergeCell ref="O15:P16"/>
    <mergeCell ref="E10:I10"/>
    <mergeCell ref="O10:S10"/>
    <mergeCell ref="E11:F11"/>
    <mergeCell ref="E12:F12"/>
    <mergeCell ref="G12:I12"/>
    <mergeCell ref="O12:P12"/>
    <mergeCell ref="Q12:S12"/>
    <mergeCell ref="G13:I13"/>
    <mergeCell ref="G11:I11"/>
    <mergeCell ref="O13:P13"/>
    <mergeCell ref="Q13:S13"/>
    <mergeCell ref="E6:I6"/>
    <mergeCell ref="O6:S6"/>
    <mergeCell ref="B3:I4"/>
    <mergeCell ref="O11:P11"/>
    <mergeCell ref="Q11:S11"/>
    <mergeCell ref="O7:S7"/>
    <mergeCell ref="E8:I8"/>
    <mergeCell ref="O8:S8"/>
    <mergeCell ref="E9:I9"/>
    <mergeCell ref="O9:S9"/>
    <mergeCell ref="E7:F7"/>
    <mergeCell ref="M29:N29"/>
    <mergeCell ref="R29:S29"/>
    <mergeCell ref="R1:S1"/>
    <mergeCell ref="R2:S2"/>
    <mergeCell ref="L3:S4"/>
    <mergeCell ref="L15:M16"/>
    <mergeCell ref="N15:N16"/>
    <mergeCell ref="Q15:S16"/>
    <mergeCell ref="O17:P17"/>
    <mergeCell ref="O18:P18"/>
    <mergeCell ref="L17:M17"/>
    <mergeCell ref="Q17:S17"/>
    <mergeCell ref="Q18:S18"/>
    <mergeCell ref="F23:I23"/>
    <mergeCell ref="L28:N28"/>
    <mergeCell ref="Q28:S28"/>
    <mergeCell ref="F25:I25"/>
    <mergeCell ref="F26:I26"/>
    <mergeCell ref="F27:I27"/>
    <mergeCell ref="B34:C35"/>
    <mergeCell ref="D34:F35"/>
    <mergeCell ref="G34:I35"/>
    <mergeCell ref="B25:C25"/>
    <mergeCell ref="B26:C26"/>
    <mergeCell ref="B27:C27"/>
    <mergeCell ref="G33:I33"/>
    <mergeCell ref="D33:F33"/>
    <mergeCell ref="H30:I30"/>
    <mergeCell ref="B33:C33"/>
  </mergeCells>
  <pageMargins left="0.59055118110236227" right="0.59055118110236227" top="0.87979166666666664" bottom="0.74803149606299213" header="0.31496062992125984" footer="0.31496062992125984"/>
  <pageSetup paperSize="14" scale="82" orientation="portrait" r:id="rId1"/>
  <headerFooter>
    <oddHeader xml:space="preserve">&amp;R&amp;"Century Gothic,Bold"&amp;18ANNEX A: 
SAMPLE PACKAGE COMPUTATION
</oddHeader>
  </headerFooter>
  <rowBreaks count="1" manualBreakCount="1">
    <brk id="60" max="18" man="1"/>
  </rowBreaks>
  <colBreaks count="1" manualBreakCount="1">
    <brk id="9" max="55" man="1"/>
  </col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3"/>
  <dimension ref="A1:BA67"/>
  <sheetViews>
    <sheetView showGridLines="0" showZeros="0" showWhiteSpace="0" view="pageLayout" topLeftCell="B13" zoomScale="85" zoomScaleNormal="100" zoomScaleSheetLayoutView="80" zoomScalePageLayoutView="85" workbookViewId="0">
      <selection activeCell="F20" sqref="F20:I20"/>
    </sheetView>
  </sheetViews>
  <sheetFormatPr defaultColWidth="9.140625" defaultRowHeight="14.45"/>
  <cols>
    <col min="1" max="1" width="2.140625" customWidth="1"/>
    <col min="2" max="2" width="11.140625" customWidth="1"/>
    <col min="3" max="3" width="23.140625" customWidth="1"/>
    <col min="4" max="4" width="13.140625" style="103" customWidth="1"/>
    <col min="5" max="5" width="14" customWidth="1"/>
    <col min="6" max="6" width="22.5703125" customWidth="1"/>
    <col min="7" max="7" width="3.140625" customWidth="1"/>
    <col min="8" max="8" width="11.140625" customWidth="1"/>
    <col min="9" max="9" width="14.5703125" customWidth="1"/>
    <col min="10" max="10" width="0.85546875" customWidth="1"/>
    <col min="11" max="11" width="0.42578125" customWidth="1"/>
    <col min="13" max="13" width="18.42578125" customWidth="1"/>
    <col min="14" max="14" width="16.140625" style="104" customWidth="1"/>
    <col min="15" max="15" width="8" customWidth="1"/>
    <col min="16" max="16" width="15.42578125" customWidth="1"/>
    <col min="17" max="17" width="16.140625" customWidth="1"/>
    <col min="18" max="18" width="4.85546875" customWidth="1"/>
    <col min="19" max="19" width="22.5703125" customWidth="1"/>
  </cols>
  <sheetData>
    <row r="1" spans="1:53" s="119" customFormat="1" ht="12.95">
      <c r="A1" s="1020"/>
      <c r="B1" s="84" t="s">
        <v>1059</v>
      </c>
      <c r="C1" s="1022">
        <f>FORM!I20</f>
        <v>45901</v>
      </c>
      <c r="D1" s="1023"/>
      <c r="F1" s="1023"/>
      <c r="G1" s="1023"/>
      <c r="H1" s="134" t="s">
        <v>1173</v>
      </c>
      <c r="I1" s="1290" t="s">
        <v>1061</v>
      </c>
      <c r="J1" s="1021"/>
      <c r="K1" s="1020"/>
      <c r="L1" s="160" t="s">
        <v>1059</v>
      </c>
      <c r="M1" s="1022">
        <f>C1</f>
        <v>45901</v>
      </c>
      <c r="N1" s="1023"/>
      <c r="O1" s="1020"/>
      <c r="Q1" s="160" t="s">
        <v>1173</v>
      </c>
      <c r="R1" s="1842" t="s">
        <v>1063</v>
      </c>
      <c r="S1" s="1842"/>
      <c r="T1" s="1020"/>
    </row>
    <row r="2" spans="1:53" s="1" customFormat="1" ht="12.6">
      <c r="A2" s="86"/>
      <c r="B2" s="86"/>
      <c r="C2" s="87"/>
      <c r="D2" s="87"/>
      <c r="E2" s="86"/>
      <c r="F2" s="86"/>
      <c r="G2" s="88"/>
      <c r="H2" s="88"/>
      <c r="I2" s="88"/>
      <c r="J2" s="92"/>
      <c r="K2" s="88"/>
      <c r="L2" s="86"/>
      <c r="M2" s="87"/>
      <c r="N2" s="87"/>
      <c r="O2" s="86"/>
      <c r="P2" s="86"/>
      <c r="Q2" s="86"/>
      <c r="R2" s="1596"/>
      <c r="S2" s="1596"/>
      <c r="T2" s="86"/>
    </row>
    <row r="3" spans="1:53" s="111" customFormat="1" ht="12.75" customHeight="1">
      <c r="A3" s="88"/>
      <c r="B3" s="1447" t="s">
        <v>1268</v>
      </c>
      <c r="C3" s="1447"/>
      <c r="D3" s="1447"/>
      <c r="E3" s="1447"/>
      <c r="F3" s="1447"/>
      <c r="G3" s="1447"/>
      <c r="H3" s="1447"/>
      <c r="I3" s="1447"/>
      <c r="J3" s="137"/>
      <c r="K3" s="138"/>
      <c r="L3" s="1447" t="s">
        <v>1065</v>
      </c>
      <c r="M3" s="1447"/>
      <c r="N3" s="1447"/>
      <c r="O3" s="1447"/>
      <c r="P3" s="1447"/>
      <c r="Q3" s="1447"/>
      <c r="R3" s="1447"/>
      <c r="S3" s="1447"/>
      <c r="T3" s="86"/>
    </row>
    <row r="4" spans="1:53" s="111" customFormat="1" ht="12.75" customHeight="1">
      <c r="A4" s="88"/>
      <c r="B4" s="1447"/>
      <c r="C4" s="1447"/>
      <c r="D4" s="1447"/>
      <c r="E4" s="1447"/>
      <c r="F4" s="1447"/>
      <c r="G4" s="1447"/>
      <c r="H4" s="1447"/>
      <c r="I4" s="1447"/>
      <c r="J4" s="137"/>
      <c r="K4" s="138"/>
      <c r="L4" s="1447"/>
      <c r="M4" s="1447"/>
      <c r="N4" s="1447"/>
      <c r="O4" s="1447"/>
      <c r="P4" s="1447"/>
      <c r="Q4" s="1447"/>
      <c r="R4" s="1447"/>
      <c r="S4" s="1447"/>
      <c r="T4" s="86"/>
    </row>
    <row r="5" spans="1:53" s="111" customFormat="1" ht="12.75" customHeight="1">
      <c r="A5" s="88"/>
      <c r="B5" s="139"/>
      <c r="C5" s="139"/>
      <c r="D5" s="140"/>
      <c r="E5" s="139"/>
      <c r="F5" s="139"/>
      <c r="G5" s="139"/>
      <c r="H5" s="139"/>
      <c r="I5" s="139"/>
      <c r="J5" s="139"/>
      <c r="K5" s="139"/>
      <c r="L5" s="93"/>
      <c r="M5" s="94"/>
      <c r="N5" s="96"/>
      <c r="O5" s="94"/>
      <c r="P5" s="94"/>
      <c r="Q5" s="94"/>
      <c r="R5" s="94"/>
      <c r="S5" s="96"/>
      <c r="T5" s="86"/>
    </row>
    <row r="6" spans="1:53" s="458" customFormat="1" ht="12.6">
      <c r="A6" s="1024"/>
      <c r="B6" s="225" t="s">
        <v>1066</v>
      </c>
      <c r="C6" s="226"/>
      <c r="D6" s="1027" t="s">
        <v>1015</v>
      </c>
      <c r="E6" s="1764" t="str">
        <f>FORM!I26</f>
        <v>buyer</v>
      </c>
      <c r="F6" s="1764"/>
      <c r="G6" s="1764"/>
      <c r="H6" s="1764"/>
      <c r="I6" s="1764"/>
      <c r="J6" s="100"/>
      <c r="K6" s="142"/>
      <c r="L6" s="225" t="s">
        <v>1066</v>
      </c>
      <c r="M6" s="228"/>
      <c r="N6" s="1027" t="s">
        <v>1015</v>
      </c>
      <c r="O6" s="1521" t="str">
        <f t="shared" ref="O6:O13" si="0">E6</f>
        <v>buyer</v>
      </c>
      <c r="P6" s="1521"/>
      <c r="Q6" s="1521"/>
      <c r="R6" s="1521"/>
      <c r="S6" s="1521"/>
      <c r="T6" s="1020"/>
      <c r="AM6" s="459"/>
      <c r="AZ6" s="460"/>
      <c r="BA6" s="461"/>
    </row>
    <row r="7" spans="1:53" s="458" customFormat="1" ht="12.6">
      <c r="A7" s="1024"/>
      <c r="B7" s="144" t="s">
        <v>1014</v>
      </c>
      <c r="C7" s="227"/>
      <c r="D7" s="1027" t="s">
        <v>1015</v>
      </c>
      <c r="E7" s="1766" t="str">
        <f>FORM!I11</f>
        <v>The Southprime Flats</v>
      </c>
      <c r="F7" s="1767"/>
      <c r="G7" s="1069" t="str">
        <f>FORM!I14</f>
        <v>B3</v>
      </c>
      <c r="H7" s="1069"/>
      <c r="I7" s="1091"/>
      <c r="J7" s="100"/>
      <c r="K7" s="142"/>
      <c r="L7" s="144" t="s">
        <v>1014</v>
      </c>
      <c r="M7" s="148"/>
      <c r="N7" s="1027" t="s">
        <v>1015</v>
      </c>
      <c r="O7" s="1521" t="str">
        <f t="shared" si="0"/>
        <v>The Southprime Flats</v>
      </c>
      <c r="P7" s="1521"/>
      <c r="Q7" s="1521"/>
      <c r="R7" s="1521"/>
      <c r="S7" s="1521"/>
      <c r="T7" s="1020"/>
      <c r="AM7" s="459"/>
      <c r="AZ7" s="460"/>
      <c r="BA7" s="461"/>
    </row>
    <row r="8" spans="1:53" s="458" customFormat="1" ht="12.6">
      <c r="A8" s="1024"/>
      <c r="B8" s="144" t="s">
        <v>1068</v>
      </c>
      <c r="C8" s="227"/>
      <c r="D8" s="1027" t="s">
        <v>1015</v>
      </c>
      <c r="E8" s="1768" t="str">
        <f>'STANDARD COMP.'!E8</f>
        <v>E-11K</v>
      </c>
      <c r="F8" s="1768"/>
      <c r="G8" s="1768"/>
      <c r="H8" s="1768"/>
      <c r="I8" s="1768"/>
      <c r="J8" s="100"/>
      <c r="K8" s="142"/>
      <c r="L8" s="144" t="s">
        <v>1068</v>
      </c>
      <c r="M8" s="148"/>
      <c r="N8" s="1027" t="s">
        <v>1015</v>
      </c>
      <c r="O8" s="1521" t="str">
        <f t="shared" si="0"/>
        <v>E-11K</v>
      </c>
      <c r="P8" s="1521"/>
      <c r="Q8" s="1521"/>
      <c r="R8" s="1521"/>
      <c r="S8" s="1521"/>
      <c r="T8" s="1020"/>
      <c r="AM8" s="459"/>
      <c r="AZ8" s="460"/>
      <c r="BA8" s="461"/>
    </row>
    <row r="9" spans="1:53" s="458" customFormat="1" ht="12.6" hidden="1">
      <c r="A9" s="1024"/>
      <c r="B9" s="144" t="s">
        <v>1070</v>
      </c>
      <c r="C9" s="227"/>
      <c r="D9" s="1027" t="s">
        <v>1015</v>
      </c>
      <c r="E9" s="1521" t="e">
        <f>FORM!#REF!</f>
        <v>#REF!</v>
      </c>
      <c r="F9" s="1521"/>
      <c r="G9" s="1521"/>
      <c r="H9" s="1521"/>
      <c r="I9" s="1521"/>
      <c r="J9" s="100"/>
      <c r="K9" s="142"/>
      <c r="L9" s="144" t="s">
        <v>1070</v>
      </c>
      <c r="M9" s="148"/>
      <c r="N9" s="1027" t="s">
        <v>1015</v>
      </c>
      <c r="O9" s="1521" t="e">
        <f t="shared" si="0"/>
        <v>#REF!</v>
      </c>
      <c r="P9" s="1521"/>
      <c r="Q9" s="1521"/>
      <c r="R9" s="1521"/>
      <c r="S9" s="1521"/>
      <c r="T9" s="1020"/>
      <c r="AM9" s="459"/>
      <c r="AZ9" s="460"/>
      <c r="BA9" s="461"/>
    </row>
    <row r="10" spans="1:53" s="458" customFormat="1" ht="12.6">
      <c r="A10" s="1024"/>
      <c r="B10" s="144" t="s">
        <v>1071</v>
      </c>
      <c r="C10" s="227"/>
      <c r="D10" s="1027" t="s">
        <v>1015</v>
      </c>
      <c r="E10" s="1521" t="str">
        <f>'STANDARD COMP.'!E10</f>
        <v>Studio</v>
      </c>
      <c r="F10" s="1521"/>
      <c r="G10" s="1521"/>
      <c r="H10" s="1521"/>
      <c r="I10" s="1521"/>
      <c r="J10" s="100"/>
      <c r="K10" s="142"/>
      <c r="L10" s="144" t="s">
        <v>1071</v>
      </c>
      <c r="M10" s="148"/>
      <c r="N10" s="1027" t="s">
        <v>1015</v>
      </c>
      <c r="O10" s="1521" t="str">
        <f t="shared" si="0"/>
        <v>Studio</v>
      </c>
      <c r="P10" s="1521"/>
      <c r="Q10" s="1521"/>
      <c r="R10" s="1521"/>
      <c r="S10" s="1521"/>
      <c r="T10" s="1020"/>
      <c r="AM10" s="459"/>
      <c r="AZ10" s="460"/>
      <c r="BA10" s="461"/>
    </row>
    <row r="11" spans="1:53" s="458" customFormat="1" ht="12.6">
      <c r="A11" s="1024"/>
      <c r="B11" s="144" t="s">
        <v>1072</v>
      </c>
      <c r="C11" s="227"/>
      <c r="D11" s="1027" t="s">
        <v>1015</v>
      </c>
      <c r="E11" s="1709">
        <f>'STANDARD COMP.'!E11:F11</f>
        <v>22</v>
      </c>
      <c r="F11" s="1672"/>
      <c r="G11" s="1711" t="s">
        <v>1073</v>
      </c>
      <c r="H11" s="1711"/>
      <c r="I11" s="1712"/>
      <c r="J11" s="100"/>
      <c r="K11" s="142"/>
      <c r="L11" s="144" t="s">
        <v>1072</v>
      </c>
      <c r="M11" s="148"/>
      <c r="N11" s="1027" t="s">
        <v>1015</v>
      </c>
      <c r="O11" s="1709">
        <f t="shared" si="0"/>
        <v>22</v>
      </c>
      <c r="P11" s="1710"/>
      <c r="Q11" s="1711" t="s">
        <v>1073</v>
      </c>
      <c r="R11" s="1711"/>
      <c r="S11" s="1712"/>
      <c r="T11" s="1020"/>
      <c r="AM11" s="459"/>
      <c r="AZ11" s="460"/>
      <c r="BA11" s="461"/>
    </row>
    <row r="12" spans="1:53" s="458" customFormat="1" ht="12.6">
      <c r="A12" s="1024"/>
      <c r="B12" s="148" t="s">
        <v>1074</v>
      </c>
      <c r="C12" s="227"/>
      <c r="D12" s="1027" t="s">
        <v>1015</v>
      </c>
      <c r="E12" s="1713">
        <f>'STANDARD COMP.'!E12:F12</f>
        <v>0</v>
      </c>
      <c r="F12" s="1714"/>
      <c r="G12" s="1711" t="s">
        <v>1073</v>
      </c>
      <c r="H12" s="1711"/>
      <c r="I12" s="1712"/>
      <c r="J12" s="1024"/>
      <c r="K12" s="142"/>
      <c r="L12" s="148" t="s">
        <v>1074</v>
      </c>
      <c r="M12" s="148"/>
      <c r="N12" s="1027" t="s">
        <v>1015</v>
      </c>
      <c r="O12" s="1713">
        <f t="shared" si="0"/>
        <v>0</v>
      </c>
      <c r="P12" s="1714"/>
      <c r="Q12" s="1711" t="s">
        <v>1073</v>
      </c>
      <c r="R12" s="1711"/>
      <c r="S12" s="1712"/>
      <c r="T12" s="1020"/>
      <c r="AM12" s="459"/>
      <c r="AZ12" s="460"/>
      <c r="BA12" s="461"/>
    </row>
    <row r="13" spans="1:53" s="458" customFormat="1" ht="12.6">
      <c r="A13" s="1024"/>
      <c r="B13" s="238" t="s">
        <v>1075</v>
      </c>
      <c r="C13" s="101"/>
      <c r="D13" s="1027" t="s">
        <v>1015</v>
      </c>
      <c r="E13" s="1713">
        <f>'STANDARD COMP.'!E13:F13</f>
        <v>22</v>
      </c>
      <c r="F13" s="1714"/>
      <c r="G13" s="1711" t="s">
        <v>1073</v>
      </c>
      <c r="H13" s="1711"/>
      <c r="I13" s="1712"/>
      <c r="J13" s="1024" t="s">
        <v>60</v>
      </c>
      <c r="K13" s="142"/>
      <c r="L13" s="238" t="s">
        <v>1075</v>
      </c>
      <c r="M13" s="126"/>
      <c r="N13" s="1027" t="s">
        <v>1015</v>
      </c>
      <c r="O13" s="1713">
        <f t="shared" si="0"/>
        <v>22</v>
      </c>
      <c r="P13" s="1714"/>
      <c r="Q13" s="1711" t="s">
        <v>1073</v>
      </c>
      <c r="R13" s="1711"/>
      <c r="S13" s="1712"/>
      <c r="T13" s="1020"/>
      <c r="AM13" s="459"/>
      <c r="AZ13" s="460"/>
      <c r="BA13" s="461"/>
    </row>
    <row r="14" spans="1:53" s="119" customFormat="1" ht="12.95">
      <c r="A14" s="1024"/>
      <c r="B14" s="1024"/>
      <c r="C14" s="1024"/>
      <c r="D14" s="1027"/>
      <c r="E14" s="1024"/>
      <c r="F14" s="1024"/>
      <c r="G14" s="1024"/>
      <c r="H14" s="1024"/>
      <c r="I14" s="1024"/>
      <c r="J14" s="1024"/>
      <c r="K14" s="1024"/>
      <c r="L14" s="1024"/>
      <c r="M14" s="1024"/>
      <c r="N14" s="1033"/>
      <c r="O14" s="1024"/>
      <c r="P14" s="1024"/>
      <c r="Q14" s="1024"/>
      <c r="R14" s="1024"/>
      <c r="S14" s="1024"/>
      <c r="T14" s="1020"/>
    </row>
    <row r="15" spans="1:53" s="119" customFormat="1" ht="12.95">
      <c r="A15" s="1024"/>
      <c r="B15" s="141" t="s">
        <v>1078</v>
      </c>
      <c r="C15" s="226"/>
      <c r="D15" s="142" t="s">
        <v>1015</v>
      </c>
      <c r="E15" s="599">
        <f>'STANDARD COMP.'!E28</f>
        <v>29</v>
      </c>
      <c r="F15" s="1610">
        <f>'STANDARD COMP.'!F15</f>
        <v>4123028.1810342241</v>
      </c>
      <c r="G15" s="1610"/>
      <c r="H15" s="1610"/>
      <c r="I15" s="1610"/>
      <c r="J15" s="100"/>
      <c r="K15" s="100"/>
      <c r="L15" s="1402" t="s">
        <v>1079</v>
      </c>
      <c r="M15" s="1402"/>
      <c r="N15" s="1416" t="s">
        <v>989</v>
      </c>
      <c r="O15" s="1402" t="s">
        <v>992</v>
      </c>
      <c r="P15" s="1402"/>
      <c r="Q15" s="1417" t="s">
        <v>206</v>
      </c>
      <c r="R15" s="1588"/>
      <c r="S15" s="1418"/>
      <c r="T15" s="1020"/>
    </row>
    <row r="16" spans="1:53" s="121" customFormat="1" ht="12.95">
      <c r="A16" s="1024"/>
      <c r="B16" s="144" t="s">
        <v>1264</v>
      </c>
      <c r="C16" s="148"/>
      <c r="D16" s="1027" t="s">
        <v>1015</v>
      </c>
      <c r="E16" s="411">
        <f>IF(E15&gt;11,5%,IF(E15&gt;5,2.5%,))</f>
        <v>0.05</v>
      </c>
      <c r="F16" s="1611">
        <f>F15*E16</f>
        <v>206151.40905171121</v>
      </c>
      <c r="G16" s="1611"/>
      <c r="H16" s="1611"/>
      <c r="I16" s="1611"/>
      <c r="J16" s="1024"/>
      <c r="K16" s="1024"/>
      <c r="L16" s="1402"/>
      <c r="M16" s="1402"/>
      <c r="N16" s="1416"/>
      <c r="O16" s="1402"/>
      <c r="P16" s="1402"/>
      <c r="Q16" s="1419"/>
      <c r="R16" s="1589"/>
      <c r="S16" s="1420"/>
      <c r="T16" s="3"/>
    </row>
    <row r="17" spans="1:20" s="119" customFormat="1" ht="12.95">
      <c r="A17" s="100"/>
      <c r="B17" s="144" t="s">
        <v>1080</v>
      </c>
      <c r="C17" s="148"/>
      <c r="D17" s="1027" t="s">
        <v>1015</v>
      </c>
      <c r="E17" s="411"/>
      <c r="F17" s="1611">
        <f>'STANDARD COMP.'!F16:I16</f>
        <v>0</v>
      </c>
      <c r="G17" s="1611"/>
      <c r="H17" s="1611"/>
      <c r="I17" s="1611"/>
      <c r="J17" s="100"/>
      <c r="K17" s="100"/>
      <c r="L17" s="1521" t="s">
        <v>1031</v>
      </c>
      <c r="M17" s="1521"/>
      <c r="N17" s="1781">
        <f>C1</f>
        <v>45901</v>
      </c>
      <c r="O17" s="1403">
        <f>F26</f>
        <v>30000</v>
      </c>
      <c r="P17" s="1403"/>
      <c r="Q17" s="1835"/>
      <c r="R17" s="1836"/>
      <c r="S17" s="1837"/>
      <c r="T17" s="1020"/>
    </row>
    <row r="18" spans="1:20" s="121" customFormat="1" ht="12.95">
      <c r="A18" s="1024"/>
      <c r="B18" s="129" t="s">
        <v>1222</v>
      </c>
      <c r="C18" s="101"/>
      <c r="D18" s="142" t="s">
        <v>1015</v>
      </c>
      <c r="E18" s="467"/>
      <c r="F18" s="1610">
        <f>F15-(F16+F17)</f>
        <v>3916876.7719825129</v>
      </c>
      <c r="G18" s="1610"/>
      <c r="H18" s="1610"/>
      <c r="I18" s="1610"/>
      <c r="J18" s="1024"/>
      <c r="K18" s="1024"/>
      <c r="L18" s="1521" t="s">
        <v>1269</v>
      </c>
      <c r="M18" s="1521"/>
      <c r="N18" s="1781">
        <f>N17+30</f>
        <v>45931</v>
      </c>
      <c r="O18" s="1403">
        <f>F27</f>
        <v>2189743.5802692603</v>
      </c>
      <c r="P18" s="1403"/>
      <c r="Q18" s="1835"/>
      <c r="R18" s="1836"/>
      <c r="S18" s="1837"/>
      <c r="T18" s="3"/>
    </row>
    <row r="19" spans="1:20" s="119" customFormat="1" ht="12.95">
      <c r="A19" s="1024"/>
      <c r="B19" s="147"/>
      <c r="C19" s="1024"/>
      <c r="D19" s="1027"/>
      <c r="E19" s="127">
        <v>70000</v>
      </c>
      <c r="F19" s="468">
        <f>E20*F18</f>
        <v>470025.21263790154</v>
      </c>
      <c r="G19" s="1721"/>
      <c r="H19" s="1721"/>
      <c r="I19" s="1024"/>
      <c r="J19" s="1024"/>
      <c r="K19" s="1024"/>
      <c r="L19" s="1521" t="s">
        <v>1270</v>
      </c>
      <c r="M19" s="1521"/>
      <c r="N19" s="1781">
        <f>N17+60</f>
        <v>45961</v>
      </c>
      <c r="O19" s="1403">
        <f>F28</f>
        <v>2189743.5802692603</v>
      </c>
      <c r="P19" s="1403"/>
      <c r="Q19" s="1835"/>
      <c r="R19" s="1836"/>
      <c r="S19" s="1837"/>
      <c r="T19" s="1020"/>
    </row>
    <row r="20" spans="1:20" s="119" customFormat="1" ht="12.95">
      <c r="A20" s="1024"/>
      <c r="B20" s="148" t="s">
        <v>1087</v>
      </c>
      <c r="C20" s="148"/>
      <c r="D20" s="1027" t="s">
        <v>1015</v>
      </c>
      <c r="E20" s="1782">
        <v>0.12</v>
      </c>
      <c r="F20" s="1532"/>
      <c r="G20" s="1532"/>
      <c r="H20" s="1532"/>
      <c r="I20" s="1532"/>
      <c r="J20" s="1024"/>
      <c r="K20" s="1024"/>
      <c r="L20" s="142"/>
      <c r="M20" s="142"/>
      <c r="N20" s="167"/>
      <c r="O20" s="427"/>
      <c r="P20" s="427"/>
      <c r="Q20" s="466"/>
      <c r="R20" s="100"/>
      <c r="S20" s="100"/>
      <c r="T20" s="1020"/>
    </row>
    <row r="21" spans="1:20" s="119" customFormat="1" ht="12.95">
      <c r="A21" s="1024"/>
      <c r="B21" s="238" t="s">
        <v>1090</v>
      </c>
      <c r="C21" s="126"/>
      <c r="D21" s="1027" t="s">
        <v>1015</v>
      </c>
      <c r="E21" s="832">
        <f>7.5%+2.75%</f>
        <v>0.10249999999999999</v>
      </c>
      <c r="F21" s="1532">
        <f>(F15*E21)+E19</f>
        <v>492610.38855600794</v>
      </c>
      <c r="G21" s="1532"/>
      <c r="H21" s="1532"/>
      <c r="I21" s="1532"/>
      <c r="J21" s="1024"/>
      <c r="K21" s="1024"/>
      <c r="L21" s="142"/>
      <c r="M21" s="142"/>
      <c r="N21" s="167"/>
      <c r="O21" s="427"/>
      <c r="P21" s="427"/>
      <c r="Q21" s="466"/>
      <c r="R21" s="100"/>
      <c r="S21" s="100"/>
      <c r="T21" s="1020"/>
    </row>
    <row r="22" spans="1:20" s="119" customFormat="1" ht="12.95">
      <c r="A22" s="100"/>
      <c r="B22" s="147"/>
      <c r="C22" s="1024"/>
      <c r="D22" s="1027"/>
      <c r="E22" s="1027"/>
      <c r="F22" s="1721"/>
      <c r="G22" s="1721"/>
      <c r="H22" s="1721"/>
      <c r="I22" s="1024"/>
      <c r="J22" s="1024"/>
      <c r="K22" s="1024"/>
      <c r="L22" s="142"/>
      <c r="M22" s="142"/>
      <c r="N22" s="167"/>
      <c r="O22" s="427"/>
      <c r="P22" s="427"/>
      <c r="Q22" s="466"/>
      <c r="R22" s="100"/>
      <c r="S22" s="100"/>
      <c r="T22" s="1020"/>
    </row>
    <row r="23" spans="1:20" s="119" customFormat="1" ht="12.95">
      <c r="A23" s="1024"/>
      <c r="B23" s="129" t="s">
        <v>1096</v>
      </c>
      <c r="C23" s="101"/>
      <c r="D23" s="142" t="s">
        <v>1015</v>
      </c>
      <c r="E23" s="453"/>
      <c r="F23" s="1570">
        <f>SUM(F21,F20,F18)</f>
        <v>4409487.1605385207</v>
      </c>
      <c r="G23" s="1570"/>
      <c r="H23" s="1570"/>
      <c r="I23" s="1570"/>
      <c r="J23" s="100"/>
      <c r="K23" s="100"/>
      <c r="L23" s="156"/>
      <c r="M23" s="1024"/>
      <c r="N23" s="1033"/>
      <c r="O23" s="1024"/>
      <c r="P23" s="1024"/>
      <c r="Q23" s="1024"/>
      <c r="R23" s="1024"/>
      <c r="S23" s="1024"/>
      <c r="T23" s="1020"/>
    </row>
    <row r="24" spans="1:20" s="121" customFormat="1" ht="12.95">
      <c r="A24" s="1024"/>
      <c r="B24" s="147"/>
      <c r="C24" s="1024"/>
      <c r="D24" s="1027"/>
      <c r="E24" s="1027"/>
      <c r="F24" s="1721"/>
      <c r="G24" s="1721"/>
      <c r="H24" s="1721"/>
      <c r="I24" s="1024"/>
      <c r="J24" s="1024"/>
      <c r="K24" s="1024"/>
      <c r="L24" s="156"/>
      <c r="M24" s="1024"/>
      <c r="N24" s="1033"/>
      <c r="O24" s="1024"/>
      <c r="P24" s="1024"/>
      <c r="Q24" s="1024"/>
      <c r="R24" s="1024"/>
      <c r="S24" s="1024"/>
      <c r="T24" s="3"/>
    </row>
    <row r="25" spans="1:20" s="119" customFormat="1" ht="12.95">
      <c r="A25" s="100"/>
      <c r="B25" s="1585" t="s">
        <v>1265</v>
      </c>
      <c r="C25" s="1585"/>
      <c r="D25" s="1027" t="s">
        <v>1015</v>
      </c>
      <c r="E25" s="1843">
        <v>1</v>
      </c>
      <c r="F25" s="1570">
        <f>E25*F23</f>
        <v>4409487.1605385207</v>
      </c>
      <c r="G25" s="1570"/>
      <c r="H25" s="1570"/>
      <c r="I25" s="1570"/>
      <c r="J25" s="1024"/>
      <c r="K25" s="1024"/>
      <c r="L25" s="100" t="s">
        <v>1168</v>
      </c>
      <c r="M25" s="100"/>
      <c r="N25" s="142"/>
      <c r="O25" s="100"/>
      <c r="Q25" s="100" t="s">
        <v>1169</v>
      </c>
      <c r="R25" s="1024"/>
      <c r="S25" s="1024"/>
      <c r="T25" s="1020"/>
    </row>
    <row r="26" spans="1:20" s="121" customFormat="1" ht="12.95">
      <c r="A26" s="1024"/>
      <c r="B26" s="1425" t="s">
        <v>1266</v>
      </c>
      <c r="C26" s="1425"/>
      <c r="D26" s="142" t="s">
        <v>1015</v>
      </c>
      <c r="E26" s="453"/>
      <c r="F26" s="1532">
        <f>'STANDARD COMP.'!F25</f>
        <v>30000</v>
      </c>
      <c r="G26" s="1532"/>
      <c r="H26" s="1532"/>
      <c r="I26" s="1532"/>
      <c r="J26" s="100"/>
      <c r="K26" s="100"/>
      <c r="L26" s="1024"/>
      <c r="M26" s="1024"/>
      <c r="N26" s="1027"/>
      <c r="O26" s="1024"/>
      <c r="P26" s="1024"/>
      <c r="Q26" s="1024"/>
      <c r="R26" s="1024"/>
      <c r="S26" s="1024"/>
      <c r="T26" s="3"/>
    </row>
    <row r="27" spans="1:20" s="121" customFormat="1" ht="12.95">
      <c r="A27" s="100"/>
      <c r="B27" s="1609" t="s">
        <v>1271</v>
      </c>
      <c r="C27" s="1609"/>
      <c r="D27" s="1027" t="s">
        <v>1015</v>
      </c>
      <c r="E27" s="1283"/>
      <c r="F27" s="1570">
        <f>(F25-F26)/2</f>
        <v>2189743.5802692603</v>
      </c>
      <c r="G27" s="1570"/>
      <c r="H27" s="1570"/>
      <c r="I27" s="1570"/>
      <c r="J27" s="100"/>
      <c r="K27" s="100"/>
      <c r="L27" s="1024"/>
      <c r="M27" s="1024"/>
      <c r="N27" s="1027"/>
      <c r="O27" s="1024"/>
      <c r="P27" s="1024"/>
      <c r="Q27" s="1024"/>
      <c r="R27" s="1024"/>
      <c r="S27" s="1024"/>
      <c r="T27" s="3"/>
    </row>
    <row r="28" spans="1:20" s="119" customFormat="1" ht="12.95">
      <c r="A28" s="1024"/>
      <c r="B28" s="1609" t="s">
        <v>1272</v>
      </c>
      <c r="C28" s="1609"/>
      <c r="D28" s="1027" t="s">
        <v>1015</v>
      </c>
      <c r="E28" s="1283"/>
      <c r="F28" s="1570">
        <f>F27</f>
        <v>2189743.5802692603</v>
      </c>
      <c r="G28" s="1570"/>
      <c r="H28" s="1570"/>
      <c r="I28" s="1570"/>
      <c r="J28" s="1024"/>
      <c r="K28" s="1024"/>
      <c r="L28" s="1413" t="str">
        <f>FORM!I28</f>
        <v xml:space="preserve">agent </v>
      </c>
      <c r="M28" s="1413"/>
      <c r="N28" s="1413"/>
      <c r="O28" s="100"/>
      <c r="P28" s="100"/>
      <c r="Q28" s="1413" t="str">
        <f>FORM!I26</f>
        <v>buyer</v>
      </c>
      <c r="R28" s="1413"/>
      <c r="S28" s="1413"/>
      <c r="T28" s="1020"/>
    </row>
    <row r="29" spans="1:20" s="119" customFormat="1" ht="12.95">
      <c r="A29" s="1024"/>
      <c r="B29" s="170"/>
      <c r="C29" s="1024"/>
      <c r="D29" s="1027"/>
      <c r="E29" s="1024"/>
      <c r="F29" s="1024"/>
      <c r="G29" s="1024"/>
      <c r="H29" s="1024"/>
      <c r="I29" s="1024"/>
      <c r="J29" s="1024"/>
      <c r="K29" s="1024"/>
      <c r="L29" s="1069" t="s">
        <v>1170</v>
      </c>
      <c r="M29" s="1841"/>
      <c r="N29" s="1674"/>
      <c r="O29" s="1024"/>
      <c r="P29" s="1024"/>
      <c r="Q29" s="1068" t="s">
        <v>1171</v>
      </c>
      <c r="R29" s="1841"/>
      <c r="S29" s="1674"/>
      <c r="T29" s="1020"/>
    </row>
    <row r="30" spans="1:20" s="121" customFormat="1" ht="12.95">
      <c r="A30" s="1024"/>
      <c r="B30" s="161"/>
      <c r="C30" s="119"/>
      <c r="D30" s="162"/>
      <c r="E30" s="130"/>
      <c r="F30" s="119"/>
      <c r="G30" s="119"/>
      <c r="H30" s="1844"/>
      <c r="I30" s="1844"/>
      <c r="J30" s="100"/>
      <c r="K30" s="100"/>
      <c r="L30" s="1020"/>
      <c r="M30" s="1020"/>
      <c r="N30" s="1020"/>
      <c r="O30" s="1020"/>
      <c r="P30" s="1020"/>
      <c r="Q30" s="1020"/>
      <c r="R30" s="1020"/>
      <c r="S30" s="1020"/>
      <c r="T30" s="3"/>
    </row>
    <row r="31" spans="1:20" s="119" customFormat="1" ht="12.95">
      <c r="A31" s="1024"/>
      <c r="B31" s="101" t="s">
        <v>1146</v>
      </c>
      <c r="C31" s="163"/>
      <c r="D31" s="100"/>
      <c r="E31" s="100"/>
      <c r="F31" s="100"/>
      <c r="G31" s="100"/>
      <c r="H31" s="100"/>
      <c r="I31" s="164"/>
      <c r="J31" s="1024"/>
      <c r="K31" s="1024"/>
      <c r="M31" s="454"/>
      <c r="N31" s="454"/>
      <c r="T31" s="1020"/>
    </row>
    <row r="32" spans="1:20" s="119" customFormat="1" ht="12.95">
      <c r="A32" s="1024"/>
      <c r="B32" s="100"/>
      <c r="C32" s="100"/>
      <c r="D32" s="100"/>
      <c r="E32" s="100"/>
      <c r="F32" s="100"/>
      <c r="G32" s="100"/>
      <c r="H32" s="100"/>
      <c r="I32" s="100"/>
      <c r="J32" s="1024"/>
      <c r="K32" s="1024"/>
      <c r="M32" s="454"/>
      <c r="N32" s="454"/>
      <c r="T32" s="1020"/>
    </row>
    <row r="33" spans="1:20" s="119" customFormat="1" ht="12.95">
      <c r="A33" s="1024"/>
      <c r="B33" s="1402" t="s">
        <v>1027</v>
      </c>
      <c r="C33" s="1402"/>
      <c r="D33" s="1402" t="s">
        <v>1028</v>
      </c>
      <c r="E33" s="1402"/>
      <c r="F33" s="1402"/>
      <c r="G33" s="1402" t="s">
        <v>1150</v>
      </c>
      <c r="H33" s="1402"/>
      <c r="I33" s="1402"/>
      <c r="J33" s="1024"/>
      <c r="K33" s="1024"/>
      <c r="M33" s="454"/>
      <c r="N33" s="454"/>
      <c r="T33" s="1020"/>
    </row>
    <row r="34" spans="1:20" s="119" customFormat="1" ht="12.95">
      <c r="A34" s="1024"/>
      <c r="B34" s="1601">
        <f>'SPOT CASH_30 DAYS'!B35</f>
        <v>0</v>
      </c>
      <c r="C34" s="1603"/>
      <c r="D34" s="1601">
        <f>'SPOT CASH_30 DAYS'!D35</f>
        <v>0</v>
      </c>
      <c r="E34" s="1602"/>
      <c r="F34" s="1603"/>
      <c r="G34" s="1597">
        <f>'SPOT CASH_30 DAYS'!H35</f>
        <v>0</v>
      </c>
      <c r="H34" s="1607"/>
      <c r="I34" s="1598"/>
      <c r="J34" s="1024"/>
      <c r="K34" s="1024"/>
      <c r="M34" s="454"/>
      <c r="N34" s="454"/>
      <c r="T34" s="1020"/>
    </row>
    <row r="35" spans="1:20" s="119" customFormat="1" ht="12.95">
      <c r="A35" s="1024"/>
      <c r="B35" s="1604"/>
      <c r="C35" s="1606"/>
      <c r="D35" s="1604"/>
      <c r="E35" s="1605"/>
      <c r="F35" s="1606"/>
      <c r="G35" s="1599"/>
      <c r="H35" s="1608"/>
      <c r="I35" s="1600"/>
      <c r="J35" s="1024"/>
      <c r="K35" s="1024"/>
      <c r="M35" s="454"/>
      <c r="N35" s="454"/>
      <c r="T35" s="1020"/>
    </row>
    <row r="36" spans="1:20" s="119" customFormat="1" ht="12.95">
      <c r="A36" s="1024"/>
      <c r="B36" s="1601">
        <f>'SPOT CASH_30 DAYS'!B37</f>
        <v>0</v>
      </c>
      <c r="C36" s="1603"/>
      <c r="D36" s="1601">
        <f>'SPOT CASH_30 DAYS'!D37</f>
        <v>0</v>
      </c>
      <c r="E36" s="1602"/>
      <c r="F36" s="1603"/>
      <c r="G36" s="1597">
        <f>'SPOT CASH_30 DAYS'!H37</f>
        <v>0</v>
      </c>
      <c r="H36" s="1607"/>
      <c r="I36" s="1598"/>
      <c r="J36" s="1024"/>
      <c r="K36" s="1024"/>
      <c r="M36" s="454"/>
      <c r="N36" s="454"/>
      <c r="T36" s="1020"/>
    </row>
    <row r="37" spans="1:20" s="119" customFormat="1" ht="12.95">
      <c r="A37" s="1024"/>
      <c r="B37" s="1604"/>
      <c r="C37" s="1606"/>
      <c r="D37" s="1604"/>
      <c r="E37" s="1605"/>
      <c r="F37" s="1606"/>
      <c r="G37" s="1599"/>
      <c r="H37" s="1608"/>
      <c r="I37" s="1600"/>
      <c r="J37" s="1024"/>
      <c r="K37" s="1024"/>
      <c r="N37" s="454"/>
      <c r="T37" s="1020"/>
    </row>
    <row r="38" spans="1:20" s="119" customFormat="1" ht="16.5" customHeight="1">
      <c r="A38" s="1024"/>
      <c r="B38" s="1601">
        <f>'SPOT CASH_30 DAYS'!B39</f>
        <v>0</v>
      </c>
      <c r="C38" s="1603"/>
      <c r="D38" s="1601">
        <f>'SPOT CASH_30 DAYS'!D39</f>
        <v>0</v>
      </c>
      <c r="E38" s="1602"/>
      <c r="F38" s="1603"/>
      <c r="G38" s="1597">
        <f>'SPOT CASH_30 DAYS'!H39</f>
        <v>0</v>
      </c>
      <c r="H38" s="1607"/>
      <c r="I38" s="1598"/>
      <c r="J38" s="1024"/>
      <c r="K38" s="1024"/>
      <c r="N38" s="454"/>
      <c r="T38" s="1020"/>
    </row>
    <row r="39" spans="1:20" s="119" customFormat="1" ht="12.95">
      <c r="A39" s="1024"/>
      <c r="B39" s="1604"/>
      <c r="C39" s="1606"/>
      <c r="D39" s="1604"/>
      <c r="E39" s="1605"/>
      <c r="F39" s="1606"/>
      <c r="G39" s="1599"/>
      <c r="H39" s="1608"/>
      <c r="I39" s="1600"/>
      <c r="J39" s="1024"/>
      <c r="K39" s="1024"/>
      <c r="N39" s="454"/>
      <c r="T39" s="1020"/>
    </row>
    <row r="40" spans="1:20" s="119" customFormat="1" ht="16.5" customHeight="1">
      <c r="A40" s="1024"/>
      <c r="B40" s="1601">
        <f>'SPOT CASH_30 DAYS'!B41</f>
        <v>0</v>
      </c>
      <c r="C40" s="1603"/>
      <c r="D40" s="1601">
        <f>'SPOT CASH_30 DAYS'!D41</f>
        <v>0</v>
      </c>
      <c r="E40" s="1602"/>
      <c r="F40" s="1603"/>
      <c r="G40" s="1597">
        <f>'SPOT CASH_30 DAYS'!H41</f>
        <v>0</v>
      </c>
      <c r="H40" s="1607"/>
      <c r="I40" s="1598"/>
      <c r="J40" s="1024"/>
      <c r="K40" s="1024"/>
      <c r="N40" s="454"/>
      <c r="T40" s="1020"/>
    </row>
    <row r="41" spans="1:20" s="119" customFormat="1" ht="12.95">
      <c r="A41" s="1024"/>
      <c r="B41" s="1604"/>
      <c r="C41" s="1606"/>
      <c r="D41" s="1604"/>
      <c r="E41" s="1605"/>
      <c r="F41" s="1606"/>
      <c r="G41" s="1599"/>
      <c r="H41" s="1608"/>
      <c r="I41" s="1600"/>
      <c r="J41" s="1024"/>
      <c r="K41" s="1024"/>
      <c r="N41" s="454"/>
      <c r="T41" s="1020"/>
    </row>
    <row r="42" spans="1:20" s="119" customFormat="1" ht="12.75" customHeight="1">
      <c r="A42" s="1024"/>
      <c r="B42" s="1601">
        <f>'SPOT CASH_30 DAYS'!B43</f>
        <v>0</v>
      </c>
      <c r="C42" s="1603"/>
      <c r="D42" s="1601">
        <f>'SPOT CASH_30 DAYS'!D43</f>
        <v>0</v>
      </c>
      <c r="E42" s="1602"/>
      <c r="F42" s="1603"/>
      <c r="G42" s="1597">
        <f>'SPOT CASH_30 DAYS'!H43</f>
        <v>0</v>
      </c>
      <c r="H42" s="1607"/>
      <c r="I42" s="1598"/>
      <c r="J42" s="1024"/>
      <c r="K42" s="1024"/>
      <c r="N42" s="454"/>
      <c r="T42" s="1020"/>
    </row>
    <row r="43" spans="1:20" s="119" customFormat="1" ht="15" customHeight="1">
      <c r="A43" s="1024"/>
      <c r="B43" s="1604"/>
      <c r="C43" s="1606"/>
      <c r="D43" s="1604"/>
      <c r="E43" s="1605"/>
      <c r="F43" s="1606"/>
      <c r="G43" s="1599"/>
      <c r="H43" s="1608"/>
      <c r="I43" s="1600"/>
      <c r="J43" s="1024"/>
      <c r="K43" s="1024"/>
      <c r="N43" s="454"/>
      <c r="T43" s="1020"/>
    </row>
    <row r="44" spans="1:20" s="119" customFormat="1" ht="12.75" customHeight="1">
      <c r="A44" s="1024"/>
      <c r="B44" s="1601">
        <f>'SPOT CASH_30 DAYS'!B45</f>
        <v>0</v>
      </c>
      <c r="C44" s="1603"/>
      <c r="D44" s="1601">
        <f>'SPOT CASH_30 DAYS'!D45</f>
        <v>0</v>
      </c>
      <c r="E44" s="1602"/>
      <c r="F44" s="1603"/>
      <c r="G44" s="1597">
        <f>'SPOT CASH_30 DAYS'!H45</f>
        <v>0</v>
      </c>
      <c r="H44" s="1607"/>
      <c r="I44" s="1598"/>
      <c r="J44" s="100"/>
      <c r="K44" s="100"/>
      <c r="N44" s="454"/>
      <c r="T44" s="1020"/>
    </row>
    <row r="45" spans="1:20" s="119" customFormat="1" ht="12.75" customHeight="1">
      <c r="A45" s="1024"/>
      <c r="B45" s="1604"/>
      <c r="C45" s="1606"/>
      <c r="D45" s="1604"/>
      <c r="E45" s="1605"/>
      <c r="F45" s="1606"/>
      <c r="G45" s="1599"/>
      <c r="H45" s="1608"/>
      <c r="I45" s="1600"/>
      <c r="J45" s="100"/>
      <c r="K45" s="100"/>
      <c r="N45" s="454"/>
      <c r="T45" s="1020"/>
    </row>
    <row r="46" spans="1:20" s="119" customFormat="1" ht="12.75" customHeight="1">
      <c r="A46" s="1024"/>
      <c r="D46" s="162"/>
      <c r="J46" s="100"/>
      <c r="K46" s="100"/>
      <c r="N46" s="454"/>
      <c r="T46" s="1020"/>
    </row>
    <row r="47" spans="1:20" s="119" customFormat="1" ht="12.75" customHeight="1">
      <c r="A47" s="1024"/>
      <c r="B47" s="250"/>
      <c r="C47" s="250" t="s">
        <v>1165</v>
      </c>
      <c r="D47" s="1670"/>
      <c r="E47" s="1670"/>
      <c r="F47" s="1670"/>
      <c r="G47" s="100"/>
      <c r="H47" s="100"/>
      <c r="I47" s="100"/>
      <c r="J47" s="100"/>
      <c r="K47" s="100"/>
      <c r="N47" s="454"/>
      <c r="T47" s="1020"/>
    </row>
    <row r="48" spans="1:20" s="119" customFormat="1" ht="12.75" customHeight="1">
      <c r="A48" s="1024"/>
      <c r="B48" s="100"/>
      <c r="C48" s="100"/>
      <c r="D48" s="100"/>
      <c r="E48" s="100"/>
      <c r="F48" s="100"/>
      <c r="G48" s="100"/>
      <c r="H48" s="100"/>
      <c r="I48" s="100"/>
      <c r="J48" s="100"/>
      <c r="K48" s="100"/>
      <c r="N48" s="454"/>
      <c r="T48" s="1020"/>
    </row>
    <row r="49" spans="1:20" s="119" customFormat="1" ht="12.75" customHeight="1">
      <c r="A49" s="1024"/>
      <c r="D49" s="162"/>
      <c r="G49" s="100"/>
      <c r="H49" s="100"/>
      <c r="I49" s="100"/>
      <c r="J49" s="100"/>
      <c r="K49" s="100"/>
      <c r="N49" s="454"/>
      <c r="T49" s="1020"/>
    </row>
    <row r="50" spans="1:20" s="119" customFormat="1" ht="12.75" customHeight="1">
      <c r="A50" s="1024"/>
      <c r="B50" s="1024"/>
      <c r="C50" s="1024"/>
      <c r="D50" s="1027"/>
      <c r="E50" s="1024"/>
      <c r="F50" s="1024"/>
      <c r="G50" s="1024"/>
      <c r="H50" s="1024"/>
      <c r="I50" s="1024"/>
      <c r="J50" s="100"/>
      <c r="K50" s="100"/>
      <c r="N50" s="454"/>
      <c r="T50" s="1020"/>
    </row>
    <row r="51" spans="1:20" s="119" customFormat="1" ht="12.95">
      <c r="A51" s="1020"/>
      <c r="B51" s="100" t="s">
        <v>1168</v>
      </c>
      <c r="C51" s="100"/>
      <c r="D51" s="142"/>
      <c r="E51" s="100"/>
      <c r="F51" s="100" t="s">
        <v>1169</v>
      </c>
      <c r="G51" s="100"/>
      <c r="H51" s="1024"/>
      <c r="I51" s="1024"/>
      <c r="J51" s="1024"/>
      <c r="K51" s="100"/>
      <c r="N51" s="454"/>
      <c r="T51" s="1020"/>
    </row>
    <row r="52" spans="1:20" s="119" customFormat="1" ht="12.95">
      <c r="A52" s="1020"/>
      <c r="B52" s="1024"/>
      <c r="C52" s="1024"/>
      <c r="D52" s="1027"/>
      <c r="E52" s="1024"/>
      <c r="F52" s="1024"/>
      <c r="G52" s="1024"/>
      <c r="H52" s="1024"/>
      <c r="I52" s="1024"/>
      <c r="J52" s="1024"/>
      <c r="K52" s="100"/>
      <c r="N52" s="454"/>
      <c r="T52" s="1020"/>
    </row>
    <row r="53" spans="1:20" s="119" customFormat="1" ht="12.95">
      <c r="A53" s="1020"/>
      <c r="B53" s="1024"/>
      <c r="C53" s="1024"/>
      <c r="D53" s="1027"/>
      <c r="E53" s="1024"/>
      <c r="F53" s="1024"/>
      <c r="G53" s="1024"/>
      <c r="H53" s="1024"/>
      <c r="I53" s="1024"/>
      <c r="J53" s="1024"/>
      <c r="K53" s="100"/>
      <c r="N53" s="454"/>
      <c r="T53" s="1020"/>
    </row>
    <row r="54" spans="1:20" s="119" customFormat="1" ht="12.95">
      <c r="B54" s="1413" t="str">
        <f>FORM!I28</f>
        <v xml:space="preserve">agent </v>
      </c>
      <c r="C54" s="1413"/>
      <c r="D54" s="1413"/>
      <c r="E54" s="100"/>
      <c r="F54" s="100"/>
      <c r="G54" s="1413" t="str">
        <f>FORM!I26</f>
        <v>buyer</v>
      </c>
      <c r="H54" s="1413"/>
      <c r="I54" s="1413"/>
      <c r="J54" s="1024"/>
      <c r="K54" s="100"/>
      <c r="N54" s="454"/>
      <c r="T54" s="1020"/>
    </row>
    <row r="55" spans="1:20" s="119" customFormat="1" ht="12.95">
      <c r="A55" s="470">
        <f>F18*E20</f>
        <v>470025.21263790154</v>
      </c>
      <c r="B55" s="1069" t="s">
        <v>1170</v>
      </c>
      <c r="C55" s="1841"/>
      <c r="D55" s="1674"/>
      <c r="E55" s="1024"/>
      <c r="F55" s="1024"/>
      <c r="G55" s="1674" t="s">
        <v>1170</v>
      </c>
      <c r="H55" s="1674"/>
      <c r="I55" s="1674"/>
      <c r="J55" s="1024"/>
      <c r="K55" s="1020"/>
      <c r="N55" s="454"/>
      <c r="T55" s="1020"/>
    </row>
    <row r="56" spans="1:20">
      <c r="B56" s="98"/>
      <c r="C56" s="98"/>
      <c r="D56" s="171"/>
      <c r="E56" s="98"/>
      <c r="F56" s="98"/>
      <c r="G56" s="98"/>
      <c r="H56" s="98"/>
      <c r="I56" s="98"/>
      <c r="J56" s="102"/>
      <c r="K56" s="2"/>
      <c r="T56" s="2"/>
    </row>
    <row r="57" spans="1:20">
      <c r="A57" s="277">
        <f>F18*12%</f>
        <v>470025.21263790154</v>
      </c>
      <c r="B57" s="102"/>
      <c r="C57" s="102"/>
      <c r="D57" s="155"/>
      <c r="E57" s="102"/>
      <c r="F57" s="102"/>
      <c r="G57" s="102"/>
      <c r="H57" s="102"/>
      <c r="I57" s="102"/>
      <c r="J57" s="102"/>
      <c r="K57" s="2"/>
      <c r="T57" s="2"/>
    </row>
    <row r="58" spans="1:20">
      <c r="B58" s="102"/>
      <c r="C58" s="102"/>
      <c r="D58" s="155"/>
      <c r="E58" s="102"/>
      <c r="F58" s="102"/>
      <c r="G58" s="102"/>
      <c r="H58" s="102"/>
      <c r="I58" s="102"/>
      <c r="J58" s="102"/>
      <c r="K58" s="2"/>
      <c r="T58" s="2"/>
    </row>
    <row r="59" spans="1:20">
      <c r="B59" s="2"/>
      <c r="C59" s="2"/>
      <c r="D59" s="83"/>
      <c r="E59" s="2"/>
      <c r="F59" s="2"/>
      <c r="G59" s="2"/>
      <c r="H59" s="2"/>
      <c r="I59" s="2"/>
      <c r="J59" s="2"/>
      <c r="K59" s="2"/>
      <c r="T59" s="2"/>
    </row>
    <row r="60" spans="1:20">
      <c r="B60" s="2"/>
      <c r="C60" s="2"/>
      <c r="D60" s="83"/>
      <c r="E60" s="2"/>
      <c r="F60" s="2"/>
      <c r="G60" s="2"/>
      <c r="H60" s="2"/>
      <c r="I60" s="2"/>
      <c r="J60" s="2"/>
      <c r="K60" s="2"/>
      <c r="T60" s="2"/>
    </row>
    <row r="61" spans="1:20">
      <c r="B61" s="2"/>
      <c r="C61" s="2"/>
      <c r="D61" s="83"/>
      <c r="E61" s="2"/>
      <c r="F61" s="2"/>
      <c r="G61" s="2"/>
      <c r="H61" s="2"/>
      <c r="I61" s="2"/>
      <c r="J61" s="2"/>
      <c r="K61" s="2"/>
    </row>
    <row r="62" spans="1:20">
      <c r="K62" s="2"/>
    </row>
    <row r="63" spans="1:20">
      <c r="K63" s="2"/>
    </row>
    <row r="64" spans="1:20">
      <c r="K64" s="2"/>
    </row>
    <row r="65" spans="11:11">
      <c r="K65" s="2"/>
    </row>
    <row r="66" spans="11:11">
      <c r="K66" s="2"/>
    </row>
    <row r="67" spans="11:11">
      <c r="K67" s="2"/>
    </row>
  </sheetData>
  <sheetProtection password="CC2E" sheet="1" formatCells="0" formatColumns="0" formatRows="0"/>
  <mergeCells count="85">
    <mergeCell ref="C55:D55"/>
    <mergeCell ref="G55:I55"/>
    <mergeCell ref="B44:C45"/>
    <mergeCell ref="D44:F45"/>
    <mergeCell ref="G44:I45"/>
    <mergeCell ref="D47:F47"/>
    <mergeCell ref="B54:D54"/>
    <mergeCell ref="G54:I54"/>
    <mergeCell ref="B40:C41"/>
    <mergeCell ref="D40:F41"/>
    <mergeCell ref="G40:I41"/>
    <mergeCell ref="B42:C43"/>
    <mergeCell ref="D42:F43"/>
    <mergeCell ref="G42:I43"/>
    <mergeCell ref="B36:C37"/>
    <mergeCell ref="D36:F37"/>
    <mergeCell ref="G36:I37"/>
    <mergeCell ref="B38:C39"/>
    <mergeCell ref="D38:F39"/>
    <mergeCell ref="G38:I39"/>
    <mergeCell ref="H30:I30"/>
    <mergeCell ref="B33:C33"/>
    <mergeCell ref="D33:F33"/>
    <mergeCell ref="G33:I33"/>
    <mergeCell ref="B34:C35"/>
    <mergeCell ref="D34:F35"/>
    <mergeCell ref="G34:I35"/>
    <mergeCell ref="B28:C28"/>
    <mergeCell ref="F28:I28"/>
    <mergeCell ref="L28:N28"/>
    <mergeCell ref="Q28:S28"/>
    <mergeCell ref="M29:N29"/>
    <mergeCell ref="R29:S29"/>
    <mergeCell ref="B25:C25"/>
    <mergeCell ref="F25:I25"/>
    <mergeCell ref="B26:C26"/>
    <mergeCell ref="F26:I26"/>
    <mergeCell ref="B27:C27"/>
    <mergeCell ref="F27:I27"/>
    <mergeCell ref="F23:I23"/>
    <mergeCell ref="F17:I17"/>
    <mergeCell ref="L17:M17"/>
    <mergeCell ref="O17:P17"/>
    <mergeCell ref="Q17:S17"/>
    <mergeCell ref="F18:I18"/>
    <mergeCell ref="L18:M18"/>
    <mergeCell ref="O18:P18"/>
    <mergeCell ref="Q18:S18"/>
    <mergeCell ref="L19:M19"/>
    <mergeCell ref="O19:P19"/>
    <mergeCell ref="Q19:S19"/>
    <mergeCell ref="F20:I20"/>
    <mergeCell ref="F21:I21"/>
    <mergeCell ref="F15:I15"/>
    <mergeCell ref="L15:M16"/>
    <mergeCell ref="N15:N16"/>
    <mergeCell ref="O15:P16"/>
    <mergeCell ref="Q15:S16"/>
    <mergeCell ref="F16:I16"/>
    <mergeCell ref="E12:F12"/>
    <mergeCell ref="G12:I12"/>
    <mergeCell ref="O12:P12"/>
    <mergeCell ref="Q12:S12"/>
    <mergeCell ref="E13:F13"/>
    <mergeCell ref="G13:I13"/>
    <mergeCell ref="O13:P13"/>
    <mergeCell ref="Q13:S13"/>
    <mergeCell ref="E10:I10"/>
    <mergeCell ref="O10:S10"/>
    <mergeCell ref="E11:F11"/>
    <mergeCell ref="G11:I11"/>
    <mergeCell ref="O11:P11"/>
    <mergeCell ref="Q11:S11"/>
    <mergeCell ref="E7:F7"/>
    <mergeCell ref="O7:S7"/>
    <mergeCell ref="E8:I8"/>
    <mergeCell ref="O8:S8"/>
    <mergeCell ref="E9:I9"/>
    <mergeCell ref="O9:S9"/>
    <mergeCell ref="R1:S1"/>
    <mergeCell ref="R2:S2"/>
    <mergeCell ref="B3:I4"/>
    <mergeCell ref="L3:S4"/>
    <mergeCell ref="E6:I6"/>
    <mergeCell ref="O6:S6"/>
  </mergeCells>
  <pageMargins left="0.59055118110236227" right="0.59055118110236227" top="0.86614173228346458" bottom="0.74803149606299213" header="0.31496062992125984" footer="0.31496062992125984"/>
  <pageSetup paperSize="14" scale="75" orientation="portrait" r:id="rId1"/>
  <headerFooter>
    <oddHeader xml:space="preserve">&amp;R&amp;"Century Gothic,Bold"&amp;18ANNEX A: 
SAMPLE PACKAGE COMPUTATION
</oddHeader>
  </headerFooter>
  <rowBreaks count="1" manualBreakCount="1">
    <brk id="60" max="18" man="1"/>
  </rowBreaks>
  <colBreaks count="1" manualBreakCount="1">
    <brk id="9" max="58" man="1"/>
  </colBreaks>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0"/>
  <dimension ref="A1:U123"/>
  <sheetViews>
    <sheetView showGridLines="0" showZeros="0" view="pageLayout" topLeftCell="A90" zoomScaleNormal="100" zoomScaleSheetLayoutView="85" workbookViewId="0">
      <selection activeCell="A116" sqref="A116:U116"/>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1182</v>
      </c>
      <c r="B3" s="22"/>
      <c r="C3" s="76"/>
      <c r="D3" s="1471" t="str">
        <f>FORM!I26</f>
        <v>buyer</v>
      </c>
      <c r="E3" s="1471"/>
      <c r="F3" s="1471"/>
      <c r="G3" s="1471"/>
      <c r="H3" s="1471"/>
      <c r="I3" s="1471"/>
      <c r="J3" s="1471"/>
      <c r="K3" s="1471"/>
      <c r="L3" s="1471"/>
      <c r="M3" s="1471"/>
      <c r="N3" s="1471"/>
      <c r="O3" s="1471"/>
      <c r="P3" s="1471"/>
      <c r="Q3" s="1471"/>
      <c r="R3" s="22"/>
      <c r="S3" s="22"/>
      <c r="T3" s="22"/>
      <c r="U3" s="24" t="s">
        <v>1183</v>
      </c>
    </row>
    <row r="4" spans="1:21">
      <c r="A4" s="1472" t="str">
        <f>FORM!I30</f>
        <v>address</v>
      </c>
      <c r="B4" s="1472"/>
      <c r="C4" s="1472"/>
      <c r="D4" s="1472"/>
      <c r="E4" s="1472"/>
      <c r="F4" s="1472"/>
      <c r="G4" s="1472"/>
      <c r="H4" s="1472"/>
      <c r="I4" s="1472"/>
      <c r="J4" s="1472"/>
      <c r="K4" s="1472"/>
      <c r="L4" s="1472"/>
      <c r="M4" s="1472"/>
      <c r="N4" s="1472"/>
      <c r="O4" s="1472"/>
      <c r="P4" s="1472"/>
      <c r="Q4" s="1472"/>
      <c r="R4" s="22"/>
      <c r="S4" s="22"/>
      <c r="T4" s="22"/>
      <c r="U4" s="24" t="s">
        <v>1184</v>
      </c>
    </row>
    <row r="5" spans="1:21" ht="16.5" customHeight="1">
      <c r="A5" s="1473" t="s">
        <v>1185</v>
      </c>
      <c r="B5" s="1473"/>
      <c r="C5" s="1473"/>
      <c r="D5" s="1473"/>
      <c r="E5" s="1473"/>
      <c r="F5" s="1473"/>
      <c r="G5" s="1473"/>
      <c r="H5" s="1473"/>
      <c r="I5" s="1473"/>
      <c r="J5" s="1473"/>
      <c r="K5" s="1473"/>
      <c r="L5" s="1473"/>
      <c r="M5" s="1473"/>
      <c r="N5" s="1473"/>
      <c r="O5" s="1473"/>
      <c r="P5" s="1473"/>
      <c r="Q5" s="1473"/>
      <c r="R5" s="1473"/>
      <c r="S5" s="1473"/>
      <c r="T5" s="1473"/>
      <c r="U5" s="1473"/>
    </row>
    <row r="6" spans="1:21">
      <c r="A6" s="1473"/>
      <c r="B6" s="1473"/>
      <c r="C6" s="1473"/>
      <c r="D6" s="1473"/>
      <c r="E6" s="1473"/>
      <c r="F6" s="1473"/>
      <c r="G6" s="1473"/>
      <c r="H6" s="1473"/>
      <c r="I6" s="1473"/>
      <c r="J6" s="1473"/>
      <c r="K6" s="1473"/>
      <c r="L6" s="1473"/>
      <c r="M6" s="1473"/>
      <c r="N6" s="1473"/>
      <c r="O6" s="1473"/>
      <c r="P6" s="1473"/>
      <c r="Q6" s="1473"/>
      <c r="R6" s="1473"/>
      <c r="S6" s="1473"/>
      <c r="T6" s="1473"/>
      <c r="U6" s="1473"/>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1186</v>
      </c>
      <c r="B8" s="22"/>
      <c r="C8" s="22"/>
      <c r="D8" s="22"/>
      <c r="E8" s="22"/>
      <c r="F8" s="22"/>
      <c r="G8" s="22"/>
      <c r="H8" s="1471" t="str">
        <f>FORM!AB11</f>
        <v>Iloilo Southprime Developers Inc.</v>
      </c>
      <c r="I8" s="1471"/>
      <c r="J8" s="1471"/>
      <c r="K8" s="1471"/>
      <c r="L8" s="1471"/>
      <c r="M8" s="1471"/>
      <c r="N8" s="1471"/>
      <c r="O8" s="1471"/>
      <c r="P8" s="22"/>
      <c r="Q8" s="22"/>
      <c r="R8" s="22"/>
      <c r="S8" s="22"/>
      <c r="T8" s="22"/>
      <c r="U8" s="24" t="s">
        <v>1187</v>
      </c>
    </row>
    <row r="9" spans="1:21">
      <c r="A9" s="1474" t="s">
        <v>1188</v>
      </c>
      <c r="B9" s="1474"/>
      <c r="C9" s="1474"/>
      <c r="D9" s="1474"/>
      <c r="E9" s="1474"/>
      <c r="F9" s="1474"/>
      <c r="G9" s="1474"/>
      <c r="H9" s="1474"/>
      <c r="I9" s="1474"/>
      <c r="J9" s="1474"/>
      <c r="K9" s="1474"/>
      <c r="L9" s="1474"/>
      <c r="M9" s="1474"/>
      <c r="N9" s="1474"/>
      <c r="O9" s="1474"/>
      <c r="P9" s="1474"/>
      <c r="Q9" s="1474"/>
      <c r="R9" s="1474"/>
      <c r="S9" s="1474"/>
      <c r="T9" s="1474"/>
      <c r="U9" s="1474"/>
    </row>
    <row r="10" spans="1:21">
      <c r="A10" s="1470" t="str">
        <f>FORM!AB12</f>
        <v>Avancena St Brgy. Avancena Molo Iloilo City</v>
      </c>
      <c r="B10" s="1470"/>
      <c r="C10" s="1470"/>
      <c r="D10" s="1470"/>
      <c r="E10" s="1470"/>
      <c r="F10" s="1470"/>
      <c r="G10" s="1470"/>
      <c r="H10" s="1470"/>
      <c r="I10" s="1470"/>
      <c r="J10" s="1470"/>
      <c r="K10" s="1470"/>
      <c r="L10" s="1470"/>
      <c r="M10" s="1470"/>
      <c r="N10" s="1470"/>
      <c r="O10" s="1470"/>
      <c r="P10" s="1470"/>
      <c r="Q10" s="22"/>
      <c r="R10" s="22"/>
      <c r="S10" s="22"/>
      <c r="T10" s="22"/>
      <c r="U10" s="24" t="s">
        <v>1189</v>
      </c>
    </row>
    <row r="11" spans="1:21">
      <c r="A11" s="22" t="s">
        <v>1190</v>
      </c>
      <c r="B11" s="22"/>
      <c r="C11" s="22"/>
      <c r="D11" s="22"/>
      <c r="E11" s="22"/>
      <c r="F11" s="22"/>
      <c r="G11" s="22"/>
      <c r="H11" s="22"/>
      <c r="I11" s="1472" t="str">
        <f>FORM!I11</f>
        <v>The Southprime Flats</v>
      </c>
      <c r="J11" s="1472"/>
      <c r="K11" s="1472"/>
      <c r="L11" s="1472"/>
      <c r="M11" s="1472"/>
      <c r="N11" s="1472"/>
      <c r="O11" s="1472"/>
      <c r="P11" s="1472"/>
      <c r="Q11" s="1472"/>
      <c r="R11" s="1472"/>
      <c r="S11" s="1472"/>
      <c r="T11" s="1472"/>
      <c r="U11" s="1472"/>
    </row>
    <row r="12" spans="1:21">
      <c r="A12" s="22" t="s">
        <v>1191</v>
      </c>
      <c r="B12" s="22"/>
      <c r="C12" s="22"/>
      <c r="D12" s="22"/>
      <c r="E12" s="22"/>
      <c r="F12" s="22"/>
      <c r="G12" s="22"/>
      <c r="H12" s="22"/>
      <c r="I12" s="22"/>
      <c r="J12" s="22"/>
      <c r="K12" s="22"/>
      <c r="L12" s="22"/>
      <c r="M12" s="1475" t="str">
        <f>FORM!AB13</f>
        <v>Abeto Street, Brgy. Abeto-Mirasol, Mandurriao, Iloilo City</v>
      </c>
      <c r="N12" s="1475"/>
      <c r="O12" s="1475"/>
      <c r="P12" s="1475"/>
      <c r="Q12" s="1475"/>
      <c r="R12" s="1475"/>
      <c r="S12" s="1475"/>
      <c r="T12" s="1475"/>
      <c r="U12" s="1475"/>
    </row>
    <row r="13" spans="1:21">
      <c r="A13" s="22" t="s">
        <v>1192</v>
      </c>
      <c r="B13" s="22"/>
      <c r="C13" s="22"/>
      <c r="D13" s="22"/>
      <c r="E13" s="22"/>
      <c r="F13" s="22"/>
      <c r="G13" s="22"/>
      <c r="H13" s="22"/>
      <c r="I13" s="22"/>
      <c r="J13" s="22"/>
      <c r="K13" s="1476" t="str">
        <f>'STANDARD COMP.'!E10</f>
        <v>Studio</v>
      </c>
      <c r="L13" s="1472"/>
      <c r="M13" s="1472"/>
      <c r="N13" s="1472"/>
      <c r="O13" s="1472"/>
      <c r="P13" s="1472"/>
      <c r="Q13" s="1472"/>
      <c r="R13" s="1472"/>
      <c r="S13" s="1472"/>
      <c r="T13" s="1472"/>
      <c r="U13" s="1472"/>
    </row>
    <row r="14" spans="1:21" ht="13.5" customHeight="1">
      <c r="A14" s="22" t="s">
        <v>1193</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1194</v>
      </c>
      <c r="B16" s="27"/>
      <c r="C16" s="27"/>
      <c r="D16" s="25"/>
      <c r="E16" s="1475" t="str">
        <f>FORM!I11</f>
        <v>The Southprime Flats</v>
      </c>
      <c r="F16" s="1475"/>
      <c r="G16" s="1475"/>
      <c r="H16" s="1475"/>
      <c r="I16" s="1475"/>
      <c r="J16" s="1475"/>
      <c r="K16" s="1475"/>
      <c r="L16" s="1475"/>
      <c r="M16" s="1475"/>
      <c r="N16" s="1475"/>
      <c r="O16" s="1475"/>
      <c r="P16" s="1475"/>
      <c r="Q16" s="1475"/>
      <c r="R16" s="1475"/>
      <c r="S16" s="1475"/>
      <c r="T16" s="1475"/>
      <c r="U16" s="58"/>
    </row>
    <row r="17" spans="1:21" ht="14.1">
      <c r="A17" s="28" t="s">
        <v>1195</v>
      </c>
      <c r="B17" s="29"/>
      <c r="C17" s="29"/>
      <c r="D17" s="30"/>
      <c r="E17" s="31" t="s">
        <v>1196</v>
      </c>
      <c r="F17" s="30"/>
      <c r="G17" s="30"/>
      <c r="H17" s="30"/>
      <c r="I17" s="30"/>
      <c r="J17" s="30"/>
      <c r="K17" s="30"/>
      <c r="L17" s="56" t="s">
        <v>1197</v>
      </c>
      <c r="M17" s="30"/>
      <c r="N17" s="30"/>
      <c r="O17" s="30"/>
      <c r="P17" s="30"/>
      <c r="Q17" s="30"/>
      <c r="R17" s="30"/>
      <c r="S17" s="30"/>
      <c r="T17" s="31" t="s">
        <v>1198</v>
      </c>
      <c r="U17" s="55"/>
    </row>
    <row r="18" spans="1:21" ht="14.1">
      <c r="A18" s="32"/>
      <c r="B18" s="5"/>
      <c r="C18" s="5"/>
      <c r="D18" s="5"/>
      <c r="E18" s="33" t="s">
        <v>1199</v>
      </c>
      <c r="F18" s="5"/>
      <c r="G18" s="5"/>
      <c r="H18" s="5"/>
      <c r="I18" s="5"/>
      <c r="J18" s="5"/>
      <c r="K18" s="5"/>
      <c r="L18" s="33" t="s">
        <v>1200</v>
      </c>
      <c r="M18" s="5"/>
      <c r="N18" s="5"/>
      <c r="O18" s="5"/>
      <c r="P18" s="5"/>
      <c r="Q18" s="5"/>
      <c r="R18" s="5"/>
      <c r="S18" s="5"/>
      <c r="T18" s="33" t="s">
        <v>1201</v>
      </c>
      <c r="U18" s="34"/>
    </row>
    <row r="19" spans="1:21">
      <c r="T19" s="2" t="s">
        <v>60</v>
      </c>
    </row>
    <row r="20" spans="1:21" ht="14.1">
      <c r="A20" s="1477" t="s">
        <v>1202</v>
      </c>
      <c r="B20" s="1478"/>
      <c r="C20" s="1478"/>
      <c r="D20" s="1478"/>
      <c r="E20" s="1478"/>
      <c r="F20" s="1479"/>
      <c r="G20" s="1477" t="s">
        <v>1203</v>
      </c>
      <c r="H20" s="1478"/>
      <c r="I20" s="1478"/>
      <c r="J20" s="1478"/>
      <c r="K20" s="1478"/>
      <c r="L20" s="1479"/>
      <c r="M20" s="1477" t="s">
        <v>1204</v>
      </c>
      <c r="N20" s="1478"/>
      <c r="O20" s="1478"/>
      <c r="P20" s="1478"/>
      <c r="Q20" s="1479"/>
      <c r="R20" s="1477" t="s">
        <v>1200</v>
      </c>
      <c r="S20" s="1478"/>
      <c r="T20" s="1478"/>
      <c r="U20" s="1479"/>
    </row>
    <row r="21" spans="1:21" ht="14.1">
      <c r="A21" s="39" t="s">
        <v>1205</v>
      </c>
      <c r="B21" s="40"/>
      <c r="C21" s="40"/>
      <c r="D21" s="1480" t="str">
        <f>FORM!I14</f>
        <v>B3</v>
      </c>
      <c r="E21" s="1481"/>
      <c r="F21" s="1482"/>
      <c r="G21" s="39" t="s">
        <v>1205</v>
      </c>
      <c r="H21" s="40"/>
      <c r="I21" s="41"/>
      <c r="J21" s="1483"/>
      <c r="K21" s="1484"/>
      <c r="L21" s="1485"/>
      <c r="M21" s="39" t="s">
        <v>1206</v>
      </c>
      <c r="N21" s="40"/>
      <c r="O21" s="41"/>
      <c r="P21" s="1486"/>
      <c r="Q21" s="1487"/>
      <c r="R21" s="80" t="s">
        <v>1205</v>
      </c>
      <c r="S21" s="81"/>
      <c r="T21" s="1488"/>
      <c r="U21" s="1489"/>
    </row>
    <row r="22" spans="1:21" ht="14.1">
      <c r="A22" s="37" t="s">
        <v>1207</v>
      </c>
      <c r="B22" s="38"/>
      <c r="C22" s="38"/>
      <c r="D22" s="1480" t="str">
        <f>FORM!I16</f>
        <v>11th Floor</v>
      </c>
      <c r="E22" s="1481"/>
      <c r="F22" s="1482"/>
      <c r="G22" s="39" t="s">
        <v>1208</v>
      </c>
      <c r="H22" s="40"/>
      <c r="I22" s="41"/>
      <c r="J22" s="1483"/>
      <c r="K22" s="1484"/>
      <c r="L22" s="1485"/>
      <c r="M22" s="39" t="s">
        <v>1209</v>
      </c>
      <c r="N22" s="40"/>
      <c r="O22" s="41"/>
      <c r="P22" s="1486"/>
      <c r="Q22" s="1487"/>
      <c r="R22" s="80" t="s">
        <v>1210</v>
      </c>
      <c r="S22" s="81"/>
      <c r="T22" s="1488"/>
      <c r="U22" s="1489"/>
    </row>
    <row r="23" spans="1:21" ht="14.1">
      <c r="A23" s="39" t="s">
        <v>1210</v>
      </c>
      <c r="B23" s="40"/>
      <c r="C23" s="41"/>
      <c r="D23" s="1480" t="str">
        <f>FORM!I18</f>
        <v>E-11K</v>
      </c>
      <c r="E23" s="1481"/>
      <c r="F23" s="1482"/>
      <c r="G23" s="39" t="s">
        <v>1211</v>
      </c>
      <c r="H23" s="40"/>
      <c r="I23" s="41"/>
      <c r="J23" s="1483"/>
      <c r="K23" s="1484"/>
      <c r="L23" s="1485"/>
      <c r="M23" s="39" t="s">
        <v>1212</v>
      </c>
      <c r="N23" s="40"/>
      <c r="O23" s="41"/>
      <c r="P23" s="1486"/>
      <c r="Q23" s="1487"/>
      <c r="R23" s="80" t="s">
        <v>1213</v>
      </c>
      <c r="S23" s="81"/>
      <c r="T23" s="1488"/>
      <c r="U23" s="1489"/>
    </row>
    <row r="24" spans="1:21" ht="16.5" customHeight="1">
      <c r="A24" s="37" t="s">
        <v>1214</v>
      </c>
      <c r="B24" s="38"/>
      <c r="C24" s="38"/>
      <c r="D24" s="1493">
        <f>'STANDARD COMP.'!E13</f>
        <v>22</v>
      </c>
      <c r="E24" s="1494"/>
      <c r="F24" s="1495"/>
      <c r="G24" s="39" t="s">
        <v>1213</v>
      </c>
      <c r="H24" s="40"/>
      <c r="I24" s="41"/>
      <c r="J24" s="1483"/>
      <c r="K24" s="1484"/>
      <c r="L24" s="1485"/>
      <c r="M24" s="37" t="s">
        <v>1215</v>
      </c>
      <c r="N24" s="38"/>
      <c r="O24" s="38"/>
      <c r="P24" s="1486"/>
      <c r="Q24" s="1487"/>
      <c r="R24" s="1496" t="s">
        <v>1216</v>
      </c>
      <c r="S24" s="1497"/>
      <c r="T24" s="1500"/>
      <c r="U24" s="1501"/>
    </row>
    <row r="25" spans="1:21" ht="14.1">
      <c r="A25" s="39" t="s">
        <v>1217</v>
      </c>
      <c r="B25" s="40"/>
      <c r="C25" s="41"/>
      <c r="D25" s="1504" t="str">
        <f>K13</f>
        <v>Studio</v>
      </c>
      <c r="E25" s="1481"/>
      <c r="F25" s="1482"/>
      <c r="G25" s="39" t="s">
        <v>1218</v>
      </c>
      <c r="H25" s="40"/>
      <c r="I25" s="41"/>
      <c r="J25" s="1483"/>
      <c r="K25" s="1484"/>
      <c r="L25" s="1485"/>
      <c r="M25" s="39" t="s">
        <v>1219</v>
      </c>
      <c r="N25" s="40"/>
      <c r="O25" s="41"/>
      <c r="P25" s="1480"/>
      <c r="Q25" s="1482"/>
      <c r="R25" s="1498"/>
      <c r="S25" s="1499"/>
      <c r="T25" s="1502"/>
      <c r="U25" s="1503"/>
    </row>
    <row r="27" spans="1:21" ht="14.1">
      <c r="A27" s="39" t="s">
        <v>1220</v>
      </c>
      <c r="B27" s="40"/>
      <c r="C27" s="40"/>
      <c r="D27" s="40"/>
      <c r="E27" s="40"/>
      <c r="F27" s="40"/>
      <c r="G27" s="40"/>
      <c r="H27" s="41"/>
      <c r="I27" s="1574">
        <f>'SPOT CASH_60 DAYS'!F15</f>
        <v>4123028.1810342241</v>
      </c>
      <c r="J27" s="1575"/>
      <c r="K27" s="1575"/>
      <c r="L27" s="1575"/>
      <c r="M27" s="1575"/>
      <c r="N27" s="1575"/>
      <c r="O27" s="1575"/>
      <c r="P27" s="1575"/>
      <c r="Q27" s="1575"/>
      <c r="R27" s="1575"/>
      <c r="S27" s="1575"/>
      <c r="T27" s="1575"/>
      <c r="U27" s="1576"/>
    </row>
    <row r="28" spans="1:21" ht="14.1">
      <c r="A28" s="39" t="s">
        <v>1221</v>
      </c>
      <c r="B28" s="40"/>
      <c r="C28" s="42"/>
      <c r="D28" s="42"/>
      <c r="E28" s="42"/>
      <c r="F28" s="42"/>
      <c r="G28" s="42"/>
      <c r="H28" s="43"/>
      <c r="I28" s="1490">
        <f>'SPOT CASH_60 DAYS'!F16+'SPOT CASH_60 DAYS'!F17</f>
        <v>206151.40905171121</v>
      </c>
      <c r="J28" s="1491"/>
      <c r="K28" s="1491"/>
      <c r="L28" s="1491"/>
      <c r="M28" s="1491"/>
      <c r="N28" s="1491"/>
      <c r="O28" s="1491"/>
      <c r="P28" s="1491"/>
      <c r="Q28" s="1491"/>
      <c r="R28" s="1491"/>
      <c r="S28" s="1491"/>
      <c r="T28" s="1491"/>
      <c r="U28" s="1492"/>
    </row>
    <row r="29" spans="1:21" ht="14.1">
      <c r="A29" s="49" t="s">
        <v>1222</v>
      </c>
      <c r="B29" s="50"/>
      <c r="C29" s="51"/>
      <c r="D29" s="51"/>
      <c r="E29" s="51"/>
      <c r="F29" s="51"/>
      <c r="G29" s="51"/>
      <c r="H29" s="48"/>
      <c r="I29" s="1574">
        <f>'SPOT CASH_60 DAYS'!F18</f>
        <v>3916876.7719825129</v>
      </c>
      <c r="J29" s="1575"/>
      <c r="K29" s="1575"/>
      <c r="L29" s="1575"/>
      <c r="M29" s="1575"/>
      <c r="N29" s="1575"/>
      <c r="O29" s="1575"/>
      <c r="P29" s="1575"/>
      <c r="Q29" s="1575"/>
      <c r="R29" s="1575"/>
      <c r="S29" s="1575"/>
      <c r="T29" s="1575"/>
      <c r="U29" s="1576"/>
    </row>
    <row r="30" spans="1:21" ht="14.1">
      <c r="A30" s="39" t="s">
        <v>1223</v>
      </c>
      <c r="B30" s="40"/>
      <c r="C30" s="42"/>
      <c r="D30" s="42"/>
      <c r="E30" s="42"/>
      <c r="F30" s="42"/>
      <c r="G30" s="42"/>
      <c r="H30" s="43"/>
      <c r="I30" s="1574">
        <f>'SPOT CASH_60 DAYS'!F21</f>
        <v>379227.11357756681</v>
      </c>
      <c r="J30" s="1575"/>
      <c r="K30" s="1575"/>
      <c r="L30" s="1575"/>
      <c r="M30" s="1575"/>
      <c r="N30" s="1575"/>
      <c r="O30" s="1575"/>
      <c r="P30" s="1575"/>
      <c r="Q30" s="1575"/>
      <c r="R30" s="1575"/>
      <c r="S30" s="1575"/>
      <c r="T30" s="1575"/>
      <c r="U30" s="1576"/>
    </row>
    <row r="31" spans="1:21" ht="14.1">
      <c r="A31" s="39" t="s">
        <v>1224</v>
      </c>
      <c r="B31" s="40"/>
      <c r="C31" s="42"/>
      <c r="D31" s="42"/>
      <c r="E31" s="42"/>
      <c r="F31" s="42"/>
      <c r="G31" s="42"/>
      <c r="H31" s="43"/>
      <c r="I31" s="1574">
        <f>'SPOT CASH_60 DAYS'!F20</f>
        <v>470025.21263790154</v>
      </c>
      <c r="J31" s="1575"/>
      <c r="K31" s="1575"/>
      <c r="L31" s="1575"/>
      <c r="M31" s="1575"/>
      <c r="N31" s="1575"/>
      <c r="O31" s="1575"/>
      <c r="P31" s="1575"/>
      <c r="Q31" s="1575"/>
      <c r="R31" s="1575"/>
      <c r="S31" s="1575"/>
      <c r="T31" s="1575"/>
      <c r="U31" s="1576"/>
    </row>
    <row r="32" spans="1:21" ht="14.1">
      <c r="A32" s="39" t="s">
        <v>170</v>
      </c>
      <c r="B32" s="40"/>
      <c r="C32" s="42"/>
      <c r="D32" s="42"/>
      <c r="E32" s="42"/>
      <c r="F32" s="42"/>
      <c r="G32" s="42"/>
      <c r="H32" s="43"/>
      <c r="I32" s="1574">
        <f>'SPOT CASH_60 DAYS'!F23</f>
        <v>4766129.0981979817</v>
      </c>
      <c r="J32" s="1575"/>
      <c r="K32" s="1575"/>
      <c r="L32" s="1575"/>
      <c r="M32" s="1575"/>
      <c r="N32" s="1575"/>
      <c r="O32" s="1575"/>
      <c r="P32" s="1575"/>
      <c r="Q32" s="1575"/>
      <c r="R32" s="1575"/>
      <c r="S32" s="1575"/>
      <c r="T32" s="1575"/>
      <c r="U32" s="1576"/>
    </row>
    <row r="34" spans="1:21">
      <c r="A34" s="70" t="s">
        <v>1225</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1226</v>
      </c>
      <c r="E36" s="18"/>
      <c r="F36" s="18"/>
      <c r="G36" s="18"/>
      <c r="H36" s="18"/>
      <c r="I36" s="18"/>
      <c r="J36" s="18"/>
      <c r="K36" s="18"/>
      <c r="L36" s="18"/>
      <c r="M36" s="18" t="s">
        <v>1227</v>
      </c>
      <c r="O36" s="18"/>
      <c r="P36" s="18"/>
      <c r="Q36" s="18"/>
      <c r="R36" s="18"/>
      <c r="S36" s="18" t="s">
        <v>1228</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1229</v>
      </c>
      <c r="T39"/>
    </row>
    <row r="40" spans="1:21" ht="13.5" customHeight="1">
      <c r="A40" s="75" t="s">
        <v>1230</v>
      </c>
      <c r="C40" s="1507" t="s">
        <v>1231</v>
      </c>
      <c r="D40" s="1507"/>
      <c r="E40" s="1507"/>
      <c r="F40" s="1507"/>
      <c r="G40" s="1507"/>
      <c r="H40" s="1507"/>
      <c r="I40" s="1507"/>
      <c r="J40" s="1507"/>
      <c r="K40" s="1507"/>
      <c r="L40" s="1507"/>
      <c r="M40" s="1507"/>
      <c r="N40" s="1507"/>
      <c r="O40" s="150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"&amp;PROPER(IF(LEN(LEFT(TRIM(MID(SUBSTITUTE([9]Sheet1!A2,".",REPT(" ",255)),255,200)),2))=1,CHOOSE(1*LEFT(TRIM(MID(SUBSTITUTE([9]Sheet1!A2,".",REPT(" ",255)),255,200)),2),"ten","twenty","thirty","forty","fifty","sixty","seventy","eighty","ninety")&amp;" cents","")&amp;CONCATENATE(CHOOSE(MID(TEXT(INT(LEFT(TRIM(MID(SUBSTITUTE([9]Sheet1!A2,".",REPT(" ",255)),255,200)),2)),REPT(0,12)),11,1)+1,"",CHOOSE(MID(TEXT(INT(LEFT(TRIM(MID(SUBSTITUTE([9]Sheet1!A2,".",REPT(" ",255)),255,200)),2)),REPT(0,12)),12,1)+1,"ten","eleven","twelve","thirteen","fourteen","fifteen","sixteen","seventeen","eighteen","nineteen")&amp;" cents","twenty","thirty","forty","fifty","sixty","seventy","eighty","ninety"),IF(VALUE(MID(TEXT(INT(LEFT(TRIM(MID(SUBSTITUTE([9]Sheet1!A2,".",REPT(" ",255)),255,200)),2)),REPT(0,12)),11,1))&gt;1,CHOOSE(MID(TEXT(INT(LEFT(TRIM(MID(SUBSTITUTE([9]Sheet1!A2,".",REPT(" ",255)),255,200)),2)),REPT(0,12)),12,1)+1,"","-one","-two","-three","-four","-five","-six","-seven","-eight","-nine")&amp;" cents",IF(LEFT(TRIM(MID(SUBSTITUTE([9]Sheet1!A2,".",REPT(" ",255)),255,200)),2)="01","one cent",IF(LEFT(TRIM(MID(SUBSTITUTE([9]Sheet1!A2,".",REPT(" ",255)),255,200)),1)="0",CHOOSE(MID(TEXT(INT(LEFT(TRIM(MID(SUBSTITUTE([9]Sheet1!A2,".",REPT(" ",255)),255,200)),2)),REPT(0,12)),12,1)+1,"","one","two","three","four","five","six","seven","eight","nine")&amp;" cents","")))))))</f>
        <v>Thirty Thousand  Pesos</v>
      </c>
      <c r="P40" s="1508"/>
      <c r="Q40" s="1508"/>
      <c r="R40" s="1508"/>
      <c r="S40" s="79" t="s">
        <v>1232</v>
      </c>
      <c r="T40" s="358">
        <f>FORM!I22</f>
        <v>30000</v>
      </c>
      <c r="U40" s="82" t="s">
        <v>1233</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60</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1234</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1235</v>
      </c>
      <c r="D89" s="59"/>
      <c r="E89" s="59"/>
      <c r="F89" s="59"/>
      <c r="G89" s="59"/>
      <c r="H89" s="59"/>
      <c r="I89" s="59"/>
      <c r="J89" s="59"/>
      <c r="K89" s="66" t="s">
        <v>1236</v>
      </c>
      <c r="L89" s="59"/>
      <c r="M89" s="59"/>
      <c r="N89" s="59"/>
      <c r="O89" s="59"/>
      <c r="P89" s="59"/>
      <c r="Q89" s="59"/>
      <c r="R89" s="66" t="s">
        <v>1237</v>
      </c>
      <c r="S89" s="66"/>
      <c r="T89" s="66"/>
      <c r="U89" s="65"/>
    </row>
    <row r="90" spans="1:21" ht="14.1">
      <c r="A90" s="187"/>
      <c r="B90" s="188"/>
      <c r="C90" s="59" t="s">
        <v>1238</v>
      </c>
      <c r="D90" s="189"/>
      <c r="E90" s="1509"/>
      <c r="F90" s="1509"/>
      <c r="G90" s="1509"/>
      <c r="H90" s="189"/>
      <c r="I90" s="189"/>
      <c r="J90" s="188"/>
      <c r="K90" s="59" t="s">
        <v>1239</v>
      </c>
      <c r="L90" s="189"/>
      <c r="M90" s="1509"/>
      <c r="N90" s="1509"/>
      <c r="O90" s="1509"/>
      <c r="P90" s="189"/>
      <c r="Q90" s="188"/>
      <c r="R90" s="59" t="s">
        <v>1240</v>
      </c>
      <c r="S90" s="1509"/>
      <c r="T90" s="1509"/>
      <c r="U90" s="65"/>
    </row>
    <row r="91" spans="1:21" ht="14.1">
      <c r="A91" s="187"/>
      <c r="B91" s="188"/>
      <c r="C91" s="59" t="s">
        <v>1241</v>
      </c>
      <c r="D91" s="189"/>
      <c r="E91" s="1509"/>
      <c r="F91" s="1509"/>
      <c r="G91" s="1509"/>
      <c r="H91" s="189"/>
      <c r="I91" s="189"/>
      <c r="J91" s="188"/>
      <c r="K91" s="59" t="s">
        <v>1242</v>
      </c>
      <c r="L91" s="189"/>
      <c r="M91" s="1509"/>
      <c r="N91" s="1509"/>
      <c r="O91" s="1509"/>
      <c r="P91" s="189"/>
      <c r="Q91" s="188"/>
      <c r="R91" s="59" t="s">
        <v>1243</v>
      </c>
      <c r="S91" s="1510"/>
      <c r="T91" s="1510"/>
      <c r="U91" s="65"/>
    </row>
    <row r="92" spans="1:21" ht="14.1">
      <c r="A92" s="187"/>
      <c r="B92" s="189"/>
      <c r="C92" s="189"/>
      <c r="D92" s="189"/>
      <c r="E92" s="189"/>
      <c r="F92" s="189"/>
      <c r="G92" s="189"/>
      <c r="H92" s="189"/>
      <c r="I92" s="189"/>
      <c r="J92" s="189"/>
      <c r="K92" s="189"/>
      <c r="L92" s="189"/>
      <c r="M92" s="189"/>
      <c r="N92" s="189"/>
      <c r="O92" s="189"/>
      <c r="P92" s="189"/>
      <c r="Q92" s="188"/>
      <c r="R92" s="59" t="s">
        <v>1244</v>
      </c>
      <c r="S92" s="1510"/>
      <c r="T92" s="1510"/>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511" t="s">
        <v>1245</v>
      </c>
      <c r="B95" s="1512"/>
      <c r="C95" s="1512"/>
      <c r="D95" s="1512"/>
      <c r="E95" s="1512"/>
      <c r="F95" s="1512"/>
      <c r="G95" s="1512"/>
      <c r="H95" s="1512"/>
      <c r="I95" s="1512"/>
      <c r="J95" s="1512"/>
      <c r="K95" s="1512"/>
      <c r="L95" s="1512"/>
      <c r="M95" s="1512"/>
      <c r="N95" s="1512"/>
      <c r="O95" s="1512"/>
      <c r="P95" s="1512"/>
      <c r="Q95" s="1512"/>
      <c r="R95" s="1512"/>
      <c r="S95" s="1512"/>
      <c r="T95" s="1512"/>
      <c r="U95" s="1513"/>
    </row>
    <row r="96" spans="1:21">
      <c r="A96" s="1505" t="s">
        <v>1052</v>
      </c>
      <c r="B96" s="1505"/>
      <c r="C96" s="1505"/>
      <c r="D96" s="1505"/>
      <c r="E96" s="1505"/>
      <c r="F96" s="1505"/>
      <c r="G96" s="1505"/>
      <c r="H96" s="1505"/>
      <c r="I96" s="1505" t="s">
        <v>1246</v>
      </c>
      <c r="J96" s="1505"/>
      <c r="K96" s="1505"/>
      <c r="L96" s="1505"/>
      <c r="M96" s="1505"/>
      <c r="N96" s="1505"/>
      <c r="O96" s="1505"/>
      <c r="P96" s="1506" t="s">
        <v>1054</v>
      </c>
      <c r="Q96" s="1506"/>
      <c r="R96" s="1506"/>
      <c r="S96" s="1506"/>
      <c r="T96" s="1506"/>
      <c r="U96" s="1506"/>
    </row>
    <row r="97" spans="1:21" ht="14.1">
      <c r="A97" s="1321" t="str">
        <f>FORM!I46</f>
        <v>Brokerage/Realty</v>
      </c>
      <c r="B97" s="1321"/>
      <c r="C97" s="1321"/>
      <c r="D97" s="1321"/>
      <c r="E97" s="1321"/>
      <c r="F97" s="1321"/>
      <c r="G97" s="1321"/>
      <c r="H97" s="1321"/>
      <c r="I97" s="1322">
        <f>FORM!M46</f>
        <v>0</v>
      </c>
      <c r="J97" s="1322"/>
      <c r="K97" s="1322"/>
      <c r="L97" s="1322"/>
      <c r="M97" s="1322"/>
      <c r="N97" s="1322"/>
      <c r="O97" s="1322"/>
      <c r="P97" s="1322">
        <f>FORM!T46</f>
        <v>0</v>
      </c>
      <c r="Q97" s="1322"/>
      <c r="R97" s="1322"/>
      <c r="S97" s="1322"/>
      <c r="T97" s="1322"/>
      <c r="U97" s="1322"/>
    </row>
    <row r="98" spans="1:21" ht="14.1">
      <c r="A98" s="1321" t="str">
        <f>FORM!I47</f>
        <v>Broker Head/AVP</v>
      </c>
      <c r="B98" s="1321"/>
      <c r="C98" s="1321"/>
      <c r="D98" s="1321"/>
      <c r="E98" s="1321"/>
      <c r="F98" s="1321"/>
      <c r="G98" s="1321"/>
      <c r="H98" s="1321"/>
      <c r="I98" s="1322">
        <f>FORM!M47</f>
        <v>0</v>
      </c>
      <c r="J98" s="1322"/>
      <c r="K98" s="1322"/>
      <c r="L98" s="1322"/>
      <c r="M98" s="1322"/>
      <c r="N98" s="1322"/>
      <c r="O98" s="1322"/>
      <c r="P98" s="1322">
        <f>FORM!T47</f>
        <v>0</v>
      </c>
      <c r="Q98" s="1322"/>
      <c r="R98" s="1322"/>
      <c r="S98" s="1322"/>
      <c r="T98" s="1322"/>
      <c r="U98" s="1322"/>
    </row>
    <row r="99" spans="1:21" ht="14.1">
      <c r="A99" s="1321" t="str">
        <f>FORM!I48</f>
        <v>Sales Manager</v>
      </c>
      <c r="B99" s="1321"/>
      <c r="C99" s="1321"/>
      <c r="D99" s="1321"/>
      <c r="E99" s="1321"/>
      <c r="F99" s="1321"/>
      <c r="G99" s="1321"/>
      <c r="H99" s="1321"/>
      <c r="I99" s="1322">
        <f>FORM!M48</f>
        <v>0</v>
      </c>
      <c r="J99" s="1322"/>
      <c r="K99" s="1322"/>
      <c r="L99" s="1322"/>
      <c r="M99" s="1322"/>
      <c r="N99" s="1322"/>
      <c r="O99" s="1322"/>
      <c r="P99" s="1322">
        <f>FORM!T48</f>
        <v>0</v>
      </c>
      <c r="Q99" s="1322"/>
      <c r="R99" s="1322"/>
      <c r="S99" s="1322"/>
      <c r="T99" s="1322"/>
      <c r="U99" s="1322"/>
    </row>
    <row r="100" spans="1:21" ht="14.1">
      <c r="A100" s="1321" t="str">
        <f>FORM!I49</f>
        <v xml:space="preserve">Sales Agent/Property Consultant </v>
      </c>
      <c r="B100" s="1321"/>
      <c r="C100" s="1321"/>
      <c r="D100" s="1321"/>
      <c r="E100" s="1321"/>
      <c r="F100" s="1321"/>
      <c r="G100" s="1321"/>
      <c r="H100" s="1321"/>
      <c r="I100" s="1322">
        <f>FORM!M49</f>
        <v>0</v>
      </c>
      <c r="J100" s="1322"/>
      <c r="K100" s="1322"/>
      <c r="L100" s="1322"/>
      <c r="M100" s="1322"/>
      <c r="N100" s="1322"/>
      <c r="O100" s="1322"/>
      <c r="P100" s="1322">
        <f>FORM!T49</f>
        <v>0</v>
      </c>
      <c r="Q100" s="1322"/>
      <c r="R100" s="1322"/>
      <c r="S100" s="1322"/>
      <c r="T100" s="1322"/>
      <c r="U100" s="1322"/>
    </row>
    <row r="102" spans="1:21" ht="14.1">
      <c r="A102" s="1514" t="s">
        <v>1247</v>
      </c>
      <c r="B102" s="1515"/>
      <c r="C102" s="1515"/>
      <c r="D102" s="1515"/>
      <c r="E102" s="1515"/>
      <c r="F102" s="1515"/>
      <c r="G102" s="1515"/>
      <c r="H102" s="1515"/>
      <c r="I102" s="1515"/>
      <c r="J102" s="1515"/>
      <c r="K102" s="1515"/>
      <c r="L102" s="1515"/>
      <c r="M102" s="1515"/>
      <c r="N102" s="1515"/>
      <c r="O102" s="1515"/>
      <c r="P102" s="1515"/>
      <c r="Q102" s="1515"/>
      <c r="R102" s="1515"/>
      <c r="S102" s="1515"/>
      <c r="T102" s="1515"/>
      <c r="U102" s="1515"/>
    </row>
    <row r="112" spans="1:21">
      <c r="G112" s="22"/>
      <c r="H112" s="1470" t="str">
        <f>D3</f>
        <v>buyer</v>
      </c>
      <c r="I112" s="1470"/>
      <c r="J112" s="1470"/>
      <c r="K112" s="1470"/>
      <c r="L112" s="1470"/>
      <c r="M112" s="1470"/>
      <c r="N112" s="1470"/>
      <c r="O112" s="1470"/>
      <c r="P112" s="1470"/>
      <c r="Q112" s="1470"/>
    </row>
    <row r="113" spans="1:21" ht="25.5" customHeight="1">
      <c r="A113" s="1516" t="s">
        <v>1248</v>
      </c>
      <c r="B113" s="1516"/>
      <c r="C113" s="1516"/>
      <c r="D113" s="1516"/>
      <c r="E113" s="1516"/>
      <c r="F113" s="1516"/>
      <c r="G113" s="1516"/>
      <c r="H113" s="1516"/>
      <c r="I113" s="1516"/>
      <c r="J113" s="1516"/>
      <c r="K113" s="1516"/>
      <c r="L113" s="1516"/>
      <c r="M113" s="1516"/>
      <c r="N113" s="1516"/>
      <c r="O113" s="1516"/>
      <c r="P113" s="1516"/>
      <c r="Q113" s="1516"/>
      <c r="R113" s="1516"/>
      <c r="S113" s="1516"/>
      <c r="T113" s="1516"/>
      <c r="U113" s="1516"/>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517" t="s">
        <v>1249</v>
      </c>
      <c r="B116" s="1517"/>
      <c r="C116" s="1517"/>
      <c r="D116" s="1517"/>
      <c r="E116" s="1517"/>
      <c r="F116" s="1517"/>
      <c r="G116" s="1517"/>
      <c r="H116" s="1517"/>
      <c r="I116" s="1517"/>
      <c r="J116" s="1517"/>
      <c r="K116" s="1517"/>
      <c r="L116" s="1517"/>
      <c r="M116" s="1517"/>
      <c r="N116" s="1517"/>
      <c r="O116" s="1517"/>
      <c r="P116" s="1517"/>
      <c r="Q116" s="1517"/>
      <c r="R116" s="1517"/>
      <c r="S116" s="1517"/>
      <c r="T116" s="1517"/>
      <c r="U116" s="1517"/>
    </row>
    <row r="117" spans="1:21" ht="21.75" customHeight="1">
      <c r="A117" s="1518" t="str">
        <f>H8</f>
        <v>Iloilo Southprime Developers Inc.</v>
      </c>
      <c r="B117" s="1518"/>
      <c r="C117" s="1518"/>
      <c r="D117" s="1518"/>
      <c r="E117" s="1518"/>
      <c r="F117" s="1518"/>
      <c r="G117" s="1518"/>
      <c r="H117" s="1518"/>
      <c r="I117" s="1518"/>
      <c r="J117" s="1518"/>
      <c r="K117" s="1518"/>
      <c r="L117" s="1518"/>
      <c r="M117" s="1518"/>
      <c r="N117" s="1518"/>
      <c r="O117" s="1518"/>
      <c r="P117" s="1518"/>
      <c r="Q117" s="1518"/>
      <c r="R117" s="1518"/>
      <c r="S117" s="1518"/>
      <c r="T117" s="1518"/>
      <c r="U117" s="1518"/>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Xr8/CHgrwny/edN8qyrIovKZBdtC04lwpYEAKN0vy1pI6dTTtnD9KBSOVad+cITTkY5oNr1ONN82JZ04nbJMIA==" saltValue="wQ+UtifyxDuhFIVqiTWPhQ==" spinCount="100000" sheet="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94488188976377963"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2705"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2706" r:id="rId5" name="Check Box 2">
              <controlPr defaultSize="0" autoFill="0" autoLine="0" autoPict="0">
                <anchor moveWithCells="1">
                  <from>
                    <xdr:col>11</xdr:col>
                    <xdr:colOff>69850</xdr:colOff>
                    <xdr:row>35</xdr:row>
                    <xdr:rowOff>0</xdr:rowOff>
                  </from>
                  <to>
                    <xdr:col>12</xdr:col>
                    <xdr:colOff>3175</xdr:colOff>
                    <xdr:row>36</xdr:row>
                    <xdr:rowOff>12700</xdr:rowOff>
                  </to>
                </anchor>
              </controlPr>
            </control>
          </mc:Choice>
        </mc:AlternateContent>
        <mc:AlternateContent xmlns:mc="http://schemas.openxmlformats.org/markup-compatibility/2006">
          <mc:Choice Requires="x14">
            <control shapeId="72707"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2708"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2709"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2710"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2711"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2712"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2713"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2714" r:id="rId13" name="Check Box 10">
              <controlPr defaultSize="0" autoFill="0" autoLine="0" autoPict="0">
                <anchor moveWithCells="1">
                  <from>
                    <xdr:col>16</xdr:col>
                    <xdr:colOff>139700</xdr:colOff>
                    <xdr:row>88</xdr:row>
                    <xdr:rowOff>0</xdr:rowOff>
                  </from>
                  <to>
                    <xdr:col>17</xdr:col>
                    <xdr:colOff>3175</xdr:colOff>
                    <xdr:row>89</xdr:row>
                    <xdr:rowOff>25400</xdr:rowOff>
                  </to>
                </anchor>
              </controlPr>
            </control>
          </mc:Choice>
        </mc:AlternateContent>
        <mc:AlternateContent xmlns:mc="http://schemas.openxmlformats.org/markup-compatibility/2006">
          <mc:Choice Requires="x14">
            <control shapeId="72715"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2716"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2717"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2718"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2719"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2720"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2721"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2722"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2723"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2"/>
  <dimension ref="A1:AW166"/>
  <sheetViews>
    <sheetView showZeros="0" showWhiteSpace="0" view="pageLayout" topLeftCell="A15" zoomScale="85" zoomScaleNormal="100" zoomScaleSheetLayoutView="70" zoomScalePageLayoutView="85" workbookViewId="0">
      <selection activeCell="K34" sqref="K34:L37"/>
    </sheetView>
  </sheetViews>
  <sheetFormatPr defaultColWidth="9.140625" defaultRowHeight="14.45"/>
  <cols>
    <col min="1" max="1" width="0.85546875" customWidth="1"/>
    <col min="2" max="2" width="11.42578125" customWidth="1"/>
    <col min="3" max="3" width="17.140625" customWidth="1"/>
    <col min="4" max="4" width="12.85546875" style="103" customWidth="1"/>
    <col min="5" max="5" width="15.140625" customWidth="1"/>
    <col min="6" max="6" width="8.42578125" customWidth="1"/>
    <col min="7" max="7" width="14.140625" customWidth="1"/>
    <col min="8" max="8" width="11.85546875" customWidth="1"/>
    <col min="9" max="9" width="19" customWidth="1"/>
    <col min="10" max="10" width="0.42578125" customWidth="1"/>
    <col min="12" max="12" width="17.5703125" customWidth="1"/>
    <col min="13" max="13" width="16.5703125" style="104" customWidth="1"/>
    <col min="14" max="14" width="5.42578125" customWidth="1"/>
    <col min="15" max="15" width="19.140625" customWidth="1"/>
    <col min="16" max="16" width="11.85546875" customWidth="1"/>
    <col min="17" max="17" width="7.85546875" customWidth="1"/>
    <col min="18" max="18" width="22.5703125" customWidth="1"/>
    <col min="19" max="19" width="9.140625" style="471"/>
    <col min="20" max="20" width="21.42578125" style="477" hidden="1" customWidth="1"/>
    <col min="21" max="21" width="9.140625" style="477" hidden="1" customWidth="1"/>
    <col min="22" max="22" width="11.140625" style="477" hidden="1" customWidth="1"/>
    <col min="23" max="23" width="9.140625" style="471" hidden="1" customWidth="1"/>
    <col min="24" max="25" width="8" style="471" hidden="1" customWidth="1"/>
    <col min="26" max="26" width="10.140625" style="471" hidden="1" customWidth="1"/>
    <col min="27" max="44" width="9.140625" style="471"/>
  </cols>
  <sheetData>
    <row r="1" spans="1:49" s="477" customFormat="1" ht="16.5" customHeight="1">
      <c r="A1" s="485"/>
      <c r="B1" s="134" t="s">
        <v>1059</v>
      </c>
      <c r="C1" s="486">
        <f>FORM!I20</f>
        <v>45901</v>
      </c>
      <c r="D1" s="487"/>
      <c r="F1" s="487"/>
      <c r="G1" s="487"/>
      <c r="H1" s="134" t="s">
        <v>1173</v>
      </c>
      <c r="I1" s="488" t="s">
        <v>1061</v>
      </c>
      <c r="J1" s="485"/>
      <c r="K1" s="165" t="s">
        <v>1059</v>
      </c>
      <c r="L1" s="489">
        <f>C1</f>
        <v>45901</v>
      </c>
      <c r="M1" s="487"/>
      <c r="N1" s="478"/>
      <c r="P1" s="160" t="s">
        <v>1173</v>
      </c>
      <c r="Q1" s="1616" t="s">
        <v>1063</v>
      </c>
      <c r="R1" s="1616"/>
    </row>
    <row r="2" spans="1:49" s="477" customFormat="1" ht="16.5" customHeight="1">
      <c r="A2" s="478"/>
      <c r="B2" s="478"/>
      <c r="C2" s="479"/>
      <c r="D2" s="479"/>
      <c r="E2" s="478"/>
      <c r="F2" s="478"/>
      <c r="G2" s="480"/>
      <c r="H2" s="480"/>
      <c r="I2" s="480"/>
      <c r="J2" s="485"/>
      <c r="K2" s="478"/>
      <c r="L2" s="479"/>
      <c r="M2" s="479"/>
      <c r="N2" s="478"/>
      <c r="O2" s="478"/>
      <c r="P2" s="478"/>
      <c r="Q2" s="1617"/>
      <c r="R2" s="1617"/>
    </row>
    <row r="3" spans="1:49" s="477" customFormat="1" ht="15.75" customHeight="1">
      <c r="A3" s="480"/>
      <c r="B3" s="1447" t="s">
        <v>1273</v>
      </c>
      <c r="C3" s="1447"/>
      <c r="D3" s="1447"/>
      <c r="E3" s="1447"/>
      <c r="F3" s="1447"/>
      <c r="G3" s="1447"/>
      <c r="H3" s="1447"/>
      <c r="I3" s="1447"/>
      <c r="J3" s="480"/>
      <c r="K3" s="1447" t="s">
        <v>1065</v>
      </c>
      <c r="L3" s="1447"/>
      <c r="M3" s="1447"/>
      <c r="N3" s="1447"/>
      <c r="O3" s="1447"/>
      <c r="P3" s="1447"/>
      <c r="Q3" s="1447"/>
      <c r="R3" s="1447"/>
    </row>
    <row r="4" spans="1:49" s="477" customFormat="1" ht="15.75" customHeight="1">
      <c r="A4" s="480"/>
      <c r="B4" s="1447"/>
      <c r="C4" s="1447"/>
      <c r="D4" s="1447"/>
      <c r="E4" s="1447"/>
      <c r="F4" s="1447"/>
      <c r="G4" s="1447"/>
      <c r="H4" s="1447"/>
      <c r="I4" s="1447"/>
      <c r="J4" s="480"/>
      <c r="K4" s="1447"/>
      <c r="L4" s="1447"/>
      <c r="M4" s="1447"/>
      <c r="N4" s="1447"/>
      <c r="O4" s="1447"/>
      <c r="P4" s="1447"/>
      <c r="Q4" s="1447"/>
      <c r="R4" s="1447"/>
    </row>
    <row r="5" spans="1:49" s="477" customFormat="1" ht="15.95">
      <c r="A5" s="480"/>
      <c r="B5" s="481"/>
      <c r="C5" s="481"/>
      <c r="D5" s="482"/>
      <c r="E5" s="481"/>
      <c r="F5" s="481"/>
      <c r="G5" s="481"/>
      <c r="H5" s="481"/>
      <c r="I5" s="481"/>
      <c r="J5" s="490"/>
      <c r="K5" s="483"/>
      <c r="L5" s="480"/>
      <c r="M5" s="483"/>
      <c r="N5" s="480"/>
      <c r="O5" s="480" t="s">
        <v>60</v>
      </c>
      <c r="P5" s="480"/>
      <c r="Q5" s="480"/>
      <c r="R5" s="483"/>
    </row>
    <row r="6" spans="1:49" s="493" customFormat="1" ht="12.6">
      <c r="A6" s="480"/>
      <c r="B6" s="225" t="s">
        <v>1066</v>
      </c>
      <c r="C6" s="226"/>
      <c r="D6" s="492" t="s">
        <v>1015</v>
      </c>
      <c r="E6" s="1614" t="str">
        <f>FORM!I26</f>
        <v>buyer</v>
      </c>
      <c r="F6" s="1614"/>
      <c r="G6" s="1614"/>
      <c r="H6" s="1614"/>
      <c r="I6" s="1614"/>
      <c r="J6" s="492"/>
      <c r="K6" s="225" t="s">
        <v>1066</v>
      </c>
      <c r="L6" s="228"/>
      <c r="M6" s="492" t="s">
        <v>1015</v>
      </c>
      <c r="N6" s="1614" t="str">
        <f t="shared" ref="N6:N13" si="0">E6</f>
        <v>buyer</v>
      </c>
      <c r="O6" s="1614"/>
      <c r="P6" s="1614"/>
      <c r="Q6" s="1614"/>
      <c r="R6" s="1614"/>
    </row>
    <row r="7" spans="1:49" s="497" customFormat="1" ht="12.95">
      <c r="A7" s="480"/>
      <c r="B7" s="144" t="s">
        <v>1014</v>
      </c>
      <c r="C7" s="227"/>
      <c r="D7" s="492" t="s">
        <v>1015</v>
      </c>
      <c r="E7" s="1612" t="str">
        <f>FORM!I11</f>
        <v>The Southprime Flats</v>
      </c>
      <c r="F7" s="1613"/>
      <c r="G7" s="1613"/>
      <c r="H7" s="494" t="str">
        <f>FORM!I14</f>
        <v>B3</v>
      </c>
      <c r="I7" s="495"/>
      <c r="J7" s="496"/>
      <c r="K7" s="144" t="s">
        <v>1014</v>
      </c>
      <c r="L7" s="148"/>
      <c r="M7" s="492" t="s">
        <v>1015</v>
      </c>
      <c r="N7" s="1614" t="str">
        <f t="shared" si="0"/>
        <v>The Southprime Flats</v>
      </c>
      <c r="O7" s="1614"/>
      <c r="P7" s="1614"/>
      <c r="Q7" s="1614"/>
      <c r="R7" s="1614"/>
    </row>
    <row r="8" spans="1:49" s="497" customFormat="1" ht="12.95">
      <c r="A8" s="480"/>
      <c r="B8" s="144" t="s">
        <v>1068</v>
      </c>
      <c r="C8" s="227"/>
      <c r="D8" s="492" t="s">
        <v>1015</v>
      </c>
      <c r="E8" s="1614" t="str">
        <f>'STANDARD COMP.'!E8</f>
        <v>E-11K</v>
      </c>
      <c r="F8" s="1614"/>
      <c r="G8" s="1614"/>
      <c r="H8" s="1614"/>
      <c r="I8" s="1614"/>
      <c r="J8" s="496"/>
      <c r="K8" s="144" t="s">
        <v>1068</v>
      </c>
      <c r="L8" s="148"/>
      <c r="M8" s="492" t="s">
        <v>1015</v>
      </c>
      <c r="N8" s="1614" t="str">
        <f t="shared" si="0"/>
        <v>E-11K</v>
      </c>
      <c r="O8" s="1614"/>
      <c r="P8" s="1614"/>
      <c r="Q8" s="1614"/>
      <c r="R8" s="1614"/>
    </row>
    <row r="9" spans="1:49" s="497" customFormat="1" ht="12.95" hidden="1">
      <c r="A9" s="480"/>
      <c r="B9" s="144" t="s">
        <v>1070</v>
      </c>
      <c r="C9" s="227"/>
      <c r="D9" s="492" t="s">
        <v>1015</v>
      </c>
      <c r="E9" s="1614" t="e">
        <f>FORM!#REF!</f>
        <v>#REF!</v>
      </c>
      <c r="F9" s="1614"/>
      <c r="G9" s="1614"/>
      <c r="H9" s="1614"/>
      <c r="I9" s="1614"/>
      <c r="J9" s="480"/>
      <c r="K9" s="144" t="s">
        <v>1070</v>
      </c>
      <c r="L9" s="148"/>
      <c r="M9" s="492" t="s">
        <v>1015</v>
      </c>
      <c r="N9" s="1614" t="e">
        <f t="shared" si="0"/>
        <v>#REF!</v>
      </c>
      <c r="O9" s="1614"/>
      <c r="P9" s="1614"/>
      <c r="Q9" s="1614"/>
      <c r="R9" s="1614"/>
    </row>
    <row r="10" spans="1:49" s="493" customFormat="1" ht="12.6">
      <c r="A10" s="480"/>
      <c r="B10" s="144" t="s">
        <v>1071</v>
      </c>
      <c r="C10" s="227"/>
      <c r="D10" s="492" t="s">
        <v>1015</v>
      </c>
      <c r="E10" s="1614" t="str">
        <f>'STANDARD COMP.'!E10</f>
        <v>Studio</v>
      </c>
      <c r="F10" s="1614"/>
      <c r="G10" s="1614"/>
      <c r="H10" s="1614"/>
      <c r="I10" s="1614"/>
      <c r="J10" s="491"/>
      <c r="K10" s="144" t="s">
        <v>1071</v>
      </c>
      <c r="L10" s="148"/>
      <c r="M10" s="492" t="s">
        <v>1015</v>
      </c>
      <c r="N10" s="1614" t="str">
        <f t="shared" si="0"/>
        <v>Studio</v>
      </c>
      <c r="O10" s="1614"/>
      <c r="P10" s="1614"/>
      <c r="Q10" s="1614"/>
      <c r="R10" s="1614"/>
      <c r="AI10" s="498"/>
      <c r="AV10" s="499"/>
      <c r="AW10" s="500"/>
    </row>
    <row r="11" spans="1:49" s="493" customFormat="1" ht="12.6">
      <c r="A11" s="480"/>
      <c r="B11" s="144" t="s">
        <v>1072</v>
      </c>
      <c r="C11" s="227"/>
      <c r="D11" s="492" t="s">
        <v>1015</v>
      </c>
      <c r="E11" s="1621">
        <f>'STANDARD COMP.'!E11:F11</f>
        <v>22</v>
      </c>
      <c r="F11" s="1622"/>
      <c r="G11" s="1623" t="s">
        <v>1073</v>
      </c>
      <c r="H11" s="1623"/>
      <c r="I11" s="1624"/>
      <c r="J11" s="491"/>
      <c r="K11" s="144" t="s">
        <v>1072</v>
      </c>
      <c r="L11" s="148"/>
      <c r="M11" s="492" t="s">
        <v>1015</v>
      </c>
      <c r="N11" s="1621">
        <f t="shared" si="0"/>
        <v>22</v>
      </c>
      <c r="O11" s="1625"/>
      <c r="P11" s="1623" t="s">
        <v>1073</v>
      </c>
      <c r="Q11" s="1623"/>
      <c r="R11" s="1624"/>
      <c r="AI11" s="498"/>
      <c r="AV11" s="499"/>
      <c r="AW11" s="500"/>
    </row>
    <row r="12" spans="1:49" s="493" customFormat="1" ht="12.6">
      <c r="A12" s="480"/>
      <c r="B12" s="148" t="s">
        <v>1074</v>
      </c>
      <c r="C12" s="227"/>
      <c r="D12" s="492" t="s">
        <v>1015</v>
      </c>
      <c r="E12" s="1626">
        <f>'STANDARD COMP.'!E12:F12</f>
        <v>0</v>
      </c>
      <c r="F12" s="1627"/>
      <c r="G12" s="1623" t="s">
        <v>1073</v>
      </c>
      <c r="H12" s="1623"/>
      <c r="I12" s="1624"/>
      <c r="J12" s="491"/>
      <c r="K12" s="148" t="s">
        <v>1074</v>
      </c>
      <c r="L12" s="148"/>
      <c r="M12" s="492" t="s">
        <v>1015</v>
      </c>
      <c r="N12" s="1626">
        <f t="shared" si="0"/>
        <v>0</v>
      </c>
      <c r="O12" s="1627"/>
      <c r="P12" s="1623" t="s">
        <v>1073</v>
      </c>
      <c r="Q12" s="1623"/>
      <c r="R12" s="1624"/>
      <c r="AI12" s="498"/>
      <c r="AV12" s="499"/>
      <c r="AW12" s="500"/>
    </row>
    <row r="13" spans="1:49" s="493" customFormat="1" ht="12.6">
      <c r="A13" s="480"/>
      <c r="B13" s="238" t="s">
        <v>1075</v>
      </c>
      <c r="C13" s="101"/>
      <c r="D13" s="492" t="s">
        <v>1015</v>
      </c>
      <c r="E13" s="1626">
        <f>'STANDARD COMP.'!E13:F13</f>
        <v>22</v>
      </c>
      <c r="F13" s="1627"/>
      <c r="G13" s="1623" t="s">
        <v>1073</v>
      </c>
      <c r="H13" s="1623"/>
      <c r="I13" s="1624"/>
      <c r="J13" s="491"/>
      <c r="K13" s="238" t="s">
        <v>1075</v>
      </c>
      <c r="L13" s="126"/>
      <c r="M13" s="492" t="s">
        <v>1015</v>
      </c>
      <c r="N13" s="1626">
        <f t="shared" si="0"/>
        <v>22</v>
      </c>
      <c r="O13" s="1627"/>
      <c r="P13" s="1623" t="s">
        <v>1073</v>
      </c>
      <c r="Q13" s="1623"/>
      <c r="R13" s="1624"/>
      <c r="AI13" s="498"/>
      <c r="AV13" s="499"/>
      <c r="AW13" s="500"/>
    </row>
    <row r="14" spans="1:49" s="493" customFormat="1" ht="12.6">
      <c r="A14" s="480"/>
      <c r="B14" s="480"/>
      <c r="C14" s="480"/>
      <c r="D14" s="492"/>
      <c r="E14" s="480"/>
      <c r="F14" s="480"/>
      <c r="G14" s="480"/>
      <c r="H14" s="480"/>
      <c r="I14" s="480"/>
      <c r="J14" s="491"/>
      <c r="K14" s="480"/>
      <c r="L14" s="480"/>
      <c r="M14" s="483"/>
      <c r="N14" s="480"/>
      <c r="O14" s="480"/>
      <c r="P14" s="480"/>
      <c r="Q14" s="480"/>
      <c r="R14" s="480"/>
      <c r="AI14" s="498"/>
      <c r="AV14" s="499"/>
      <c r="AW14" s="500"/>
    </row>
    <row r="15" spans="1:49" s="493" customFormat="1" ht="16.5" customHeight="1">
      <c r="A15" s="480"/>
      <c r="B15" s="141" t="s">
        <v>1078</v>
      </c>
      <c r="C15" s="226"/>
      <c r="D15" s="502" t="s">
        <v>1015</v>
      </c>
      <c r="E15" s="484"/>
      <c r="F15" s="1628">
        <f>'STANDARD COMP.'!F15</f>
        <v>4123028.1810342241</v>
      </c>
      <c r="G15" s="1628"/>
      <c r="H15" s="1628"/>
      <c r="I15" s="1628"/>
      <c r="J15" s="491"/>
      <c r="K15" s="1402" t="s">
        <v>1079</v>
      </c>
      <c r="L15" s="1402"/>
      <c r="M15" s="1416" t="s">
        <v>989</v>
      </c>
      <c r="N15" s="1402" t="s">
        <v>992</v>
      </c>
      <c r="O15" s="1402"/>
      <c r="P15" s="1402" t="s">
        <v>206</v>
      </c>
      <c r="Q15" s="1402"/>
      <c r="R15" s="1402"/>
      <c r="V15" s="503">
        <f>M17</f>
        <v>45901</v>
      </c>
      <c r="AI15" s="498"/>
      <c r="AV15" s="499"/>
      <c r="AW15" s="500"/>
    </row>
    <row r="16" spans="1:49" s="493" customFormat="1" ht="12.6">
      <c r="A16" s="491"/>
      <c r="B16" s="144" t="s">
        <v>1080</v>
      </c>
      <c r="C16" s="148"/>
      <c r="D16" s="492" t="s">
        <v>1015</v>
      </c>
      <c r="E16" s="504"/>
      <c r="F16" s="1629">
        <f>'STANDARD COMP.'!F16:I16</f>
        <v>0</v>
      </c>
      <c r="G16" s="1629"/>
      <c r="H16" s="1629"/>
      <c r="I16" s="1629"/>
      <c r="J16" s="480" t="s">
        <v>60</v>
      </c>
      <c r="K16" s="1402"/>
      <c r="L16" s="1402"/>
      <c r="M16" s="1416"/>
      <c r="N16" s="1402"/>
      <c r="O16" s="1402"/>
      <c r="P16" s="1402"/>
      <c r="Q16" s="1402"/>
      <c r="R16" s="1402"/>
      <c r="AI16" s="498"/>
      <c r="AV16" s="499"/>
      <c r="AW16" s="500"/>
    </row>
    <row r="17" spans="1:49" s="493" customFormat="1" ht="12.6">
      <c r="A17" s="480"/>
      <c r="B17" s="129" t="s">
        <v>1222</v>
      </c>
      <c r="C17" s="101"/>
      <c r="D17" s="502" t="s">
        <v>1015</v>
      </c>
      <c r="E17" s="506"/>
      <c r="F17" s="1628">
        <f>F15-F16</f>
        <v>4123028.1810342241</v>
      </c>
      <c r="G17" s="1628"/>
      <c r="H17" s="1628"/>
      <c r="I17" s="1628"/>
      <c r="J17" s="480"/>
      <c r="K17" s="1630" t="s">
        <v>1031</v>
      </c>
      <c r="L17" s="1631"/>
      <c r="M17" s="505">
        <f>C1</f>
        <v>45901</v>
      </c>
      <c r="N17" s="1632">
        <f>F25</f>
        <v>30000</v>
      </c>
      <c r="O17" s="1633"/>
      <c r="P17" s="1618"/>
      <c r="Q17" s="1619"/>
      <c r="R17" s="1620"/>
      <c r="V17" s="503"/>
      <c r="AI17" s="498"/>
      <c r="AV17" s="499"/>
      <c r="AW17" s="500"/>
    </row>
    <row r="18" spans="1:49" s="497" customFormat="1" ht="12.95">
      <c r="A18" s="480"/>
      <c r="B18" s="501"/>
      <c r="C18" s="480"/>
      <c r="D18" s="492"/>
      <c r="E18" s="526"/>
      <c r="F18" s="527"/>
      <c r="G18" s="527">
        <f>E19*F17</f>
        <v>494763.38172410685</v>
      </c>
      <c r="H18" s="507"/>
      <c r="I18" s="480"/>
      <c r="J18" s="491"/>
      <c r="K18" s="1614" t="str">
        <f t="shared" ref="K18:K39" si="1">IF(N18&gt;1,T19,0)</f>
        <v>1st EQUITY PAYMENT</v>
      </c>
      <c r="L18" s="1614"/>
      <c r="M18" s="505">
        <f t="shared" ref="M18:M53" si="2">IF(N18&gt;1,V19,0)</f>
        <v>45935</v>
      </c>
      <c r="N18" s="1615">
        <f>IF(E28&gt;0,F28,0)</f>
        <v>155711.67481345628</v>
      </c>
      <c r="O18" s="1615"/>
      <c r="P18" s="1618"/>
      <c r="Q18" s="1619"/>
      <c r="R18" s="1620"/>
    </row>
    <row r="19" spans="1:49" s="497" customFormat="1" ht="12.95">
      <c r="A19" s="480"/>
      <c r="B19" s="148" t="s">
        <v>1087</v>
      </c>
      <c r="C19" s="148"/>
      <c r="D19" s="492" t="s">
        <v>1015</v>
      </c>
      <c r="E19" s="511">
        <f>'STANDARD COMP.'!E19</f>
        <v>0.12</v>
      </c>
      <c r="F19" s="1636"/>
      <c r="G19" s="1636"/>
      <c r="H19" s="1636"/>
      <c r="I19" s="1636"/>
      <c r="J19" s="480"/>
      <c r="K19" s="1614" t="str">
        <f t="shared" si="1"/>
        <v>2nd EQUITY PAYMENT</v>
      </c>
      <c r="L19" s="1614"/>
      <c r="M19" s="505">
        <f t="shared" si="2"/>
        <v>45966</v>
      </c>
      <c r="N19" s="1615">
        <f>IF(E28&gt;1,F28,0)</f>
        <v>155711.67481345628</v>
      </c>
      <c r="O19" s="1615"/>
      <c r="P19" s="1618"/>
      <c r="Q19" s="1619"/>
      <c r="R19" s="1620"/>
      <c r="T19" s="497" t="s">
        <v>1084</v>
      </c>
      <c r="V19" s="508">
        <f>IF(DAY(V15)=31,X19,Z19)</f>
        <v>45935</v>
      </c>
      <c r="W19" s="509" t="s">
        <v>1092</v>
      </c>
      <c r="X19" s="1639" t="b">
        <f>IF(DAY(V15)=31,DATE(YEAR(V15),MONTH(V15)+2,DAY(5)))</f>
        <v>0</v>
      </c>
      <c r="Y19" s="1640"/>
      <c r="Z19" s="510">
        <f>IF(AND(DAY(V15)&gt;=6,DAY(V15)&lt;=20),DATE(YEAR(V15),MONTH(V15)+1,DAY(20)),IF(AND(DAY(V15)&gt;=21,DAY(V15)&lt;=30),DATE(YEAR(V15),MONTH(V15)+1,IF(DAY(EOMONTH(V15,1))&lt;31,DAY(EOMONTH(V15,1)),DAY(30))),DATE(YEAR(V15),MONTH(V15)+1,DAY(5))))</f>
        <v>45935</v>
      </c>
    </row>
    <row r="20" spans="1:49" s="512" customFormat="1" ht="12.95">
      <c r="A20" s="480"/>
      <c r="B20" s="238" t="s">
        <v>1090</v>
      </c>
      <c r="C20" s="126"/>
      <c r="D20" s="492" t="s">
        <v>1015</v>
      </c>
      <c r="E20" s="831">
        <f>7.5%+2.75%</f>
        <v>0.10249999999999999</v>
      </c>
      <c r="F20" s="1636">
        <f>(F15*E20)+E18</f>
        <v>422610.38855600794</v>
      </c>
      <c r="G20" s="1636"/>
      <c r="H20" s="1636"/>
      <c r="I20" s="1636"/>
      <c r="J20" s="491"/>
      <c r="K20" s="1614" t="str">
        <f t="shared" si="1"/>
        <v>3rd EQUITY PAYMENT</v>
      </c>
      <c r="L20" s="1614"/>
      <c r="M20" s="505">
        <f t="shared" si="2"/>
        <v>45996</v>
      </c>
      <c r="N20" s="1615">
        <f>IF(E28&gt;2,F28,0)</f>
        <v>155711.67481345628</v>
      </c>
      <c r="O20" s="1615"/>
      <c r="P20" s="1618"/>
      <c r="Q20" s="1619"/>
      <c r="R20" s="1620"/>
      <c r="T20" s="497" t="s">
        <v>1088</v>
      </c>
      <c r="U20" s="497"/>
      <c r="V20" s="508">
        <f>IF(AND(DAY(V19)&gt;=6,DAY(V19)&lt;=20),DATE(YEAR(V19),MONTH(V19)+1,DAY(20)),IF(AND(DAY(V19)&gt;=21,DAY(V19)&lt;=30),DATE(YEAR(V19),MONTH(V19)+1,IF(DAY(EOMONTH(V19,1))&lt;30,DAY(EOMONTH(V19,1)),DAY(30))),DATE(YEAR(V19),MONTH(V19)+1,DAY(5))))</f>
        <v>45966</v>
      </c>
    </row>
    <row r="21" spans="1:49" s="497" customFormat="1" ht="12.95">
      <c r="A21" s="491"/>
      <c r="B21" s="501"/>
      <c r="C21" s="480"/>
      <c r="D21" s="492"/>
      <c r="E21" s="492"/>
      <c r="F21" s="507"/>
      <c r="G21" s="507"/>
      <c r="H21" s="507"/>
      <c r="I21" s="480"/>
      <c r="J21" s="480"/>
      <c r="K21" s="1614" t="str">
        <f t="shared" si="1"/>
        <v>4th EQUITY PAYMENT</v>
      </c>
      <c r="L21" s="1614"/>
      <c r="M21" s="505">
        <f t="shared" si="2"/>
        <v>46027</v>
      </c>
      <c r="N21" s="1615">
        <f>IF(E28&gt;3,F28,0)</f>
        <v>155711.67481345628</v>
      </c>
      <c r="O21" s="1615"/>
      <c r="P21" s="1618"/>
      <c r="Q21" s="1619"/>
      <c r="R21" s="1620"/>
      <c r="T21" s="497" t="s">
        <v>1091</v>
      </c>
      <c r="V21" s="508">
        <f t="shared" ref="V21:V73" si="3">IF(AND(DAY(V20)&gt;=6,DAY(V20)&lt;=20),DATE(YEAR(V20),MONTH(V20)+1,DAY(20)),IF(AND(DAY(V20)&gt;=21,DAY(V20)&lt;=30),DATE(YEAR(V20),MONTH(V20)+1,IF(DAY(EOMONTH(V20,1))&lt;30,DAY(EOMONTH(V20,1)),DAY(30))),DATE(YEAR(V20),MONTH(V20)+1,DAY(5))))</f>
        <v>45996</v>
      </c>
    </row>
    <row r="22" spans="1:49" s="512" customFormat="1" ht="12.95">
      <c r="A22" s="480"/>
      <c r="B22" s="129" t="s">
        <v>1096</v>
      </c>
      <c r="C22" s="101"/>
      <c r="D22" s="502" t="s">
        <v>1015</v>
      </c>
      <c r="E22" s="513"/>
      <c r="F22" s="1635">
        <f>SUM(F20,F19,F17)</f>
        <v>4545638.5695902323</v>
      </c>
      <c r="G22" s="1635"/>
      <c r="H22" s="1635"/>
      <c r="I22" s="1635"/>
      <c r="J22" s="480"/>
      <c r="K22" s="1614" t="str">
        <f t="shared" si="1"/>
        <v>5th EQUITY PAYMENT</v>
      </c>
      <c r="L22" s="1614"/>
      <c r="M22" s="505">
        <f t="shared" si="2"/>
        <v>46058</v>
      </c>
      <c r="N22" s="1615">
        <f>IF(E28&gt;4,F28,0)</f>
        <v>155711.67481345628</v>
      </c>
      <c r="O22" s="1615"/>
      <c r="P22" s="1618"/>
      <c r="Q22" s="1619"/>
      <c r="R22" s="1620"/>
      <c r="T22" s="497" t="s">
        <v>1094</v>
      </c>
      <c r="U22" s="497"/>
      <c r="V22" s="508">
        <f t="shared" si="3"/>
        <v>46027</v>
      </c>
    </row>
    <row r="23" spans="1:49" s="497" customFormat="1" ht="12.95">
      <c r="A23" s="480"/>
      <c r="B23" s="501"/>
      <c r="C23" s="480"/>
      <c r="D23" s="492"/>
      <c r="E23" s="492"/>
      <c r="F23" s="507"/>
      <c r="G23" s="507"/>
      <c r="H23" s="507"/>
      <c r="I23" s="480"/>
      <c r="J23" s="480"/>
      <c r="K23" s="1614" t="str">
        <f t="shared" si="1"/>
        <v>6th EQUITY PAYMENT</v>
      </c>
      <c r="L23" s="1614"/>
      <c r="M23" s="505">
        <f t="shared" si="2"/>
        <v>46086</v>
      </c>
      <c r="N23" s="1615">
        <f>IF(E28&gt;5,F28,0)</f>
        <v>155711.67481345628</v>
      </c>
      <c r="O23" s="1615"/>
      <c r="P23" s="1618"/>
      <c r="Q23" s="1619"/>
      <c r="R23" s="1620"/>
      <c r="T23" s="497" t="s">
        <v>1097</v>
      </c>
      <c r="V23" s="508">
        <f t="shared" si="3"/>
        <v>46058</v>
      </c>
    </row>
    <row r="24" spans="1:49" s="497" customFormat="1" ht="12.95">
      <c r="A24" s="491"/>
      <c r="B24" s="225" t="s">
        <v>1274</v>
      </c>
      <c r="C24" s="228"/>
      <c r="D24" s="492" t="s">
        <v>1015</v>
      </c>
      <c r="E24" s="514"/>
      <c r="F24" s="1636">
        <f>F22</f>
        <v>4545638.5695902323</v>
      </c>
      <c r="G24" s="1636"/>
      <c r="H24" s="1636"/>
      <c r="I24" s="1636"/>
      <c r="J24" s="480"/>
      <c r="K24" s="1614" t="str">
        <f t="shared" si="1"/>
        <v>7th EQUITY PAYMENT</v>
      </c>
      <c r="L24" s="1614"/>
      <c r="M24" s="505">
        <f t="shared" si="2"/>
        <v>46117</v>
      </c>
      <c r="N24" s="1615">
        <f>IF(E28&gt;6,F28,0)</f>
        <v>155711.67481345628</v>
      </c>
      <c r="O24" s="1615"/>
      <c r="P24" s="1618"/>
      <c r="Q24" s="1619"/>
      <c r="R24" s="1620"/>
      <c r="T24" s="497" t="s">
        <v>1098</v>
      </c>
      <c r="V24" s="508">
        <f t="shared" si="3"/>
        <v>46086</v>
      </c>
    </row>
    <row r="25" spans="1:49" s="497" customFormat="1" ht="12.95">
      <c r="A25" s="480"/>
      <c r="B25" s="225" t="s">
        <v>1266</v>
      </c>
      <c r="C25" s="228"/>
      <c r="D25" s="492" t="s">
        <v>1015</v>
      </c>
      <c r="E25" s="514"/>
      <c r="F25" s="1636">
        <f>FORM!I22</f>
        <v>30000</v>
      </c>
      <c r="G25" s="1636"/>
      <c r="H25" s="1636"/>
      <c r="I25" s="1636"/>
      <c r="J25" s="480"/>
      <c r="K25" s="1614" t="str">
        <f t="shared" si="1"/>
        <v>8th EQUITY PAYMENT</v>
      </c>
      <c r="L25" s="1614"/>
      <c r="M25" s="505">
        <f t="shared" si="2"/>
        <v>46147</v>
      </c>
      <c r="N25" s="1615">
        <f>IF(E28&gt;7,F28,0)</f>
        <v>155711.67481345628</v>
      </c>
      <c r="O25" s="1615"/>
      <c r="P25" s="1618"/>
      <c r="Q25" s="1619"/>
      <c r="R25" s="1620"/>
      <c r="T25" s="497" t="s">
        <v>1100</v>
      </c>
      <c r="V25" s="508">
        <f t="shared" si="3"/>
        <v>46117</v>
      </c>
    </row>
    <row r="26" spans="1:49" s="497" customFormat="1" ht="12.95">
      <c r="A26" s="491"/>
      <c r="B26" s="515" t="s">
        <v>1176</v>
      </c>
      <c r="C26" s="227"/>
      <c r="D26" s="502" t="s">
        <v>1015</v>
      </c>
      <c r="E26" s="513"/>
      <c r="F26" s="1635">
        <f>F24-F25</f>
        <v>4515638.5695902323</v>
      </c>
      <c r="G26" s="1635"/>
      <c r="H26" s="1635"/>
      <c r="I26" s="1635"/>
      <c r="J26" s="491"/>
      <c r="K26" s="1614" t="str">
        <f t="shared" si="1"/>
        <v>9th EQUITY PAYMENT</v>
      </c>
      <c r="L26" s="1614"/>
      <c r="M26" s="505">
        <f t="shared" si="2"/>
        <v>46178</v>
      </c>
      <c r="N26" s="1615">
        <f>IF(E28&gt;8,F28,0)</f>
        <v>155711.67481345628</v>
      </c>
      <c r="O26" s="1615"/>
      <c r="P26" s="1618"/>
      <c r="Q26" s="1619"/>
      <c r="R26" s="1620"/>
      <c r="T26" s="497" t="s">
        <v>1102</v>
      </c>
      <c r="V26" s="508">
        <f t="shared" si="3"/>
        <v>46147</v>
      </c>
    </row>
    <row r="27" spans="1:49" s="497" customFormat="1" ht="12.95">
      <c r="A27" s="480"/>
      <c r="B27" s="516"/>
      <c r="C27" s="517"/>
      <c r="D27" s="502"/>
      <c r="E27" s="502"/>
      <c r="F27" s="518"/>
      <c r="G27" s="518"/>
      <c r="H27" s="518"/>
      <c r="I27" s="518"/>
      <c r="J27" s="480"/>
      <c r="K27" s="1614" t="str">
        <f t="shared" si="1"/>
        <v>10th EQUITY PAYMENT</v>
      </c>
      <c r="L27" s="1614"/>
      <c r="M27" s="505">
        <f t="shared" si="2"/>
        <v>46208</v>
      </c>
      <c r="N27" s="1615">
        <f>IF(E28&gt;9,F28,0)</f>
        <v>155711.67481345628</v>
      </c>
      <c r="O27" s="1615"/>
      <c r="P27" s="1618"/>
      <c r="Q27" s="1619"/>
      <c r="R27" s="1620"/>
      <c r="T27" s="497" t="s">
        <v>1104</v>
      </c>
      <c r="V27" s="508">
        <f t="shared" si="3"/>
        <v>46178</v>
      </c>
    </row>
    <row r="28" spans="1:49" s="512" customFormat="1" ht="12.95">
      <c r="A28" s="480"/>
      <c r="B28" s="129" t="s">
        <v>1275</v>
      </c>
      <c r="C28" s="126"/>
      <c r="D28" s="492" t="s">
        <v>1015</v>
      </c>
      <c r="E28" s="513">
        <f>'STANDARD COMP.'!E28</f>
        <v>29</v>
      </c>
      <c r="F28" s="1634">
        <f>F26/E28</f>
        <v>155711.67481345628</v>
      </c>
      <c r="G28" s="1635"/>
      <c r="H28" s="1635"/>
      <c r="I28" s="1635"/>
      <c r="J28" s="480"/>
      <c r="K28" s="1614" t="str">
        <f t="shared" si="1"/>
        <v>11th EQUITY PAYMENT</v>
      </c>
      <c r="L28" s="1614"/>
      <c r="M28" s="505">
        <f t="shared" si="2"/>
        <v>46239</v>
      </c>
      <c r="N28" s="1615">
        <f>IF(E28&gt;10,F28,0)</f>
        <v>155711.67481345628</v>
      </c>
      <c r="O28" s="1615"/>
      <c r="P28" s="1618"/>
      <c r="Q28" s="1619"/>
      <c r="R28" s="1620"/>
      <c r="T28" s="497" t="s">
        <v>1105</v>
      </c>
      <c r="U28" s="497"/>
      <c r="V28" s="508">
        <f t="shared" si="3"/>
        <v>46208</v>
      </c>
    </row>
    <row r="29" spans="1:49" s="497" customFormat="1" ht="12.95">
      <c r="A29" s="480"/>
      <c r="B29" s="491"/>
      <c r="C29" s="480"/>
      <c r="D29" s="492"/>
      <c r="E29" s="480"/>
      <c r="F29" s="480"/>
      <c r="G29" s="480"/>
      <c r="H29" s="480"/>
      <c r="I29" s="480"/>
      <c r="J29" s="491"/>
      <c r="K29" s="1614" t="str">
        <f t="shared" si="1"/>
        <v>12th EQUITY PAYMENT</v>
      </c>
      <c r="L29" s="1614"/>
      <c r="M29" s="505">
        <f t="shared" si="2"/>
        <v>46270</v>
      </c>
      <c r="N29" s="1615">
        <f>IF(E28&gt;11,F28,0)</f>
        <v>155711.67481345628</v>
      </c>
      <c r="O29" s="1615"/>
      <c r="P29" s="1618"/>
      <c r="Q29" s="1619"/>
      <c r="R29" s="1620"/>
      <c r="T29" s="497" t="s">
        <v>1107</v>
      </c>
      <c r="V29" s="508">
        <f t="shared" si="3"/>
        <v>46239</v>
      </c>
    </row>
    <row r="30" spans="1:49" s="512" customFormat="1" ht="12.95">
      <c r="A30" s="480"/>
      <c r="B30" s="519"/>
      <c r="C30" s="497"/>
      <c r="D30" s="520"/>
      <c r="E30" s="497"/>
      <c r="F30" s="497"/>
      <c r="G30" s="497"/>
      <c r="H30" s="480"/>
      <c r="I30" s="480"/>
      <c r="J30" s="491"/>
      <c r="K30" s="1614" t="str">
        <f t="shared" si="1"/>
        <v>13th EQUITY PAYMENT</v>
      </c>
      <c r="L30" s="1614"/>
      <c r="M30" s="505">
        <f t="shared" si="2"/>
        <v>46300</v>
      </c>
      <c r="N30" s="1615">
        <f>IF(E28&gt;12,F28,0)</f>
        <v>155711.67481345628</v>
      </c>
      <c r="O30" s="1615"/>
      <c r="P30" s="1618"/>
      <c r="Q30" s="1619"/>
      <c r="R30" s="1620"/>
      <c r="T30" s="497" t="s">
        <v>1108</v>
      </c>
      <c r="U30" s="497"/>
      <c r="V30" s="508">
        <f t="shared" si="3"/>
        <v>46270</v>
      </c>
    </row>
    <row r="31" spans="1:49" s="512" customFormat="1" ht="12.95">
      <c r="A31" s="480"/>
      <c r="B31" s="497"/>
      <c r="C31" s="497"/>
      <c r="D31" s="520"/>
      <c r="E31" s="497"/>
      <c r="F31" s="497"/>
      <c r="G31" s="497"/>
      <c r="H31" s="497"/>
      <c r="I31" s="497"/>
      <c r="J31" s="480"/>
      <c r="K31" s="1614" t="str">
        <f t="shared" si="1"/>
        <v>14th EQUITY PAYMENT</v>
      </c>
      <c r="L31" s="1614"/>
      <c r="M31" s="505">
        <f t="shared" si="2"/>
        <v>46331</v>
      </c>
      <c r="N31" s="1615">
        <f>IF(E28&gt;13,F28,0)</f>
        <v>155711.67481345628</v>
      </c>
      <c r="O31" s="1615"/>
      <c r="P31" s="1618"/>
      <c r="Q31" s="1619"/>
      <c r="R31" s="1620"/>
      <c r="T31" s="497" t="s">
        <v>1110</v>
      </c>
      <c r="U31" s="497"/>
      <c r="V31" s="508">
        <f t="shared" si="3"/>
        <v>46300</v>
      </c>
    </row>
    <row r="32" spans="1:49" s="497" customFormat="1" ht="12.95">
      <c r="A32" s="480"/>
      <c r="B32" s="491" t="s">
        <v>1146</v>
      </c>
      <c r="C32" s="491"/>
      <c r="D32" s="491"/>
      <c r="E32" s="491"/>
      <c r="F32" s="491"/>
      <c r="G32" s="491"/>
      <c r="H32" s="491"/>
      <c r="I32" s="491"/>
      <c r="J32" s="480"/>
      <c r="K32" s="1614" t="str">
        <f t="shared" si="1"/>
        <v>15th EQUITY PAYMENT</v>
      </c>
      <c r="L32" s="1614"/>
      <c r="M32" s="505">
        <f t="shared" si="2"/>
        <v>46361</v>
      </c>
      <c r="N32" s="1615">
        <f>IF(E28&gt;14,F28,0)</f>
        <v>155711.67481345628</v>
      </c>
      <c r="O32" s="1615"/>
      <c r="P32" s="1618"/>
      <c r="Q32" s="1619"/>
      <c r="R32" s="1620"/>
      <c r="T32" s="497" t="s">
        <v>1111</v>
      </c>
      <c r="V32" s="508">
        <f t="shared" si="3"/>
        <v>46331</v>
      </c>
    </row>
    <row r="33" spans="1:44" s="497" customFormat="1" ht="12.95">
      <c r="A33" s="480"/>
      <c r="B33" s="491"/>
      <c r="C33" s="491"/>
      <c r="D33" s="491"/>
      <c r="E33" s="491"/>
      <c r="F33" s="491"/>
      <c r="G33" s="491"/>
      <c r="H33" s="491"/>
      <c r="I33" s="491"/>
      <c r="J33" s="491"/>
      <c r="K33" s="1614" t="str">
        <f t="shared" si="1"/>
        <v>16th EQUITY PAYMENT</v>
      </c>
      <c r="L33" s="1614"/>
      <c r="M33" s="505">
        <f t="shared" si="2"/>
        <v>46392</v>
      </c>
      <c r="N33" s="1615">
        <f>IF(E28&gt;15,F28,0)</f>
        <v>155711.67481345628</v>
      </c>
      <c r="O33" s="1615"/>
      <c r="P33" s="1618"/>
      <c r="Q33" s="1619"/>
      <c r="R33" s="1620"/>
      <c r="T33" s="497" t="s">
        <v>1113</v>
      </c>
      <c r="V33" s="508">
        <f t="shared" si="3"/>
        <v>46361</v>
      </c>
    </row>
    <row r="34" spans="1:44" s="512" customFormat="1" ht="12.95">
      <c r="A34" s="480"/>
      <c r="B34" s="1402" t="s">
        <v>1027</v>
      </c>
      <c r="C34" s="1402"/>
      <c r="D34" s="1402" t="s">
        <v>1028</v>
      </c>
      <c r="E34" s="1402"/>
      <c r="F34" s="1402"/>
      <c r="G34" s="1402"/>
      <c r="H34" s="1402" t="s">
        <v>1150</v>
      </c>
      <c r="I34" s="1402"/>
      <c r="J34" s="480"/>
      <c r="K34" s="1614" t="str">
        <f t="shared" si="1"/>
        <v>17th EQUITY PAYMENT</v>
      </c>
      <c r="L34" s="1614"/>
      <c r="M34" s="505">
        <f t="shared" si="2"/>
        <v>46423</v>
      </c>
      <c r="N34" s="1615">
        <f>IF(E28&gt;16,F28,0)</f>
        <v>155711.67481345628</v>
      </c>
      <c r="O34" s="1615"/>
      <c r="P34" s="1618"/>
      <c r="Q34" s="1619"/>
      <c r="R34" s="1620"/>
      <c r="T34" s="497" t="s">
        <v>1114</v>
      </c>
      <c r="U34" s="497"/>
      <c r="V34" s="508">
        <f t="shared" si="3"/>
        <v>46392</v>
      </c>
    </row>
    <row r="35" spans="1:44" s="497" customFormat="1" ht="12.95">
      <c r="A35" s="480"/>
      <c r="B35" s="1601">
        <f>'SPOT CASH_60 DAYS'!B34</f>
        <v>0</v>
      </c>
      <c r="C35" s="1603"/>
      <c r="D35" s="1601">
        <f>'SPOT CASH_60 DAYS'!D34:D34</f>
        <v>0</v>
      </c>
      <c r="E35" s="1602"/>
      <c r="F35" s="1602"/>
      <c r="G35" s="1603"/>
      <c r="H35" s="1597">
        <f>'SPOT CASH_60 DAYS'!G34</f>
        <v>0</v>
      </c>
      <c r="I35" s="1598"/>
      <c r="J35" s="480"/>
      <c r="K35" s="1614" t="str">
        <f t="shared" si="1"/>
        <v>18th EQUITY PAYMENT</v>
      </c>
      <c r="L35" s="1614"/>
      <c r="M35" s="505">
        <f t="shared" si="2"/>
        <v>46451</v>
      </c>
      <c r="N35" s="1632">
        <f>IF(E28&gt;17,F28,0)</f>
        <v>155711.67481345628</v>
      </c>
      <c r="O35" s="1633"/>
      <c r="P35" s="1618"/>
      <c r="Q35" s="1619"/>
      <c r="R35" s="1620"/>
      <c r="T35" s="497" t="s">
        <v>1117</v>
      </c>
      <c r="V35" s="508">
        <f t="shared" si="3"/>
        <v>46423</v>
      </c>
    </row>
    <row r="36" spans="1:44" s="119" customFormat="1" ht="12.95">
      <c r="A36" s="1024"/>
      <c r="B36" s="1604"/>
      <c r="C36" s="1606"/>
      <c r="D36" s="1604"/>
      <c r="E36" s="1605"/>
      <c r="F36" s="1605"/>
      <c r="G36" s="1606"/>
      <c r="H36" s="1599"/>
      <c r="I36" s="1600"/>
      <c r="J36" s="1024"/>
      <c r="K36" s="1521" t="str">
        <f t="shared" si="1"/>
        <v>19th EQUITY PAYMENT</v>
      </c>
      <c r="L36" s="1521"/>
      <c r="M36" s="1781">
        <f t="shared" si="2"/>
        <v>46482</v>
      </c>
      <c r="N36" s="1403">
        <f>IF(E28&gt;18,F28,0)</f>
        <v>155711.67481345628</v>
      </c>
      <c r="O36" s="1403"/>
      <c r="P36" s="1835"/>
      <c r="Q36" s="1836"/>
      <c r="R36" s="1837"/>
      <c r="S36" s="521"/>
      <c r="T36" s="497" t="s">
        <v>1118</v>
      </c>
      <c r="U36" s="497"/>
      <c r="V36" s="508">
        <f t="shared" si="3"/>
        <v>46451</v>
      </c>
      <c r="W36" s="521"/>
      <c r="X36" s="521"/>
      <c r="Y36" s="521"/>
      <c r="Z36" s="521"/>
      <c r="AA36" s="521"/>
      <c r="AB36" s="521"/>
      <c r="AC36" s="521"/>
      <c r="AD36" s="521"/>
      <c r="AE36" s="521"/>
      <c r="AF36" s="521"/>
      <c r="AG36" s="521"/>
      <c r="AH36" s="521"/>
      <c r="AI36" s="521"/>
      <c r="AJ36" s="521"/>
      <c r="AK36" s="521"/>
      <c r="AL36" s="521"/>
      <c r="AM36" s="521"/>
      <c r="AN36" s="521"/>
      <c r="AO36" s="521"/>
      <c r="AP36" s="521"/>
      <c r="AQ36" s="521"/>
      <c r="AR36" s="521"/>
    </row>
    <row r="37" spans="1:44" s="119" customFormat="1" ht="12.95">
      <c r="A37" s="1024"/>
      <c r="B37" s="1601">
        <f>'SPOT CASH_60 DAYS'!B36</f>
        <v>0</v>
      </c>
      <c r="C37" s="1603"/>
      <c r="D37" s="1601">
        <f>'SPOT CASH_60 DAYS'!D36:D36</f>
        <v>0</v>
      </c>
      <c r="E37" s="1602"/>
      <c r="F37" s="1602"/>
      <c r="G37" s="1603"/>
      <c r="H37" s="1597">
        <f>'SPOT CASH_60 DAYS'!G36</f>
        <v>0</v>
      </c>
      <c r="I37" s="1598"/>
      <c r="J37" s="1024"/>
      <c r="K37" s="1521" t="str">
        <f t="shared" si="1"/>
        <v>20th EQUITY PAYMENT</v>
      </c>
      <c r="L37" s="1521"/>
      <c r="M37" s="1781">
        <f t="shared" si="2"/>
        <v>46512</v>
      </c>
      <c r="N37" s="1403">
        <f>IF(E28&gt;19,F28,0)</f>
        <v>155711.67481345628</v>
      </c>
      <c r="O37" s="1403"/>
      <c r="P37" s="1835"/>
      <c r="Q37" s="1836"/>
      <c r="R37" s="1837"/>
      <c r="S37" s="521"/>
      <c r="T37" s="497" t="s">
        <v>1119</v>
      </c>
      <c r="U37" s="497"/>
      <c r="V37" s="508">
        <f t="shared" si="3"/>
        <v>46482</v>
      </c>
      <c r="W37" s="521"/>
      <c r="X37" s="521"/>
      <c r="Y37" s="521"/>
      <c r="Z37" s="521"/>
      <c r="AA37" s="521"/>
      <c r="AB37" s="521"/>
      <c r="AC37" s="521"/>
      <c r="AD37" s="521"/>
      <c r="AE37" s="521"/>
      <c r="AF37" s="521"/>
      <c r="AG37" s="521"/>
      <c r="AH37" s="521"/>
      <c r="AI37" s="521"/>
      <c r="AJ37" s="521"/>
      <c r="AK37" s="521"/>
      <c r="AL37" s="521"/>
      <c r="AM37" s="521"/>
      <c r="AN37" s="521"/>
      <c r="AO37" s="521"/>
      <c r="AP37" s="521"/>
      <c r="AQ37" s="521"/>
      <c r="AR37" s="521"/>
    </row>
    <row r="38" spans="1:44" s="119" customFormat="1" ht="15" customHeight="1">
      <c r="A38" s="1024"/>
      <c r="B38" s="1604"/>
      <c r="C38" s="1606"/>
      <c r="D38" s="1604"/>
      <c r="E38" s="1605"/>
      <c r="F38" s="1605"/>
      <c r="G38" s="1606"/>
      <c r="H38" s="1599"/>
      <c r="I38" s="1600"/>
      <c r="J38" s="1024"/>
      <c r="K38" s="1521" t="str">
        <f t="shared" si="1"/>
        <v>21st EQUITY PAYMENT</v>
      </c>
      <c r="L38" s="1521"/>
      <c r="M38" s="1781">
        <f t="shared" si="2"/>
        <v>46543</v>
      </c>
      <c r="N38" s="1403">
        <f>IF(E28&gt;20,F28,0)</f>
        <v>155711.67481345628</v>
      </c>
      <c r="O38" s="1403"/>
      <c r="P38" s="1835"/>
      <c r="Q38" s="1836"/>
      <c r="R38" s="1837"/>
      <c r="S38" s="521"/>
      <c r="T38" s="497" t="s">
        <v>1120</v>
      </c>
      <c r="U38" s="497"/>
      <c r="V38" s="508">
        <f t="shared" si="3"/>
        <v>46512</v>
      </c>
      <c r="W38" s="521"/>
      <c r="X38" s="521"/>
      <c r="Y38" s="521"/>
      <c r="Z38" s="521"/>
      <c r="AA38" s="521"/>
      <c r="AB38" s="521"/>
      <c r="AC38" s="521"/>
      <c r="AD38" s="521"/>
      <c r="AE38" s="521"/>
      <c r="AF38" s="521"/>
      <c r="AG38" s="521"/>
      <c r="AH38" s="521"/>
      <c r="AI38" s="521"/>
      <c r="AJ38" s="521"/>
      <c r="AK38" s="521"/>
      <c r="AL38" s="521"/>
      <c r="AM38" s="521"/>
      <c r="AN38" s="521"/>
      <c r="AO38" s="521"/>
      <c r="AP38" s="521"/>
      <c r="AQ38" s="521"/>
      <c r="AR38" s="521"/>
    </row>
    <row r="39" spans="1:44" s="119" customFormat="1" ht="12.95">
      <c r="A39" s="1024"/>
      <c r="B39" s="1601">
        <f>'SPOT CASH_60 DAYS'!B38</f>
        <v>0</v>
      </c>
      <c r="C39" s="1603"/>
      <c r="D39" s="1601">
        <f>'SPOT CASH_60 DAYS'!D38:D38</f>
        <v>0</v>
      </c>
      <c r="E39" s="1602"/>
      <c r="F39" s="1602"/>
      <c r="G39" s="1603"/>
      <c r="H39" s="1597">
        <f>'SPOT CASH_60 DAYS'!G38</f>
        <v>0</v>
      </c>
      <c r="I39" s="1598"/>
      <c r="J39" s="1024"/>
      <c r="K39" s="1521" t="str">
        <f t="shared" si="1"/>
        <v>22nd EQUITY PAYMENT</v>
      </c>
      <c r="L39" s="1521"/>
      <c r="M39" s="1781">
        <f t="shared" si="2"/>
        <v>46573</v>
      </c>
      <c r="N39" s="1403">
        <f>IF(E28&gt;21,F28,0)</f>
        <v>155711.67481345628</v>
      </c>
      <c r="O39" s="1403"/>
      <c r="P39" s="1835"/>
      <c r="Q39" s="1836"/>
      <c r="R39" s="1837"/>
      <c r="S39" s="521"/>
      <c r="T39" s="497" t="s">
        <v>1121</v>
      </c>
      <c r="U39" s="497"/>
      <c r="V39" s="508">
        <f t="shared" si="3"/>
        <v>46543</v>
      </c>
      <c r="W39" s="521"/>
      <c r="X39" s="521"/>
      <c r="Y39" s="521"/>
      <c r="Z39" s="521"/>
      <c r="AA39" s="521"/>
      <c r="AB39" s="521"/>
      <c r="AC39" s="521"/>
      <c r="AD39" s="521"/>
      <c r="AE39" s="521"/>
      <c r="AF39" s="521"/>
      <c r="AG39" s="521"/>
      <c r="AH39" s="521"/>
      <c r="AI39" s="521"/>
      <c r="AJ39" s="521"/>
      <c r="AK39" s="521"/>
      <c r="AL39" s="521"/>
      <c r="AM39" s="521"/>
      <c r="AN39" s="521"/>
      <c r="AO39" s="521"/>
      <c r="AP39" s="521"/>
      <c r="AQ39" s="521"/>
      <c r="AR39" s="521"/>
    </row>
    <row r="40" spans="1:44" s="119" customFormat="1" ht="15" customHeight="1">
      <c r="A40" s="1024"/>
      <c r="B40" s="1604"/>
      <c r="C40" s="1606"/>
      <c r="D40" s="1604"/>
      <c r="E40" s="1605"/>
      <c r="F40" s="1605"/>
      <c r="G40" s="1606"/>
      <c r="H40" s="1599"/>
      <c r="I40" s="1600"/>
      <c r="J40" s="1024"/>
      <c r="K40" s="1521" t="str">
        <f t="shared" ref="K40:K45" si="4">IF(N40&gt;1,T41,0)</f>
        <v>23rd EQUITY PAYMENT</v>
      </c>
      <c r="L40" s="1521"/>
      <c r="M40" s="1781">
        <f t="shared" si="2"/>
        <v>46604</v>
      </c>
      <c r="N40" s="1403">
        <f>IF($E$28&gt;22,$F$28,0)</f>
        <v>155711.67481345628</v>
      </c>
      <c r="O40" s="1403"/>
      <c r="P40" s="1835"/>
      <c r="Q40" s="1836"/>
      <c r="R40" s="1837"/>
      <c r="S40" s="521"/>
      <c r="T40" s="497" t="s">
        <v>1123</v>
      </c>
      <c r="U40" s="497"/>
      <c r="V40" s="508">
        <f t="shared" si="3"/>
        <v>46573</v>
      </c>
      <c r="W40" s="521"/>
      <c r="X40" s="521"/>
      <c r="Y40" s="521"/>
      <c r="Z40" s="521"/>
      <c r="AA40" s="521"/>
      <c r="AB40" s="521"/>
      <c r="AC40" s="521"/>
      <c r="AD40" s="521"/>
      <c r="AE40" s="521"/>
      <c r="AF40" s="521"/>
      <c r="AG40" s="521"/>
      <c r="AH40" s="521"/>
      <c r="AI40" s="521"/>
      <c r="AJ40" s="521"/>
      <c r="AK40" s="521"/>
      <c r="AL40" s="521"/>
      <c r="AM40" s="521"/>
      <c r="AN40" s="521"/>
      <c r="AO40" s="521"/>
      <c r="AP40" s="521"/>
      <c r="AQ40" s="521"/>
      <c r="AR40" s="521"/>
    </row>
    <row r="41" spans="1:44" s="119" customFormat="1" ht="14.25" customHeight="1">
      <c r="A41" s="1024"/>
      <c r="B41" s="1601">
        <f>'SPOT CASH_60 DAYS'!B40</f>
        <v>0</v>
      </c>
      <c r="C41" s="1603"/>
      <c r="D41" s="1601">
        <f>'SPOT CASH_60 DAYS'!D40:D40</f>
        <v>0</v>
      </c>
      <c r="E41" s="1602"/>
      <c r="F41" s="1602"/>
      <c r="G41" s="1603"/>
      <c r="H41" s="1597">
        <f>'SPOT CASH_60 DAYS'!G40</f>
        <v>0</v>
      </c>
      <c r="I41" s="1598"/>
      <c r="J41" s="1024"/>
      <c r="K41" s="1521" t="str">
        <f t="shared" si="4"/>
        <v>24th EQUITY PAYMENT</v>
      </c>
      <c r="L41" s="1521"/>
      <c r="M41" s="1781">
        <f t="shared" si="2"/>
        <v>46635</v>
      </c>
      <c r="N41" s="1403">
        <f>IF(E28&gt;23,F28,0)</f>
        <v>155711.67481345628</v>
      </c>
      <c r="O41" s="1403"/>
      <c r="P41" s="1835"/>
      <c r="Q41" s="1836"/>
      <c r="R41" s="1837"/>
      <c r="S41" s="521"/>
      <c r="T41" s="497" t="s">
        <v>1125</v>
      </c>
      <c r="U41" s="497"/>
      <c r="V41" s="508">
        <f t="shared" si="3"/>
        <v>46604</v>
      </c>
      <c r="W41" s="521"/>
      <c r="X41" s="521"/>
      <c r="Y41" s="521"/>
      <c r="Z41" s="521"/>
      <c r="AA41" s="521"/>
      <c r="AB41" s="521"/>
      <c r="AC41" s="521"/>
      <c r="AD41" s="521"/>
      <c r="AE41" s="521"/>
      <c r="AF41" s="521"/>
      <c r="AG41" s="521"/>
      <c r="AH41" s="521"/>
      <c r="AI41" s="521"/>
      <c r="AJ41" s="521"/>
      <c r="AK41" s="521"/>
      <c r="AL41" s="521"/>
      <c r="AM41" s="521"/>
      <c r="AN41" s="521"/>
      <c r="AO41" s="521"/>
      <c r="AP41" s="521"/>
      <c r="AQ41" s="521"/>
      <c r="AR41" s="521"/>
    </row>
    <row r="42" spans="1:44" s="119" customFormat="1" ht="15" customHeight="1">
      <c r="A42" s="1024"/>
      <c r="B42" s="1604"/>
      <c r="C42" s="1606"/>
      <c r="D42" s="1604"/>
      <c r="E42" s="1605"/>
      <c r="F42" s="1605"/>
      <c r="G42" s="1606"/>
      <c r="H42" s="1599"/>
      <c r="I42" s="1600"/>
      <c r="J42" s="1024"/>
      <c r="K42" s="1521" t="str">
        <f t="shared" si="4"/>
        <v>25th EQUITY PAYMENT</v>
      </c>
      <c r="L42" s="1521"/>
      <c r="M42" s="1781">
        <f t="shared" si="2"/>
        <v>46665</v>
      </c>
      <c r="N42" s="1845">
        <f>IF(E28&gt;24,F28,0)</f>
        <v>155711.67481345628</v>
      </c>
      <c r="O42" s="1845"/>
      <c r="P42" s="1835"/>
      <c r="Q42" s="1836"/>
      <c r="R42" s="1837"/>
      <c r="S42" s="521"/>
      <c r="T42" s="497" t="s">
        <v>1127</v>
      </c>
      <c r="U42" s="497"/>
      <c r="V42" s="508">
        <f t="shared" si="3"/>
        <v>46635</v>
      </c>
      <c r="W42" s="521"/>
      <c r="X42" s="521"/>
      <c r="Y42" s="521"/>
      <c r="Z42" s="521"/>
      <c r="AA42" s="521"/>
      <c r="AB42" s="521"/>
      <c r="AC42" s="521"/>
      <c r="AD42" s="521"/>
      <c r="AE42" s="521"/>
      <c r="AF42" s="521"/>
      <c r="AG42" s="521"/>
      <c r="AH42" s="521"/>
      <c r="AI42" s="521"/>
      <c r="AJ42" s="521"/>
      <c r="AK42" s="521"/>
      <c r="AL42" s="521"/>
      <c r="AM42" s="521"/>
      <c r="AN42" s="521"/>
      <c r="AO42" s="521"/>
      <c r="AP42" s="521"/>
      <c r="AQ42" s="521"/>
      <c r="AR42" s="521"/>
    </row>
    <row r="43" spans="1:44" s="119" customFormat="1" ht="14.25" customHeight="1">
      <c r="A43" s="1024"/>
      <c r="B43" s="1601">
        <f>'SPOT CASH_60 DAYS'!B42</f>
        <v>0</v>
      </c>
      <c r="C43" s="1603"/>
      <c r="D43" s="1601">
        <f>'SPOT CASH_60 DAYS'!D42:D42</f>
        <v>0</v>
      </c>
      <c r="E43" s="1602"/>
      <c r="F43" s="1602"/>
      <c r="G43" s="1603"/>
      <c r="H43" s="1597">
        <f>'SPOT CASH_60 DAYS'!G42</f>
        <v>0</v>
      </c>
      <c r="I43" s="1598"/>
      <c r="J43" s="1024"/>
      <c r="K43" s="1521" t="str">
        <f t="shared" si="4"/>
        <v>26th EQUITY PAYMENT</v>
      </c>
      <c r="L43" s="1521"/>
      <c r="M43" s="1781">
        <f t="shared" si="2"/>
        <v>46696</v>
      </c>
      <c r="N43" s="1403">
        <f>IF(E28&gt;25,F28,0)</f>
        <v>155711.67481345628</v>
      </c>
      <c r="O43" s="1403"/>
      <c r="P43" s="1835"/>
      <c r="Q43" s="1836"/>
      <c r="R43" s="1837"/>
      <c r="S43" s="521"/>
      <c r="T43" s="497" t="s">
        <v>1129</v>
      </c>
      <c r="U43" s="497"/>
      <c r="V43" s="508">
        <f t="shared" si="3"/>
        <v>46665</v>
      </c>
      <c r="W43" s="521"/>
      <c r="X43" s="521"/>
      <c r="Y43" s="521"/>
      <c r="Z43" s="521"/>
      <c r="AA43" s="521"/>
      <c r="AB43" s="521"/>
      <c r="AC43" s="521"/>
      <c r="AD43" s="521"/>
      <c r="AE43" s="521"/>
      <c r="AF43" s="521"/>
      <c r="AG43" s="521"/>
      <c r="AH43" s="521"/>
      <c r="AI43" s="521"/>
      <c r="AJ43" s="521"/>
      <c r="AK43" s="521"/>
      <c r="AL43" s="521"/>
      <c r="AM43" s="521"/>
      <c r="AN43" s="521"/>
      <c r="AO43" s="521"/>
      <c r="AP43" s="521"/>
      <c r="AQ43" s="521"/>
      <c r="AR43" s="521"/>
    </row>
    <row r="44" spans="1:44" s="119" customFormat="1" ht="15" customHeight="1">
      <c r="A44" s="1024"/>
      <c r="B44" s="1604"/>
      <c r="C44" s="1606"/>
      <c r="D44" s="1604"/>
      <c r="E44" s="1605"/>
      <c r="F44" s="1605"/>
      <c r="G44" s="1606"/>
      <c r="H44" s="1599"/>
      <c r="I44" s="1600"/>
      <c r="J44" s="1024"/>
      <c r="K44" s="1521" t="str">
        <f t="shared" si="4"/>
        <v>27th EQUITY PAYMENT</v>
      </c>
      <c r="L44" s="1521"/>
      <c r="M44" s="1781">
        <f t="shared" si="2"/>
        <v>46726</v>
      </c>
      <c r="N44" s="1403">
        <f>IF(E28&gt;26,F28,0)</f>
        <v>155711.67481345628</v>
      </c>
      <c r="O44" s="1403"/>
      <c r="P44" s="1835"/>
      <c r="Q44" s="1836"/>
      <c r="R44" s="1837"/>
      <c r="S44" s="521"/>
      <c r="T44" s="497" t="s">
        <v>1130</v>
      </c>
      <c r="U44" s="497"/>
      <c r="V44" s="508">
        <f t="shared" si="3"/>
        <v>46696</v>
      </c>
      <c r="W44" s="521"/>
      <c r="X44" s="521"/>
      <c r="Y44" s="521"/>
      <c r="Z44" s="521"/>
      <c r="AA44" s="521"/>
      <c r="AB44" s="521"/>
      <c r="AC44" s="521"/>
      <c r="AD44" s="521"/>
      <c r="AE44" s="521"/>
      <c r="AF44" s="521"/>
      <c r="AG44" s="521"/>
      <c r="AH44" s="521"/>
      <c r="AI44" s="521"/>
      <c r="AJ44" s="521"/>
      <c r="AK44" s="521"/>
      <c r="AL44" s="521"/>
      <c r="AM44" s="521"/>
      <c r="AN44" s="521"/>
      <c r="AO44" s="521"/>
      <c r="AP44" s="521"/>
      <c r="AQ44" s="521"/>
      <c r="AR44" s="521"/>
    </row>
    <row r="45" spans="1:44" s="119" customFormat="1" ht="14.25" customHeight="1">
      <c r="A45" s="1024"/>
      <c r="B45" s="1601">
        <f>'SPOT CASH_60 DAYS'!B44</f>
        <v>0</v>
      </c>
      <c r="C45" s="1603"/>
      <c r="D45" s="1601">
        <f>'SPOT CASH_60 DAYS'!D44:D44</f>
        <v>0</v>
      </c>
      <c r="E45" s="1602"/>
      <c r="F45" s="1602"/>
      <c r="G45" s="1603"/>
      <c r="H45" s="1597">
        <f>'SPOT CASH_60 DAYS'!G44</f>
        <v>0</v>
      </c>
      <c r="I45" s="1598"/>
      <c r="J45" s="1024"/>
      <c r="K45" s="1521" t="str">
        <f t="shared" si="4"/>
        <v>28th EQUITY PAYMENT</v>
      </c>
      <c r="L45" s="1521"/>
      <c r="M45" s="1781">
        <f t="shared" si="2"/>
        <v>46757</v>
      </c>
      <c r="N45" s="1403">
        <f>IF(E28&gt;27,F28,0)</f>
        <v>155711.67481345628</v>
      </c>
      <c r="O45" s="1403"/>
      <c r="P45" s="1835"/>
      <c r="Q45" s="1836"/>
      <c r="R45" s="1837"/>
      <c r="S45" s="521"/>
      <c r="T45" s="497" t="s">
        <v>1132</v>
      </c>
      <c r="U45" s="497"/>
      <c r="V45" s="508">
        <f t="shared" si="3"/>
        <v>46726</v>
      </c>
      <c r="W45" s="521"/>
      <c r="X45" s="521"/>
      <c r="Y45" s="521"/>
      <c r="Z45" s="521"/>
      <c r="AA45" s="521"/>
      <c r="AB45" s="521"/>
      <c r="AC45" s="521"/>
      <c r="AD45" s="521"/>
      <c r="AE45" s="521"/>
      <c r="AF45" s="521"/>
      <c r="AG45" s="521"/>
      <c r="AH45" s="521"/>
      <c r="AI45" s="521"/>
      <c r="AJ45" s="521"/>
      <c r="AK45" s="521"/>
      <c r="AL45" s="521"/>
      <c r="AM45" s="521"/>
      <c r="AN45" s="521"/>
      <c r="AO45" s="521"/>
      <c r="AP45" s="521"/>
      <c r="AQ45" s="521"/>
      <c r="AR45" s="521"/>
    </row>
    <row r="46" spans="1:44" s="119" customFormat="1" ht="15" customHeight="1">
      <c r="A46" s="1024"/>
      <c r="B46" s="1604"/>
      <c r="C46" s="1606"/>
      <c r="D46" s="1604"/>
      <c r="E46" s="1605"/>
      <c r="F46" s="1605"/>
      <c r="G46" s="1606"/>
      <c r="H46" s="1599"/>
      <c r="I46" s="1600"/>
      <c r="J46" s="1024"/>
      <c r="K46" s="1521" t="str">
        <f t="shared" ref="K46:K53" si="5">IF(N46&gt;1,T47,0)</f>
        <v>29th EQUITY PAYMENT</v>
      </c>
      <c r="L46" s="1521"/>
      <c r="M46" s="1781">
        <f t="shared" si="2"/>
        <v>46788</v>
      </c>
      <c r="N46" s="1403">
        <f>IF(E28&gt;28,F28,0)</f>
        <v>155711.67481345628</v>
      </c>
      <c r="O46" s="1403"/>
      <c r="P46" s="1835"/>
      <c r="Q46" s="1836"/>
      <c r="R46" s="1837"/>
      <c r="S46" s="521"/>
      <c r="T46" s="497" t="s">
        <v>1133</v>
      </c>
      <c r="U46" s="497"/>
      <c r="V46" s="508">
        <f t="shared" si="3"/>
        <v>46757</v>
      </c>
      <c r="W46" s="521"/>
      <c r="X46" s="521"/>
      <c r="Y46" s="521"/>
      <c r="Z46" s="521"/>
      <c r="AA46" s="521"/>
      <c r="AB46" s="521"/>
      <c r="AC46" s="521"/>
      <c r="AD46" s="521"/>
      <c r="AE46" s="521"/>
      <c r="AF46" s="521"/>
      <c r="AG46" s="521"/>
      <c r="AH46" s="521"/>
      <c r="AI46" s="521"/>
      <c r="AJ46" s="521"/>
      <c r="AK46" s="521"/>
      <c r="AL46" s="521"/>
      <c r="AM46" s="521"/>
      <c r="AN46" s="521"/>
      <c r="AO46" s="521"/>
      <c r="AP46" s="521"/>
      <c r="AQ46" s="521"/>
      <c r="AR46" s="521"/>
    </row>
    <row r="47" spans="1:44" s="119" customFormat="1" ht="14.25" customHeight="1">
      <c r="A47" s="1024"/>
      <c r="B47" s="521"/>
      <c r="C47" s="521"/>
      <c r="D47" s="522"/>
      <c r="E47" s="521"/>
      <c r="F47" s="521"/>
      <c r="G47" s="521"/>
      <c r="H47" s="521"/>
      <c r="I47" s="521"/>
      <c r="J47" s="1024"/>
      <c r="K47" s="1521">
        <f t="shared" si="5"/>
        <v>0</v>
      </c>
      <c r="L47" s="1521"/>
      <c r="M47" s="1781">
        <f t="shared" si="2"/>
        <v>0</v>
      </c>
      <c r="N47" s="1403">
        <f>IF(E28&gt;29,F28,0)</f>
        <v>0</v>
      </c>
      <c r="O47" s="1403"/>
      <c r="P47" s="1835"/>
      <c r="Q47" s="1836"/>
      <c r="R47" s="1837"/>
      <c r="S47" s="521"/>
      <c r="T47" s="497" t="s">
        <v>1135</v>
      </c>
      <c r="U47" s="497"/>
      <c r="V47" s="508">
        <f t="shared" si="3"/>
        <v>46788</v>
      </c>
      <c r="W47" s="521"/>
      <c r="X47" s="521"/>
      <c r="Y47" s="521"/>
      <c r="Z47" s="521"/>
      <c r="AA47" s="521"/>
      <c r="AB47" s="521"/>
      <c r="AC47" s="521"/>
      <c r="AD47" s="521"/>
      <c r="AE47" s="521"/>
      <c r="AF47" s="521"/>
      <c r="AG47" s="521"/>
      <c r="AH47" s="521"/>
      <c r="AI47" s="521"/>
      <c r="AJ47" s="521"/>
      <c r="AK47" s="521"/>
      <c r="AL47" s="521"/>
      <c r="AM47" s="521"/>
      <c r="AN47" s="521"/>
      <c r="AO47" s="521"/>
      <c r="AP47" s="521"/>
      <c r="AQ47" s="521"/>
      <c r="AR47" s="521"/>
    </row>
    <row r="48" spans="1:44" s="119" customFormat="1" ht="12.95">
      <c r="A48" s="1024"/>
      <c r="B48" s="521"/>
      <c r="C48" s="521"/>
      <c r="D48" s="521"/>
      <c r="E48" s="521"/>
      <c r="F48" s="474"/>
      <c r="G48" s="1846"/>
      <c r="H48" s="474"/>
      <c r="I48" s="474"/>
      <c r="J48" s="1024"/>
      <c r="K48" s="1521">
        <f t="shared" si="5"/>
        <v>0</v>
      </c>
      <c r="L48" s="1521"/>
      <c r="M48" s="1781">
        <f t="shared" si="2"/>
        <v>0</v>
      </c>
      <c r="N48" s="1403">
        <f>IF(E28&gt;30,F28,0)</f>
        <v>0</v>
      </c>
      <c r="O48" s="1403"/>
      <c r="P48" s="1835"/>
      <c r="Q48" s="1836"/>
      <c r="R48" s="1837"/>
      <c r="S48" s="521"/>
      <c r="T48" s="497" t="s">
        <v>1136</v>
      </c>
      <c r="U48" s="497"/>
      <c r="V48" s="508">
        <f t="shared" si="3"/>
        <v>46817</v>
      </c>
      <c r="W48" s="521"/>
      <c r="X48" s="521"/>
      <c r="Y48" s="521"/>
      <c r="Z48" s="521"/>
      <c r="AA48" s="521"/>
      <c r="AB48" s="521"/>
      <c r="AC48" s="521"/>
      <c r="AD48" s="521"/>
      <c r="AE48" s="521"/>
      <c r="AF48" s="521"/>
      <c r="AG48" s="521"/>
      <c r="AH48" s="521"/>
      <c r="AI48" s="521"/>
      <c r="AJ48" s="521"/>
      <c r="AK48" s="521"/>
      <c r="AL48" s="521"/>
      <c r="AM48" s="521"/>
      <c r="AN48" s="521"/>
      <c r="AO48" s="521"/>
      <c r="AP48" s="521"/>
      <c r="AQ48" s="521"/>
      <c r="AR48" s="521"/>
    </row>
    <row r="49" spans="1:22" s="521" customFormat="1" ht="16.5" customHeight="1">
      <c r="A49" s="1846"/>
      <c r="B49" s="1847"/>
      <c r="C49" s="1847"/>
      <c r="D49" s="1848"/>
      <c r="E49" s="1847"/>
      <c r="F49" s="1847"/>
      <c r="G49" s="1847"/>
      <c r="H49" s="1847"/>
      <c r="I49" s="1847"/>
      <c r="J49" s="1846"/>
      <c r="K49" s="1849">
        <f t="shared" si="5"/>
        <v>0</v>
      </c>
      <c r="L49" s="1849"/>
      <c r="M49" s="1850">
        <f t="shared" si="2"/>
        <v>0</v>
      </c>
      <c r="N49" s="1851">
        <f>IF(E28&gt;31,F28,0)</f>
        <v>0</v>
      </c>
      <c r="O49" s="1851"/>
      <c r="P49" s="1852"/>
      <c r="Q49" s="1853"/>
      <c r="R49" s="1854"/>
      <c r="T49" s="472" t="s">
        <v>1137</v>
      </c>
      <c r="U49" s="472"/>
      <c r="V49" s="508">
        <f t="shared" si="3"/>
        <v>46848</v>
      </c>
    </row>
    <row r="50" spans="1:22" s="521" customFormat="1" ht="12.95">
      <c r="B50" s="1847"/>
      <c r="C50" s="1847"/>
      <c r="D50" s="1848"/>
      <c r="E50" s="1847"/>
      <c r="F50" s="1847"/>
      <c r="G50" s="1847"/>
      <c r="H50" s="1847"/>
      <c r="I50" s="1847"/>
      <c r="J50" s="1846"/>
      <c r="K50" s="1849">
        <f t="shared" si="5"/>
        <v>0</v>
      </c>
      <c r="L50" s="1849"/>
      <c r="M50" s="1850">
        <f t="shared" si="2"/>
        <v>0</v>
      </c>
      <c r="N50" s="1851">
        <f>IF(E28&gt;32,F28,0)</f>
        <v>0</v>
      </c>
      <c r="O50" s="1851"/>
      <c r="P50" s="1852"/>
      <c r="Q50" s="1853"/>
      <c r="R50" s="1854"/>
      <c r="T50" s="472" t="s">
        <v>1138</v>
      </c>
      <c r="U50" s="472"/>
      <c r="V50" s="508">
        <f t="shared" si="3"/>
        <v>46878</v>
      </c>
    </row>
    <row r="51" spans="1:22" s="521" customFormat="1" ht="12.95">
      <c r="A51" s="523">
        <f>F17*12%</f>
        <v>494763.38172410685</v>
      </c>
      <c r="C51" s="524" t="s">
        <v>1165</v>
      </c>
      <c r="D51" s="1855"/>
      <c r="E51" s="1855"/>
      <c r="F51" s="1855"/>
      <c r="G51" s="1855"/>
      <c r="H51" s="1847"/>
      <c r="I51" s="1847"/>
      <c r="J51" s="1846"/>
      <c r="K51" s="1849">
        <f t="shared" si="5"/>
        <v>0</v>
      </c>
      <c r="L51" s="1849"/>
      <c r="M51" s="1850">
        <f t="shared" si="2"/>
        <v>0</v>
      </c>
      <c r="N51" s="1851">
        <f>IF(E28&gt;33,F28,0)</f>
        <v>0</v>
      </c>
      <c r="O51" s="1851"/>
      <c r="P51" s="1852"/>
      <c r="Q51" s="1853"/>
      <c r="R51" s="1854"/>
      <c r="T51" s="497" t="s">
        <v>1139</v>
      </c>
      <c r="U51" s="497"/>
      <c r="V51" s="508">
        <f t="shared" si="3"/>
        <v>46909</v>
      </c>
    </row>
    <row r="52" spans="1:22" s="521" customFormat="1" ht="12.95">
      <c r="B52" s="1847"/>
      <c r="C52" s="1847"/>
      <c r="D52" s="1848"/>
      <c r="E52" s="1847"/>
      <c r="F52" s="1847"/>
      <c r="G52" s="1847"/>
      <c r="H52" s="1847"/>
      <c r="I52" s="1847"/>
      <c r="J52" s="1846"/>
      <c r="K52" s="1849">
        <f t="shared" si="5"/>
        <v>0</v>
      </c>
      <c r="L52" s="1849"/>
      <c r="M52" s="1850">
        <f t="shared" si="2"/>
        <v>0</v>
      </c>
      <c r="N52" s="1851">
        <f>IF(E28&gt;34,F28,0)</f>
        <v>0</v>
      </c>
      <c r="O52" s="1851"/>
      <c r="P52" s="1852"/>
      <c r="Q52" s="1853"/>
      <c r="R52" s="1854"/>
      <c r="T52" s="497" t="s">
        <v>1140</v>
      </c>
      <c r="U52" s="497"/>
      <c r="V52" s="508">
        <f t="shared" si="3"/>
        <v>46939</v>
      </c>
    </row>
    <row r="53" spans="1:22" s="521" customFormat="1" ht="12.95">
      <c r="D53" s="522"/>
      <c r="J53" s="473"/>
      <c r="K53" s="1849">
        <f t="shared" si="5"/>
        <v>0</v>
      </c>
      <c r="L53" s="1849"/>
      <c r="M53" s="1850">
        <f t="shared" si="2"/>
        <v>0</v>
      </c>
      <c r="N53" s="1851">
        <f>IF(E28&gt;35,F28,0)</f>
        <v>0</v>
      </c>
      <c r="O53" s="1851"/>
      <c r="P53" s="1852"/>
      <c r="Q53" s="1853"/>
      <c r="R53" s="1854"/>
      <c r="T53" s="497" t="s">
        <v>1141</v>
      </c>
      <c r="U53" s="497"/>
      <c r="V53" s="508">
        <f t="shared" si="3"/>
        <v>46970</v>
      </c>
    </row>
    <row r="54" spans="1:22" s="521" customFormat="1" ht="12.95">
      <c r="D54" s="522"/>
      <c r="I54" s="1846"/>
      <c r="J54" s="1856"/>
      <c r="K54" s="1849">
        <f t="shared" ref="K54:K55" si="6">IF(N54&gt;1,T55,0)</f>
        <v>0</v>
      </c>
      <c r="L54" s="1849"/>
      <c r="M54" s="1850">
        <f t="shared" ref="M54:M76" si="7">IF(N54&gt;1,V55,0)</f>
        <v>0</v>
      </c>
      <c r="N54" s="1851">
        <f>IF(E28&gt;36,F28,0)</f>
        <v>0</v>
      </c>
      <c r="O54" s="1851"/>
      <c r="P54" s="1852"/>
      <c r="Q54" s="1853"/>
      <c r="R54" s="1854"/>
      <c r="T54" s="497" t="s">
        <v>1143</v>
      </c>
      <c r="U54" s="497"/>
      <c r="V54" s="508">
        <f t="shared" si="3"/>
        <v>47001</v>
      </c>
    </row>
    <row r="55" spans="1:22" s="521" customFormat="1" ht="12.95">
      <c r="D55" s="522"/>
      <c r="J55" s="1846"/>
      <c r="K55" s="1849">
        <f t="shared" si="6"/>
        <v>0</v>
      </c>
      <c r="L55" s="1849"/>
      <c r="M55" s="1850">
        <f t="shared" si="7"/>
        <v>0</v>
      </c>
      <c r="N55" s="1851">
        <f>IF($E$28&gt;37,$F$28,0)</f>
        <v>0</v>
      </c>
      <c r="O55" s="1851"/>
      <c r="P55" s="1852"/>
      <c r="Q55" s="1853"/>
      <c r="R55" s="1854"/>
      <c r="T55" s="497" t="s">
        <v>1144</v>
      </c>
      <c r="U55" s="497"/>
      <c r="V55" s="508">
        <f t="shared" si="3"/>
        <v>47031</v>
      </c>
    </row>
    <row r="56" spans="1:22" s="521" customFormat="1" ht="12.95">
      <c r="D56" s="522"/>
      <c r="J56" s="1847"/>
      <c r="K56" s="1849">
        <f t="shared" ref="K56:K74" si="8">IF(N56&gt;1,T57,0)</f>
        <v>0</v>
      </c>
      <c r="L56" s="1849"/>
      <c r="M56" s="1850">
        <f t="shared" si="7"/>
        <v>0</v>
      </c>
      <c r="N56" s="1851">
        <f>IF($E$28&gt;38,$F$28,0)</f>
        <v>0</v>
      </c>
      <c r="O56" s="1851"/>
      <c r="P56" s="1852"/>
      <c r="Q56" s="1853"/>
      <c r="R56" s="1854"/>
      <c r="T56" s="497" t="s">
        <v>1145</v>
      </c>
      <c r="U56" s="497"/>
      <c r="V56" s="508">
        <f t="shared" si="3"/>
        <v>47062</v>
      </c>
    </row>
    <row r="57" spans="1:22" s="521" customFormat="1" ht="12.95">
      <c r="D57" s="522"/>
      <c r="J57" s="1847"/>
      <c r="K57" s="1849">
        <f t="shared" si="8"/>
        <v>0</v>
      </c>
      <c r="L57" s="1849"/>
      <c r="M57" s="1850">
        <f t="shared" si="7"/>
        <v>0</v>
      </c>
      <c r="N57" s="1851">
        <f>IF($E$28&gt;39,$F$28,0)</f>
        <v>0</v>
      </c>
      <c r="O57" s="1851"/>
      <c r="P57" s="1852"/>
      <c r="Q57" s="1853"/>
      <c r="R57" s="1854"/>
      <c r="T57" s="497" t="s">
        <v>1147</v>
      </c>
      <c r="U57" s="497"/>
      <c r="V57" s="508">
        <f>IF(AND(DAY(V56)&gt;=6,DAY(V56)&lt;=20),DATE(YEAR(V56),MONTH(V56)+1,DAY(20)),IF(AND(DAY(V56)&gt;=21,DAY(V56)&lt;=30),DATE(YEAR(V56),MONTH(V56)+1,IF(DAY(EOMONTH(V56,1))&lt;30,DAY(EOMONTH(V56,1)),DAY(30))),DATE(YEAR(V56),MONTH(V56)+1,DAY(5))))</f>
        <v>47092</v>
      </c>
    </row>
    <row r="58" spans="1:22" s="521" customFormat="1" ht="12.95">
      <c r="B58" s="474" t="s">
        <v>1168</v>
      </c>
      <c r="C58" s="474"/>
      <c r="D58" s="475"/>
      <c r="E58" s="474"/>
      <c r="G58" s="474" t="s">
        <v>1169</v>
      </c>
      <c r="H58" s="474"/>
      <c r="I58" s="1846"/>
      <c r="J58" s="1847"/>
      <c r="K58" s="1849">
        <f t="shared" si="8"/>
        <v>0</v>
      </c>
      <c r="L58" s="1849"/>
      <c r="M58" s="1850">
        <f t="shared" si="7"/>
        <v>0</v>
      </c>
      <c r="N58" s="1851">
        <f>IF($E$28&gt;40,$F$28,0)</f>
        <v>0</v>
      </c>
      <c r="O58" s="1851"/>
      <c r="P58" s="1852"/>
      <c r="Q58" s="1853"/>
      <c r="R58" s="1854"/>
      <c r="T58" s="497" t="s">
        <v>1148</v>
      </c>
      <c r="U58" s="497"/>
      <c r="V58" s="508">
        <f t="shared" si="3"/>
        <v>47123</v>
      </c>
    </row>
    <row r="59" spans="1:22" s="521" customFormat="1" ht="12.95">
      <c r="B59" s="1846"/>
      <c r="C59" s="1846"/>
      <c r="D59" s="1857"/>
      <c r="E59" s="1846"/>
      <c r="F59" s="1846"/>
      <c r="H59" s="1846"/>
      <c r="I59" s="1846"/>
      <c r="K59" s="1849">
        <f t="shared" si="8"/>
        <v>0</v>
      </c>
      <c r="L59" s="1849"/>
      <c r="M59" s="1850">
        <f t="shared" si="7"/>
        <v>0</v>
      </c>
      <c r="N59" s="1851">
        <f>IF($E$28&gt;41,$F$28,0)</f>
        <v>0</v>
      </c>
      <c r="O59" s="1851"/>
      <c r="P59" s="1852"/>
      <c r="Q59" s="1853"/>
      <c r="R59" s="1854"/>
      <c r="T59" s="497" t="s">
        <v>1151</v>
      </c>
      <c r="U59" s="497"/>
      <c r="V59" s="508">
        <f t="shared" si="3"/>
        <v>47154</v>
      </c>
    </row>
    <row r="60" spans="1:22" s="521" customFormat="1" ht="15" customHeight="1">
      <c r="B60" s="1637" t="str">
        <f>FORM!I28</f>
        <v xml:space="preserve">agent </v>
      </c>
      <c r="C60" s="1637"/>
      <c r="D60" s="1637"/>
      <c r="E60" s="474"/>
      <c r="F60" s="474"/>
      <c r="G60" s="1637" t="str">
        <f>FORM!I26</f>
        <v>buyer</v>
      </c>
      <c r="H60" s="1637"/>
      <c r="I60" s="1637"/>
      <c r="K60" s="1849">
        <f t="shared" si="8"/>
        <v>0</v>
      </c>
      <c r="L60" s="1849"/>
      <c r="M60" s="1850">
        <f t="shared" si="7"/>
        <v>0</v>
      </c>
      <c r="N60" s="1851">
        <f>IF($E$28&gt;42,$F$28,0)</f>
        <v>0</v>
      </c>
      <c r="O60" s="1851"/>
      <c r="P60" s="1852"/>
      <c r="Q60" s="1853"/>
      <c r="R60" s="1854"/>
      <c r="T60" s="497" t="s">
        <v>1152</v>
      </c>
      <c r="U60" s="497"/>
      <c r="V60" s="508">
        <f t="shared" si="3"/>
        <v>47182</v>
      </c>
    </row>
    <row r="61" spans="1:22" s="521" customFormat="1" ht="15" customHeight="1">
      <c r="B61" s="1858" t="s">
        <v>1171</v>
      </c>
      <c r="C61" s="1858"/>
      <c r="D61" s="1858"/>
      <c r="E61" s="1846"/>
      <c r="F61" s="1846"/>
      <c r="G61" s="1859" t="s">
        <v>1171</v>
      </c>
      <c r="H61" s="1859"/>
      <c r="I61" s="1859"/>
      <c r="K61" s="1849">
        <f t="shared" si="8"/>
        <v>0</v>
      </c>
      <c r="L61" s="1849"/>
      <c r="M61" s="1850">
        <f t="shared" si="7"/>
        <v>0</v>
      </c>
      <c r="N61" s="1851">
        <f>IF($E$28&gt;43,$F$28,0)</f>
        <v>0</v>
      </c>
      <c r="O61" s="1851"/>
      <c r="P61" s="1852"/>
      <c r="Q61" s="1853"/>
      <c r="R61" s="1854"/>
      <c r="T61" s="497" t="s">
        <v>1153</v>
      </c>
      <c r="U61" s="497"/>
      <c r="V61" s="508">
        <f t="shared" si="3"/>
        <v>47213</v>
      </c>
    </row>
    <row r="62" spans="1:22" s="521" customFormat="1" ht="15" customHeight="1">
      <c r="D62" s="522"/>
      <c r="K62" s="1849">
        <f t="shared" si="8"/>
        <v>0</v>
      </c>
      <c r="L62" s="1849"/>
      <c r="M62" s="1850">
        <f t="shared" si="7"/>
        <v>0</v>
      </c>
      <c r="N62" s="1851">
        <f>IF($E$28&gt;44,$F$28,0)</f>
        <v>0</v>
      </c>
      <c r="O62" s="1851"/>
      <c r="P62" s="1852"/>
      <c r="Q62" s="1853"/>
      <c r="R62" s="1854"/>
      <c r="T62" s="497" t="s">
        <v>1154</v>
      </c>
      <c r="U62" s="497"/>
      <c r="V62" s="508">
        <f t="shared" si="3"/>
        <v>47243</v>
      </c>
    </row>
    <row r="63" spans="1:22" s="521" customFormat="1" ht="15" customHeight="1">
      <c r="D63" s="522"/>
      <c r="K63" s="1849">
        <f t="shared" si="8"/>
        <v>0</v>
      </c>
      <c r="L63" s="1849"/>
      <c r="M63" s="1850">
        <f t="shared" si="7"/>
        <v>0</v>
      </c>
      <c r="N63" s="1851">
        <f>IF($E$28&gt;45,$F$28,0)</f>
        <v>0</v>
      </c>
      <c r="O63" s="1851"/>
      <c r="P63" s="1852"/>
      <c r="Q63" s="1853"/>
      <c r="R63" s="1854"/>
      <c r="T63" s="497" t="s">
        <v>1155</v>
      </c>
      <c r="U63" s="497"/>
      <c r="V63" s="508">
        <f>IF(AND(DAY(V62)&gt;=6,DAY(V62)&lt;=20),DATE(YEAR(V62),MONTH(V62)+1,DAY(20)),IF(AND(DAY(V62)&gt;=21,DAY(V62)&lt;=30),DATE(YEAR(V62),MONTH(V62)+1,IF(DAY(EOMONTH(V62,1))&lt;30,DAY(EOMONTH(V62,1)),DAY(30))),DATE(YEAR(V62),MONTH(V62)+1,DAY(5))))</f>
        <v>47274</v>
      </c>
    </row>
    <row r="64" spans="1:22" s="521" customFormat="1" ht="15" customHeight="1">
      <c r="B64"/>
      <c r="C64"/>
      <c r="D64" s="103"/>
      <c r="E64"/>
      <c r="F64"/>
      <c r="G64"/>
      <c r="H64"/>
      <c r="I64"/>
      <c r="K64" s="1849">
        <f t="shared" si="8"/>
        <v>0</v>
      </c>
      <c r="L64" s="1849"/>
      <c r="M64" s="1850">
        <f t="shared" si="7"/>
        <v>0</v>
      </c>
      <c r="N64" s="1851">
        <f>IF($E$28&gt;46,$F$28,0)</f>
        <v>0</v>
      </c>
      <c r="O64" s="1851"/>
      <c r="P64" s="1852"/>
      <c r="Q64" s="1853"/>
      <c r="R64" s="1854"/>
      <c r="T64" s="497" t="s">
        <v>1156</v>
      </c>
      <c r="U64" s="497"/>
      <c r="V64" s="508">
        <f t="shared" si="3"/>
        <v>47304</v>
      </c>
    </row>
    <row r="65" spans="4:22" s="530" customFormat="1">
      <c r="D65" s="531"/>
      <c r="K65" s="1849">
        <f t="shared" si="8"/>
        <v>0</v>
      </c>
      <c r="L65" s="1849"/>
      <c r="M65" s="1850">
        <f t="shared" si="7"/>
        <v>0</v>
      </c>
      <c r="N65" s="1851">
        <f>IF($E$28&gt;47,$F$28,0)</f>
        <v>0</v>
      </c>
      <c r="O65" s="1851"/>
      <c r="P65" s="1852"/>
      <c r="Q65" s="1853"/>
      <c r="R65" s="1854"/>
      <c r="T65" s="497" t="s">
        <v>1157</v>
      </c>
      <c r="V65" s="508">
        <f t="shared" si="3"/>
        <v>47335</v>
      </c>
    </row>
    <row r="66" spans="4:22" s="530" customFormat="1">
      <c r="D66" s="531"/>
      <c r="K66" s="1849">
        <f t="shared" si="8"/>
        <v>0</v>
      </c>
      <c r="L66" s="1849"/>
      <c r="M66" s="1850">
        <f t="shared" si="7"/>
        <v>0</v>
      </c>
      <c r="N66" s="1851">
        <f>IF($E$28&gt;48,$F$28,0)</f>
        <v>0</v>
      </c>
      <c r="O66" s="1851"/>
      <c r="P66" s="1852"/>
      <c r="Q66" s="1853"/>
      <c r="R66" s="1854"/>
      <c r="T66" s="497" t="s">
        <v>1158</v>
      </c>
      <c r="V66" s="508">
        <f t="shared" si="3"/>
        <v>47366</v>
      </c>
    </row>
    <row r="67" spans="4:22" s="530" customFormat="1">
      <c r="D67" s="531"/>
      <c r="K67" s="1849">
        <f t="shared" si="8"/>
        <v>0</v>
      </c>
      <c r="L67" s="1849"/>
      <c r="M67" s="1850">
        <f t="shared" si="7"/>
        <v>0</v>
      </c>
      <c r="N67" s="1851">
        <f>IF($E$28&gt;49,$F$28,0)</f>
        <v>0</v>
      </c>
      <c r="O67" s="1851"/>
      <c r="P67" s="1852"/>
      <c r="Q67" s="1853"/>
      <c r="R67" s="1854"/>
      <c r="T67" s="497" t="s">
        <v>1159</v>
      </c>
      <c r="V67" s="508">
        <f t="shared" si="3"/>
        <v>47396</v>
      </c>
    </row>
    <row r="68" spans="4:22" s="530" customFormat="1">
      <c r="D68" s="531"/>
      <c r="K68" s="1849">
        <f t="shared" si="8"/>
        <v>0</v>
      </c>
      <c r="L68" s="1849"/>
      <c r="M68" s="1850">
        <f t="shared" si="7"/>
        <v>0</v>
      </c>
      <c r="N68" s="1851">
        <f>IF($E$28&gt;50,$F$28,0)</f>
        <v>0</v>
      </c>
      <c r="O68" s="1851"/>
      <c r="P68" s="1852"/>
      <c r="Q68" s="1853"/>
      <c r="R68" s="1854"/>
      <c r="T68" s="497" t="s">
        <v>1160</v>
      </c>
      <c r="V68" s="508">
        <f t="shared" si="3"/>
        <v>47427</v>
      </c>
    </row>
    <row r="69" spans="4:22" s="530" customFormat="1">
      <c r="D69" s="531"/>
      <c r="K69" s="1849">
        <f t="shared" si="8"/>
        <v>0</v>
      </c>
      <c r="L69" s="1849"/>
      <c r="M69" s="1850">
        <f t="shared" si="7"/>
        <v>0</v>
      </c>
      <c r="N69" s="1851">
        <f>IF($E$28&gt;51,$F$28,0)</f>
        <v>0</v>
      </c>
      <c r="O69" s="1851"/>
      <c r="P69" s="1852"/>
      <c r="Q69" s="1853"/>
      <c r="R69" s="1854"/>
      <c r="T69" s="497" t="s">
        <v>1161</v>
      </c>
      <c r="V69" s="508">
        <f t="shared" si="3"/>
        <v>47457</v>
      </c>
    </row>
    <row r="70" spans="4:22" s="530" customFormat="1">
      <c r="D70" s="531"/>
      <c r="K70" s="1849">
        <f t="shared" si="8"/>
        <v>0</v>
      </c>
      <c r="L70" s="1849"/>
      <c r="M70" s="1850">
        <f t="shared" si="7"/>
        <v>0</v>
      </c>
      <c r="N70" s="1851">
        <f>IF($E$28&gt;52,$F$28,0)</f>
        <v>0</v>
      </c>
      <c r="O70" s="1851"/>
      <c r="P70" s="1852"/>
      <c r="Q70" s="1853"/>
      <c r="R70" s="1854"/>
      <c r="T70" s="497" t="s">
        <v>1162</v>
      </c>
      <c r="V70" s="508">
        <f t="shared" si="3"/>
        <v>47488</v>
      </c>
    </row>
    <row r="71" spans="4:22" s="530" customFormat="1">
      <c r="D71" s="531"/>
      <c r="K71" s="1849">
        <f t="shared" si="8"/>
        <v>0</v>
      </c>
      <c r="L71" s="1849"/>
      <c r="M71" s="1850">
        <f t="shared" si="7"/>
        <v>0</v>
      </c>
      <c r="N71" s="1851">
        <f>IF($E$28&gt;53,$F$28,0)</f>
        <v>0</v>
      </c>
      <c r="O71" s="1851"/>
      <c r="P71" s="1852"/>
      <c r="Q71" s="1853"/>
      <c r="R71" s="1854"/>
      <c r="T71" s="497" t="s">
        <v>1163</v>
      </c>
      <c r="V71" s="508">
        <f t="shared" si="3"/>
        <v>47519</v>
      </c>
    </row>
    <row r="72" spans="4:22" s="530" customFormat="1">
      <c r="D72" s="531"/>
      <c r="K72" s="1849">
        <f t="shared" si="8"/>
        <v>0</v>
      </c>
      <c r="L72" s="1849"/>
      <c r="M72" s="1850">
        <f t="shared" si="7"/>
        <v>0</v>
      </c>
      <c r="N72" s="1851">
        <f>IF($E$28&gt;54,$F$28,0)</f>
        <v>0</v>
      </c>
      <c r="O72" s="1851"/>
      <c r="P72" s="1852"/>
      <c r="Q72" s="1853"/>
      <c r="R72" s="1854"/>
      <c r="T72" s="497" t="s">
        <v>1164</v>
      </c>
      <c r="V72" s="508">
        <f t="shared" si="3"/>
        <v>47547</v>
      </c>
    </row>
    <row r="73" spans="4:22" s="530" customFormat="1">
      <c r="D73" s="531"/>
      <c r="K73" s="1849">
        <f t="shared" si="8"/>
        <v>0</v>
      </c>
      <c r="L73" s="1849"/>
      <c r="M73" s="1850">
        <f t="shared" si="7"/>
        <v>0</v>
      </c>
      <c r="N73" s="1851">
        <f>IF($E$28&gt;55,$F$28,0)</f>
        <v>0</v>
      </c>
      <c r="O73" s="1851"/>
      <c r="P73" s="1852"/>
      <c r="Q73" s="1853"/>
      <c r="R73" s="1854"/>
      <c r="T73" s="497" t="s">
        <v>1166</v>
      </c>
      <c r="V73" s="508">
        <f t="shared" si="3"/>
        <v>47578</v>
      </c>
    </row>
    <row r="74" spans="4:22" s="530" customFormat="1">
      <c r="D74" s="531"/>
      <c r="K74" s="1849">
        <f t="shared" si="8"/>
        <v>0</v>
      </c>
      <c r="L74" s="1849"/>
      <c r="M74" s="1850">
        <f t="shared" si="7"/>
        <v>0</v>
      </c>
      <c r="N74" s="1851">
        <f>IF($E$28&gt;56,$F$28,0)</f>
        <v>0</v>
      </c>
      <c r="O74" s="1851"/>
      <c r="P74" s="1852"/>
      <c r="Q74" s="1853"/>
      <c r="R74" s="1854"/>
    </row>
    <row r="75" spans="4:22" s="530" customFormat="1">
      <c r="D75" s="531"/>
      <c r="K75" s="1849">
        <f t="shared" ref="K75:K76" si="9">IF(N75&gt;1,T76,0)</f>
        <v>0</v>
      </c>
      <c r="L75" s="1849"/>
      <c r="M75" s="1850">
        <f t="shared" si="7"/>
        <v>0</v>
      </c>
      <c r="N75" s="1851">
        <f>IF($E$28&gt;57,$F$28,0)</f>
        <v>0</v>
      </c>
      <c r="O75" s="1851"/>
      <c r="P75" s="1852"/>
      <c r="Q75" s="1853"/>
      <c r="R75" s="1854"/>
    </row>
    <row r="76" spans="4:22" s="530" customFormat="1">
      <c r="D76" s="531"/>
      <c r="K76" s="1849">
        <f t="shared" si="9"/>
        <v>0</v>
      </c>
      <c r="L76" s="1849"/>
      <c r="M76" s="1850">
        <f t="shared" si="7"/>
        <v>0</v>
      </c>
      <c r="N76" s="1851">
        <f>IF($E$28&gt;58,$F$28,0)</f>
        <v>0</v>
      </c>
      <c r="O76" s="1851"/>
      <c r="P76" s="1852"/>
      <c r="Q76" s="1853"/>
      <c r="R76" s="1854"/>
    </row>
    <row r="77" spans="4:22" s="530" customFormat="1">
      <c r="D77" s="531"/>
      <c r="K77" s="521"/>
      <c r="L77" s="521"/>
      <c r="M77" s="525"/>
      <c r="N77" s="521"/>
      <c r="O77" s="521"/>
      <c r="P77" s="521"/>
      <c r="Q77" s="1846"/>
      <c r="R77" s="1846"/>
    </row>
    <row r="78" spans="4:22" s="530" customFormat="1">
      <c r="D78" s="531"/>
      <c r="K78" s="474" t="s">
        <v>1168</v>
      </c>
      <c r="L78" s="474"/>
      <c r="M78" s="475"/>
      <c r="N78" s="474"/>
      <c r="O78" s="521"/>
      <c r="P78" s="474" t="s">
        <v>1169</v>
      </c>
      <c r="Q78" s="1846"/>
      <c r="R78" s="1846"/>
    </row>
    <row r="79" spans="4:22" s="530" customFormat="1">
      <c r="D79" s="531"/>
      <c r="K79" s="1846"/>
      <c r="L79" s="1846"/>
      <c r="M79" s="1857"/>
      <c r="N79" s="1846"/>
      <c r="O79" s="1846"/>
      <c r="P79" s="1846"/>
      <c r="Q79" s="1846"/>
      <c r="R79" s="1846"/>
    </row>
    <row r="80" spans="4:22" s="530" customFormat="1">
      <c r="D80" s="531"/>
      <c r="K80" s="1638" t="str">
        <f>FORM!I28</f>
        <v xml:space="preserve">agent </v>
      </c>
      <c r="L80" s="1638"/>
      <c r="M80" s="1638"/>
      <c r="N80" s="474"/>
      <c r="O80" s="474"/>
      <c r="P80" s="1638" t="str">
        <f>FORM!I26</f>
        <v>buyer</v>
      </c>
      <c r="Q80" s="1638"/>
      <c r="R80" s="1638"/>
    </row>
    <row r="81" spans="4:44" s="530" customFormat="1">
      <c r="D81" s="531"/>
      <c r="K81" s="1860" t="s">
        <v>1170</v>
      </c>
      <c r="L81" s="1861"/>
      <c r="M81" s="1862"/>
      <c r="N81" s="1846"/>
      <c r="O81" s="1846"/>
      <c r="P81" s="1863" t="s">
        <v>1171</v>
      </c>
      <c r="Q81" s="1861"/>
      <c r="R81" s="1862"/>
    </row>
    <row r="82" spans="4:44" s="530" customFormat="1">
      <c r="D82" s="531"/>
      <c r="K82" s="471"/>
      <c r="L82" s="476"/>
      <c r="M82" s="476"/>
      <c r="N82" s="471"/>
      <c r="O82" s="471"/>
      <c r="P82" s="471"/>
      <c r="Q82" s="471"/>
      <c r="R82" s="471"/>
    </row>
    <row r="83" spans="4:44" s="530" customFormat="1">
      <c r="D83" s="531"/>
      <c r="L83" s="532"/>
      <c r="M83" s="532"/>
    </row>
    <row r="84" spans="4:44" s="530" customFormat="1">
      <c r="D84" s="531"/>
      <c r="L84" s="532"/>
      <c r="M84" s="532"/>
    </row>
    <row r="85" spans="4:44" s="530" customFormat="1">
      <c r="D85" s="531"/>
      <c r="M85" s="532"/>
    </row>
    <row r="86" spans="4:44" s="530" customFormat="1">
      <c r="D86" s="531"/>
      <c r="M86" s="532"/>
    </row>
    <row r="87" spans="4:44" s="528" customFormat="1">
      <c r="D87" s="529"/>
      <c r="K87" s="530"/>
      <c r="L87" s="530"/>
      <c r="M87" s="532"/>
      <c r="N87" s="530"/>
      <c r="O87" s="530"/>
      <c r="P87" s="530"/>
      <c r="Q87" s="530"/>
      <c r="R87" s="530"/>
      <c r="S87" s="530"/>
      <c r="T87" s="530"/>
      <c r="U87" s="530"/>
      <c r="V87" s="530"/>
      <c r="W87" s="530"/>
      <c r="X87" s="530"/>
      <c r="Y87" s="530"/>
      <c r="Z87" s="530"/>
      <c r="AA87" s="530"/>
      <c r="AB87" s="530"/>
      <c r="AC87" s="530"/>
      <c r="AD87" s="530"/>
      <c r="AE87" s="530"/>
      <c r="AF87" s="530"/>
      <c r="AG87" s="530"/>
      <c r="AH87" s="530"/>
      <c r="AI87" s="530"/>
      <c r="AJ87" s="530"/>
      <c r="AK87" s="530"/>
      <c r="AL87" s="530"/>
      <c r="AM87" s="530"/>
      <c r="AN87" s="530"/>
      <c r="AO87" s="530"/>
      <c r="AP87" s="530"/>
      <c r="AQ87" s="530"/>
      <c r="AR87" s="530"/>
    </row>
    <row r="88" spans="4:44" s="528" customFormat="1">
      <c r="D88" s="529"/>
      <c r="K88" s="530"/>
      <c r="L88" s="530"/>
      <c r="M88" s="532"/>
      <c r="N88" s="530"/>
      <c r="O88" s="530"/>
      <c r="P88" s="530"/>
      <c r="Q88" s="530"/>
      <c r="R88" s="530"/>
      <c r="S88" s="530"/>
      <c r="T88" s="530"/>
      <c r="U88" s="530"/>
      <c r="V88" s="530"/>
      <c r="W88" s="530"/>
      <c r="X88" s="530"/>
      <c r="Y88" s="530"/>
      <c r="Z88" s="530"/>
      <c r="AA88" s="530"/>
      <c r="AB88" s="530"/>
      <c r="AC88" s="530"/>
      <c r="AD88" s="530"/>
      <c r="AE88" s="530"/>
      <c r="AF88" s="530"/>
      <c r="AG88" s="530"/>
      <c r="AH88" s="530"/>
      <c r="AI88" s="530"/>
      <c r="AJ88" s="530"/>
      <c r="AK88" s="530"/>
      <c r="AL88" s="530"/>
      <c r="AM88" s="530"/>
      <c r="AN88" s="530"/>
      <c r="AO88" s="530"/>
      <c r="AP88" s="530"/>
      <c r="AQ88" s="530"/>
      <c r="AR88" s="530"/>
    </row>
    <row r="89" spans="4:44" s="528" customFormat="1">
      <c r="D89" s="529"/>
      <c r="K89" s="530"/>
      <c r="L89" s="530"/>
      <c r="M89" s="532"/>
      <c r="N89" s="530"/>
      <c r="O89" s="530"/>
      <c r="P89" s="530"/>
      <c r="Q89" s="530"/>
      <c r="R89" s="530"/>
      <c r="S89" s="530"/>
      <c r="T89" s="530"/>
      <c r="U89" s="530"/>
      <c r="V89" s="530"/>
      <c r="W89" s="530"/>
      <c r="X89" s="530"/>
      <c r="Y89" s="530"/>
      <c r="Z89" s="530"/>
      <c r="AA89" s="530"/>
      <c r="AB89" s="530"/>
      <c r="AC89" s="530"/>
      <c r="AD89" s="530"/>
      <c r="AE89" s="530"/>
      <c r="AF89" s="530"/>
      <c r="AG89" s="530"/>
      <c r="AH89" s="530"/>
      <c r="AI89" s="530"/>
      <c r="AJ89" s="530"/>
      <c r="AK89" s="530"/>
      <c r="AL89" s="530"/>
      <c r="AM89" s="530"/>
      <c r="AN89" s="530"/>
      <c r="AO89" s="530"/>
      <c r="AP89" s="530"/>
      <c r="AQ89" s="530"/>
      <c r="AR89" s="530"/>
    </row>
    <row r="90" spans="4:44" s="528" customFormat="1">
      <c r="D90" s="529"/>
      <c r="K90" s="530"/>
      <c r="L90" s="530"/>
      <c r="M90" s="532"/>
      <c r="N90" s="530"/>
      <c r="O90" s="530"/>
      <c r="P90" s="530"/>
      <c r="Q90" s="530"/>
      <c r="R90" s="530"/>
      <c r="S90" s="530"/>
      <c r="T90" s="530"/>
      <c r="U90" s="530"/>
      <c r="V90" s="530"/>
      <c r="W90" s="530"/>
      <c r="X90" s="530"/>
      <c r="Y90" s="530"/>
      <c r="Z90" s="530"/>
      <c r="AA90" s="530"/>
      <c r="AB90" s="530"/>
      <c r="AC90" s="530"/>
      <c r="AD90" s="530"/>
      <c r="AE90" s="530"/>
      <c r="AF90" s="530"/>
      <c r="AG90" s="530"/>
      <c r="AH90" s="530"/>
      <c r="AI90" s="530"/>
      <c r="AJ90" s="530"/>
      <c r="AK90" s="530"/>
      <c r="AL90" s="530"/>
      <c r="AM90" s="530"/>
      <c r="AN90" s="530"/>
      <c r="AO90" s="530"/>
      <c r="AP90" s="530"/>
      <c r="AQ90" s="530"/>
      <c r="AR90" s="530"/>
    </row>
    <row r="91" spans="4:44" s="528" customFormat="1">
      <c r="D91" s="529"/>
      <c r="K91" s="530"/>
      <c r="L91" s="530"/>
      <c r="M91" s="532"/>
      <c r="N91" s="530"/>
      <c r="O91" s="530"/>
      <c r="P91" s="530"/>
      <c r="Q91" s="530"/>
      <c r="R91" s="530"/>
      <c r="S91" s="530"/>
      <c r="T91" s="530"/>
      <c r="U91" s="530"/>
      <c r="V91" s="530"/>
      <c r="W91" s="530"/>
      <c r="X91" s="530"/>
      <c r="Y91" s="530"/>
      <c r="Z91" s="530"/>
      <c r="AA91" s="530"/>
      <c r="AB91" s="530"/>
      <c r="AC91" s="530"/>
      <c r="AD91" s="530"/>
      <c r="AE91" s="530"/>
      <c r="AF91" s="530"/>
      <c r="AG91" s="530"/>
      <c r="AH91" s="530"/>
      <c r="AI91" s="530"/>
      <c r="AJ91" s="530"/>
      <c r="AK91" s="530"/>
      <c r="AL91" s="530"/>
      <c r="AM91" s="530"/>
      <c r="AN91" s="530"/>
      <c r="AO91" s="530"/>
      <c r="AP91" s="530"/>
      <c r="AQ91" s="530"/>
      <c r="AR91" s="530"/>
    </row>
    <row r="92" spans="4:44" s="528" customFormat="1">
      <c r="D92" s="529"/>
      <c r="K92" s="530"/>
      <c r="L92" s="530"/>
      <c r="M92" s="532"/>
      <c r="N92" s="530"/>
      <c r="O92" s="530"/>
      <c r="P92" s="530"/>
      <c r="Q92" s="530"/>
      <c r="R92" s="530"/>
      <c r="S92" s="530"/>
      <c r="T92" s="530"/>
      <c r="U92" s="530"/>
      <c r="V92" s="530"/>
      <c r="W92" s="530"/>
      <c r="X92" s="530"/>
      <c r="Y92" s="530"/>
      <c r="Z92" s="530"/>
      <c r="AA92" s="530"/>
      <c r="AB92" s="530"/>
      <c r="AC92" s="530"/>
      <c r="AD92" s="530"/>
      <c r="AE92" s="530"/>
      <c r="AF92" s="530"/>
      <c r="AG92" s="530"/>
      <c r="AH92" s="530"/>
      <c r="AI92" s="530"/>
      <c r="AJ92" s="530"/>
      <c r="AK92" s="530"/>
      <c r="AL92" s="530"/>
      <c r="AM92" s="530"/>
      <c r="AN92" s="530"/>
      <c r="AO92" s="530"/>
      <c r="AP92" s="530"/>
      <c r="AQ92" s="530"/>
      <c r="AR92" s="530"/>
    </row>
    <row r="93" spans="4:44" s="528" customFormat="1">
      <c r="D93" s="529"/>
      <c r="K93" s="530"/>
      <c r="L93" s="530"/>
      <c r="M93" s="532"/>
      <c r="N93" s="530"/>
      <c r="O93" s="530"/>
      <c r="P93" s="530"/>
      <c r="Q93" s="530"/>
      <c r="R93" s="530"/>
      <c r="S93" s="530"/>
      <c r="T93" s="530"/>
      <c r="U93" s="530"/>
      <c r="V93" s="530"/>
      <c r="W93" s="530"/>
      <c r="X93" s="530"/>
      <c r="Y93" s="530"/>
      <c r="Z93" s="530"/>
      <c r="AA93" s="530"/>
      <c r="AB93" s="530"/>
      <c r="AC93" s="530"/>
      <c r="AD93" s="530"/>
      <c r="AE93" s="530"/>
      <c r="AF93" s="530"/>
      <c r="AG93" s="530"/>
      <c r="AH93" s="530"/>
      <c r="AI93" s="530"/>
      <c r="AJ93" s="530"/>
      <c r="AK93" s="530"/>
      <c r="AL93" s="530"/>
      <c r="AM93" s="530"/>
      <c r="AN93" s="530"/>
      <c r="AO93" s="530"/>
      <c r="AP93" s="530"/>
      <c r="AQ93" s="530"/>
      <c r="AR93" s="530"/>
    </row>
    <row r="94" spans="4:44" s="528" customFormat="1">
      <c r="D94" s="529"/>
      <c r="K94" s="530"/>
      <c r="L94" s="530"/>
      <c r="M94" s="532"/>
      <c r="N94" s="530"/>
      <c r="O94" s="530"/>
      <c r="P94" s="530"/>
      <c r="Q94" s="530"/>
      <c r="R94" s="530"/>
      <c r="S94" s="530"/>
      <c r="T94" s="530"/>
      <c r="U94" s="530"/>
      <c r="V94" s="530"/>
      <c r="W94" s="530"/>
      <c r="X94" s="530"/>
      <c r="Y94" s="530"/>
      <c r="Z94" s="530"/>
      <c r="AA94" s="530"/>
      <c r="AB94" s="530"/>
      <c r="AC94" s="530"/>
      <c r="AD94" s="530"/>
      <c r="AE94" s="530"/>
      <c r="AF94" s="530"/>
      <c r="AG94" s="530"/>
      <c r="AH94" s="530"/>
      <c r="AI94" s="530"/>
      <c r="AJ94" s="530"/>
      <c r="AK94" s="530"/>
      <c r="AL94" s="530"/>
      <c r="AM94" s="530"/>
      <c r="AN94" s="530"/>
      <c r="AO94" s="530"/>
      <c r="AP94" s="530"/>
      <c r="AQ94" s="530"/>
      <c r="AR94" s="530"/>
    </row>
    <row r="95" spans="4:44" s="528" customFormat="1">
      <c r="D95" s="529"/>
      <c r="K95" s="530"/>
      <c r="L95" s="530"/>
      <c r="M95" s="532"/>
      <c r="N95" s="530"/>
      <c r="O95" s="530"/>
      <c r="P95" s="530"/>
      <c r="Q95" s="530"/>
      <c r="R95" s="530"/>
      <c r="S95" s="530"/>
      <c r="T95" s="530"/>
      <c r="U95" s="530"/>
      <c r="V95" s="530"/>
      <c r="W95" s="530"/>
      <c r="X95" s="530"/>
      <c r="Y95" s="530"/>
      <c r="Z95" s="530"/>
      <c r="AA95" s="530"/>
      <c r="AB95" s="530"/>
      <c r="AC95" s="530"/>
      <c r="AD95" s="530"/>
      <c r="AE95" s="530"/>
      <c r="AF95" s="530"/>
      <c r="AG95" s="530"/>
      <c r="AH95" s="530"/>
      <c r="AI95" s="530"/>
      <c r="AJ95" s="530"/>
      <c r="AK95" s="530"/>
      <c r="AL95" s="530"/>
      <c r="AM95" s="530"/>
      <c r="AN95" s="530"/>
      <c r="AO95" s="530"/>
      <c r="AP95" s="530"/>
      <c r="AQ95" s="530"/>
      <c r="AR95" s="530"/>
    </row>
    <row r="96" spans="4:44" s="528" customFormat="1">
      <c r="D96" s="529"/>
      <c r="K96" s="530"/>
      <c r="L96" s="530"/>
      <c r="M96" s="532"/>
      <c r="N96" s="530"/>
      <c r="O96" s="530"/>
      <c r="P96" s="530"/>
      <c r="Q96" s="530"/>
      <c r="R96" s="530"/>
      <c r="S96" s="530"/>
      <c r="T96" s="530"/>
      <c r="U96" s="530"/>
      <c r="V96" s="530"/>
      <c r="W96" s="530"/>
      <c r="X96" s="530"/>
      <c r="Y96" s="530"/>
      <c r="Z96" s="530"/>
      <c r="AA96" s="530"/>
      <c r="AB96" s="530"/>
      <c r="AC96" s="530"/>
      <c r="AD96" s="530"/>
      <c r="AE96" s="530"/>
      <c r="AF96" s="530"/>
      <c r="AG96" s="530"/>
      <c r="AH96" s="530"/>
      <c r="AI96" s="530"/>
      <c r="AJ96" s="530"/>
      <c r="AK96" s="530"/>
      <c r="AL96" s="530"/>
      <c r="AM96" s="530"/>
      <c r="AN96" s="530"/>
      <c r="AO96" s="530"/>
      <c r="AP96" s="530"/>
      <c r="AQ96" s="530"/>
      <c r="AR96" s="530"/>
    </row>
    <row r="97" spans="4:44" s="528" customFormat="1">
      <c r="D97" s="529"/>
      <c r="K97" s="530"/>
      <c r="L97" s="530"/>
      <c r="M97" s="532"/>
      <c r="N97" s="530"/>
      <c r="O97" s="530"/>
      <c r="P97" s="530"/>
      <c r="Q97" s="530"/>
      <c r="R97" s="530"/>
      <c r="S97" s="530"/>
      <c r="T97" s="530"/>
      <c r="U97" s="530"/>
      <c r="V97" s="530"/>
      <c r="W97" s="530"/>
      <c r="X97" s="530"/>
      <c r="Y97" s="530"/>
      <c r="Z97" s="530"/>
      <c r="AA97" s="530"/>
      <c r="AB97" s="530"/>
      <c r="AC97" s="530"/>
      <c r="AD97" s="530"/>
      <c r="AE97" s="530"/>
      <c r="AF97" s="530"/>
      <c r="AG97" s="530"/>
      <c r="AH97" s="530"/>
      <c r="AI97" s="530"/>
      <c r="AJ97" s="530"/>
      <c r="AK97" s="530"/>
      <c r="AL97" s="530"/>
      <c r="AM97" s="530"/>
      <c r="AN97" s="530"/>
      <c r="AO97" s="530"/>
      <c r="AP97" s="530"/>
      <c r="AQ97" s="530"/>
      <c r="AR97" s="530"/>
    </row>
    <row r="98" spans="4:44" s="528" customFormat="1">
      <c r="D98" s="529"/>
      <c r="K98" s="530"/>
      <c r="L98" s="530"/>
      <c r="M98" s="532"/>
      <c r="N98" s="530"/>
      <c r="O98" s="530"/>
      <c r="P98" s="530"/>
      <c r="Q98" s="530"/>
      <c r="R98" s="530"/>
      <c r="S98" s="530"/>
      <c r="T98" s="530"/>
      <c r="U98" s="530"/>
      <c r="V98" s="530"/>
      <c r="W98" s="530"/>
      <c r="X98" s="530"/>
      <c r="Y98" s="530"/>
      <c r="Z98" s="530"/>
      <c r="AA98" s="530"/>
      <c r="AB98" s="530"/>
      <c r="AC98" s="530"/>
      <c r="AD98" s="530"/>
      <c r="AE98" s="530"/>
      <c r="AF98" s="530"/>
      <c r="AG98" s="530"/>
      <c r="AH98" s="530"/>
      <c r="AI98" s="530"/>
      <c r="AJ98" s="530"/>
      <c r="AK98" s="530"/>
      <c r="AL98" s="530"/>
      <c r="AM98" s="530"/>
      <c r="AN98" s="530"/>
      <c r="AO98" s="530"/>
      <c r="AP98" s="530"/>
      <c r="AQ98" s="530"/>
      <c r="AR98" s="530"/>
    </row>
    <row r="99" spans="4:44" s="528" customFormat="1">
      <c r="D99" s="529"/>
      <c r="K99" s="530"/>
      <c r="L99" s="530"/>
      <c r="M99" s="532"/>
      <c r="N99" s="530"/>
      <c r="O99" s="530"/>
      <c r="P99" s="530"/>
      <c r="Q99" s="530"/>
      <c r="R99" s="530"/>
      <c r="S99" s="530"/>
      <c r="T99" s="530"/>
      <c r="U99" s="530"/>
      <c r="V99" s="530"/>
      <c r="W99" s="530"/>
      <c r="X99" s="530"/>
      <c r="Y99" s="530"/>
      <c r="Z99" s="530"/>
      <c r="AA99" s="530"/>
      <c r="AB99" s="530"/>
      <c r="AC99" s="530"/>
      <c r="AD99" s="530"/>
      <c r="AE99" s="530"/>
      <c r="AF99" s="530"/>
      <c r="AG99" s="530"/>
      <c r="AH99" s="530"/>
      <c r="AI99" s="530"/>
      <c r="AJ99" s="530"/>
      <c r="AK99" s="530"/>
      <c r="AL99" s="530"/>
      <c r="AM99" s="530"/>
      <c r="AN99" s="530"/>
      <c r="AO99" s="530"/>
      <c r="AP99" s="530"/>
      <c r="AQ99" s="530"/>
      <c r="AR99" s="530"/>
    </row>
    <row r="100" spans="4:44" s="528" customFormat="1">
      <c r="D100" s="529"/>
      <c r="K100" s="530"/>
      <c r="L100" s="530"/>
      <c r="M100" s="532"/>
      <c r="N100" s="530"/>
      <c r="O100" s="530"/>
      <c r="P100" s="530"/>
      <c r="Q100" s="530"/>
      <c r="R100" s="530"/>
      <c r="S100" s="530"/>
      <c r="T100" s="530"/>
      <c r="U100" s="530"/>
      <c r="V100" s="530"/>
      <c r="W100" s="530"/>
      <c r="X100" s="530"/>
      <c r="Y100" s="530"/>
      <c r="Z100" s="530"/>
      <c r="AA100" s="530"/>
      <c r="AB100" s="530"/>
      <c r="AC100" s="530"/>
      <c r="AD100" s="530"/>
      <c r="AE100" s="530"/>
      <c r="AF100" s="530"/>
      <c r="AG100" s="530"/>
      <c r="AH100" s="530"/>
      <c r="AI100" s="530"/>
      <c r="AJ100" s="530"/>
      <c r="AK100" s="530"/>
      <c r="AL100" s="530"/>
      <c r="AM100" s="530"/>
      <c r="AN100" s="530"/>
      <c r="AO100" s="530"/>
      <c r="AP100" s="530"/>
      <c r="AQ100" s="530"/>
      <c r="AR100" s="530"/>
    </row>
    <row r="101" spans="4:44" s="528" customFormat="1">
      <c r="D101" s="529"/>
      <c r="K101" s="530"/>
      <c r="L101" s="530"/>
      <c r="M101" s="532"/>
      <c r="N101" s="530"/>
      <c r="O101" s="530"/>
      <c r="P101" s="530"/>
      <c r="Q101" s="530"/>
      <c r="R101" s="530"/>
      <c r="S101" s="530"/>
      <c r="T101" s="530"/>
      <c r="U101" s="530"/>
      <c r="V101" s="530"/>
      <c r="W101" s="530"/>
      <c r="X101" s="530"/>
      <c r="Y101" s="530"/>
      <c r="Z101" s="530"/>
      <c r="AA101" s="530"/>
      <c r="AB101" s="530"/>
      <c r="AC101" s="530"/>
      <c r="AD101" s="530"/>
      <c r="AE101" s="530"/>
      <c r="AF101" s="530"/>
      <c r="AG101" s="530"/>
      <c r="AH101" s="530"/>
      <c r="AI101" s="530"/>
      <c r="AJ101" s="530"/>
      <c r="AK101" s="530"/>
      <c r="AL101" s="530"/>
      <c r="AM101" s="530"/>
      <c r="AN101" s="530"/>
      <c r="AO101" s="530"/>
      <c r="AP101" s="530"/>
      <c r="AQ101" s="530"/>
      <c r="AR101" s="530"/>
    </row>
    <row r="102" spans="4:44" s="528" customFormat="1">
      <c r="D102" s="529"/>
      <c r="K102" s="530"/>
      <c r="L102" s="530"/>
      <c r="M102" s="532"/>
      <c r="N102" s="530"/>
      <c r="O102" s="530"/>
      <c r="P102" s="530"/>
      <c r="Q102" s="530"/>
      <c r="R102" s="530"/>
      <c r="S102" s="530"/>
      <c r="T102" s="530"/>
      <c r="U102" s="530"/>
      <c r="V102" s="530"/>
      <c r="W102" s="530"/>
      <c r="X102" s="530"/>
      <c r="Y102" s="530"/>
      <c r="Z102" s="530"/>
      <c r="AA102" s="530"/>
      <c r="AB102" s="530"/>
      <c r="AC102" s="530"/>
      <c r="AD102" s="530"/>
      <c r="AE102" s="530"/>
      <c r="AF102" s="530"/>
      <c r="AG102" s="530"/>
      <c r="AH102" s="530"/>
      <c r="AI102" s="530"/>
      <c r="AJ102" s="530"/>
      <c r="AK102" s="530"/>
      <c r="AL102" s="530"/>
      <c r="AM102" s="530"/>
      <c r="AN102" s="530"/>
      <c r="AO102" s="530"/>
      <c r="AP102" s="530"/>
      <c r="AQ102" s="530"/>
      <c r="AR102" s="530"/>
    </row>
    <row r="103" spans="4:44" s="528" customFormat="1">
      <c r="D103" s="529"/>
      <c r="K103" s="530"/>
      <c r="L103" s="530"/>
      <c r="M103" s="532"/>
      <c r="N103" s="530"/>
      <c r="O103" s="530"/>
      <c r="P103" s="530"/>
      <c r="Q103" s="530"/>
      <c r="R103" s="530"/>
      <c r="S103" s="530"/>
      <c r="T103" s="530"/>
      <c r="U103" s="530"/>
      <c r="V103" s="530"/>
      <c r="W103" s="530"/>
      <c r="X103" s="530"/>
      <c r="Y103" s="530"/>
      <c r="Z103" s="530"/>
      <c r="AA103" s="530"/>
      <c r="AB103" s="530"/>
      <c r="AC103" s="530"/>
      <c r="AD103" s="530"/>
      <c r="AE103" s="530"/>
      <c r="AF103" s="530"/>
      <c r="AG103" s="530"/>
      <c r="AH103" s="530"/>
      <c r="AI103" s="530"/>
      <c r="AJ103" s="530"/>
      <c r="AK103" s="530"/>
      <c r="AL103" s="530"/>
      <c r="AM103" s="530"/>
      <c r="AN103" s="530"/>
      <c r="AO103" s="530"/>
      <c r="AP103" s="530"/>
      <c r="AQ103" s="530"/>
      <c r="AR103" s="530"/>
    </row>
    <row r="104" spans="4:44" s="528" customFormat="1">
      <c r="D104" s="529"/>
      <c r="K104" s="530"/>
      <c r="L104" s="530"/>
      <c r="M104" s="532"/>
      <c r="N104" s="530"/>
      <c r="O104" s="530"/>
      <c r="P104" s="530"/>
      <c r="Q104" s="530"/>
      <c r="R104" s="530"/>
      <c r="S104" s="530"/>
      <c r="T104" s="530"/>
      <c r="U104" s="530"/>
      <c r="V104" s="530"/>
      <c r="W104" s="530"/>
      <c r="X104" s="530"/>
      <c r="Y104" s="530"/>
      <c r="Z104" s="530"/>
      <c r="AA104" s="530"/>
      <c r="AB104" s="530"/>
      <c r="AC104" s="530"/>
      <c r="AD104" s="530"/>
      <c r="AE104" s="530"/>
      <c r="AF104" s="530"/>
      <c r="AG104" s="530"/>
      <c r="AH104" s="530"/>
      <c r="AI104" s="530"/>
      <c r="AJ104" s="530"/>
      <c r="AK104" s="530"/>
      <c r="AL104" s="530"/>
      <c r="AM104" s="530"/>
      <c r="AN104" s="530"/>
      <c r="AO104" s="530"/>
      <c r="AP104" s="530"/>
      <c r="AQ104" s="530"/>
      <c r="AR104" s="530"/>
    </row>
    <row r="105" spans="4:44" s="528" customFormat="1">
      <c r="D105" s="529"/>
      <c r="M105" s="277"/>
      <c r="S105" s="530"/>
      <c r="T105" s="530"/>
      <c r="U105" s="530"/>
      <c r="V105" s="530"/>
      <c r="W105" s="530"/>
      <c r="X105" s="530"/>
      <c r="Y105" s="530"/>
      <c r="Z105" s="530"/>
      <c r="AA105" s="530"/>
      <c r="AB105" s="530"/>
      <c r="AC105" s="530"/>
      <c r="AD105" s="530"/>
      <c r="AE105" s="530"/>
      <c r="AF105" s="530"/>
      <c r="AG105" s="530"/>
      <c r="AH105" s="530"/>
      <c r="AI105" s="530"/>
      <c r="AJ105" s="530"/>
      <c r="AK105" s="530"/>
      <c r="AL105" s="530"/>
      <c r="AM105" s="530"/>
      <c r="AN105" s="530"/>
      <c r="AO105" s="530"/>
      <c r="AP105" s="530"/>
      <c r="AQ105" s="530"/>
      <c r="AR105" s="530"/>
    </row>
    <row r="106" spans="4:44" s="528" customFormat="1">
      <c r="D106" s="529"/>
      <c r="M106" s="277"/>
      <c r="S106" s="530"/>
      <c r="T106" s="530"/>
      <c r="U106" s="530"/>
      <c r="V106" s="530"/>
      <c r="W106" s="530"/>
      <c r="X106" s="530"/>
      <c r="Y106" s="530"/>
      <c r="Z106" s="530"/>
      <c r="AA106" s="530"/>
      <c r="AB106" s="530"/>
      <c r="AC106" s="530"/>
      <c r="AD106" s="530"/>
      <c r="AE106" s="530"/>
      <c r="AF106" s="530"/>
      <c r="AG106" s="530"/>
      <c r="AH106" s="530"/>
      <c r="AI106" s="530"/>
      <c r="AJ106" s="530"/>
      <c r="AK106" s="530"/>
      <c r="AL106" s="530"/>
      <c r="AM106" s="530"/>
      <c r="AN106" s="530"/>
      <c r="AO106" s="530"/>
      <c r="AP106" s="530"/>
      <c r="AQ106" s="530"/>
      <c r="AR106" s="530"/>
    </row>
    <row r="107" spans="4:44" s="528" customFormat="1">
      <c r="D107" s="529"/>
      <c r="M107" s="277"/>
      <c r="S107" s="530"/>
      <c r="T107" s="530"/>
      <c r="U107" s="530"/>
      <c r="V107" s="530"/>
      <c r="W107" s="530"/>
      <c r="X107" s="530"/>
      <c r="Y107" s="530"/>
      <c r="Z107" s="530"/>
      <c r="AA107" s="530"/>
      <c r="AB107" s="530"/>
      <c r="AC107" s="530"/>
      <c r="AD107" s="530"/>
      <c r="AE107" s="530"/>
      <c r="AF107" s="530"/>
      <c r="AG107" s="530"/>
      <c r="AH107" s="530"/>
      <c r="AI107" s="530"/>
      <c r="AJ107" s="530"/>
      <c r="AK107" s="530"/>
      <c r="AL107" s="530"/>
      <c r="AM107" s="530"/>
      <c r="AN107" s="530"/>
      <c r="AO107" s="530"/>
      <c r="AP107" s="530"/>
      <c r="AQ107" s="530"/>
      <c r="AR107" s="530"/>
    </row>
    <row r="108" spans="4:44" s="528" customFormat="1">
      <c r="D108" s="529"/>
      <c r="M108" s="277"/>
      <c r="S108" s="530"/>
      <c r="T108" s="530"/>
      <c r="U108" s="530"/>
      <c r="V108" s="530"/>
      <c r="W108" s="530"/>
      <c r="X108" s="530"/>
      <c r="Y108" s="530"/>
      <c r="Z108" s="530"/>
      <c r="AA108" s="530"/>
      <c r="AB108" s="530"/>
      <c r="AC108" s="530"/>
      <c r="AD108" s="530"/>
      <c r="AE108" s="530"/>
      <c r="AF108" s="530"/>
      <c r="AG108" s="530"/>
      <c r="AH108" s="530"/>
      <c r="AI108" s="530"/>
      <c r="AJ108" s="530"/>
      <c r="AK108" s="530"/>
      <c r="AL108" s="530"/>
      <c r="AM108" s="530"/>
      <c r="AN108" s="530"/>
      <c r="AO108" s="530"/>
      <c r="AP108" s="530"/>
      <c r="AQ108" s="530"/>
      <c r="AR108" s="530"/>
    </row>
    <row r="109" spans="4:44" s="528" customFormat="1">
      <c r="D109" s="529"/>
      <c r="M109" s="277"/>
      <c r="S109" s="530"/>
      <c r="T109" s="530"/>
      <c r="U109" s="530"/>
      <c r="V109" s="530"/>
      <c r="W109" s="530"/>
      <c r="X109" s="530"/>
      <c r="Y109" s="530"/>
      <c r="Z109" s="530"/>
      <c r="AA109" s="530"/>
      <c r="AB109" s="530"/>
      <c r="AC109" s="530"/>
      <c r="AD109" s="530"/>
      <c r="AE109" s="530"/>
      <c r="AF109" s="530"/>
      <c r="AG109" s="530"/>
      <c r="AH109" s="530"/>
      <c r="AI109" s="530"/>
      <c r="AJ109" s="530"/>
      <c r="AK109" s="530"/>
      <c r="AL109" s="530"/>
      <c r="AM109" s="530"/>
      <c r="AN109" s="530"/>
      <c r="AO109" s="530"/>
      <c r="AP109" s="530"/>
      <c r="AQ109" s="530"/>
      <c r="AR109" s="530"/>
    </row>
    <row r="110" spans="4:44" s="528" customFormat="1">
      <c r="D110" s="529"/>
      <c r="M110" s="277"/>
      <c r="S110" s="530"/>
      <c r="T110" s="530"/>
      <c r="U110" s="530"/>
      <c r="V110" s="530"/>
      <c r="W110" s="530"/>
      <c r="X110" s="530"/>
      <c r="Y110" s="530"/>
      <c r="Z110" s="530"/>
      <c r="AA110" s="530"/>
      <c r="AB110" s="530"/>
      <c r="AC110" s="530"/>
      <c r="AD110" s="530"/>
      <c r="AE110" s="530"/>
      <c r="AF110" s="530"/>
      <c r="AG110" s="530"/>
      <c r="AH110" s="530"/>
      <c r="AI110" s="530"/>
      <c r="AJ110" s="530"/>
      <c r="AK110" s="530"/>
      <c r="AL110" s="530"/>
      <c r="AM110" s="530"/>
      <c r="AN110" s="530"/>
      <c r="AO110" s="530"/>
      <c r="AP110" s="530"/>
      <c r="AQ110" s="530"/>
      <c r="AR110" s="530"/>
    </row>
    <row r="111" spans="4:44" s="528" customFormat="1">
      <c r="D111" s="529"/>
      <c r="M111" s="277"/>
      <c r="S111" s="530"/>
      <c r="T111" s="530"/>
      <c r="U111" s="530"/>
      <c r="V111" s="530"/>
      <c r="W111" s="530"/>
      <c r="X111" s="530"/>
      <c r="Y111" s="530"/>
      <c r="Z111" s="530"/>
      <c r="AA111" s="530"/>
      <c r="AB111" s="530"/>
      <c r="AC111" s="530"/>
      <c r="AD111" s="530"/>
      <c r="AE111" s="530"/>
      <c r="AF111" s="530"/>
      <c r="AG111" s="530"/>
      <c r="AH111" s="530"/>
      <c r="AI111" s="530"/>
      <c r="AJ111" s="530"/>
      <c r="AK111" s="530"/>
      <c r="AL111" s="530"/>
      <c r="AM111" s="530"/>
      <c r="AN111" s="530"/>
      <c r="AO111" s="530"/>
      <c r="AP111" s="530"/>
      <c r="AQ111" s="530"/>
      <c r="AR111" s="530"/>
    </row>
    <row r="112" spans="4:44" s="528" customFormat="1">
      <c r="D112" s="529"/>
      <c r="M112" s="277"/>
      <c r="S112" s="530"/>
      <c r="T112" s="530"/>
      <c r="U112" s="530"/>
      <c r="V112" s="530"/>
      <c r="W112" s="530"/>
      <c r="X112" s="530"/>
      <c r="Y112" s="530"/>
      <c r="Z112" s="530"/>
      <c r="AA112" s="530"/>
      <c r="AB112" s="530"/>
      <c r="AC112" s="530"/>
      <c r="AD112" s="530"/>
      <c r="AE112" s="530"/>
      <c r="AF112" s="530"/>
      <c r="AG112" s="530"/>
      <c r="AH112" s="530"/>
      <c r="AI112" s="530"/>
      <c r="AJ112" s="530"/>
      <c r="AK112" s="530"/>
      <c r="AL112" s="530"/>
      <c r="AM112" s="530"/>
      <c r="AN112" s="530"/>
      <c r="AO112" s="530"/>
      <c r="AP112" s="530"/>
      <c r="AQ112" s="530"/>
      <c r="AR112" s="530"/>
    </row>
    <row r="113" spans="4:44" s="528" customFormat="1">
      <c r="D113" s="529"/>
      <c r="M113" s="277"/>
      <c r="S113" s="530"/>
      <c r="T113" s="530"/>
      <c r="U113" s="530"/>
      <c r="V113" s="530"/>
      <c r="W113" s="530"/>
      <c r="X113" s="530"/>
      <c r="Y113" s="530"/>
      <c r="Z113" s="530"/>
      <c r="AA113" s="530"/>
      <c r="AB113" s="530"/>
      <c r="AC113" s="530"/>
      <c r="AD113" s="530"/>
      <c r="AE113" s="530"/>
      <c r="AF113" s="530"/>
      <c r="AG113" s="530"/>
      <c r="AH113" s="530"/>
      <c r="AI113" s="530"/>
      <c r="AJ113" s="530"/>
      <c r="AK113" s="530"/>
      <c r="AL113" s="530"/>
      <c r="AM113" s="530"/>
      <c r="AN113" s="530"/>
      <c r="AO113" s="530"/>
      <c r="AP113" s="530"/>
      <c r="AQ113" s="530"/>
      <c r="AR113" s="530"/>
    </row>
    <row r="114" spans="4:44" s="528" customFormat="1">
      <c r="D114" s="529"/>
      <c r="M114" s="277"/>
      <c r="S114" s="530"/>
      <c r="T114" s="530"/>
      <c r="U114" s="530"/>
      <c r="V114" s="530"/>
      <c r="W114" s="530"/>
      <c r="X114" s="530"/>
      <c r="Y114" s="530"/>
      <c r="Z114" s="530"/>
      <c r="AA114" s="530"/>
      <c r="AB114" s="530"/>
      <c r="AC114" s="530"/>
      <c r="AD114" s="530"/>
      <c r="AE114" s="530"/>
      <c r="AF114" s="530"/>
      <c r="AG114" s="530"/>
      <c r="AH114" s="530"/>
      <c r="AI114" s="530"/>
      <c r="AJ114" s="530"/>
      <c r="AK114" s="530"/>
      <c r="AL114" s="530"/>
      <c r="AM114" s="530"/>
      <c r="AN114" s="530"/>
      <c r="AO114" s="530"/>
      <c r="AP114" s="530"/>
      <c r="AQ114" s="530"/>
      <c r="AR114" s="530"/>
    </row>
    <row r="115" spans="4:44" s="528" customFormat="1">
      <c r="D115" s="529"/>
      <c r="M115" s="277"/>
      <c r="S115" s="530"/>
      <c r="T115" s="530"/>
      <c r="U115" s="530"/>
      <c r="V115" s="530"/>
      <c r="W115" s="530"/>
      <c r="X115" s="530"/>
      <c r="Y115" s="530"/>
      <c r="Z115" s="530"/>
      <c r="AA115" s="530"/>
      <c r="AB115" s="530"/>
      <c r="AC115" s="530"/>
      <c r="AD115" s="530"/>
      <c r="AE115" s="530"/>
      <c r="AF115" s="530"/>
      <c r="AG115" s="530"/>
      <c r="AH115" s="530"/>
      <c r="AI115" s="530"/>
      <c r="AJ115" s="530"/>
      <c r="AK115" s="530"/>
      <c r="AL115" s="530"/>
      <c r="AM115" s="530"/>
      <c r="AN115" s="530"/>
      <c r="AO115" s="530"/>
      <c r="AP115" s="530"/>
      <c r="AQ115" s="530"/>
      <c r="AR115" s="530"/>
    </row>
    <row r="116" spans="4:44" s="528" customFormat="1">
      <c r="D116" s="529"/>
      <c r="M116" s="277"/>
      <c r="S116" s="530"/>
      <c r="T116" s="530"/>
      <c r="U116" s="530"/>
      <c r="V116" s="530"/>
      <c r="W116" s="530"/>
      <c r="X116" s="530"/>
      <c r="Y116" s="530"/>
      <c r="Z116" s="530"/>
      <c r="AA116" s="530"/>
      <c r="AB116" s="530"/>
      <c r="AC116" s="530"/>
      <c r="AD116" s="530"/>
      <c r="AE116" s="530"/>
      <c r="AF116" s="530"/>
      <c r="AG116" s="530"/>
      <c r="AH116" s="530"/>
      <c r="AI116" s="530"/>
      <c r="AJ116" s="530"/>
      <c r="AK116" s="530"/>
      <c r="AL116" s="530"/>
      <c r="AM116" s="530"/>
      <c r="AN116" s="530"/>
      <c r="AO116" s="530"/>
      <c r="AP116" s="530"/>
      <c r="AQ116" s="530"/>
      <c r="AR116" s="530"/>
    </row>
    <row r="117" spans="4:44" s="528" customFormat="1">
      <c r="D117" s="529"/>
      <c r="M117" s="277"/>
      <c r="S117" s="530"/>
      <c r="T117" s="530"/>
      <c r="U117" s="530"/>
      <c r="V117" s="530"/>
      <c r="W117" s="530"/>
      <c r="X117" s="530"/>
      <c r="Y117" s="530"/>
      <c r="Z117" s="530"/>
      <c r="AA117" s="530"/>
      <c r="AB117" s="530"/>
      <c r="AC117" s="530"/>
      <c r="AD117" s="530"/>
      <c r="AE117" s="530"/>
      <c r="AF117" s="530"/>
      <c r="AG117" s="530"/>
      <c r="AH117" s="530"/>
      <c r="AI117" s="530"/>
      <c r="AJ117" s="530"/>
      <c r="AK117" s="530"/>
      <c r="AL117" s="530"/>
      <c r="AM117" s="530"/>
      <c r="AN117" s="530"/>
      <c r="AO117" s="530"/>
      <c r="AP117" s="530"/>
      <c r="AQ117" s="530"/>
      <c r="AR117" s="530"/>
    </row>
    <row r="118" spans="4:44" s="528" customFormat="1">
      <c r="D118" s="529"/>
      <c r="M118" s="277"/>
      <c r="S118" s="530"/>
      <c r="T118" s="530"/>
      <c r="U118" s="530"/>
      <c r="V118" s="530"/>
      <c r="W118" s="530"/>
      <c r="X118" s="530"/>
      <c r="Y118" s="530"/>
      <c r="Z118" s="530"/>
      <c r="AA118" s="530"/>
      <c r="AB118" s="530"/>
      <c r="AC118" s="530"/>
      <c r="AD118" s="530"/>
      <c r="AE118" s="530"/>
      <c r="AF118" s="530"/>
      <c r="AG118" s="530"/>
      <c r="AH118" s="530"/>
      <c r="AI118" s="530"/>
      <c r="AJ118" s="530"/>
      <c r="AK118" s="530"/>
      <c r="AL118" s="530"/>
      <c r="AM118" s="530"/>
      <c r="AN118" s="530"/>
      <c r="AO118" s="530"/>
      <c r="AP118" s="530"/>
      <c r="AQ118" s="530"/>
      <c r="AR118" s="530"/>
    </row>
    <row r="119" spans="4:44" s="528" customFormat="1">
      <c r="D119" s="529"/>
      <c r="M119" s="277"/>
      <c r="S119" s="530"/>
      <c r="T119" s="530"/>
      <c r="U119" s="530"/>
      <c r="V119" s="530"/>
      <c r="W119" s="530"/>
      <c r="X119" s="530"/>
      <c r="Y119" s="530"/>
      <c r="Z119" s="530"/>
      <c r="AA119" s="530"/>
      <c r="AB119" s="530"/>
      <c r="AC119" s="530"/>
      <c r="AD119" s="530"/>
      <c r="AE119" s="530"/>
      <c r="AF119" s="530"/>
      <c r="AG119" s="530"/>
      <c r="AH119" s="530"/>
      <c r="AI119" s="530"/>
      <c r="AJ119" s="530"/>
      <c r="AK119" s="530"/>
      <c r="AL119" s="530"/>
      <c r="AM119" s="530"/>
      <c r="AN119" s="530"/>
      <c r="AO119" s="530"/>
      <c r="AP119" s="530"/>
      <c r="AQ119" s="530"/>
      <c r="AR119" s="530"/>
    </row>
    <row r="120" spans="4:44" s="528" customFormat="1">
      <c r="D120" s="529"/>
      <c r="M120" s="277"/>
      <c r="S120" s="530"/>
      <c r="T120" s="530"/>
      <c r="U120" s="530"/>
      <c r="V120" s="530"/>
      <c r="W120" s="530"/>
      <c r="X120" s="530"/>
      <c r="Y120" s="530"/>
      <c r="Z120" s="530"/>
      <c r="AA120" s="530"/>
      <c r="AB120" s="530"/>
      <c r="AC120" s="530"/>
      <c r="AD120" s="530"/>
      <c r="AE120" s="530"/>
      <c r="AF120" s="530"/>
      <c r="AG120" s="530"/>
      <c r="AH120" s="530"/>
      <c r="AI120" s="530"/>
      <c r="AJ120" s="530"/>
      <c r="AK120" s="530"/>
      <c r="AL120" s="530"/>
      <c r="AM120" s="530"/>
      <c r="AN120" s="530"/>
      <c r="AO120" s="530"/>
      <c r="AP120" s="530"/>
      <c r="AQ120" s="530"/>
      <c r="AR120" s="530"/>
    </row>
    <row r="121" spans="4:44" s="528" customFormat="1">
      <c r="D121" s="529"/>
      <c r="M121" s="277"/>
      <c r="S121" s="530"/>
      <c r="T121" s="530"/>
      <c r="U121" s="530"/>
      <c r="V121" s="530"/>
      <c r="W121" s="530"/>
      <c r="X121" s="530"/>
      <c r="Y121" s="530"/>
      <c r="Z121" s="530"/>
      <c r="AA121" s="530"/>
      <c r="AB121" s="530"/>
      <c r="AC121" s="530"/>
      <c r="AD121" s="530"/>
      <c r="AE121" s="530"/>
      <c r="AF121" s="530"/>
      <c r="AG121" s="530"/>
      <c r="AH121" s="530"/>
      <c r="AI121" s="530"/>
      <c r="AJ121" s="530"/>
      <c r="AK121" s="530"/>
      <c r="AL121" s="530"/>
      <c r="AM121" s="530"/>
      <c r="AN121" s="530"/>
      <c r="AO121" s="530"/>
      <c r="AP121" s="530"/>
      <c r="AQ121" s="530"/>
      <c r="AR121" s="530"/>
    </row>
    <row r="122" spans="4:44" s="528" customFormat="1">
      <c r="D122" s="529"/>
      <c r="M122" s="277"/>
      <c r="S122" s="530"/>
      <c r="T122" s="530"/>
      <c r="U122" s="530"/>
      <c r="V122" s="530"/>
      <c r="W122" s="530"/>
      <c r="X122" s="530"/>
      <c r="Y122" s="530"/>
      <c r="Z122" s="530"/>
      <c r="AA122" s="530"/>
      <c r="AB122" s="530"/>
      <c r="AC122" s="530"/>
      <c r="AD122" s="530"/>
      <c r="AE122" s="530"/>
      <c r="AF122" s="530"/>
      <c r="AG122" s="530"/>
      <c r="AH122" s="530"/>
      <c r="AI122" s="530"/>
      <c r="AJ122" s="530"/>
      <c r="AK122" s="530"/>
      <c r="AL122" s="530"/>
      <c r="AM122" s="530"/>
      <c r="AN122" s="530"/>
      <c r="AO122" s="530"/>
      <c r="AP122" s="530"/>
      <c r="AQ122" s="530"/>
      <c r="AR122" s="530"/>
    </row>
    <row r="123" spans="4:44" s="528" customFormat="1">
      <c r="D123" s="529"/>
      <c r="M123" s="277"/>
      <c r="S123" s="530"/>
      <c r="T123" s="530"/>
      <c r="U123" s="530"/>
      <c r="V123" s="530"/>
      <c r="W123" s="530"/>
      <c r="X123" s="530"/>
      <c r="Y123" s="530"/>
      <c r="Z123" s="530"/>
      <c r="AA123" s="530"/>
      <c r="AB123" s="530"/>
      <c r="AC123" s="530"/>
      <c r="AD123" s="530"/>
      <c r="AE123" s="530"/>
      <c r="AF123" s="530"/>
      <c r="AG123" s="530"/>
      <c r="AH123" s="530"/>
      <c r="AI123" s="530"/>
      <c r="AJ123" s="530"/>
      <c r="AK123" s="530"/>
      <c r="AL123" s="530"/>
      <c r="AM123" s="530"/>
      <c r="AN123" s="530"/>
      <c r="AO123" s="530"/>
      <c r="AP123" s="530"/>
      <c r="AQ123" s="530"/>
      <c r="AR123" s="530"/>
    </row>
    <row r="124" spans="4:44" s="528" customFormat="1">
      <c r="D124" s="529"/>
      <c r="M124" s="277"/>
      <c r="S124" s="530"/>
      <c r="T124" s="530"/>
      <c r="U124" s="530"/>
      <c r="V124" s="530"/>
      <c r="W124" s="530"/>
      <c r="X124" s="530"/>
      <c r="Y124" s="530"/>
      <c r="Z124" s="530"/>
      <c r="AA124" s="530"/>
      <c r="AB124" s="530"/>
      <c r="AC124" s="530"/>
      <c r="AD124" s="530"/>
      <c r="AE124" s="530"/>
      <c r="AF124" s="530"/>
      <c r="AG124" s="530"/>
      <c r="AH124" s="530"/>
      <c r="AI124" s="530"/>
      <c r="AJ124" s="530"/>
      <c r="AK124" s="530"/>
      <c r="AL124" s="530"/>
      <c r="AM124" s="530"/>
      <c r="AN124" s="530"/>
      <c r="AO124" s="530"/>
      <c r="AP124" s="530"/>
      <c r="AQ124" s="530"/>
      <c r="AR124" s="530"/>
    </row>
    <row r="125" spans="4:44" s="528" customFormat="1">
      <c r="D125" s="529"/>
      <c r="M125" s="277"/>
      <c r="S125" s="530"/>
      <c r="T125" s="530"/>
      <c r="U125" s="530"/>
      <c r="V125" s="530"/>
      <c r="W125" s="530"/>
      <c r="X125" s="530"/>
      <c r="Y125" s="530"/>
      <c r="Z125" s="530"/>
      <c r="AA125" s="530"/>
      <c r="AB125" s="530"/>
      <c r="AC125" s="530"/>
      <c r="AD125" s="530"/>
      <c r="AE125" s="530"/>
      <c r="AF125" s="530"/>
      <c r="AG125" s="530"/>
      <c r="AH125" s="530"/>
      <c r="AI125" s="530"/>
      <c r="AJ125" s="530"/>
      <c r="AK125" s="530"/>
      <c r="AL125" s="530"/>
      <c r="AM125" s="530"/>
      <c r="AN125" s="530"/>
      <c r="AO125" s="530"/>
      <c r="AP125" s="530"/>
      <c r="AQ125" s="530"/>
      <c r="AR125" s="530"/>
    </row>
    <row r="126" spans="4:44" s="528" customFormat="1">
      <c r="D126" s="529"/>
      <c r="M126" s="277"/>
      <c r="S126" s="530"/>
      <c r="T126" s="530"/>
      <c r="U126" s="530"/>
      <c r="V126" s="530"/>
      <c r="W126" s="530"/>
      <c r="X126" s="530"/>
      <c r="Y126" s="530"/>
      <c r="Z126" s="530"/>
      <c r="AA126" s="530"/>
      <c r="AB126" s="530"/>
      <c r="AC126" s="530"/>
      <c r="AD126" s="530"/>
      <c r="AE126" s="530"/>
      <c r="AF126" s="530"/>
      <c r="AG126" s="530"/>
      <c r="AH126" s="530"/>
      <c r="AI126" s="530"/>
      <c r="AJ126" s="530"/>
      <c r="AK126" s="530"/>
      <c r="AL126" s="530"/>
      <c r="AM126" s="530"/>
      <c r="AN126" s="530"/>
      <c r="AO126" s="530"/>
      <c r="AP126" s="530"/>
      <c r="AQ126" s="530"/>
      <c r="AR126" s="530"/>
    </row>
    <row r="127" spans="4:44" s="528" customFormat="1">
      <c r="D127" s="529"/>
      <c r="M127" s="277"/>
      <c r="S127" s="530"/>
      <c r="T127" s="530"/>
      <c r="U127" s="530"/>
      <c r="V127" s="530"/>
      <c r="W127" s="530"/>
      <c r="X127" s="530"/>
      <c r="Y127" s="530"/>
      <c r="Z127" s="530"/>
      <c r="AA127" s="530"/>
      <c r="AB127" s="530"/>
      <c r="AC127" s="530"/>
      <c r="AD127" s="530"/>
      <c r="AE127" s="530"/>
      <c r="AF127" s="530"/>
      <c r="AG127" s="530"/>
      <c r="AH127" s="530"/>
      <c r="AI127" s="530"/>
      <c r="AJ127" s="530"/>
      <c r="AK127" s="530"/>
      <c r="AL127" s="530"/>
      <c r="AM127" s="530"/>
      <c r="AN127" s="530"/>
      <c r="AO127" s="530"/>
      <c r="AP127" s="530"/>
      <c r="AQ127" s="530"/>
      <c r="AR127" s="530"/>
    </row>
    <row r="128" spans="4:44" s="528" customFormat="1">
      <c r="D128" s="529"/>
      <c r="M128" s="277"/>
      <c r="S128" s="530"/>
      <c r="T128" s="530"/>
      <c r="U128" s="530"/>
      <c r="V128" s="530"/>
      <c r="W128" s="530"/>
      <c r="X128" s="530"/>
      <c r="Y128" s="530"/>
      <c r="Z128" s="530"/>
      <c r="AA128" s="530"/>
      <c r="AB128" s="530"/>
      <c r="AC128" s="530"/>
      <c r="AD128" s="530"/>
      <c r="AE128" s="530"/>
      <c r="AF128" s="530"/>
      <c r="AG128" s="530"/>
      <c r="AH128" s="530"/>
      <c r="AI128" s="530"/>
      <c r="AJ128" s="530"/>
      <c r="AK128" s="530"/>
      <c r="AL128" s="530"/>
      <c r="AM128" s="530"/>
      <c r="AN128" s="530"/>
      <c r="AO128" s="530"/>
      <c r="AP128" s="530"/>
      <c r="AQ128" s="530"/>
      <c r="AR128" s="530"/>
    </row>
    <row r="129" spans="4:44" s="528" customFormat="1">
      <c r="D129" s="529"/>
      <c r="M129" s="277"/>
      <c r="S129" s="530"/>
      <c r="T129" s="530"/>
      <c r="U129" s="530"/>
      <c r="V129" s="530"/>
      <c r="W129" s="530"/>
      <c r="X129" s="530"/>
      <c r="Y129" s="530"/>
      <c r="Z129" s="530"/>
      <c r="AA129" s="530"/>
      <c r="AB129" s="530"/>
      <c r="AC129" s="530"/>
      <c r="AD129" s="530"/>
      <c r="AE129" s="530"/>
      <c r="AF129" s="530"/>
      <c r="AG129" s="530"/>
      <c r="AH129" s="530"/>
      <c r="AI129" s="530"/>
      <c r="AJ129" s="530"/>
      <c r="AK129" s="530"/>
      <c r="AL129" s="530"/>
      <c r="AM129" s="530"/>
      <c r="AN129" s="530"/>
      <c r="AO129" s="530"/>
      <c r="AP129" s="530"/>
      <c r="AQ129" s="530"/>
      <c r="AR129" s="530"/>
    </row>
    <row r="130" spans="4:44" s="528" customFormat="1">
      <c r="D130" s="529"/>
      <c r="M130" s="277"/>
      <c r="S130" s="530"/>
      <c r="T130" s="530"/>
      <c r="U130" s="530"/>
      <c r="V130" s="530"/>
      <c r="W130" s="530"/>
      <c r="X130" s="530"/>
      <c r="Y130" s="530"/>
      <c r="Z130" s="530"/>
      <c r="AA130" s="530"/>
      <c r="AB130" s="530"/>
      <c r="AC130" s="530"/>
      <c r="AD130" s="530"/>
      <c r="AE130" s="530"/>
      <c r="AF130" s="530"/>
      <c r="AG130" s="530"/>
      <c r="AH130" s="530"/>
      <c r="AI130" s="530"/>
      <c r="AJ130" s="530"/>
      <c r="AK130" s="530"/>
      <c r="AL130" s="530"/>
      <c r="AM130" s="530"/>
      <c r="AN130" s="530"/>
      <c r="AO130" s="530"/>
      <c r="AP130" s="530"/>
      <c r="AQ130" s="530"/>
      <c r="AR130" s="530"/>
    </row>
    <row r="131" spans="4:44" s="528" customFormat="1">
      <c r="D131" s="529"/>
      <c r="M131" s="277"/>
      <c r="S131" s="530"/>
      <c r="T131" s="530"/>
      <c r="U131" s="530"/>
      <c r="V131" s="530"/>
      <c r="W131" s="530"/>
      <c r="X131" s="530"/>
      <c r="Y131" s="530"/>
      <c r="Z131" s="530"/>
      <c r="AA131" s="530"/>
      <c r="AB131" s="530"/>
      <c r="AC131" s="530"/>
      <c r="AD131" s="530"/>
      <c r="AE131" s="530"/>
      <c r="AF131" s="530"/>
      <c r="AG131" s="530"/>
      <c r="AH131" s="530"/>
      <c r="AI131" s="530"/>
      <c r="AJ131" s="530"/>
      <c r="AK131" s="530"/>
      <c r="AL131" s="530"/>
      <c r="AM131" s="530"/>
      <c r="AN131" s="530"/>
      <c r="AO131" s="530"/>
      <c r="AP131" s="530"/>
      <c r="AQ131" s="530"/>
      <c r="AR131" s="530"/>
    </row>
    <row r="132" spans="4:44" s="528" customFormat="1">
      <c r="D132" s="529"/>
      <c r="M132" s="277"/>
      <c r="S132" s="530"/>
      <c r="T132" s="530"/>
      <c r="U132" s="530"/>
      <c r="V132" s="530"/>
      <c r="W132" s="530"/>
      <c r="X132" s="530"/>
      <c r="Y132" s="530"/>
      <c r="Z132" s="530"/>
      <c r="AA132" s="530"/>
      <c r="AB132" s="530"/>
      <c r="AC132" s="530"/>
      <c r="AD132" s="530"/>
      <c r="AE132" s="530"/>
      <c r="AF132" s="530"/>
      <c r="AG132" s="530"/>
      <c r="AH132" s="530"/>
      <c r="AI132" s="530"/>
      <c r="AJ132" s="530"/>
      <c r="AK132" s="530"/>
      <c r="AL132" s="530"/>
      <c r="AM132" s="530"/>
      <c r="AN132" s="530"/>
      <c r="AO132" s="530"/>
      <c r="AP132" s="530"/>
      <c r="AQ132" s="530"/>
      <c r="AR132" s="530"/>
    </row>
    <row r="133" spans="4:44" s="528" customFormat="1">
      <c r="D133" s="529"/>
      <c r="M133" s="277"/>
      <c r="S133" s="530"/>
      <c r="T133" s="530"/>
      <c r="U133" s="530"/>
      <c r="V133" s="530"/>
      <c r="W133" s="530"/>
      <c r="X133" s="530"/>
      <c r="Y133" s="530"/>
      <c r="Z133" s="530"/>
      <c r="AA133" s="530"/>
      <c r="AB133" s="530"/>
      <c r="AC133" s="530"/>
      <c r="AD133" s="530"/>
      <c r="AE133" s="530"/>
      <c r="AF133" s="530"/>
      <c r="AG133" s="530"/>
      <c r="AH133" s="530"/>
      <c r="AI133" s="530"/>
      <c r="AJ133" s="530"/>
      <c r="AK133" s="530"/>
      <c r="AL133" s="530"/>
      <c r="AM133" s="530"/>
      <c r="AN133" s="530"/>
      <c r="AO133" s="530"/>
      <c r="AP133" s="530"/>
      <c r="AQ133" s="530"/>
      <c r="AR133" s="530"/>
    </row>
    <row r="134" spans="4:44" s="528" customFormat="1">
      <c r="D134" s="529"/>
      <c r="M134" s="277"/>
      <c r="S134" s="530"/>
      <c r="T134" s="530"/>
      <c r="U134" s="530"/>
      <c r="V134" s="530"/>
      <c r="W134" s="530"/>
      <c r="X134" s="530"/>
      <c r="Y134" s="530"/>
      <c r="Z134" s="530"/>
      <c r="AA134" s="530"/>
      <c r="AB134" s="530"/>
      <c r="AC134" s="530"/>
      <c r="AD134" s="530"/>
      <c r="AE134" s="530"/>
      <c r="AF134" s="530"/>
      <c r="AG134" s="530"/>
      <c r="AH134" s="530"/>
      <c r="AI134" s="530"/>
      <c r="AJ134" s="530"/>
      <c r="AK134" s="530"/>
      <c r="AL134" s="530"/>
      <c r="AM134" s="530"/>
      <c r="AN134" s="530"/>
      <c r="AO134" s="530"/>
      <c r="AP134" s="530"/>
      <c r="AQ134" s="530"/>
      <c r="AR134" s="530"/>
    </row>
    <row r="135" spans="4:44" s="528" customFormat="1">
      <c r="D135" s="529"/>
      <c r="M135" s="277"/>
      <c r="S135" s="530"/>
      <c r="T135" s="530"/>
      <c r="U135" s="530"/>
      <c r="V135" s="530"/>
      <c r="W135" s="530"/>
      <c r="X135" s="530"/>
      <c r="Y135" s="530"/>
      <c r="Z135" s="530"/>
      <c r="AA135" s="530"/>
      <c r="AB135" s="530"/>
      <c r="AC135" s="530"/>
      <c r="AD135" s="530"/>
      <c r="AE135" s="530"/>
      <c r="AF135" s="530"/>
      <c r="AG135" s="530"/>
      <c r="AH135" s="530"/>
      <c r="AI135" s="530"/>
      <c r="AJ135" s="530"/>
      <c r="AK135" s="530"/>
      <c r="AL135" s="530"/>
      <c r="AM135" s="530"/>
      <c r="AN135" s="530"/>
      <c r="AO135" s="530"/>
      <c r="AP135" s="530"/>
      <c r="AQ135" s="530"/>
      <c r="AR135" s="530"/>
    </row>
    <row r="136" spans="4:44" s="528" customFormat="1">
      <c r="D136" s="529"/>
      <c r="M136" s="277"/>
      <c r="S136" s="530"/>
      <c r="T136" s="530"/>
      <c r="U136" s="530"/>
      <c r="V136" s="530"/>
      <c r="W136" s="530"/>
      <c r="X136" s="530"/>
      <c r="Y136" s="530"/>
      <c r="Z136" s="530"/>
      <c r="AA136" s="530"/>
      <c r="AB136" s="530"/>
      <c r="AC136" s="530"/>
      <c r="AD136" s="530"/>
      <c r="AE136" s="530"/>
      <c r="AF136" s="530"/>
      <c r="AG136" s="530"/>
      <c r="AH136" s="530"/>
      <c r="AI136" s="530"/>
      <c r="AJ136" s="530"/>
      <c r="AK136" s="530"/>
      <c r="AL136" s="530"/>
      <c r="AM136" s="530"/>
      <c r="AN136" s="530"/>
      <c r="AO136" s="530"/>
      <c r="AP136" s="530"/>
      <c r="AQ136" s="530"/>
      <c r="AR136" s="530"/>
    </row>
    <row r="137" spans="4:44" s="528" customFormat="1">
      <c r="D137" s="529"/>
      <c r="M137" s="277"/>
      <c r="S137" s="530"/>
      <c r="T137" s="530"/>
      <c r="U137" s="530"/>
      <c r="V137" s="530"/>
      <c r="W137" s="530"/>
      <c r="X137" s="530"/>
      <c r="Y137" s="530"/>
      <c r="Z137" s="530"/>
      <c r="AA137" s="530"/>
      <c r="AB137" s="530"/>
      <c r="AC137" s="530"/>
      <c r="AD137" s="530"/>
      <c r="AE137" s="530"/>
      <c r="AF137" s="530"/>
      <c r="AG137" s="530"/>
      <c r="AH137" s="530"/>
      <c r="AI137" s="530"/>
      <c r="AJ137" s="530"/>
      <c r="AK137" s="530"/>
      <c r="AL137" s="530"/>
      <c r="AM137" s="530"/>
      <c r="AN137" s="530"/>
      <c r="AO137" s="530"/>
      <c r="AP137" s="530"/>
      <c r="AQ137" s="530"/>
      <c r="AR137" s="530"/>
    </row>
    <row r="138" spans="4:44" s="528" customFormat="1">
      <c r="D138" s="529"/>
      <c r="M138" s="277"/>
      <c r="S138" s="530"/>
      <c r="T138" s="530"/>
      <c r="U138" s="530"/>
      <c r="V138" s="530"/>
      <c r="W138" s="530"/>
      <c r="X138" s="530"/>
      <c r="Y138" s="530"/>
      <c r="Z138" s="530"/>
      <c r="AA138" s="530"/>
      <c r="AB138" s="530"/>
      <c r="AC138" s="530"/>
      <c r="AD138" s="530"/>
      <c r="AE138" s="530"/>
      <c r="AF138" s="530"/>
      <c r="AG138" s="530"/>
      <c r="AH138" s="530"/>
      <c r="AI138" s="530"/>
      <c r="AJ138" s="530"/>
      <c r="AK138" s="530"/>
      <c r="AL138" s="530"/>
      <c r="AM138" s="530"/>
      <c r="AN138" s="530"/>
      <c r="AO138" s="530"/>
      <c r="AP138" s="530"/>
      <c r="AQ138" s="530"/>
      <c r="AR138" s="530"/>
    </row>
    <row r="139" spans="4:44" s="528" customFormat="1">
      <c r="D139" s="529"/>
      <c r="M139" s="277"/>
      <c r="S139" s="530"/>
      <c r="T139" s="530"/>
      <c r="U139" s="530"/>
      <c r="V139" s="530"/>
      <c r="W139" s="530"/>
      <c r="X139" s="530"/>
      <c r="Y139" s="530"/>
      <c r="Z139" s="530"/>
      <c r="AA139" s="530"/>
      <c r="AB139" s="530"/>
      <c r="AC139" s="530"/>
      <c r="AD139" s="530"/>
      <c r="AE139" s="530"/>
      <c r="AF139" s="530"/>
      <c r="AG139" s="530"/>
      <c r="AH139" s="530"/>
      <c r="AI139" s="530"/>
      <c r="AJ139" s="530"/>
      <c r="AK139" s="530"/>
      <c r="AL139" s="530"/>
      <c r="AM139" s="530"/>
      <c r="AN139" s="530"/>
      <c r="AO139" s="530"/>
      <c r="AP139" s="530"/>
      <c r="AQ139" s="530"/>
      <c r="AR139" s="530"/>
    </row>
    <row r="140" spans="4:44" s="528" customFormat="1">
      <c r="D140" s="529"/>
      <c r="M140" s="277"/>
      <c r="S140" s="530"/>
      <c r="T140" s="530"/>
      <c r="U140" s="530"/>
      <c r="V140" s="530"/>
      <c r="W140" s="530"/>
      <c r="X140" s="530"/>
      <c r="Y140" s="530"/>
      <c r="Z140" s="530"/>
      <c r="AA140" s="530"/>
      <c r="AB140" s="530"/>
      <c r="AC140" s="530"/>
      <c r="AD140" s="530"/>
      <c r="AE140" s="530"/>
      <c r="AF140" s="530"/>
      <c r="AG140" s="530"/>
      <c r="AH140" s="530"/>
      <c r="AI140" s="530"/>
      <c r="AJ140" s="530"/>
      <c r="AK140" s="530"/>
      <c r="AL140" s="530"/>
      <c r="AM140" s="530"/>
      <c r="AN140" s="530"/>
      <c r="AO140" s="530"/>
      <c r="AP140" s="530"/>
      <c r="AQ140" s="530"/>
      <c r="AR140" s="530"/>
    </row>
    <row r="141" spans="4:44" s="528" customFormat="1">
      <c r="D141" s="529"/>
      <c r="M141" s="277"/>
      <c r="S141" s="530"/>
      <c r="T141" s="530"/>
      <c r="U141" s="530"/>
      <c r="V141" s="530"/>
      <c r="W141" s="530"/>
      <c r="X141" s="530"/>
      <c r="Y141" s="530"/>
      <c r="Z141" s="530"/>
      <c r="AA141" s="530"/>
      <c r="AB141" s="530"/>
      <c r="AC141" s="530"/>
      <c r="AD141" s="530"/>
      <c r="AE141" s="530"/>
      <c r="AF141" s="530"/>
      <c r="AG141" s="530"/>
      <c r="AH141" s="530"/>
      <c r="AI141" s="530"/>
      <c r="AJ141" s="530"/>
      <c r="AK141" s="530"/>
      <c r="AL141" s="530"/>
      <c r="AM141" s="530"/>
      <c r="AN141" s="530"/>
      <c r="AO141" s="530"/>
      <c r="AP141" s="530"/>
      <c r="AQ141" s="530"/>
      <c r="AR141" s="530"/>
    </row>
    <row r="142" spans="4:44" s="528" customFormat="1">
      <c r="D142" s="529"/>
      <c r="M142" s="277"/>
      <c r="S142" s="530"/>
      <c r="T142" s="530"/>
      <c r="U142" s="530"/>
      <c r="V142" s="530"/>
      <c r="W142" s="530"/>
      <c r="X142" s="530"/>
      <c r="Y142" s="530"/>
      <c r="Z142" s="530"/>
      <c r="AA142" s="530"/>
      <c r="AB142" s="530"/>
      <c r="AC142" s="530"/>
      <c r="AD142" s="530"/>
      <c r="AE142" s="530"/>
      <c r="AF142" s="530"/>
      <c r="AG142" s="530"/>
      <c r="AH142" s="530"/>
      <c r="AI142" s="530"/>
      <c r="AJ142" s="530"/>
      <c r="AK142" s="530"/>
      <c r="AL142" s="530"/>
      <c r="AM142" s="530"/>
      <c r="AN142" s="530"/>
      <c r="AO142" s="530"/>
      <c r="AP142" s="530"/>
      <c r="AQ142" s="530"/>
      <c r="AR142" s="530"/>
    </row>
    <row r="143" spans="4:44" s="528" customFormat="1">
      <c r="D143" s="529"/>
      <c r="M143" s="277"/>
      <c r="S143" s="530"/>
      <c r="T143" s="530"/>
      <c r="U143" s="530"/>
      <c r="V143" s="530"/>
      <c r="W143" s="530"/>
      <c r="X143" s="530"/>
      <c r="Y143" s="530"/>
      <c r="Z143" s="530"/>
      <c r="AA143" s="530"/>
      <c r="AB143" s="530"/>
      <c r="AC143" s="530"/>
      <c r="AD143" s="530"/>
      <c r="AE143" s="530"/>
      <c r="AF143" s="530"/>
      <c r="AG143" s="530"/>
      <c r="AH143" s="530"/>
      <c r="AI143" s="530"/>
      <c r="AJ143" s="530"/>
      <c r="AK143" s="530"/>
      <c r="AL143" s="530"/>
      <c r="AM143" s="530"/>
      <c r="AN143" s="530"/>
      <c r="AO143" s="530"/>
      <c r="AP143" s="530"/>
      <c r="AQ143" s="530"/>
      <c r="AR143" s="530"/>
    </row>
    <row r="144" spans="4:44" s="528" customFormat="1">
      <c r="D144" s="529"/>
      <c r="M144" s="277"/>
      <c r="S144" s="530"/>
      <c r="T144" s="530"/>
      <c r="U144" s="530"/>
      <c r="V144" s="530"/>
      <c r="W144" s="530"/>
      <c r="X144" s="530"/>
      <c r="Y144" s="530"/>
      <c r="Z144" s="530"/>
      <c r="AA144" s="530"/>
      <c r="AB144" s="530"/>
      <c r="AC144" s="530"/>
      <c r="AD144" s="530"/>
      <c r="AE144" s="530"/>
      <c r="AF144" s="530"/>
      <c r="AG144" s="530"/>
      <c r="AH144" s="530"/>
      <c r="AI144" s="530"/>
      <c r="AJ144" s="530"/>
      <c r="AK144" s="530"/>
      <c r="AL144" s="530"/>
      <c r="AM144" s="530"/>
      <c r="AN144" s="530"/>
      <c r="AO144" s="530"/>
      <c r="AP144" s="530"/>
      <c r="AQ144" s="530"/>
      <c r="AR144" s="530"/>
    </row>
    <row r="145" spans="4:44" s="528" customFormat="1">
      <c r="D145" s="529"/>
      <c r="M145" s="277"/>
      <c r="S145" s="530"/>
      <c r="T145" s="530"/>
      <c r="U145" s="530"/>
      <c r="V145" s="530"/>
      <c r="W145" s="530"/>
      <c r="X145" s="530"/>
      <c r="Y145" s="530"/>
      <c r="Z145" s="530"/>
      <c r="AA145" s="530"/>
      <c r="AB145" s="530"/>
      <c r="AC145" s="530"/>
      <c r="AD145" s="530"/>
      <c r="AE145" s="530"/>
      <c r="AF145" s="530"/>
      <c r="AG145" s="530"/>
      <c r="AH145" s="530"/>
      <c r="AI145" s="530"/>
      <c r="AJ145" s="530"/>
      <c r="AK145" s="530"/>
      <c r="AL145" s="530"/>
      <c r="AM145" s="530"/>
      <c r="AN145" s="530"/>
      <c r="AO145" s="530"/>
      <c r="AP145" s="530"/>
      <c r="AQ145" s="530"/>
      <c r="AR145" s="530"/>
    </row>
    <row r="146" spans="4:44" s="528" customFormat="1">
      <c r="D146" s="529"/>
      <c r="M146" s="277"/>
      <c r="S146" s="530"/>
      <c r="T146" s="530"/>
      <c r="U146" s="530"/>
      <c r="V146" s="530"/>
      <c r="W146" s="530"/>
      <c r="X146" s="530"/>
      <c r="Y146" s="530"/>
      <c r="Z146" s="530"/>
      <c r="AA146" s="530"/>
      <c r="AB146" s="530"/>
      <c r="AC146" s="530"/>
      <c r="AD146" s="530"/>
      <c r="AE146" s="530"/>
      <c r="AF146" s="530"/>
      <c r="AG146" s="530"/>
      <c r="AH146" s="530"/>
      <c r="AI146" s="530"/>
      <c r="AJ146" s="530"/>
      <c r="AK146" s="530"/>
      <c r="AL146" s="530"/>
      <c r="AM146" s="530"/>
      <c r="AN146" s="530"/>
      <c r="AO146" s="530"/>
      <c r="AP146" s="530"/>
      <c r="AQ146" s="530"/>
      <c r="AR146" s="530"/>
    </row>
    <row r="147" spans="4:44" s="528" customFormat="1">
      <c r="D147" s="529"/>
      <c r="M147" s="277"/>
      <c r="S147" s="530"/>
      <c r="T147" s="530"/>
      <c r="U147" s="530"/>
      <c r="V147" s="530"/>
      <c r="W147" s="530"/>
      <c r="X147" s="530"/>
      <c r="Y147" s="530"/>
      <c r="Z147" s="530"/>
      <c r="AA147" s="530"/>
      <c r="AB147" s="530"/>
      <c r="AC147" s="530"/>
      <c r="AD147" s="530"/>
      <c r="AE147" s="530"/>
      <c r="AF147" s="530"/>
      <c r="AG147" s="530"/>
      <c r="AH147" s="530"/>
      <c r="AI147" s="530"/>
      <c r="AJ147" s="530"/>
      <c r="AK147" s="530"/>
      <c r="AL147" s="530"/>
      <c r="AM147" s="530"/>
      <c r="AN147" s="530"/>
      <c r="AO147" s="530"/>
      <c r="AP147" s="530"/>
      <c r="AQ147" s="530"/>
      <c r="AR147" s="530"/>
    </row>
    <row r="148" spans="4:44" s="528" customFormat="1">
      <c r="D148" s="529"/>
      <c r="M148" s="277"/>
      <c r="S148" s="530"/>
      <c r="T148" s="530"/>
      <c r="U148" s="530"/>
      <c r="V148" s="530"/>
      <c r="W148" s="530"/>
      <c r="X148" s="530"/>
      <c r="Y148" s="530"/>
      <c r="Z148" s="530"/>
      <c r="AA148" s="530"/>
      <c r="AB148" s="530"/>
      <c r="AC148" s="530"/>
      <c r="AD148" s="530"/>
      <c r="AE148" s="530"/>
      <c r="AF148" s="530"/>
      <c r="AG148" s="530"/>
      <c r="AH148" s="530"/>
      <c r="AI148" s="530"/>
      <c r="AJ148" s="530"/>
      <c r="AK148" s="530"/>
      <c r="AL148" s="530"/>
      <c r="AM148" s="530"/>
      <c r="AN148" s="530"/>
      <c r="AO148" s="530"/>
      <c r="AP148" s="530"/>
      <c r="AQ148" s="530"/>
      <c r="AR148" s="530"/>
    </row>
    <row r="149" spans="4:44">
      <c r="K149" s="528"/>
      <c r="L149" s="528"/>
      <c r="M149" s="277"/>
      <c r="N149" s="528"/>
      <c r="O149" s="528"/>
      <c r="P149" s="528"/>
      <c r="Q149" s="528"/>
      <c r="R149" s="528"/>
    </row>
    <row r="150" spans="4:44">
      <c r="K150" s="528"/>
      <c r="L150" s="528"/>
      <c r="M150" s="277"/>
      <c r="N150" s="528"/>
      <c r="O150" s="528"/>
      <c r="P150" s="528"/>
      <c r="Q150" s="528"/>
      <c r="R150" s="528"/>
    </row>
    <row r="151" spans="4:44">
      <c r="K151" s="528"/>
      <c r="L151" s="528"/>
      <c r="M151" s="277"/>
      <c r="N151" s="528"/>
      <c r="O151" s="528"/>
      <c r="P151" s="528"/>
      <c r="Q151" s="528"/>
      <c r="R151" s="528"/>
    </row>
    <row r="152" spans="4:44">
      <c r="K152" s="528"/>
      <c r="L152" s="528"/>
      <c r="M152" s="277"/>
      <c r="N152" s="528"/>
      <c r="O152" s="528"/>
      <c r="P152" s="528"/>
      <c r="Q152" s="528"/>
      <c r="R152" s="528"/>
    </row>
    <row r="153" spans="4:44">
      <c r="K153" s="528"/>
      <c r="L153" s="528"/>
      <c r="M153" s="277"/>
      <c r="N153" s="528"/>
      <c r="O153" s="528"/>
      <c r="P153" s="528"/>
      <c r="Q153" s="528"/>
      <c r="R153" s="528"/>
    </row>
    <row r="154" spans="4:44">
      <c r="K154" s="528"/>
      <c r="L154" s="528"/>
      <c r="M154" s="277"/>
      <c r="N154" s="528"/>
      <c r="O154" s="528"/>
      <c r="P154" s="528"/>
      <c r="Q154" s="528"/>
      <c r="R154" s="528"/>
    </row>
    <row r="155" spans="4:44">
      <c r="K155" s="528"/>
      <c r="L155" s="528"/>
      <c r="M155" s="277"/>
      <c r="N155" s="528"/>
      <c r="O155" s="528"/>
      <c r="P155" s="528"/>
      <c r="Q155" s="528"/>
      <c r="R155" s="528"/>
    </row>
    <row r="156" spans="4:44">
      <c r="K156" s="528"/>
      <c r="L156" s="528"/>
      <c r="M156" s="277"/>
      <c r="N156" s="528"/>
      <c r="O156" s="528"/>
      <c r="P156" s="528"/>
      <c r="Q156" s="528"/>
      <c r="R156" s="528"/>
    </row>
    <row r="157" spans="4:44">
      <c r="K157" s="528"/>
      <c r="L157" s="528"/>
      <c r="M157" s="277"/>
      <c r="N157" s="528"/>
      <c r="O157" s="528"/>
      <c r="P157" s="528"/>
      <c r="Q157" s="528"/>
      <c r="R157" s="528"/>
    </row>
    <row r="158" spans="4:44">
      <c r="K158" s="528"/>
      <c r="L158" s="528"/>
      <c r="M158" s="277"/>
      <c r="N158" s="528"/>
      <c r="O158" s="528"/>
      <c r="P158" s="528"/>
      <c r="Q158" s="528"/>
      <c r="R158" s="528"/>
    </row>
    <row r="159" spans="4:44">
      <c r="K159" s="528"/>
      <c r="L159" s="528"/>
      <c r="M159" s="277"/>
      <c r="N159" s="528"/>
      <c r="O159" s="528"/>
      <c r="P159" s="528"/>
      <c r="Q159" s="528"/>
      <c r="R159" s="528"/>
    </row>
    <row r="160" spans="4:44">
      <c r="K160" s="528"/>
      <c r="L160" s="528"/>
      <c r="M160" s="277"/>
      <c r="N160" s="528"/>
      <c r="O160" s="528"/>
      <c r="P160" s="528"/>
      <c r="Q160" s="528"/>
      <c r="R160" s="528"/>
    </row>
    <row r="161" spans="11:18">
      <c r="K161" s="528"/>
      <c r="L161" s="528"/>
      <c r="M161" s="277"/>
      <c r="N161" s="528"/>
      <c r="O161" s="528"/>
      <c r="P161" s="528"/>
      <c r="Q161" s="528"/>
      <c r="R161" s="528"/>
    </row>
    <row r="162" spans="11:18">
      <c r="K162" s="528"/>
      <c r="L162" s="528"/>
      <c r="M162" s="277"/>
      <c r="N162" s="528"/>
      <c r="O162" s="528"/>
      <c r="P162" s="528"/>
      <c r="Q162" s="528"/>
      <c r="R162" s="528"/>
    </row>
    <row r="163" spans="11:18">
      <c r="K163" s="528"/>
      <c r="L163" s="528"/>
      <c r="M163" s="277"/>
      <c r="N163" s="528"/>
      <c r="O163" s="528"/>
      <c r="P163" s="528"/>
      <c r="Q163" s="528"/>
      <c r="R163" s="528"/>
    </row>
    <row r="164" spans="11:18">
      <c r="K164" s="528"/>
      <c r="L164" s="528"/>
      <c r="M164" s="277"/>
      <c r="N164" s="528"/>
      <c r="O164" s="528"/>
      <c r="P164" s="528"/>
      <c r="Q164" s="528"/>
      <c r="R164" s="528"/>
    </row>
    <row r="165" spans="11:18">
      <c r="K165" s="528"/>
      <c r="L165" s="528"/>
      <c r="M165" s="277"/>
      <c r="N165" s="528"/>
      <c r="O165" s="528"/>
      <c r="P165" s="528"/>
      <c r="Q165" s="528"/>
      <c r="R165" s="528"/>
    </row>
    <row r="166" spans="11:18">
      <c r="K166" s="528"/>
      <c r="L166" s="528"/>
      <c r="M166" s="277"/>
      <c r="N166" s="528"/>
      <c r="O166" s="528"/>
      <c r="P166" s="528"/>
      <c r="Q166" s="528"/>
      <c r="R166" s="528"/>
    </row>
  </sheetData>
  <sheetProtection password="CC2E" sheet="1" formatCells="0" formatColumns="0" formatRows="0"/>
  <mergeCells count="251">
    <mergeCell ref="K62:L62"/>
    <mergeCell ref="N62:O62"/>
    <mergeCell ref="P62:R62"/>
    <mergeCell ref="K68:L68"/>
    <mergeCell ref="N68:O68"/>
    <mergeCell ref="P68:R68"/>
    <mergeCell ref="K65:L65"/>
    <mergeCell ref="N65:O65"/>
    <mergeCell ref="P65:R65"/>
    <mergeCell ref="K66:L66"/>
    <mergeCell ref="N66:O66"/>
    <mergeCell ref="P66:R66"/>
    <mergeCell ref="K67:L67"/>
    <mergeCell ref="N67:O67"/>
    <mergeCell ref="P67:R67"/>
    <mergeCell ref="K56:L56"/>
    <mergeCell ref="N56:O56"/>
    <mergeCell ref="P56:R56"/>
    <mergeCell ref="K63:L63"/>
    <mergeCell ref="N63:O63"/>
    <mergeCell ref="P63:R63"/>
    <mergeCell ref="K64:L64"/>
    <mergeCell ref="N64:O64"/>
    <mergeCell ref="P64:R64"/>
    <mergeCell ref="K57:L57"/>
    <mergeCell ref="N57:O57"/>
    <mergeCell ref="P57:R57"/>
    <mergeCell ref="K58:L58"/>
    <mergeCell ref="N58:O58"/>
    <mergeCell ref="P58:R58"/>
    <mergeCell ref="K59:L59"/>
    <mergeCell ref="N59:O59"/>
    <mergeCell ref="P59:R59"/>
    <mergeCell ref="K60:L60"/>
    <mergeCell ref="N60:O60"/>
    <mergeCell ref="P60:R60"/>
    <mergeCell ref="K61:L61"/>
    <mergeCell ref="N61:O61"/>
    <mergeCell ref="P61:R61"/>
    <mergeCell ref="K70:L70"/>
    <mergeCell ref="N70:O70"/>
    <mergeCell ref="P70:R70"/>
    <mergeCell ref="K71:L71"/>
    <mergeCell ref="N71:O71"/>
    <mergeCell ref="P71:R71"/>
    <mergeCell ref="K72:L72"/>
    <mergeCell ref="N72:O72"/>
    <mergeCell ref="P72:R72"/>
    <mergeCell ref="P35:R35"/>
    <mergeCell ref="P36:R36"/>
    <mergeCell ref="P37:R37"/>
    <mergeCell ref="P38:R38"/>
    <mergeCell ref="P39:R39"/>
    <mergeCell ref="P40:R40"/>
    <mergeCell ref="P41:R41"/>
    <mergeCell ref="P42:R42"/>
    <mergeCell ref="P43:R43"/>
    <mergeCell ref="P26:R26"/>
    <mergeCell ref="P27:R27"/>
    <mergeCell ref="P28:R28"/>
    <mergeCell ref="P29:R29"/>
    <mergeCell ref="P30:R30"/>
    <mergeCell ref="P31:R31"/>
    <mergeCell ref="P32:R32"/>
    <mergeCell ref="P33:R33"/>
    <mergeCell ref="P34:R34"/>
    <mergeCell ref="X19:Y19"/>
    <mergeCell ref="P15:R16"/>
    <mergeCell ref="P17:R17"/>
    <mergeCell ref="P18:R18"/>
    <mergeCell ref="P19:R19"/>
    <mergeCell ref="P20:R20"/>
    <mergeCell ref="P21:R21"/>
    <mergeCell ref="P22:R22"/>
    <mergeCell ref="P23:R23"/>
    <mergeCell ref="P55:R55"/>
    <mergeCell ref="P76:R76"/>
    <mergeCell ref="P51:R51"/>
    <mergeCell ref="K52:L52"/>
    <mergeCell ref="N52:O52"/>
    <mergeCell ref="K53:L53"/>
    <mergeCell ref="N53:O53"/>
    <mergeCell ref="K54:L54"/>
    <mergeCell ref="N54:O54"/>
    <mergeCell ref="P52:R52"/>
    <mergeCell ref="P53:R53"/>
    <mergeCell ref="P54:R54"/>
    <mergeCell ref="K75:L75"/>
    <mergeCell ref="N75:O75"/>
    <mergeCell ref="P75:R75"/>
    <mergeCell ref="K73:L73"/>
    <mergeCell ref="N73:O73"/>
    <mergeCell ref="P73:R73"/>
    <mergeCell ref="K74:L74"/>
    <mergeCell ref="N74:O74"/>
    <mergeCell ref="P74:R74"/>
    <mergeCell ref="K69:L69"/>
    <mergeCell ref="N69:O69"/>
    <mergeCell ref="P69:R69"/>
    <mergeCell ref="P44:R44"/>
    <mergeCell ref="P45:R45"/>
    <mergeCell ref="P46:R46"/>
    <mergeCell ref="P47:R47"/>
    <mergeCell ref="P48:R48"/>
    <mergeCell ref="K49:L49"/>
    <mergeCell ref="N49:O49"/>
    <mergeCell ref="K50:L50"/>
    <mergeCell ref="N50:O50"/>
    <mergeCell ref="P49:R49"/>
    <mergeCell ref="P50:R50"/>
    <mergeCell ref="N46:O46"/>
    <mergeCell ref="K44:L44"/>
    <mergeCell ref="K45:L45"/>
    <mergeCell ref="N44:O44"/>
    <mergeCell ref="B35:C36"/>
    <mergeCell ref="D35:G36"/>
    <mergeCell ref="H35:I36"/>
    <mergeCell ref="B37:C38"/>
    <mergeCell ref="D37:G38"/>
    <mergeCell ref="H37:I38"/>
    <mergeCell ref="B41:C42"/>
    <mergeCell ref="H41:I42"/>
    <mergeCell ref="H43:I44"/>
    <mergeCell ref="D43:G44"/>
    <mergeCell ref="B43:C44"/>
    <mergeCell ref="D41:G42"/>
    <mergeCell ref="K40:L40"/>
    <mergeCell ref="N40:O40"/>
    <mergeCell ref="K41:L41"/>
    <mergeCell ref="G61:I61"/>
    <mergeCell ref="B39:C40"/>
    <mergeCell ref="D39:G40"/>
    <mergeCell ref="H39:I40"/>
    <mergeCell ref="G60:I60"/>
    <mergeCell ref="B45:C46"/>
    <mergeCell ref="D45:G46"/>
    <mergeCell ref="H45:I46"/>
    <mergeCell ref="D51:G51"/>
    <mergeCell ref="K47:L47"/>
    <mergeCell ref="N47:O47"/>
    <mergeCell ref="K48:L48"/>
    <mergeCell ref="N48:O48"/>
    <mergeCell ref="N45:O45"/>
    <mergeCell ref="K51:L51"/>
    <mergeCell ref="N51:O51"/>
    <mergeCell ref="K55:L55"/>
    <mergeCell ref="B61:D61"/>
    <mergeCell ref="N55:O55"/>
    <mergeCell ref="K43:L43"/>
    <mergeCell ref="N43:O43"/>
    <mergeCell ref="K76:L76"/>
    <mergeCell ref="N76:O76"/>
    <mergeCell ref="D34:G34"/>
    <mergeCell ref="H34:I34"/>
    <mergeCell ref="B34:C34"/>
    <mergeCell ref="L81:M81"/>
    <mergeCell ref="Q81:R81"/>
    <mergeCell ref="K35:L35"/>
    <mergeCell ref="N35:O35"/>
    <mergeCell ref="K42:L42"/>
    <mergeCell ref="N42:O42"/>
    <mergeCell ref="N41:O41"/>
    <mergeCell ref="K37:L37"/>
    <mergeCell ref="N37:O37"/>
    <mergeCell ref="K38:L38"/>
    <mergeCell ref="N38:O38"/>
    <mergeCell ref="K39:L39"/>
    <mergeCell ref="N39:O39"/>
    <mergeCell ref="K36:L36"/>
    <mergeCell ref="N36:O36"/>
    <mergeCell ref="B60:D60"/>
    <mergeCell ref="K80:M80"/>
    <mergeCell ref="P80:R80"/>
    <mergeCell ref="K46:L46"/>
    <mergeCell ref="K28:L28"/>
    <mergeCell ref="N28:O28"/>
    <mergeCell ref="K29:L29"/>
    <mergeCell ref="N29:O29"/>
    <mergeCell ref="K30:L30"/>
    <mergeCell ref="K31:L31"/>
    <mergeCell ref="N31:O31"/>
    <mergeCell ref="N34:O34"/>
    <mergeCell ref="N30:O30"/>
    <mergeCell ref="K34:L34"/>
    <mergeCell ref="K32:L32"/>
    <mergeCell ref="F28:I28"/>
    <mergeCell ref="N32:O32"/>
    <mergeCell ref="K33:L33"/>
    <mergeCell ref="N33:O33"/>
    <mergeCell ref="K19:L19"/>
    <mergeCell ref="N19:O19"/>
    <mergeCell ref="F26:I26"/>
    <mergeCell ref="K26:L26"/>
    <mergeCell ref="N26:O26"/>
    <mergeCell ref="F22:I22"/>
    <mergeCell ref="K23:L23"/>
    <mergeCell ref="N23:O23"/>
    <mergeCell ref="F24:I24"/>
    <mergeCell ref="F20:I20"/>
    <mergeCell ref="K21:L21"/>
    <mergeCell ref="N21:O21"/>
    <mergeCell ref="K24:L24"/>
    <mergeCell ref="N24:O24"/>
    <mergeCell ref="K25:L25"/>
    <mergeCell ref="N25:O25"/>
    <mergeCell ref="K22:L22"/>
    <mergeCell ref="N22:O22"/>
    <mergeCell ref="F25:I25"/>
    <mergeCell ref="F19:I19"/>
    <mergeCell ref="K20:L20"/>
    <mergeCell ref="N20:O20"/>
    <mergeCell ref="F16:I16"/>
    <mergeCell ref="K17:L17"/>
    <mergeCell ref="N17:O17"/>
    <mergeCell ref="F17:I17"/>
    <mergeCell ref="K18:L18"/>
    <mergeCell ref="N18:O18"/>
    <mergeCell ref="N12:O12"/>
    <mergeCell ref="P12:R12"/>
    <mergeCell ref="E13:F13"/>
    <mergeCell ref="G13:I13"/>
    <mergeCell ref="N13:O13"/>
    <mergeCell ref="P13:R13"/>
    <mergeCell ref="F15:I15"/>
    <mergeCell ref="K15:L16"/>
    <mergeCell ref="M15:M16"/>
    <mergeCell ref="N15:O16"/>
    <mergeCell ref="E7:G7"/>
    <mergeCell ref="K27:L27"/>
    <mergeCell ref="N27:O27"/>
    <mergeCell ref="Q1:R1"/>
    <mergeCell ref="Q2:R2"/>
    <mergeCell ref="E8:I8"/>
    <mergeCell ref="N8:R8"/>
    <mergeCell ref="E9:I9"/>
    <mergeCell ref="N9:R9"/>
    <mergeCell ref="E10:I10"/>
    <mergeCell ref="N10:R10"/>
    <mergeCell ref="B3:I4"/>
    <mergeCell ref="K3:R4"/>
    <mergeCell ref="E6:I6"/>
    <mergeCell ref="N6:R6"/>
    <mergeCell ref="N7:R7"/>
    <mergeCell ref="P24:R24"/>
    <mergeCell ref="P25:R25"/>
    <mergeCell ref="E11:F11"/>
    <mergeCell ref="G11:I11"/>
    <mergeCell ref="N11:O11"/>
    <mergeCell ref="P11:R11"/>
    <mergeCell ref="E12:F12"/>
    <mergeCell ref="G12:I12"/>
  </mergeCells>
  <pageMargins left="0.59055118110236227" right="0.70866141732283472" top="0.82677165354330717" bottom="0.74803149606299213" header="0.31496062992125984" footer="0.31496062992125984"/>
  <pageSetup paperSize="14" scale="72" orientation="portrait" r:id="rId1"/>
  <headerFooter>
    <oddHeader xml:space="preserve">&amp;R&amp;"Century Gothic,Bold"&amp;14ANNEX A: 
SAMPLE PACKAGE COMPUTATION
</oddHeader>
  </headerFooter>
  <colBreaks count="1" manualBreakCount="1">
    <brk id="9" max="82" man="1"/>
  </colBreaks>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1"/>
  <dimension ref="A1:U123"/>
  <sheetViews>
    <sheetView showGridLines="0" showZeros="0" view="pageLayout" topLeftCell="A97" zoomScaleNormal="100" zoomScaleSheetLayoutView="85" workbookViewId="0">
      <selection activeCell="F115" sqref="F115"/>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1182</v>
      </c>
      <c r="B3" s="22"/>
      <c r="C3" s="76"/>
      <c r="D3" s="1471" t="str">
        <f>FORM!I26</f>
        <v>buyer</v>
      </c>
      <c r="E3" s="1471"/>
      <c r="F3" s="1471"/>
      <c r="G3" s="1471"/>
      <c r="H3" s="1471"/>
      <c r="I3" s="1471"/>
      <c r="J3" s="1471"/>
      <c r="K3" s="1471"/>
      <c r="L3" s="1471"/>
      <c r="M3" s="1471"/>
      <c r="N3" s="1471"/>
      <c r="O3" s="1471"/>
      <c r="P3" s="1471"/>
      <c r="Q3" s="1471"/>
      <c r="R3" s="22"/>
      <c r="S3" s="22"/>
      <c r="T3" s="22"/>
      <c r="U3" s="24" t="s">
        <v>1183</v>
      </c>
    </row>
    <row r="4" spans="1:21">
      <c r="A4" s="1472" t="str">
        <f>FORM!I30</f>
        <v>address</v>
      </c>
      <c r="B4" s="1472"/>
      <c r="C4" s="1472"/>
      <c r="D4" s="1472"/>
      <c r="E4" s="1472"/>
      <c r="F4" s="1472"/>
      <c r="G4" s="1472"/>
      <c r="H4" s="1472"/>
      <c r="I4" s="1472"/>
      <c r="J4" s="1472"/>
      <c r="K4" s="1472"/>
      <c r="L4" s="1472"/>
      <c r="M4" s="1472"/>
      <c r="N4" s="1472"/>
      <c r="O4" s="1472"/>
      <c r="P4" s="1472"/>
      <c r="Q4" s="1472"/>
      <c r="R4" s="22"/>
      <c r="S4" s="22"/>
      <c r="T4" s="22"/>
      <c r="U4" s="24" t="s">
        <v>1184</v>
      </c>
    </row>
    <row r="5" spans="1:21" ht="16.5" customHeight="1">
      <c r="A5" s="1473" t="s">
        <v>1185</v>
      </c>
      <c r="B5" s="1473"/>
      <c r="C5" s="1473"/>
      <c r="D5" s="1473"/>
      <c r="E5" s="1473"/>
      <c r="F5" s="1473"/>
      <c r="G5" s="1473"/>
      <c r="H5" s="1473"/>
      <c r="I5" s="1473"/>
      <c r="J5" s="1473"/>
      <c r="K5" s="1473"/>
      <c r="L5" s="1473"/>
      <c r="M5" s="1473"/>
      <c r="N5" s="1473"/>
      <c r="O5" s="1473"/>
      <c r="P5" s="1473"/>
      <c r="Q5" s="1473"/>
      <c r="R5" s="1473"/>
      <c r="S5" s="1473"/>
      <c r="T5" s="1473"/>
      <c r="U5" s="1473"/>
    </row>
    <row r="6" spans="1:21">
      <c r="A6" s="1473"/>
      <c r="B6" s="1473"/>
      <c r="C6" s="1473"/>
      <c r="D6" s="1473"/>
      <c r="E6" s="1473"/>
      <c r="F6" s="1473"/>
      <c r="G6" s="1473"/>
      <c r="H6" s="1473"/>
      <c r="I6" s="1473"/>
      <c r="J6" s="1473"/>
      <c r="K6" s="1473"/>
      <c r="L6" s="1473"/>
      <c r="M6" s="1473"/>
      <c r="N6" s="1473"/>
      <c r="O6" s="1473"/>
      <c r="P6" s="1473"/>
      <c r="Q6" s="1473"/>
      <c r="R6" s="1473"/>
      <c r="S6" s="1473"/>
      <c r="T6" s="1473"/>
      <c r="U6" s="1473"/>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1186</v>
      </c>
      <c r="B8" s="22"/>
      <c r="C8" s="22"/>
      <c r="D8" s="22"/>
      <c r="E8" s="22"/>
      <c r="F8" s="22"/>
      <c r="G8" s="22"/>
      <c r="H8" s="1471" t="str">
        <f>FORM!AB11</f>
        <v>Iloilo Southprime Developers Inc.</v>
      </c>
      <c r="I8" s="1471"/>
      <c r="J8" s="1471"/>
      <c r="K8" s="1471"/>
      <c r="L8" s="1471"/>
      <c r="M8" s="1471"/>
      <c r="N8" s="1471"/>
      <c r="O8" s="1471"/>
      <c r="P8" s="22"/>
      <c r="Q8" s="22"/>
      <c r="R8" s="22"/>
      <c r="S8" s="22"/>
      <c r="T8" s="22"/>
      <c r="U8" s="24" t="s">
        <v>1187</v>
      </c>
    </row>
    <row r="9" spans="1:21">
      <c r="A9" s="1474" t="s">
        <v>1188</v>
      </c>
      <c r="B9" s="1474"/>
      <c r="C9" s="1474"/>
      <c r="D9" s="1474"/>
      <c r="E9" s="1474"/>
      <c r="F9" s="1474"/>
      <c r="G9" s="1474"/>
      <c r="H9" s="1474"/>
      <c r="I9" s="1474"/>
      <c r="J9" s="1474"/>
      <c r="K9" s="1474"/>
      <c r="L9" s="1474"/>
      <c r="M9" s="1474"/>
      <c r="N9" s="1474"/>
      <c r="O9" s="1474"/>
      <c r="P9" s="1474"/>
      <c r="Q9" s="1474"/>
      <c r="R9" s="1474"/>
      <c r="S9" s="1474"/>
      <c r="T9" s="1474"/>
      <c r="U9" s="1474"/>
    </row>
    <row r="10" spans="1:21">
      <c r="A10" s="1470" t="str">
        <f>FORM!AB12</f>
        <v>Avancena St Brgy. Avancena Molo Iloilo City</v>
      </c>
      <c r="B10" s="1470"/>
      <c r="C10" s="1470"/>
      <c r="D10" s="1470"/>
      <c r="E10" s="1470"/>
      <c r="F10" s="1470"/>
      <c r="G10" s="1470"/>
      <c r="H10" s="1470"/>
      <c r="I10" s="1470"/>
      <c r="J10" s="1470"/>
      <c r="K10" s="1470"/>
      <c r="L10" s="1470"/>
      <c r="M10" s="1470"/>
      <c r="N10" s="1470"/>
      <c r="O10" s="1470"/>
      <c r="P10" s="1470"/>
      <c r="Q10" s="22"/>
      <c r="R10" s="22"/>
      <c r="S10" s="22"/>
      <c r="T10" s="22"/>
      <c r="U10" s="24" t="s">
        <v>1189</v>
      </c>
    </row>
    <row r="11" spans="1:21">
      <c r="A11" s="22" t="s">
        <v>1190</v>
      </c>
      <c r="B11" s="22"/>
      <c r="C11" s="22"/>
      <c r="D11" s="22"/>
      <c r="E11" s="22"/>
      <c r="F11" s="22"/>
      <c r="G11" s="22"/>
      <c r="H11" s="22"/>
      <c r="I11" s="1472" t="str">
        <f>FORM!I11</f>
        <v>The Southprime Flats</v>
      </c>
      <c r="J11" s="1472"/>
      <c r="K11" s="1472"/>
      <c r="L11" s="1472"/>
      <c r="M11" s="1472"/>
      <c r="N11" s="1472"/>
      <c r="O11" s="1472"/>
      <c r="P11" s="1472"/>
      <c r="Q11" s="1472"/>
      <c r="R11" s="1472"/>
      <c r="S11" s="1472"/>
      <c r="T11" s="1472"/>
      <c r="U11" s="1472"/>
    </row>
    <row r="12" spans="1:21">
      <c r="A12" s="22" t="s">
        <v>1191</v>
      </c>
      <c r="B12" s="22"/>
      <c r="C12" s="22"/>
      <c r="D12" s="22"/>
      <c r="E12" s="22"/>
      <c r="F12" s="22"/>
      <c r="G12" s="22"/>
      <c r="H12" s="22"/>
      <c r="I12" s="22"/>
      <c r="J12" s="22"/>
      <c r="K12" s="22"/>
      <c r="L12" s="22"/>
      <c r="M12" s="1475" t="str">
        <f>FORM!AB13</f>
        <v>Abeto Street, Brgy. Abeto-Mirasol, Mandurriao, Iloilo City</v>
      </c>
      <c r="N12" s="1475"/>
      <c r="O12" s="1475"/>
      <c r="P12" s="1475"/>
      <c r="Q12" s="1475"/>
      <c r="R12" s="1475"/>
      <c r="S12" s="1475"/>
      <c r="T12" s="1475"/>
      <c r="U12" s="1475"/>
    </row>
    <row r="13" spans="1:21">
      <c r="A13" s="22" t="s">
        <v>1192</v>
      </c>
      <c r="B13" s="22"/>
      <c r="C13" s="22"/>
      <c r="D13" s="22"/>
      <c r="E13" s="22"/>
      <c r="F13" s="22"/>
      <c r="G13" s="22"/>
      <c r="H13" s="22"/>
      <c r="I13" s="22"/>
      <c r="J13" s="22"/>
      <c r="K13" s="1476" t="str">
        <f>'STANDARD COMP.'!E10</f>
        <v>Studio</v>
      </c>
      <c r="L13" s="1472"/>
      <c r="M13" s="1472"/>
      <c r="N13" s="1472"/>
      <c r="O13" s="1472"/>
      <c r="P13" s="1472"/>
      <c r="Q13" s="1472"/>
      <c r="R13" s="1472"/>
      <c r="S13" s="1472"/>
      <c r="T13" s="1472"/>
      <c r="U13" s="1472"/>
    </row>
    <row r="14" spans="1:21" ht="13.5" customHeight="1">
      <c r="A14" s="22" t="s">
        <v>1193</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1194</v>
      </c>
      <c r="B16" s="27"/>
      <c r="C16" s="27"/>
      <c r="D16" s="25"/>
      <c r="E16" s="1475" t="str">
        <f>FORM!I11</f>
        <v>The Southprime Flats</v>
      </c>
      <c r="F16" s="1475"/>
      <c r="G16" s="1475"/>
      <c r="H16" s="1475"/>
      <c r="I16" s="1475"/>
      <c r="J16" s="1475"/>
      <c r="K16" s="1475"/>
      <c r="L16" s="1475"/>
      <c r="M16" s="1475"/>
      <c r="N16" s="1475"/>
      <c r="O16" s="1475"/>
      <c r="P16" s="1475"/>
      <c r="Q16" s="1475"/>
      <c r="R16" s="1475"/>
      <c r="S16" s="1475"/>
      <c r="T16" s="1475"/>
      <c r="U16" s="58"/>
    </row>
    <row r="17" spans="1:21" ht="14.1">
      <c r="A17" s="28" t="s">
        <v>1195</v>
      </c>
      <c r="B17" s="29"/>
      <c r="C17" s="29"/>
      <c r="D17" s="30"/>
      <c r="E17" s="31" t="s">
        <v>1196</v>
      </c>
      <c r="F17" s="30"/>
      <c r="G17" s="30"/>
      <c r="H17" s="30"/>
      <c r="I17" s="30"/>
      <c r="J17" s="30"/>
      <c r="K17" s="30"/>
      <c r="L17" s="56" t="s">
        <v>1197</v>
      </c>
      <c r="M17" s="30"/>
      <c r="N17" s="30"/>
      <c r="O17" s="30"/>
      <c r="P17" s="30"/>
      <c r="Q17" s="30"/>
      <c r="R17" s="30"/>
      <c r="S17" s="30"/>
      <c r="T17" s="31" t="s">
        <v>1198</v>
      </c>
      <c r="U17" s="55"/>
    </row>
    <row r="18" spans="1:21" ht="14.1">
      <c r="A18" s="32"/>
      <c r="B18" s="5"/>
      <c r="C18" s="5"/>
      <c r="D18" s="5"/>
      <c r="E18" s="33" t="s">
        <v>1199</v>
      </c>
      <c r="F18" s="5"/>
      <c r="G18" s="5"/>
      <c r="H18" s="5"/>
      <c r="I18" s="5"/>
      <c r="J18" s="5"/>
      <c r="K18" s="5"/>
      <c r="L18" s="33" t="s">
        <v>1200</v>
      </c>
      <c r="M18" s="5"/>
      <c r="N18" s="5"/>
      <c r="O18" s="5"/>
      <c r="P18" s="5"/>
      <c r="Q18" s="5"/>
      <c r="R18" s="5"/>
      <c r="S18" s="5"/>
      <c r="T18" s="33" t="s">
        <v>1201</v>
      </c>
      <c r="U18" s="34"/>
    </row>
    <row r="19" spans="1:21">
      <c r="T19" s="2" t="s">
        <v>60</v>
      </c>
    </row>
    <row r="20" spans="1:21" ht="14.1">
      <c r="A20" s="1477" t="s">
        <v>1202</v>
      </c>
      <c r="B20" s="1478"/>
      <c r="C20" s="1478"/>
      <c r="D20" s="1478"/>
      <c r="E20" s="1478"/>
      <c r="F20" s="1479"/>
      <c r="G20" s="1477" t="s">
        <v>1203</v>
      </c>
      <c r="H20" s="1478"/>
      <c r="I20" s="1478"/>
      <c r="J20" s="1478"/>
      <c r="K20" s="1478"/>
      <c r="L20" s="1479"/>
      <c r="M20" s="1477" t="s">
        <v>1204</v>
      </c>
      <c r="N20" s="1478"/>
      <c r="O20" s="1478"/>
      <c r="P20" s="1478"/>
      <c r="Q20" s="1479"/>
      <c r="R20" s="1477" t="s">
        <v>1200</v>
      </c>
      <c r="S20" s="1478"/>
      <c r="T20" s="1478"/>
      <c r="U20" s="1479"/>
    </row>
    <row r="21" spans="1:21" ht="14.1">
      <c r="A21" s="39" t="s">
        <v>1205</v>
      </c>
      <c r="B21" s="40"/>
      <c r="C21" s="40"/>
      <c r="D21" s="1480" t="str">
        <f>FORM!I14</f>
        <v>B3</v>
      </c>
      <c r="E21" s="1481"/>
      <c r="F21" s="1482"/>
      <c r="G21" s="39" t="s">
        <v>1205</v>
      </c>
      <c r="H21" s="40"/>
      <c r="I21" s="41"/>
      <c r="J21" s="1483"/>
      <c r="K21" s="1484"/>
      <c r="L21" s="1485"/>
      <c r="M21" s="39" t="s">
        <v>1206</v>
      </c>
      <c r="N21" s="40"/>
      <c r="O21" s="41"/>
      <c r="P21" s="1486"/>
      <c r="Q21" s="1487"/>
      <c r="R21" s="80" t="s">
        <v>1205</v>
      </c>
      <c r="S21" s="81"/>
      <c r="T21" s="1488"/>
      <c r="U21" s="1489"/>
    </row>
    <row r="22" spans="1:21" ht="14.1">
      <c r="A22" s="37" t="s">
        <v>1207</v>
      </c>
      <c r="B22" s="38"/>
      <c r="C22" s="38"/>
      <c r="D22" s="1480" t="str">
        <f>FORM!I16</f>
        <v>11th Floor</v>
      </c>
      <c r="E22" s="1481"/>
      <c r="F22" s="1482"/>
      <c r="G22" s="39" t="s">
        <v>1208</v>
      </c>
      <c r="H22" s="40"/>
      <c r="I22" s="41"/>
      <c r="J22" s="1483"/>
      <c r="K22" s="1484"/>
      <c r="L22" s="1485"/>
      <c r="M22" s="39" t="s">
        <v>1209</v>
      </c>
      <c r="N22" s="40"/>
      <c r="O22" s="41"/>
      <c r="P22" s="1486"/>
      <c r="Q22" s="1487"/>
      <c r="R22" s="80" t="s">
        <v>1210</v>
      </c>
      <c r="S22" s="81"/>
      <c r="T22" s="1488"/>
      <c r="U22" s="1489"/>
    </row>
    <row r="23" spans="1:21" ht="14.1">
      <c r="A23" s="39" t="s">
        <v>1210</v>
      </c>
      <c r="B23" s="40"/>
      <c r="C23" s="41"/>
      <c r="D23" s="1480" t="str">
        <f>FORM!I18</f>
        <v>E-11K</v>
      </c>
      <c r="E23" s="1481"/>
      <c r="F23" s="1482"/>
      <c r="G23" s="39" t="s">
        <v>1211</v>
      </c>
      <c r="H23" s="40"/>
      <c r="I23" s="41"/>
      <c r="J23" s="1483"/>
      <c r="K23" s="1484"/>
      <c r="L23" s="1485"/>
      <c r="M23" s="39" t="s">
        <v>1212</v>
      </c>
      <c r="N23" s="40"/>
      <c r="O23" s="41"/>
      <c r="P23" s="1486"/>
      <c r="Q23" s="1487"/>
      <c r="R23" s="80" t="s">
        <v>1213</v>
      </c>
      <c r="S23" s="81"/>
      <c r="T23" s="1488"/>
      <c r="U23" s="1489"/>
    </row>
    <row r="24" spans="1:21" ht="16.5" customHeight="1">
      <c r="A24" s="37" t="s">
        <v>1214</v>
      </c>
      <c r="B24" s="38"/>
      <c r="C24" s="38"/>
      <c r="D24" s="1493">
        <f>'STANDARD COMP.'!E13</f>
        <v>22</v>
      </c>
      <c r="E24" s="1494"/>
      <c r="F24" s="1495"/>
      <c r="G24" s="39" t="s">
        <v>1213</v>
      </c>
      <c r="H24" s="40"/>
      <c r="I24" s="41"/>
      <c r="J24" s="1483"/>
      <c r="K24" s="1484"/>
      <c r="L24" s="1485"/>
      <c r="M24" s="37" t="s">
        <v>1215</v>
      </c>
      <c r="N24" s="38"/>
      <c r="O24" s="38"/>
      <c r="P24" s="1486"/>
      <c r="Q24" s="1487"/>
      <c r="R24" s="1496" t="s">
        <v>1216</v>
      </c>
      <c r="S24" s="1497"/>
      <c r="T24" s="1500"/>
      <c r="U24" s="1501"/>
    </row>
    <row r="25" spans="1:21" ht="14.1">
      <c r="A25" s="39" t="s">
        <v>1217</v>
      </c>
      <c r="B25" s="40"/>
      <c r="C25" s="41"/>
      <c r="D25" s="1504" t="str">
        <f>K13</f>
        <v>Studio</v>
      </c>
      <c r="E25" s="1481"/>
      <c r="F25" s="1482"/>
      <c r="G25" s="39" t="s">
        <v>1218</v>
      </c>
      <c r="H25" s="40"/>
      <c r="I25" s="41"/>
      <c r="J25" s="1483"/>
      <c r="K25" s="1484"/>
      <c r="L25" s="1485"/>
      <c r="M25" s="39" t="s">
        <v>1219</v>
      </c>
      <c r="N25" s="40"/>
      <c r="O25" s="41"/>
      <c r="P25" s="1480"/>
      <c r="Q25" s="1482"/>
      <c r="R25" s="1498"/>
      <c r="S25" s="1499"/>
      <c r="T25" s="1502"/>
      <c r="U25" s="1503"/>
    </row>
    <row r="27" spans="1:21" ht="14.1">
      <c r="A27" s="39" t="s">
        <v>1220</v>
      </c>
      <c r="B27" s="40"/>
      <c r="C27" s="40"/>
      <c r="D27" s="40"/>
      <c r="E27" s="40"/>
      <c r="F27" s="40"/>
      <c r="G27" s="40"/>
      <c r="H27" s="41"/>
      <c r="I27" s="1574">
        <f>DEFERRED!F15</f>
        <v>4123028.1810342241</v>
      </c>
      <c r="J27" s="1575"/>
      <c r="K27" s="1575"/>
      <c r="L27" s="1575"/>
      <c r="M27" s="1575"/>
      <c r="N27" s="1575"/>
      <c r="O27" s="1575"/>
      <c r="P27" s="1575"/>
      <c r="Q27" s="1575"/>
      <c r="R27" s="1575"/>
      <c r="S27" s="1575"/>
      <c r="T27" s="1575"/>
      <c r="U27" s="1576"/>
    </row>
    <row r="28" spans="1:21" ht="14.1">
      <c r="A28" s="39" t="s">
        <v>1221</v>
      </c>
      <c r="B28" s="40"/>
      <c r="C28" s="42"/>
      <c r="D28" s="42"/>
      <c r="E28" s="42"/>
      <c r="F28" s="42"/>
      <c r="G28" s="42"/>
      <c r="H28" s="43"/>
      <c r="I28" s="1574">
        <f>DEFERRED!F16</f>
        <v>0</v>
      </c>
      <c r="J28" s="1575"/>
      <c r="K28" s="1575"/>
      <c r="L28" s="1575"/>
      <c r="M28" s="1575"/>
      <c r="N28" s="1575"/>
      <c r="O28" s="1575"/>
      <c r="P28" s="1575"/>
      <c r="Q28" s="1575"/>
      <c r="R28" s="1575"/>
      <c r="S28" s="1575"/>
      <c r="T28" s="1575"/>
      <c r="U28" s="1576"/>
    </row>
    <row r="29" spans="1:21" ht="14.1">
      <c r="A29" s="49" t="s">
        <v>1222</v>
      </c>
      <c r="B29" s="50"/>
      <c r="C29" s="51"/>
      <c r="D29" s="51"/>
      <c r="E29" s="51"/>
      <c r="F29" s="51"/>
      <c r="G29" s="51"/>
      <c r="H29" s="48"/>
      <c r="I29" s="1574">
        <f>DEFERRED!F17</f>
        <v>4123028.1810342241</v>
      </c>
      <c r="J29" s="1575"/>
      <c r="K29" s="1575"/>
      <c r="L29" s="1575"/>
      <c r="M29" s="1575"/>
      <c r="N29" s="1575"/>
      <c r="O29" s="1575"/>
      <c r="P29" s="1575"/>
      <c r="Q29" s="1575"/>
      <c r="R29" s="1575"/>
      <c r="S29" s="1575"/>
      <c r="T29" s="1575"/>
      <c r="U29" s="1576"/>
    </row>
    <row r="30" spans="1:21" ht="14.1">
      <c r="A30" s="39" t="s">
        <v>1223</v>
      </c>
      <c r="B30" s="40"/>
      <c r="C30" s="42"/>
      <c r="D30" s="42"/>
      <c r="E30" s="42"/>
      <c r="F30" s="42"/>
      <c r="G30" s="42"/>
      <c r="H30" s="43"/>
      <c r="I30" s="1574">
        <f>DEFERRED!F20</f>
        <v>422610.38855600794</v>
      </c>
      <c r="J30" s="1575"/>
      <c r="K30" s="1575"/>
      <c r="L30" s="1575"/>
      <c r="M30" s="1575"/>
      <c r="N30" s="1575"/>
      <c r="O30" s="1575"/>
      <c r="P30" s="1575"/>
      <c r="Q30" s="1575"/>
      <c r="R30" s="1575"/>
      <c r="S30" s="1575"/>
      <c r="T30" s="1575"/>
      <c r="U30" s="1576"/>
    </row>
    <row r="31" spans="1:21" ht="14.1">
      <c r="A31" s="39" t="s">
        <v>1224</v>
      </c>
      <c r="B31" s="40"/>
      <c r="C31" s="42"/>
      <c r="D31" s="42"/>
      <c r="E31" s="42"/>
      <c r="F31" s="42"/>
      <c r="G31" s="42"/>
      <c r="H31" s="43"/>
      <c r="I31" s="1574">
        <f>DEFERRED!F19</f>
        <v>0</v>
      </c>
      <c r="J31" s="1575"/>
      <c r="K31" s="1575"/>
      <c r="L31" s="1575"/>
      <c r="M31" s="1575"/>
      <c r="N31" s="1575"/>
      <c r="O31" s="1575"/>
      <c r="P31" s="1575"/>
      <c r="Q31" s="1575"/>
      <c r="R31" s="1575"/>
      <c r="S31" s="1575"/>
      <c r="T31" s="1575"/>
      <c r="U31" s="1576"/>
    </row>
    <row r="32" spans="1:21" ht="14.1">
      <c r="A32" s="39" t="s">
        <v>170</v>
      </c>
      <c r="B32" s="40"/>
      <c r="C32" s="42"/>
      <c r="D32" s="42"/>
      <c r="E32" s="42"/>
      <c r="F32" s="42"/>
      <c r="G32" s="42"/>
      <c r="H32" s="43"/>
      <c r="I32" s="1574">
        <f>DEFERRED!F22</f>
        <v>4545638.5695902323</v>
      </c>
      <c r="J32" s="1575"/>
      <c r="K32" s="1575"/>
      <c r="L32" s="1575"/>
      <c r="M32" s="1575"/>
      <c r="N32" s="1575"/>
      <c r="O32" s="1575"/>
      <c r="P32" s="1575"/>
      <c r="Q32" s="1575"/>
      <c r="R32" s="1575"/>
      <c r="S32" s="1575"/>
      <c r="T32" s="1575"/>
      <c r="U32" s="1576"/>
    </row>
    <row r="34" spans="1:21">
      <c r="A34" s="70" t="s">
        <v>1225</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1226</v>
      </c>
      <c r="E36" s="18"/>
      <c r="F36" s="18"/>
      <c r="G36" s="18"/>
      <c r="H36" s="18"/>
      <c r="I36" s="18"/>
      <c r="J36" s="18"/>
      <c r="K36" s="18"/>
      <c r="L36" s="18"/>
      <c r="M36" s="18" t="s">
        <v>1227</v>
      </c>
      <c r="O36" s="18"/>
      <c r="P36" s="18"/>
      <c r="Q36" s="18"/>
      <c r="R36" s="18"/>
      <c r="S36" s="18" t="s">
        <v>1228</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1229</v>
      </c>
      <c r="T39"/>
    </row>
    <row r="40" spans="1:21" ht="13.5" customHeight="1">
      <c r="A40" s="75" t="s">
        <v>1230</v>
      </c>
      <c r="C40" s="1507" t="s">
        <v>1231</v>
      </c>
      <c r="D40" s="1507"/>
      <c r="E40" s="1507"/>
      <c r="F40" s="1507"/>
      <c r="G40" s="1507"/>
      <c r="H40" s="1507"/>
      <c r="I40" s="1507"/>
      <c r="J40" s="1507"/>
      <c r="K40" s="1507"/>
      <c r="L40" s="1507"/>
      <c r="M40" s="1507"/>
      <c r="N40" s="1507"/>
      <c r="O40" s="150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"&amp;PROPER(IF(LEN(LEFT(TRIM(MID(SUBSTITUTE([9]Sheet1!A2,".",REPT(" ",255)),255,200)),2))=1,CHOOSE(1*LEFT(TRIM(MID(SUBSTITUTE([9]Sheet1!A2,".",REPT(" ",255)),255,200)),2),"ten","twenty","thirty","forty","fifty","sixty","seventy","eighty","ninety")&amp;" cents","")&amp;CONCATENATE(CHOOSE(MID(TEXT(INT(LEFT(TRIM(MID(SUBSTITUTE([9]Sheet1!A2,".",REPT(" ",255)),255,200)),2)),REPT(0,12)),11,1)+1,"",CHOOSE(MID(TEXT(INT(LEFT(TRIM(MID(SUBSTITUTE([9]Sheet1!A2,".",REPT(" ",255)),255,200)),2)),REPT(0,12)),12,1)+1,"ten","eleven","twelve","thirteen","fourteen","fifteen","sixteen","seventeen","eighteen","nineteen")&amp;" cents","twenty","thirty","forty","fifty","sixty","seventy","eighty","ninety"),IF(VALUE(MID(TEXT(INT(LEFT(TRIM(MID(SUBSTITUTE([9]Sheet1!A2,".",REPT(" ",255)),255,200)),2)),REPT(0,12)),11,1))&gt;1,CHOOSE(MID(TEXT(INT(LEFT(TRIM(MID(SUBSTITUTE([9]Sheet1!A2,".",REPT(" ",255)),255,200)),2)),REPT(0,12)),12,1)+1,"","-one","-two","-three","-four","-five","-six","-seven","-eight","-nine")&amp;" cents",IF(LEFT(TRIM(MID(SUBSTITUTE([9]Sheet1!A2,".",REPT(" ",255)),255,200)),2)="01","one cent",IF(LEFT(TRIM(MID(SUBSTITUTE([9]Sheet1!A2,".",REPT(" ",255)),255,200)),1)="0",CHOOSE(MID(TEXT(INT(LEFT(TRIM(MID(SUBSTITUTE([9]Sheet1!A2,".",REPT(" ",255)),255,200)),2)),REPT(0,12)),12,1)+1,"","one","two","three","four","five","six","seven","eight","nine")&amp;" cents","")))))))</f>
        <v>Thirty Thousand  Pesos</v>
      </c>
      <c r="P40" s="1508"/>
      <c r="Q40" s="1508"/>
      <c r="R40" s="1508"/>
      <c r="S40" s="79" t="s">
        <v>1232</v>
      </c>
      <c r="T40" s="358">
        <f>FORM!I22</f>
        <v>30000</v>
      </c>
      <c r="U40" s="82" t="s">
        <v>1233</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60</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1234</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1235</v>
      </c>
      <c r="D89" s="59"/>
      <c r="E89" s="59"/>
      <c r="F89" s="59"/>
      <c r="G89" s="59"/>
      <c r="H89" s="59"/>
      <c r="I89" s="59"/>
      <c r="J89" s="59"/>
      <c r="K89" s="66" t="s">
        <v>1236</v>
      </c>
      <c r="L89" s="59"/>
      <c r="M89" s="59"/>
      <c r="N89" s="59"/>
      <c r="O89" s="59"/>
      <c r="P89" s="59"/>
      <c r="Q89" s="59"/>
      <c r="R89" s="66" t="s">
        <v>1237</v>
      </c>
      <c r="S89" s="66"/>
      <c r="T89" s="66"/>
      <c r="U89" s="65"/>
    </row>
    <row r="90" spans="1:21" ht="14.1">
      <c r="A90" s="187"/>
      <c r="B90" s="188"/>
      <c r="C90" s="59" t="s">
        <v>1238</v>
      </c>
      <c r="D90" s="189"/>
      <c r="E90" s="1509"/>
      <c r="F90" s="1509"/>
      <c r="G90" s="1509"/>
      <c r="H90" s="189"/>
      <c r="I90" s="189"/>
      <c r="J90" s="188"/>
      <c r="K90" s="59" t="s">
        <v>1239</v>
      </c>
      <c r="L90" s="189"/>
      <c r="M90" s="1509"/>
      <c r="N90" s="1509"/>
      <c r="O90" s="1509"/>
      <c r="P90" s="189"/>
      <c r="Q90" s="188"/>
      <c r="R90" s="59" t="s">
        <v>1240</v>
      </c>
      <c r="S90" s="1509"/>
      <c r="T90" s="1509"/>
      <c r="U90" s="65"/>
    </row>
    <row r="91" spans="1:21" ht="14.1">
      <c r="A91" s="187"/>
      <c r="B91" s="188"/>
      <c r="C91" s="59" t="s">
        <v>1241</v>
      </c>
      <c r="D91" s="189"/>
      <c r="E91" s="1509"/>
      <c r="F91" s="1509"/>
      <c r="G91" s="1509"/>
      <c r="H91" s="189"/>
      <c r="I91" s="189"/>
      <c r="J91" s="188"/>
      <c r="K91" s="59" t="s">
        <v>1242</v>
      </c>
      <c r="L91" s="189"/>
      <c r="M91" s="1509"/>
      <c r="N91" s="1509"/>
      <c r="O91" s="1509"/>
      <c r="P91" s="189"/>
      <c r="Q91" s="188"/>
      <c r="R91" s="59" t="s">
        <v>1243</v>
      </c>
      <c r="S91" s="1510"/>
      <c r="T91" s="1510"/>
      <c r="U91" s="65"/>
    </row>
    <row r="92" spans="1:21" ht="14.1">
      <c r="A92" s="187"/>
      <c r="B92" s="189"/>
      <c r="C92" s="189"/>
      <c r="D92" s="189"/>
      <c r="E92" s="189"/>
      <c r="F92" s="189"/>
      <c r="G92" s="189"/>
      <c r="H92" s="189"/>
      <c r="I92" s="189"/>
      <c r="J92" s="189"/>
      <c r="K92" s="189"/>
      <c r="L92" s="189"/>
      <c r="M92" s="189"/>
      <c r="N92" s="189"/>
      <c r="O92" s="189"/>
      <c r="P92" s="189"/>
      <c r="Q92" s="188"/>
      <c r="R92" s="59" t="s">
        <v>1244</v>
      </c>
      <c r="S92" s="1510"/>
      <c r="T92" s="1510"/>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511" t="s">
        <v>1245</v>
      </c>
      <c r="B95" s="1512"/>
      <c r="C95" s="1512"/>
      <c r="D95" s="1512"/>
      <c r="E95" s="1512"/>
      <c r="F95" s="1512"/>
      <c r="G95" s="1512"/>
      <c r="H95" s="1512"/>
      <c r="I95" s="1512"/>
      <c r="J95" s="1512"/>
      <c r="K95" s="1512"/>
      <c r="L95" s="1512"/>
      <c r="M95" s="1512"/>
      <c r="N95" s="1512"/>
      <c r="O95" s="1512"/>
      <c r="P95" s="1512"/>
      <c r="Q95" s="1512"/>
      <c r="R95" s="1512"/>
      <c r="S95" s="1512"/>
      <c r="T95" s="1512"/>
      <c r="U95" s="1513"/>
    </row>
    <row r="96" spans="1:21">
      <c r="A96" s="1505" t="s">
        <v>1052</v>
      </c>
      <c r="B96" s="1505"/>
      <c r="C96" s="1505"/>
      <c r="D96" s="1505"/>
      <c r="E96" s="1505"/>
      <c r="F96" s="1505"/>
      <c r="G96" s="1505"/>
      <c r="H96" s="1505"/>
      <c r="I96" s="1505" t="s">
        <v>1246</v>
      </c>
      <c r="J96" s="1505"/>
      <c r="K96" s="1505"/>
      <c r="L96" s="1505"/>
      <c r="M96" s="1505"/>
      <c r="N96" s="1505"/>
      <c r="O96" s="1505"/>
      <c r="P96" s="1506" t="s">
        <v>1054</v>
      </c>
      <c r="Q96" s="1506"/>
      <c r="R96" s="1506"/>
      <c r="S96" s="1506"/>
      <c r="T96" s="1506"/>
      <c r="U96" s="1506"/>
    </row>
    <row r="97" spans="1:21" ht="14.1">
      <c r="A97" s="1321" t="str">
        <f>FORM!I46</f>
        <v>Brokerage/Realty</v>
      </c>
      <c r="B97" s="1321"/>
      <c r="C97" s="1321"/>
      <c r="D97" s="1321"/>
      <c r="E97" s="1321"/>
      <c r="F97" s="1321"/>
      <c r="G97" s="1321"/>
      <c r="H97" s="1321"/>
      <c r="I97" s="1322">
        <f>FORM!M46</f>
        <v>0</v>
      </c>
      <c r="J97" s="1322"/>
      <c r="K97" s="1322"/>
      <c r="L97" s="1322"/>
      <c r="M97" s="1322"/>
      <c r="N97" s="1322"/>
      <c r="O97" s="1322"/>
      <c r="P97" s="1322">
        <f>FORM!T46</f>
        <v>0</v>
      </c>
      <c r="Q97" s="1322"/>
      <c r="R97" s="1322"/>
      <c r="S97" s="1322"/>
      <c r="T97" s="1322"/>
      <c r="U97" s="1322"/>
    </row>
    <row r="98" spans="1:21" ht="14.1">
      <c r="A98" s="1321" t="str">
        <f>FORM!I47</f>
        <v>Broker Head/AVP</v>
      </c>
      <c r="B98" s="1321"/>
      <c r="C98" s="1321"/>
      <c r="D98" s="1321"/>
      <c r="E98" s="1321"/>
      <c r="F98" s="1321"/>
      <c r="G98" s="1321"/>
      <c r="H98" s="1321"/>
      <c r="I98" s="1322">
        <f>FORM!M47</f>
        <v>0</v>
      </c>
      <c r="J98" s="1322"/>
      <c r="K98" s="1322"/>
      <c r="L98" s="1322"/>
      <c r="M98" s="1322"/>
      <c r="N98" s="1322"/>
      <c r="O98" s="1322"/>
      <c r="P98" s="1322">
        <f>FORM!T47</f>
        <v>0</v>
      </c>
      <c r="Q98" s="1322"/>
      <c r="R98" s="1322"/>
      <c r="S98" s="1322"/>
      <c r="T98" s="1322"/>
      <c r="U98" s="1322"/>
    </row>
    <row r="99" spans="1:21" ht="14.1">
      <c r="A99" s="1321" t="str">
        <f>FORM!I48</f>
        <v>Sales Manager</v>
      </c>
      <c r="B99" s="1321"/>
      <c r="C99" s="1321"/>
      <c r="D99" s="1321"/>
      <c r="E99" s="1321"/>
      <c r="F99" s="1321"/>
      <c r="G99" s="1321"/>
      <c r="H99" s="1321"/>
      <c r="I99" s="1322">
        <f>FORM!M48</f>
        <v>0</v>
      </c>
      <c r="J99" s="1322"/>
      <c r="K99" s="1322"/>
      <c r="L99" s="1322"/>
      <c r="M99" s="1322"/>
      <c r="N99" s="1322"/>
      <c r="O99" s="1322"/>
      <c r="P99" s="1322">
        <f>FORM!T48</f>
        <v>0</v>
      </c>
      <c r="Q99" s="1322"/>
      <c r="R99" s="1322"/>
      <c r="S99" s="1322"/>
      <c r="T99" s="1322"/>
      <c r="U99" s="1322"/>
    </row>
    <row r="100" spans="1:21" ht="14.1">
      <c r="A100" s="1321" t="str">
        <f>FORM!I49</f>
        <v xml:space="preserve">Sales Agent/Property Consultant </v>
      </c>
      <c r="B100" s="1321"/>
      <c r="C100" s="1321"/>
      <c r="D100" s="1321"/>
      <c r="E100" s="1321"/>
      <c r="F100" s="1321"/>
      <c r="G100" s="1321"/>
      <c r="H100" s="1321"/>
      <c r="I100" s="1322">
        <f>FORM!M49</f>
        <v>0</v>
      </c>
      <c r="J100" s="1322"/>
      <c r="K100" s="1322"/>
      <c r="L100" s="1322"/>
      <c r="M100" s="1322"/>
      <c r="N100" s="1322"/>
      <c r="O100" s="1322"/>
      <c r="P100" s="1322">
        <f>FORM!T49</f>
        <v>0</v>
      </c>
      <c r="Q100" s="1322"/>
      <c r="R100" s="1322"/>
      <c r="S100" s="1322"/>
      <c r="T100" s="1322"/>
      <c r="U100" s="1322"/>
    </row>
    <row r="102" spans="1:21" ht="14.1">
      <c r="A102" s="1514" t="s">
        <v>1247</v>
      </c>
      <c r="B102" s="1515"/>
      <c r="C102" s="1515"/>
      <c r="D102" s="1515"/>
      <c r="E102" s="1515"/>
      <c r="F102" s="1515"/>
      <c r="G102" s="1515"/>
      <c r="H102" s="1515"/>
      <c r="I102" s="1515"/>
      <c r="J102" s="1515"/>
      <c r="K102" s="1515"/>
      <c r="L102" s="1515"/>
      <c r="M102" s="1515"/>
      <c r="N102" s="1515"/>
      <c r="O102" s="1515"/>
      <c r="P102" s="1515"/>
      <c r="Q102" s="1515"/>
      <c r="R102" s="1515"/>
      <c r="S102" s="1515"/>
      <c r="T102" s="1515"/>
      <c r="U102" s="1515"/>
    </row>
    <row r="112" spans="1:21">
      <c r="G112" s="22"/>
      <c r="H112" s="1470" t="str">
        <f>D3</f>
        <v>buyer</v>
      </c>
      <c r="I112" s="1470"/>
      <c r="J112" s="1470"/>
      <c r="K112" s="1470"/>
      <c r="L112" s="1470"/>
      <c r="M112" s="1470"/>
      <c r="N112" s="1470"/>
      <c r="O112" s="1470"/>
      <c r="P112" s="1470"/>
      <c r="Q112" s="1470"/>
    </row>
    <row r="113" spans="1:21" ht="25.5" customHeight="1">
      <c r="A113" s="1516" t="s">
        <v>1248</v>
      </c>
      <c r="B113" s="1516"/>
      <c r="C113" s="1516"/>
      <c r="D113" s="1516"/>
      <c r="E113" s="1516"/>
      <c r="F113" s="1516"/>
      <c r="G113" s="1516"/>
      <c r="H113" s="1516"/>
      <c r="I113" s="1516"/>
      <c r="J113" s="1516"/>
      <c r="K113" s="1516"/>
      <c r="L113" s="1516"/>
      <c r="M113" s="1516"/>
      <c r="N113" s="1516"/>
      <c r="O113" s="1516"/>
      <c r="P113" s="1516"/>
      <c r="Q113" s="1516"/>
      <c r="R113" s="1516"/>
      <c r="S113" s="1516"/>
      <c r="T113" s="1516"/>
      <c r="U113" s="1516"/>
    </row>
    <row r="114" spans="1:21">
      <c r="A114" s="22"/>
      <c r="B114" s="22"/>
      <c r="C114" s="22"/>
      <c r="D114" s="22"/>
      <c r="E114" s="22"/>
      <c r="F114" s="22"/>
      <c r="G114" s="22"/>
      <c r="H114" s="22"/>
      <c r="I114" s="22"/>
      <c r="J114" s="22"/>
      <c r="K114" s="22"/>
      <c r="L114" s="22"/>
      <c r="M114" s="22"/>
      <c r="N114" s="22"/>
      <c r="O114" s="22"/>
      <c r="P114" s="22"/>
      <c r="Q114" s="22"/>
      <c r="R114" s="22"/>
      <c r="S114" s="22"/>
      <c r="T114" s="22"/>
      <c r="U114" s="22"/>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1517" t="s">
        <v>1249</v>
      </c>
      <c r="B116" s="1517"/>
      <c r="C116" s="1517"/>
      <c r="D116" s="1517"/>
      <c r="E116" s="1517"/>
      <c r="F116" s="1517"/>
      <c r="G116" s="1517"/>
      <c r="H116" s="1517"/>
      <c r="I116" s="1517"/>
      <c r="J116" s="1517"/>
      <c r="K116" s="1517"/>
      <c r="L116" s="1517"/>
      <c r="M116" s="1517"/>
      <c r="N116" s="1517"/>
      <c r="O116" s="1517"/>
      <c r="P116" s="1517"/>
      <c r="Q116" s="1517"/>
      <c r="R116" s="1517"/>
      <c r="S116" s="1517"/>
      <c r="T116" s="1517"/>
      <c r="U116" s="1517"/>
    </row>
    <row r="117" spans="1:21" ht="21.75" customHeight="1">
      <c r="A117" s="1518" t="str">
        <f>H8</f>
        <v>Iloilo Southprime Developers Inc.</v>
      </c>
      <c r="B117" s="1518"/>
      <c r="C117" s="1518"/>
      <c r="D117" s="1518"/>
      <c r="E117" s="1518"/>
      <c r="F117" s="1518"/>
      <c r="G117" s="1518"/>
      <c r="H117" s="1518"/>
      <c r="I117" s="1518"/>
      <c r="J117" s="1518"/>
      <c r="K117" s="1518"/>
      <c r="L117" s="1518"/>
      <c r="M117" s="1518"/>
      <c r="N117" s="1518"/>
      <c r="O117" s="1518"/>
      <c r="P117" s="1518"/>
      <c r="Q117" s="1518"/>
      <c r="R117" s="1518"/>
      <c r="S117" s="1518"/>
      <c r="T117" s="1518"/>
      <c r="U117" s="1518"/>
    </row>
    <row r="118" spans="1:21">
      <c r="A118" s="22"/>
      <c r="B118" s="22"/>
      <c r="C118" s="22"/>
      <c r="D118" s="22"/>
      <c r="E118" s="22"/>
      <c r="F118" s="22"/>
      <c r="G118" s="22"/>
      <c r="H118" s="22"/>
      <c r="I118" s="22"/>
      <c r="J118" s="22"/>
      <c r="K118" s="22"/>
      <c r="L118" s="22"/>
      <c r="M118" s="22"/>
      <c r="N118" s="22"/>
      <c r="O118" s="22"/>
      <c r="P118" s="22"/>
      <c r="Q118" s="22"/>
      <c r="R118" s="22"/>
      <c r="S118" s="22"/>
      <c r="T118" s="22"/>
      <c r="U118" s="22"/>
    </row>
    <row r="119" spans="1:21">
      <c r="A119" s="22"/>
      <c r="B119" s="22"/>
      <c r="C119" s="22"/>
      <c r="D119" s="22"/>
      <c r="E119" s="22"/>
      <c r="F119" s="22"/>
      <c r="G119" s="22"/>
      <c r="H119" s="23"/>
      <c r="I119" s="23"/>
      <c r="J119" s="23"/>
      <c r="K119" s="23"/>
      <c r="L119" s="23"/>
      <c r="M119" s="23"/>
      <c r="N119" s="23"/>
      <c r="O119" s="23"/>
      <c r="P119" s="23"/>
      <c r="Q119" s="23"/>
      <c r="R119" s="22"/>
      <c r="S119" s="22"/>
      <c r="T119" s="22"/>
      <c r="U119" s="22"/>
    </row>
    <row r="123" spans="1:21">
      <c r="I123" s="52"/>
    </row>
  </sheetData>
  <sheetProtection algorithmName="SHA-512" hashValue="j5FEYqJO3QlQhuUlF/qzd0/d/tmcXFy1BZmzW9ARU80oySTUTEvu66oQlH7eA737h3BOuVjOuk/ROk6Ml7AksQ==" saltValue="V3XkQJ+Lge9dVVroRhHaQw==" spinCount="100000" sheet="1"/>
  <mergeCells count="70">
    <mergeCell ref="A102:U102"/>
    <mergeCell ref="H112:Q112"/>
    <mergeCell ref="A113:U113"/>
    <mergeCell ref="A116:U116"/>
    <mergeCell ref="A117:U117"/>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83229166666666665"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3729"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3730" r:id="rId5" name="Check Box 2">
              <controlPr defaultSize="0" autoFill="0" autoLine="0" autoPict="0">
                <anchor moveWithCells="1">
                  <from>
                    <xdr:col>11</xdr:col>
                    <xdr:colOff>69850</xdr:colOff>
                    <xdr:row>35</xdr:row>
                    <xdr:rowOff>0</xdr:rowOff>
                  </from>
                  <to>
                    <xdr:col>12</xdr:col>
                    <xdr:colOff>3175</xdr:colOff>
                    <xdr:row>36</xdr:row>
                    <xdr:rowOff>12700</xdr:rowOff>
                  </to>
                </anchor>
              </controlPr>
            </control>
          </mc:Choice>
        </mc:AlternateContent>
        <mc:AlternateContent xmlns:mc="http://schemas.openxmlformats.org/markup-compatibility/2006">
          <mc:Choice Requires="x14">
            <control shapeId="73731"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3732"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3733"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3734"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3735"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3736"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3737"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3738" r:id="rId13" name="Check Box 10">
              <controlPr defaultSize="0" autoFill="0" autoLine="0" autoPict="0">
                <anchor moveWithCells="1">
                  <from>
                    <xdr:col>16</xdr:col>
                    <xdr:colOff>139700</xdr:colOff>
                    <xdr:row>88</xdr:row>
                    <xdr:rowOff>0</xdr:rowOff>
                  </from>
                  <to>
                    <xdr:col>17</xdr:col>
                    <xdr:colOff>3175</xdr:colOff>
                    <xdr:row>89</xdr:row>
                    <xdr:rowOff>25400</xdr:rowOff>
                  </to>
                </anchor>
              </controlPr>
            </control>
          </mc:Choice>
        </mc:AlternateContent>
        <mc:AlternateContent xmlns:mc="http://schemas.openxmlformats.org/markup-compatibility/2006">
          <mc:Choice Requires="x14">
            <control shapeId="73739"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3740"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3741"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3742"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3743"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3744"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3745"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3746"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3747"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7">
    <tabColor rgb="FF00B0F0"/>
  </sheetPr>
  <dimension ref="A1:BA858"/>
  <sheetViews>
    <sheetView showGridLines="0" showZeros="0" showRuler="0" view="pageLayout" topLeftCell="A15" zoomScale="85" zoomScaleNormal="100" zoomScaleSheetLayoutView="55" zoomScalePageLayoutView="85" workbookViewId="0">
      <selection activeCell="M66" sqref="M66"/>
    </sheetView>
  </sheetViews>
  <sheetFormatPr defaultColWidth="8.85546875" defaultRowHeight="15.75" customHeight="1"/>
  <cols>
    <col min="1" max="1" width="1" style="1020" customWidth="1"/>
    <col min="2" max="2" width="12.5703125" style="1020" customWidth="1"/>
    <col min="3" max="3" width="32.140625" style="1020" customWidth="1"/>
    <col min="4" max="4" width="17.85546875" style="1020" customWidth="1"/>
    <col min="5" max="5" width="23.42578125" style="1020" customWidth="1"/>
    <col min="6" max="6" width="15.140625" style="1020" customWidth="1"/>
    <col min="7" max="7" width="8.140625" style="1020" customWidth="1"/>
    <col min="8" max="8" width="4.42578125" style="1020" customWidth="1"/>
    <col min="9" max="9" width="17.85546875" style="1020" customWidth="1"/>
    <col min="10" max="10" width="2.140625" style="1020" customWidth="1"/>
    <col min="11" max="11" width="9.140625" style="1020" customWidth="1"/>
    <col min="12" max="12" width="20.140625" style="1066" customWidth="1"/>
    <col min="13" max="13" width="18.140625" style="1020" customWidth="1"/>
    <col min="14" max="14" width="21.85546875" style="1020" customWidth="1"/>
    <col min="15" max="15" width="12.140625" style="1020" customWidth="1"/>
    <col min="16" max="16" width="16.85546875" style="1020" customWidth="1"/>
    <col min="17" max="17" width="21.42578125" style="1020" customWidth="1"/>
    <col min="18" max="18" width="4.85546875" style="1020" customWidth="1"/>
    <col min="19" max="19" width="8.85546875" style="1020"/>
    <col min="20" max="20" width="19" style="1036" hidden="1" customWidth="1"/>
    <col min="21" max="21" width="8.85546875" style="1036" hidden="1" customWidth="1"/>
    <col min="22" max="22" width="8.85546875" style="1020" hidden="1" customWidth="1"/>
    <col min="23" max="24" width="11.42578125" style="1020" hidden="1" customWidth="1"/>
    <col min="25" max="26" width="8.85546875" style="1020" hidden="1" customWidth="1"/>
    <col min="27" max="27" width="11.140625" style="1020" hidden="1" customWidth="1"/>
    <col min="28" max="28" width="8.85546875" style="1020"/>
    <col min="29" max="29" width="13.140625" style="1020" customWidth="1"/>
    <col min="30" max="30" width="14.5703125" style="1020" customWidth="1"/>
    <col min="31" max="31" width="8.85546875" style="1020"/>
    <col min="32" max="32" width="9.140625" style="1020" bestFit="1" customWidth="1"/>
    <col min="33" max="33" width="17.140625" style="1020" customWidth="1"/>
    <col min="34" max="34" width="17.85546875" style="1020" customWidth="1"/>
    <col min="35" max="35" width="9.85546875" style="1020" customWidth="1"/>
    <col min="36" max="36" width="10.85546875" style="1038" customWidth="1"/>
    <col min="37" max="37" width="13.42578125" style="1020" customWidth="1"/>
    <col min="38" max="38" width="12.85546875" style="1020" customWidth="1"/>
    <col min="39" max="41" width="13.140625" style="1020" customWidth="1"/>
    <col min="42" max="42" width="11.140625" style="1020" customWidth="1"/>
    <col min="43" max="43" width="14.85546875" style="1020" customWidth="1"/>
    <col min="44" max="44" width="5.85546875" style="1020" customWidth="1"/>
    <col min="45" max="45" width="11.85546875" style="1020" customWidth="1"/>
    <col min="46" max="46" width="12.85546875" style="1020" customWidth="1"/>
    <col min="47" max="47" width="11.85546875" style="1020" customWidth="1"/>
    <col min="48" max="48" width="12.85546875" style="1020" customWidth="1"/>
    <col min="49" max="49" width="12.85546875" style="1039" customWidth="1"/>
    <col min="50" max="50" width="14.5703125" style="1040" customWidth="1"/>
    <col min="51" max="55" width="12.85546875" style="1020" customWidth="1"/>
    <col min="56" max="16384" width="8.85546875" style="1020"/>
  </cols>
  <sheetData>
    <row r="1" spans="1:17" ht="4.5" customHeight="1">
      <c r="B1" s="212"/>
      <c r="C1" s="213" t="e">
        <f>(F15-(F16+#REF!))*12%</f>
        <v>#REF!</v>
      </c>
      <c r="D1" s="186" t="e">
        <f>[1]FORM!#REF!</f>
        <v>#REF!</v>
      </c>
      <c r="E1" s="214"/>
      <c r="F1" s="3"/>
      <c r="G1" s="215"/>
      <c r="H1" s="215"/>
      <c r="J1" s="216">
        <v>0.01</v>
      </c>
      <c r="K1" s="214"/>
      <c r="L1" s="217"/>
      <c r="M1" s="217"/>
      <c r="N1" s="1021"/>
    </row>
    <row r="2" spans="1:17" ht="12.6">
      <c r="B2" s="160" t="s">
        <v>1059</v>
      </c>
      <c r="C2" s="1022">
        <f>'STANDARD COMP.'!C2</f>
        <v>45901</v>
      </c>
      <c r="D2" s="1023"/>
      <c r="F2" s="132" t="s">
        <v>1060</v>
      </c>
      <c r="G2" s="1641" t="s">
        <v>1061</v>
      </c>
      <c r="H2" s="1641"/>
      <c r="I2" s="1641"/>
      <c r="J2" s="142"/>
      <c r="K2" s="132" t="s">
        <v>1059</v>
      </c>
      <c r="L2" s="1022">
        <f>C2</f>
        <v>45901</v>
      </c>
      <c r="M2" s="1024"/>
      <c r="O2" s="175"/>
      <c r="P2" s="160" t="s">
        <v>1062</v>
      </c>
      <c r="Q2" s="1025" t="s">
        <v>1063</v>
      </c>
    </row>
    <row r="3" spans="1:17" ht="12.6">
      <c r="C3" s="3"/>
      <c r="D3" s="3"/>
      <c r="E3" s="142"/>
      <c r="F3" s="142"/>
      <c r="G3" s="142"/>
      <c r="H3" s="142"/>
      <c r="I3" s="142"/>
      <c r="J3" s="142"/>
      <c r="K3" s="222"/>
      <c r="L3" s="223"/>
      <c r="M3" s="224"/>
      <c r="N3" s="1026"/>
      <c r="O3" s="1026"/>
      <c r="P3" s="1026"/>
      <c r="Q3" s="1026"/>
    </row>
    <row r="4" spans="1:17" ht="18.75" customHeight="1">
      <c r="A4" s="1024"/>
      <c r="B4" s="1426" t="s">
        <v>1276</v>
      </c>
      <c r="C4" s="1426"/>
      <c r="D4" s="1426"/>
      <c r="E4" s="1426"/>
      <c r="F4" s="1426"/>
      <c r="G4" s="1426"/>
      <c r="H4" s="1426"/>
      <c r="I4" s="1427"/>
      <c r="J4" s="142"/>
      <c r="K4" s="1428" t="s">
        <v>1065</v>
      </c>
      <c r="L4" s="1428"/>
      <c r="M4" s="1428"/>
      <c r="N4" s="1428"/>
      <c r="O4" s="1428"/>
      <c r="P4" s="1428"/>
      <c r="Q4" s="1428"/>
    </row>
    <row r="5" spans="1:17" ht="12" customHeight="1">
      <c r="A5" s="1024"/>
      <c r="B5" s="1024"/>
      <c r="C5" s="100"/>
      <c r="D5" s="100"/>
      <c r="E5" s="1024"/>
      <c r="F5" s="100"/>
      <c r="G5" s="100"/>
      <c r="H5" s="100"/>
      <c r="I5" s="176"/>
      <c r="J5" s="142"/>
      <c r="K5" s="142"/>
      <c r="L5" s="142"/>
      <c r="M5" s="177"/>
      <c r="N5" s="1024"/>
      <c r="O5" s="1024"/>
      <c r="P5" s="1024"/>
      <c r="Q5" s="1024"/>
    </row>
    <row r="6" spans="1:17" ht="12.6">
      <c r="A6" s="1024"/>
      <c r="B6" s="225" t="s">
        <v>1066</v>
      </c>
      <c r="C6" s="226"/>
      <c r="D6" s="1027" t="s">
        <v>1015</v>
      </c>
      <c r="E6" s="1642" t="str">
        <f>'STANDARD COMP.'!E6:I6</f>
        <v>buyer</v>
      </c>
      <c r="F6" s="1643"/>
      <c r="G6" s="1643"/>
      <c r="H6" s="1643"/>
      <c r="I6" s="1644"/>
      <c r="J6" s="142"/>
      <c r="K6" s="1425" t="s">
        <v>1066</v>
      </c>
      <c r="L6" s="1425"/>
      <c r="M6" s="1027" t="s">
        <v>1015</v>
      </c>
      <c r="N6" s="1645" t="str">
        <f t="shared" ref="N6:N13" si="0">E6</f>
        <v>buyer</v>
      </c>
      <c r="O6" s="1645"/>
      <c r="P6" s="1645"/>
      <c r="Q6" s="1645"/>
    </row>
    <row r="7" spans="1:17" ht="12.95" thickBot="1">
      <c r="A7" s="1024"/>
      <c r="B7" s="144" t="s">
        <v>1014</v>
      </c>
      <c r="C7" s="227"/>
      <c r="D7" s="1027" t="s">
        <v>1015</v>
      </c>
      <c r="E7" s="1646" t="str">
        <f>'STANDARD COMP.'!E7:F7</f>
        <v>The Southprime Flats</v>
      </c>
      <c r="F7" s="1647"/>
      <c r="G7" s="1028" t="str">
        <f>'STANDARD COMP.'!G7</f>
        <v>B3</v>
      </c>
      <c r="H7" s="1028"/>
      <c r="I7" s="1029"/>
      <c r="J7" s="142"/>
      <c r="K7" s="1425" t="s">
        <v>1014</v>
      </c>
      <c r="L7" s="1425"/>
      <c r="M7" s="1030" t="s">
        <v>1015</v>
      </c>
      <c r="N7" s="1645" t="str">
        <f t="shared" si="0"/>
        <v>The Southprime Flats</v>
      </c>
      <c r="O7" s="1645"/>
      <c r="P7" s="1645"/>
      <c r="Q7" s="1645"/>
    </row>
    <row r="8" spans="1:17" ht="12.6">
      <c r="A8" s="1031"/>
      <c r="B8" s="225" t="s">
        <v>1068</v>
      </c>
      <c r="C8" s="226"/>
      <c r="D8" s="1027" t="s">
        <v>1015</v>
      </c>
      <c r="E8" s="1642" t="str">
        <f>'STANDARD COMP.'!E8:I8</f>
        <v>E-11K</v>
      </c>
      <c r="F8" s="1643"/>
      <c r="G8" s="1643"/>
      <c r="H8" s="1643"/>
      <c r="I8" s="1644"/>
      <c r="J8" s="142"/>
      <c r="K8" s="1425" t="s">
        <v>1068</v>
      </c>
      <c r="L8" s="1425"/>
      <c r="M8" s="1027" t="s">
        <v>1015</v>
      </c>
      <c r="N8" s="1645" t="str">
        <f>E8</f>
        <v>E-11K</v>
      </c>
      <c r="O8" s="1645"/>
      <c r="P8" s="1645"/>
      <c r="Q8" s="1645"/>
    </row>
    <row r="9" spans="1:17" ht="12.6" hidden="1">
      <c r="A9" s="1024"/>
      <c r="B9" s="144" t="s">
        <v>1070</v>
      </c>
      <c r="C9" s="227"/>
      <c r="D9" s="1027" t="s">
        <v>1015</v>
      </c>
      <c r="E9" s="1642" t="e">
        <f>[1]FORM!#REF!</f>
        <v>#REF!</v>
      </c>
      <c r="F9" s="1643"/>
      <c r="G9" s="1643"/>
      <c r="H9" s="1643"/>
      <c r="I9" s="1644"/>
      <c r="J9" s="142"/>
      <c r="K9" s="1425" t="s">
        <v>1070</v>
      </c>
      <c r="L9" s="1425"/>
      <c r="M9" s="1027" t="s">
        <v>1015</v>
      </c>
      <c r="N9" s="1645" t="e">
        <f t="shared" si="0"/>
        <v>#REF!</v>
      </c>
      <c r="O9" s="1645"/>
      <c r="P9" s="1645"/>
      <c r="Q9" s="1645"/>
    </row>
    <row r="10" spans="1:17" ht="12.95" thickBot="1">
      <c r="A10" s="1024"/>
      <c r="B10" s="144" t="s">
        <v>1071</v>
      </c>
      <c r="C10" s="227"/>
      <c r="D10" s="1027" t="s">
        <v>1015</v>
      </c>
      <c r="E10" s="1642" t="str">
        <f>'STANDARD COMP.'!E10:I10</f>
        <v>Studio</v>
      </c>
      <c r="F10" s="1643"/>
      <c r="G10" s="1643"/>
      <c r="H10" s="1643"/>
      <c r="I10" s="1644"/>
      <c r="J10" s="142"/>
      <c r="K10" s="1425" t="s">
        <v>1071</v>
      </c>
      <c r="L10" s="1425"/>
      <c r="M10" s="1030" t="s">
        <v>1015</v>
      </c>
      <c r="N10" s="1645" t="str">
        <f t="shared" si="0"/>
        <v>Studio</v>
      </c>
      <c r="O10" s="1645"/>
      <c r="P10" s="1645"/>
      <c r="Q10" s="1645"/>
    </row>
    <row r="11" spans="1:17" ht="12.6">
      <c r="A11" s="1024"/>
      <c r="B11" s="144" t="s">
        <v>1072</v>
      </c>
      <c r="C11" s="227"/>
      <c r="D11" s="1027" t="s">
        <v>1015</v>
      </c>
      <c r="E11" s="1421">
        <f>'STANDARD COMP.'!E11:F11</f>
        <v>22</v>
      </c>
      <c r="F11" s="1422"/>
      <c r="G11" s="1028" t="s">
        <v>1073</v>
      </c>
      <c r="H11" s="1643"/>
      <c r="I11" s="1644"/>
      <c r="J11" s="142"/>
      <c r="K11" s="1425" t="s">
        <v>1072</v>
      </c>
      <c r="L11" s="1425"/>
      <c r="M11" s="1027" t="s">
        <v>1015</v>
      </c>
      <c r="N11" s="1648">
        <f t="shared" si="0"/>
        <v>22</v>
      </c>
      <c r="O11" s="1649"/>
      <c r="P11" s="1650" t="s">
        <v>1073</v>
      </c>
      <c r="Q11" s="1651"/>
    </row>
    <row r="12" spans="1:17" ht="12.6">
      <c r="A12" s="1031"/>
      <c r="B12" s="228" t="s">
        <v>1074</v>
      </c>
      <c r="C12" s="226"/>
      <c r="D12" s="1027" t="s">
        <v>1015</v>
      </c>
      <c r="E12" s="1421"/>
      <c r="F12" s="1422"/>
      <c r="G12" s="1028" t="s">
        <v>1073</v>
      </c>
      <c r="H12" s="1650"/>
      <c r="I12" s="1651"/>
      <c r="J12" s="142"/>
      <c r="K12" s="1425" t="s">
        <v>1074</v>
      </c>
      <c r="L12" s="1425"/>
      <c r="M12" s="1027" t="s">
        <v>1015</v>
      </c>
      <c r="N12" s="1652">
        <f t="shared" si="0"/>
        <v>0</v>
      </c>
      <c r="O12" s="1653"/>
      <c r="P12" s="1650" t="s">
        <v>1073</v>
      </c>
      <c r="Q12" s="1651"/>
    </row>
    <row r="13" spans="1:17" ht="12.6">
      <c r="A13" s="1032"/>
      <c r="B13" s="144" t="s">
        <v>1075</v>
      </c>
      <c r="C13" s="227"/>
      <c r="D13" s="1027" t="s">
        <v>1015</v>
      </c>
      <c r="E13" s="1423">
        <f>'STANDARD COMP.'!E13:F13</f>
        <v>22</v>
      </c>
      <c r="F13" s="1424"/>
      <c r="G13" s="1028" t="s">
        <v>1073</v>
      </c>
      <c r="H13" s="1650"/>
      <c r="I13" s="1651"/>
      <c r="J13" s="142"/>
      <c r="K13" s="1425" t="s">
        <v>1075</v>
      </c>
      <c r="L13" s="1425"/>
      <c r="M13" s="1027" t="s">
        <v>1015</v>
      </c>
      <c r="N13" s="1652">
        <f t="shared" si="0"/>
        <v>22</v>
      </c>
      <c r="O13" s="1653"/>
      <c r="P13" s="1650" t="s">
        <v>1073</v>
      </c>
      <c r="Q13" s="1651"/>
    </row>
    <row r="14" spans="1:17" ht="12.6">
      <c r="A14" s="1024"/>
      <c r="B14" s="1024"/>
      <c r="C14" s="178"/>
      <c r="D14" s="1027"/>
      <c r="E14" s="142"/>
      <c r="F14" s="229"/>
      <c r="G14" s="229"/>
      <c r="H14" s="230"/>
      <c r="I14" s="231"/>
      <c r="J14" s="142"/>
      <c r="K14" s="1024"/>
      <c r="L14" s="1024"/>
      <c r="M14" s="1033"/>
      <c r="N14" s="1024"/>
      <c r="O14" s="1024"/>
      <c r="P14" s="1024"/>
      <c r="Q14" s="1024"/>
    </row>
    <row r="15" spans="1:17" ht="15" customHeight="1">
      <c r="A15" s="1024"/>
      <c r="B15" s="141" t="s">
        <v>1078</v>
      </c>
      <c r="C15" s="141"/>
      <c r="D15" s="232" t="s">
        <v>1015</v>
      </c>
      <c r="E15" s="233"/>
      <c r="F15" s="1395">
        <f>'STANDARD COMP.'!F15:I15</f>
        <v>4123028.1810342241</v>
      </c>
      <c r="G15" s="1395"/>
      <c r="H15" s="1395"/>
      <c r="I15" s="1396"/>
      <c r="J15" s="142"/>
      <c r="K15" s="1402" t="s">
        <v>1079</v>
      </c>
      <c r="L15" s="1402"/>
      <c r="M15" s="1416" t="s">
        <v>989</v>
      </c>
      <c r="N15" s="1402" t="s">
        <v>992</v>
      </c>
      <c r="O15" s="1402"/>
      <c r="P15" s="1417" t="s">
        <v>206</v>
      </c>
      <c r="Q15" s="1418"/>
    </row>
    <row r="16" spans="1:17" ht="12.6">
      <c r="A16" s="1024"/>
      <c r="B16" s="148" t="s">
        <v>1080</v>
      </c>
      <c r="C16" s="227"/>
      <c r="D16" s="1034" t="s">
        <v>1015</v>
      </c>
      <c r="E16" s="234"/>
      <c r="F16" s="1654">
        <f>'STANDARD COMP.'!F16:I16</f>
        <v>0</v>
      </c>
      <c r="G16" s="1654"/>
      <c r="H16" s="1654"/>
      <c r="I16" s="1655"/>
      <c r="J16" s="100"/>
      <c r="K16" s="1402"/>
      <c r="L16" s="1402"/>
      <c r="M16" s="1416"/>
      <c r="N16" s="1402"/>
      <c r="O16" s="1402"/>
      <c r="P16" s="1419"/>
      <c r="Q16" s="1420"/>
    </row>
    <row r="17" spans="1:50" ht="12.6">
      <c r="A17" s="1024"/>
      <c r="B17" s="129" t="s">
        <v>1082</v>
      </c>
      <c r="C17" s="101"/>
      <c r="D17" s="142" t="s">
        <v>1015</v>
      </c>
      <c r="E17" s="233"/>
      <c r="F17" s="1397">
        <f>F15-F16</f>
        <v>4123028.1810342241</v>
      </c>
      <c r="G17" s="1397"/>
      <c r="H17" s="1397"/>
      <c r="I17" s="1398"/>
      <c r="J17" s="100"/>
      <c r="K17" s="1521" t="s">
        <v>1031</v>
      </c>
      <c r="L17" s="1521"/>
      <c r="M17" s="1035">
        <f>C2</f>
        <v>45901</v>
      </c>
      <c r="N17" s="1403">
        <f>F25</f>
        <v>30000</v>
      </c>
      <c r="O17" s="1403"/>
      <c r="P17" s="1656"/>
      <c r="Q17" s="1657"/>
      <c r="W17" s="1037">
        <f>M17</f>
        <v>45901</v>
      </c>
      <c r="X17" s="1037">
        <f>EDATE(W17,E29)</f>
        <v>46784</v>
      </c>
    </row>
    <row r="18" spans="1:50" ht="12.95">
      <c r="A18" s="1024"/>
      <c r="B18" s="147"/>
      <c r="C18" s="178"/>
      <c r="D18" s="1027"/>
      <c r="E18" s="408">
        <f>(F17)*E19</f>
        <v>494763.38172410685</v>
      </c>
      <c r="F18" s="235"/>
      <c r="G18" s="236"/>
      <c r="H18" s="237"/>
      <c r="I18" s="237"/>
      <c r="J18" s="100"/>
      <c r="K18" s="1521" t="str">
        <f t="shared" ref="K18:K63" si="1">IF(N18&gt;1,T18,0)</f>
        <v>1st EQUITY PAYMENT</v>
      </c>
      <c r="L18" s="1521"/>
      <c r="M18" s="1035">
        <f>IF(N18&gt;1,W18,"")</f>
        <v>45935</v>
      </c>
      <c r="N18" s="1403">
        <f>F29</f>
        <v>14995.566462469267</v>
      </c>
      <c r="O18" s="1403"/>
      <c r="P18" s="1656"/>
      <c r="Q18" s="1657"/>
      <c r="T18" s="1405" t="s">
        <v>1084</v>
      </c>
      <c r="U18" s="1405"/>
      <c r="W18" s="1035">
        <f>IF(DAY(W17)=31,Y20,AA20)</f>
        <v>45935</v>
      </c>
      <c r="X18" s="22"/>
      <c r="Y18" s="1441" t="s">
        <v>1085</v>
      </c>
      <c r="Z18" s="1441"/>
      <c r="AA18" s="22"/>
    </row>
    <row r="19" spans="1:50" ht="12.6">
      <c r="A19" s="1031"/>
      <c r="B19" s="148" t="s">
        <v>1087</v>
      </c>
      <c r="C19" s="227"/>
      <c r="D19" s="1034" t="s">
        <v>1015</v>
      </c>
      <c r="E19" s="283">
        <v>0.12</v>
      </c>
      <c r="F19" s="1654">
        <f>'STANDARD COMP.'!F19:I19</f>
        <v>0</v>
      </c>
      <c r="G19" s="1654"/>
      <c r="H19" s="1654"/>
      <c r="I19" s="1655"/>
      <c r="J19" s="100"/>
      <c r="K19" s="1521" t="str">
        <f t="shared" si="1"/>
        <v>2nd EQUITY PAYMENT</v>
      </c>
      <c r="L19" s="1521"/>
      <c r="M19" s="1035">
        <f t="shared" ref="M19:M74" si="2">IF(N19&gt;1,W19,"")</f>
        <v>45966</v>
      </c>
      <c r="N19" s="1403">
        <f>N18</f>
        <v>14995.566462469267</v>
      </c>
      <c r="O19" s="1403"/>
      <c r="P19" s="1656"/>
      <c r="Q19" s="1657"/>
      <c r="T19" s="1405" t="s">
        <v>1088</v>
      </c>
      <c r="U19" s="1405"/>
      <c r="W19" s="1035">
        <f t="shared" ref="W19:W61" si="3">IF(AND(DAY(W18)&gt;=6,DAY(W18)&lt;=20),DATE(YEAR(W18),MONTH(W18)+1,DAY(20)),IF(AND(DAY(W18)&gt;=21,DAY(W18)&lt;=30),DATE(YEAR(W18),MONTH(W18)+1,IF(DAY(EOMONTH(W18,1))&lt;30,DAY(EOMONTH(W18,1)),DAY(30))),DATE(YEAR(W18),MONTH(W18)+1,DAY(5))))</f>
        <v>45966</v>
      </c>
      <c r="X19" s="58" t="s">
        <v>37</v>
      </c>
      <c r="Y19" s="1442" t="b">
        <f>IF(DAY(W17)=31,DATE(YEAR(X17),MONTH(X17)+2,DAY(5)))</f>
        <v>0</v>
      </c>
      <c r="Z19" s="1443"/>
      <c r="AA19" s="306">
        <f>IF(AND(DAY(X17)&gt;=6,DAY(X17)&lt;=20),DATE(YEAR(X17),MONTH(X17)+1,DAY(20)),IF(AND(DAY(X17)&gt;=21,DAY(X17)&lt;=31),DATE(YEAR(X17),MONTH(X17)+1,IF(DAY(EOMONTH(X17,1))&lt;30,DAY(EOMONTH(X17,1)),DAY(30))),DATE(YEAR(X17),MONTH(X17)+1,DAY(5))))</f>
        <v>46817</v>
      </c>
    </row>
    <row r="20" spans="1:50" ht="12.6">
      <c r="A20" s="1032"/>
      <c r="B20" s="238" t="s">
        <v>1090</v>
      </c>
      <c r="C20" s="101"/>
      <c r="D20" s="1027" t="s">
        <v>1015</v>
      </c>
      <c r="E20" s="1041"/>
      <c r="F20" s="1658">
        <f>'STANDARD COMP.'!F20:I20</f>
        <v>525686.0930818636</v>
      </c>
      <c r="G20" s="1659"/>
      <c r="H20" s="1659"/>
      <c r="I20" s="1660"/>
      <c r="J20" s="100"/>
      <c r="K20" s="1521" t="str">
        <f t="shared" si="1"/>
        <v>3rd EQUITY PAYMENT</v>
      </c>
      <c r="L20" s="1521"/>
      <c r="M20" s="1035">
        <f t="shared" si="2"/>
        <v>45996</v>
      </c>
      <c r="N20" s="1403">
        <f t="shared" ref="N20:N28" si="4">N19</f>
        <v>14995.566462469267</v>
      </c>
      <c r="O20" s="1403"/>
      <c r="P20" s="1656"/>
      <c r="Q20" s="1657"/>
      <c r="T20" s="1405" t="s">
        <v>1091</v>
      </c>
      <c r="U20" s="1405"/>
      <c r="W20" s="1035">
        <f t="shared" si="3"/>
        <v>45996</v>
      </c>
      <c r="X20" s="58" t="s">
        <v>1092</v>
      </c>
      <c r="Y20" s="1442" t="b">
        <f>IF(DAY(W17)=31,DATE(YEAR(W17),MONTH(W17)+2,DAY(5)))</f>
        <v>0</v>
      </c>
      <c r="Z20" s="1443"/>
      <c r="AA20" s="306">
        <f>IF(AND(DAY(W17)&gt;=6,DAY(W17)&lt;=20),DATE(YEAR(W17),MONTH(W17)+1,DAY(20)),IF(AND(DAY(W17)&gt;=21,DAY(W17)&lt;=30),DATE(YEAR(W17),MONTH(W17)+1,IF(DAY(EOMONTH(W17,1))&lt;31,DAY(EOMONTH(W17,1)),DAY(30))),DATE(YEAR(W17),MONTH(W17)+1,DAY(5))))</f>
        <v>45935</v>
      </c>
      <c r="AX20" s="1020"/>
    </row>
    <row r="21" spans="1:50" ht="12.6">
      <c r="A21" s="1024"/>
      <c r="B21" s="147"/>
      <c r="C21" s="100"/>
      <c r="D21" s="1027"/>
      <c r="E21" s="142"/>
      <c r="F21" s="235"/>
      <c r="G21" s="235"/>
      <c r="H21" s="235"/>
      <c r="I21" s="235"/>
      <c r="J21" s="100"/>
      <c r="K21" s="1521" t="str">
        <f t="shared" si="1"/>
        <v>4th EQUITY PAYMENT</v>
      </c>
      <c r="L21" s="1521"/>
      <c r="M21" s="1035">
        <f t="shared" si="2"/>
        <v>46027</v>
      </c>
      <c r="N21" s="1403">
        <f t="shared" si="4"/>
        <v>14995.566462469267</v>
      </c>
      <c r="O21" s="1403"/>
      <c r="P21" s="1656"/>
      <c r="Q21" s="1657"/>
      <c r="T21" s="1405" t="s">
        <v>1094</v>
      </c>
      <c r="U21" s="1405"/>
      <c r="W21" s="1035">
        <f t="shared" si="3"/>
        <v>46027</v>
      </c>
      <c r="AX21" s="1020"/>
    </row>
    <row r="22" spans="1:50" ht="12.6">
      <c r="A22" s="1024"/>
      <c r="B22" s="129" t="s">
        <v>1096</v>
      </c>
      <c r="C22" s="101"/>
      <c r="D22" s="142" t="s">
        <v>1015</v>
      </c>
      <c r="E22" s="239"/>
      <c r="F22" s="1399">
        <f>SUM(F19:I20,F17)</f>
        <v>4648714.2741160877</v>
      </c>
      <c r="G22" s="1400"/>
      <c r="H22" s="1400"/>
      <c r="I22" s="1401"/>
      <c r="J22" s="100"/>
      <c r="K22" s="1521" t="str">
        <f t="shared" si="1"/>
        <v>5th EQUITY PAYMENT</v>
      </c>
      <c r="L22" s="1521"/>
      <c r="M22" s="1035">
        <f t="shared" si="2"/>
        <v>46058</v>
      </c>
      <c r="N22" s="1403">
        <f t="shared" si="4"/>
        <v>14995.566462469267</v>
      </c>
      <c r="O22" s="1403"/>
      <c r="P22" s="1656"/>
      <c r="Q22" s="1657"/>
      <c r="T22" s="1405" t="s">
        <v>1097</v>
      </c>
      <c r="U22" s="1405"/>
      <c r="W22" s="1035">
        <f t="shared" si="3"/>
        <v>46058</v>
      </c>
      <c r="AX22" s="1020"/>
    </row>
    <row r="23" spans="1:50" ht="12.6">
      <c r="A23" s="1024"/>
      <c r="B23" s="147"/>
      <c r="C23" s="100"/>
      <c r="D23" s="1027"/>
      <c r="E23" s="142"/>
      <c r="F23" s="235"/>
      <c r="G23" s="240"/>
      <c r="H23" s="240"/>
      <c r="I23" s="240"/>
      <c r="J23" s="100"/>
      <c r="K23" s="1521" t="str">
        <f t="shared" si="1"/>
        <v>6th EQUITY PAYMENT</v>
      </c>
      <c r="L23" s="1521"/>
      <c r="M23" s="1035">
        <f t="shared" si="2"/>
        <v>46086</v>
      </c>
      <c r="N23" s="1403">
        <f t="shared" si="4"/>
        <v>14995.566462469267</v>
      </c>
      <c r="O23" s="1403"/>
      <c r="P23" s="1656"/>
      <c r="Q23" s="1657"/>
      <c r="T23" s="1405" t="s">
        <v>1098</v>
      </c>
      <c r="U23" s="1405"/>
      <c r="W23" s="1035">
        <f t="shared" si="3"/>
        <v>46086</v>
      </c>
      <c r="AX23" s="1020"/>
    </row>
    <row r="24" spans="1:50" ht="12.6">
      <c r="A24" s="1024"/>
      <c r="B24" s="141" t="s">
        <v>1099</v>
      </c>
      <c r="C24" s="226"/>
      <c r="D24" s="232" t="s">
        <v>1015</v>
      </c>
      <c r="E24" s="281">
        <v>0.15</v>
      </c>
      <c r="F24" s="1399">
        <f>F22*E24</f>
        <v>697307.14111741318</v>
      </c>
      <c r="G24" s="1400"/>
      <c r="H24" s="1400"/>
      <c r="I24" s="1401"/>
      <c r="J24" s="100"/>
      <c r="K24" s="1521" t="str">
        <f t="shared" si="1"/>
        <v>7th EQUITY PAYMENT</v>
      </c>
      <c r="L24" s="1521"/>
      <c r="M24" s="1035">
        <f t="shared" si="2"/>
        <v>46117</v>
      </c>
      <c r="N24" s="1403">
        <f t="shared" si="4"/>
        <v>14995.566462469267</v>
      </c>
      <c r="O24" s="1403"/>
      <c r="P24" s="1656"/>
      <c r="Q24" s="1657"/>
      <c r="T24" s="1405" t="s">
        <v>1100</v>
      </c>
      <c r="U24" s="1405"/>
      <c r="W24" s="1035">
        <f t="shared" si="3"/>
        <v>46117</v>
      </c>
      <c r="AX24" s="1020"/>
    </row>
    <row r="25" spans="1:50" ht="12.6">
      <c r="A25" s="1024"/>
      <c r="B25" s="144" t="s">
        <v>1101</v>
      </c>
      <c r="C25" s="227"/>
      <c r="D25" s="1027" t="s">
        <v>1015</v>
      </c>
      <c r="E25" s="1042"/>
      <c r="F25" s="210">
        <f>'STANDARD COMP.'!F25</f>
        <v>30000</v>
      </c>
      <c r="G25" s="1043"/>
      <c r="H25" s="1044"/>
      <c r="I25" s="1045"/>
      <c r="J25" s="100"/>
      <c r="K25" s="1521" t="str">
        <f t="shared" si="1"/>
        <v>8th EQUITY PAYMENT</v>
      </c>
      <c r="L25" s="1521"/>
      <c r="M25" s="1035">
        <f t="shared" si="2"/>
        <v>46147</v>
      </c>
      <c r="N25" s="1403">
        <f t="shared" si="4"/>
        <v>14995.566462469267</v>
      </c>
      <c r="O25" s="1403"/>
      <c r="P25" s="1656"/>
      <c r="Q25" s="1657"/>
      <c r="T25" s="1405" t="s">
        <v>1102</v>
      </c>
      <c r="U25" s="1405"/>
      <c r="W25" s="1035">
        <f t="shared" si="3"/>
        <v>46147</v>
      </c>
      <c r="AX25" s="1020"/>
    </row>
    <row r="26" spans="1:50" ht="12.6">
      <c r="A26" s="1031"/>
      <c r="B26" s="150" t="s">
        <v>1277</v>
      </c>
      <c r="C26" s="1046"/>
      <c r="D26" s="1027"/>
      <c r="E26" s="281">
        <v>0.05</v>
      </c>
      <c r="F26" s="447">
        <f>F22*E26</f>
        <v>232435.7137058044</v>
      </c>
      <c r="G26" s="1047"/>
      <c r="H26" s="1048"/>
      <c r="I26" s="1045"/>
      <c r="J26" s="100"/>
      <c r="K26" s="1521" t="str">
        <f t="shared" si="1"/>
        <v>9th EQUITY PAYMENT</v>
      </c>
      <c r="L26" s="1521"/>
      <c r="M26" s="1035">
        <f t="shared" si="2"/>
        <v>46178</v>
      </c>
      <c r="N26" s="1403">
        <f t="shared" si="4"/>
        <v>14995.566462469267</v>
      </c>
      <c r="O26" s="1403"/>
      <c r="P26" s="1656"/>
      <c r="Q26" s="1657"/>
      <c r="T26" s="1405" t="s">
        <v>1104</v>
      </c>
      <c r="U26" s="1405"/>
      <c r="W26" s="1035">
        <f t="shared" si="3"/>
        <v>46178</v>
      </c>
      <c r="AX26" s="1020"/>
    </row>
    <row r="27" spans="1:50" ht="12.6">
      <c r="A27" s="1024"/>
      <c r="B27" s="1049" t="s">
        <v>1103</v>
      </c>
      <c r="C27" s="149"/>
      <c r="D27" s="142" t="s">
        <v>1015</v>
      </c>
      <c r="E27" s="1042"/>
      <c r="F27" s="1399">
        <f>F24-F25-F26</f>
        <v>434871.42741160875</v>
      </c>
      <c r="G27" s="1400"/>
      <c r="H27" s="1400"/>
      <c r="I27" s="1401"/>
      <c r="J27" s="100"/>
      <c r="K27" s="1521" t="str">
        <f t="shared" si="1"/>
        <v>10th EQUITY PAYMENT</v>
      </c>
      <c r="L27" s="1521"/>
      <c r="M27" s="1035">
        <f t="shared" si="2"/>
        <v>46208</v>
      </c>
      <c r="N27" s="1403">
        <f t="shared" si="4"/>
        <v>14995.566462469267</v>
      </c>
      <c r="O27" s="1403"/>
      <c r="P27" s="1656"/>
      <c r="Q27" s="1657"/>
      <c r="T27" s="1405" t="s">
        <v>1105</v>
      </c>
      <c r="U27" s="1405"/>
      <c r="W27" s="1035">
        <f t="shared" si="3"/>
        <v>46208</v>
      </c>
      <c r="AX27" s="1020"/>
    </row>
    <row r="28" spans="1:50" ht="12.6">
      <c r="A28" s="1024"/>
      <c r="B28" s="147"/>
      <c r="C28" s="1050"/>
      <c r="D28" s="1051"/>
      <c r="E28" s="142"/>
      <c r="F28" s="235"/>
      <c r="G28" s="240"/>
      <c r="H28" s="240"/>
      <c r="I28" s="240"/>
      <c r="J28" s="100"/>
      <c r="K28" s="1521" t="str">
        <f t="shared" si="1"/>
        <v>11th EQUITY PAYMENT</v>
      </c>
      <c r="L28" s="1521"/>
      <c r="M28" s="1035">
        <f t="shared" si="2"/>
        <v>46239</v>
      </c>
      <c r="N28" s="1403">
        <f t="shared" si="4"/>
        <v>14995.566462469267</v>
      </c>
      <c r="O28" s="1403"/>
      <c r="P28" s="1656"/>
      <c r="Q28" s="1657"/>
      <c r="T28" s="1405" t="s">
        <v>1107</v>
      </c>
      <c r="U28" s="1405"/>
      <c r="W28" s="1035">
        <f t="shared" si="3"/>
        <v>46239</v>
      </c>
      <c r="AX28" s="1020"/>
    </row>
    <row r="29" spans="1:50" ht="12.6">
      <c r="A29" s="1052"/>
      <c r="B29" s="1404" t="s">
        <v>1106</v>
      </c>
      <c r="C29" s="1404"/>
      <c r="D29" s="142" t="s">
        <v>1015</v>
      </c>
      <c r="E29" s="1053">
        <f>'STANDARD COMP.'!E28</f>
        <v>29</v>
      </c>
      <c r="F29" s="1661">
        <f>F27/E29</f>
        <v>14995.566462469267</v>
      </c>
      <c r="G29" s="1662"/>
      <c r="H29" s="1662"/>
      <c r="I29" s="1663"/>
      <c r="J29" s="100"/>
      <c r="K29" s="1521" t="s">
        <v>1278</v>
      </c>
      <c r="L29" s="1521"/>
      <c r="M29" s="1035">
        <f t="shared" si="2"/>
        <v>46270</v>
      </c>
      <c r="N29" s="1403">
        <f>N28+F30</f>
        <v>73104.494888920366</v>
      </c>
      <c r="O29" s="1403"/>
      <c r="P29" s="1656"/>
      <c r="Q29" s="1657"/>
      <c r="T29" s="1405" t="s">
        <v>1108</v>
      </c>
      <c r="U29" s="1405"/>
      <c r="W29" s="1035">
        <f t="shared" si="3"/>
        <v>46270</v>
      </c>
      <c r="AX29" s="1020"/>
    </row>
    <row r="30" spans="1:50" ht="12.6">
      <c r="A30" s="1024"/>
      <c r="B30" s="1054" t="s">
        <v>1279</v>
      </c>
      <c r="C30" s="1055"/>
      <c r="D30" s="142"/>
      <c r="E30" s="1056">
        <v>4</v>
      </c>
      <c r="F30" s="1664">
        <f>F26/E30</f>
        <v>58108.928426451101</v>
      </c>
      <c r="G30" s="1664"/>
      <c r="H30" s="1664"/>
      <c r="I30" s="1664"/>
      <c r="J30" s="100"/>
      <c r="K30" s="1521" t="str">
        <f t="shared" ref="K30" si="5">IF(N30&gt;1,T30,0)</f>
        <v>13th EQUITY PAYMENT</v>
      </c>
      <c r="L30" s="1521"/>
      <c r="M30" s="1035">
        <f t="shared" si="2"/>
        <v>46300</v>
      </c>
      <c r="N30" s="1403">
        <f>F29</f>
        <v>14995.566462469267</v>
      </c>
      <c r="O30" s="1403"/>
      <c r="P30" s="1656"/>
      <c r="Q30" s="1657"/>
      <c r="T30" s="1405" t="s">
        <v>1110</v>
      </c>
      <c r="U30" s="1405"/>
      <c r="W30" s="1035">
        <f t="shared" si="3"/>
        <v>46300</v>
      </c>
      <c r="AX30" s="1020"/>
    </row>
    <row r="31" spans="1:50" ht="12.6">
      <c r="A31" s="1024"/>
      <c r="B31" s="1024"/>
      <c r="C31" s="178"/>
      <c r="D31" s="1027"/>
      <c r="E31" s="243"/>
      <c r="F31" s="235"/>
      <c r="G31" s="235"/>
      <c r="H31" s="235"/>
      <c r="I31" s="235"/>
      <c r="J31" s="100"/>
      <c r="K31" s="1521" t="str">
        <f t="shared" ref="K31:K35" si="6">IF(N31&gt;1,T31,0)</f>
        <v>14th EQUITY PAYMENT</v>
      </c>
      <c r="L31" s="1521"/>
      <c r="M31" s="1035">
        <f t="shared" si="2"/>
        <v>46331</v>
      </c>
      <c r="N31" s="1403">
        <f>N30</f>
        <v>14995.566462469267</v>
      </c>
      <c r="O31" s="1403"/>
      <c r="P31" s="1656"/>
      <c r="Q31" s="1657"/>
      <c r="T31" s="1405" t="s">
        <v>1111</v>
      </c>
      <c r="U31" s="1405"/>
      <c r="W31" s="1035">
        <f t="shared" si="3"/>
        <v>46331</v>
      </c>
      <c r="AX31" s="1020"/>
    </row>
    <row r="32" spans="1:50" ht="12.6">
      <c r="A32" s="1024"/>
      <c r="B32" s="129" t="s">
        <v>1109</v>
      </c>
      <c r="C32" s="129"/>
      <c r="D32" s="142" t="s">
        <v>1015</v>
      </c>
      <c r="E32" s="241">
        <f>100%-E24</f>
        <v>0.85</v>
      </c>
      <c r="F32" s="1399">
        <f>F22*E32</f>
        <v>3951407.1329986746</v>
      </c>
      <c r="G32" s="1400"/>
      <c r="H32" s="1400"/>
      <c r="I32" s="1401"/>
      <c r="J32" s="179"/>
      <c r="K32" s="1521" t="str">
        <f t="shared" si="6"/>
        <v>15th EQUITY PAYMENT</v>
      </c>
      <c r="L32" s="1521"/>
      <c r="M32" s="1035">
        <f t="shared" si="2"/>
        <v>46361</v>
      </c>
      <c r="N32" s="1403">
        <f t="shared" ref="N32:N40" si="7">N31</f>
        <v>14995.566462469267</v>
      </c>
      <c r="O32" s="1403"/>
      <c r="P32" s="1656"/>
      <c r="Q32" s="1657"/>
      <c r="T32" s="1405" t="s">
        <v>1113</v>
      </c>
      <c r="U32" s="1405"/>
      <c r="W32" s="1035">
        <f t="shared" si="3"/>
        <v>46361</v>
      </c>
      <c r="AX32" s="1020"/>
    </row>
    <row r="33" spans="1:50" ht="12.6">
      <c r="A33" s="1024"/>
      <c r="B33" s="1024"/>
      <c r="C33" s="178"/>
      <c r="D33" s="243"/>
      <c r="E33" s="243"/>
      <c r="F33" s="243"/>
      <c r="G33" s="244"/>
      <c r="H33" s="244"/>
      <c r="I33" s="244"/>
      <c r="J33" s="142"/>
      <c r="K33" s="1521" t="str">
        <f t="shared" si="6"/>
        <v>16th EQUITY PAYMENT</v>
      </c>
      <c r="L33" s="1521"/>
      <c r="M33" s="1035">
        <f t="shared" si="2"/>
        <v>46392</v>
      </c>
      <c r="N33" s="1403">
        <f t="shared" si="7"/>
        <v>14995.566462469267</v>
      </c>
      <c r="O33" s="1403"/>
      <c r="P33" s="1656"/>
      <c r="Q33" s="1657"/>
      <c r="T33" s="1405" t="s">
        <v>1114</v>
      </c>
      <c r="U33" s="1405"/>
      <c r="W33" s="1035">
        <f t="shared" si="3"/>
        <v>46392</v>
      </c>
      <c r="AX33" s="1020"/>
    </row>
    <row r="34" spans="1:50" ht="12.6">
      <c r="A34" s="1024"/>
      <c r="B34" s="101" t="s">
        <v>1112</v>
      </c>
      <c r="C34" s="238"/>
      <c r="D34" s="245"/>
      <c r="E34" s="1057"/>
      <c r="F34" s="243"/>
      <c r="G34" s="244"/>
      <c r="H34" s="244"/>
      <c r="I34" s="244"/>
      <c r="J34" s="178"/>
      <c r="K34" s="1521" t="str">
        <f t="shared" si="6"/>
        <v>17th EQUITY PAYMENT</v>
      </c>
      <c r="L34" s="1521"/>
      <c r="M34" s="1035">
        <f t="shared" si="2"/>
        <v>46423</v>
      </c>
      <c r="N34" s="1403">
        <f t="shared" si="7"/>
        <v>14995.566462469267</v>
      </c>
      <c r="O34" s="1403"/>
      <c r="P34" s="1656"/>
      <c r="Q34" s="1657"/>
      <c r="T34" s="1405" t="s">
        <v>1117</v>
      </c>
      <c r="U34" s="1405"/>
      <c r="W34" s="1035">
        <f t="shared" si="3"/>
        <v>46423</v>
      </c>
      <c r="AX34" s="1020"/>
    </row>
    <row r="35" spans="1:50" ht="12.6">
      <c r="A35" s="1024"/>
      <c r="B35" s="1024"/>
      <c r="C35" s="178"/>
      <c r="D35" s="178"/>
      <c r="E35" s="1058"/>
      <c r="F35" s="1059"/>
      <c r="G35" s="1059"/>
      <c r="H35" s="1059"/>
      <c r="I35" s="1059"/>
      <c r="J35" s="100"/>
      <c r="K35" s="1521" t="str">
        <f t="shared" si="6"/>
        <v>18th EQUITY PAYMENT</v>
      </c>
      <c r="L35" s="1521"/>
      <c r="M35" s="1035">
        <f t="shared" si="2"/>
        <v>46451</v>
      </c>
      <c r="N35" s="1403">
        <f t="shared" si="7"/>
        <v>14995.566462469267</v>
      </c>
      <c r="O35" s="1403"/>
      <c r="P35" s="1656"/>
      <c r="Q35" s="1657"/>
      <c r="T35" s="1405" t="s">
        <v>1118</v>
      </c>
      <c r="U35" s="1405"/>
      <c r="W35" s="1035">
        <f t="shared" si="3"/>
        <v>46451</v>
      </c>
      <c r="AX35" s="1020"/>
    </row>
    <row r="36" spans="1:50" ht="12.6">
      <c r="A36" s="1024"/>
      <c r="B36" s="208" t="s">
        <v>53</v>
      </c>
      <c r="C36" s="208" t="s">
        <v>54</v>
      </c>
      <c r="D36" s="208" t="s">
        <v>55</v>
      </c>
      <c r="E36" s="208" t="s">
        <v>1115</v>
      </c>
      <c r="F36" s="1402" t="s">
        <v>1116</v>
      </c>
      <c r="G36" s="1402"/>
      <c r="H36" s="1402"/>
      <c r="I36" s="1402"/>
      <c r="J36" s="100"/>
      <c r="K36" s="1521" t="str">
        <f t="shared" ref="K36:K42" si="8">IF(N36&gt;1,T36,0)</f>
        <v>19th EQUITY PAYMENT</v>
      </c>
      <c r="L36" s="1521"/>
      <c r="M36" s="1035">
        <f t="shared" si="2"/>
        <v>46482</v>
      </c>
      <c r="N36" s="1403">
        <f t="shared" si="7"/>
        <v>14995.566462469267</v>
      </c>
      <c r="O36" s="1403"/>
      <c r="P36" s="1656"/>
      <c r="Q36" s="1657"/>
      <c r="T36" s="1405" t="s">
        <v>1119</v>
      </c>
      <c r="U36" s="1405"/>
      <c r="W36" s="1035">
        <f t="shared" si="3"/>
        <v>46482</v>
      </c>
      <c r="AX36" s="1020"/>
    </row>
    <row r="37" spans="1:50" ht="12.6">
      <c r="A37" s="1024"/>
      <c r="B37" s="246">
        <v>5</v>
      </c>
      <c r="C37" s="247">
        <v>7.0000000000000007E-2</v>
      </c>
      <c r="D37" s="248">
        <f>PMT(C37/12,B37*12,-1)</f>
        <v>1.9801198540349535E-2</v>
      </c>
      <c r="E37" s="1060">
        <f>F32*D37</f>
        <v>78242.597154260104</v>
      </c>
      <c r="F37" s="1403">
        <f>E37/0.33</f>
        <v>237098.77925533365</v>
      </c>
      <c r="G37" s="1403"/>
      <c r="H37" s="1403"/>
      <c r="I37" s="1403"/>
      <c r="J37" s="100"/>
      <c r="K37" s="1521" t="str">
        <f t="shared" si="8"/>
        <v>20th EQUITY PAYMENT</v>
      </c>
      <c r="L37" s="1521"/>
      <c r="M37" s="1035">
        <f t="shared" si="2"/>
        <v>46512</v>
      </c>
      <c r="N37" s="1403">
        <f t="shared" si="7"/>
        <v>14995.566462469267</v>
      </c>
      <c r="O37" s="1403"/>
      <c r="P37" s="1656"/>
      <c r="Q37" s="1657"/>
      <c r="T37" s="1405" t="s">
        <v>1120</v>
      </c>
      <c r="U37" s="1405"/>
      <c r="W37" s="1035">
        <f t="shared" si="3"/>
        <v>46512</v>
      </c>
      <c r="AX37" s="1020"/>
    </row>
    <row r="38" spans="1:50" ht="12.6">
      <c r="A38" s="1024"/>
      <c r="B38" s="246">
        <v>10</v>
      </c>
      <c r="C38" s="247">
        <v>7.0000000000000007E-2</v>
      </c>
      <c r="D38" s="248">
        <f>PMT(C38/12,B38*12,-1)</f>
        <v>1.1610847921862406E-2</v>
      </c>
      <c r="E38" s="1060">
        <f>F32*D38</f>
        <v>45879.187298609948</v>
      </c>
      <c r="F38" s="1403">
        <f>E38/0.33</f>
        <v>139027.84029881802</v>
      </c>
      <c r="G38" s="1403"/>
      <c r="H38" s="1403"/>
      <c r="I38" s="1403"/>
      <c r="J38" s="100"/>
      <c r="K38" s="1521" t="str">
        <f t="shared" si="8"/>
        <v>21st EQUITY PAYMENT</v>
      </c>
      <c r="L38" s="1521"/>
      <c r="M38" s="1035">
        <f t="shared" si="2"/>
        <v>46543</v>
      </c>
      <c r="N38" s="1403">
        <f t="shared" si="7"/>
        <v>14995.566462469267</v>
      </c>
      <c r="O38" s="1403"/>
      <c r="P38" s="1656"/>
      <c r="Q38" s="1657"/>
      <c r="T38" s="1405" t="s">
        <v>1121</v>
      </c>
      <c r="U38" s="1405"/>
      <c r="W38" s="1035">
        <f t="shared" si="3"/>
        <v>46543</v>
      </c>
      <c r="AX38" s="1020"/>
    </row>
    <row r="39" spans="1:50" ht="12.6">
      <c r="A39" s="1024"/>
      <c r="B39" s="246">
        <v>15</v>
      </c>
      <c r="C39" s="247">
        <v>7.0000000000000007E-2</v>
      </c>
      <c r="D39" s="248">
        <f>PMT(C39/12,B39*12,-1)</f>
        <v>8.988282708524269E-3</v>
      </c>
      <c r="E39" s="1060">
        <f>F32*D39</f>
        <v>35516.364407871442</v>
      </c>
      <c r="F39" s="1403">
        <f>E39/0.33</f>
        <v>107625.34669051952</v>
      </c>
      <c r="G39" s="1403"/>
      <c r="H39" s="1403"/>
      <c r="I39" s="1403"/>
      <c r="J39" s="100"/>
      <c r="K39" s="1521" t="str">
        <f t="shared" si="8"/>
        <v>22nd EQUITY PAYMENT</v>
      </c>
      <c r="L39" s="1521"/>
      <c r="M39" s="1035">
        <f t="shared" si="2"/>
        <v>46573</v>
      </c>
      <c r="N39" s="1403">
        <f t="shared" si="7"/>
        <v>14995.566462469267</v>
      </c>
      <c r="O39" s="1403"/>
      <c r="P39" s="1656"/>
      <c r="Q39" s="1657"/>
      <c r="T39" s="1405" t="s">
        <v>1123</v>
      </c>
      <c r="U39" s="1405"/>
      <c r="W39" s="1035">
        <f t="shared" si="3"/>
        <v>46573</v>
      </c>
      <c r="AX39" s="1020"/>
    </row>
    <row r="40" spans="1:50" ht="12.6">
      <c r="A40" s="1024"/>
      <c r="B40" s="246">
        <v>20</v>
      </c>
      <c r="C40" s="247">
        <v>7.0000000000000007E-2</v>
      </c>
      <c r="D40" s="248">
        <f>PMT(C40/12,B40*12,-1)</f>
        <v>7.7529893561887461E-3</v>
      </c>
      <c r="E40" s="1060">
        <f>F32*D40</f>
        <v>30635.217444107013</v>
      </c>
      <c r="F40" s="1403">
        <f>E40/0.33</f>
        <v>92833.992254869736</v>
      </c>
      <c r="G40" s="1403"/>
      <c r="H40" s="1403"/>
      <c r="I40" s="1403"/>
      <c r="J40" s="100"/>
      <c r="K40" s="1521" t="str">
        <f t="shared" si="8"/>
        <v>23rd EQUITY PAYMENT</v>
      </c>
      <c r="L40" s="1521"/>
      <c r="M40" s="1035">
        <f t="shared" si="2"/>
        <v>46604</v>
      </c>
      <c r="N40" s="1403">
        <f t="shared" si="7"/>
        <v>14995.566462469267</v>
      </c>
      <c r="O40" s="1403"/>
      <c r="P40" s="1656"/>
      <c r="Q40" s="1657"/>
      <c r="T40" s="1405" t="s">
        <v>1125</v>
      </c>
      <c r="U40" s="1405"/>
      <c r="W40" s="1035">
        <f t="shared" si="3"/>
        <v>46604</v>
      </c>
      <c r="AN40" s="1061">
        <v>3128865.99</v>
      </c>
      <c r="AX40" s="1020"/>
    </row>
    <row r="41" spans="1:50" ht="12.6">
      <c r="A41" s="1024"/>
      <c r="B41" s="1062" t="s">
        <v>1122</v>
      </c>
      <c r="C41" s="172"/>
      <c r="D41" s="173"/>
      <c r="E41" s="1063"/>
      <c r="F41" s="1665"/>
      <c r="G41" s="1665"/>
      <c r="H41" s="1064"/>
      <c r="I41" s="1024"/>
      <c r="J41" s="100"/>
      <c r="K41" s="1521" t="s">
        <v>1280</v>
      </c>
      <c r="L41" s="1521"/>
      <c r="M41" s="1035">
        <f t="shared" si="2"/>
        <v>46635</v>
      </c>
      <c r="N41" s="1403">
        <f>N40+F30</f>
        <v>73104.494888920366</v>
      </c>
      <c r="O41" s="1403"/>
      <c r="P41" s="1656"/>
      <c r="Q41" s="1657"/>
      <c r="T41" s="1405" t="s">
        <v>1127</v>
      </c>
      <c r="U41" s="1405"/>
      <c r="W41" s="1035">
        <f t="shared" si="3"/>
        <v>46635</v>
      </c>
      <c r="AX41" s="1020"/>
    </row>
    <row r="42" spans="1:50" ht="12.6">
      <c r="A42" s="1024"/>
      <c r="B42" s="1062" t="s">
        <v>1124</v>
      </c>
      <c r="C42" s="249"/>
      <c r="D42" s="1027"/>
      <c r="E42" s="1024"/>
      <c r="F42" s="1024"/>
      <c r="G42" s="1024"/>
      <c r="H42" s="1024"/>
      <c r="I42" s="1024"/>
      <c r="J42" s="142"/>
      <c r="K42" s="1521" t="str">
        <f t="shared" si="8"/>
        <v>25th EQUITY PAYMENT</v>
      </c>
      <c r="L42" s="1521"/>
      <c r="M42" s="1035">
        <f t="shared" si="2"/>
        <v>46665</v>
      </c>
      <c r="N42" s="1403">
        <f>F29</f>
        <v>14995.566462469267</v>
      </c>
      <c r="O42" s="1403"/>
      <c r="P42" s="1656"/>
      <c r="Q42" s="1657"/>
      <c r="T42" s="1405" t="s">
        <v>1129</v>
      </c>
      <c r="U42" s="1405"/>
      <c r="W42" s="1035">
        <f t="shared" si="3"/>
        <v>46665</v>
      </c>
      <c r="AX42" s="1020"/>
    </row>
    <row r="43" spans="1:50" ht="12.6">
      <c r="A43" s="1024"/>
      <c r="B43" s="166" t="s">
        <v>1126</v>
      </c>
      <c r="C43" s="1024"/>
      <c r="D43" s="1027"/>
      <c r="E43" s="1024"/>
      <c r="F43" s="1024"/>
      <c r="G43" s="1024"/>
      <c r="H43" s="1024"/>
      <c r="I43" s="1024"/>
      <c r="J43" s="1027"/>
      <c r="K43" s="1521" t="str">
        <f t="shared" ref="K43:K54" si="9">IF(N43&gt;1,T43,0)</f>
        <v>26th EQUITY PAYMENT</v>
      </c>
      <c r="L43" s="1521"/>
      <c r="M43" s="1035">
        <f t="shared" si="2"/>
        <v>46696</v>
      </c>
      <c r="N43" s="1403">
        <f>N42</f>
        <v>14995.566462469267</v>
      </c>
      <c r="O43" s="1403"/>
      <c r="P43" s="1656"/>
      <c r="Q43" s="1657"/>
      <c r="T43" s="1405" t="s">
        <v>1130</v>
      </c>
      <c r="U43" s="1405"/>
      <c r="W43" s="1035">
        <f t="shared" si="3"/>
        <v>46696</v>
      </c>
      <c r="AX43" s="1020"/>
    </row>
    <row r="44" spans="1:50" ht="12.6">
      <c r="A44" s="1024"/>
      <c r="B44" s="166" t="s">
        <v>1128</v>
      </c>
      <c r="C44" s="249"/>
      <c r="D44" s="1027"/>
      <c r="E44" s="1024"/>
      <c r="F44" s="1024"/>
      <c r="G44" s="1024"/>
      <c r="H44" s="1024"/>
      <c r="I44" s="1024"/>
      <c r="J44" s="1027"/>
      <c r="K44" s="1521" t="str">
        <f t="shared" si="9"/>
        <v>27th EQUITY PAYMENT</v>
      </c>
      <c r="L44" s="1521"/>
      <c r="M44" s="1035">
        <f t="shared" si="2"/>
        <v>46726</v>
      </c>
      <c r="N44" s="1403">
        <f t="shared" ref="N44:N52" si="10">N43</f>
        <v>14995.566462469267</v>
      </c>
      <c r="O44" s="1403"/>
      <c r="P44" s="1656"/>
      <c r="Q44" s="1657"/>
      <c r="T44" s="1405" t="s">
        <v>1132</v>
      </c>
      <c r="U44" s="1405"/>
      <c r="W44" s="1035">
        <f t="shared" si="3"/>
        <v>46726</v>
      </c>
      <c r="AX44" s="1020"/>
    </row>
    <row r="45" spans="1:50" ht="12.6">
      <c r="A45" s="1024"/>
      <c r="B45" s="161"/>
      <c r="C45" s="1024"/>
      <c r="D45" s="1024"/>
      <c r="E45" s="1024"/>
      <c r="F45" s="1024"/>
      <c r="G45" s="1024"/>
      <c r="H45" s="1024"/>
      <c r="I45" s="1024"/>
      <c r="J45" s="1027"/>
      <c r="K45" s="1521" t="str">
        <f t="shared" si="9"/>
        <v>28th EQUITY PAYMENT</v>
      </c>
      <c r="L45" s="1521"/>
      <c r="M45" s="1035">
        <f t="shared" si="2"/>
        <v>46757</v>
      </c>
      <c r="N45" s="1403">
        <f t="shared" si="10"/>
        <v>14995.566462469267</v>
      </c>
      <c r="O45" s="1403"/>
      <c r="P45" s="1656"/>
      <c r="Q45" s="1657"/>
      <c r="T45" s="1405" t="s">
        <v>1133</v>
      </c>
      <c r="U45" s="1405"/>
      <c r="W45" s="1035">
        <f t="shared" si="3"/>
        <v>46757</v>
      </c>
      <c r="AX45" s="1020"/>
    </row>
    <row r="46" spans="1:50" ht="12.6">
      <c r="A46" s="1024"/>
      <c r="B46" s="129" t="s">
        <v>1146</v>
      </c>
      <c r="C46" s="129"/>
      <c r="D46" s="178"/>
      <c r="E46" s="178"/>
      <c r="F46" s="178"/>
      <c r="G46" s="178"/>
      <c r="H46" s="178"/>
      <c r="I46" s="178"/>
      <c r="J46" s="1027"/>
      <c r="K46" s="1521" t="str">
        <f t="shared" si="9"/>
        <v>29th EQUITY PAYMENT</v>
      </c>
      <c r="L46" s="1521"/>
      <c r="M46" s="1035">
        <f t="shared" si="2"/>
        <v>46788</v>
      </c>
      <c r="N46" s="1403">
        <f t="shared" si="10"/>
        <v>14995.566462469267</v>
      </c>
      <c r="O46" s="1403"/>
      <c r="P46" s="1666"/>
      <c r="Q46" s="1657"/>
      <c r="T46" s="1405" t="s">
        <v>1135</v>
      </c>
      <c r="U46" s="1405"/>
      <c r="W46" s="1035">
        <f t="shared" si="3"/>
        <v>46788</v>
      </c>
      <c r="AJ46" s="1020"/>
      <c r="AW46" s="1020"/>
      <c r="AX46" s="1020"/>
    </row>
    <row r="47" spans="1:50" ht="12.6">
      <c r="A47" s="1024"/>
      <c r="B47" s="178"/>
      <c r="C47" s="178"/>
      <c r="D47" s="178"/>
      <c r="E47" s="178"/>
      <c r="F47" s="178"/>
      <c r="G47" s="178"/>
      <c r="H47" s="178"/>
      <c r="I47" s="178"/>
      <c r="J47" s="142"/>
      <c r="K47" s="1521" t="str">
        <f t="shared" si="9"/>
        <v>30th EQUITY PAYMENT</v>
      </c>
      <c r="L47" s="1521"/>
      <c r="M47" s="1035">
        <f t="shared" si="2"/>
        <v>46817</v>
      </c>
      <c r="N47" s="1403">
        <f t="shared" si="10"/>
        <v>14995.566462469267</v>
      </c>
      <c r="O47" s="1403"/>
      <c r="P47" s="1666"/>
      <c r="Q47" s="1657"/>
      <c r="T47" s="1405" t="s">
        <v>1136</v>
      </c>
      <c r="U47" s="1405"/>
      <c r="W47" s="1035">
        <f t="shared" si="3"/>
        <v>46817</v>
      </c>
      <c r="AJ47" s="1020"/>
      <c r="AW47" s="1020"/>
      <c r="AX47" s="1020"/>
    </row>
    <row r="48" spans="1:50" ht="15" customHeight="1">
      <c r="A48" s="1024"/>
      <c r="B48" s="1667" t="s">
        <v>1149</v>
      </c>
      <c r="C48" s="1668"/>
      <c r="D48" s="1402" t="s">
        <v>991</v>
      </c>
      <c r="E48" s="1402"/>
      <c r="F48" s="1402"/>
      <c r="G48" s="1402" t="s">
        <v>1150</v>
      </c>
      <c r="H48" s="1402"/>
      <c r="I48" s="1402"/>
      <c r="J48" s="142"/>
      <c r="K48" s="1521" t="str">
        <f t="shared" si="9"/>
        <v>31st EQUITY PAYMENT</v>
      </c>
      <c r="L48" s="1521"/>
      <c r="M48" s="1035">
        <f t="shared" si="2"/>
        <v>46848</v>
      </c>
      <c r="N48" s="1403">
        <f t="shared" si="10"/>
        <v>14995.566462469267</v>
      </c>
      <c r="O48" s="1403"/>
      <c r="P48" s="1669"/>
      <c r="Q48" s="1657"/>
      <c r="T48" s="1415" t="s">
        <v>1137</v>
      </c>
      <c r="U48" s="1415"/>
      <c r="W48" s="1035">
        <f t="shared" si="3"/>
        <v>46848</v>
      </c>
      <c r="AJ48" s="1020"/>
      <c r="AW48" s="1020"/>
      <c r="AX48" s="1020"/>
    </row>
    <row r="49" spans="1:50" ht="12.6">
      <c r="A49" s="1024"/>
      <c r="B49" s="1429">
        <f>[1]FORM!O19</f>
        <v>0</v>
      </c>
      <c r="C49" s="1430"/>
      <c r="D49" s="1429">
        <f>[1]FORM!S19</f>
        <v>0</v>
      </c>
      <c r="E49" s="1433"/>
      <c r="F49" s="1430"/>
      <c r="G49" s="1435">
        <f>[1]FORM!V19</f>
        <v>0</v>
      </c>
      <c r="H49" s="1436"/>
      <c r="I49" s="1437"/>
      <c r="J49" s="1059"/>
      <c r="K49" s="1521" t="str">
        <f t="shared" si="9"/>
        <v>32nd EQUITY PAYMENT</v>
      </c>
      <c r="L49" s="1521"/>
      <c r="M49" s="1035">
        <f t="shared" si="2"/>
        <v>46878</v>
      </c>
      <c r="N49" s="1403">
        <f t="shared" si="10"/>
        <v>14995.566462469267</v>
      </c>
      <c r="O49" s="1403"/>
      <c r="P49" s="1666"/>
      <c r="Q49" s="1657"/>
      <c r="T49" s="1415" t="s">
        <v>1138</v>
      </c>
      <c r="U49" s="1415"/>
      <c r="W49" s="1035">
        <f t="shared" si="3"/>
        <v>46878</v>
      </c>
      <c r="AJ49" s="1020"/>
      <c r="AW49" s="1020"/>
      <c r="AX49" s="1020"/>
    </row>
    <row r="50" spans="1:50" ht="15" customHeight="1">
      <c r="A50" s="1024"/>
      <c r="B50" s="1431"/>
      <c r="C50" s="1432"/>
      <c r="D50" s="1431"/>
      <c r="E50" s="1434"/>
      <c r="F50" s="1432"/>
      <c r="G50" s="1438"/>
      <c r="H50" s="1439"/>
      <c r="I50" s="1440"/>
      <c r="J50" s="1059"/>
      <c r="K50" s="1521" t="str">
        <f t="shared" si="9"/>
        <v>33rd EQUITY PAYMENT</v>
      </c>
      <c r="L50" s="1521"/>
      <c r="M50" s="1035">
        <f t="shared" si="2"/>
        <v>46909</v>
      </c>
      <c r="N50" s="1403">
        <f t="shared" si="10"/>
        <v>14995.566462469267</v>
      </c>
      <c r="O50" s="1403"/>
      <c r="P50" s="1666"/>
      <c r="Q50" s="1657"/>
      <c r="T50" s="1405" t="s">
        <v>1139</v>
      </c>
      <c r="U50" s="1405"/>
      <c r="W50" s="1035">
        <f t="shared" si="3"/>
        <v>46909</v>
      </c>
      <c r="AJ50" s="1020"/>
      <c r="AW50" s="1020"/>
      <c r="AX50" s="1020"/>
    </row>
    <row r="51" spans="1:50" ht="12.6">
      <c r="A51" s="1024"/>
      <c r="B51" s="1429">
        <f>[1]FORM!O21</f>
        <v>0</v>
      </c>
      <c r="C51" s="1430"/>
      <c r="D51" s="1429">
        <f>[1]FORM!S21</f>
        <v>0</v>
      </c>
      <c r="E51" s="1433"/>
      <c r="F51" s="1430"/>
      <c r="G51" s="1435">
        <f>[1]FORM!V21</f>
        <v>0</v>
      </c>
      <c r="H51" s="1436"/>
      <c r="I51" s="1437"/>
      <c r="J51" s="1059"/>
      <c r="K51" s="1521" t="str">
        <f t="shared" si="9"/>
        <v>34th EQUITY PAYMENT</v>
      </c>
      <c r="L51" s="1521"/>
      <c r="M51" s="1035">
        <f t="shared" si="2"/>
        <v>46939</v>
      </c>
      <c r="N51" s="1403">
        <f t="shared" si="10"/>
        <v>14995.566462469267</v>
      </c>
      <c r="O51" s="1403"/>
      <c r="P51" s="1666"/>
      <c r="Q51" s="1657"/>
      <c r="T51" s="1405" t="s">
        <v>1140</v>
      </c>
      <c r="U51" s="1405"/>
      <c r="W51" s="1035">
        <f t="shared" si="3"/>
        <v>46939</v>
      </c>
      <c r="AJ51" s="1020"/>
      <c r="AW51" s="1020"/>
      <c r="AX51" s="1020"/>
    </row>
    <row r="52" spans="1:50" ht="15" customHeight="1">
      <c r="A52" s="1024"/>
      <c r="B52" s="1431"/>
      <c r="C52" s="1432"/>
      <c r="D52" s="1431"/>
      <c r="E52" s="1434"/>
      <c r="F52" s="1432"/>
      <c r="G52" s="1438"/>
      <c r="H52" s="1439"/>
      <c r="I52" s="1440"/>
      <c r="J52" s="1024"/>
      <c r="K52" s="1521" t="str">
        <f t="shared" si="9"/>
        <v>35th EQUITY PAYMENT</v>
      </c>
      <c r="L52" s="1521"/>
      <c r="M52" s="1035">
        <f t="shared" si="2"/>
        <v>46970</v>
      </c>
      <c r="N52" s="1403">
        <f t="shared" si="10"/>
        <v>14995.566462469267</v>
      </c>
      <c r="O52" s="1403"/>
      <c r="P52" s="1666"/>
      <c r="Q52" s="1657"/>
      <c r="T52" s="1405" t="s">
        <v>1141</v>
      </c>
      <c r="U52" s="1405"/>
      <c r="W52" s="1035">
        <f t="shared" si="3"/>
        <v>46970</v>
      </c>
      <c r="AJ52" s="1020"/>
      <c r="AW52" s="1020"/>
      <c r="AX52" s="1020"/>
    </row>
    <row r="53" spans="1:50" ht="12.6">
      <c r="A53" s="1024"/>
      <c r="B53" s="1429">
        <f>[1]FORM!O25</f>
        <v>0</v>
      </c>
      <c r="C53" s="1430"/>
      <c r="D53" s="1429">
        <f>[1]FORM!S25</f>
        <v>0</v>
      </c>
      <c r="E53" s="1433"/>
      <c r="F53" s="1430"/>
      <c r="G53" s="1435">
        <f>[1]FORM!V25</f>
        <v>0</v>
      </c>
      <c r="H53" s="1436"/>
      <c r="I53" s="1437"/>
      <c r="J53" s="1024"/>
      <c r="K53" s="1521" t="s">
        <v>1281</v>
      </c>
      <c r="L53" s="1521"/>
      <c r="M53" s="1035">
        <f t="shared" si="2"/>
        <v>47001</v>
      </c>
      <c r="N53" s="1403">
        <f>N52+F30</f>
        <v>73104.494888920366</v>
      </c>
      <c r="O53" s="1403"/>
      <c r="P53" s="1666"/>
      <c r="Q53" s="1657"/>
      <c r="T53" s="1405" t="s">
        <v>1143</v>
      </c>
      <c r="U53" s="1405"/>
      <c r="W53" s="1035">
        <f t="shared" si="3"/>
        <v>47001</v>
      </c>
      <c r="AJ53" s="1020"/>
      <c r="AW53" s="1020"/>
      <c r="AX53" s="1020"/>
    </row>
    <row r="54" spans="1:50" ht="15" customHeight="1">
      <c r="A54" s="1024"/>
      <c r="B54" s="1431"/>
      <c r="C54" s="1432"/>
      <c r="D54" s="1431"/>
      <c r="E54" s="1434"/>
      <c r="F54" s="1432"/>
      <c r="G54" s="1438"/>
      <c r="H54" s="1439"/>
      <c r="I54" s="1440"/>
      <c r="J54" s="1024"/>
      <c r="K54" s="1521" t="str">
        <f t="shared" si="9"/>
        <v>37th EQUITY PAYMENT</v>
      </c>
      <c r="L54" s="1521"/>
      <c r="M54" s="1035">
        <f t="shared" si="2"/>
        <v>47031</v>
      </c>
      <c r="N54" s="1403">
        <f>F29</f>
        <v>14995.566462469267</v>
      </c>
      <c r="O54" s="1403"/>
      <c r="P54" s="1666"/>
      <c r="Q54" s="1657"/>
      <c r="T54" s="1405" t="s">
        <v>1144</v>
      </c>
      <c r="U54" s="1405"/>
      <c r="W54" s="1035">
        <f>IF(AND(DAY(W53)&gt;=6,DAY(W53)&lt;=20),DATE(YEAR(W53),MONTH(W53)+1,DAY(20)),IF(AND(DAY(W53)&gt;=21,DAY(W53)&lt;=30),DATE(YEAR(W53),MONTH(W53)+1,IF(DAY(EOMONTH(W53,1))&lt;30,DAY(EOMONTH(W53,1)),DAY(30))),DATE(YEAR(W53),MONTH(W53)+1,DAY(5))))</f>
        <v>47031</v>
      </c>
      <c r="AJ54" s="1020"/>
      <c r="AW54" s="1020"/>
      <c r="AX54" s="1020"/>
    </row>
    <row r="55" spans="1:50" ht="12.6">
      <c r="A55" s="1024"/>
      <c r="B55" s="1429">
        <f>[1]FORM!O27</f>
        <v>0</v>
      </c>
      <c r="C55" s="1430"/>
      <c r="D55" s="1429">
        <f>[1]FORM!S27</f>
        <v>0</v>
      </c>
      <c r="E55" s="1433"/>
      <c r="F55" s="1430"/>
      <c r="G55" s="1435">
        <f>[1]FORM!V27</f>
        <v>0</v>
      </c>
      <c r="H55" s="1436"/>
      <c r="I55" s="1437"/>
      <c r="J55" s="1024"/>
      <c r="K55" s="1521" t="str">
        <f t="shared" ref="K55:K61" si="11">IF(N55&gt;1,T55,0)</f>
        <v>38th EQUITY PAYMENT</v>
      </c>
      <c r="L55" s="1521"/>
      <c r="M55" s="1035">
        <f t="shared" si="2"/>
        <v>47062</v>
      </c>
      <c r="N55" s="1403">
        <f>N54</f>
        <v>14995.566462469267</v>
      </c>
      <c r="O55" s="1403"/>
      <c r="P55" s="1666"/>
      <c r="Q55" s="1657"/>
      <c r="T55" s="1405" t="s">
        <v>1145</v>
      </c>
      <c r="U55" s="1405"/>
      <c r="W55" s="1035">
        <f t="shared" si="3"/>
        <v>47062</v>
      </c>
      <c r="AJ55" s="1020"/>
      <c r="AW55" s="1020"/>
      <c r="AX55" s="1020"/>
    </row>
    <row r="56" spans="1:50" ht="15" customHeight="1">
      <c r="A56" s="1024"/>
      <c r="B56" s="1431"/>
      <c r="C56" s="1432"/>
      <c r="D56" s="1431"/>
      <c r="E56" s="1434"/>
      <c r="F56" s="1432"/>
      <c r="G56" s="1438"/>
      <c r="H56" s="1439"/>
      <c r="I56" s="1440"/>
      <c r="J56" s="1024"/>
      <c r="K56" s="1521" t="str">
        <f t="shared" si="11"/>
        <v>39th EQUITY PAYMENT</v>
      </c>
      <c r="L56" s="1521"/>
      <c r="M56" s="1035">
        <f t="shared" si="2"/>
        <v>47092</v>
      </c>
      <c r="N56" s="1403">
        <f t="shared" ref="N56:N64" si="12">N55</f>
        <v>14995.566462469267</v>
      </c>
      <c r="O56" s="1403"/>
      <c r="P56" s="1666"/>
      <c r="Q56" s="1657"/>
      <c r="T56" s="1405" t="s">
        <v>1147</v>
      </c>
      <c r="U56" s="1405"/>
      <c r="W56" s="1035">
        <f t="shared" si="3"/>
        <v>47092</v>
      </c>
      <c r="AJ56" s="1020"/>
      <c r="AW56" s="1020"/>
      <c r="AX56" s="1020"/>
    </row>
    <row r="57" spans="1:50" ht="12.6">
      <c r="A57" s="1024"/>
      <c r="B57" s="1429">
        <f>[1]FORM!O31</f>
        <v>0</v>
      </c>
      <c r="C57" s="1430"/>
      <c r="D57" s="1429">
        <f>[1]FORM!S31</f>
        <v>0</v>
      </c>
      <c r="E57" s="1433"/>
      <c r="F57" s="1430"/>
      <c r="G57" s="1435">
        <f>[1]FORM!V31</f>
        <v>0</v>
      </c>
      <c r="H57" s="1436"/>
      <c r="I57" s="1437"/>
      <c r="J57" s="1059"/>
      <c r="K57" s="1521" t="str">
        <f t="shared" si="11"/>
        <v>40th EQUITY PAYMENT</v>
      </c>
      <c r="L57" s="1521"/>
      <c r="M57" s="1035">
        <f t="shared" si="2"/>
        <v>47123</v>
      </c>
      <c r="N57" s="1403">
        <f t="shared" si="12"/>
        <v>14995.566462469267</v>
      </c>
      <c r="O57" s="1403"/>
      <c r="P57" s="1666"/>
      <c r="Q57" s="1657"/>
      <c r="T57" s="1405" t="s">
        <v>1148</v>
      </c>
      <c r="U57" s="1405"/>
      <c r="W57" s="1035">
        <f t="shared" si="3"/>
        <v>47123</v>
      </c>
      <c r="AJ57" s="1020"/>
      <c r="AW57" s="1020"/>
      <c r="AX57" s="1020"/>
    </row>
    <row r="58" spans="1:50" ht="12.75" customHeight="1">
      <c r="A58" s="1024"/>
      <c r="B58" s="1431"/>
      <c r="C58" s="1432"/>
      <c r="D58" s="1431"/>
      <c r="E58" s="1434"/>
      <c r="F58" s="1432"/>
      <c r="G58" s="1438"/>
      <c r="H58" s="1439"/>
      <c r="I58" s="1440"/>
      <c r="J58" s="1059"/>
      <c r="K58" s="1521" t="str">
        <f t="shared" si="11"/>
        <v>41st EQUITY PAYMENT</v>
      </c>
      <c r="L58" s="1521"/>
      <c r="M58" s="1035">
        <f t="shared" si="2"/>
        <v>47154</v>
      </c>
      <c r="N58" s="1403">
        <f t="shared" si="12"/>
        <v>14995.566462469267</v>
      </c>
      <c r="O58" s="1403"/>
      <c r="P58" s="1666"/>
      <c r="Q58" s="1657"/>
      <c r="T58" s="1405" t="s">
        <v>1151</v>
      </c>
      <c r="U58" s="1405"/>
      <c r="W58" s="1035">
        <f t="shared" si="3"/>
        <v>47154</v>
      </c>
      <c r="AJ58" s="1020"/>
      <c r="AW58" s="1020"/>
      <c r="AX58" s="1020"/>
    </row>
    <row r="59" spans="1:50" ht="12.6">
      <c r="A59" s="1024"/>
      <c r="B59" s="1429">
        <f>[1]FORM!O33</f>
        <v>0</v>
      </c>
      <c r="C59" s="1430"/>
      <c r="D59" s="1429">
        <f>[1]FORM!S33</f>
        <v>0</v>
      </c>
      <c r="E59" s="1433"/>
      <c r="F59" s="1430"/>
      <c r="G59" s="1435">
        <f>[1]FORM!V33</f>
        <v>0</v>
      </c>
      <c r="H59" s="1436"/>
      <c r="I59" s="1437"/>
      <c r="J59" s="1059"/>
      <c r="K59" s="1521" t="str">
        <f t="shared" si="11"/>
        <v>42nd EQUITY PAYMENT</v>
      </c>
      <c r="L59" s="1521"/>
      <c r="M59" s="1035">
        <f t="shared" si="2"/>
        <v>47182</v>
      </c>
      <c r="N59" s="1403">
        <f t="shared" si="12"/>
        <v>14995.566462469267</v>
      </c>
      <c r="O59" s="1403"/>
      <c r="P59" s="1666"/>
      <c r="Q59" s="1657"/>
      <c r="T59" s="1405" t="s">
        <v>1152</v>
      </c>
      <c r="U59" s="1405"/>
      <c r="W59" s="1035">
        <f t="shared" si="3"/>
        <v>47182</v>
      </c>
      <c r="AJ59" s="1020"/>
      <c r="AW59" s="1020"/>
      <c r="AX59" s="1020"/>
    </row>
    <row r="60" spans="1:50" ht="12.6">
      <c r="A60" s="1024"/>
      <c r="B60" s="1431"/>
      <c r="C60" s="1432"/>
      <c r="D60" s="1431"/>
      <c r="E60" s="1434"/>
      <c r="F60" s="1432"/>
      <c r="G60" s="1438"/>
      <c r="H60" s="1439"/>
      <c r="I60" s="1440"/>
      <c r="J60" s="1059"/>
      <c r="K60" s="1521" t="str">
        <f t="shared" si="11"/>
        <v>43rd EQUITY PAYMENT</v>
      </c>
      <c r="L60" s="1521"/>
      <c r="M60" s="1035">
        <f t="shared" si="2"/>
        <v>47213</v>
      </c>
      <c r="N60" s="1403">
        <f t="shared" si="12"/>
        <v>14995.566462469267</v>
      </c>
      <c r="O60" s="1403"/>
      <c r="P60" s="1666"/>
      <c r="Q60" s="1657"/>
      <c r="T60" s="1405" t="s">
        <v>1153</v>
      </c>
      <c r="U60" s="1405"/>
      <c r="W60" s="1035">
        <f t="shared" si="3"/>
        <v>47213</v>
      </c>
      <c r="AJ60" s="1020"/>
      <c r="AW60" s="1020"/>
      <c r="AX60" s="1020"/>
    </row>
    <row r="61" spans="1:50" ht="12.6">
      <c r="A61" s="1024"/>
      <c r="B61" s="161"/>
      <c r="C61" s="1024"/>
      <c r="D61" s="1024" t="s">
        <v>60</v>
      </c>
      <c r="E61" s="1024"/>
      <c r="F61" s="1024"/>
      <c r="G61" s="1024"/>
      <c r="H61" s="1024"/>
      <c r="I61" s="1024"/>
      <c r="J61" s="1059"/>
      <c r="K61" s="1521" t="str">
        <f t="shared" si="11"/>
        <v>44th EQUITY PAYMENT</v>
      </c>
      <c r="L61" s="1521"/>
      <c r="M61" s="1035">
        <f t="shared" si="2"/>
        <v>47243</v>
      </c>
      <c r="N61" s="1403">
        <f t="shared" si="12"/>
        <v>14995.566462469267</v>
      </c>
      <c r="O61" s="1403"/>
      <c r="P61" s="1666"/>
      <c r="Q61" s="1657"/>
      <c r="T61" s="1405" t="s">
        <v>1154</v>
      </c>
      <c r="U61" s="1405"/>
      <c r="W61" s="1035">
        <f t="shared" si="3"/>
        <v>47243</v>
      </c>
      <c r="AJ61" s="1020"/>
      <c r="AW61" s="1020"/>
      <c r="AX61" s="1020"/>
    </row>
    <row r="62" spans="1:50" ht="12.6">
      <c r="A62" s="1024"/>
      <c r="C62" s="250" t="s">
        <v>1165</v>
      </c>
      <c r="D62" s="1670"/>
      <c r="E62" s="1670"/>
      <c r="F62" s="1670"/>
      <c r="G62" s="1024"/>
      <c r="H62" s="1024"/>
      <c r="I62" s="1024"/>
      <c r="J62" s="1059"/>
      <c r="K62" s="1521" t="str">
        <f t="shared" si="1"/>
        <v>45th EQUITY PAYMENT</v>
      </c>
      <c r="L62" s="1521"/>
      <c r="M62" s="1035">
        <f t="shared" si="2"/>
        <v>47274</v>
      </c>
      <c r="N62" s="1403">
        <f t="shared" si="12"/>
        <v>14995.566462469267</v>
      </c>
      <c r="O62" s="1403"/>
      <c r="P62" s="1666"/>
      <c r="Q62" s="1657"/>
      <c r="T62" s="1405" t="s">
        <v>1155</v>
      </c>
      <c r="U62" s="1405"/>
      <c r="W62" s="1035">
        <f>IF(AND(DAY(W61)&gt;=6,DAY(W61)&lt;=20),DATE(YEAR(W61),MONTH(W61)+1,DAY(20)),IF(AND(DAY(W61)&gt;=21,DAY(W61)&lt;=30),DATE(YEAR(W61),MONTH(W61)+1,IF(DAY(EOMONTH(W61,1))&lt;30,DAY(EOMONTH(W61,1)),DAY(30))),DATE(YEAR(W61),MONTH(W61)+1,DAY(5))))</f>
        <v>47274</v>
      </c>
      <c r="AJ62" s="1020"/>
      <c r="AW62" s="1020"/>
      <c r="AX62" s="1020"/>
    </row>
    <row r="63" spans="1:50" ht="12.6">
      <c r="A63" s="1024"/>
      <c r="B63" s="250"/>
      <c r="C63" s="1024"/>
      <c r="D63" s="1065"/>
      <c r="E63" s="1065"/>
      <c r="F63" s="1024"/>
      <c r="G63" s="1024"/>
      <c r="H63" s="1024"/>
      <c r="I63" s="1024"/>
      <c r="J63" s="1059"/>
      <c r="K63" s="1666" t="str">
        <f t="shared" si="1"/>
        <v>46th EQUITY PAYMENT</v>
      </c>
      <c r="L63" s="1657"/>
      <c r="M63" s="1035">
        <f t="shared" si="2"/>
        <v>47304</v>
      </c>
      <c r="N63" s="1403">
        <f t="shared" si="12"/>
        <v>14995.566462469267</v>
      </c>
      <c r="O63" s="1403"/>
      <c r="P63" s="1666"/>
      <c r="Q63" s="1657"/>
      <c r="T63" s="1405" t="s">
        <v>1156</v>
      </c>
      <c r="U63" s="1405"/>
      <c r="W63" s="1035">
        <f t="shared" ref="W63:W72" si="13">IF(AND(DAY(W62)&gt;=6,DAY(W62)&lt;=20),DATE(YEAR(W62),MONTH(W62)+1,DAY(20)),IF(AND(DAY(W62)&gt;=21,DAY(W62)&lt;=30),DATE(YEAR(W62),MONTH(W62)+1,IF(DAY(EOMONTH(W62,1))&lt;30,DAY(EOMONTH(W62,1)),DAY(30))),DATE(YEAR(W62),MONTH(W62)+1,DAY(5))))</f>
        <v>47304</v>
      </c>
      <c r="AJ63" s="1020"/>
      <c r="AW63" s="1020"/>
      <c r="AX63" s="1020"/>
    </row>
    <row r="64" spans="1:50" ht="12.6">
      <c r="A64" s="1024"/>
      <c r="B64" s="250"/>
      <c r="C64" s="1024"/>
      <c r="D64" s="1065"/>
      <c r="E64" s="1065"/>
      <c r="F64" s="1024"/>
      <c r="G64" s="1024"/>
      <c r="H64" s="1024"/>
      <c r="I64" s="1024"/>
      <c r="J64" s="1059"/>
      <c r="K64" s="1666" t="str">
        <f t="shared" ref="K64:K74" si="14">IF(N64&gt;1,T64,0)</f>
        <v>47th EQUITY PAYMENT</v>
      </c>
      <c r="L64" s="1657"/>
      <c r="M64" s="1035">
        <f t="shared" si="2"/>
        <v>47335</v>
      </c>
      <c r="N64" s="1403">
        <f t="shared" si="12"/>
        <v>14995.566462469267</v>
      </c>
      <c r="O64" s="1403"/>
      <c r="P64" s="1666"/>
      <c r="Q64" s="1657"/>
      <c r="T64" s="1405" t="s">
        <v>1157</v>
      </c>
      <c r="U64" s="1405"/>
      <c r="W64" s="1035">
        <f t="shared" si="13"/>
        <v>47335</v>
      </c>
      <c r="AJ64" s="1020"/>
      <c r="AW64" s="1020"/>
      <c r="AX64" s="1020"/>
    </row>
    <row r="65" spans="1:50" ht="12.6">
      <c r="A65" s="1024"/>
      <c r="B65" s="250"/>
      <c r="C65" s="1024"/>
      <c r="D65" s="1065"/>
      <c r="E65" s="1065"/>
      <c r="F65" s="1024"/>
      <c r="G65" s="1024"/>
      <c r="H65" s="1024"/>
      <c r="I65" s="1024"/>
      <c r="J65" s="1059"/>
      <c r="K65" s="1666" t="s">
        <v>1282</v>
      </c>
      <c r="L65" s="1657"/>
      <c r="M65" s="1035">
        <f t="shared" si="2"/>
        <v>47366</v>
      </c>
      <c r="N65" s="1403">
        <f>F29+F30</f>
        <v>73104.494888920366</v>
      </c>
      <c r="O65" s="1403"/>
      <c r="P65" s="1666"/>
      <c r="Q65" s="1657"/>
      <c r="T65" s="1405" t="s">
        <v>1158</v>
      </c>
      <c r="U65" s="1405"/>
      <c r="W65" s="1035">
        <f t="shared" si="13"/>
        <v>47366</v>
      </c>
      <c r="AJ65" s="1020"/>
      <c r="AW65" s="1020"/>
      <c r="AX65" s="1020"/>
    </row>
    <row r="66" spans="1:50" ht="12.6">
      <c r="A66" s="1024"/>
      <c r="B66" s="250"/>
      <c r="C66" s="1024"/>
      <c r="D66" s="1065"/>
      <c r="E66" s="1065"/>
      <c r="F66" s="1024"/>
      <c r="G66" s="1024"/>
      <c r="H66" s="1024"/>
      <c r="I66" s="1024"/>
      <c r="J66" s="1059"/>
      <c r="K66" s="1666">
        <f t="shared" si="14"/>
        <v>0</v>
      </c>
      <c r="L66" s="1657"/>
      <c r="M66" s="1035" t="str">
        <f t="shared" si="2"/>
        <v/>
      </c>
      <c r="N66" s="1403"/>
      <c r="O66" s="1403"/>
      <c r="P66" s="1090"/>
      <c r="Q66" s="1091"/>
      <c r="T66" s="1405" t="s">
        <v>1159</v>
      </c>
      <c r="U66" s="1405"/>
      <c r="W66" s="1035">
        <f t="shared" si="13"/>
        <v>47396</v>
      </c>
      <c r="AJ66" s="1020"/>
      <c r="AW66" s="1020"/>
      <c r="AX66" s="1020"/>
    </row>
    <row r="67" spans="1:50" ht="12" customHeight="1">
      <c r="A67" s="1024"/>
      <c r="B67" s="250"/>
      <c r="C67" s="1024"/>
      <c r="D67" s="1065"/>
      <c r="E67" s="1065"/>
      <c r="F67" s="1024"/>
      <c r="G67" s="1024"/>
      <c r="H67" s="1024"/>
      <c r="I67" s="1024"/>
      <c r="J67" s="1059"/>
      <c r="K67" s="1666">
        <f t="shared" ref="K67" si="15">IF(N67&gt;1,T67,0)</f>
        <v>0</v>
      </c>
      <c r="L67" s="1657"/>
      <c r="M67" s="1035" t="str">
        <f t="shared" si="2"/>
        <v/>
      </c>
      <c r="N67" s="1403"/>
      <c r="O67" s="1403"/>
      <c r="P67" s="1090"/>
      <c r="Q67" s="1091"/>
      <c r="T67" s="1405" t="s">
        <v>1160</v>
      </c>
      <c r="U67" s="1405"/>
      <c r="W67" s="1035">
        <f t="shared" si="13"/>
        <v>47427</v>
      </c>
      <c r="AJ67" s="1020"/>
      <c r="AW67" s="1020"/>
      <c r="AX67" s="1020"/>
    </row>
    <row r="68" spans="1:50" ht="12" customHeight="1">
      <c r="A68" s="1024"/>
      <c r="B68" s="100" t="s">
        <v>1168</v>
      </c>
      <c r="C68" s="1024"/>
      <c r="D68" s="1024"/>
      <c r="E68" s="1024"/>
      <c r="F68" s="100" t="s">
        <v>1169</v>
      </c>
      <c r="G68" s="1024"/>
      <c r="H68" s="1024"/>
      <c r="I68" s="1024"/>
      <c r="J68" s="1059"/>
      <c r="K68" s="1666">
        <f t="shared" si="14"/>
        <v>0</v>
      </c>
      <c r="L68" s="1657"/>
      <c r="M68" s="1035" t="str">
        <f t="shared" si="2"/>
        <v/>
      </c>
      <c r="N68" s="1403"/>
      <c r="O68" s="1403"/>
      <c r="P68" s="1090"/>
      <c r="Q68" s="1091"/>
      <c r="T68" s="1405" t="s">
        <v>1161</v>
      </c>
      <c r="U68" s="1405"/>
      <c r="W68" s="1035">
        <f t="shared" si="13"/>
        <v>47457</v>
      </c>
      <c r="AJ68" s="1020"/>
      <c r="AW68" s="1020"/>
      <c r="AX68" s="1020"/>
    </row>
    <row r="69" spans="1:50" ht="12" customHeight="1">
      <c r="A69" s="1024"/>
      <c r="B69" s="1024"/>
      <c r="C69" s="1024"/>
      <c r="D69" s="1027"/>
      <c r="E69" s="1024"/>
      <c r="F69" s="1024"/>
      <c r="G69" s="1024"/>
      <c r="H69" s="1024"/>
      <c r="I69" s="1024"/>
      <c r="J69" s="1059"/>
      <c r="K69" s="1666">
        <f t="shared" si="14"/>
        <v>0</v>
      </c>
      <c r="L69" s="1657"/>
      <c r="M69" s="1035" t="str">
        <f t="shared" si="2"/>
        <v/>
      </c>
      <c r="N69" s="1403"/>
      <c r="O69" s="1403"/>
      <c r="P69" s="1090"/>
      <c r="Q69" s="1091"/>
      <c r="T69" s="1405" t="s">
        <v>1162</v>
      </c>
      <c r="U69" s="1405"/>
      <c r="W69" s="1035">
        <f t="shared" si="13"/>
        <v>47488</v>
      </c>
      <c r="AJ69" s="1020"/>
      <c r="AW69" s="1020"/>
      <c r="AX69" s="1020"/>
    </row>
    <row r="70" spans="1:50" ht="12" customHeight="1">
      <c r="A70" s="1024"/>
      <c r="B70" s="1024"/>
      <c r="C70" s="1024"/>
      <c r="D70" s="1027"/>
      <c r="E70" s="1024"/>
      <c r="F70" s="1024"/>
      <c r="G70" s="1024"/>
      <c r="H70" s="1024"/>
      <c r="I70" s="1024"/>
      <c r="J70" s="1059"/>
      <c r="K70" s="1666">
        <f t="shared" si="14"/>
        <v>0</v>
      </c>
      <c r="L70" s="1657"/>
      <c r="M70" s="1035" t="str">
        <f t="shared" si="2"/>
        <v/>
      </c>
      <c r="N70" s="1403"/>
      <c r="O70" s="1403"/>
      <c r="P70" s="1090"/>
      <c r="Q70" s="1091"/>
      <c r="T70" s="1405" t="s">
        <v>1163</v>
      </c>
      <c r="U70" s="1405"/>
      <c r="W70" s="1035">
        <f t="shared" si="13"/>
        <v>47519</v>
      </c>
      <c r="AJ70" s="1020"/>
      <c r="AW70" s="1020"/>
      <c r="AX70" s="1020"/>
    </row>
    <row r="71" spans="1:50" ht="12" customHeight="1">
      <c r="A71" s="1024"/>
      <c r="B71" s="1413" t="str">
        <f>[1]FORM!I28</f>
        <v xml:space="preserve">agent </v>
      </c>
      <c r="C71" s="1413"/>
      <c r="D71" s="1413"/>
      <c r="E71" s="100"/>
      <c r="F71" s="1413" t="str">
        <f>[1]FORM!I26</f>
        <v>buyer</v>
      </c>
      <c r="G71" s="1413"/>
      <c r="H71" s="1413"/>
      <c r="I71" s="1413"/>
      <c r="J71" s="1059"/>
      <c r="K71" s="1666">
        <f t="shared" si="14"/>
        <v>0</v>
      </c>
      <c r="L71" s="1657"/>
      <c r="M71" s="1035" t="str">
        <f t="shared" si="2"/>
        <v/>
      </c>
      <c r="N71" s="1403"/>
      <c r="O71" s="1403"/>
      <c r="P71" s="1090"/>
      <c r="Q71" s="1091"/>
      <c r="T71" s="1405" t="s">
        <v>1164</v>
      </c>
      <c r="U71" s="1405"/>
      <c r="W71" s="1035">
        <f t="shared" si="13"/>
        <v>47547</v>
      </c>
      <c r="AJ71" s="1020"/>
      <c r="AW71" s="1020"/>
      <c r="AX71" s="1020"/>
    </row>
    <row r="72" spans="1:50" ht="12" customHeight="1">
      <c r="A72" s="1024"/>
      <c r="B72" s="1068" t="s">
        <v>1170</v>
      </c>
      <c r="C72" s="1672"/>
      <c r="D72" s="1672"/>
      <c r="E72" s="1024"/>
      <c r="F72" s="1674" t="s">
        <v>1171</v>
      </c>
      <c r="G72" s="1674"/>
      <c r="H72" s="1674"/>
      <c r="I72" s="1069"/>
      <c r="J72" s="1059"/>
      <c r="K72" s="1666">
        <f t="shared" si="14"/>
        <v>0</v>
      </c>
      <c r="L72" s="1657"/>
      <c r="M72" s="1035" t="str">
        <f t="shared" si="2"/>
        <v/>
      </c>
      <c r="N72" s="1403"/>
      <c r="O72" s="1403"/>
      <c r="P72" s="1090"/>
      <c r="Q72" s="1091"/>
      <c r="T72" s="1405" t="s">
        <v>1166</v>
      </c>
      <c r="U72" s="1405"/>
      <c r="W72" s="1035">
        <f t="shared" si="13"/>
        <v>47578</v>
      </c>
      <c r="AJ72" s="1020"/>
      <c r="AW72" s="1020"/>
      <c r="AX72" s="1020"/>
    </row>
    <row r="73" spans="1:50" ht="12" customHeight="1">
      <c r="A73" s="1024"/>
      <c r="B73" s="161"/>
      <c r="C73" s="1024"/>
      <c r="D73" s="1024"/>
      <c r="E73" s="1024"/>
      <c r="F73" s="1024"/>
      <c r="G73" s="1024"/>
      <c r="H73" s="1024"/>
      <c r="I73" s="1024"/>
      <c r="J73" s="1059"/>
      <c r="K73" s="1666">
        <f t="shared" si="14"/>
        <v>0</v>
      </c>
      <c r="L73" s="1657"/>
      <c r="M73" s="1035" t="str">
        <f t="shared" si="2"/>
        <v/>
      </c>
      <c r="N73" s="1403"/>
      <c r="O73" s="1403"/>
      <c r="P73" s="1090"/>
      <c r="Q73" s="1091"/>
      <c r="T73" s="1405"/>
      <c r="U73" s="1405"/>
      <c r="AJ73" s="1020"/>
      <c r="AW73" s="1020"/>
      <c r="AX73" s="1020"/>
    </row>
    <row r="74" spans="1:50" ht="12" customHeight="1">
      <c r="A74" s="1024"/>
      <c r="B74" s="161"/>
      <c r="C74" s="1024"/>
      <c r="D74" s="1024"/>
      <c r="E74" s="1024"/>
      <c r="F74" s="1024"/>
      <c r="G74" s="1024"/>
      <c r="H74" s="1024"/>
      <c r="I74" s="1024"/>
      <c r="J74" s="1059"/>
      <c r="K74" s="1666">
        <f t="shared" si="14"/>
        <v>0</v>
      </c>
      <c r="L74" s="1657"/>
      <c r="M74" s="1035" t="str">
        <f t="shared" si="2"/>
        <v/>
      </c>
      <c r="N74" s="1403"/>
      <c r="O74" s="1403"/>
      <c r="P74" s="1090"/>
      <c r="Q74" s="1091"/>
      <c r="T74" s="1405"/>
      <c r="U74" s="1405"/>
      <c r="AJ74" s="1020"/>
      <c r="AW74" s="1020"/>
      <c r="AX74" s="1020"/>
    </row>
    <row r="75" spans="1:50" ht="12" customHeight="1">
      <c r="A75" s="1024"/>
      <c r="B75" s="161"/>
      <c r="C75" s="1024"/>
      <c r="D75" s="1024"/>
      <c r="E75" s="1024"/>
      <c r="F75" s="1024"/>
      <c r="G75" s="1024"/>
      <c r="H75" s="1024"/>
      <c r="I75" s="1024"/>
      <c r="J75" s="1059"/>
      <c r="K75" s="1411" t="s">
        <v>1167</v>
      </c>
      <c r="L75" s="1411"/>
      <c r="M75" s="251">
        <f>IF(DAY(W17)=31,Y19,AA19)</f>
        <v>46817</v>
      </c>
      <c r="N75" s="1412">
        <f>F32</f>
        <v>3951407.1329986746</v>
      </c>
      <c r="O75" s="1412"/>
      <c r="P75" s="1407"/>
      <c r="Q75" s="1408"/>
      <c r="T75" s="1405"/>
      <c r="U75" s="1405"/>
      <c r="AJ75" s="1020"/>
      <c r="AW75" s="1020"/>
      <c r="AX75" s="1020"/>
    </row>
    <row r="76" spans="1:50" ht="12" customHeight="1">
      <c r="A76" s="1024"/>
      <c r="B76" s="161"/>
      <c r="C76" s="1024"/>
      <c r="D76" s="1024"/>
      <c r="E76" s="1024"/>
      <c r="F76" s="1024"/>
      <c r="G76" s="1024"/>
      <c r="H76" s="1024"/>
      <c r="I76" s="1024"/>
      <c r="J76" s="1059"/>
      <c r="K76" s="1409"/>
      <c r="L76" s="1409"/>
      <c r="M76" s="252"/>
      <c r="N76" s="1410"/>
      <c r="O76" s="1410"/>
      <c r="P76" s="253"/>
      <c r="Q76" s="100"/>
      <c r="T76" s="1405"/>
      <c r="U76" s="1405"/>
      <c r="AJ76" s="1020"/>
      <c r="AW76" s="1020"/>
      <c r="AX76" s="1020"/>
    </row>
    <row r="77" spans="1:50" ht="12" customHeight="1">
      <c r="A77" s="1024"/>
      <c r="B77" s="161"/>
      <c r="C77" s="1024"/>
      <c r="D77" s="1024"/>
      <c r="E77" s="1024"/>
      <c r="F77" s="1024"/>
      <c r="G77" s="1024"/>
      <c r="H77" s="1024"/>
      <c r="I77" s="1024"/>
      <c r="J77" s="1059"/>
      <c r="N77" s="1067">
        <f>SUM(N17:O75)-F22</f>
        <v>284915.76278691646</v>
      </c>
      <c r="T77" s="1405"/>
      <c r="U77" s="1405"/>
      <c r="AJ77" s="1020"/>
      <c r="AW77" s="1020"/>
      <c r="AX77" s="1020"/>
    </row>
    <row r="78" spans="1:50" ht="12" customHeight="1">
      <c r="A78" s="1024"/>
      <c r="B78" s="161"/>
      <c r="C78" s="1024"/>
      <c r="D78" s="1027"/>
      <c r="E78" s="1024"/>
      <c r="F78" s="1024"/>
      <c r="G78" s="1024"/>
      <c r="H78" s="1024"/>
      <c r="I78" s="1024"/>
      <c r="J78" s="1059"/>
      <c r="T78" s="1405"/>
      <c r="U78" s="1405"/>
      <c r="AJ78" s="1020"/>
      <c r="AW78" s="1020"/>
      <c r="AX78" s="1020"/>
    </row>
    <row r="79" spans="1:50" ht="12" customHeight="1">
      <c r="A79" s="1024"/>
      <c r="B79" s="161"/>
      <c r="C79" s="1024"/>
      <c r="D79" s="1027"/>
      <c r="E79" s="1024"/>
      <c r="F79" s="1024"/>
      <c r="G79" s="1024"/>
      <c r="H79" s="1024"/>
      <c r="I79" s="1024"/>
      <c r="J79" s="1059"/>
      <c r="K79" s="100" t="s">
        <v>1168</v>
      </c>
      <c r="L79" s="1024"/>
      <c r="M79" s="1024"/>
      <c r="N79" s="1024"/>
      <c r="O79" s="100" t="s">
        <v>1169</v>
      </c>
      <c r="P79" s="1024"/>
      <c r="Q79" s="1024"/>
      <c r="AJ79" s="1020"/>
      <c r="AW79" s="1020"/>
      <c r="AX79" s="1020"/>
    </row>
    <row r="80" spans="1:50" ht="12" customHeight="1">
      <c r="A80" s="1024"/>
      <c r="B80" s="161"/>
      <c r="C80" s="1024"/>
      <c r="D80" s="1027"/>
      <c r="E80" s="1024"/>
      <c r="F80" s="1024"/>
      <c r="G80" s="1024"/>
      <c r="H80" s="1024"/>
      <c r="I80" s="1024"/>
      <c r="J80" s="1059"/>
      <c r="K80" s="1024"/>
      <c r="L80" s="1024"/>
      <c r="M80" s="1027"/>
      <c r="N80" s="1024"/>
      <c r="O80" s="1024"/>
      <c r="P80" s="1024"/>
      <c r="Q80" s="1024"/>
      <c r="AJ80" s="1020"/>
      <c r="AW80" s="1020"/>
      <c r="AX80" s="1020"/>
    </row>
    <row r="81" spans="1:50" ht="12" customHeight="1">
      <c r="A81" s="1024"/>
      <c r="B81" s="161"/>
      <c r="C81" s="1024"/>
      <c r="D81" s="1024"/>
      <c r="E81" s="1024"/>
      <c r="F81" s="1024"/>
      <c r="G81" s="1024"/>
      <c r="H81" s="1024"/>
      <c r="I81" s="1024"/>
      <c r="J81" s="1059"/>
      <c r="K81" s="1024"/>
      <c r="L81" s="1024"/>
      <c r="M81" s="1027"/>
      <c r="N81" s="1024"/>
      <c r="O81" s="1024"/>
      <c r="P81" s="1024"/>
      <c r="Q81" s="1024"/>
      <c r="AJ81" s="1020"/>
      <c r="AW81" s="1020"/>
      <c r="AX81" s="1020"/>
    </row>
    <row r="82" spans="1:50" ht="12" customHeight="1">
      <c r="A82" s="1024"/>
      <c r="B82" s="161"/>
      <c r="C82" s="1024"/>
      <c r="D82" s="1024"/>
      <c r="E82" s="1024"/>
      <c r="F82" s="1024"/>
      <c r="G82" s="1024"/>
      <c r="H82" s="1024"/>
      <c r="I82" s="1024"/>
      <c r="J82" s="1059"/>
      <c r="K82" s="1413" t="str">
        <f>[1]FORM!I28</f>
        <v xml:space="preserve">agent </v>
      </c>
      <c r="L82" s="1413"/>
      <c r="M82" s="1413"/>
      <c r="N82" s="100"/>
      <c r="O82" s="1414" t="str">
        <f>[1]FORM!I26</f>
        <v>buyer</v>
      </c>
      <c r="P82" s="1414"/>
      <c r="Q82" s="1414"/>
      <c r="AJ82" s="1020"/>
      <c r="AW82" s="1020"/>
      <c r="AX82" s="1020"/>
    </row>
    <row r="83" spans="1:50" ht="12" customHeight="1">
      <c r="A83" s="1024"/>
      <c r="B83" s="161"/>
      <c r="C83" s="1024"/>
      <c r="D83" s="1024"/>
      <c r="E83" s="1024"/>
      <c r="F83" s="1024"/>
      <c r="G83" s="1024"/>
      <c r="H83" s="1024"/>
      <c r="I83" s="1024"/>
      <c r="J83" s="1059"/>
      <c r="K83" s="1068" t="s">
        <v>1170</v>
      </c>
      <c r="L83" s="1672"/>
      <c r="M83" s="1672"/>
      <c r="N83" s="1024"/>
      <c r="O83" s="1673" t="s">
        <v>1171</v>
      </c>
      <c r="P83" s="1673"/>
      <c r="Q83" s="1673"/>
      <c r="AJ83" s="1020"/>
      <c r="AW83" s="1020"/>
      <c r="AX83" s="1020"/>
    </row>
    <row r="84" spans="1:50" ht="12" customHeight="1">
      <c r="A84" s="1024"/>
      <c r="B84" s="161"/>
      <c r="C84" s="1024"/>
      <c r="D84" s="1024"/>
      <c r="E84" s="1024"/>
      <c r="F84" s="1024"/>
      <c r="G84" s="1024"/>
      <c r="H84" s="1024"/>
      <c r="I84" s="1024"/>
      <c r="J84" s="1059"/>
      <c r="K84" s="156"/>
      <c r="L84" s="1024"/>
      <c r="M84" s="1033"/>
      <c r="N84" s="1024"/>
      <c r="O84" s="1024"/>
      <c r="P84" s="1024"/>
      <c r="Q84" s="1024"/>
      <c r="AJ84" s="1020"/>
      <c r="AW84" s="1020"/>
      <c r="AX84" s="1020"/>
    </row>
    <row r="85" spans="1:50" ht="12" customHeight="1">
      <c r="A85" s="1024"/>
      <c r="B85" s="161"/>
      <c r="C85" s="1024"/>
      <c r="D85" s="1024"/>
      <c r="E85" s="1024"/>
      <c r="F85" s="1024"/>
      <c r="G85" s="1024"/>
      <c r="H85" s="1024"/>
      <c r="I85" s="1024"/>
      <c r="J85" s="1059"/>
      <c r="K85" s="156"/>
      <c r="L85" s="1024"/>
      <c r="M85" s="1033"/>
      <c r="N85" s="1024"/>
      <c r="O85" s="1024"/>
      <c r="P85" s="1024"/>
      <c r="Q85" s="1024"/>
      <c r="AJ85" s="1020"/>
      <c r="AW85" s="1020"/>
      <c r="AX85" s="1020"/>
    </row>
    <row r="86" spans="1:50" ht="12" customHeight="1">
      <c r="A86" s="1024"/>
      <c r="B86" s="161"/>
      <c r="C86" s="1024"/>
      <c r="D86" s="1024"/>
      <c r="E86" s="1024"/>
      <c r="F86" s="1024"/>
      <c r="G86" s="1024"/>
      <c r="H86" s="1024"/>
      <c r="I86" s="1024"/>
      <c r="J86" s="1059"/>
      <c r="K86" s="156"/>
      <c r="L86" s="1024"/>
      <c r="M86" s="1033"/>
      <c r="N86" s="1024"/>
      <c r="O86" s="1024"/>
      <c r="P86" s="1024"/>
      <c r="Q86" s="1024"/>
      <c r="AJ86" s="1020"/>
      <c r="AW86" s="1020"/>
      <c r="AX86" s="1020"/>
    </row>
    <row r="87" spans="1:50" ht="12" customHeight="1">
      <c r="A87" s="1024"/>
      <c r="B87" s="161"/>
      <c r="C87" s="1024"/>
      <c r="D87" s="1024"/>
      <c r="E87" s="1024"/>
      <c r="F87" s="1024"/>
      <c r="G87" s="1024"/>
      <c r="H87" s="1024"/>
      <c r="I87" s="1024"/>
      <c r="J87" s="1059"/>
      <c r="K87" s="156"/>
      <c r="L87" s="1024"/>
      <c r="M87" s="1033"/>
      <c r="N87" s="1024"/>
      <c r="O87" s="1024"/>
      <c r="P87" s="1024"/>
      <c r="Q87" s="1024"/>
      <c r="AJ87" s="1020"/>
      <c r="AW87" s="1020"/>
      <c r="AX87" s="1020"/>
    </row>
    <row r="88" spans="1:50" ht="12.6">
      <c r="A88" s="1024"/>
      <c r="B88" s="161"/>
      <c r="C88" s="1024"/>
      <c r="D88" s="1024"/>
      <c r="E88" s="1024"/>
      <c r="F88" s="1024"/>
      <c r="G88" s="1024"/>
      <c r="H88" s="1024"/>
      <c r="I88" s="1024"/>
      <c r="J88" s="1059"/>
      <c r="K88" s="156"/>
      <c r="L88" s="1024"/>
      <c r="M88" s="1033"/>
      <c r="N88" s="1024"/>
      <c r="O88" s="1024"/>
      <c r="P88" s="1024"/>
      <c r="Q88" s="1024"/>
      <c r="AJ88" s="1020"/>
      <c r="AW88" s="1020"/>
      <c r="AX88" s="1020"/>
    </row>
    <row r="89" spans="1:50" ht="12" customHeight="1">
      <c r="A89" s="1024"/>
      <c r="B89" s="161"/>
      <c r="C89" s="1024"/>
      <c r="D89" s="1024"/>
      <c r="E89" s="1024"/>
      <c r="F89" s="1024"/>
      <c r="G89" s="1024"/>
      <c r="H89" s="1024"/>
      <c r="I89" s="1024"/>
      <c r="J89" s="1059"/>
      <c r="K89" s="156"/>
      <c r="L89" s="1024"/>
      <c r="M89" s="1033"/>
      <c r="N89" s="1024"/>
      <c r="O89" s="1024"/>
      <c r="P89" s="1024"/>
      <c r="Q89" s="1024"/>
      <c r="AJ89" s="1020"/>
      <c r="AW89" s="1020"/>
      <c r="AX89" s="1020"/>
    </row>
    <row r="90" spans="1:50" ht="12" customHeight="1">
      <c r="A90" s="1024"/>
      <c r="B90" s="161"/>
      <c r="C90" s="1024"/>
      <c r="D90" s="1024"/>
      <c r="E90" s="1024"/>
      <c r="F90" s="1024"/>
      <c r="G90" s="1024"/>
      <c r="H90" s="1024"/>
      <c r="I90" s="1024"/>
      <c r="J90" s="1059"/>
      <c r="K90" s="156"/>
      <c r="L90" s="1024"/>
      <c r="M90" s="1033"/>
      <c r="N90" s="1024"/>
      <c r="O90" s="1024"/>
      <c r="P90" s="1024"/>
      <c r="Q90" s="1024"/>
      <c r="AJ90" s="1020"/>
      <c r="AW90" s="1020"/>
      <c r="AX90" s="1020"/>
    </row>
    <row r="91" spans="1:50" ht="12" customHeight="1">
      <c r="A91" s="1024"/>
      <c r="B91" s="161"/>
      <c r="C91" s="1024"/>
      <c r="D91" s="1024"/>
      <c r="E91" s="1024"/>
      <c r="F91" s="1024"/>
      <c r="G91" s="1024"/>
      <c r="H91" s="1024"/>
      <c r="I91" s="1024"/>
      <c r="J91" s="1059"/>
      <c r="AJ91" s="1020"/>
      <c r="AW91" s="1020"/>
      <c r="AX91" s="1020"/>
    </row>
    <row r="92" spans="1:50" ht="12" customHeight="1">
      <c r="A92" s="1024"/>
      <c r="B92" s="161"/>
      <c r="C92" s="1024"/>
      <c r="D92" s="1024"/>
      <c r="E92" s="1024"/>
      <c r="F92" s="1024"/>
      <c r="G92" s="1024"/>
      <c r="H92" s="1024"/>
      <c r="I92" s="1024"/>
      <c r="J92" s="1059"/>
      <c r="AJ92" s="1020"/>
      <c r="AW92" s="1020"/>
      <c r="AX92" s="1020"/>
    </row>
    <row r="93" spans="1:50" ht="12" customHeight="1">
      <c r="A93" s="1024"/>
      <c r="B93" s="161"/>
      <c r="C93" s="1024"/>
      <c r="D93" s="1024"/>
      <c r="E93" s="1024"/>
      <c r="F93" s="1024"/>
      <c r="G93" s="1024"/>
      <c r="H93" s="1024"/>
      <c r="I93" s="1024"/>
      <c r="J93" s="1059"/>
      <c r="AJ93" s="1020"/>
      <c r="AW93" s="1020"/>
      <c r="AX93" s="1020"/>
    </row>
    <row r="94" spans="1:50" ht="12" customHeight="1">
      <c r="A94" s="1024"/>
      <c r="B94" s="161"/>
      <c r="C94" s="1024"/>
      <c r="D94" s="1024"/>
      <c r="E94" s="1024"/>
      <c r="F94" s="1024"/>
      <c r="G94" s="1024"/>
      <c r="H94" s="1024"/>
      <c r="I94" s="1024"/>
      <c r="J94" s="1059"/>
      <c r="AJ94" s="1020"/>
      <c r="AW94" s="1020"/>
      <c r="AX94" s="1020"/>
    </row>
    <row r="95" spans="1:50" ht="12" customHeight="1">
      <c r="A95" s="1024"/>
      <c r="B95" s="161"/>
      <c r="C95" s="1024"/>
      <c r="D95" s="1024"/>
      <c r="E95" s="1024"/>
      <c r="F95" s="1024"/>
      <c r="G95" s="1024"/>
      <c r="H95" s="1024"/>
      <c r="I95" s="1024"/>
      <c r="J95" s="1059"/>
      <c r="AJ95" s="1020"/>
      <c r="AW95" s="1020"/>
      <c r="AX95" s="1020"/>
    </row>
    <row r="96" spans="1:50" ht="12" customHeight="1">
      <c r="A96" s="1024"/>
      <c r="B96" s="161"/>
      <c r="C96" s="1024"/>
      <c r="D96" s="1024"/>
      <c r="E96" s="1024"/>
      <c r="F96" s="1024"/>
      <c r="G96" s="1024"/>
      <c r="H96" s="1024"/>
      <c r="I96" s="1024"/>
      <c r="J96" s="1059"/>
      <c r="K96" s="156"/>
      <c r="L96" s="1024"/>
      <c r="M96" s="1033"/>
      <c r="N96" s="1024"/>
      <c r="O96" s="1024"/>
      <c r="P96" s="1024"/>
      <c r="Q96" s="1024"/>
      <c r="AJ96" s="1020"/>
      <c r="AW96" s="1020"/>
      <c r="AX96" s="1020"/>
    </row>
    <row r="97" spans="1:50" ht="12" customHeight="1">
      <c r="A97" s="1024"/>
      <c r="B97" s="161"/>
      <c r="C97" s="1024"/>
      <c r="D97" s="1024"/>
      <c r="E97" s="1024"/>
      <c r="F97" s="1024"/>
      <c r="G97" s="1024"/>
      <c r="H97" s="1024"/>
      <c r="I97" s="1024"/>
      <c r="J97" s="1059"/>
      <c r="K97" s="156"/>
      <c r="L97" s="1024"/>
      <c r="M97" s="1033"/>
      <c r="N97" s="1024"/>
      <c r="O97" s="1024"/>
      <c r="P97" s="1024"/>
      <c r="Q97" s="1024"/>
      <c r="AJ97" s="1020"/>
      <c r="AW97" s="1020"/>
      <c r="AX97" s="1020"/>
    </row>
    <row r="98" spans="1:50" ht="12" customHeight="1">
      <c r="A98" s="1024"/>
      <c r="B98" s="161"/>
      <c r="C98" s="1024"/>
      <c r="D98" s="1024"/>
      <c r="E98" s="1024"/>
      <c r="F98" s="1024"/>
      <c r="G98" s="1024"/>
      <c r="H98" s="1024"/>
      <c r="I98" s="1024"/>
      <c r="J98" s="1059"/>
      <c r="K98" s="156"/>
      <c r="L98" s="1024"/>
      <c r="M98" s="1033"/>
      <c r="N98" s="1024"/>
      <c r="O98" s="1024"/>
      <c r="P98" s="1024"/>
      <c r="Q98" s="1024"/>
      <c r="AJ98" s="1020"/>
      <c r="AW98" s="1020"/>
      <c r="AX98" s="1020"/>
    </row>
    <row r="99" spans="1:50" ht="12" customHeight="1">
      <c r="A99" s="1024"/>
      <c r="B99" s="161"/>
      <c r="C99" s="1024"/>
      <c r="D99" s="1024"/>
      <c r="E99" s="1024"/>
      <c r="F99" s="1024"/>
      <c r="G99" s="1024"/>
      <c r="H99" s="1024"/>
      <c r="I99" s="1024"/>
      <c r="J99" s="1059"/>
      <c r="K99" s="156"/>
      <c r="L99" s="1024"/>
      <c r="M99" s="1033"/>
      <c r="N99" s="1024"/>
      <c r="O99" s="1024"/>
      <c r="P99" s="1024"/>
      <c r="Q99" s="1024"/>
      <c r="AJ99" s="1020"/>
      <c r="AW99" s="1020"/>
      <c r="AX99" s="1020"/>
    </row>
    <row r="100" spans="1:50" ht="12" customHeight="1">
      <c r="A100" s="1024"/>
      <c r="B100" s="161"/>
      <c r="C100" s="1024"/>
      <c r="D100" s="1024"/>
      <c r="E100" s="1024"/>
      <c r="F100" s="1024"/>
      <c r="G100" s="1024"/>
      <c r="H100" s="1024"/>
      <c r="I100" s="1024"/>
      <c r="J100" s="1059"/>
      <c r="K100" s="156"/>
      <c r="L100" s="1024"/>
      <c r="M100" s="1033"/>
      <c r="N100" s="1024"/>
      <c r="O100" s="1024"/>
      <c r="P100" s="1024"/>
      <c r="Q100" s="1024"/>
      <c r="AJ100" s="1020"/>
      <c r="AW100" s="1020"/>
      <c r="AX100" s="1020"/>
    </row>
    <row r="101" spans="1:50" ht="12" customHeight="1">
      <c r="A101" s="1024"/>
      <c r="B101" s="161"/>
      <c r="C101" s="1024"/>
      <c r="D101" s="1024"/>
      <c r="E101" s="1024"/>
      <c r="F101" s="1024"/>
      <c r="G101" s="1024"/>
      <c r="H101" s="1024"/>
      <c r="I101" s="1024"/>
      <c r="J101" s="1059"/>
      <c r="K101" s="156"/>
      <c r="L101" s="1024"/>
      <c r="M101" s="1033"/>
      <c r="N101" s="1024"/>
      <c r="O101" s="1024"/>
      <c r="P101" s="1024"/>
      <c r="Q101" s="1024"/>
      <c r="AJ101" s="1020"/>
      <c r="AW101" s="1020"/>
      <c r="AX101" s="1020"/>
    </row>
    <row r="102" spans="1:50" ht="12" customHeight="1">
      <c r="A102" s="1024"/>
      <c r="B102" s="161"/>
      <c r="C102" s="1024"/>
      <c r="D102" s="1024"/>
      <c r="E102" s="1024"/>
      <c r="F102" s="1024"/>
      <c r="G102" s="1024"/>
      <c r="H102" s="1024"/>
      <c r="I102" s="1024"/>
      <c r="J102" s="1059"/>
      <c r="K102" s="156"/>
      <c r="L102" s="1024"/>
      <c r="M102" s="1033"/>
      <c r="N102" s="1024"/>
      <c r="O102" s="1024"/>
      <c r="P102" s="1024"/>
      <c r="Q102" s="1024"/>
      <c r="AJ102" s="1020"/>
      <c r="AW102" s="1020"/>
      <c r="AX102" s="1020"/>
    </row>
    <row r="103" spans="1:50" ht="12" customHeight="1">
      <c r="A103" s="1024"/>
      <c r="B103" s="161"/>
      <c r="C103" s="1024"/>
      <c r="D103" s="1024"/>
      <c r="E103" s="1024"/>
      <c r="F103" s="1024"/>
      <c r="G103" s="1024"/>
      <c r="H103" s="1024"/>
      <c r="I103" s="1024"/>
      <c r="J103" s="1059"/>
      <c r="K103" s="156"/>
      <c r="L103" s="1024"/>
      <c r="M103" s="1033"/>
      <c r="N103" s="1024"/>
      <c r="O103" s="1024"/>
      <c r="P103" s="1024"/>
      <c r="Q103" s="1024"/>
      <c r="AJ103" s="1020"/>
      <c r="AW103" s="1020"/>
      <c r="AX103" s="1020"/>
    </row>
    <row r="104" spans="1:50" ht="12" customHeight="1">
      <c r="A104" s="1024"/>
      <c r="B104" s="161"/>
      <c r="C104" s="1024"/>
      <c r="D104" s="1024"/>
      <c r="E104" s="1024"/>
      <c r="F104" s="1024"/>
      <c r="G104" s="1024"/>
      <c r="H104" s="1024"/>
      <c r="I104" s="1024"/>
      <c r="J104" s="1059"/>
      <c r="K104" s="156"/>
      <c r="L104" s="1024"/>
      <c r="M104" s="1033"/>
      <c r="N104" s="1024"/>
      <c r="O104" s="1024"/>
      <c r="P104" s="1024"/>
      <c r="Q104" s="1024"/>
      <c r="AJ104" s="1020"/>
      <c r="AW104" s="1020"/>
      <c r="AX104" s="1020"/>
    </row>
    <row r="105" spans="1:50" ht="12" customHeight="1">
      <c r="A105" s="1024"/>
      <c r="B105" s="161"/>
      <c r="C105" s="1024"/>
      <c r="D105" s="1024"/>
      <c r="E105" s="1024"/>
      <c r="F105" s="1024"/>
      <c r="G105" s="1024"/>
      <c r="H105" s="1024"/>
      <c r="I105" s="1024"/>
      <c r="J105" s="1059"/>
      <c r="K105" s="156"/>
      <c r="L105" s="1024"/>
      <c r="M105" s="1033"/>
      <c r="N105" s="1024"/>
      <c r="O105" s="1024"/>
      <c r="P105" s="1024"/>
      <c r="Q105" s="1024"/>
      <c r="AJ105" s="1020"/>
      <c r="AW105" s="1020"/>
      <c r="AX105" s="1020"/>
    </row>
    <row r="106" spans="1:50" ht="12" customHeight="1">
      <c r="A106" s="1024"/>
      <c r="B106" s="161"/>
      <c r="C106" s="1024"/>
      <c r="D106" s="1024"/>
      <c r="E106" s="1024"/>
      <c r="F106" s="1024"/>
      <c r="G106" s="1024"/>
      <c r="H106" s="1024"/>
      <c r="I106" s="1024"/>
      <c r="J106" s="1059"/>
      <c r="K106" s="156"/>
      <c r="L106" s="1024"/>
      <c r="M106" s="1033"/>
      <c r="N106" s="1024"/>
      <c r="O106" s="1024"/>
      <c r="P106" s="1024"/>
      <c r="Q106" s="1024"/>
      <c r="AJ106" s="1020"/>
      <c r="AW106" s="1020"/>
      <c r="AX106" s="1020"/>
    </row>
    <row r="107" spans="1:50" ht="12" customHeight="1">
      <c r="A107" s="1024"/>
      <c r="B107" s="161"/>
      <c r="C107" s="1024"/>
      <c r="D107" s="1024"/>
      <c r="E107" s="1024"/>
      <c r="F107" s="1024"/>
      <c r="G107" s="1024"/>
      <c r="H107" s="1024"/>
      <c r="I107" s="1024"/>
      <c r="J107" s="1059"/>
      <c r="K107" s="156"/>
      <c r="L107" s="1024"/>
      <c r="M107" s="1033"/>
      <c r="N107" s="1024"/>
      <c r="O107" s="1024"/>
      <c r="P107" s="1024"/>
      <c r="Q107" s="1024"/>
      <c r="AJ107" s="1020"/>
      <c r="AW107" s="1020"/>
      <c r="AX107" s="1020"/>
    </row>
    <row r="108" spans="1:50" ht="12" customHeight="1">
      <c r="A108" s="1024"/>
      <c r="B108" s="161"/>
      <c r="C108" s="1024"/>
      <c r="D108" s="1024"/>
      <c r="E108" s="1024"/>
      <c r="F108" s="1024"/>
      <c r="G108" s="1024"/>
      <c r="H108" s="1024"/>
      <c r="I108" s="1024"/>
      <c r="J108" s="1059"/>
      <c r="K108" s="156"/>
      <c r="L108" s="1024"/>
      <c r="M108" s="1033"/>
      <c r="N108" s="1024"/>
      <c r="O108" s="1024"/>
      <c r="P108" s="1024"/>
      <c r="Q108" s="1024"/>
      <c r="AJ108" s="1020"/>
      <c r="AW108" s="1020"/>
      <c r="AX108" s="1020"/>
    </row>
    <row r="109" spans="1:50" ht="12" customHeight="1">
      <c r="A109" s="1024"/>
      <c r="B109" s="161"/>
      <c r="C109" s="1024"/>
      <c r="D109" s="1024"/>
      <c r="E109" s="1024"/>
      <c r="F109" s="1024"/>
      <c r="G109" s="1024"/>
      <c r="H109" s="1024"/>
      <c r="I109" s="1024"/>
      <c r="J109" s="1059"/>
      <c r="K109" s="156"/>
      <c r="L109" s="1024"/>
      <c r="M109" s="1033"/>
      <c r="N109" s="1024"/>
      <c r="O109" s="1024"/>
      <c r="P109" s="1024"/>
      <c r="Q109" s="1024"/>
      <c r="AJ109" s="1020"/>
      <c r="AW109" s="1020"/>
      <c r="AX109" s="1020"/>
    </row>
    <row r="110" spans="1:50" ht="12" customHeight="1">
      <c r="A110" s="1024"/>
      <c r="B110" s="161"/>
      <c r="C110" s="1024"/>
      <c r="D110" s="1024"/>
      <c r="E110" s="1024"/>
      <c r="F110" s="1024"/>
      <c r="G110" s="1024"/>
      <c r="H110" s="1024"/>
      <c r="I110" s="1024"/>
      <c r="J110" s="1059"/>
      <c r="K110" s="156"/>
      <c r="L110" s="1024"/>
      <c r="M110" s="1033"/>
      <c r="N110" s="1024"/>
      <c r="O110" s="1024"/>
      <c r="P110" s="1024"/>
      <c r="Q110" s="1024"/>
      <c r="AJ110" s="1020"/>
      <c r="AW110" s="1020"/>
      <c r="AX110" s="1020"/>
    </row>
    <row r="111" spans="1:50" ht="12" customHeight="1">
      <c r="A111" s="1024"/>
      <c r="B111" s="161"/>
      <c r="C111" s="1024"/>
      <c r="D111" s="1024"/>
      <c r="E111" s="1024"/>
      <c r="F111" s="1024"/>
      <c r="G111" s="1024"/>
      <c r="H111" s="1024"/>
      <c r="I111" s="1024"/>
      <c r="J111" s="1059"/>
      <c r="K111" s="156"/>
      <c r="L111" s="1024"/>
      <c r="M111" s="1033"/>
      <c r="N111" s="1024"/>
      <c r="O111" s="1024"/>
      <c r="P111" s="1024"/>
      <c r="Q111" s="1024"/>
      <c r="AJ111" s="1020"/>
      <c r="AW111" s="1020"/>
      <c r="AX111" s="1020"/>
    </row>
    <row r="112" spans="1:50" ht="12" customHeight="1">
      <c r="A112" s="1024"/>
      <c r="B112" s="161"/>
      <c r="C112" s="1024"/>
      <c r="D112" s="1024"/>
      <c r="E112" s="1024"/>
      <c r="F112" s="1024"/>
      <c r="G112" s="1024"/>
      <c r="H112" s="1024"/>
      <c r="I112" s="1024"/>
      <c r="J112" s="1059"/>
      <c r="K112" s="156"/>
      <c r="L112" s="1024"/>
      <c r="M112" s="1033"/>
      <c r="N112" s="1024"/>
      <c r="O112" s="1024"/>
      <c r="P112" s="1024"/>
      <c r="Q112" s="1024"/>
      <c r="AJ112" s="1020"/>
      <c r="AW112" s="1020"/>
      <c r="AX112" s="1020"/>
    </row>
    <row r="113" spans="1:50" ht="12" customHeight="1">
      <c r="A113" s="1024"/>
      <c r="B113" s="161"/>
      <c r="C113" s="1024"/>
      <c r="D113" s="1024"/>
      <c r="E113" s="1024"/>
      <c r="F113" s="1024"/>
      <c r="G113" s="1024"/>
      <c r="H113" s="1024"/>
      <c r="I113" s="1024"/>
      <c r="J113" s="1059"/>
      <c r="K113" s="156"/>
      <c r="L113" s="1024"/>
      <c r="M113" s="1033"/>
      <c r="N113" s="1024"/>
      <c r="O113" s="1024"/>
      <c r="P113" s="1024"/>
      <c r="Q113" s="1024"/>
      <c r="AJ113" s="1020"/>
      <c r="AW113" s="1020"/>
      <c r="AX113" s="1020"/>
    </row>
    <row r="114" spans="1:50" ht="12" customHeight="1">
      <c r="A114" s="1024"/>
      <c r="B114" s="161"/>
      <c r="C114" s="1024"/>
      <c r="D114" s="1024"/>
      <c r="E114" s="1024"/>
      <c r="F114" s="1024"/>
      <c r="G114" s="1024"/>
      <c r="H114" s="1024"/>
      <c r="I114" s="1024"/>
      <c r="J114" s="1059"/>
      <c r="K114" s="156"/>
      <c r="L114" s="1024"/>
      <c r="M114" s="1033"/>
      <c r="N114" s="1024"/>
      <c r="O114" s="1024"/>
      <c r="P114" s="1024"/>
      <c r="Q114" s="1024"/>
      <c r="AJ114" s="1020"/>
      <c r="AW114" s="1020"/>
      <c r="AX114" s="1020"/>
    </row>
    <row r="115" spans="1:50" ht="12" customHeight="1">
      <c r="A115" s="1024"/>
      <c r="B115" s="161"/>
      <c r="C115" s="1024"/>
      <c r="D115" s="1024"/>
      <c r="E115" s="1024"/>
      <c r="F115" s="1024"/>
      <c r="G115" s="1024"/>
      <c r="H115" s="1024"/>
      <c r="I115" s="1024"/>
      <c r="J115" s="1059"/>
      <c r="K115" s="156"/>
      <c r="L115" s="1024"/>
      <c r="M115" s="1033"/>
      <c r="N115" s="1024"/>
      <c r="O115" s="1024"/>
      <c r="P115" s="1024"/>
      <c r="Q115" s="1024"/>
      <c r="AJ115" s="1020"/>
      <c r="AW115" s="1020"/>
      <c r="AX115" s="1020"/>
    </row>
    <row r="116" spans="1:50" ht="12" customHeight="1">
      <c r="A116" s="1024"/>
      <c r="B116" s="161"/>
      <c r="C116" s="1024"/>
      <c r="D116" s="1024"/>
      <c r="E116" s="1024"/>
      <c r="F116" s="1024"/>
      <c r="G116" s="1024"/>
      <c r="H116" s="1024"/>
      <c r="I116" s="1024"/>
      <c r="J116" s="1059"/>
      <c r="K116" s="156"/>
      <c r="L116" s="1024"/>
      <c r="M116" s="1033"/>
      <c r="N116" s="1024"/>
      <c r="O116" s="1024"/>
      <c r="P116" s="1024"/>
      <c r="Q116" s="1024"/>
      <c r="AJ116" s="1020"/>
      <c r="AW116" s="1020"/>
      <c r="AX116" s="1020"/>
    </row>
    <row r="117" spans="1:50" ht="12" customHeight="1">
      <c r="A117" s="1024"/>
      <c r="B117" s="161"/>
      <c r="C117" s="1024"/>
      <c r="D117" s="1024"/>
      <c r="E117" s="1024"/>
      <c r="F117" s="1024"/>
      <c r="G117" s="1024"/>
      <c r="H117" s="1024"/>
      <c r="I117" s="1024"/>
      <c r="J117" s="1059"/>
      <c r="K117" s="156"/>
      <c r="L117" s="1024"/>
      <c r="M117" s="1033"/>
      <c r="N117" s="1024"/>
      <c r="O117" s="1024"/>
      <c r="P117" s="1024"/>
      <c r="Q117" s="1024"/>
      <c r="AJ117" s="1020"/>
      <c r="AW117" s="1020"/>
      <c r="AX117" s="1020"/>
    </row>
    <row r="118" spans="1:50" ht="12" customHeight="1">
      <c r="A118" s="1024"/>
      <c r="B118" s="161"/>
      <c r="C118" s="1024"/>
      <c r="D118" s="1024"/>
      <c r="E118" s="1024"/>
      <c r="F118" s="1024"/>
      <c r="G118" s="1024"/>
      <c r="H118" s="1024"/>
      <c r="I118" s="1024"/>
      <c r="J118" s="1059"/>
      <c r="K118" s="156"/>
      <c r="L118" s="1024"/>
      <c r="M118" s="1033"/>
      <c r="N118" s="1024"/>
      <c r="O118" s="1024"/>
      <c r="P118" s="1024"/>
      <c r="Q118" s="1024"/>
      <c r="AJ118" s="1020"/>
      <c r="AW118" s="1020"/>
      <c r="AX118" s="1020"/>
    </row>
    <row r="119" spans="1:50" ht="12" customHeight="1">
      <c r="A119" s="1024"/>
      <c r="B119" s="161"/>
      <c r="C119" s="1024"/>
      <c r="D119" s="1024"/>
      <c r="E119" s="1024"/>
      <c r="F119" s="1024"/>
      <c r="G119" s="1024"/>
      <c r="H119" s="1024"/>
      <c r="I119" s="1024"/>
      <c r="J119" s="1059"/>
      <c r="K119" s="156"/>
      <c r="L119" s="1024"/>
      <c r="M119" s="1033"/>
      <c r="N119" s="1024"/>
      <c r="O119" s="1024"/>
      <c r="P119" s="1024"/>
      <c r="Q119" s="1024"/>
      <c r="AJ119" s="1020"/>
      <c r="AW119" s="1020"/>
      <c r="AX119" s="1020"/>
    </row>
    <row r="120" spans="1:50" ht="12" customHeight="1">
      <c r="A120" s="1024"/>
      <c r="B120" s="161"/>
      <c r="C120" s="1024"/>
      <c r="D120" s="1024"/>
      <c r="E120" s="1024"/>
      <c r="F120" s="1024"/>
      <c r="G120" s="1024"/>
      <c r="H120" s="1024"/>
      <c r="I120" s="1024"/>
      <c r="J120" s="1059"/>
      <c r="K120" s="156"/>
      <c r="L120" s="1024"/>
      <c r="M120" s="1033"/>
      <c r="N120" s="1024"/>
      <c r="O120" s="1024"/>
      <c r="P120" s="1024"/>
      <c r="Q120" s="1024"/>
      <c r="AJ120" s="1020"/>
      <c r="AW120" s="1020"/>
      <c r="AX120" s="1020"/>
    </row>
    <row r="121" spans="1:50" ht="12" customHeight="1">
      <c r="A121" s="1024"/>
      <c r="B121" s="161"/>
      <c r="C121" s="1024"/>
      <c r="D121" s="1024"/>
      <c r="E121" s="1024"/>
      <c r="F121" s="1024"/>
      <c r="G121" s="1024"/>
      <c r="H121" s="1024"/>
      <c r="I121" s="1024"/>
      <c r="J121" s="1059"/>
      <c r="K121" s="156"/>
      <c r="L121" s="1024"/>
      <c r="M121" s="1033"/>
      <c r="N121" s="1024"/>
      <c r="O121" s="1024"/>
      <c r="P121" s="1024"/>
      <c r="Q121" s="1024"/>
      <c r="AJ121" s="1020"/>
      <c r="AW121" s="1020"/>
      <c r="AX121" s="1020"/>
    </row>
    <row r="122" spans="1:50" ht="12" customHeight="1">
      <c r="A122" s="1024"/>
      <c r="B122" s="161"/>
      <c r="C122" s="1024"/>
      <c r="D122" s="1024"/>
      <c r="E122" s="1024"/>
      <c r="F122" s="1024"/>
      <c r="G122" s="1024"/>
      <c r="H122" s="1024"/>
      <c r="I122" s="1024"/>
      <c r="J122" s="1059"/>
      <c r="K122" s="156"/>
      <c r="L122" s="1024"/>
      <c r="M122" s="1033"/>
      <c r="N122" s="1024"/>
      <c r="O122" s="1024"/>
      <c r="P122" s="1024"/>
      <c r="Q122" s="1024"/>
      <c r="AJ122" s="1020"/>
      <c r="AW122" s="1020"/>
      <c r="AX122" s="1020"/>
    </row>
    <row r="123" spans="1:50" ht="12" customHeight="1">
      <c r="A123" s="1024"/>
      <c r="B123" s="161"/>
      <c r="C123" s="1024"/>
      <c r="D123" s="1024"/>
      <c r="E123" s="1024"/>
      <c r="F123" s="1024"/>
      <c r="G123" s="1024"/>
      <c r="H123" s="1024"/>
      <c r="I123" s="1024"/>
      <c r="J123" s="1059"/>
      <c r="K123" s="156"/>
      <c r="L123" s="1024"/>
      <c r="M123" s="1033"/>
      <c r="N123" s="1024"/>
      <c r="O123" s="1024"/>
      <c r="P123" s="1024"/>
      <c r="Q123" s="1024"/>
      <c r="AJ123" s="1020"/>
      <c r="AW123" s="1020"/>
      <c r="AX123" s="1020"/>
    </row>
    <row r="124" spans="1:50" ht="12" customHeight="1">
      <c r="A124" s="1024"/>
      <c r="B124" s="161"/>
      <c r="C124" s="1024"/>
      <c r="D124" s="1024"/>
      <c r="E124" s="1024"/>
      <c r="F124" s="1024"/>
      <c r="G124" s="1024"/>
      <c r="H124" s="1024"/>
      <c r="I124" s="1024"/>
      <c r="J124" s="1059"/>
      <c r="K124" s="156"/>
      <c r="L124" s="1024"/>
      <c r="M124" s="1033"/>
      <c r="N124" s="1024"/>
      <c r="O124" s="1024"/>
      <c r="P124" s="1024"/>
      <c r="Q124" s="1024"/>
      <c r="AJ124" s="1020"/>
      <c r="AW124" s="1020"/>
      <c r="AX124" s="1020"/>
    </row>
    <row r="125" spans="1:50" ht="12" customHeight="1">
      <c r="A125" s="1024"/>
      <c r="B125" s="161"/>
      <c r="C125" s="1024"/>
      <c r="D125" s="1024"/>
      <c r="E125" s="1024"/>
      <c r="F125" s="1024"/>
      <c r="G125" s="1024"/>
      <c r="H125" s="1024"/>
      <c r="I125" s="1024"/>
      <c r="J125" s="1059"/>
      <c r="K125" s="156"/>
      <c r="L125" s="1024"/>
      <c r="M125" s="1033"/>
      <c r="N125" s="1024"/>
      <c r="O125" s="1024"/>
      <c r="P125" s="1024"/>
      <c r="Q125" s="1024"/>
      <c r="AJ125" s="1020"/>
      <c r="AW125" s="1020"/>
      <c r="AX125" s="1020"/>
    </row>
    <row r="126" spans="1:50" ht="12" customHeight="1">
      <c r="A126" s="1024"/>
      <c r="B126" s="161"/>
      <c r="C126" s="1024"/>
      <c r="D126" s="1024"/>
      <c r="E126" s="1024"/>
      <c r="F126" s="1024"/>
      <c r="G126" s="1024"/>
      <c r="H126" s="1024"/>
      <c r="I126" s="1024"/>
      <c r="J126" s="1059"/>
      <c r="K126" s="156"/>
      <c r="L126" s="1024"/>
      <c r="M126" s="1033"/>
      <c r="N126" s="1024"/>
      <c r="O126" s="1024"/>
      <c r="P126" s="1024"/>
      <c r="Q126" s="1024"/>
      <c r="AJ126" s="1020"/>
      <c r="AW126" s="1020"/>
      <c r="AX126" s="1020"/>
    </row>
    <row r="127" spans="1:50" ht="12" customHeight="1">
      <c r="A127" s="1024"/>
      <c r="B127" s="161"/>
      <c r="C127" s="1024"/>
      <c r="D127" s="1024"/>
      <c r="E127" s="1024"/>
      <c r="F127" s="1024"/>
      <c r="G127" s="1024"/>
      <c r="H127" s="1024"/>
      <c r="I127" s="1024"/>
      <c r="J127" s="1059"/>
      <c r="K127" s="156"/>
      <c r="L127" s="1024"/>
      <c r="M127" s="1033"/>
      <c r="N127" s="1024"/>
      <c r="O127" s="1024"/>
      <c r="P127" s="1024"/>
      <c r="Q127" s="1024"/>
      <c r="AJ127" s="1020"/>
      <c r="AW127" s="1020"/>
      <c r="AX127" s="1020"/>
    </row>
    <row r="128" spans="1:50" ht="12" customHeight="1">
      <c r="A128" s="1024"/>
      <c r="B128" s="161"/>
      <c r="C128" s="1024"/>
      <c r="D128" s="1024"/>
      <c r="E128" s="1024"/>
      <c r="F128" s="1024"/>
      <c r="G128" s="1024"/>
      <c r="H128" s="1024"/>
      <c r="I128" s="1024"/>
      <c r="J128" s="1059"/>
      <c r="K128" s="156"/>
      <c r="L128" s="1024"/>
      <c r="M128" s="1033"/>
      <c r="N128" s="1024"/>
      <c r="O128" s="1024"/>
      <c r="P128" s="1024"/>
      <c r="Q128" s="1024"/>
      <c r="AJ128" s="1020"/>
      <c r="AW128" s="1020"/>
      <c r="AX128" s="1020"/>
    </row>
    <row r="129" spans="1:50" ht="12" customHeight="1">
      <c r="A129" s="1024"/>
      <c r="B129" s="161"/>
      <c r="C129" s="1024"/>
      <c r="D129" s="1024"/>
      <c r="E129" s="1024"/>
      <c r="F129" s="1024"/>
      <c r="G129" s="1024"/>
      <c r="H129" s="1024"/>
      <c r="I129" s="1024"/>
      <c r="J129" s="1059"/>
      <c r="K129" s="156"/>
      <c r="L129" s="1024"/>
      <c r="M129" s="1033"/>
      <c r="N129" s="1024"/>
      <c r="O129" s="1024"/>
      <c r="P129" s="1024"/>
      <c r="Q129" s="1024"/>
      <c r="AJ129" s="1020"/>
      <c r="AW129" s="1020"/>
      <c r="AX129" s="1020"/>
    </row>
    <row r="130" spans="1:50" ht="12" customHeight="1">
      <c r="A130" s="1024"/>
      <c r="B130" s="161"/>
      <c r="C130" s="1024"/>
      <c r="D130" s="1024"/>
      <c r="E130" s="1024"/>
      <c r="F130" s="1024"/>
      <c r="G130" s="1024"/>
      <c r="H130" s="1024"/>
      <c r="I130" s="1024"/>
      <c r="J130" s="1059"/>
      <c r="K130" s="156"/>
      <c r="L130" s="1024"/>
      <c r="M130" s="1033"/>
      <c r="N130" s="1024"/>
      <c r="O130" s="1024"/>
      <c r="P130" s="1024"/>
      <c r="Q130" s="1024"/>
      <c r="AJ130" s="1020"/>
      <c r="AW130" s="1020"/>
      <c r="AX130" s="1020"/>
    </row>
    <row r="131" spans="1:50" ht="12" customHeight="1">
      <c r="A131" s="1024"/>
      <c r="B131" s="161"/>
      <c r="C131" s="1024"/>
      <c r="D131" s="1024"/>
      <c r="E131" s="1024"/>
      <c r="F131" s="1024"/>
      <c r="G131" s="1024"/>
      <c r="H131" s="1024"/>
      <c r="I131" s="1024"/>
      <c r="J131" s="1059"/>
      <c r="K131" s="156"/>
      <c r="L131" s="1024"/>
      <c r="M131" s="1033"/>
      <c r="N131" s="1024"/>
      <c r="O131" s="1024"/>
      <c r="P131" s="1024"/>
      <c r="Q131" s="1024"/>
      <c r="AJ131" s="1020"/>
      <c r="AW131" s="1020"/>
      <c r="AX131" s="1020"/>
    </row>
    <row r="132" spans="1:50" ht="12" customHeight="1">
      <c r="A132" s="1024"/>
      <c r="B132" s="161"/>
      <c r="C132" s="1024"/>
      <c r="D132" s="1024"/>
      <c r="E132" s="1024"/>
      <c r="F132" s="1024"/>
      <c r="G132" s="1024"/>
      <c r="H132" s="1024"/>
      <c r="I132" s="1024"/>
      <c r="J132" s="1059"/>
      <c r="K132" s="156"/>
      <c r="L132" s="1024"/>
      <c r="M132" s="1033"/>
      <c r="N132" s="1024"/>
      <c r="O132" s="1024"/>
      <c r="P132" s="1024"/>
      <c r="Q132" s="1024"/>
      <c r="AJ132" s="1020"/>
      <c r="AW132" s="1020"/>
      <c r="AX132" s="1020"/>
    </row>
    <row r="133" spans="1:50" ht="12" customHeight="1">
      <c r="A133" s="1024"/>
      <c r="B133" s="161"/>
      <c r="C133" s="1024"/>
      <c r="D133" s="1024"/>
      <c r="E133" s="1024"/>
      <c r="F133" s="1024"/>
      <c r="G133" s="1024"/>
      <c r="H133" s="1024"/>
      <c r="I133" s="1024"/>
      <c r="J133" s="1059"/>
      <c r="K133" s="156"/>
      <c r="L133" s="1024"/>
      <c r="M133" s="1033"/>
      <c r="N133" s="1024"/>
      <c r="O133" s="1024"/>
      <c r="P133" s="1024"/>
      <c r="Q133" s="1024"/>
      <c r="AJ133" s="1020"/>
      <c r="AW133" s="1020"/>
      <c r="AX133" s="1020"/>
    </row>
    <row r="134" spans="1:50" ht="12" customHeight="1">
      <c r="A134" s="1024"/>
      <c r="B134" s="161"/>
      <c r="C134" s="1024"/>
      <c r="D134" s="1024"/>
      <c r="E134" s="1024"/>
      <c r="F134" s="1024"/>
      <c r="G134" s="1024"/>
      <c r="H134" s="1024"/>
      <c r="I134" s="1024"/>
      <c r="J134" s="1059"/>
      <c r="K134" s="156"/>
      <c r="L134" s="1024"/>
      <c r="M134" s="1033"/>
      <c r="N134" s="1024"/>
      <c r="O134" s="1024"/>
      <c r="P134" s="1024"/>
      <c r="Q134" s="1024"/>
      <c r="AJ134" s="1020"/>
      <c r="AW134" s="1020"/>
      <c r="AX134" s="1020"/>
    </row>
    <row r="135" spans="1:50" ht="12" customHeight="1">
      <c r="A135" s="1024"/>
      <c r="B135" s="161"/>
      <c r="C135" s="1024"/>
      <c r="D135" s="1024"/>
      <c r="E135" s="1024"/>
      <c r="F135" s="1024"/>
      <c r="G135" s="1024"/>
      <c r="H135" s="1024"/>
      <c r="I135" s="1024"/>
      <c r="J135" s="1059"/>
      <c r="K135" s="156"/>
      <c r="L135" s="1024"/>
      <c r="M135" s="1033"/>
      <c r="N135" s="1024"/>
      <c r="O135" s="1024"/>
      <c r="P135" s="1024"/>
      <c r="Q135" s="1024"/>
      <c r="AJ135" s="1020"/>
      <c r="AW135" s="1020"/>
      <c r="AX135" s="1020"/>
    </row>
    <row r="136" spans="1:50" ht="12" customHeight="1">
      <c r="A136" s="1024"/>
      <c r="B136" s="161"/>
      <c r="C136" s="1024"/>
      <c r="D136" s="1024"/>
      <c r="E136" s="1024"/>
      <c r="F136" s="1024"/>
      <c r="G136" s="1024"/>
      <c r="H136" s="1024"/>
      <c r="I136" s="1024"/>
      <c r="J136" s="1059"/>
      <c r="K136" s="156"/>
      <c r="L136" s="1024"/>
      <c r="M136" s="1033"/>
      <c r="N136" s="1024"/>
      <c r="O136" s="1024"/>
      <c r="P136" s="1024"/>
      <c r="Q136" s="1024"/>
      <c r="AJ136" s="1020"/>
      <c r="AW136" s="1020"/>
      <c r="AX136" s="1020"/>
    </row>
    <row r="137" spans="1:50" ht="12" customHeight="1">
      <c r="A137" s="1024"/>
      <c r="B137" s="161"/>
      <c r="C137" s="1024"/>
      <c r="D137" s="1024"/>
      <c r="E137" s="1024"/>
      <c r="F137" s="1024"/>
      <c r="G137" s="1024"/>
      <c r="H137" s="1024"/>
      <c r="I137" s="1024"/>
      <c r="J137" s="1059"/>
      <c r="K137" s="156"/>
      <c r="L137" s="1024"/>
      <c r="M137" s="1033"/>
      <c r="N137" s="1024"/>
      <c r="O137" s="1024"/>
      <c r="P137" s="1024"/>
      <c r="Q137" s="1024"/>
      <c r="AJ137" s="1020"/>
      <c r="AW137" s="1020"/>
      <c r="AX137" s="1020"/>
    </row>
    <row r="138" spans="1:50" ht="12" customHeight="1">
      <c r="A138" s="1024"/>
      <c r="B138" s="161"/>
      <c r="C138" s="1024"/>
      <c r="D138" s="1024"/>
      <c r="E138" s="1024"/>
      <c r="F138" s="1024"/>
      <c r="G138" s="1024"/>
      <c r="H138" s="1024"/>
      <c r="I138" s="1024"/>
      <c r="J138" s="1059"/>
      <c r="K138" s="156"/>
      <c r="L138" s="1024"/>
      <c r="M138" s="1033"/>
      <c r="N138" s="1024"/>
      <c r="O138" s="1024"/>
      <c r="P138" s="1024"/>
      <c r="Q138" s="1024"/>
      <c r="AJ138" s="1020"/>
      <c r="AW138" s="1020"/>
      <c r="AX138" s="1020"/>
    </row>
    <row r="139" spans="1:50" ht="12" customHeight="1">
      <c r="A139" s="1024"/>
      <c r="B139" s="161"/>
      <c r="C139" s="1024"/>
      <c r="D139" s="1024"/>
      <c r="E139" s="1024"/>
      <c r="F139" s="1024"/>
      <c r="G139" s="1024"/>
      <c r="H139" s="1024"/>
      <c r="I139" s="1024"/>
      <c r="J139" s="1059"/>
      <c r="K139" s="156"/>
      <c r="L139" s="1024"/>
      <c r="M139" s="1033"/>
      <c r="N139" s="1024"/>
      <c r="O139" s="1024"/>
      <c r="P139" s="1024"/>
      <c r="Q139" s="1024"/>
      <c r="AJ139" s="1020"/>
      <c r="AW139" s="1020"/>
      <c r="AX139" s="1020"/>
    </row>
    <row r="140" spans="1:50" ht="12" customHeight="1">
      <c r="A140" s="1024"/>
      <c r="B140" s="161"/>
      <c r="C140" s="1024"/>
      <c r="D140" s="1024"/>
      <c r="E140" s="1024"/>
      <c r="F140" s="1024"/>
      <c r="G140" s="1024"/>
      <c r="H140" s="1024"/>
      <c r="I140" s="1024"/>
      <c r="J140" s="1059"/>
      <c r="K140" s="156"/>
      <c r="L140" s="1024"/>
      <c r="M140" s="1033"/>
      <c r="N140" s="1024"/>
      <c r="O140" s="1024"/>
      <c r="P140" s="1024"/>
      <c r="Q140" s="1024"/>
      <c r="AJ140" s="1020"/>
      <c r="AW140" s="1020"/>
      <c r="AX140" s="1020"/>
    </row>
    <row r="141" spans="1:50" ht="12" customHeight="1">
      <c r="A141" s="1024"/>
      <c r="B141" s="161"/>
      <c r="C141" s="1024"/>
      <c r="D141" s="1024"/>
      <c r="E141" s="1024"/>
      <c r="F141" s="1024"/>
      <c r="G141" s="1024"/>
      <c r="H141" s="1024"/>
      <c r="I141" s="1024"/>
      <c r="J141" s="1059"/>
      <c r="K141" s="156"/>
      <c r="L141" s="1024"/>
      <c r="M141" s="1033"/>
      <c r="N141" s="1024"/>
      <c r="O141" s="1024"/>
      <c r="P141" s="1024"/>
      <c r="Q141" s="1024"/>
      <c r="AJ141" s="1020"/>
      <c r="AW141" s="1020"/>
      <c r="AX141" s="1020"/>
    </row>
    <row r="142" spans="1:50" ht="12" customHeight="1">
      <c r="A142" s="1024"/>
      <c r="B142" s="161"/>
      <c r="C142" s="1024"/>
      <c r="D142" s="1024"/>
      <c r="E142" s="1024"/>
      <c r="F142" s="1024"/>
      <c r="G142" s="1024"/>
      <c r="H142" s="1024"/>
      <c r="I142" s="1024"/>
      <c r="J142" s="1059"/>
      <c r="K142" s="156"/>
      <c r="L142" s="1024"/>
      <c r="M142" s="1033"/>
      <c r="N142" s="1024"/>
      <c r="O142" s="1024"/>
      <c r="P142" s="1024"/>
      <c r="Q142" s="1024"/>
      <c r="AJ142" s="1020"/>
      <c r="AW142" s="1020"/>
      <c r="AX142" s="1020"/>
    </row>
    <row r="143" spans="1:50" ht="12" customHeight="1">
      <c r="A143" s="1024"/>
      <c r="B143" s="161"/>
      <c r="C143" s="1024"/>
      <c r="D143" s="1024"/>
      <c r="E143" s="1024"/>
      <c r="F143" s="1024"/>
      <c r="G143" s="1024"/>
      <c r="H143" s="1024"/>
      <c r="I143" s="1024"/>
      <c r="J143" s="1059"/>
      <c r="K143" s="156"/>
      <c r="L143" s="1024"/>
      <c r="M143" s="1033"/>
      <c r="N143" s="1024"/>
      <c r="O143" s="1024"/>
      <c r="P143" s="1024"/>
      <c r="Q143" s="1024"/>
      <c r="AJ143" s="1020"/>
      <c r="AW143" s="1020"/>
      <c r="AX143" s="1020"/>
    </row>
    <row r="144" spans="1:50" ht="12" customHeight="1">
      <c r="A144" s="1024"/>
      <c r="B144" s="161"/>
      <c r="C144" s="1024"/>
      <c r="D144" s="1024"/>
      <c r="E144" s="1024"/>
      <c r="F144" s="1024"/>
      <c r="G144" s="1024"/>
      <c r="H144" s="1024"/>
      <c r="I144" s="1024"/>
      <c r="J144" s="1059"/>
      <c r="K144" s="156"/>
      <c r="L144" s="1024"/>
      <c r="M144" s="1033"/>
      <c r="N144" s="1024"/>
      <c r="O144" s="1024"/>
      <c r="P144" s="1024"/>
      <c r="Q144" s="1024"/>
      <c r="AJ144" s="1020"/>
      <c r="AW144" s="1020"/>
      <c r="AX144" s="1020"/>
    </row>
    <row r="145" spans="1:50" ht="12" customHeight="1">
      <c r="A145" s="1024"/>
      <c r="B145" s="161"/>
      <c r="C145" s="1024"/>
      <c r="D145" s="1024"/>
      <c r="E145" s="1024"/>
      <c r="F145" s="1024"/>
      <c r="G145" s="1024"/>
      <c r="H145" s="1024"/>
      <c r="I145" s="1024"/>
      <c r="J145" s="1059"/>
      <c r="K145" s="156"/>
      <c r="L145" s="1024"/>
      <c r="M145" s="1033"/>
      <c r="N145" s="1024"/>
      <c r="O145" s="1024"/>
      <c r="P145" s="1024"/>
      <c r="Q145" s="1024"/>
      <c r="AJ145" s="1020"/>
      <c r="AW145" s="1020"/>
      <c r="AX145" s="1020"/>
    </row>
    <row r="146" spans="1:50" ht="12" customHeight="1">
      <c r="A146" s="1024"/>
      <c r="B146" s="161"/>
      <c r="C146" s="1024"/>
      <c r="D146" s="1024"/>
      <c r="E146" s="1024"/>
      <c r="F146" s="1024"/>
      <c r="G146" s="1024"/>
      <c r="H146" s="1024"/>
      <c r="I146" s="1024"/>
      <c r="J146" s="1059"/>
      <c r="K146" s="156"/>
      <c r="L146" s="1024"/>
      <c r="M146" s="1033"/>
      <c r="N146" s="1024"/>
      <c r="O146" s="1024"/>
      <c r="P146" s="1024"/>
      <c r="Q146" s="1024"/>
      <c r="AJ146" s="1020"/>
      <c r="AW146" s="1020"/>
      <c r="AX146" s="1020"/>
    </row>
    <row r="147" spans="1:50" ht="12" customHeight="1">
      <c r="A147" s="1024"/>
      <c r="B147" s="161"/>
      <c r="C147" s="1024"/>
      <c r="D147" s="1024"/>
      <c r="E147" s="1024"/>
      <c r="F147" s="1024"/>
      <c r="G147" s="1024"/>
      <c r="H147" s="1024"/>
      <c r="I147" s="1024"/>
      <c r="J147" s="1059"/>
      <c r="K147" s="156"/>
      <c r="L147" s="1024"/>
      <c r="M147" s="1033"/>
      <c r="N147" s="1024"/>
      <c r="O147" s="1024"/>
      <c r="P147" s="1024"/>
      <c r="Q147" s="1024"/>
      <c r="AJ147" s="1020"/>
      <c r="AW147" s="1020"/>
      <c r="AX147" s="1020"/>
    </row>
    <row r="148" spans="1:50" ht="12" customHeight="1">
      <c r="A148" s="1024"/>
      <c r="B148" s="161"/>
      <c r="C148" s="1024"/>
      <c r="D148" s="1024"/>
      <c r="E148" s="1024"/>
      <c r="F148" s="1024"/>
      <c r="G148" s="1024"/>
      <c r="H148" s="1024"/>
      <c r="I148" s="1024"/>
      <c r="J148" s="1059"/>
      <c r="K148" s="156"/>
      <c r="L148" s="1024"/>
      <c r="M148" s="1033"/>
      <c r="N148" s="1024"/>
      <c r="O148" s="1024"/>
      <c r="P148" s="1024"/>
      <c r="Q148" s="1024"/>
      <c r="AJ148" s="1020"/>
      <c r="AW148" s="1020"/>
      <c r="AX148" s="1020"/>
    </row>
    <row r="149" spans="1:50" ht="12" customHeight="1">
      <c r="A149" s="1024"/>
      <c r="B149" s="161"/>
      <c r="C149" s="1024"/>
      <c r="D149" s="1024"/>
      <c r="E149" s="1024"/>
      <c r="F149" s="1024"/>
      <c r="G149" s="1024"/>
      <c r="H149" s="1024"/>
      <c r="I149" s="1024"/>
      <c r="J149" s="1059"/>
      <c r="K149" s="156"/>
      <c r="L149" s="1024"/>
      <c r="M149" s="1033"/>
      <c r="N149" s="1024"/>
      <c r="O149" s="1024"/>
      <c r="P149" s="1024"/>
      <c r="Q149" s="1024"/>
      <c r="AJ149" s="1020"/>
      <c r="AW149" s="1020"/>
      <c r="AX149" s="1020"/>
    </row>
    <row r="150" spans="1:50" ht="12" customHeight="1">
      <c r="A150" s="1024"/>
      <c r="B150" s="161"/>
      <c r="C150" s="1024"/>
      <c r="D150" s="1024"/>
      <c r="E150" s="1024"/>
      <c r="F150" s="1024"/>
      <c r="G150" s="1024"/>
      <c r="H150" s="1024"/>
      <c r="I150" s="1024"/>
      <c r="J150" s="1059"/>
      <c r="K150" s="156"/>
      <c r="L150" s="1024"/>
      <c r="M150" s="1033"/>
      <c r="N150" s="1024"/>
      <c r="O150" s="1024"/>
      <c r="P150" s="1024"/>
      <c r="Q150" s="1024"/>
      <c r="AJ150" s="1020"/>
      <c r="AW150" s="1020"/>
      <c r="AX150" s="1020"/>
    </row>
    <row r="151" spans="1:50" ht="12" customHeight="1">
      <c r="A151" s="1024"/>
      <c r="B151" s="161"/>
      <c r="C151" s="1024"/>
      <c r="D151" s="1024"/>
      <c r="E151" s="1024"/>
      <c r="F151" s="1024"/>
      <c r="G151" s="1024"/>
      <c r="H151" s="1024"/>
      <c r="I151" s="1024"/>
      <c r="J151" s="1059"/>
      <c r="K151" s="156"/>
      <c r="L151" s="1024"/>
      <c r="M151" s="1033"/>
      <c r="N151" s="1024"/>
      <c r="O151" s="1024"/>
      <c r="P151" s="1024"/>
      <c r="Q151" s="1024"/>
      <c r="AJ151" s="1020"/>
      <c r="AW151" s="1020"/>
      <c r="AX151" s="1020"/>
    </row>
    <row r="152" spans="1:50" ht="12" customHeight="1">
      <c r="A152" s="1024"/>
      <c r="B152" s="161"/>
      <c r="C152" s="1024"/>
      <c r="D152" s="1024"/>
      <c r="E152" s="1024"/>
      <c r="F152" s="1024"/>
      <c r="G152" s="1024"/>
      <c r="H152" s="1024"/>
      <c r="I152" s="1024"/>
      <c r="J152" s="1059"/>
      <c r="K152" s="156"/>
      <c r="L152" s="1024"/>
      <c r="M152" s="1033"/>
      <c r="N152" s="1024"/>
      <c r="O152" s="1024"/>
      <c r="P152" s="1024"/>
      <c r="Q152" s="1024"/>
      <c r="AJ152" s="1020"/>
      <c r="AW152" s="1020"/>
      <c r="AX152" s="1020"/>
    </row>
    <row r="153" spans="1:50" ht="12" customHeight="1">
      <c r="A153" s="1024"/>
      <c r="B153" s="161"/>
      <c r="C153" s="1024"/>
      <c r="D153" s="1024"/>
      <c r="E153" s="1024"/>
      <c r="F153" s="1024"/>
      <c r="G153" s="1024"/>
      <c r="H153" s="1024"/>
      <c r="I153" s="1024"/>
      <c r="J153" s="1059"/>
      <c r="K153" s="156"/>
      <c r="L153" s="1024"/>
      <c r="M153" s="1033"/>
      <c r="N153" s="1024"/>
      <c r="O153" s="1024"/>
      <c r="P153" s="1024"/>
      <c r="Q153" s="1024"/>
      <c r="AJ153" s="1020"/>
      <c r="AW153" s="1020"/>
      <c r="AX153" s="1020"/>
    </row>
    <row r="154" spans="1:50" ht="12" customHeight="1">
      <c r="A154" s="1024"/>
      <c r="B154" s="161"/>
      <c r="C154" s="1024"/>
      <c r="D154" s="1024"/>
      <c r="E154" s="1024"/>
      <c r="F154" s="1024"/>
      <c r="G154" s="1024"/>
      <c r="H154" s="1024"/>
      <c r="I154" s="1024"/>
      <c r="J154" s="1059"/>
      <c r="K154" s="156"/>
      <c r="L154" s="1024"/>
      <c r="M154" s="1033"/>
      <c r="N154" s="1024"/>
      <c r="O154" s="1024"/>
      <c r="P154" s="1024"/>
      <c r="Q154" s="1024"/>
      <c r="AJ154" s="1020"/>
      <c r="AW154" s="1020"/>
      <c r="AX154" s="1020"/>
    </row>
    <row r="155" spans="1:50" ht="12" customHeight="1">
      <c r="A155" s="1024"/>
      <c r="B155" s="161"/>
      <c r="C155" s="1024"/>
      <c r="D155" s="1024"/>
      <c r="E155" s="1024"/>
      <c r="F155" s="1024"/>
      <c r="G155" s="1024"/>
      <c r="H155" s="1024"/>
      <c r="I155" s="1024"/>
      <c r="J155" s="1059"/>
      <c r="K155" s="156"/>
      <c r="L155" s="1024"/>
      <c r="M155" s="1033"/>
      <c r="N155" s="1024"/>
      <c r="O155" s="1024"/>
      <c r="P155" s="1024"/>
      <c r="Q155" s="1024"/>
      <c r="AJ155" s="1020"/>
      <c r="AW155" s="1020"/>
      <c r="AX155" s="1020"/>
    </row>
    <row r="156" spans="1:50" ht="12" customHeight="1">
      <c r="A156" s="1024"/>
      <c r="B156" s="161"/>
      <c r="C156" s="1024"/>
      <c r="D156" s="1024"/>
      <c r="E156" s="1024"/>
      <c r="F156" s="1024"/>
      <c r="G156" s="1024"/>
      <c r="H156" s="1024"/>
      <c r="I156" s="1024"/>
      <c r="J156" s="1059"/>
      <c r="K156" s="156"/>
      <c r="L156" s="1024"/>
      <c r="M156" s="1033"/>
      <c r="N156" s="1024"/>
      <c r="O156" s="1024"/>
      <c r="P156" s="1024"/>
      <c r="Q156" s="1024"/>
      <c r="AJ156" s="1020"/>
      <c r="AW156" s="1020"/>
      <c r="AX156" s="1020"/>
    </row>
    <row r="157" spans="1:50" ht="12" customHeight="1">
      <c r="A157" s="1024"/>
      <c r="B157" s="161"/>
      <c r="C157" s="1024"/>
      <c r="D157" s="1024"/>
      <c r="E157" s="1024"/>
      <c r="F157" s="1024"/>
      <c r="G157" s="1024"/>
      <c r="H157" s="1024"/>
      <c r="I157" s="1024"/>
      <c r="J157" s="1059"/>
      <c r="K157" s="156"/>
      <c r="L157" s="1024"/>
      <c r="M157" s="1033"/>
      <c r="N157" s="1024"/>
      <c r="O157" s="1024"/>
      <c r="P157" s="1024"/>
      <c r="Q157" s="1024"/>
      <c r="AJ157" s="1020"/>
      <c r="AW157" s="1020"/>
      <c r="AX157" s="1020"/>
    </row>
    <row r="158" spans="1:50" ht="12" customHeight="1">
      <c r="A158" s="1024"/>
      <c r="B158" s="161"/>
      <c r="C158" s="1024"/>
      <c r="D158" s="1024"/>
      <c r="E158" s="1024"/>
      <c r="F158" s="1024"/>
      <c r="G158" s="1024"/>
      <c r="H158" s="1024"/>
      <c r="I158" s="1024"/>
      <c r="J158" s="1059"/>
      <c r="K158" s="156"/>
      <c r="L158" s="1024"/>
      <c r="M158" s="1033"/>
      <c r="N158" s="1024"/>
      <c r="O158" s="1024"/>
      <c r="P158" s="1024"/>
      <c r="Q158" s="1024"/>
      <c r="AJ158" s="1020"/>
      <c r="AW158" s="1020"/>
      <c r="AX158" s="1020"/>
    </row>
    <row r="159" spans="1:50" ht="12" customHeight="1">
      <c r="A159" s="1024"/>
      <c r="B159" s="161"/>
      <c r="C159" s="1024"/>
      <c r="D159" s="1024"/>
      <c r="E159" s="1024"/>
      <c r="F159" s="1024"/>
      <c r="G159" s="1024"/>
      <c r="H159" s="1024"/>
      <c r="I159" s="1024"/>
      <c r="J159" s="1059"/>
      <c r="K159" s="156"/>
      <c r="L159" s="1024"/>
      <c r="M159" s="1033"/>
      <c r="N159" s="1024"/>
      <c r="O159" s="1024"/>
      <c r="P159" s="1024"/>
      <c r="Q159" s="1024"/>
      <c r="AJ159" s="1020"/>
      <c r="AW159" s="1020"/>
      <c r="AX159" s="1020"/>
    </row>
    <row r="160" spans="1:50" ht="12" customHeight="1">
      <c r="A160" s="1024"/>
      <c r="B160" s="161"/>
      <c r="C160" s="1024"/>
      <c r="D160" s="1024"/>
      <c r="E160" s="1024"/>
      <c r="F160" s="1024"/>
      <c r="G160" s="1024"/>
      <c r="H160" s="1024"/>
      <c r="I160" s="1024"/>
      <c r="J160" s="1059"/>
      <c r="K160" s="156"/>
      <c r="L160" s="1024"/>
      <c r="M160" s="1033"/>
      <c r="N160" s="1024"/>
      <c r="O160" s="1024"/>
      <c r="P160" s="1024"/>
      <c r="Q160" s="1024"/>
      <c r="AJ160" s="1020"/>
      <c r="AW160" s="1020"/>
      <c r="AX160" s="1020"/>
    </row>
    <row r="161" spans="1:50" ht="12" customHeight="1">
      <c r="A161" s="1024"/>
      <c r="B161" s="161"/>
      <c r="C161" s="1024"/>
      <c r="D161" s="1024"/>
      <c r="E161" s="1024"/>
      <c r="F161" s="1024"/>
      <c r="G161" s="1024"/>
      <c r="H161" s="1024"/>
      <c r="I161" s="1024"/>
      <c r="J161" s="1059"/>
      <c r="K161" s="156"/>
      <c r="L161" s="1024"/>
      <c r="M161" s="1033"/>
      <c r="N161" s="1024"/>
      <c r="O161" s="1024"/>
      <c r="P161" s="1024"/>
      <c r="Q161" s="1024"/>
      <c r="AJ161" s="1020"/>
      <c r="AW161" s="1020"/>
      <c r="AX161" s="1020"/>
    </row>
    <row r="162" spans="1:50" ht="12" customHeight="1">
      <c r="A162" s="1024"/>
      <c r="B162" s="161"/>
      <c r="C162" s="1024"/>
      <c r="D162" s="1024"/>
      <c r="E162" s="1024"/>
      <c r="F162" s="1024"/>
      <c r="G162" s="1024"/>
      <c r="H162" s="1024"/>
      <c r="I162" s="1024"/>
      <c r="J162" s="1059"/>
      <c r="K162" s="156"/>
      <c r="L162" s="1024"/>
      <c r="M162" s="1033"/>
      <c r="N162" s="1024"/>
      <c r="O162" s="1024"/>
      <c r="P162" s="1024"/>
      <c r="Q162" s="1024"/>
      <c r="AJ162" s="1020"/>
      <c r="AW162" s="1020"/>
      <c r="AX162" s="1020"/>
    </row>
    <row r="163" spans="1:50" ht="12" customHeight="1">
      <c r="A163" s="1024"/>
      <c r="B163" s="161"/>
      <c r="C163" s="1024"/>
      <c r="D163" s="1024"/>
      <c r="E163" s="1024"/>
      <c r="F163" s="1024"/>
      <c r="G163" s="1024"/>
      <c r="H163" s="1024"/>
      <c r="I163" s="1024"/>
      <c r="J163" s="1059"/>
      <c r="K163" s="156"/>
      <c r="L163" s="1024"/>
      <c r="M163" s="1033"/>
      <c r="N163" s="1024"/>
      <c r="O163" s="1024"/>
      <c r="P163" s="1024"/>
      <c r="Q163" s="1024"/>
      <c r="AJ163" s="1020"/>
      <c r="AW163" s="1020"/>
      <c r="AX163" s="1020"/>
    </row>
    <row r="164" spans="1:50" ht="12" customHeight="1">
      <c r="A164" s="1024"/>
      <c r="B164" s="161"/>
      <c r="C164" s="1024"/>
      <c r="D164" s="1024"/>
      <c r="E164" s="1024"/>
      <c r="F164" s="1024"/>
      <c r="G164" s="1024"/>
      <c r="H164" s="1024"/>
      <c r="I164" s="1024"/>
      <c r="J164" s="1059"/>
      <c r="K164" s="156"/>
      <c r="L164" s="1024"/>
      <c r="M164" s="1033"/>
      <c r="N164" s="1024"/>
      <c r="O164" s="1024"/>
      <c r="P164" s="1024"/>
      <c r="Q164" s="1024"/>
      <c r="AJ164" s="1020"/>
      <c r="AW164" s="1020"/>
      <c r="AX164" s="1020"/>
    </row>
    <row r="165" spans="1:50" ht="12" customHeight="1">
      <c r="A165" s="1024"/>
      <c r="B165" s="161"/>
      <c r="C165" s="1024"/>
      <c r="D165" s="1024"/>
      <c r="E165" s="1024"/>
      <c r="F165" s="1024"/>
      <c r="G165" s="1024"/>
      <c r="H165" s="1024"/>
      <c r="I165" s="1024"/>
      <c r="J165" s="1059"/>
      <c r="K165" s="156"/>
      <c r="L165" s="1024"/>
      <c r="M165" s="1033"/>
      <c r="N165" s="1024"/>
      <c r="O165" s="1024"/>
      <c r="P165" s="1024"/>
      <c r="Q165" s="1024"/>
      <c r="AJ165" s="1020"/>
      <c r="AW165" s="1020"/>
      <c r="AX165" s="1020"/>
    </row>
    <row r="166" spans="1:50" ht="12" customHeight="1">
      <c r="A166" s="1024"/>
      <c r="B166" s="161"/>
      <c r="C166" s="1024"/>
      <c r="D166" s="1024"/>
      <c r="E166" s="1024"/>
      <c r="F166" s="1024"/>
      <c r="G166" s="1024"/>
      <c r="H166" s="1024"/>
      <c r="I166" s="1024"/>
      <c r="J166" s="1059"/>
      <c r="K166" s="156"/>
      <c r="L166" s="1024"/>
      <c r="M166" s="1033"/>
      <c r="N166" s="1024"/>
      <c r="O166" s="1024"/>
      <c r="P166" s="1024"/>
      <c r="Q166" s="1024"/>
      <c r="AJ166" s="1020"/>
      <c r="AW166" s="1020"/>
      <c r="AX166" s="1020"/>
    </row>
    <row r="167" spans="1:50" ht="10.5" customHeight="1">
      <c r="A167" s="1024"/>
      <c r="B167" s="161"/>
      <c r="C167" s="1024"/>
      <c r="D167" s="1024"/>
      <c r="E167" s="1024"/>
      <c r="F167" s="1024"/>
      <c r="G167" s="1024"/>
      <c r="H167" s="1024"/>
      <c r="I167" s="1024"/>
      <c r="J167" s="1059"/>
      <c r="K167" s="156"/>
      <c r="L167" s="1024"/>
      <c r="M167" s="1033"/>
      <c r="N167" s="1024"/>
      <c r="O167" s="1024"/>
      <c r="P167" s="1024"/>
      <c r="Q167" s="1024"/>
      <c r="AJ167" s="1020"/>
      <c r="AW167" s="1020"/>
      <c r="AX167" s="1020"/>
    </row>
    <row r="168" spans="1:50" ht="12" customHeight="1">
      <c r="A168" s="1024"/>
      <c r="B168" s="161"/>
      <c r="C168" s="1024"/>
      <c r="D168" s="1024"/>
      <c r="E168" s="1024"/>
      <c r="F168" s="1024"/>
      <c r="G168" s="1024"/>
      <c r="H168" s="1024"/>
      <c r="I168" s="1024"/>
      <c r="J168" s="1059"/>
      <c r="K168" s="156"/>
      <c r="L168" s="1024"/>
      <c r="M168" s="1033"/>
      <c r="N168" s="1024"/>
      <c r="O168" s="1024"/>
      <c r="P168" s="1024"/>
      <c r="Q168" s="1024"/>
      <c r="AJ168" s="1020"/>
      <c r="AW168" s="1020"/>
      <c r="AX168" s="1020"/>
    </row>
    <row r="169" spans="1:50" ht="12" customHeight="1">
      <c r="A169" s="1024"/>
      <c r="B169" s="161"/>
      <c r="C169" s="1024"/>
      <c r="D169" s="1024"/>
      <c r="E169" s="1024"/>
      <c r="F169" s="1024"/>
      <c r="G169" s="1024"/>
      <c r="H169" s="1024"/>
      <c r="I169" s="1024"/>
      <c r="J169" s="1059"/>
      <c r="K169" s="156"/>
      <c r="L169" s="1024"/>
      <c r="M169" s="1033"/>
      <c r="N169" s="1024"/>
      <c r="O169" s="1024"/>
      <c r="P169" s="1024"/>
      <c r="Q169" s="1024"/>
      <c r="AJ169" s="1020"/>
      <c r="AW169" s="1020"/>
      <c r="AX169" s="1020"/>
    </row>
    <row r="170" spans="1:50" ht="12" customHeight="1">
      <c r="A170" s="1024"/>
      <c r="B170" s="161"/>
      <c r="C170" s="1024"/>
      <c r="D170" s="1024"/>
      <c r="E170" s="1024"/>
      <c r="F170" s="1024"/>
      <c r="G170" s="1024"/>
      <c r="H170" s="1024"/>
      <c r="I170" s="1024"/>
      <c r="J170" s="1059"/>
      <c r="K170" s="156"/>
      <c r="L170" s="1024"/>
      <c r="M170" s="1033"/>
      <c r="N170" s="1024"/>
      <c r="O170" s="1024"/>
      <c r="P170" s="1024"/>
      <c r="Q170" s="1024"/>
      <c r="AJ170" s="1020"/>
      <c r="AW170" s="1020"/>
      <c r="AX170" s="1020"/>
    </row>
    <row r="171" spans="1:50" ht="12" customHeight="1">
      <c r="A171" s="1024"/>
      <c r="B171" s="161"/>
      <c r="C171" s="1024"/>
      <c r="D171" s="1024"/>
      <c r="E171" s="1024"/>
      <c r="F171" s="1024"/>
      <c r="G171" s="1024"/>
      <c r="H171" s="1024"/>
      <c r="I171" s="1024"/>
      <c r="J171" s="1059"/>
      <c r="K171" s="156"/>
      <c r="L171" s="1024"/>
      <c r="M171" s="1033"/>
      <c r="N171" s="1024"/>
      <c r="O171" s="1024"/>
      <c r="P171" s="1024"/>
      <c r="Q171" s="1024"/>
      <c r="AJ171" s="1020"/>
      <c r="AW171" s="1020"/>
      <c r="AX171" s="1020"/>
    </row>
    <row r="172" spans="1:50" ht="12" customHeight="1">
      <c r="A172" s="1024"/>
      <c r="B172" s="161"/>
      <c r="C172" s="1024"/>
      <c r="D172" s="1024"/>
      <c r="E172" s="1024"/>
      <c r="F172" s="1024"/>
      <c r="G172" s="1024"/>
      <c r="H172" s="1024"/>
      <c r="I172" s="1024"/>
      <c r="J172" s="1059"/>
      <c r="K172" s="156"/>
      <c r="L172" s="1024"/>
      <c r="M172" s="1033"/>
      <c r="N172" s="1024"/>
      <c r="O172" s="1024"/>
      <c r="P172" s="1024"/>
      <c r="Q172" s="1024"/>
      <c r="AJ172" s="1020"/>
      <c r="AW172" s="1020"/>
      <c r="AX172" s="1020"/>
    </row>
    <row r="173" spans="1:50" ht="12" customHeight="1">
      <c r="A173" s="1024"/>
      <c r="B173" s="161"/>
      <c r="C173" s="1024"/>
      <c r="D173" s="1024"/>
      <c r="E173" s="1024"/>
      <c r="F173" s="1024"/>
      <c r="G173" s="1024"/>
      <c r="H173" s="1024"/>
      <c r="I173" s="1024"/>
      <c r="J173" s="1059"/>
      <c r="K173" s="156"/>
      <c r="L173" s="1024"/>
      <c r="M173" s="1033"/>
      <c r="N173" s="1024"/>
      <c r="O173" s="1024"/>
      <c r="P173" s="1024"/>
      <c r="Q173" s="1024"/>
      <c r="AJ173" s="1020"/>
      <c r="AW173" s="1020"/>
      <c r="AX173" s="1020"/>
    </row>
    <row r="174" spans="1:50" ht="12" customHeight="1">
      <c r="A174" s="1024"/>
      <c r="B174" s="161"/>
      <c r="C174" s="1024"/>
      <c r="D174" s="1024"/>
      <c r="E174" s="1024"/>
      <c r="F174" s="1024"/>
      <c r="G174" s="1024"/>
      <c r="H174" s="1024"/>
      <c r="I174" s="1024"/>
      <c r="J174" s="1059"/>
      <c r="K174" s="156"/>
      <c r="L174" s="1024"/>
      <c r="M174" s="1033"/>
      <c r="N174" s="1024"/>
      <c r="O174" s="1024"/>
      <c r="P174" s="1024"/>
      <c r="Q174" s="1024"/>
      <c r="AJ174" s="1020"/>
      <c r="AW174" s="1020"/>
      <c r="AX174" s="1020"/>
    </row>
    <row r="175" spans="1:50" ht="12" customHeight="1">
      <c r="A175" s="1024"/>
      <c r="B175" s="161"/>
      <c r="C175" s="1024"/>
      <c r="D175" s="1024"/>
      <c r="E175" s="1024"/>
      <c r="F175" s="1024"/>
      <c r="G175" s="1024"/>
      <c r="H175" s="1024"/>
      <c r="I175" s="1024"/>
      <c r="J175" s="1059"/>
      <c r="K175" s="156"/>
      <c r="L175" s="1024"/>
      <c r="M175" s="1033"/>
      <c r="N175" s="1024"/>
      <c r="O175" s="1024"/>
      <c r="P175" s="1024"/>
      <c r="Q175" s="1024"/>
      <c r="AJ175" s="1020"/>
      <c r="AW175" s="1020"/>
      <c r="AX175" s="1020"/>
    </row>
    <row r="176" spans="1:50" ht="12" customHeight="1">
      <c r="A176" s="1024"/>
      <c r="B176" s="161"/>
      <c r="C176" s="1024"/>
      <c r="D176" s="1024"/>
      <c r="E176" s="1024"/>
      <c r="F176" s="1024"/>
      <c r="G176" s="1024"/>
      <c r="H176" s="1024"/>
      <c r="I176" s="1024"/>
      <c r="J176" s="1059"/>
      <c r="K176" s="156"/>
      <c r="L176" s="1024"/>
      <c r="M176" s="1033"/>
      <c r="N176" s="1024"/>
      <c r="O176" s="1024"/>
      <c r="P176" s="1024"/>
      <c r="Q176" s="1024"/>
      <c r="AJ176" s="1020"/>
      <c r="AW176" s="1020"/>
      <c r="AX176" s="1020"/>
    </row>
    <row r="177" spans="1:50" ht="12" customHeight="1">
      <c r="A177" s="1024"/>
      <c r="B177" s="161"/>
      <c r="C177" s="1024"/>
      <c r="D177" s="1024"/>
      <c r="E177" s="1024"/>
      <c r="F177" s="1024"/>
      <c r="G177" s="1024"/>
      <c r="H177" s="1024"/>
      <c r="I177" s="1024"/>
      <c r="J177" s="1059"/>
      <c r="K177" s="156"/>
      <c r="L177" s="1024"/>
      <c r="M177" s="1033"/>
      <c r="N177" s="1024"/>
      <c r="O177" s="1024"/>
      <c r="P177" s="1024"/>
      <c r="Q177" s="1024"/>
      <c r="AJ177" s="1020"/>
      <c r="AW177" s="1020"/>
      <c r="AX177" s="1020"/>
    </row>
    <row r="178" spans="1:50" ht="12" customHeight="1">
      <c r="A178" s="1024"/>
      <c r="B178" s="161"/>
      <c r="C178" s="1024"/>
      <c r="D178" s="1024"/>
      <c r="E178" s="1024"/>
      <c r="F178" s="1024"/>
      <c r="G178" s="1024"/>
      <c r="H178" s="1024"/>
      <c r="I178" s="1024"/>
      <c r="J178" s="1059"/>
      <c r="K178" s="156"/>
      <c r="L178" s="1024"/>
      <c r="M178" s="1033"/>
      <c r="N178" s="1024"/>
      <c r="O178" s="1024"/>
      <c r="P178" s="1024"/>
      <c r="Q178" s="1024"/>
      <c r="AJ178" s="1020"/>
      <c r="AW178" s="1020"/>
      <c r="AX178" s="1020"/>
    </row>
    <row r="179" spans="1:50" ht="12" customHeight="1">
      <c r="A179" s="1024"/>
      <c r="B179" s="161"/>
      <c r="C179" s="1024"/>
      <c r="D179" s="1024"/>
      <c r="E179" s="1024"/>
      <c r="F179" s="1024"/>
      <c r="G179" s="1024"/>
      <c r="H179" s="1024"/>
      <c r="I179" s="1024"/>
      <c r="J179" s="1059"/>
      <c r="K179" s="156"/>
      <c r="L179" s="1024"/>
      <c r="M179" s="1033"/>
      <c r="N179" s="1024"/>
      <c r="O179" s="1024"/>
      <c r="P179" s="1024"/>
      <c r="Q179" s="1024"/>
      <c r="AJ179" s="1020"/>
      <c r="AW179" s="1020"/>
      <c r="AX179" s="1020"/>
    </row>
    <row r="180" spans="1:50" ht="12" customHeight="1">
      <c r="A180" s="1024"/>
      <c r="B180" s="161"/>
      <c r="C180" s="1024"/>
      <c r="D180" s="1024"/>
      <c r="E180" s="1024"/>
      <c r="F180" s="1024"/>
      <c r="G180" s="1024"/>
      <c r="H180" s="1024"/>
      <c r="I180" s="1024"/>
      <c r="J180" s="1059"/>
      <c r="K180" s="156"/>
      <c r="L180" s="1024"/>
      <c r="M180" s="1033"/>
      <c r="N180" s="1024"/>
      <c r="O180" s="1024"/>
      <c r="P180" s="1024"/>
      <c r="Q180" s="1024"/>
      <c r="AJ180" s="1020"/>
      <c r="AW180" s="1020"/>
      <c r="AX180" s="1020"/>
    </row>
    <row r="181" spans="1:50" ht="12" customHeight="1">
      <c r="A181" s="1024"/>
      <c r="B181" s="161"/>
      <c r="C181" s="1024"/>
      <c r="D181" s="1024"/>
      <c r="E181" s="1024"/>
      <c r="F181" s="1024"/>
      <c r="G181" s="1024"/>
      <c r="H181" s="1024"/>
      <c r="I181" s="1024"/>
      <c r="J181" s="1059"/>
      <c r="K181" s="156"/>
      <c r="L181" s="1024"/>
      <c r="M181" s="1033"/>
      <c r="N181" s="1024"/>
      <c r="O181" s="1024"/>
      <c r="P181" s="1024"/>
      <c r="Q181" s="1024"/>
      <c r="AJ181" s="1020"/>
      <c r="AW181" s="1020"/>
      <c r="AX181" s="1020"/>
    </row>
    <row r="182" spans="1:50" ht="12" customHeight="1">
      <c r="A182" s="1024"/>
      <c r="B182" s="161"/>
      <c r="C182" s="1024"/>
      <c r="D182" s="1024"/>
      <c r="E182" s="1024"/>
      <c r="F182" s="1024"/>
      <c r="G182" s="1024"/>
      <c r="H182" s="1024"/>
      <c r="I182" s="1024"/>
      <c r="J182" s="1059"/>
      <c r="K182" s="156"/>
      <c r="L182" s="1024"/>
      <c r="M182" s="1033"/>
      <c r="N182" s="1024"/>
      <c r="O182" s="1024"/>
      <c r="P182" s="1024"/>
      <c r="Q182" s="1024"/>
      <c r="AJ182" s="1020"/>
      <c r="AW182" s="1020"/>
      <c r="AX182" s="1020"/>
    </row>
    <row r="183" spans="1:50" ht="12" customHeight="1">
      <c r="A183" s="1024"/>
      <c r="B183" s="161"/>
      <c r="C183" s="1024"/>
      <c r="D183" s="1024"/>
      <c r="E183" s="1024"/>
      <c r="F183" s="1024"/>
      <c r="G183" s="1024"/>
      <c r="H183" s="1024"/>
      <c r="I183" s="1024"/>
      <c r="J183" s="1059"/>
      <c r="K183" s="156"/>
      <c r="L183" s="1024"/>
      <c r="M183" s="1033"/>
      <c r="N183" s="1024"/>
      <c r="O183" s="1024"/>
      <c r="P183" s="1024"/>
      <c r="Q183" s="1024"/>
      <c r="AJ183" s="1020"/>
      <c r="AW183" s="1020"/>
      <c r="AX183" s="1020"/>
    </row>
    <row r="184" spans="1:50" ht="12" customHeight="1">
      <c r="A184" s="1024"/>
      <c r="B184" s="161"/>
      <c r="C184" s="1024"/>
      <c r="D184" s="1024"/>
      <c r="E184" s="1024"/>
      <c r="F184" s="1024"/>
      <c r="G184" s="1024"/>
      <c r="H184" s="1024"/>
      <c r="I184" s="1024"/>
      <c r="J184" s="1059"/>
      <c r="K184" s="156"/>
      <c r="L184" s="1024"/>
      <c r="M184" s="1033"/>
      <c r="N184" s="1024"/>
      <c r="O184" s="1024"/>
      <c r="P184" s="1024"/>
      <c r="Q184" s="1024"/>
      <c r="AJ184" s="1020"/>
      <c r="AW184" s="1020"/>
      <c r="AX184" s="1020"/>
    </row>
    <row r="185" spans="1:50" ht="12" customHeight="1">
      <c r="A185" s="1024"/>
      <c r="B185" s="161"/>
      <c r="C185" s="1024"/>
      <c r="D185" s="1024"/>
      <c r="E185" s="1024"/>
      <c r="F185" s="1024"/>
      <c r="G185" s="1024"/>
      <c r="H185" s="1024"/>
      <c r="I185" s="1024"/>
      <c r="J185" s="1059"/>
      <c r="K185" s="156"/>
      <c r="L185" s="1024"/>
      <c r="M185" s="1033"/>
      <c r="N185" s="1024"/>
      <c r="O185" s="1024"/>
      <c r="P185" s="1024"/>
      <c r="Q185" s="1024"/>
      <c r="AJ185" s="1020"/>
      <c r="AW185" s="1020"/>
      <c r="AX185" s="1020"/>
    </row>
    <row r="186" spans="1:50" ht="12" customHeight="1">
      <c r="A186" s="1024"/>
      <c r="B186" s="161"/>
      <c r="C186" s="1024"/>
      <c r="D186" s="1024"/>
      <c r="E186" s="1024"/>
      <c r="F186" s="1024"/>
      <c r="G186" s="1024"/>
      <c r="H186" s="1024"/>
      <c r="I186" s="1024"/>
      <c r="J186" s="1059"/>
      <c r="K186" s="156"/>
      <c r="L186" s="1024"/>
      <c r="M186" s="1033"/>
      <c r="N186" s="1024"/>
      <c r="O186" s="1024"/>
      <c r="P186" s="1024"/>
      <c r="Q186" s="1024"/>
      <c r="AJ186" s="1020"/>
      <c r="AW186" s="1020"/>
      <c r="AX186" s="1020"/>
    </row>
    <row r="187" spans="1:50" ht="12" customHeight="1">
      <c r="A187" s="1024"/>
      <c r="B187" s="161"/>
      <c r="C187" s="1024"/>
      <c r="D187" s="1024"/>
      <c r="E187" s="1024"/>
      <c r="F187" s="1024"/>
      <c r="G187" s="1024"/>
      <c r="H187" s="1024"/>
      <c r="I187" s="1024"/>
      <c r="J187" s="1059"/>
      <c r="K187" s="156"/>
      <c r="L187" s="1024"/>
      <c r="M187" s="1033"/>
      <c r="N187" s="1024"/>
      <c r="O187" s="1024"/>
      <c r="P187" s="1024"/>
      <c r="Q187" s="1024"/>
      <c r="AJ187" s="1020"/>
      <c r="AW187" s="1020"/>
      <c r="AX187" s="1020"/>
    </row>
    <row r="188" spans="1:50" ht="12" customHeight="1">
      <c r="A188" s="1024"/>
      <c r="B188" s="161"/>
      <c r="C188" s="1024"/>
      <c r="D188" s="1024"/>
      <c r="E188" s="1024"/>
      <c r="F188" s="1024"/>
      <c r="G188" s="1024"/>
      <c r="H188" s="1024"/>
      <c r="I188" s="1024"/>
      <c r="J188" s="1059"/>
      <c r="K188" s="156"/>
      <c r="L188" s="1024"/>
      <c r="M188" s="1033"/>
      <c r="N188" s="1024"/>
      <c r="O188" s="1024"/>
      <c r="P188" s="1024"/>
      <c r="Q188" s="1024"/>
      <c r="AJ188" s="1020"/>
      <c r="AW188" s="1020"/>
      <c r="AX188" s="1020"/>
    </row>
    <row r="189" spans="1:50" ht="12" customHeight="1">
      <c r="A189" s="1024"/>
      <c r="B189" s="161"/>
      <c r="C189" s="1024"/>
      <c r="D189" s="1024"/>
      <c r="E189" s="1024"/>
      <c r="F189" s="1024"/>
      <c r="G189" s="1024"/>
      <c r="H189" s="1024"/>
      <c r="I189" s="1024"/>
      <c r="J189" s="1059"/>
      <c r="K189" s="156"/>
      <c r="L189" s="1024"/>
      <c r="M189" s="1033"/>
      <c r="N189" s="1024"/>
      <c r="O189" s="1024"/>
      <c r="P189" s="1024"/>
      <c r="Q189" s="1024"/>
      <c r="AJ189" s="1020"/>
      <c r="AW189" s="1020"/>
      <c r="AX189" s="1020"/>
    </row>
    <row r="190" spans="1:50" ht="12" customHeight="1">
      <c r="A190" s="1024"/>
      <c r="B190" s="161"/>
      <c r="C190" s="1024"/>
      <c r="D190" s="1024"/>
      <c r="E190" s="1024"/>
      <c r="F190" s="1024"/>
      <c r="G190" s="1024"/>
      <c r="H190" s="1024"/>
      <c r="I190" s="1024"/>
      <c r="J190" s="1059"/>
      <c r="K190" s="156"/>
      <c r="L190" s="1024"/>
      <c r="M190" s="1033"/>
      <c r="N190" s="1024"/>
      <c r="O190" s="1024"/>
      <c r="P190" s="1024"/>
      <c r="Q190" s="1024"/>
      <c r="AJ190" s="1020"/>
      <c r="AW190" s="1020"/>
      <c r="AX190" s="1020"/>
    </row>
    <row r="191" spans="1:50" ht="12" customHeight="1">
      <c r="A191" s="1024"/>
      <c r="B191" s="161"/>
      <c r="C191" s="1024"/>
      <c r="D191" s="1024"/>
      <c r="E191" s="1024"/>
      <c r="F191" s="1024"/>
      <c r="G191" s="1024"/>
      <c r="H191" s="1024"/>
      <c r="I191" s="1024"/>
      <c r="J191" s="1059"/>
      <c r="K191" s="156"/>
      <c r="L191" s="1024"/>
      <c r="M191" s="1033"/>
      <c r="N191" s="1024"/>
      <c r="O191" s="1024"/>
      <c r="P191" s="1024"/>
      <c r="Q191" s="1024"/>
      <c r="AJ191" s="1020"/>
      <c r="AW191" s="1020"/>
      <c r="AX191" s="1020"/>
    </row>
    <row r="192" spans="1:50" ht="12" customHeight="1">
      <c r="A192" s="1024"/>
      <c r="B192" s="161"/>
      <c r="C192" s="1024"/>
      <c r="D192" s="1024"/>
      <c r="E192" s="1024"/>
      <c r="F192" s="1024"/>
      <c r="G192" s="1024"/>
      <c r="H192" s="1024"/>
      <c r="I192" s="1024"/>
      <c r="J192" s="1059"/>
      <c r="K192" s="156"/>
      <c r="L192" s="1024"/>
      <c r="M192" s="1033"/>
      <c r="N192" s="1024"/>
      <c r="O192" s="1024"/>
      <c r="P192" s="1024"/>
      <c r="Q192" s="1024"/>
      <c r="AJ192" s="1020"/>
      <c r="AW192" s="1020"/>
      <c r="AX192" s="1020"/>
    </row>
    <row r="193" spans="1:50" ht="12" customHeight="1">
      <c r="A193" s="1024"/>
      <c r="B193" s="161"/>
      <c r="C193" s="1024"/>
      <c r="D193" s="1024"/>
      <c r="E193" s="1024"/>
      <c r="F193" s="1024"/>
      <c r="G193" s="1024"/>
      <c r="H193" s="1024"/>
      <c r="I193" s="1024"/>
      <c r="J193" s="1059"/>
      <c r="K193" s="156"/>
      <c r="L193" s="1024"/>
      <c r="M193" s="1033"/>
      <c r="N193" s="1024"/>
      <c r="O193" s="1024"/>
      <c r="P193" s="1024"/>
      <c r="Q193" s="1024"/>
      <c r="AJ193" s="1020"/>
      <c r="AW193" s="1020"/>
      <c r="AX193" s="1020"/>
    </row>
    <row r="194" spans="1:50" ht="12" customHeight="1">
      <c r="A194" s="1024"/>
      <c r="B194" s="161"/>
      <c r="C194" s="1024"/>
      <c r="D194" s="1024"/>
      <c r="E194" s="1024"/>
      <c r="F194" s="1024"/>
      <c r="G194" s="1024"/>
      <c r="H194" s="1024"/>
      <c r="I194" s="1024"/>
      <c r="J194" s="1059"/>
      <c r="K194" s="156"/>
      <c r="L194" s="1024"/>
      <c r="M194" s="1033"/>
      <c r="N194" s="1024"/>
      <c r="O194" s="1024"/>
      <c r="P194" s="1024"/>
      <c r="Q194" s="1024"/>
      <c r="AJ194" s="1020"/>
      <c r="AW194" s="1020"/>
      <c r="AX194" s="1020"/>
    </row>
    <row r="195" spans="1:50" ht="12" customHeight="1">
      <c r="A195" s="1024"/>
      <c r="B195" s="161"/>
      <c r="C195" s="1024"/>
      <c r="D195" s="1024"/>
      <c r="E195" s="1024"/>
      <c r="F195" s="1024"/>
      <c r="G195" s="1024"/>
      <c r="H195" s="1024"/>
      <c r="I195" s="1024"/>
      <c r="J195" s="1059"/>
      <c r="K195" s="156"/>
      <c r="L195" s="1024"/>
      <c r="M195" s="1033"/>
      <c r="N195" s="1024"/>
      <c r="O195" s="1024"/>
      <c r="P195" s="1024"/>
      <c r="Q195" s="1024"/>
      <c r="AJ195" s="1020"/>
      <c r="AW195" s="1020"/>
      <c r="AX195" s="1020"/>
    </row>
    <row r="196" spans="1:50" ht="12" customHeight="1">
      <c r="A196" s="1024"/>
      <c r="B196" s="161"/>
      <c r="C196" s="1024"/>
      <c r="D196" s="1024"/>
      <c r="E196" s="1024"/>
      <c r="F196" s="1024"/>
      <c r="G196" s="1024"/>
      <c r="H196" s="1024"/>
      <c r="I196" s="1024"/>
      <c r="J196" s="1059"/>
      <c r="K196" s="156"/>
      <c r="L196" s="1024"/>
      <c r="M196" s="1033"/>
      <c r="N196" s="1024"/>
      <c r="O196" s="1024"/>
      <c r="P196" s="1024"/>
      <c r="Q196" s="1024"/>
      <c r="AJ196" s="1020"/>
      <c r="AW196" s="1020"/>
      <c r="AX196" s="1020"/>
    </row>
    <row r="197" spans="1:50" ht="12" customHeight="1">
      <c r="A197" s="1024"/>
      <c r="B197" s="161"/>
      <c r="C197" s="1024"/>
      <c r="D197" s="1024"/>
      <c r="E197" s="1024"/>
      <c r="F197" s="1024"/>
      <c r="G197" s="1024"/>
      <c r="H197" s="1024"/>
      <c r="I197" s="1024"/>
      <c r="J197" s="1059"/>
      <c r="K197" s="156"/>
      <c r="L197" s="1024"/>
      <c r="M197" s="1033"/>
      <c r="N197" s="1024"/>
      <c r="O197" s="1024"/>
      <c r="P197" s="1024"/>
      <c r="Q197" s="1024"/>
      <c r="AJ197" s="1020"/>
      <c r="AW197" s="1020"/>
      <c r="AX197" s="1020"/>
    </row>
    <row r="198" spans="1:50" ht="12" customHeight="1">
      <c r="A198" s="1024"/>
      <c r="B198" s="161"/>
      <c r="C198" s="1024"/>
      <c r="D198" s="1024"/>
      <c r="E198" s="1024"/>
      <c r="F198" s="1024"/>
      <c r="G198" s="1024"/>
      <c r="H198" s="1024"/>
      <c r="I198" s="1024"/>
      <c r="J198" s="1059"/>
      <c r="K198" s="156"/>
      <c r="L198" s="1024"/>
      <c r="M198" s="1033"/>
      <c r="N198" s="1024"/>
      <c r="O198" s="1024"/>
      <c r="P198" s="1024"/>
      <c r="Q198" s="1024"/>
      <c r="AJ198" s="1020"/>
      <c r="AW198" s="1020"/>
      <c r="AX198" s="1020"/>
    </row>
    <row r="199" spans="1:50" ht="12" customHeight="1">
      <c r="A199" s="1024"/>
      <c r="B199" s="161"/>
      <c r="C199" s="1024"/>
      <c r="D199" s="1024"/>
      <c r="E199" s="1024"/>
      <c r="F199" s="1024"/>
      <c r="G199" s="1024"/>
      <c r="H199" s="1024"/>
      <c r="I199" s="1024"/>
      <c r="J199" s="1059"/>
      <c r="K199" s="156"/>
      <c r="L199" s="1024"/>
      <c r="M199" s="1033"/>
      <c r="N199" s="1024"/>
      <c r="O199" s="1024"/>
      <c r="P199" s="1024"/>
      <c r="Q199" s="1024"/>
      <c r="AJ199" s="1020"/>
      <c r="AW199" s="1020"/>
      <c r="AX199" s="1020"/>
    </row>
    <row r="200" spans="1:50" ht="12" customHeight="1">
      <c r="A200" s="1024"/>
      <c r="B200" s="161"/>
      <c r="C200" s="1024"/>
      <c r="D200" s="1024"/>
      <c r="E200" s="1024"/>
      <c r="F200" s="1024"/>
      <c r="G200" s="1024"/>
      <c r="H200" s="1024"/>
      <c r="I200" s="1024"/>
      <c r="J200" s="1059"/>
      <c r="K200" s="156"/>
      <c r="L200" s="1024"/>
      <c r="M200" s="1033"/>
      <c r="N200" s="1024"/>
      <c r="O200" s="1024"/>
      <c r="P200" s="1024"/>
      <c r="Q200" s="1024"/>
      <c r="AJ200" s="1020"/>
      <c r="AW200" s="1020"/>
      <c r="AX200" s="1020"/>
    </row>
    <row r="201" spans="1:50" ht="12" customHeight="1">
      <c r="A201" s="1024"/>
      <c r="B201" s="161"/>
      <c r="C201" s="1024"/>
      <c r="D201" s="1024"/>
      <c r="E201" s="1024"/>
      <c r="F201" s="1024"/>
      <c r="G201" s="1024"/>
      <c r="H201" s="1024"/>
      <c r="I201" s="1024"/>
      <c r="J201" s="1059"/>
      <c r="K201" s="156"/>
      <c r="L201" s="1024"/>
      <c r="M201" s="1033"/>
      <c r="N201" s="1024"/>
      <c r="O201" s="1024"/>
      <c r="P201" s="1024"/>
      <c r="Q201" s="1024"/>
      <c r="AJ201" s="1020"/>
      <c r="AW201" s="1020"/>
      <c r="AX201" s="1020"/>
    </row>
    <row r="202" spans="1:50" ht="12" customHeight="1">
      <c r="A202" s="1024"/>
      <c r="B202" s="161"/>
      <c r="C202" s="1024"/>
      <c r="D202" s="1024"/>
      <c r="E202" s="1024"/>
      <c r="F202" s="1024"/>
      <c r="G202" s="1024"/>
      <c r="H202" s="1024"/>
      <c r="I202" s="1024"/>
      <c r="J202" s="1059"/>
      <c r="K202" s="156"/>
      <c r="L202" s="1024"/>
      <c r="M202" s="1033"/>
      <c r="N202" s="1024"/>
      <c r="O202" s="1024"/>
      <c r="P202" s="1024"/>
      <c r="Q202" s="1024"/>
      <c r="AJ202" s="1020"/>
      <c r="AW202" s="1020"/>
      <c r="AX202" s="1020"/>
    </row>
    <row r="203" spans="1:50" ht="12" customHeight="1">
      <c r="A203" s="1024"/>
      <c r="B203" s="161"/>
      <c r="C203" s="1024"/>
      <c r="D203" s="1024"/>
      <c r="E203" s="1024"/>
      <c r="F203" s="1024"/>
      <c r="G203" s="1024"/>
      <c r="H203" s="1024"/>
      <c r="I203" s="1024"/>
      <c r="J203" s="1059"/>
      <c r="K203" s="156"/>
      <c r="L203" s="1024"/>
      <c r="M203" s="1033"/>
      <c r="N203" s="1024"/>
      <c r="O203" s="1024"/>
      <c r="P203" s="1024"/>
      <c r="Q203" s="1024"/>
      <c r="AJ203" s="1020"/>
      <c r="AW203" s="1020"/>
      <c r="AX203" s="1020"/>
    </row>
    <row r="204" spans="1:50" ht="12" customHeight="1">
      <c r="A204" s="1024"/>
      <c r="B204" s="161"/>
      <c r="C204" s="1024"/>
      <c r="D204" s="1024"/>
      <c r="E204" s="1024"/>
      <c r="F204" s="1024"/>
      <c r="G204" s="1024"/>
      <c r="H204" s="1024"/>
      <c r="I204" s="1024"/>
      <c r="J204" s="1059"/>
      <c r="K204" s="156"/>
      <c r="L204" s="1024"/>
      <c r="M204" s="1033"/>
      <c r="N204" s="1024"/>
      <c r="O204" s="1024"/>
      <c r="P204" s="1024"/>
      <c r="Q204" s="1024"/>
      <c r="AJ204" s="1020"/>
      <c r="AW204" s="1020"/>
      <c r="AX204" s="1020"/>
    </row>
    <row r="205" spans="1:50" ht="12" customHeight="1">
      <c r="A205" s="1024"/>
      <c r="B205" s="161"/>
      <c r="C205" s="1024"/>
      <c r="D205" s="1024"/>
      <c r="E205" s="1024"/>
      <c r="F205" s="1024"/>
      <c r="G205" s="1024"/>
      <c r="H205" s="1024"/>
      <c r="I205" s="1024"/>
      <c r="J205" s="1059"/>
      <c r="K205" s="156"/>
      <c r="L205" s="1024"/>
      <c r="M205" s="1033"/>
      <c r="N205" s="1024"/>
      <c r="O205" s="1024"/>
      <c r="P205" s="1024"/>
      <c r="Q205" s="1024"/>
      <c r="AJ205" s="1020"/>
      <c r="AW205" s="1020"/>
      <c r="AX205" s="1020"/>
    </row>
    <row r="206" spans="1:50" ht="12" customHeight="1">
      <c r="A206" s="1024"/>
      <c r="B206" s="161"/>
      <c r="C206" s="1024"/>
      <c r="D206" s="1024"/>
      <c r="E206" s="1024"/>
      <c r="F206" s="1024"/>
      <c r="G206" s="1024"/>
      <c r="H206" s="1024"/>
      <c r="I206" s="1024"/>
      <c r="J206" s="1059"/>
      <c r="K206" s="156"/>
      <c r="L206" s="1024"/>
      <c r="M206" s="1033"/>
      <c r="N206" s="1024"/>
      <c r="O206" s="1024"/>
      <c r="P206" s="1024"/>
      <c r="Q206" s="1024"/>
      <c r="AJ206" s="1020"/>
      <c r="AW206" s="1020"/>
      <c r="AX206" s="1020"/>
    </row>
    <row r="207" spans="1:50" ht="12" customHeight="1">
      <c r="A207" s="1024"/>
      <c r="B207" s="161"/>
      <c r="C207" s="1024"/>
      <c r="D207" s="1024"/>
      <c r="E207" s="1024"/>
      <c r="F207" s="1024"/>
      <c r="G207" s="1024"/>
      <c r="H207" s="1024"/>
      <c r="I207" s="1024"/>
      <c r="J207" s="1059"/>
      <c r="K207" s="156"/>
      <c r="L207" s="1024"/>
      <c r="M207" s="1033"/>
      <c r="N207" s="1024"/>
      <c r="O207" s="1024"/>
      <c r="P207" s="1024"/>
      <c r="Q207" s="1024"/>
      <c r="AJ207" s="1020"/>
      <c r="AW207" s="1020"/>
      <c r="AX207" s="1020"/>
    </row>
    <row r="208" spans="1:50" ht="12" customHeight="1">
      <c r="A208" s="1024"/>
      <c r="B208" s="161"/>
      <c r="C208" s="1024"/>
      <c r="D208" s="1024"/>
      <c r="E208" s="1024"/>
      <c r="F208" s="1024"/>
      <c r="G208" s="1024"/>
      <c r="H208" s="1024"/>
      <c r="I208" s="1024"/>
      <c r="J208" s="1059"/>
      <c r="K208" s="156"/>
      <c r="L208" s="1024"/>
      <c r="M208" s="1033"/>
      <c r="N208" s="1024"/>
      <c r="O208" s="1024"/>
      <c r="P208" s="1024"/>
      <c r="Q208" s="1024"/>
      <c r="AJ208" s="1020"/>
      <c r="AW208" s="1020"/>
      <c r="AX208" s="1020"/>
    </row>
    <row r="209" spans="1:50" ht="12" customHeight="1">
      <c r="A209" s="1024"/>
      <c r="B209" s="161"/>
      <c r="C209" s="1024"/>
      <c r="D209" s="1024"/>
      <c r="E209" s="1024"/>
      <c r="F209" s="1024"/>
      <c r="G209" s="1024"/>
      <c r="H209" s="1024"/>
      <c r="I209" s="1024"/>
      <c r="J209" s="1059"/>
      <c r="K209" s="156"/>
      <c r="L209" s="1024"/>
      <c r="M209" s="1033"/>
      <c r="N209" s="1024"/>
      <c r="O209" s="1024"/>
      <c r="P209" s="1024"/>
      <c r="Q209" s="1024"/>
      <c r="AJ209" s="1020"/>
      <c r="AW209" s="1020"/>
      <c r="AX209" s="1020"/>
    </row>
    <row r="210" spans="1:50" ht="12" customHeight="1">
      <c r="A210" s="1024"/>
      <c r="B210" s="161"/>
      <c r="C210" s="1024"/>
      <c r="D210" s="1024"/>
      <c r="E210" s="1024"/>
      <c r="F210" s="1024"/>
      <c r="G210" s="1024"/>
      <c r="H210" s="1024"/>
      <c r="I210" s="1024"/>
      <c r="J210" s="1059"/>
      <c r="K210" s="156"/>
      <c r="L210" s="1024"/>
      <c r="M210" s="1033"/>
      <c r="N210" s="1024"/>
      <c r="O210" s="1024"/>
      <c r="P210" s="1024"/>
      <c r="Q210" s="1024"/>
      <c r="AJ210" s="1020"/>
      <c r="AW210" s="1020"/>
      <c r="AX210" s="1020"/>
    </row>
    <row r="211" spans="1:50" ht="12" customHeight="1">
      <c r="A211" s="1024"/>
      <c r="B211" s="161"/>
      <c r="C211" s="1024"/>
      <c r="D211" s="1024"/>
      <c r="E211" s="1024"/>
      <c r="F211" s="1024"/>
      <c r="G211" s="1024"/>
      <c r="H211" s="1024"/>
      <c r="I211" s="1024"/>
      <c r="J211" s="1059"/>
      <c r="K211" s="156"/>
      <c r="L211" s="1024"/>
      <c r="M211" s="1033"/>
      <c r="N211" s="1024"/>
      <c r="O211" s="1024"/>
      <c r="P211" s="1024"/>
      <c r="Q211" s="1024"/>
      <c r="AJ211" s="1020"/>
      <c r="AW211" s="1020"/>
      <c r="AX211" s="1020"/>
    </row>
    <row r="212" spans="1:50" ht="12" customHeight="1">
      <c r="A212" s="1024"/>
      <c r="B212" s="161"/>
      <c r="C212" s="1024"/>
      <c r="D212" s="1024"/>
      <c r="E212" s="1024"/>
      <c r="F212" s="1024"/>
      <c r="G212" s="1024"/>
      <c r="H212" s="1024"/>
      <c r="I212" s="1024"/>
      <c r="J212" s="1059"/>
      <c r="K212" s="156"/>
      <c r="L212" s="1024"/>
      <c r="M212" s="1033"/>
      <c r="N212" s="1024"/>
      <c r="O212" s="1024"/>
      <c r="P212" s="1024"/>
      <c r="Q212" s="1024"/>
      <c r="AJ212" s="1020"/>
      <c r="AW212" s="1020"/>
      <c r="AX212" s="1020"/>
    </row>
    <row r="213" spans="1:50" ht="12" customHeight="1">
      <c r="A213" s="1024"/>
      <c r="B213" s="161"/>
      <c r="C213" s="1024"/>
      <c r="D213" s="1024"/>
      <c r="E213" s="1024"/>
      <c r="F213" s="1024"/>
      <c r="G213" s="1024"/>
      <c r="H213" s="1024"/>
      <c r="I213" s="1024"/>
      <c r="J213" s="1059"/>
      <c r="K213" s="156"/>
      <c r="L213" s="1024"/>
      <c r="M213" s="1033"/>
      <c r="N213" s="1024"/>
      <c r="O213" s="1024"/>
      <c r="P213" s="1024"/>
      <c r="Q213" s="1024"/>
      <c r="AJ213" s="1020"/>
      <c r="AW213" s="1020"/>
      <c r="AX213" s="1020"/>
    </row>
    <row r="214" spans="1:50" ht="12" customHeight="1">
      <c r="A214" s="1024"/>
      <c r="B214" s="161"/>
      <c r="C214" s="1024"/>
      <c r="D214" s="1024"/>
      <c r="E214" s="1024"/>
      <c r="F214" s="1024"/>
      <c r="G214" s="1024"/>
      <c r="H214" s="1024"/>
      <c r="I214" s="1024"/>
      <c r="J214" s="1059"/>
      <c r="K214" s="156"/>
      <c r="L214" s="1024"/>
      <c r="M214" s="1033"/>
      <c r="N214" s="1024"/>
      <c r="O214" s="1024"/>
      <c r="P214" s="1024"/>
      <c r="Q214" s="1024"/>
      <c r="AJ214" s="1020"/>
      <c r="AW214" s="1020"/>
      <c r="AX214" s="1020"/>
    </row>
    <row r="215" spans="1:50" ht="12" customHeight="1">
      <c r="A215" s="1024"/>
      <c r="B215" s="161"/>
      <c r="C215" s="1024"/>
      <c r="D215" s="1024"/>
      <c r="E215" s="1024"/>
      <c r="F215" s="1024"/>
      <c r="G215" s="1024"/>
      <c r="H215" s="1024"/>
      <c r="I215" s="1024"/>
      <c r="J215" s="1059"/>
      <c r="K215" s="156"/>
      <c r="L215" s="1024"/>
      <c r="M215" s="1033"/>
      <c r="N215" s="1024"/>
      <c r="O215" s="1024"/>
      <c r="P215" s="1024"/>
      <c r="Q215" s="1024"/>
      <c r="AJ215" s="1020"/>
      <c r="AW215" s="1020"/>
      <c r="AX215" s="1020"/>
    </row>
    <row r="216" spans="1:50" ht="12" customHeight="1">
      <c r="A216" s="1024"/>
      <c r="B216" s="161"/>
      <c r="C216" s="1024"/>
      <c r="D216" s="1024"/>
      <c r="E216" s="1024"/>
      <c r="F216" s="1024"/>
      <c r="G216" s="1024"/>
      <c r="H216" s="1024"/>
      <c r="I216" s="1024"/>
      <c r="J216" s="1059"/>
      <c r="K216" s="156"/>
      <c r="L216" s="1024"/>
      <c r="M216" s="1033"/>
      <c r="N216" s="1024"/>
      <c r="O216" s="1024"/>
      <c r="P216" s="1024"/>
      <c r="Q216" s="1024"/>
      <c r="AJ216" s="1020"/>
      <c r="AW216" s="1020"/>
      <c r="AX216" s="1020"/>
    </row>
    <row r="217" spans="1:50" ht="12" customHeight="1">
      <c r="A217" s="1024"/>
      <c r="B217" s="161"/>
      <c r="C217" s="1024"/>
      <c r="D217" s="1024"/>
      <c r="E217" s="1024"/>
      <c r="F217" s="1024"/>
      <c r="G217" s="1024"/>
      <c r="H217" s="1024"/>
      <c r="I217" s="1024"/>
      <c r="J217" s="1059"/>
      <c r="K217" s="156"/>
      <c r="L217" s="1024"/>
      <c r="M217" s="1033"/>
      <c r="N217" s="1024"/>
      <c r="O217" s="1024"/>
      <c r="P217" s="1024"/>
      <c r="Q217" s="1024"/>
      <c r="AJ217" s="1020"/>
      <c r="AW217" s="1020"/>
      <c r="AX217" s="1020"/>
    </row>
    <row r="218" spans="1:50" ht="12" customHeight="1">
      <c r="A218" s="1024"/>
      <c r="B218" s="161"/>
      <c r="C218" s="1024"/>
      <c r="D218" s="1024"/>
      <c r="E218" s="1024"/>
      <c r="F218" s="1024"/>
      <c r="G218" s="1024"/>
      <c r="H218" s="1024"/>
      <c r="I218" s="1024"/>
      <c r="J218" s="1059"/>
      <c r="K218" s="156"/>
      <c r="L218" s="1024"/>
      <c r="M218" s="1033"/>
      <c r="N218" s="1024"/>
      <c r="O218" s="1024"/>
      <c r="P218" s="1024"/>
      <c r="Q218" s="1024"/>
      <c r="AJ218" s="1020"/>
      <c r="AW218" s="1020"/>
      <c r="AX218" s="1020"/>
    </row>
    <row r="219" spans="1:50" ht="13.5" customHeight="1">
      <c r="A219" s="1024"/>
      <c r="B219" s="161"/>
      <c r="C219" s="1024"/>
      <c r="D219" s="1024"/>
      <c r="E219" s="1024"/>
      <c r="F219" s="1024"/>
      <c r="G219" s="1024"/>
      <c r="H219" s="1024"/>
      <c r="I219" s="1024"/>
      <c r="J219" s="1059"/>
      <c r="K219" s="156"/>
      <c r="L219" s="1024"/>
      <c r="M219" s="1033"/>
      <c r="N219" s="1024"/>
      <c r="O219" s="1024"/>
      <c r="P219" s="1024"/>
      <c r="Q219" s="1024"/>
      <c r="AJ219" s="1020"/>
      <c r="AW219" s="1020"/>
      <c r="AX219" s="1020"/>
    </row>
    <row r="220" spans="1:50" ht="12" customHeight="1">
      <c r="A220" s="1024"/>
      <c r="B220" s="161"/>
      <c r="C220" s="1024"/>
      <c r="D220" s="1024"/>
      <c r="E220" s="1024"/>
      <c r="F220" s="1024"/>
      <c r="G220" s="1024"/>
      <c r="H220" s="1024"/>
      <c r="I220" s="1024"/>
      <c r="J220" s="1059"/>
      <c r="K220" s="156"/>
      <c r="L220" s="1024"/>
      <c r="M220" s="1033"/>
      <c r="N220" s="1024"/>
      <c r="O220" s="1024"/>
      <c r="P220" s="1024"/>
      <c r="Q220" s="1024"/>
      <c r="AJ220" s="1020"/>
      <c r="AW220" s="1020"/>
      <c r="AX220" s="1020"/>
    </row>
    <row r="221" spans="1:50" ht="12" customHeight="1">
      <c r="A221" s="1024"/>
      <c r="B221" s="161"/>
      <c r="C221" s="1024"/>
      <c r="D221" s="1024"/>
      <c r="E221" s="1024"/>
      <c r="F221" s="1024"/>
      <c r="G221" s="1024"/>
      <c r="H221" s="1024"/>
      <c r="I221" s="1024"/>
      <c r="J221" s="1059"/>
      <c r="K221" s="156"/>
      <c r="L221" s="1024"/>
      <c r="M221" s="1033"/>
      <c r="N221" s="1024"/>
      <c r="O221" s="1024"/>
      <c r="P221" s="1024"/>
      <c r="Q221" s="1024"/>
      <c r="AJ221" s="1020"/>
      <c r="AW221" s="1020"/>
      <c r="AX221" s="1020"/>
    </row>
    <row r="222" spans="1:50" ht="12" customHeight="1">
      <c r="A222" s="1024"/>
      <c r="B222" s="161"/>
      <c r="C222" s="1024"/>
      <c r="D222" s="1024"/>
      <c r="E222" s="1024"/>
      <c r="F222" s="1024"/>
      <c r="G222" s="1024"/>
      <c r="H222" s="1024"/>
      <c r="I222" s="1024"/>
      <c r="J222" s="1059"/>
      <c r="K222" s="156"/>
      <c r="L222" s="1024"/>
      <c r="M222" s="1033"/>
      <c r="N222" s="1024"/>
      <c r="O222" s="1024"/>
      <c r="P222" s="1024"/>
      <c r="Q222" s="1024"/>
      <c r="AJ222" s="1020"/>
      <c r="AW222" s="1020"/>
      <c r="AX222" s="1020"/>
    </row>
    <row r="223" spans="1:50" ht="12" customHeight="1">
      <c r="A223" s="1024"/>
      <c r="B223" s="161"/>
      <c r="C223" s="1024"/>
      <c r="D223" s="1024"/>
      <c r="E223" s="1024"/>
      <c r="F223" s="1024"/>
      <c r="G223" s="1024"/>
      <c r="H223" s="1024"/>
      <c r="I223" s="1024"/>
      <c r="J223" s="1059"/>
      <c r="K223" s="156"/>
      <c r="L223" s="1024"/>
      <c r="M223" s="1033"/>
      <c r="N223" s="1024"/>
      <c r="O223" s="1024"/>
      <c r="P223" s="1024"/>
      <c r="Q223" s="1024"/>
      <c r="AJ223" s="1020"/>
      <c r="AW223" s="1020"/>
      <c r="AX223" s="1020"/>
    </row>
    <row r="224" spans="1:50" ht="12" customHeight="1">
      <c r="A224" s="1024"/>
      <c r="B224" s="161"/>
      <c r="C224" s="1024"/>
      <c r="D224" s="1024"/>
      <c r="E224" s="1024"/>
      <c r="F224" s="1024"/>
      <c r="G224" s="1024"/>
      <c r="H224" s="1024"/>
      <c r="I224" s="1024"/>
      <c r="J224" s="1059"/>
      <c r="K224" s="156"/>
      <c r="L224" s="1024"/>
      <c r="M224" s="1033"/>
      <c r="N224" s="1024"/>
      <c r="O224" s="1024"/>
      <c r="P224" s="1024"/>
      <c r="Q224" s="1024"/>
      <c r="AJ224" s="1020"/>
      <c r="AW224" s="1020"/>
      <c r="AX224" s="1020"/>
    </row>
    <row r="225" spans="1:50" ht="12" customHeight="1">
      <c r="A225" s="1024"/>
      <c r="B225" s="161"/>
      <c r="C225" s="1024"/>
      <c r="D225" s="1024"/>
      <c r="E225" s="1024"/>
      <c r="F225" s="1024"/>
      <c r="G225" s="1024"/>
      <c r="H225" s="1024"/>
      <c r="I225" s="1024"/>
      <c r="J225" s="1059"/>
      <c r="K225" s="156"/>
      <c r="L225" s="1024"/>
      <c r="M225" s="1033"/>
      <c r="N225" s="1024"/>
      <c r="O225" s="1024"/>
      <c r="P225" s="1024"/>
      <c r="Q225" s="1024"/>
      <c r="AJ225" s="1020"/>
      <c r="AW225" s="1020"/>
      <c r="AX225" s="1020"/>
    </row>
    <row r="226" spans="1:50" ht="12" customHeight="1">
      <c r="A226" s="1024"/>
      <c r="B226" s="161"/>
      <c r="C226" s="1024"/>
      <c r="D226" s="1024"/>
      <c r="E226" s="1024"/>
      <c r="F226" s="1024"/>
      <c r="G226" s="1024"/>
      <c r="H226" s="1024"/>
      <c r="I226" s="1024"/>
      <c r="J226" s="1059"/>
      <c r="K226" s="156"/>
      <c r="L226" s="1024"/>
      <c r="M226" s="1033"/>
      <c r="N226" s="1024"/>
      <c r="O226" s="1024"/>
      <c r="P226" s="1024"/>
      <c r="Q226" s="1024"/>
      <c r="AJ226" s="1020"/>
      <c r="AW226" s="1020"/>
      <c r="AX226" s="1020"/>
    </row>
    <row r="227" spans="1:50" ht="12" customHeight="1">
      <c r="A227" s="1024"/>
      <c r="B227" s="161"/>
      <c r="C227" s="1024"/>
      <c r="D227" s="1024"/>
      <c r="E227" s="1024"/>
      <c r="F227" s="1024"/>
      <c r="G227" s="1024"/>
      <c r="H227" s="1024"/>
      <c r="I227" s="1024"/>
      <c r="J227" s="1059"/>
      <c r="K227" s="156"/>
      <c r="L227" s="1024"/>
      <c r="M227" s="1033"/>
      <c r="N227" s="1024"/>
      <c r="O227" s="1024"/>
      <c r="P227" s="1024"/>
      <c r="Q227" s="1024"/>
      <c r="AJ227" s="1020"/>
      <c r="AW227" s="1020"/>
      <c r="AX227" s="1020"/>
    </row>
    <row r="228" spans="1:50" ht="12" customHeight="1">
      <c r="A228" s="1024"/>
      <c r="B228" s="161"/>
      <c r="C228" s="1024"/>
      <c r="D228" s="1024"/>
      <c r="E228" s="1024"/>
      <c r="F228" s="1024"/>
      <c r="G228" s="1024"/>
      <c r="H228" s="1024"/>
      <c r="I228" s="1024"/>
      <c r="J228" s="1059"/>
      <c r="K228" s="156"/>
      <c r="L228" s="1024"/>
      <c r="M228" s="1033"/>
      <c r="N228" s="1024"/>
      <c r="O228" s="1024"/>
      <c r="P228" s="1024"/>
      <c r="Q228" s="1024"/>
      <c r="AJ228" s="1020"/>
      <c r="AW228" s="1020"/>
      <c r="AX228" s="1020"/>
    </row>
    <row r="229" spans="1:50" ht="12" customHeight="1">
      <c r="A229" s="1024"/>
      <c r="B229" s="161"/>
      <c r="C229" s="1024"/>
      <c r="D229" s="1024"/>
      <c r="E229" s="1024"/>
      <c r="F229" s="1024"/>
      <c r="G229" s="1024"/>
      <c r="H229" s="1024"/>
      <c r="I229" s="1024"/>
      <c r="J229" s="1059"/>
      <c r="K229" s="156"/>
      <c r="L229" s="1024"/>
      <c r="M229" s="1033"/>
      <c r="N229" s="1024"/>
      <c r="O229" s="1024"/>
      <c r="P229" s="1024"/>
      <c r="Q229" s="1024"/>
      <c r="AJ229" s="1020"/>
      <c r="AW229" s="1020"/>
      <c r="AX229" s="1020"/>
    </row>
    <row r="230" spans="1:50" ht="12" customHeight="1">
      <c r="A230" s="1024"/>
      <c r="B230" s="161"/>
      <c r="C230" s="1024"/>
      <c r="D230" s="1024"/>
      <c r="E230" s="1024"/>
      <c r="F230" s="1024"/>
      <c r="G230" s="1024"/>
      <c r="H230" s="1024"/>
      <c r="I230" s="1024"/>
      <c r="J230" s="1059"/>
      <c r="K230" s="156"/>
      <c r="L230" s="1024"/>
      <c r="M230" s="1033"/>
      <c r="N230" s="1024"/>
      <c r="O230" s="1024"/>
      <c r="P230" s="1024"/>
      <c r="Q230" s="1024"/>
      <c r="AJ230" s="1020"/>
      <c r="AW230" s="1020"/>
      <c r="AX230" s="1020"/>
    </row>
    <row r="231" spans="1:50" ht="12" customHeight="1">
      <c r="A231" s="88"/>
      <c r="B231" s="161"/>
      <c r="C231" s="1024"/>
      <c r="D231" s="1024"/>
      <c r="E231" s="1024"/>
      <c r="F231" s="1024"/>
      <c r="G231" s="1024"/>
      <c r="H231" s="1024"/>
      <c r="I231" s="1024"/>
      <c r="J231" s="1059"/>
      <c r="K231" s="156"/>
      <c r="L231" s="1024"/>
      <c r="M231" s="1033"/>
      <c r="N231" s="1024"/>
      <c r="O231" s="1024"/>
      <c r="P231" s="1024"/>
      <c r="Q231" s="1024"/>
      <c r="AJ231" s="1020"/>
      <c r="AW231" s="1020"/>
      <c r="AX231" s="1020"/>
    </row>
    <row r="232" spans="1:50" ht="12" customHeight="1">
      <c r="A232" s="88"/>
      <c r="B232" s="161"/>
      <c r="C232" s="1024"/>
      <c r="D232" s="1024"/>
      <c r="E232" s="1024"/>
      <c r="F232" s="1024"/>
      <c r="G232" s="1024"/>
      <c r="H232" s="1024"/>
      <c r="I232" s="1024"/>
      <c r="J232" s="1059"/>
      <c r="K232" s="156"/>
      <c r="L232" s="1024"/>
      <c r="M232" s="1033"/>
      <c r="N232" s="1024"/>
      <c r="O232" s="1024"/>
      <c r="P232" s="1024"/>
      <c r="Q232" s="1024"/>
      <c r="AJ232" s="1020"/>
      <c r="AW232" s="1020"/>
      <c r="AX232" s="1020"/>
    </row>
    <row r="233" spans="1:50" ht="12" customHeight="1">
      <c r="A233" s="88"/>
      <c r="B233" s="161"/>
      <c r="C233" s="1024"/>
      <c r="D233" s="1024"/>
      <c r="E233" s="1024"/>
      <c r="F233" s="1024"/>
      <c r="G233" s="1024"/>
      <c r="H233" s="1024"/>
      <c r="I233" s="1024"/>
      <c r="J233" s="1059"/>
      <c r="K233" s="156"/>
      <c r="L233" s="1024"/>
      <c r="M233" s="1033"/>
      <c r="N233" s="1024"/>
      <c r="O233" s="1024"/>
      <c r="P233" s="1024"/>
      <c r="Q233" s="1024"/>
      <c r="AJ233" s="1020"/>
      <c r="AW233" s="1020"/>
      <c r="AX233" s="1020"/>
    </row>
    <row r="234" spans="1:50" ht="12" customHeight="1">
      <c r="A234" s="88"/>
      <c r="B234" s="161"/>
      <c r="C234" s="1024"/>
      <c r="D234" s="1024"/>
      <c r="E234" s="1024"/>
      <c r="F234" s="1024"/>
      <c r="G234" s="1024"/>
      <c r="H234" s="1024"/>
      <c r="I234" s="1024"/>
      <c r="J234" s="1059"/>
      <c r="K234" s="156"/>
      <c r="L234" s="1024"/>
      <c r="M234" s="1033"/>
      <c r="N234" s="1024"/>
      <c r="O234" s="1024"/>
      <c r="P234" s="1024"/>
      <c r="Q234" s="1024"/>
      <c r="AJ234" s="1020"/>
      <c r="AW234" s="1020"/>
      <c r="AX234" s="1020"/>
    </row>
    <row r="235" spans="1:50" ht="12" customHeight="1">
      <c r="A235" s="88"/>
      <c r="B235" s="88"/>
      <c r="C235" s="88"/>
      <c r="D235" s="92"/>
      <c r="E235" s="1024"/>
      <c r="F235" s="1024"/>
      <c r="G235" s="1024"/>
      <c r="H235" s="1024"/>
      <c r="I235" s="1024"/>
      <c r="J235" s="1059"/>
      <c r="K235" s="156"/>
      <c r="L235" s="1024"/>
      <c r="M235" s="1033"/>
      <c r="N235" s="1024"/>
      <c r="O235" s="1024"/>
      <c r="P235" s="1024"/>
      <c r="Q235" s="1024"/>
      <c r="AJ235" s="1020"/>
      <c r="AW235" s="1020"/>
      <c r="AX235" s="1020"/>
    </row>
    <row r="236" spans="1:50" ht="12" customHeight="1">
      <c r="A236" s="88"/>
      <c r="B236" s="88"/>
      <c r="C236" s="88"/>
      <c r="D236" s="92"/>
      <c r="E236" s="1024"/>
      <c r="F236" s="1024"/>
      <c r="G236" s="1024"/>
      <c r="H236" s="1024"/>
      <c r="I236" s="1024"/>
      <c r="J236" s="1059"/>
      <c r="K236" s="156"/>
      <c r="L236" s="1024"/>
      <c r="M236" s="1033"/>
      <c r="N236" s="1024"/>
      <c r="O236" s="1024"/>
      <c r="P236" s="1024"/>
      <c r="Q236" s="1024"/>
      <c r="AJ236" s="1020"/>
      <c r="AW236" s="1020"/>
      <c r="AX236" s="1020"/>
    </row>
    <row r="237" spans="1:50" ht="12" customHeight="1">
      <c r="A237" s="88"/>
      <c r="B237" s="88"/>
      <c r="C237" s="88"/>
      <c r="D237" s="92"/>
      <c r="E237" s="1024"/>
      <c r="F237" s="1024"/>
      <c r="G237" s="1024"/>
      <c r="H237" s="1024"/>
      <c r="I237" s="1024"/>
      <c r="J237" s="1059"/>
      <c r="K237" s="156"/>
      <c r="L237" s="1024"/>
      <c r="M237" s="1033"/>
      <c r="N237" s="1024"/>
      <c r="O237" s="1024"/>
      <c r="P237" s="1024"/>
      <c r="Q237" s="1024"/>
      <c r="AJ237" s="1020"/>
      <c r="AW237" s="1020"/>
      <c r="AX237" s="1020"/>
    </row>
    <row r="238" spans="1:50" ht="12" customHeight="1">
      <c r="A238" s="86"/>
      <c r="B238" s="88"/>
      <c r="C238" s="88"/>
      <c r="D238" s="92"/>
      <c r="E238" s="1024"/>
      <c r="F238" s="1024"/>
      <c r="G238" s="1024"/>
      <c r="H238" s="1024"/>
      <c r="I238" s="1024"/>
      <c r="J238" s="1059"/>
      <c r="K238" s="156"/>
      <c r="L238" s="1024"/>
      <c r="M238" s="1033"/>
      <c r="N238" s="1024"/>
      <c r="O238" s="1024"/>
      <c r="P238" s="1024"/>
      <c r="Q238" s="1024"/>
      <c r="AJ238" s="1020"/>
      <c r="AW238" s="1020"/>
      <c r="AX238" s="1020"/>
    </row>
    <row r="239" spans="1:50" ht="12" customHeight="1">
      <c r="A239" s="254" t="e">
        <f>(F15-#REF!)*12%</f>
        <v>#REF!</v>
      </c>
      <c r="B239" s="88"/>
      <c r="C239" s="88"/>
      <c r="D239" s="88"/>
      <c r="E239" s="1024"/>
      <c r="F239" s="1027"/>
      <c r="G239" s="1027"/>
      <c r="H239" s="1027"/>
      <c r="I239" s="1027"/>
      <c r="J239" s="1059"/>
      <c r="K239" s="156"/>
      <c r="L239" s="1024"/>
      <c r="M239" s="1033"/>
      <c r="N239" s="1024"/>
      <c r="O239" s="1024"/>
      <c r="P239" s="1024"/>
      <c r="Q239" s="1024"/>
      <c r="AJ239" s="1020"/>
      <c r="AW239" s="1020"/>
      <c r="AX239" s="1020"/>
    </row>
    <row r="240" spans="1:50" ht="12" customHeight="1">
      <c r="A240" s="255"/>
      <c r="B240" s="88"/>
      <c r="C240" s="88"/>
      <c r="D240" s="88"/>
      <c r="E240" s="1024"/>
      <c r="F240" s="1024"/>
      <c r="G240" s="1024"/>
      <c r="H240" s="1024"/>
      <c r="I240" s="1024"/>
      <c r="J240" s="1059"/>
      <c r="K240" s="156"/>
      <c r="L240" s="1024"/>
      <c r="M240" s="1033"/>
      <c r="N240" s="1024"/>
      <c r="O240" s="1024"/>
      <c r="P240" s="1024"/>
      <c r="Q240" s="1024"/>
      <c r="AJ240" s="1020"/>
      <c r="AW240" s="1020"/>
      <c r="AX240" s="1020"/>
    </row>
    <row r="241" spans="1:50" ht="12" customHeight="1">
      <c r="A241" s="86"/>
      <c r="B241" s="88"/>
      <c r="C241" s="88"/>
      <c r="D241" s="180"/>
      <c r="E241" s="181"/>
      <c r="F241" s="181"/>
      <c r="G241" s="181"/>
      <c r="H241" s="181"/>
      <c r="I241" s="182"/>
      <c r="J241" s="1059"/>
      <c r="K241" s="156"/>
      <c r="L241" s="1024"/>
      <c r="M241" s="1033"/>
      <c r="N241" s="1024"/>
      <c r="O241" s="1024"/>
      <c r="P241" s="1024"/>
      <c r="Q241" s="1024"/>
      <c r="AJ241" s="1020"/>
      <c r="AW241" s="1020"/>
      <c r="AX241" s="1020"/>
    </row>
    <row r="242" spans="1:50" ht="17.25" customHeight="1">
      <c r="B242" s="88"/>
      <c r="C242" s="88"/>
      <c r="D242" s="180"/>
      <c r="E242" s="181"/>
      <c r="F242" s="181"/>
      <c r="G242" s="181"/>
      <c r="H242" s="181"/>
      <c r="I242" s="170"/>
      <c r="J242" s="1059"/>
      <c r="K242" s="156"/>
      <c r="L242" s="1024"/>
      <c r="M242" s="1033"/>
      <c r="N242" s="1024"/>
      <c r="O242" s="1024"/>
      <c r="P242" s="1024"/>
      <c r="Q242" s="1024"/>
      <c r="AJ242" s="1020"/>
      <c r="AW242" s="1020"/>
      <c r="AX242" s="1020"/>
    </row>
    <row r="243" spans="1:50" ht="15.75" customHeight="1">
      <c r="B243" s="254"/>
      <c r="C243" s="86"/>
      <c r="D243" s="183"/>
      <c r="E243" s="1070"/>
      <c r="F243" s="184"/>
      <c r="G243" s="184"/>
      <c r="H243" s="184"/>
      <c r="I243" s="182"/>
      <c r="J243" s="1059"/>
      <c r="K243" s="156"/>
      <c r="L243" s="1024"/>
      <c r="M243" s="1033"/>
      <c r="N243" s="1024"/>
      <c r="O243" s="1024"/>
      <c r="P243" s="1024"/>
      <c r="Q243" s="1024"/>
      <c r="AJ243" s="1020"/>
      <c r="AW243" s="1020"/>
      <c r="AX243" s="1020"/>
    </row>
    <row r="244" spans="1:50" ht="12.75" customHeight="1">
      <c r="B244" s="86"/>
      <c r="C244" s="86"/>
      <c r="D244" s="183"/>
      <c r="F244" s="184"/>
      <c r="G244" s="184"/>
      <c r="H244" s="184"/>
      <c r="I244" s="185"/>
      <c r="J244" s="1059"/>
      <c r="K244" s="156"/>
      <c r="L244" s="1024"/>
      <c r="M244" s="1033"/>
      <c r="N244" s="1024"/>
      <c r="O244" s="1024"/>
      <c r="P244" s="1024"/>
      <c r="Q244" s="1024"/>
      <c r="AJ244" s="1020"/>
      <c r="AW244" s="1020"/>
      <c r="AX244" s="1020"/>
    </row>
    <row r="245" spans="1:50" ht="12.75" customHeight="1">
      <c r="B245" s="86"/>
      <c r="C245" s="86"/>
      <c r="D245" s="183"/>
      <c r="E245" s="1070"/>
      <c r="F245" s="1070"/>
      <c r="G245" s="1070"/>
      <c r="H245" s="1070"/>
      <c r="J245" s="1059"/>
      <c r="K245" s="156"/>
      <c r="L245" s="1024"/>
      <c r="M245" s="1033"/>
      <c r="N245" s="1024"/>
      <c r="O245" s="1024"/>
      <c r="P245" s="1024"/>
      <c r="Q245" s="1024"/>
      <c r="AJ245" s="1020"/>
      <c r="AW245" s="1020"/>
      <c r="AX245" s="1020"/>
    </row>
    <row r="246" spans="1:50" ht="12.75" customHeight="1">
      <c r="D246" s="1071"/>
      <c r="E246" s="1070"/>
      <c r="F246" s="1070"/>
      <c r="G246" s="1070"/>
      <c r="H246" s="1070"/>
      <c r="J246" s="1059"/>
      <c r="K246" s="156"/>
      <c r="L246" s="1024"/>
      <c r="M246" s="1033"/>
      <c r="N246" s="1024"/>
      <c r="O246" s="1024"/>
      <c r="P246" s="1024"/>
      <c r="Q246" s="1024"/>
      <c r="AJ246" s="1020"/>
      <c r="AW246" s="1020"/>
      <c r="AX246" s="1020"/>
    </row>
    <row r="247" spans="1:50" ht="12.75" customHeight="1">
      <c r="D247" s="1071"/>
      <c r="E247" s="1070"/>
      <c r="F247" s="1070"/>
      <c r="G247" s="1070"/>
      <c r="H247" s="1070"/>
      <c r="J247" s="1059"/>
      <c r="K247" s="156"/>
      <c r="L247" s="1024"/>
      <c r="M247" s="1033"/>
      <c r="N247" s="1024"/>
      <c r="O247" s="1024"/>
      <c r="P247" s="1024"/>
      <c r="Q247" s="1024"/>
      <c r="AJ247" s="1020"/>
      <c r="AW247" s="1020"/>
      <c r="AX247" s="1020"/>
    </row>
    <row r="248" spans="1:50" ht="12.75" customHeight="1">
      <c r="D248" s="1071"/>
      <c r="E248" s="1070"/>
      <c r="F248" s="1070"/>
      <c r="G248" s="1070"/>
      <c r="H248" s="1070"/>
      <c r="J248" s="1024"/>
      <c r="K248" s="156"/>
      <c r="L248" s="1024"/>
      <c r="M248" s="1033"/>
      <c r="N248" s="1024"/>
      <c r="O248" s="1024"/>
      <c r="P248" s="1024"/>
      <c r="Q248" s="1024"/>
      <c r="AJ248" s="1020"/>
      <c r="AW248" s="1020"/>
      <c r="AX248" s="1020"/>
    </row>
    <row r="249" spans="1:50" ht="12.75" customHeight="1">
      <c r="D249" s="1071"/>
      <c r="E249" s="1070"/>
      <c r="F249" s="1070"/>
      <c r="G249" s="1070"/>
      <c r="H249" s="1070"/>
      <c r="J249" s="1024"/>
      <c r="K249" s="156"/>
      <c r="L249" s="1024"/>
      <c r="M249" s="1033"/>
      <c r="N249" s="1024"/>
      <c r="O249" s="1024"/>
      <c r="P249" s="1024"/>
      <c r="Q249" s="1024"/>
      <c r="AJ249" s="1020"/>
      <c r="AW249" s="1020"/>
      <c r="AX249" s="1020"/>
    </row>
    <row r="250" spans="1:50" ht="12.75" customHeight="1">
      <c r="D250" s="1071"/>
      <c r="E250" s="1070"/>
      <c r="F250" s="1070"/>
      <c r="G250" s="1070"/>
      <c r="H250" s="1070"/>
      <c r="J250" s="1024"/>
      <c r="K250" s="156"/>
      <c r="L250" s="1024"/>
      <c r="M250" s="1033"/>
      <c r="N250" s="1024"/>
      <c r="O250" s="1024"/>
      <c r="P250" s="1024"/>
      <c r="Q250" s="1024"/>
      <c r="AJ250" s="1020"/>
      <c r="AW250" s="1020"/>
      <c r="AX250" s="1020"/>
    </row>
    <row r="251" spans="1:50" ht="12.75" customHeight="1">
      <c r="D251" s="1071"/>
      <c r="E251" s="1070"/>
      <c r="F251" s="1070"/>
      <c r="G251" s="1070"/>
      <c r="H251" s="1070"/>
      <c r="J251" s="1024"/>
      <c r="K251" s="156"/>
      <c r="L251" s="1024"/>
      <c r="M251" s="1033"/>
      <c r="N251" s="1024"/>
      <c r="O251" s="1024"/>
      <c r="P251" s="1024"/>
      <c r="Q251" s="1024"/>
      <c r="AJ251" s="1020"/>
      <c r="AW251" s="1020"/>
      <c r="AX251" s="1020"/>
    </row>
    <row r="252" spans="1:50" ht="12.75" customHeight="1">
      <c r="D252" s="1071"/>
      <c r="E252" s="1070"/>
      <c r="F252" s="1070"/>
      <c r="G252" s="1070"/>
      <c r="H252" s="1070"/>
      <c r="J252" s="1024"/>
      <c r="K252" s="156"/>
      <c r="L252" s="1024"/>
      <c r="M252" s="1033"/>
      <c r="N252" s="1024"/>
      <c r="O252" s="1024"/>
      <c r="P252" s="1024"/>
      <c r="Q252" s="1024"/>
      <c r="AJ252" s="1020"/>
      <c r="AW252" s="1020"/>
      <c r="AX252" s="1020"/>
    </row>
    <row r="253" spans="1:50" ht="12.75" customHeight="1">
      <c r="D253" s="1071"/>
      <c r="E253" s="1070"/>
      <c r="F253" s="1070"/>
      <c r="G253" s="1070"/>
      <c r="H253" s="1070"/>
      <c r="J253" s="1024"/>
      <c r="K253" s="156"/>
      <c r="L253" s="1024"/>
      <c r="M253" s="1033"/>
      <c r="N253" s="1024"/>
      <c r="O253" s="1024"/>
      <c r="P253" s="1024"/>
      <c r="Q253" s="1024"/>
      <c r="AJ253" s="1020"/>
      <c r="AW253" s="1020"/>
      <c r="AX253" s="1020"/>
    </row>
    <row r="254" spans="1:50" ht="12.75" customHeight="1">
      <c r="D254" s="1071"/>
      <c r="E254" s="1070"/>
      <c r="F254" s="1070"/>
      <c r="G254" s="1070"/>
      <c r="H254" s="1070"/>
      <c r="J254" s="1024"/>
      <c r="K254" s="156"/>
      <c r="L254" s="1024"/>
      <c r="M254" s="1033"/>
      <c r="N254" s="1024"/>
      <c r="O254" s="1024"/>
      <c r="P254" s="1024"/>
      <c r="Q254" s="1024"/>
      <c r="AJ254" s="1020"/>
      <c r="AW254" s="1020"/>
      <c r="AX254" s="1020"/>
    </row>
    <row r="255" spans="1:50" ht="12.75" customHeight="1">
      <c r="D255" s="1071"/>
      <c r="E255" s="1070"/>
      <c r="F255" s="1070"/>
      <c r="G255" s="1070"/>
      <c r="H255" s="1070"/>
      <c r="J255" s="1024"/>
      <c r="K255" s="156"/>
      <c r="L255" s="1024"/>
      <c r="M255" s="1033"/>
      <c r="N255" s="1024"/>
      <c r="O255" s="1024"/>
      <c r="P255" s="1024"/>
      <c r="Q255" s="1024"/>
      <c r="AJ255" s="1020"/>
      <c r="AW255" s="1020"/>
      <c r="AX255" s="1020"/>
    </row>
    <row r="256" spans="1:50" ht="12.75" customHeight="1">
      <c r="D256" s="1071"/>
      <c r="E256" s="1070"/>
      <c r="F256" s="1070"/>
      <c r="G256" s="1070"/>
      <c r="H256" s="1070"/>
      <c r="K256" s="156"/>
      <c r="L256" s="1024"/>
      <c r="M256" s="1033"/>
      <c r="N256" s="1024"/>
      <c r="O256" s="1024"/>
      <c r="P256" s="1024"/>
      <c r="Q256" s="1024"/>
      <c r="AJ256" s="1020"/>
      <c r="AW256" s="1020"/>
      <c r="AX256" s="1020"/>
    </row>
    <row r="257" spans="4:50" ht="12.75" customHeight="1">
      <c r="D257" s="1071"/>
      <c r="E257" s="1070"/>
      <c r="F257" s="1070"/>
      <c r="G257" s="1070"/>
      <c r="H257" s="1070"/>
      <c r="K257" s="156"/>
      <c r="L257" s="1024"/>
      <c r="M257" s="1033"/>
      <c r="N257" s="1024"/>
      <c r="O257" s="1024"/>
      <c r="P257" s="1024"/>
      <c r="Q257" s="1024"/>
      <c r="AJ257" s="1020"/>
      <c r="AW257" s="1020"/>
      <c r="AX257" s="1020"/>
    </row>
    <row r="258" spans="4:50" ht="12.75" customHeight="1">
      <c r="D258" s="1071"/>
      <c r="E258" s="1070"/>
      <c r="F258" s="1070"/>
      <c r="G258" s="1070"/>
      <c r="H258" s="1070"/>
      <c r="J258" s="186"/>
      <c r="K258" s="156"/>
      <c r="L258" s="1024"/>
      <c r="M258" s="1033"/>
      <c r="N258" s="1024"/>
      <c r="O258" s="1024"/>
      <c r="P258" s="1024"/>
      <c r="Q258" s="1024"/>
      <c r="AJ258" s="1020"/>
      <c r="AW258" s="1020"/>
      <c r="AX258" s="1020"/>
    </row>
    <row r="259" spans="4:50" ht="12.75" customHeight="1">
      <c r="D259" s="1071"/>
      <c r="E259" s="1070"/>
      <c r="F259" s="1070"/>
      <c r="G259" s="1070"/>
      <c r="H259" s="1070"/>
      <c r="J259" s="182"/>
      <c r="K259" s="156"/>
      <c r="L259" s="1024"/>
      <c r="M259" s="1033"/>
      <c r="N259" s="1024"/>
      <c r="O259" s="1024"/>
      <c r="P259" s="1024"/>
      <c r="Q259" s="1024"/>
      <c r="AJ259" s="1020"/>
      <c r="AW259" s="1020"/>
      <c r="AX259" s="1020"/>
    </row>
    <row r="260" spans="4:50" ht="12.75" customHeight="1">
      <c r="D260" s="1071"/>
      <c r="E260" s="1070"/>
      <c r="F260" s="1070"/>
      <c r="G260" s="1070"/>
      <c r="H260" s="1070"/>
      <c r="J260" s="170"/>
      <c r="K260" s="156"/>
      <c r="L260" s="1024"/>
      <c r="M260" s="1033"/>
      <c r="N260" s="1024"/>
      <c r="O260" s="1024"/>
      <c r="P260" s="1024"/>
      <c r="Q260" s="1024"/>
      <c r="AJ260" s="1020"/>
      <c r="AW260" s="1020"/>
      <c r="AX260" s="1020"/>
    </row>
    <row r="261" spans="4:50" ht="12.75" customHeight="1">
      <c r="D261" s="1071"/>
      <c r="E261" s="1070"/>
      <c r="F261" s="1070"/>
      <c r="G261" s="1070"/>
      <c r="H261" s="1070"/>
      <c r="J261" s="182"/>
      <c r="K261" s="156"/>
      <c r="L261" s="1024"/>
      <c r="M261" s="1033"/>
      <c r="N261" s="1024"/>
      <c r="O261" s="1024"/>
      <c r="P261" s="1024"/>
      <c r="Q261" s="1024"/>
      <c r="AJ261" s="1020"/>
      <c r="AW261" s="1020"/>
      <c r="AX261" s="1020"/>
    </row>
    <row r="262" spans="4:50" ht="12.75" customHeight="1">
      <c r="D262" s="1071"/>
      <c r="E262" s="1070"/>
      <c r="F262" s="1070"/>
      <c r="G262" s="1070"/>
      <c r="H262" s="1070"/>
      <c r="J262" s="185"/>
      <c r="K262" s="156"/>
      <c r="L262" s="1024"/>
      <c r="M262" s="1033"/>
      <c r="N262" s="1024"/>
      <c r="O262" s="1024"/>
      <c r="P262" s="1024"/>
      <c r="Q262" s="1024"/>
      <c r="AJ262" s="1020"/>
      <c r="AW262" s="1020"/>
      <c r="AX262" s="1020"/>
    </row>
    <row r="263" spans="4:50" ht="12.75" customHeight="1">
      <c r="D263" s="1071"/>
      <c r="E263" s="1070"/>
      <c r="F263" s="1070"/>
      <c r="G263" s="1070"/>
      <c r="H263" s="1070"/>
      <c r="K263" s="156"/>
      <c r="L263" s="1024"/>
      <c r="M263" s="1033"/>
      <c r="N263" s="1024"/>
      <c r="O263" s="1024"/>
      <c r="P263" s="1024"/>
      <c r="Q263" s="1024"/>
      <c r="AJ263" s="1020"/>
      <c r="AW263" s="1020"/>
      <c r="AX263" s="1020"/>
    </row>
    <row r="264" spans="4:50" ht="12.75" customHeight="1">
      <c r="D264" s="1071"/>
      <c r="E264" s="1070"/>
      <c r="F264" s="1070"/>
      <c r="G264" s="1070"/>
      <c r="H264" s="1070"/>
      <c r="K264" s="1024"/>
      <c r="L264" s="1024"/>
      <c r="M264" s="1033"/>
      <c r="N264" s="1024"/>
      <c r="O264" s="1024"/>
      <c r="P264" s="1024"/>
      <c r="Q264" s="1024"/>
      <c r="AJ264" s="1020"/>
      <c r="AW264" s="1020"/>
      <c r="AX264" s="1020"/>
    </row>
    <row r="265" spans="4:50" ht="12.75" customHeight="1">
      <c r="D265" s="1071"/>
      <c r="E265" s="1070"/>
      <c r="F265" s="1070"/>
      <c r="G265" s="1070"/>
      <c r="H265" s="1070"/>
      <c r="K265" s="1024"/>
      <c r="L265" s="1024"/>
      <c r="M265" s="1027"/>
      <c r="N265" s="1024"/>
      <c r="O265" s="1024"/>
      <c r="P265" s="1024"/>
      <c r="Q265" s="1024"/>
      <c r="AJ265" s="1020"/>
      <c r="AW265" s="1020"/>
      <c r="AX265" s="1020"/>
    </row>
    <row r="266" spans="4:50" ht="12.75" customHeight="1">
      <c r="D266" s="1071"/>
      <c r="E266" s="1070"/>
      <c r="F266" s="1070"/>
      <c r="G266" s="1070"/>
      <c r="H266" s="1070"/>
      <c r="K266" s="1024"/>
      <c r="L266" s="1024"/>
      <c r="M266" s="1027"/>
      <c r="N266" s="1024"/>
      <c r="O266" s="1024"/>
      <c r="P266" s="1024"/>
      <c r="Q266" s="1024"/>
      <c r="AJ266" s="1020"/>
      <c r="AW266" s="1020"/>
      <c r="AX266" s="1020"/>
    </row>
    <row r="267" spans="4:50" ht="12.75" customHeight="1">
      <c r="D267" s="1071"/>
      <c r="E267" s="1070"/>
      <c r="F267" s="1070"/>
      <c r="G267" s="1070"/>
      <c r="H267" s="1070"/>
      <c r="K267" s="1024"/>
      <c r="L267" s="1024"/>
      <c r="M267" s="1027"/>
      <c r="N267" s="1024"/>
      <c r="O267" s="1024"/>
      <c r="P267" s="1024"/>
      <c r="Q267" s="1024"/>
      <c r="AJ267" s="1020"/>
      <c r="AW267" s="1020"/>
      <c r="AX267" s="1020"/>
    </row>
    <row r="268" spans="4:50" ht="12.75" customHeight="1">
      <c r="D268" s="1071"/>
      <c r="E268" s="1070"/>
      <c r="F268" s="1070"/>
      <c r="G268" s="1070"/>
      <c r="H268" s="1070"/>
      <c r="K268" s="1675"/>
      <c r="L268" s="1675"/>
      <c r="M268" s="1675"/>
      <c r="N268" s="1024"/>
      <c r="O268" s="1024"/>
      <c r="P268" s="1675"/>
      <c r="Q268" s="1675"/>
      <c r="AJ268" s="1020"/>
      <c r="AW268" s="1020"/>
      <c r="AX268" s="1020"/>
    </row>
    <row r="269" spans="4:50" ht="12.75" customHeight="1">
      <c r="D269" s="1071"/>
      <c r="E269" s="1070"/>
      <c r="F269" s="1070"/>
      <c r="G269" s="1070"/>
      <c r="H269" s="1070"/>
      <c r="K269" s="1024"/>
      <c r="L269" s="1671"/>
      <c r="M269" s="1671"/>
      <c r="N269" s="1024"/>
      <c r="O269" s="1024"/>
      <c r="P269" s="1024"/>
      <c r="Q269" s="1024"/>
      <c r="AJ269" s="1020"/>
      <c r="AW269" s="1020"/>
      <c r="AX269" s="1020"/>
    </row>
    <row r="270" spans="4:50" ht="12.75" customHeight="1">
      <c r="D270" s="1071"/>
      <c r="E270" s="1070"/>
      <c r="F270" s="1070"/>
      <c r="G270" s="1070"/>
      <c r="H270" s="1070"/>
      <c r="K270" s="182"/>
      <c r="L270" s="94"/>
      <c r="M270" s="1024"/>
      <c r="N270" s="1024"/>
      <c r="O270" s="1024"/>
      <c r="P270" s="1024"/>
      <c r="Q270" s="1024"/>
      <c r="AJ270" s="1020"/>
      <c r="AW270" s="1020"/>
      <c r="AX270" s="1020"/>
    </row>
    <row r="271" spans="4:50" ht="12.75" customHeight="1">
      <c r="D271" s="1071"/>
      <c r="E271" s="1070"/>
      <c r="F271" s="1070"/>
      <c r="G271" s="1070"/>
      <c r="H271" s="1070"/>
      <c r="K271" s="170"/>
      <c r="L271" s="94"/>
      <c r="M271" s="1024"/>
      <c r="N271" s="1024"/>
      <c r="O271" s="1024"/>
      <c r="P271" s="1024"/>
      <c r="Q271" s="1024"/>
      <c r="AJ271" s="1020"/>
      <c r="AW271" s="1020"/>
      <c r="AX271" s="1020"/>
    </row>
    <row r="272" spans="4:50" ht="12.75" customHeight="1">
      <c r="D272" s="1071"/>
      <c r="E272" s="1070"/>
      <c r="F272" s="1070"/>
      <c r="G272" s="1070"/>
      <c r="H272" s="1070"/>
      <c r="K272" s="182"/>
      <c r="L272" s="185"/>
      <c r="AJ272" s="1020"/>
      <c r="AW272" s="1020"/>
      <c r="AX272" s="1020"/>
    </row>
    <row r="273" spans="4:50" ht="12.75" customHeight="1">
      <c r="D273" s="1071"/>
      <c r="E273" s="1070"/>
      <c r="F273" s="1070"/>
      <c r="G273" s="1070"/>
      <c r="H273" s="1070"/>
      <c r="K273" s="186"/>
      <c r="L273" s="185"/>
      <c r="AJ273" s="1020"/>
      <c r="AW273" s="1020"/>
      <c r="AX273" s="1020"/>
    </row>
    <row r="274" spans="4:50" ht="12.75" customHeight="1">
      <c r="D274" s="1071"/>
      <c r="E274" s="1070"/>
      <c r="F274" s="1070"/>
      <c r="G274" s="1070"/>
      <c r="H274" s="1070"/>
      <c r="K274" s="1066"/>
      <c r="L274" s="1020"/>
      <c r="AJ274" s="1020"/>
      <c r="AW274" s="1020"/>
      <c r="AX274" s="1020"/>
    </row>
    <row r="275" spans="4:50" ht="12.75" customHeight="1">
      <c r="D275" s="1071"/>
      <c r="E275" s="1070"/>
      <c r="F275" s="1070"/>
      <c r="G275" s="1070"/>
      <c r="H275" s="1070"/>
      <c r="K275" s="1066"/>
      <c r="L275" s="1020"/>
      <c r="AJ275" s="1020"/>
      <c r="AW275" s="1020"/>
      <c r="AX275" s="1020"/>
    </row>
    <row r="276" spans="4:50" ht="12.75" customHeight="1">
      <c r="D276" s="1071"/>
      <c r="E276" s="1070"/>
      <c r="F276" s="1070"/>
      <c r="G276" s="1070"/>
      <c r="H276" s="1070"/>
      <c r="K276" s="1066"/>
      <c r="L276" s="1020"/>
      <c r="AJ276" s="1020"/>
      <c r="AW276" s="1020"/>
      <c r="AX276" s="1020"/>
    </row>
    <row r="277" spans="4:50" ht="12.75" customHeight="1">
      <c r="D277" s="1071"/>
      <c r="E277" s="1070"/>
      <c r="F277" s="1070"/>
      <c r="G277" s="1070"/>
      <c r="H277" s="1070"/>
      <c r="K277" s="1066"/>
      <c r="L277" s="1020"/>
      <c r="AJ277" s="1020"/>
      <c r="AW277" s="1020"/>
      <c r="AX277" s="1020"/>
    </row>
    <row r="278" spans="4:50" ht="12.75" customHeight="1">
      <c r="D278" s="1071"/>
      <c r="E278" s="1070"/>
      <c r="F278" s="1070"/>
      <c r="G278" s="1070"/>
      <c r="H278" s="1070"/>
      <c r="K278" s="1066"/>
      <c r="L278" s="1020"/>
      <c r="AJ278" s="1020"/>
      <c r="AW278" s="1020"/>
      <c r="AX278" s="1020"/>
    </row>
    <row r="279" spans="4:50" ht="12.75" customHeight="1">
      <c r="D279" s="1071"/>
      <c r="E279" s="1070"/>
      <c r="F279" s="1070"/>
      <c r="G279" s="1070"/>
      <c r="H279" s="1070"/>
      <c r="K279" s="1066"/>
      <c r="L279" s="1020"/>
      <c r="AJ279" s="1020"/>
      <c r="AW279" s="1020"/>
      <c r="AX279" s="1020"/>
    </row>
    <row r="280" spans="4:50" ht="12.75" customHeight="1">
      <c r="D280" s="1071"/>
      <c r="E280" s="1070"/>
      <c r="F280" s="1070"/>
      <c r="G280" s="1070"/>
      <c r="H280" s="1070"/>
      <c r="K280" s="1066"/>
      <c r="L280" s="1020"/>
      <c r="AJ280" s="1020"/>
      <c r="AW280" s="1020"/>
      <c r="AX280" s="1020"/>
    </row>
    <row r="281" spans="4:50" ht="12.75" customHeight="1">
      <c r="D281" s="1071"/>
      <c r="E281" s="1070"/>
      <c r="F281" s="1070"/>
      <c r="G281" s="1070"/>
      <c r="H281" s="1070"/>
      <c r="K281" s="1066"/>
      <c r="L281" s="1020"/>
      <c r="AJ281" s="1020"/>
      <c r="AW281" s="1020"/>
      <c r="AX281" s="1020"/>
    </row>
    <row r="282" spans="4:50" ht="12.75" customHeight="1">
      <c r="D282" s="1071"/>
      <c r="E282" s="1070"/>
      <c r="F282" s="1070"/>
      <c r="G282" s="1070"/>
      <c r="H282" s="1070"/>
      <c r="K282" s="1066"/>
      <c r="L282" s="1020"/>
      <c r="AJ282" s="1020"/>
      <c r="AW282" s="1020"/>
      <c r="AX282" s="1020"/>
    </row>
    <row r="283" spans="4:50" ht="12.75" customHeight="1">
      <c r="D283" s="1071"/>
      <c r="E283" s="1070"/>
      <c r="F283" s="1070"/>
      <c r="G283" s="1070"/>
      <c r="H283" s="1070"/>
      <c r="K283" s="1066"/>
      <c r="L283" s="1020"/>
      <c r="AJ283" s="1020"/>
      <c r="AW283" s="1020"/>
      <c r="AX283" s="1020"/>
    </row>
    <row r="284" spans="4:50" ht="12.75" customHeight="1">
      <c r="D284" s="1071"/>
      <c r="E284" s="1070"/>
      <c r="F284" s="1070"/>
      <c r="G284" s="1070"/>
      <c r="H284" s="1070"/>
      <c r="K284" s="1066"/>
      <c r="L284" s="1020"/>
      <c r="AJ284" s="1020"/>
      <c r="AW284" s="1020"/>
      <c r="AX284" s="1020"/>
    </row>
    <row r="285" spans="4:50" ht="12.75" customHeight="1">
      <c r="D285" s="1071"/>
      <c r="E285" s="1070"/>
      <c r="F285" s="1070"/>
      <c r="G285" s="1070"/>
      <c r="H285" s="1070"/>
      <c r="K285" s="1066"/>
      <c r="L285" s="1020"/>
      <c r="AJ285" s="1020"/>
      <c r="AW285" s="1020"/>
      <c r="AX285" s="1020"/>
    </row>
    <row r="286" spans="4:50" ht="12.75" customHeight="1">
      <c r="D286" s="1071"/>
      <c r="E286" s="1070"/>
      <c r="F286" s="1070"/>
      <c r="G286" s="1070"/>
      <c r="H286" s="1070"/>
      <c r="AJ286" s="1020"/>
      <c r="AW286" s="1020"/>
      <c r="AX286" s="1020"/>
    </row>
    <row r="287" spans="4:50" ht="12.75" customHeight="1">
      <c r="D287" s="1071"/>
      <c r="E287" s="1070"/>
      <c r="F287" s="1070"/>
      <c r="G287" s="1070"/>
      <c r="H287" s="1070"/>
      <c r="AJ287" s="1020"/>
      <c r="AW287" s="1020"/>
      <c r="AX287" s="1020"/>
    </row>
    <row r="288" spans="4:50" ht="12.75" customHeight="1">
      <c r="D288" s="1071"/>
      <c r="E288" s="1070"/>
      <c r="F288" s="1070"/>
      <c r="G288" s="1070"/>
      <c r="H288" s="1070"/>
      <c r="AJ288" s="1020"/>
      <c r="AW288" s="1020"/>
      <c r="AX288" s="1020"/>
    </row>
    <row r="289" spans="4:50" ht="12.75" customHeight="1">
      <c r="D289" s="1071"/>
      <c r="E289" s="1070"/>
      <c r="F289" s="1070"/>
      <c r="G289" s="1070"/>
      <c r="H289" s="1070"/>
      <c r="AJ289" s="1020"/>
      <c r="AW289" s="1020"/>
      <c r="AX289" s="1020"/>
    </row>
    <row r="290" spans="4:50" ht="12.75" customHeight="1">
      <c r="D290" s="1071"/>
      <c r="E290" s="1070"/>
      <c r="F290" s="1070"/>
      <c r="G290" s="1070"/>
      <c r="H290" s="1070"/>
      <c r="AJ290" s="1020"/>
      <c r="AW290" s="1020"/>
      <c r="AX290" s="1020"/>
    </row>
    <row r="291" spans="4:50" ht="12.75" customHeight="1">
      <c r="D291" s="1071"/>
      <c r="E291" s="1070"/>
      <c r="F291" s="1070"/>
      <c r="G291" s="1070"/>
      <c r="H291" s="1070"/>
      <c r="AJ291" s="1020"/>
      <c r="AW291" s="1020"/>
      <c r="AX291" s="1020"/>
    </row>
    <row r="292" spans="4:50" ht="12.75" customHeight="1">
      <c r="D292" s="1071"/>
      <c r="E292" s="1070"/>
      <c r="F292" s="1070"/>
      <c r="G292" s="1070"/>
      <c r="H292" s="1070"/>
      <c r="AJ292" s="1020"/>
      <c r="AW292" s="1020"/>
      <c r="AX292" s="1020"/>
    </row>
    <row r="293" spans="4:50" ht="12.75" customHeight="1">
      <c r="D293" s="1071"/>
      <c r="E293" s="1070"/>
      <c r="F293" s="1070"/>
      <c r="G293" s="1070"/>
      <c r="H293" s="1070"/>
      <c r="AJ293" s="1020"/>
      <c r="AW293" s="1020"/>
      <c r="AX293" s="1020"/>
    </row>
    <row r="294" spans="4:50" ht="12.75" customHeight="1">
      <c r="D294" s="1071"/>
      <c r="E294" s="1070"/>
      <c r="F294" s="1070"/>
      <c r="G294" s="1070"/>
      <c r="H294" s="1070"/>
      <c r="AJ294" s="1020"/>
      <c r="AW294" s="1020"/>
      <c r="AX294" s="1020"/>
    </row>
    <row r="295" spans="4:50" ht="12.75" customHeight="1">
      <c r="D295" s="1071"/>
      <c r="E295" s="1070"/>
      <c r="F295" s="1070"/>
      <c r="G295" s="1070"/>
      <c r="H295" s="1070"/>
      <c r="AJ295" s="1020"/>
      <c r="AW295" s="1020"/>
      <c r="AX295" s="1020"/>
    </row>
    <row r="296" spans="4:50" ht="12.75" customHeight="1">
      <c r="D296" s="1071"/>
      <c r="E296" s="1070"/>
      <c r="F296" s="1070"/>
      <c r="G296" s="1070"/>
      <c r="H296" s="1070"/>
      <c r="AJ296" s="1020"/>
      <c r="AW296" s="1020"/>
      <c r="AX296" s="1020"/>
    </row>
    <row r="297" spans="4:50" ht="12.75" customHeight="1">
      <c r="D297" s="1071"/>
      <c r="E297" s="1070"/>
      <c r="F297" s="1070"/>
      <c r="G297" s="1070"/>
      <c r="H297" s="1070"/>
      <c r="AJ297" s="1020"/>
      <c r="AW297" s="1020"/>
      <c r="AX297" s="1020"/>
    </row>
    <row r="298" spans="4:50" ht="12.75" customHeight="1">
      <c r="D298" s="1071"/>
      <c r="E298" s="1070"/>
      <c r="F298" s="1070"/>
      <c r="G298" s="1070"/>
      <c r="H298" s="1070"/>
      <c r="AJ298" s="1020"/>
      <c r="AW298" s="1020"/>
      <c r="AX298" s="1020"/>
    </row>
    <row r="299" spans="4:50" ht="12.75" customHeight="1">
      <c r="D299" s="1071"/>
      <c r="E299" s="1070"/>
      <c r="F299" s="1070"/>
      <c r="G299" s="1070"/>
      <c r="H299" s="1070"/>
      <c r="AJ299" s="1020"/>
      <c r="AW299" s="1020"/>
      <c r="AX299" s="1020"/>
    </row>
    <row r="300" spans="4:50" ht="12.75" customHeight="1">
      <c r="D300" s="1071"/>
      <c r="E300" s="1070"/>
      <c r="F300" s="1070"/>
      <c r="G300" s="1070"/>
      <c r="H300" s="1070"/>
      <c r="AJ300" s="1020"/>
      <c r="AW300" s="1020"/>
      <c r="AX300" s="1020"/>
    </row>
    <row r="301" spans="4:50" ht="12.75" customHeight="1">
      <c r="D301" s="1071"/>
      <c r="E301" s="1070"/>
      <c r="F301" s="1070"/>
      <c r="G301" s="1070"/>
      <c r="H301" s="1070"/>
      <c r="AJ301" s="1020"/>
      <c r="AW301" s="1020"/>
      <c r="AX301" s="1020"/>
    </row>
    <row r="302" spans="4:50" ht="12.75" customHeight="1">
      <c r="D302" s="1071"/>
      <c r="E302" s="1070"/>
      <c r="F302" s="1070"/>
      <c r="G302" s="1070"/>
      <c r="H302" s="1070"/>
      <c r="AJ302" s="1020"/>
      <c r="AW302" s="1020"/>
      <c r="AX302" s="1020"/>
    </row>
    <row r="303" spans="4:50" ht="12.75" customHeight="1">
      <c r="D303" s="1071"/>
      <c r="E303" s="1070"/>
      <c r="F303" s="1070"/>
      <c r="G303" s="1070"/>
      <c r="H303" s="1070"/>
      <c r="AJ303" s="1020"/>
      <c r="AW303" s="1020"/>
      <c r="AX303" s="1020"/>
    </row>
    <row r="304" spans="4:50" ht="12.75" customHeight="1">
      <c r="D304" s="1071"/>
      <c r="E304" s="1070"/>
      <c r="F304" s="1070"/>
      <c r="G304" s="1070"/>
      <c r="H304" s="1070"/>
      <c r="AJ304" s="1020"/>
      <c r="AW304" s="1020"/>
      <c r="AX304" s="1020"/>
    </row>
    <row r="305" spans="4:50" ht="12.75" customHeight="1">
      <c r="D305" s="1071"/>
      <c r="E305" s="1070"/>
      <c r="F305" s="1070"/>
      <c r="G305" s="1070"/>
      <c r="H305" s="1070"/>
      <c r="AJ305" s="1020"/>
      <c r="AW305" s="1020"/>
      <c r="AX305" s="1020"/>
    </row>
    <row r="306" spans="4:50" ht="12.75" customHeight="1">
      <c r="D306" s="1071"/>
      <c r="E306" s="1070"/>
      <c r="F306" s="1070"/>
      <c r="G306" s="1070"/>
      <c r="H306" s="1070"/>
      <c r="AJ306" s="1020"/>
      <c r="AW306" s="1020"/>
      <c r="AX306" s="1020"/>
    </row>
    <row r="307" spans="4:50" ht="12.75" customHeight="1">
      <c r="D307" s="1071"/>
      <c r="E307" s="1070"/>
      <c r="F307" s="1070"/>
      <c r="G307" s="1070"/>
      <c r="H307" s="1070"/>
      <c r="AJ307" s="1020"/>
      <c r="AW307" s="1020"/>
      <c r="AX307" s="1020"/>
    </row>
    <row r="308" spans="4:50" ht="12.75" customHeight="1">
      <c r="D308" s="1071"/>
      <c r="E308" s="1070"/>
      <c r="F308" s="1070"/>
      <c r="G308" s="1070"/>
      <c r="H308" s="1070"/>
      <c r="AJ308" s="1020"/>
      <c r="AW308" s="1020"/>
      <c r="AX308" s="1020"/>
    </row>
    <row r="309" spans="4:50" ht="12.75" customHeight="1">
      <c r="D309" s="1071"/>
      <c r="E309" s="1070"/>
      <c r="F309" s="1070"/>
      <c r="G309" s="1070"/>
      <c r="H309" s="1070"/>
      <c r="AJ309" s="1020"/>
      <c r="AW309" s="1020"/>
      <c r="AX309" s="1020"/>
    </row>
    <row r="310" spans="4:50" ht="12.75" customHeight="1">
      <c r="D310" s="1071"/>
      <c r="E310" s="1070"/>
      <c r="F310" s="1070"/>
      <c r="G310" s="1070"/>
      <c r="H310" s="1070"/>
      <c r="AJ310" s="1020"/>
      <c r="AW310" s="1020"/>
      <c r="AX310" s="1020"/>
    </row>
    <row r="311" spans="4:50" ht="12.75" customHeight="1">
      <c r="D311" s="1071"/>
      <c r="E311" s="1070"/>
      <c r="F311" s="1070"/>
      <c r="G311" s="1070"/>
      <c r="H311" s="1070"/>
      <c r="AJ311" s="1020"/>
      <c r="AW311" s="1020"/>
      <c r="AX311" s="1020"/>
    </row>
    <row r="312" spans="4:50" ht="12.75" customHeight="1">
      <c r="D312" s="1071"/>
      <c r="E312" s="1070"/>
      <c r="F312" s="1070"/>
      <c r="G312" s="1070"/>
      <c r="H312" s="1070"/>
      <c r="AJ312" s="1020"/>
      <c r="AW312" s="1020"/>
      <c r="AX312" s="1020"/>
    </row>
    <row r="313" spans="4:50" ht="12.75" customHeight="1">
      <c r="D313" s="1071"/>
      <c r="E313" s="1070"/>
      <c r="F313" s="1070"/>
      <c r="G313" s="1070"/>
      <c r="H313" s="1070"/>
      <c r="AJ313" s="1020"/>
      <c r="AW313" s="1020"/>
      <c r="AX313" s="1020"/>
    </row>
    <row r="314" spans="4:50" ht="12.75" customHeight="1">
      <c r="D314" s="1071"/>
      <c r="E314" s="1070"/>
      <c r="F314" s="1070"/>
      <c r="G314" s="1070"/>
      <c r="H314" s="1070"/>
      <c r="AJ314" s="1020"/>
      <c r="AW314" s="1020"/>
      <c r="AX314" s="1020"/>
    </row>
    <row r="315" spans="4:50" ht="12.75" customHeight="1">
      <c r="D315" s="1071"/>
      <c r="E315" s="1070"/>
      <c r="F315" s="1070"/>
      <c r="G315" s="1070"/>
      <c r="H315" s="1070"/>
      <c r="AJ315" s="1020"/>
      <c r="AW315" s="1020"/>
      <c r="AX315" s="1020"/>
    </row>
    <row r="316" spans="4:50" ht="12.75" customHeight="1">
      <c r="D316" s="1071"/>
      <c r="E316" s="1070"/>
      <c r="F316" s="1070"/>
      <c r="G316" s="1070"/>
      <c r="H316" s="1070"/>
      <c r="AJ316" s="1020"/>
      <c r="AW316" s="1020"/>
      <c r="AX316" s="1020"/>
    </row>
    <row r="317" spans="4:50" ht="12.75" customHeight="1">
      <c r="D317" s="1071"/>
      <c r="E317" s="1070"/>
      <c r="F317" s="1070"/>
      <c r="G317" s="1070"/>
      <c r="H317" s="1070"/>
      <c r="AJ317" s="1020"/>
      <c r="AW317" s="1020"/>
      <c r="AX317" s="1020"/>
    </row>
    <row r="318" spans="4:50" ht="12.75" customHeight="1">
      <c r="D318" s="1071"/>
      <c r="E318" s="1070"/>
      <c r="F318" s="1070"/>
      <c r="G318" s="1070"/>
      <c r="H318" s="1070"/>
      <c r="AJ318" s="1020"/>
      <c r="AW318" s="1020"/>
      <c r="AX318" s="1020"/>
    </row>
    <row r="319" spans="4:50" ht="12.75" customHeight="1">
      <c r="D319" s="1071"/>
      <c r="E319" s="1070"/>
      <c r="F319" s="1070"/>
      <c r="G319" s="1070"/>
      <c r="H319" s="1070"/>
      <c r="AJ319" s="1020"/>
      <c r="AW319" s="1020"/>
      <c r="AX319" s="1020"/>
    </row>
    <row r="320" spans="4:50" ht="12.75" customHeight="1">
      <c r="D320" s="1071"/>
      <c r="E320" s="1070"/>
      <c r="F320" s="1070"/>
      <c r="G320" s="1070"/>
      <c r="H320" s="1070"/>
      <c r="AJ320" s="1020"/>
      <c r="AW320" s="1020"/>
      <c r="AX320" s="1020"/>
    </row>
    <row r="321" spans="4:50" ht="12.75" customHeight="1">
      <c r="D321" s="1071"/>
      <c r="E321" s="1070"/>
      <c r="F321" s="1070"/>
      <c r="G321" s="1070"/>
      <c r="H321" s="1070"/>
      <c r="AJ321" s="1020"/>
      <c r="AW321" s="1020"/>
      <c r="AX321" s="1020"/>
    </row>
    <row r="322" spans="4:50" ht="12.75" customHeight="1">
      <c r="D322" s="1071"/>
      <c r="E322" s="1070"/>
      <c r="F322" s="1070"/>
      <c r="G322" s="1070"/>
      <c r="H322" s="1070"/>
      <c r="AJ322" s="1020"/>
      <c r="AW322" s="1020"/>
      <c r="AX322" s="1020"/>
    </row>
    <row r="323" spans="4:50" ht="12.75" customHeight="1">
      <c r="D323" s="1071"/>
      <c r="E323" s="1070"/>
      <c r="F323" s="1070"/>
      <c r="G323" s="1070"/>
      <c r="H323" s="1070"/>
      <c r="AJ323" s="1020"/>
      <c r="AW323" s="1020"/>
      <c r="AX323" s="1020"/>
    </row>
    <row r="324" spans="4:50" ht="12.75" customHeight="1">
      <c r="D324" s="1071"/>
      <c r="E324" s="1070"/>
      <c r="F324" s="1070"/>
      <c r="G324" s="1070"/>
      <c r="H324" s="1070"/>
      <c r="AJ324" s="1020"/>
      <c r="AW324" s="1020"/>
      <c r="AX324" s="1020"/>
    </row>
    <row r="325" spans="4:50" ht="12.75" customHeight="1">
      <c r="D325" s="1071"/>
      <c r="E325" s="1070"/>
      <c r="F325" s="1070"/>
      <c r="G325" s="1070"/>
      <c r="H325" s="1070"/>
      <c r="AJ325" s="1020"/>
      <c r="AW325" s="1020"/>
      <c r="AX325" s="1020"/>
    </row>
    <row r="326" spans="4:50" ht="12.75" customHeight="1">
      <c r="D326" s="1071"/>
      <c r="E326" s="1070"/>
      <c r="F326" s="1070"/>
      <c r="G326" s="1070"/>
      <c r="H326" s="1070"/>
      <c r="AJ326" s="1020"/>
      <c r="AW326" s="1020"/>
      <c r="AX326" s="1020"/>
    </row>
    <row r="327" spans="4:50" ht="12.75" customHeight="1">
      <c r="D327" s="1071"/>
      <c r="E327" s="1070"/>
      <c r="F327" s="1070"/>
      <c r="G327" s="1070"/>
      <c r="H327" s="1070"/>
      <c r="AJ327" s="1020"/>
      <c r="AW327" s="1020"/>
      <c r="AX327" s="1020"/>
    </row>
    <row r="328" spans="4:50" ht="12.75" customHeight="1">
      <c r="D328" s="1071"/>
      <c r="E328" s="1070"/>
      <c r="F328" s="1070"/>
      <c r="G328" s="1070"/>
      <c r="H328" s="1070"/>
      <c r="AJ328" s="1020"/>
      <c r="AW328" s="1020"/>
      <c r="AX328" s="1020"/>
    </row>
    <row r="329" spans="4:50" ht="12.75" customHeight="1">
      <c r="D329" s="1071"/>
      <c r="E329" s="1070"/>
      <c r="F329" s="1070"/>
      <c r="G329" s="1070"/>
      <c r="H329" s="1070"/>
      <c r="AJ329" s="1020"/>
      <c r="AW329" s="1020"/>
      <c r="AX329" s="1020"/>
    </row>
    <row r="330" spans="4:50" ht="12.75" customHeight="1">
      <c r="D330" s="1071"/>
      <c r="E330" s="1070"/>
      <c r="F330" s="1070"/>
      <c r="G330" s="1070"/>
      <c r="H330" s="1070"/>
      <c r="AJ330" s="1020"/>
      <c r="AW330" s="1020"/>
      <c r="AX330" s="1020"/>
    </row>
    <row r="331" spans="4:50" ht="12.75" customHeight="1">
      <c r="D331" s="1071"/>
      <c r="E331" s="1070"/>
      <c r="F331" s="1070"/>
      <c r="G331" s="1070"/>
      <c r="H331" s="1070"/>
      <c r="AJ331" s="1020"/>
      <c r="AW331" s="1020"/>
      <c r="AX331" s="1020"/>
    </row>
    <row r="332" spans="4:50" ht="12.75" customHeight="1">
      <c r="D332" s="1071"/>
      <c r="E332" s="1070"/>
      <c r="F332" s="1070"/>
      <c r="G332" s="1070"/>
      <c r="H332" s="1070"/>
      <c r="AJ332" s="1020"/>
      <c r="AW332" s="1020"/>
      <c r="AX332" s="1020"/>
    </row>
    <row r="333" spans="4:50" ht="12.75" customHeight="1">
      <c r="D333" s="1071"/>
      <c r="E333" s="1070"/>
      <c r="F333" s="1070"/>
      <c r="G333" s="1070"/>
      <c r="H333" s="1070"/>
      <c r="AJ333" s="1020"/>
      <c r="AW333" s="1020"/>
      <c r="AX333" s="1020"/>
    </row>
    <row r="334" spans="4:50" ht="12.75" customHeight="1">
      <c r="D334" s="1071"/>
      <c r="E334" s="1070"/>
      <c r="F334" s="1070"/>
      <c r="G334" s="1070"/>
      <c r="H334" s="1070"/>
      <c r="AJ334" s="1020"/>
      <c r="AW334" s="1020"/>
      <c r="AX334" s="1020"/>
    </row>
    <row r="335" spans="4:50" ht="12.75" customHeight="1">
      <c r="D335" s="1071"/>
      <c r="E335" s="1070"/>
      <c r="F335" s="1070"/>
      <c r="G335" s="1070"/>
      <c r="H335" s="1070"/>
      <c r="AJ335" s="1020"/>
      <c r="AW335" s="1020"/>
      <c r="AX335" s="1020"/>
    </row>
    <row r="336" spans="4:50" ht="12.75" customHeight="1">
      <c r="D336" s="1071"/>
      <c r="E336" s="1070"/>
      <c r="F336" s="1070"/>
      <c r="G336" s="1070"/>
      <c r="H336" s="1070"/>
      <c r="AJ336" s="1020"/>
      <c r="AW336" s="1020"/>
      <c r="AX336" s="1020"/>
    </row>
    <row r="337" spans="4:50" ht="12.75" customHeight="1">
      <c r="D337" s="1071"/>
      <c r="E337" s="1070"/>
      <c r="F337" s="1070"/>
      <c r="G337" s="1070"/>
      <c r="H337" s="1070"/>
      <c r="AJ337" s="1020"/>
      <c r="AW337" s="1020"/>
      <c r="AX337" s="1020"/>
    </row>
    <row r="338" spans="4:50" ht="12.75" customHeight="1">
      <c r="D338" s="1071"/>
      <c r="E338" s="1070"/>
      <c r="F338" s="1070"/>
      <c r="G338" s="1070"/>
      <c r="H338" s="1070"/>
      <c r="AJ338" s="1020"/>
      <c r="AW338" s="1020"/>
      <c r="AX338" s="1020"/>
    </row>
    <row r="339" spans="4:50" ht="12.75" customHeight="1">
      <c r="D339" s="1071"/>
      <c r="E339" s="1070"/>
      <c r="F339" s="1070"/>
      <c r="G339" s="1070"/>
      <c r="H339" s="1070"/>
      <c r="AJ339" s="1020"/>
      <c r="AW339" s="1020"/>
      <c r="AX339" s="1020"/>
    </row>
    <row r="340" spans="4:50" ht="12.75" customHeight="1">
      <c r="D340" s="1071"/>
      <c r="E340" s="1070"/>
      <c r="F340" s="1070"/>
      <c r="G340" s="1070"/>
      <c r="H340" s="1070"/>
      <c r="AJ340" s="1020"/>
      <c r="AW340" s="1020"/>
      <c r="AX340" s="1020"/>
    </row>
    <row r="341" spans="4:50" ht="12.75" customHeight="1">
      <c r="D341" s="1071"/>
      <c r="E341" s="1070"/>
      <c r="F341" s="1070"/>
      <c r="G341" s="1070"/>
      <c r="H341" s="1070"/>
      <c r="AJ341" s="1020"/>
      <c r="AW341" s="1020"/>
      <c r="AX341" s="1020"/>
    </row>
    <row r="342" spans="4:50" ht="12.75" customHeight="1">
      <c r="D342" s="1071"/>
      <c r="E342" s="1070"/>
      <c r="F342" s="1070"/>
      <c r="G342" s="1070"/>
      <c r="H342" s="1070"/>
      <c r="AJ342" s="1020"/>
      <c r="AW342" s="1020"/>
      <c r="AX342" s="1020"/>
    </row>
    <row r="343" spans="4:50" ht="12.75" customHeight="1">
      <c r="D343" s="1071"/>
      <c r="E343" s="1070"/>
      <c r="F343" s="1070"/>
      <c r="G343" s="1070"/>
      <c r="H343" s="1070"/>
      <c r="AJ343" s="1020"/>
      <c r="AW343" s="1020"/>
      <c r="AX343" s="1020"/>
    </row>
    <row r="344" spans="4:50" ht="12.75" customHeight="1">
      <c r="D344" s="1071"/>
      <c r="E344" s="1070"/>
      <c r="F344" s="1070"/>
      <c r="G344" s="1070"/>
      <c r="H344" s="1070"/>
      <c r="AJ344" s="1020"/>
      <c r="AW344" s="1020"/>
      <c r="AX344" s="1020"/>
    </row>
    <row r="345" spans="4:50" ht="12.75" customHeight="1">
      <c r="D345" s="1071"/>
      <c r="E345" s="1070"/>
      <c r="F345" s="1070"/>
      <c r="G345" s="1070"/>
      <c r="H345" s="1070"/>
      <c r="AJ345" s="1020"/>
      <c r="AW345" s="1020"/>
      <c r="AX345" s="1020"/>
    </row>
    <row r="346" spans="4:50" ht="12.75" customHeight="1">
      <c r="D346" s="1071"/>
      <c r="E346" s="1070"/>
      <c r="F346" s="1070"/>
      <c r="G346" s="1070"/>
      <c r="H346" s="1070"/>
      <c r="AJ346" s="1020"/>
      <c r="AW346" s="1020"/>
      <c r="AX346" s="1020"/>
    </row>
    <row r="347" spans="4:50" ht="12.75" customHeight="1">
      <c r="D347" s="1071"/>
      <c r="E347" s="1070"/>
      <c r="F347" s="1070"/>
      <c r="G347" s="1070"/>
      <c r="H347" s="1070"/>
      <c r="AJ347" s="1020"/>
      <c r="AW347" s="1020"/>
      <c r="AX347" s="1020"/>
    </row>
    <row r="348" spans="4:50" ht="12.75" customHeight="1">
      <c r="D348" s="1071"/>
      <c r="E348" s="1070"/>
      <c r="F348" s="1070"/>
      <c r="G348" s="1070"/>
      <c r="H348" s="1070"/>
      <c r="AJ348" s="1020"/>
      <c r="AW348" s="1020"/>
      <c r="AX348" s="1020"/>
    </row>
    <row r="349" spans="4:50" ht="12.75" customHeight="1">
      <c r="D349" s="1071"/>
      <c r="E349" s="1070"/>
      <c r="F349" s="1070"/>
      <c r="G349" s="1070"/>
      <c r="H349" s="1070"/>
      <c r="AJ349" s="1020"/>
      <c r="AW349" s="1020"/>
      <c r="AX349" s="1020"/>
    </row>
    <row r="350" spans="4:50" ht="12.75" customHeight="1">
      <c r="D350" s="1071"/>
      <c r="E350" s="1070"/>
      <c r="F350" s="1070"/>
      <c r="G350" s="1070"/>
      <c r="H350" s="1070"/>
      <c r="AJ350" s="1020"/>
      <c r="AW350" s="1020"/>
      <c r="AX350" s="1020"/>
    </row>
    <row r="351" spans="4:50" ht="12.75" customHeight="1">
      <c r="D351" s="1071"/>
      <c r="E351" s="1070"/>
      <c r="F351" s="1070"/>
      <c r="G351" s="1070"/>
      <c r="H351" s="1070"/>
      <c r="AJ351" s="1020"/>
      <c r="AW351" s="1020"/>
      <c r="AX351" s="1020"/>
    </row>
    <row r="352" spans="4:50" ht="12.75" customHeight="1">
      <c r="D352" s="1071"/>
      <c r="E352" s="1070"/>
      <c r="F352" s="1070"/>
      <c r="G352" s="1070"/>
      <c r="H352" s="1070"/>
      <c r="AJ352" s="1020"/>
      <c r="AW352" s="1020"/>
      <c r="AX352" s="1020"/>
    </row>
    <row r="353" spans="4:50" ht="12.75" customHeight="1">
      <c r="D353" s="1071"/>
      <c r="E353" s="1070"/>
      <c r="F353" s="1070"/>
      <c r="G353" s="1070"/>
      <c r="H353" s="1070"/>
      <c r="AJ353" s="1020"/>
      <c r="AW353" s="1020"/>
      <c r="AX353" s="1020"/>
    </row>
    <row r="354" spans="4:50" ht="12.75" customHeight="1">
      <c r="D354" s="1071"/>
      <c r="E354" s="1070"/>
      <c r="F354" s="1070"/>
      <c r="G354" s="1070"/>
      <c r="H354" s="1070"/>
      <c r="AJ354" s="1020"/>
      <c r="AW354" s="1020"/>
      <c r="AX354" s="1020"/>
    </row>
    <row r="355" spans="4:50" ht="12.75" customHeight="1">
      <c r="D355" s="1071"/>
      <c r="E355" s="1070"/>
      <c r="F355" s="1070"/>
      <c r="G355" s="1070"/>
      <c r="H355" s="1070"/>
      <c r="AJ355" s="1020"/>
      <c r="AW355" s="1020"/>
      <c r="AX355" s="1020"/>
    </row>
    <row r="356" spans="4:50" ht="12.75" customHeight="1">
      <c r="D356" s="1071"/>
      <c r="E356" s="1070"/>
      <c r="F356" s="1070"/>
      <c r="G356" s="1070"/>
      <c r="H356" s="1070"/>
      <c r="AJ356" s="1020"/>
      <c r="AW356" s="1020"/>
      <c r="AX356" s="1020"/>
    </row>
    <row r="357" spans="4:50" ht="12.75" customHeight="1">
      <c r="D357" s="1071"/>
      <c r="E357" s="1070"/>
      <c r="F357" s="1070"/>
      <c r="G357" s="1070"/>
      <c r="H357" s="1070"/>
      <c r="AJ357" s="1020"/>
      <c r="AW357" s="1020"/>
      <c r="AX357" s="1020"/>
    </row>
    <row r="358" spans="4:50" ht="12.75" customHeight="1">
      <c r="D358" s="1071"/>
      <c r="E358" s="1070"/>
      <c r="F358" s="1070"/>
      <c r="G358" s="1070"/>
      <c r="H358" s="1070"/>
      <c r="AJ358" s="1020"/>
      <c r="AW358" s="1020"/>
      <c r="AX358" s="1020"/>
    </row>
    <row r="359" spans="4:50" ht="12.75" customHeight="1">
      <c r="D359" s="1071"/>
      <c r="E359" s="1070"/>
      <c r="F359" s="1070"/>
      <c r="G359" s="1070"/>
      <c r="H359" s="1070"/>
      <c r="AJ359" s="1020"/>
      <c r="AW359" s="1020"/>
      <c r="AX359" s="1020"/>
    </row>
    <row r="360" spans="4:50" ht="12.75" customHeight="1">
      <c r="D360" s="1071"/>
      <c r="E360" s="1070"/>
      <c r="F360" s="1070"/>
      <c r="G360" s="1070"/>
      <c r="H360" s="1070"/>
      <c r="AJ360" s="1020"/>
      <c r="AW360" s="1020"/>
      <c r="AX360" s="1020"/>
    </row>
    <row r="361" spans="4:50" ht="12.75" customHeight="1">
      <c r="D361" s="1071"/>
      <c r="E361" s="1070"/>
      <c r="F361" s="1070"/>
      <c r="G361" s="1070"/>
      <c r="H361" s="1070"/>
      <c r="AJ361" s="1020"/>
      <c r="AW361" s="1020"/>
      <c r="AX361" s="1020"/>
    </row>
    <row r="362" spans="4:50" ht="12.75" customHeight="1">
      <c r="D362" s="1071"/>
      <c r="E362" s="1070"/>
      <c r="F362" s="1070"/>
      <c r="G362" s="1070"/>
      <c r="H362" s="1070"/>
      <c r="AJ362" s="1020"/>
      <c r="AW362" s="1020"/>
      <c r="AX362" s="1020"/>
    </row>
    <row r="363" spans="4:50" ht="12.75" customHeight="1">
      <c r="D363" s="1071"/>
      <c r="E363" s="1070"/>
      <c r="F363" s="1070"/>
      <c r="G363" s="1070"/>
      <c r="H363" s="1070"/>
      <c r="AJ363" s="1020"/>
      <c r="AW363" s="1020"/>
      <c r="AX363" s="1020"/>
    </row>
    <row r="364" spans="4:50" ht="12.75" customHeight="1">
      <c r="D364" s="1071"/>
      <c r="E364" s="1070"/>
      <c r="F364" s="1070"/>
      <c r="G364" s="1070"/>
      <c r="H364" s="1070"/>
      <c r="AJ364" s="1020"/>
      <c r="AW364" s="1020"/>
      <c r="AX364" s="1020"/>
    </row>
    <row r="365" spans="4:50" ht="12.75" customHeight="1">
      <c r="D365" s="1071"/>
      <c r="E365" s="1070"/>
      <c r="F365" s="1070"/>
      <c r="G365" s="1070"/>
      <c r="H365" s="1070"/>
      <c r="AJ365" s="1020"/>
      <c r="AW365" s="1020"/>
      <c r="AX365" s="1020"/>
    </row>
    <row r="366" spans="4:50" ht="12.75" customHeight="1">
      <c r="D366" s="1071"/>
      <c r="E366" s="1070"/>
      <c r="F366" s="1070"/>
      <c r="G366" s="1070"/>
      <c r="H366" s="1070"/>
      <c r="AJ366" s="1020"/>
      <c r="AW366" s="1020"/>
      <c r="AX366" s="1020"/>
    </row>
    <row r="367" spans="4:50" ht="12.75" customHeight="1">
      <c r="D367" s="1071"/>
      <c r="E367" s="1070"/>
      <c r="F367" s="1070"/>
      <c r="G367" s="1070"/>
      <c r="H367" s="1070"/>
      <c r="AJ367" s="1020"/>
      <c r="AW367" s="1020"/>
      <c r="AX367" s="1020"/>
    </row>
    <row r="368" spans="4:50" ht="12.75" customHeight="1">
      <c r="D368" s="1071"/>
      <c r="E368" s="1070"/>
      <c r="F368" s="1070"/>
      <c r="G368" s="1070"/>
      <c r="H368" s="1070"/>
      <c r="AJ368" s="1020"/>
      <c r="AW368" s="1020"/>
      <c r="AX368" s="1020"/>
    </row>
    <row r="369" spans="4:50" ht="12.75" customHeight="1">
      <c r="D369" s="1071"/>
      <c r="E369" s="1070"/>
      <c r="F369" s="1070"/>
      <c r="G369" s="1070"/>
      <c r="H369" s="1070"/>
      <c r="AJ369" s="1020"/>
      <c r="AW369" s="1020"/>
      <c r="AX369" s="1020"/>
    </row>
    <row r="370" spans="4:50" ht="12.75" customHeight="1">
      <c r="D370" s="1071"/>
      <c r="E370" s="1070"/>
      <c r="F370" s="1070"/>
      <c r="G370" s="1070"/>
      <c r="H370" s="1070"/>
      <c r="AJ370" s="1020"/>
      <c r="AW370" s="1020"/>
      <c r="AX370" s="1020"/>
    </row>
    <row r="371" spans="4:50" ht="12.75" customHeight="1">
      <c r="D371" s="1071"/>
      <c r="E371" s="1070"/>
      <c r="F371" s="1070"/>
      <c r="G371" s="1070"/>
      <c r="H371" s="1070"/>
      <c r="AJ371" s="1020"/>
      <c r="AW371" s="1020"/>
      <c r="AX371" s="1020"/>
    </row>
    <row r="372" spans="4:50" ht="12.75" customHeight="1">
      <c r="D372" s="1071"/>
      <c r="E372" s="1070"/>
      <c r="F372" s="1070"/>
      <c r="G372" s="1070"/>
      <c r="H372" s="1070"/>
      <c r="AJ372" s="1020"/>
      <c r="AW372" s="1020"/>
      <c r="AX372" s="1020"/>
    </row>
    <row r="373" spans="4:50" ht="12.75" customHeight="1">
      <c r="D373" s="1071"/>
      <c r="E373" s="1070"/>
      <c r="F373" s="1070"/>
      <c r="G373" s="1070"/>
      <c r="H373" s="1070"/>
      <c r="AJ373" s="1020"/>
      <c r="AW373" s="1020"/>
      <c r="AX373" s="1020"/>
    </row>
    <row r="374" spans="4:50" ht="12.75" customHeight="1">
      <c r="D374" s="1071"/>
      <c r="E374" s="1070"/>
      <c r="F374" s="1070"/>
      <c r="G374" s="1070"/>
      <c r="H374" s="1070"/>
      <c r="AJ374" s="1020"/>
      <c r="AW374" s="1020"/>
      <c r="AX374" s="1020"/>
    </row>
    <row r="375" spans="4:50" ht="12.75" customHeight="1">
      <c r="D375" s="1071"/>
      <c r="E375" s="1070"/>
      <c r="F375" s="1070"/>
      <c r="G375" s="1070"/>
      <c r="H375" s="1070"/>
      <c r="AJ375" s="1020"/>
      <c r="AW375" s="1020"/>
      <c r="AX375" s="1020"/>
    </row>
    <row r="376" spans="4:50" ht="12.75" customHeight="1">
      <c r="D376" s="1071"/>
      <c r="E376" s="1070"/>
      <c r="F376" s="1070"/>
      <c r="G376" s="1070"/>
      <c r="H376" s="1070"/>
      <c r="AJ376" s="1020"/>
      <c r="AW376" s="1020"/>
      <c r="AX376" s="1020"/>
    </row>
    <row r="377" spans="4:50" ht="12.75" customHeight="1">
      <c r="D377" s="1071"/>
      <c r="E377" s="1070"/>
      <c r="F377" s="1070"/>
      <c r="G377" s="1070"/>
      <c r="H377" s="1070"/>
      <c r="AJ377" s="1020"/>
      <c r="AW377" s="1020"/>
      <c r="AX377" s="1020"/>
    </row>
    <row r="378" spans="4:50" ht="12.75" customHeight="1">
      <c r="D378" s="1071"/>
      <c r="E378" s="1070"/>
      <c r="F378" s="1070"/>
      <c r="G378" s="1070"/>
      <c r="H378" s="1070"/>
      <c r="AJ378" s="1020"/>
      <c r="AW378" s="1020"/>
      <c r="AX378" s="1020"/>
    </row>
    <row r="379" spans="4:50" ht="12.75" customHeight="1">
      <c r="D379" s="1071"/>
      <c r="E379" s="1070"/>
      <c r="F379" s="1070"/>
      <c r="G379" s="1070"/>
      <c r="H379" s="1070"/>
      <c r="AJ379" s="1020"/>
      <c r="AW379" s="1020"/>
      <c r="AX379" s="1020"/>
    </row>
    <row r="380" spans="4:50" ht="12.75" customHeight="1">
      <c r="D380" s="1071"/>
      <c r="E380" s="1070"/>
      <c r="F380" s="1070"/>
      <c r="G380" s="1070"/>
      <c r="H380" s="1070"/>
      <c r="AJ380" s="1020"/>
      <c r="AW380" s="1020"/>
      <c r="AX380" s="1020"/>
    </row>
    <row r="381" spans="4:50" ht="12.75" customHeight="1">
      <c r="D381" s="1071"/>
      <c r="E381" s="1070"/>
      <c r="F381" s="1070"/>
      <c r="G381" s="1070"/>
      <c r="H381" s="1070"/>
      <c r="AJ381" s="1020"/>
      <c r="AW381" s="1020"/>
      <c r="AX381" s="1020"/>
    </row>
    <row r="382" spans="4:50" ht="12.75" customHeight="1">
      <c r="D382" s="1071"/>
      <c r="E382" s="1070"/>
      <c r="F382" s="1070"/>
      <c r="G382" s="1070"/>
      <c r="H382" s="1070"/>
      <c r="AJ382" s="1020"/>
      <c r="AW382" s="1020"/>
      <c r="AX382" s="1020"/>
    </row>
    <row r="383" spans="4:50" ht="12.75" customHeight="1">
      <c r="D383" s="1071"/>
      <c r="E383" s="1070"/>
      <c r="F383" s="1070"/>
      <c r="G383" s="1070"/>
      <c r="H383" s="1070"/>
      <c r="AJ383" s="1020"/>
      <c r="AW383" s="1020"/>
      <c r="AX383" s="1020"/>
    </row>
    <row r="384" spans="4:50" ht="12.75" customHeight="1">
      <c r="D384" s="1071"/>
      <c r="E384" s="1070"/>
      <c r="F384" s="1070"/>
      <c r="G384" s="1070"/>
      <c r="H384" s="1070"/>
      <c r="AF384" s="1072"/>
      <c r="AG384" s="1073"/>
      <c r="AH384" s="1072"/>
      <c r="AJ384" s="1020"/>
      <c r="AW384" s="1020"/>
      <c r="AX384" s="1020"/>
    </row>
    <row r="385" spans="4:53" ht="12.75" customHeight="1">
      <c r="D385" s="1071"/>
      <c r="E385" s="1070"/>
      <c r="F385" s="1070"/>
      <c r="G385" s="1070"/>
      <c r="H385" s="1070"/>
      <c r="AF385" s="1074"/>
      <c r="AG385" s="1074"/>
      <c r="AH385" s="1072"/>
      <c r="AI385" s="1073"/>
      <c r="AJ385" s="1075"/>
      <c r="AK385" s="256"/>
      <c r="AL385" s="257"/>
      <c r="AM385" s="1076"/>
      <c r="AN385" s="1076"/>
      <c r="AO385" s="1077"/>
      <c r="AP385" s="1078"/>
      <c r="AQ385" s="1076"/>
      <c r="AR385" s="1076"/>
      <c r="AS385" s="1079">
        <v>20000</v>
      </c>
      <c r="AT385" s="1076"/>
      <c r="AU385" s="1072">
        <v>24</v>
      </c>
      <c r="AV385" s="1080"/>
      <c r="AW385" s="1081"/>
      <c r="AX385" s="1080"/>
      <c r="AY385" s="1076"/>
      <c r="AZ385" s="1076"/>
      <c r="BA385" s="1076"/>
    </row>
    <row r="386" spans="4:53" ht="12.75" customHeight="1">
      <c r="D386" s="1071"/>
      <c r="E386" s="1070"/>
      <c r="F386" s="1070"/>
      <c r="G386" s="1070"/>
      <c r="H386" s="1070"/>
      <c r="AF386" s="1074"/>
      <c r="AG386" s="1074"/>
      <c r="AH386" s="1072"/>
      <c r="AI386" s="1074"/>
      <c r="AJ386" s="1082"/>
      <c r="AK386" s="258"/>
      <c r="AL386" s="259"/>
      <c r="AM386" s="1079"/>
      <c r="AN386" s="1079"/>
      <c r="AO386" s="1083"/>
      <c r="AP386" s="1084"/>
      <c r="AQ386" s="1079"/>
      <c r="AR386" s="1079"/>
      <c r="AS386" s="1079">
        <v>15000</v>
      </c>
      <c r="AT386" s="1079"/>
      <c r="AU386" s="1074"/>
      <c r="AV386" s="1085"/>
      <c r="AW386" s="1086"/>
      <c r="AX386" s="1085"/>
      <c r="AY386" s="1079"/>
      <c r="AZ386" s="1079"/>
      <c r="BA386" s="1079"/>
    </row>
    <row r="387" spans="4:53" ht="12.75" customHeight="1">
      <c r="D387" s="1071"/>
      <c r="E387" s="1070"/>
      <c r="F387" s="1070"/>
      <c r="G387" s="1070"/>
      <c r="H387" s="1070"/>
      <c r="AF387" s="1074"/>
      <c r="AG387" s="1074"/>
      <c r="AH387" s="1072"/>
      <c r="AI387" s="1074"/>
      <c r="AJ387" s="1082"/>
      <c r="AK387" s="258"/>
      <c r="AL387" s="259"/>
      <c r="AM387" s="1079"/>
      <c r="AN387" s="1079"/>
      <c r="AO387" s="1083"/>
      <c r="AP387" s="1084"/>
      <c r="AQ387" s="1079"/>
      <c r="AR387" s="1079"/>
      <c r="AS387" s="1079"/>
      <c r="AT387" s="1079"/>
      <c r="AU387" s="1074"/>
      <c r="AV387" s="1085"/>
      <c r="AW387" s="1086"/>
      <c r="AX387" s="1085"/>
      <c r="AY387" s="1079"/>
      <c r="AZ387" s="1079"/>
      <c r="BA387" s="1079"/>
    </row>
    <row r="388" spans="4:53" ht="12.75" customHeight="1">
      <c r="D388" s="1071"/>
      <c r="E388" s="1070"/>
      <c r="F388" s="1070"/>
      <c r="G388" s="1070"/>
      <c r="H388" s="1070"/>
      <c r="AF388" s="1074"/>
      <c r="AG388" s="1074"/>
      <c r="AH388" s="1072"/>
      <c r="AI388" s="1074"/>
      <c r="AJ388" s="1082"/>
      <c r="AK388" s="258"/>
      <c r="AL388" s="259"/>
      <c r="AM388" s="1079"/>
      <c r="AN388" s="1079"/>
      <c r="AO388" s="1083"/>
      <c r="AP388" s="1084"/>
      <c r="AQ388" s="1079"/>
      <c r="AR388" s="1079"/>
      <c r="AS388" s="1079"/>
      <c r="AT388" s="1079"/>
      <c r="AU388" s="1074"/>
      <c r="AV388" s="1085"/>
      <c r="AW388" s="1086"/>
      <c r="AX388" s="1085"/>
      <c r="AY388" s="1079"/>
      <c r="AZ388" s="1079"/>
      <c r="BA388" s="1079"/>
    </row>
    <row r="389" spans="4:53" ht="12.75" customHeight="1">
      <c r="D389" s="1071"/>
      <c r="E389" s="1070"/>
      <c r="F389" s="1070"/>
      <c r="G389" s="1070"/>
      <c r="H389" s="1070"/>
      <c r="AF389" s="1074"/>
      <c r="AG389" s="1074"/>
      <c r="AH389" s="1072"/>
      <c r="AI389" s="1074"/>
      <c r="AJ389" s="1082"/>
      <c r="AK389" s="258"/>
      <c r="AL389" s="259"/>
      <c r="AM389" s="1079"/>
      <c r="AN389" s="1079"/>
      <c r="AO389" s="1083"/>
      <c r="AP389" s="1084"/>
      <c r="AQ389" s="1079"/>
      <c r="AR389" s="1079"/>
      <c r="AS389" s="1079"/>
      <c r="AT389" s="1079"/>
      <c r="AU389" s="1074"/>
      <c r="AV389" s="1085"/>
      <c r="AW389" s="1086"/>
      <c r="AX389" s="1085"/>
      <c r="AY389" s="1079"/>
      <c r="AZ389" s="1079"/>
      <c r="BA389" s="1079"/>
    </row>
    <row r="390" spans="4:53" ht="12.75" customHeight="1">
      <c r="D390" s="1071"/>
      <c r="E390" s="1070"/>
      <c r="F390" s="1070"/>
      <c r="G390" s="1070"/>
      <c r="H390" s="1070"/>
      <c r="AF390" s="1074"/>
      <c r="AG390" s="1074"/>
      <c r="AH390" s="1072"/>
      <c r="AI390" s="1074"/>
      <c r="AJ390" s="1082"/>
      <c r="AK390" s="258"/>
      <c r="AL390" s="259"/>
      <c r="AM390" s="1079"/>
      <c r="AN390" s="1079"/>
      <c r="AO390" s="1083"/>
      <c r="AP390" s="1084"/>
      <c r="AQ390" s="1079"/>
      <c r="AR390" s="1079"/>
      <c r="AS390" s="1079"/>
      <c r="AT390" s="1079"/>
      <c r="AU390" s="1074"/>
      <c r="AV390" s="1085"/>
      <c r="AW390" s="1086"/>
      <c r="AX390" s="1085"/>
      <c r="AY390" s="1079"/>
      <c r="AZ390" s="1079"/>
      <c r="BA390" s="1079"/>
    </row>
    <row r="391" spans="4:53" ht="12.75" customHeight="1">
      <c r="D391" s="1071"/>
      <c r="E391" s="1070"/>
      <c r="F391" s="1070"/>
      <c r="G391" s="1070"/>
      <c r="H391" s="1070"/>
      <c r="AF391" s="1074"/>
      <c r="AG391" s="1074"/>
      <c r="AH391" s="1072"/>
      <c r="AI391" s="1074"/>
      <c r="AJ391" s="1082"/>
      <c r="AK391" s="258"/>
      <c r="AL391" s="259"/>
      <c r="AM391" s="1079"/>
      <c r="AN391" s="1079"/>
      <c r="AO391" s="1083"/>
      <c r="AP391" s="1084"/>
      <c r="AQ391" s="1079"/>
      <c r="AR391" s="1079"/>
      <c r="AS391" s="1079"/>
      <c r="AT391" s="1079"/>
      <c r="AU391" s="1074"/>
      <c r="AV391" s="1085"/>
      <c r="AW391" s="1086"/>
      <c r="AX391" s="1085"/>
      <c r="AY391" s="1079"/>
      <c r="AZ391" s="1079"/>
      <c r="BA391" s="1079"/>
    </row>
    <row r="392" spans="4:53" ht="12.75" customHeight="1">
      <c r="D392" s="1071"/>
      <c r="E392" s="1070"/>
      <c r="F392" s="1070"/>
      <c r="G392" s="1070"/>
      <c r="H392" s="1070"/>
      <c r="AF392" s="1074"/>
      <c r="AG392" s="1074"/>
      <c r="AH392" s="1072"/>
      <c r="AI392" s="1074"/>
      <c r="AJ392" s="1082"/>
      <c r="AK392" s="258"/>
      <c r="AL392" s="259"/>
      <c r="AM392" s="1079"/>
      <c r="AN392" s="1079"/>
      <c r="AO392" s="1083"/>
      <c r="AP392" s="1084"/>
      <c r="AQ392" s="1079"/>
      <c r="AR392" s="1079"/>
      <c r="AS392" s="1079"/>
      <c r="AT392" s="1079"/>
      <c r="AU392" s="1074"/>
      <c r="AV392" s="1085"/>
      <c r="AW392" s="1086"/>
      <c r="AX392" s="1085"/>
      <c r="AY392" s="1079"/>
      <c r="AZ392" s="1079"/>
      <c r="BA392" s="1079"/>
    </row>
    <row r="393" spans="4:53" ht="12.75" customHeight="1">
      <c r="D393" s="1071"/>
      <c r="E393" s="1070"/>
      <c r="F393" s="1070"/>
      <c r="G393" s="1070"/>
      <c r="H393" s="1070"/>
      <c r="AF393" s="1074"/>
      <c r="AG393" s="1074"/>
      <c r="AH393" s="1072"/>
      <c r="AI393" s="1074"/>
      <c r="AJ393" s="1082"/>
      <c r="AK393" s="258"/>
      <c r="AL393" s="259"/>
      <c r="AM393" s="1079"/>
      <c r="AN393" s="1079"/>
      <c r="AO393" s="1083"/>
      <c r="AP393" s="1084"/>
      <c r="AQ393" s="1079"/>
      <c r="AR393" s="1079"/>
      <c r="AS393" s="1079"/>
      <c r="AT393" s="1079"/>
      <c r="AU393" s="1074"/>
      <c r="AV393" s="1085"/>
      <c r="AW393" s="1086"/>
      <c r="AX393" s="1085"/>
      <c r="AY393" s="1079"/>
      <c r="AZ393" s="1079"/>
      <c r="BA393" s="1079"/>
    </row>
    <row r="394" spans="4:53" ht="12.75" customHeight="1">
      <c r="D394" s="1071"/>
      <c r="E394" s="1070"/>
      <c r="F394" s="1070"/>
      <c r="G394" s="1070"/>
      <c r="H394" s="1070"/>
      <c r="AF394" s="1066"/>
      <c r="AI394" s="1074"/>
      <c r="AJ394" s="1082"/>
      <c r="AK394" s="258"/>
      <c r="AL394" s="259"/>
      <c r="AM394" s="1079"/>
      <c r="AN394" s="1079"/>
      <c r="AO394" s="1083"/>
      <c r="AP394" s="1084"/>
      <c r="AQ394" s="1079"/>
      <c r="AR394" s="1079"/>
      <c r="AS394" s="1079"/>
      <c r="AT394" s="1079"/>
      <c r="AU394" s="1074"/>
      <c r="AV394" s="1085"/>
      <c r="AW394" s="1086"/>
      <c r="AX394" s="1085"/>
      <c r="AY394" s="1079"/>
      <c r="AZ394" s="1079"/>
      <c r="BA394" s="1079"/>
    </row>
    <row r="395" spans="4:53" ht="12.75" customHeight="1">
      <c r="D395" s="1071"/>
      <c r="E395" s="1070"/>
      <c r="F395" s="1070"/>
      <c r="G395" s="1070"/>
      <c r="H395" s="1070"/>
      <c r="AF395" s="1066"/>
      <c r="AJ395" s="1087"/>
      <c r="AS395" s="1088"/>
    </row>
    <row r="396" spans="4:53" ht="12.75" customHeight="1">
      <c r="D396" s="1071"/>
      <c r="E396" s="1070"/>
      <c r="F396" s="1070"/>
      <c r="G396" s="1070"/>
      <c r="H396" s="1070"/>
      <c r="AF396" s="1066"/>
      <c r="AJ396" s="1087"/>
      <c r="AS396" s="1088"/>
    </row>
    <row r="397" spans="4:53" ht="12.75" customHeight="1">
      <c r="D397" s="1071"/>
      <c r="E397" s="1070"/>
      <c r="F397" s="1070"/>
      <c r="G397" s="1070"/>
      <c r="H397" s="1070"/>
      <c r="AF397" s="1066"/>
      <c r="AJ397" s="1087"/>
      <c r="AS397" s="1088"/>
    </row>
    <row r="398" spans="4:53" ht="12.75" customHeight="1">
      <c r="D398" s="1071"/>
      <c r="E398" s="1070"/>
      <c r="F398" s="1070"/>
      <c r="G398" s="1070"/>
      <c r="H398" s="1070"/>
      <c r="AF398" s="1066"/>
      <c r="AJ398" s="1087"/>
      <c r="AS398" s="1088"/>
    </row>
    <row r="399" spans="4:53" ht="12.75" customHeight="1">
      <c r="D399" s="1071"/>
      <c r="E399" s="1070"/>
      <c r="F399" s="1070"/>
      <c r="G399" s="1070"/>
      <c r="H399" s="1070"/>
      <c r="AF399" s="1066"/>
      <c r="AJ399" s="1087"/>
      <c r="AS399" s="1088"/>
    </row>
    <row r="400" spans="4:53" ht="12.75" customHeight="1">
      <c r="D400" s="1071"/>
      <c r="E400" s="1070"/>
      <c r="F400" s="1070"/>
      <c r="G400" s="1070"/>
      <c r="H400" s="1070"/>
      <c r="AF400" s="1066"/>
      <c r="AJ400" s="1087"/>
      <c r="AS400" s="1088"/>
    </row>
    <row r="401" spans="4:45" ht="12.75" customHeight="1">
      <c r="D401" s="1071"/>
      <c r="E401" s="1070"/>
      <c r="F401" s="1070"/>
      <c r="G401" s="1070"/>
      <c r="H401" s="1070"/>
      <c r="AF401" s="1066"/>
      <c r="AJ401" s="1087"/>
      <c r="AS401" s="1088"/>
    </row>
    <row r="402" spans="4:45" ht="12.75" customHeight="1">
      <c r="D402" s="1071"/>
      <c r="E402" s="1070"/>
      <c r="F402" s="1070"/>
      <c r="G402" s="1070"/>
      <c r="H402" s="1070"/>
      <c r="AJ402" s="1087"/>
      <c r="AS402" s="1088"/>
    </row>
    <row r="403" spans="4:45" ht="12.75" customHeight="1">
      <c r="D403" s="1071"/>
      <c r="E403" s="1070"/>
      <c r="F403" s="1070"/>
      <c r="G403" s="1070"/>
      <c r="H403" s="1070"/>
      <c r="AJ403" s="1087"/>
    </row>
    <row r="404" spans="4:45" ht="12.75" customHeight="1">
      <c r="D404" s="1071"/>
      <c r="E404" s="1070"/>
      <c r="F404" s="1070"/>
      <c r="G404" s="1070"/>
      <c r="H404" s="1070"/>
      <c r="AJ404" s="1087"/>
    </row>
    <row r="405" spans="4:45" ht="12.75" customHeight="1">
      <c r="D405" s="1071"/>
      <c r="E405" s="1070"/>
      <c r="F405" s="1070"/>
      <c r="G405" s="1070"/>
      <c r="H405" s="1070"/>
      <c r="AJ405" s="1087"/>
    </row>
    <row r="406" spans="4:45" ht="12.75" customHeight="1">
      <c r="D406" s="1071"/>
      <c r="E406" s="1070"/>
      <c r="F406" s="1070"/>
      <c r="G406" s="1070"/>
      <c r="H406" s="1070"/>
      <c r="AJ406" s="1087"/>
    </row>
    <row r="407" spans="4:45" ht="12.75" customHeight="1">
      <c r="D407" s="1071"/>
      <c r="E407" s="1070"/>
      <c r="F407" s="1070"/>
      <c r="G407" s="1070"/>
      <c r="H407" s="1070"/>
      <c r="AJ407" s="1087"/>
    </row>
    <row r="408" spans="4:45" ht="12.75" customHeight="1">
      <c r="D408" s="1071"/>
      <c r="E408" s="1070"/>
      <c r="F408" s="1070"/>
      <c r="G408" s="1070"/>
      <c r="H408" s="1070"/>
      <c r="AJ408" s="1087"/>
    </row>
    <row r="409" spans="4:45" ht="12.75" customHeight="1">
      <c r="D409" s="1071"/>
      <c r="E409" s="1070"/>
      <c r="F409" s="1070"/>
      <c r="G409" s="1070"/>
      <c r="H409" s="1070"/>
      <c r="AJ409" s="1087"/>
    </row>
    <row r="410" spans="4:45" ht="12.75" customHeight="1">
      <c r="D410" s="1071"/>
      <c r="E410" s="1070"/>
      <c r="F410" s="1070"/>
      <c r="G410" s="1070"/>
      <c r="H410" s="1070"/>
    </row>
    <row r="411" spans="4:45" ht="12.75" customHeight="1">
      <c r="D411" s="1071"/>
      <c r="E411" s="1070"/>
      <c r="F411" s="1070"/>
      <c r="G411" s="1070"/>
      <c r="H411" s="1070"/>
    </row>
    <row r="412" spans="4:45" ht="12.75" customHeight="1">
      <c r="D412" s="1071"/>
      <c r="E412" s="1070"/>
      <c r="F412" s="1070"/>
      <c r="G412" s="1070"/>
      <c r="H412" s="1070"/>
    </row>
    <row r="413" spans="4:45" ht="12.75" customHeight="1">
      <c r="D413" s="1071"/>
      <c r="E413" s="1070"/>
      <c r="F413" s="1070"/>
      <c r="G413" s="1070"/>
      <c r="H413" s="1070"/>
    </row>
    <row r="414" spans="4:45" ht="12.75" customHeight="1">
      <c r="D414" s="1071"/>
      <c r="E414" s="1070"/>
      <c r="F414" s="1070"/>
      <c r="G414" s="1070"/>
      <c r="H414" s="1070"/>
    </row>
    <row r="415" spans="4:45" ht="12.75" customHeight="1">
      <c r="D415" s="1071"/>
      <c r="E415" s="1070"/>
      <c r="F415" s="1070"/>
      <c r="G415" s="1070"/>
      <c r="H415" s="1070"/>
    </row>
    <row r="416" spans="4:45" ht="12.75" customHeight="1">
      <c r="D416" s="1071"/>
      <c r="E416" s="1070"/>
      <c r="F416" s="1070"/>
      <c r="G416" s="1070"/>
      <c r="H416" s="1070"/>
    </row>
    <row r="417" spans="4:8" ht="12.75" customHeight="1">
      <c r="D417" s="1071"/>
      <c r="E417" s="1070"/>
      <c r="F417" s="1070"/>
      <c r="G417" s="1070"/>
      <c r="H417" s="1070"/>
    </row>
    <row r="418" spans="4:8" ht="12.75" customHeight="1">
      <c r="D418" s="1071"/>
      <c r="E418" s="1070"/>
      <c r="F418" s="1070"/>
      <c r="G418" s="1070"/>
      <c r="H418" s="1070"/>
    </row>
    <row r="419" spans="4:8" ht="12.75" customHeight="1">
      <c r="D419" s="1071"/>
      <c r="E419" s="1070"/>
      <c r="F419" s="1070"/>
      <c r="G419" s="1070"/>
      <c r="H419" s="1070"/>
    </row>
    <row r="420" spans="4:8" ht="12.75" customHeight="1">
      <c r="D420" s="1071"/>
      <c r="E420" s="1070"/>
      <c r="F420" s="1070"/>
      <c r="G420" s="1070"/>
      <c r="H420" s="1070"/>
    </row>
    <row r="421" spans="4:8" ht="12.75" customHeight="1">
      <c r="D421" s="1071"/>
      <c r="E421" s="1070"/>
      <c r="F421" s="1070"/>
      <c r="G421" s="1070"/>
      <c r="H421" s="1070"/>
    </row>
    <row r="422" spans="4:8" ht="12.75" customHeight="1">
      <c r="D422" s="1071"/>
      <c r="E422" s="1070"/>
      <c r="F422" s="1070"/>
      <c r="G422" s="1070"/>
      <c r="H422" s="1070"/>
    </row>
    <row r="423" spans="4:8" ht="12.75" customHeight="1">
      <c r="D423" s="1071"/>
      <c r="E423" s="1070"/>
      <c r="F423" s="1070"/>
      <c r="G423" s="1070"/>
      <c r="H423" s="1070"/>
    </row>
    <row r="424" spans="4:8" ht="12.75" customHeight="1">
      <c r="D424" s="1071"/>
      <c r="E424" s="1070"/>
      <c r="F424" s="1070"/>
      <c r="G424" s="1070"/>
      <c r="H424" s="1070"/>
    </row>
    <row r="425" spans="4:8" ht="12.75" customHeight="1">
      <c r="D425" s="1071"/>
      <c r="E425" s="1070"/>
      <c r="F425" s="1070"/>
      <c r="G425" s="1070"/>
      <c r="H425" s="1070"/>
    </row>
    <row r="426" spans="4:8" ht="12.75" customHeight="1">
      <c r="D426" s="1071"/>
      <c r="E426" s="1070"/>
      <c r="F426" s="1070"/>
      <c r="G426" s="1070"/>
      <c r="H426" s="1070"/>
    </row>
    <row r="427" spans="4:8" ht="12.75" customHeight="1">
      <c r="D427" s="1071"/>
      <c r="E427" s="1070"/>
      <c r="F427" s="1070"/>
      <c r="G427" s="1070"/>
      <c r="H427" s="1070"/>
    </row>
    <row r="428" spans="4:8" ht="12.75" customHeight="1">
      <c r="D428" s="1071"/>
      <c r="E428" s="1070"/>
      <c r="F428" s="1070"/>
      <c r="G428" s="1070"/>
      <c r="H428" s="1070"/>
    </row>
    <row r="429" spans="4:8" ht="12.75" customHeight="1">
      <c r="D429" s="1071"/>
      <c r="E429" s="1070"/>
      <c r="F429" s="1070"/>
      <c r="G429" s="1070"/>
      <c r="H429" s="1070"/>
    </row>
    <row r="430" spans="4:8" ht="12.75" customHeight="1">
      <c r="D430" s="1071"/>
      <c r="E430" s="1070"/>
      <c r="F430" s="1070"/>
      <c r="G430" s="1070"/>
      <c r="H430" s="1070"/>
    </row>
    <row r="431" spans="4:8" ht="12.75" customHeight="1">
      <c r="D431" s="1071"/>
      <c r="E431" s="1070"/>
      <c r="F431" s="1070"/>
      <c r="G431" s="1070"/>
      <c r="H431" s="1070"/>
    </row>
    <row r="432" spans="4:8" ht="12.75" customHeight="1">
      <c r="D432" s="1071"/>
      <c r="E432" s="1070"/>
      <c r="F432" s="1070"/>
      <c r="G432" s="1070"/>
      <c r="H432" s="1070"/>
    </row>
    <row r="433" spans="4:8" ht="12.75" customHeight="1">
      <c r="D433" s="1071"/>
      <c r="E433" s="1070"/>
      <c r="F433" s="1070"/>
      <c r="G433" s="1070"/>
      <c r="H433" s="1070"/>
    </row>
    <row r="434" spans="4:8" ht="12.75" customHeight="1">
      <c r="D434" s="1071"/>
      <c r="E434" s="1070"/>
      <c r="F434" s="1070"/>
      <c r="G434" s="1070"/>
      <c r="H434" s="1070"/>
    </row>
    <row r="435" spans="4:8" ht="12.75" customHeight="1">
      <c r="D435" s="1071"/>
      <c r="E435" s="1070"/>
      <c r="F435" s="1070"/>
      <c r="G435" s="1070"/>
      <c r="H435" s="1070"/>
    </row>
    <row r="436" spans="4:8" ht="12.75" customHeight="1">
      <c r="D436" s="1071"/>
      <c r="E436" s="1070"/>
      <c r="F436" s="1070"/>
      <c r="G436" s="1070"/>
      <c r="H436" s="1070"/>
    </row>
    <row r="437" spans="4:8" ht="12.75" customHeight="1">
      <c r="D437" s="1071"/>
      <c r="E437" s="1070"/>
      <c r="F437" s="1070"/>
      <c r="G437" s="1070"/>
      <c r="H437" s="1070"/>
    </row>
    <row r="438" spans="4:8" ht="12.75" customHeight="1">
      <c r="D438" s="1071"/>
      <c r="E438" s="1070"/>
      <c r="F438" s="1070"/>
      <c r="G438" s="1070"/>
      <c r="H438" s="1070"/>
    </row>
    <row r="439" spans="4:8" ht="12.75" customHeight="1">
      <c r="D439" s="1071"/>
      <c r="E439" s="1070"/>
      <c r="F439" s="1070"/>
      <c r="G439" s="1070"/>
      <c r="H439" s="1070"/>
    </row>
    <row r="440" spans="4:8" ht="12.75" customHeight="1">
      <c r="D440" s="1071"/>
      <c r="E440" s="1070"/>
      <c r="F440" s="1070"/>
      <c r="G440" s="1070"/>
      <c r="H440" s="1070"/>
    </row>
    <row r="441" spans="4:8" ht="12.75" customHeight="1">
      <c r="D441" s="1071"/>
      <c r="E441" s="1070"/>
      <c r="F441" s="1070"/>
      <c r="G441" s="1070"/>
      <c r="H441" s="1070"/>
    </row>
    <row r="442" spans="4:8" ht="12.75" customHeight="1">
      <c r="D442" s="1071"/>
      <c r="E442" s="1070"/>
      <c r="F442" s="1070"/>
      <c r="G442" s="1070"/>
      <c r="H442" s="1070"/>
    </row>
    <row r="443" spans="4:8" ht="12.75" customHeight="1">
      <c r="D443" s="1071"/>
      <c r="E443" s="1070"/>
      <c r="F443" s="1070"/>
      <c r="G443" s="1070"/>
      <c r="H443" s="1070"/>
    </row>
    <row r="444" spans="4:8" ht="12.75" customHeight="1">
      <c r="D444" s="1071"/>
      <c r="E444" s="1070"/>
      <c r="F444" s="1070"/>
      <c r="G444" s="1070"/>
      <c r="H444" s="1070"/>
    </row>
    <row r="445" spans="4:8" ht="12.75" customHeight="1">
      <c r="D445" s="1071"/>
      <c r="E445" s="1070"/>
      <c r="F445" s="1070"/>
      <c r="G445" s="1070"/>
      <c r="H445" s="1070"/>
    </row>
    <row r="446" spans="4:8" ht="12.75" customHeight="1">
      <c r="D446" s="1071"/>
      <c r="E446" s="1070"/>
      <c r="F446" s="1070"/>
      <c r="G446" s="1070"/>
      <c r="H446" s="1070"/>
    </row>
    <row r="447" spans="4:8" ht="12.75" customHeight="1">
      <c r="D447" s="1071"/>
      <c r="E447" s="1070"/>
      <c r="F447" s="1070"/>
      <c r="G447" s="1070"/>
      <c r="H447" s="1070"/>
    </row>
    <row r="448" spans="4:8" ht="12.75" customHeight="1">
      <c r="D448" s="1071"/>
      <c r="E448" s="1070"/>
      <c r="F448" s="1070"/>
      <c r="G448" s="1070"/>
      <c r="H448" s="1070"/>
    </row>
    <row r="449" spans="4:8" ht="12.75" customHeight="1">
      <c r="D449" s="1071"/>
      <c r="E449" s="1070"/>
      <c r="F449" s="1070"/>
      <c r="G449" s="1070"/>
      <c r="H449" s="1070"/>
    </row>
    <row r="450" spans="4:8" ht="12.75" customHeight="1">
      <c r="D450" s="1071"/>
      <c r="E450" s="1070"/>
      <c r="F450" s="1070"/>
      <c r="G450" s="1070"/>
      <c r="H450" s="1070"/>
    </row>
    <row r="451" spans="4:8" ht="12.75" customHeight="1">
      <c r="D451" s="1071"/>
      <c r="E451" s="1070"/>
      <c r="F451" s="1070"/>
      <c r="G451" s="1070"/>
      <c r="H451" s="1070"/>
    </row>
    <row r="452" spans="4:8" ht="12.75" customHeight="1">
      <c r="D452" s="1071"/>
      <c r="E452" s="1070"/>
      <c r="F452" s="1070"/>
      <c r="G452" s="1070"/>
      <c r="H452" s="1070"/>
    </row>
    <row r="453" spans="4:8" ht="12.75" customHeight="1">
      <c r="D453" s="1071"/>
      <c r="E453" s="1070"/>
      <c r="F453" s="1070"/>
      <c r="G453" s="1070"/>
      <c r="H453" s="1070"/>
    </row>
    <row r="454" spans="4:8" ht="12.75" customHeight="1">
      <c r="D454" s="1071"/>
      <c r="E454" s="1070"/>
      <c r="F454" s="1070"/>
      <c r="G454" s="1070"/>
      <c r="H454" s="1070"/>
    </row>
    <row r="455" spans="4:8" ht="12.75" customHeight="1">
      <c r="D455" s="1071"/>
      <c r="E455" s="1070"/>
      <c r="F455" s="1070"/>
      <c r="G455" s="1070"/>
      <c r="H455" s="1070"/>
    </row>
    <row r="456" spans="4:8" ht="12.75" customHeight="1">
      <c r="D456" s="1071"/>
      <c r="E456" s="1070"/>
      <c r="F456" s="1070"/>
      <c r="G456" s="1070"/>
      <c r="H456" s="1070"/>
    </row>
    <row r="457" spans="4:8" ht="12.75" customHeight="1">
      <c r="D457" s="1071"/>
      <c r="E457" s="1070"/>
      <c r="F457" s="1070"/>
      <c r="G457" s="1070"/>
      <c r="H457" s="1070"/>
    </row>
    <row r="458" spans="4:8" ht="12.75" customHeight="1">
      <c r="D458" s="1071"/>
      <c r="E458" s="1070"/>
      <c r="F458" s="1070"/>
      <c r="G458" s="1070"/>
      <c r="H458" s="1070"/>
    </row>
    <row r="459" spans="4:8" ht="12.75" customHeight="1">
      <c r="D459" s="1071"/>
      <c r="E459" s="1070"/>
      <c r="F459" s="1070"/>
      <c r="G459" s="1070"/>
      <c r="H459" s="1070"/>
    </row>
    <row r="460" spans="4:8" ht="12.75" customHeight="1">
      <c r="D460" s="1071"/>
      <c r="E460" s="1070"/>
      <c r="F460" s="1070"/>
      <c r="G460" s="1070"/>
      <c r="H460" s="1070"/>
    </row>
    <row r="461" spans="4:8" ht="12.75" customHeight="1">
      <c r="D461" s="1071"/>
      <c r="E461" s="1070"/>
      <c r="F461" s="1070"/>
      <c r="G461" s="1070"/>
      <c r="H461" s="1070"/>
    </row>
    <row r="462" spans="4:8" ht="12.75" customHeight="1">
      <c r="D462" s="1071"/>
      <c r="E462" s="1070"/>
      <c r="F462" s="1070"/>
      <c r="G462" s="1070"/>
      <c r="H462" s="1070"/>
    </row>
    <row r="463" spans="4:8" ht="12.75" customHeight="1">
      <c r="D463" s="1071"/>
      <c r="E463" s="1070"/>
      <c r="F463" s="1070"/>
      <c r="G463" s="1070"/>
      <c r="H463" s="1070"/>
    </row>
    <row r="464" spans="4:8" ht="12.75" customHeight="1">
      <c r="D464" s="1071"/>
      <c r="E464" s="1070"/>
      <c r="F464" s="1070"/>
      <c r="G464" s="1070"/>
      <c r="H464" s="1070"/>
    </row>
    <row r="465" spans="4:8" ht="12.75" customHeight="1">
      <c r="D465" s="1071"/>
      <c r="E465" s="1070"/>
      <c r="F465" s="1070"/>
      <c r="G465" s="1070"/>
      <c r="H465" s="1070"/>
    </row>
    <row r="466" spans="4:8" ht="12.75" customHeight="1">
      <c r="D466" s="1071"/>
      <c r="E466" s="1070"/>
      <c r="F466" s="1070"/>
      <c r="G466" s="1070"/>
      <c r="H466" s="1070"/>
    </row>
    <row r="467" spans="4:8" ht="12.75" customHeight="1">
      <c r="D467" s="1071"/>
      <c r="E467" s="1070"/>
      <c r="F467" s="1070"/>
      <c r="G467" s="1070"/>
      <c r="H467" s="1070"/>
    </row>
    <row r="468" spans="4:8" ht="12.75" customHeight="1">
      <c r="D468" s="1071"/>
      <c r="E468" s="1070"/>
      <c r="F468" s="1070"/>
      <c r="G468" s="1070"/>
      <c r="H468" s="1070"/>
    </row>
    <row r="469" spans="4:8" ht="12.75" customHeight="1">
      <c r="D469" s="1071"/>
      <c r="E469" s="1070"/>
      <c r="F469" s="1070"/>
      <c r="G469" s="1070"/>
      <c r="H469" s="1070"/>
    </row>
    <row r="470" spans="4:8" ht="12.75" customHeight="1">
      <c r="D470" s="1071"/>
      <c r="E470" s="1070"/>
      <c r="F470" s="1070"/>
      <c r="G470" s="1070"/>
      <c r="H470" s="1070"/>
    </row>
    <row r="471" spans="4:8" ht="12.75" customHeight="1">
      <c r="D471" s="1071"/>
      <c r="E471" s="1070"/>
      <c r="F471" s="1070"/>
      <c r="G471" s="1070"/>
      <c r="H471" s="1070"/>
    </row>
    <row r="472" spans="4:8" ht="12.75" customHeight="1">
      <c r="D472" s="1071"/>
      <c r="E472" s="1070"/>
      <c r="F472" s="1070"/>
      <c r="G472" s="1070"/>
      <c r="H472" s="1070"/>
    </row>
    <row r="473" spans="4:8" ht="12.75" customHeight="1">
      <c r="D473" s="1071"/>
      <c r="E473" s="1070"/>
      <c r="F473" s="1070"/>
      <c r="G473" s="1070"/>
      <c r="H473" s="1070"/>
    </row>
    <row r="474" spans="4:8" ht="12.75" customHeight="1">
      <c r="D474" s="1071"/>
      <c r="E474" s="1070"/>
      <c r="F474" s="1070"/>
      <c r="G474" s="1070"/>
      <c r="H474" s="1070"/>
    </row>
    <row r="475" spans="4:8" ht="12.75" customHeight="1">
      <c r="D475" s="1071"/>
      <c r="E475" s="1070"/>
      <c r="F475" s="1070"/>
      <c r="G475" s="1070"/>
      <c r="H475" s="1070"/>
    </row>
    <row r="476" spans="4:8" ht="12.75" customHeight="1">
      <c r="D476" s="1071"/>
      <c r="E476" s="1070"/>
      <c r="F476" s="1070"/>
      <c r="G476" s="1070"/>
      <c r="H476" s="1070"/>
    </row>
    <row r="477" spans="4:8" ht="12.75" customHeight="1">
      <c r="D477" s="1071"/>
      <c r="E477" s="1070"/>
      <c r="F477" s="1070"/>
      <c r="G477" s="1070"/>
      <c r="H477" s="1070"/>
    </row>
    <row r="478" spans="4:8" ht="12.75" customHeight="1">
      <c r="D478" s="1071"/>
      <c r="E478" s="1070"/>
      <c r="F478" s="1070"/>
      <c r="G478" s="1070"/>
      <c r="H478" s="1070"/>
    </row>
    <row r="479" spans="4:8" ht="12.75" customHeight="1">
      <c r="D479" s="1071"/>
      <c r="E479" s="1070"/>
      <c r="F479" s="1070"/>
      <c r="G479" s="1070"/>
      <c r="H479" s="1070"/>
    </row>
    <row r="480" spans="4:8" ht="12.75" customHeight="1">
      <c r="D480" s="1071"/>
      <c r="E480" s="1070"/>
      <c r="F480" s="1070"/>
      <c r="G480" s="1070"/>
      <c r="H480" s="1070"/>
    </row>
    <row r="481" spans="4:8" ht="12.75" customHeight="1">
      <c r="D481" s="1071"/>
      <c r="E481" s="1070"/>
      <c r="F481" s="1070"/>
      <c r="G481" s="1070"/>
      <c r="H481" s="1070"/>
    </row>
    <row r="482" spans="4:8" ht="12.75" customHeight="1">
      <c r="D482" s="1071"/>
      <c r="E482" s="1070"/>
      <c r="F482" s="1070"/>
      <c r="G482" s="1070"/>
      <c r="H482" s="1070"/>
    </row>
    <row r="483" spans="4:8" ht="12.75" customHeight="1">
      <c r="D483" s="1071"/>
      <c r="E483" s="1070"/>
      <c r="F483" s="1070"/>
      <c r="G483" s="1070"/>
      <c r="H483" s="1070"/>
    </row>
    <row r="484" spans="4:8" ht="12.75" customHeight="1">
      <c r="D484" s="1071"/>
      <c r="E484" s="1070"/>
      <c r="F484" s="1070"/>
      <c r="G484" s="1070"/>
      <c r="H484" s="1070"/>
    </row>
    <row r="485" spans="4:8" ht="12.75" customHeight="1">
      <c r="D485" s="1071"/>
      <c r="E485" s="1070"/>
      <c r="F485" s="1070"/>
      <c r="G485" s="1070"/>
      <c r="H485" s="1070"/>
    </row>
    <row r="486" spans="4:8" ht="12.75" customHeight="1">
      <c r="D486" s="1071"/>
      <c r="E486" s="1070"/>
      <c r="F486" s="1070"/>
      <c r="G486" s="1070"/>
      <c r="H486" s="1070"/>
    </row>
    <row r="487" spans="4:8" ht="12.75" customHeight="1">
      <c r="D487" s="1071"/>
      <c r="E487" s="1070"/>
      <c r="F487" s="1070"/>
      <c r="G487" s="1070"/>
      <c r="H487" s="1070"/>
    </row>
    <row r="488" spans="4:8" ht="12.75" customHeight="1">
      <c r="D488" s="1071"/>
      <c r="E488" s="1070"/>
      <c r="F488" s="1070"/>
      <c r="G488" s="1070"/>
      <c r="H488" s="1070"/>
    </row>
    <row r="489" spans="4:8" ht="12.75" customHeight="1">
      <c r="D489" s="1071"/>
      <c r="E489" s="1070"/>
      <c r="F489" s="1070"/>
      <c r="G489" s="1070"/>
      <c r="H489" s="1070"/>
    </row>
    <row r="490" spans="4:8" ht="12.75" customHeight="1">
      <c r="D490" s="1071"/>
      <c r="E490" s="1070"/>
      <c r="F490" s="1070"/>
      <c r="G490" s="1070"/>
      <c r="H490" s="1070"/>
    </row>
    <row r="491" spans="4:8" ht="12.75" customHeight="1">
      <c r="D491" s="1071"/>
      <c r="E491" s="1070"/>
      <c r="F491" s="1070"/>
      <c r="G491" s="1070"/>
      <c r="H491" s="1070"/>
    </row>
    <row r="492" spans="4:8" ht="12.75" customHeight="1">
      <c r="D492" s="1071"/>
      <c r="E492" s="1070"/>
      <c r="F492" s="1070"/>
      <c r="G492" s="1070"/>
      <c r="H492" s="1070"/>
    </row>
    <row r="493" spans="4:8" ht="12.75" customHeight="1">
      <c r="D493" s="1071"/>
      <c r="E493" s="1070"/>
      <c r="F493" s="1070"/>
      <c r="G493" s="1070"/>
      <c r="H493" s="1070"/>
    </row>
    <row r="494" spans="4:8" ht="12.75" customHeight="1">
      <c r="D494" s="1071"/>
      <c r="E494" s="1070"/>
      <c r="F494" s="1070"/>
      <c r="G494" s="1070"/>
      <c r="H494" s="1070"/>
    </row>
    <row r="495" spans="4:8" ht="12.75" customHeight="1">
      <c r="D495" s="1071"/>
      <c r="E495" s="1070"/>
      <c r="F495" s="1070"/>
      <c r="G495" s="1070"/>
      <c r="H495" s="1070"/>
    </row>
    <row r="496" spans="4:8" ht="12.75" customHeight="1">
      <c r="D496" s="1071"/>
      <c r="E496" s="1070"/>
      <c r="F496" s="1070"/>
      <c r="G496" s="1070"/>
      <c r="H496" s="1070"/>
    </row>
    <row r="497" spans="4:8" ht="12.75" customHeight="1">
      <c r="D497" s="1071"/>
      <c r="E497" s="1070"/>
      <c r="F497" s="1070"/>
      <c r="G497" s="1070"/>
      <c r="H497" s="1070"/>
    </row>
    <row r="498" spans="4:8" ht="12.75" customHeight="1">
      <c r="D498" s="1071"/>
      <c r="E498" s="1070"/>
      <c r="F498" s="1070"/>
      <c r="G498" s="1070"/>
      <c r="H498" s="1070"/>
    </row>
    <row r="499" spans="4:8" ht="12.75" customHeight="1">
      <c r="D499" s="1071"/>
      <c r="E499" s="1070"/>
      <c r="F499" s="1070"/>
      <c r="G499" s="1070"/>
      <c r="H499" s="1070"/>
    </row>
    <row r="500" spans="4:8" ht="12.75" customHeight="1">
      <c r="D500" s="1071"/>
      <c r="E500" s="1070"/>
      <c r="F500" s="1070"/>
      <c r="G500" s="1070"/>
      <c r="H500" s="1070"/>
    </row>
    <row r="501" spans="4:8" ht="12.75" customHeight="1">
      <c r="D501" s="1071"/>
      <c r="E501" s="1070"/>
      <c r="F501" s="1070"/>
      <c r="G501" s="1070"/>
      <c r="H501" s="1070"/>
    </row>
    <row r="502" spans="4:8" ht="12.75" customHeight="1">
      <c r="D502" s="1071"/>
      <c r="E502" s="1070"/>
      <c r="F502" s="1070"/>
      <c r="G502" s="1070"/>
      <c r="H502" s="1070"/>
    </row>
    <row r="503" spans="4:8" ht="12.75" customHeight="1">
      <c r="D503" s="1071"/>
      <c r="E503" s="1070"/>
      <c r="F503" s="1070"/>
      <c r="G503" s="1070"/>
      <c r="H503" s="1070"/>
    </row>
    <row r="504" spans="4:8" ht="12.75" customHeight="1">
      <c r="D504" s="1071"/>
      <c r="E504" s="1070"/>
      <c r="F504" s="1070"/>
      <c r="G504" s="1070"/>
      <c r="H504" s="1070"/>
    </row>
    <row r="505" spans="4:8" ht="12.75" customHeight="1">
      <c r="D505" s="1071"/>
      <c r="E505" s="1070"/>
      <c r="F505" s="1070"/>
      <c r="G505" s="1070"/>
      <c r="H505" s="1070"/>
    </row>
    <row r="506" spans="4:8" ht="12.75" customHeight="1">
      <c r="D506" s="1071"/>
      <c r="E506" s="1070"/>
      <c r="F506" s="1070"/>
      <c r="G506" s="1070"/>
      <c r="H506" s="1070"/>
    </row>
    <row r="507" spans="4:8" ht="12.75" customHeight="1">
      <c r="D507" s="1071"/>
      <c r="E507" s="1070"/>
      <c r="F507" s="1070"/>
      <c r="G507" s="1070"/>
      <c r="H507" s="1070"/>
    </row>
    <row r="508" spans="4:8" ht="12.75" customHeight="1">
      <c r="D508" s="1071"/>
      <c r="E508" s="1070"/>
      <c r="F508" s="1070"/>
      <c r="G508" s="1070"/>
      <c r="H508" s="1070"/>
    </row>
    <row r="509" spans="4:8" ht="12.75" customHeight="1">
      <c r="D509" s="1071"/>
      <c r="E509" s="1070"/>
      <c r="F509" s="1070"/>
      <c r="G509" s="1070"/>
      <c r="H509" s="1070"/>
    </row>
    <row r="510" spans="4:8" ht="12.75" customHeight="1">
      <c r="D510" s="1071"/>
      <c r="E510" s="1070"/>
      <c r="F510" s="1070"/>
      <c r="G510" s="1070"/>
      <c r="H510" s="1070"/>
    </row>
    <row r="511" spans="4:8" ht="12.75" customHeight="1">
      <c r="D511" s="1071"/>
      <c r="E511" s="1070"/>
      <c r="F511" s="1070"/>
      <c r="G511" s="1070"/>
      <c r="H511" s="1070"/>
    </row>
    <row r="512" spans="4:8" ht="12.75" customHeight="1">
      <c r="D512" s="1071"/>
      <c r="E512" s="1070"/>
      <c r="F512" s="1070"/>
      <c r="G512" s="1070"/>
      <c r="H512" s="1070"/>
    </row>
    <row r="513" spans="4:8" ht="12.75" customHeight="1">
      <c r="D513" s="1071"/>
      <c r="E513" s="1070"/>
      <c r="F513" s="1070"/>
      <c r="G513" s="1070"/>
      <c r="H513" s="1070"/>
    </row>
    <row r="514" spans="4:8" ht="12.75" customHeight="1">
      <c r="D514" s="1071"/>
      <c r="E514" s="1070"/>
      <c r="F514" s="1070"/>
      <c r="G514" s="1070"/>
      <c r="H514" s="1070"/>
    </row>
    <row r="515" spans="4:8" ht="12.75" customHeight="1">
      <c r="D515" s="1071"/>
      <c r="E515" s="1070"/>
      <c r="F515" s="1070"/>
      <c r="G515" s="1070"/>
      <c r="H515" s="1070"/>
    </row>
    <row r="516" spans="4:8" ht="12.75" customHeight="1">
      <c r="D516" s="1071"/>
      <c r="E516" s="1070"/>
      <c r="F516" s="1070"/>
      <c r="G516" s="1070"/>
      <c r="H516" s="1070"/>
    </row>
    <row r="517" spans="4:8" ht="12.75" customHeight="1">
      <c r="D517" s="1071"/>
      <c r="E517" s="1070"/>
      <c r="F517" s="1070"/>
      <c r="G517" s="1070"/>
      <c r="H517" s="1070"/>
    </row>
    <row r="518" spans="4:8" ht="12.75" customHeight="1">
      <c r="D518" s="1071"/>
      <c r="E518" s="1070"/>
      <c r="F518" s="1070"/>
      <c r="G518" s="1070"/>
      <c r="H518" s="1070"/>
    </row>
    <row r="519" spans="4:8" ht="12.75" customHeight="1">
      <c r="D519" s="1071"/>
      <c r="E519" s="1070"/>
      <c r="F519" s="1070"/>
      <c r="G519" s="1070"/>
      <c r="H519" s="1070"/>
    </row>
    <row r="520" spans="4:8" ht="12.75" customHeight="1">
      <c r="D520" s="1071"/>
      <c r="E520" s="1070"/>
      <c r="F520" s="1070"/>
      <c r="G520" s="1070"/>
      <c r="H520" s="1070"/>
    </row>
    <row r="521" spans="4:8" ht="12.75" customHeight="1">
      <c r="D521" s="1071"/>
      <c r="E521" s="1070"/>
      <c r="F521" s="1070"/>
      <c r="G521" s="1070"/>
      <c r="H521" s="1070"/>
    </row>
    <row r="522" spans="4:8" ht="12.75" customHeight="1">
      <c r="D522" s="1071"/>
      <c r="E522" s="1070"/>
      <c r="F522" s="1070"/>
      <c r="G522" s="1070"/>
      <c r="H522" s="1070"/>
    </row>
    <row r="523" spans="4:8" ht="12.75" customHeight="1">
      <c r="D523" s="1071"/>
      <c r="E523" s="1070"/>
      <c r="F523" s="1070"/>
      <c r="G523" s="1070"/>
      <c r="H523" s="1070"/>
    </row>
    <row r="524" spans="4:8" ht="12.75" customHeight="1">
      <c r="D524" s="1071"/>
      <c r="E524" s="1070"/>
      <c r="F524" s="1070"/>
      <c r="G524" s="1070"/>
      <c r="H524" s="1070"/>
    </row>
    <row r="525" spans="4:8" ht="12.75" customHeight="1">
      <c r="D525" s="1071"/>
      <c r="E525" s="1070"/>
      <c r="F525" s="1070"/>
      <c r="G525" s="1070"/>
      <c r="H525" s="1070"/>
    </row>
    <row r="526" spans="4:8" ht="12.75" customHeight="1">
      <c r="D526" s="1071"/>
      <c r="E526" s="1070"/>
      <c r="F526" s="1070"/>
      <c r="G526" s="1070"/>
      <c r="H526" s="1070"/>
    </row>
    <row r="527" spans="4:8" ht="12.75" customHeight="1">
      <c r="D527" s="1071"/>
      <c r="E527" s="1070"/>
      <c r="F527" s="1070"/>
      <c r="G527" s="1070"/>
      <c r="H527" s="1070"/>
    </row>
    <row r="528" spans="4:8" ht="12.75" customHeight="1">
      <c r="D528" s="1071"/>
      <c r="E528" s="1070"/>
      <c r="F528" s="1070"/>
      <c r="G528" s="1070"/>
      <c r="H528" s="1070"/>
    </row>
    <row r="529" spans="4:8" ht="12.75" customHeight="1">
      <c r="D529" s="1071"/>
      <c r="E529" s="1070"/>
      <c r="F529" s="1070"/>
      <c r="G529" s="1070"/>
      <c r="H529" s="1070"/>
    </row>
    <row r="530" spans="4:8" ht="12.75" customHeight="1">
      <c r="D530" s="1071"/>
      <c r="E530" s="1070"/>
      <c r="F530" s="1070"/>
      <c r="G530" s="1070"/>
      <c r="H530" s="1070"/>
    </row>
    <row r="531" spans="4:8" ht="12.75" customHeight="1">
      <c r="D531" s="1071"/>
      <c r="E531" s="1070"/>
      <c r="F531" s="1070"/>
      <c r="G531" s="1070"/>
      <c r="H531" s="1070"/>
    </row>
    <row r="532" spans="4:8" ht="12.75" customHeight="1">
      <c r="D532" s="1071"/>
      <c r="E532" s="1070"/>
      <c r="F532" s="1070"/>
      <c r="G532" s="1070"/>
      <c r="H532" s="1070"/>
    </row>
    <row r="533" spans="4:8" ht="12.75" customHeight="1">
      <c r="D533" s="1071"/>
      <c r="E533" s="1070"/>
      <c r="F533" s="1070"/>
      <c r="G533" s="1070"/>
      <c r="H533" s="1070"/>
    </row>
    <row r="534" spans="4:8" ht="12.75" customHeight="1">
      <c r="D534" s="1071"/>
      <c r="E534" s="1070"/>
      <c r="F534" s="1070"/>
      <c r="G534" s="1070"/>
      <c r="H534" s="1070"/>
    </row>
    <row r="535" spans="4:8" ht="12.75" customHeight="1">
      <c r="D535" s="1071"/>
      <c r="E535" s="1070"/>
      <c r="F535" s="1070"/>
      <c r="G535" s="1070"/>
      <c r="H535" s="1070"/>
    </row>
    <row r="536" spans="4:8" ht="12.75" customHeight="1">
      <c r="D536" s="1071"/>
      <c r="E536" s="1070"/>
      <c r="F536" s="1070"/>
      <c r="G536" s="1070"/>
      <c r="H536" s="1070"/>
    </row>
    <row r="537" spans="4:8" ht="12.75" customHeight="1">
      <c r="D537" s="1071"/>
      <c r="E537" s="1070"/>
      <c r="F537" s="1070"/>
      <c r="G537" s="1070"/>
      <c r="H537" s="1070"/>
    </row>
    <row r="538" spans="4:8" ht="12.75" customHeight="1">
      <c r="D538" s="1071"/>
      <c r="E538" s="1070"/>
      <c r="F538" s="1070"/>
      <c r="G538" s="1070"/>
      <c r="H538" s="1070"/>
    </row>
    <row r="539" spans="4:8" ht="12.75" customHeight="1">
      <c r="D539" s="1071"/>
      <c r="E539" s="1070"/>
      <c r="F539" s="1070"/>
      <c r="G539" s="1070"/>
      <c r="H539" s="1070"/>
    </row>
    <row r="540" spans="4:8" ht="12.75" customHeight="1">
      <c r="D540" s="1071"/>
      <c r="E540" s="1070"/>
      <c r="F540" s="1070"/>
      <c r="G540" s="1070"/>
      <c r="H540" s="1070"/>
    </row>
    <row r="541" spans="4:8" ht="12.75" customHeight="1">
      <c r="D541" s="1071"/>
      <c r="E541" s="1070"/>
      <c r="F541" s="1070"/>
      <c r="G541" s="1070"/>
      <c r="H541" s="1070"/>
    </row>
    <row r="542" spans="4:8" ht="12.75" customHeight="1">
      <c r="D542" s="1071"/>
      <c r="E542" s="1070"/>
      <c r="F542" s="1070"/>
      <c r="G542" s="1070"/>
      <c r="H542" s="1070"/>
    </row>
    <row r="543" spans="4:8" ht="12.75" customHeight="1">
      <c r="D543" s="1071"/>
      <c r="E543" s="1070"/>
      <c r="F543" s="1070"/>
      <c r="G543" s="1070"/>
      <c r="H543" s="1070"/>
    </row>
    <row r="544" spans="4:8" ht="12.75" customHeight="1">
      <c r="D544" s="1071"/>
      <c r="E544" s="1070"/>
      <c r="F544" s="1070"/>
      <c r="G544" s="1070"/>
      <c r="H544" s="1070"/>
    </row>
    <row r="545" spans="4:8" ht="12.75" customHeight="1">
      <c r="D545" s="1071"/>
      <c r="E545" s="1070"/>
      <c r="F545" s="1070"/>
      <c r="G545" s="1070"/>
      <c r="H545" s="1070"/>
    </row>
    <row r="546" spans="4:8" ht="12.75" customHeight="1">
      <c r="D546" s="1071"/>
      <c r="E546" s="1070"/>
      <c r="F546" s="1070"/>
      <c r="G546" s="1070"/>
      <c r="H546" s="1070"/>
    </row>
    <row r="547" spans="4:8" ht="12.75" customHeight="1">
      <c r="D547" s="1071"/>
      <c r="E547" s="1070"/>
      <c r="F547" s="1070"/>
      <c r="G547" s="1070"/>
      <c r="H547" s="1070"/>
    </row>
    <row r="548" spans="4:8" ht="12.75" customHeight="1">
      <c r="D548" s="1071"/>
      <c r="E548" s="1070"/>
      <c r="F548" s="1070"/>
      <c r="G548" s="1070"/>
      <c r="H548" s="1070"/>
    </row>
    <row r="549" spans="4:8" ht="12.75" customHeight="1">
      <c r="D549" s="1071"/>
      <c r="E549" s="1070"/>
      <c r="F549" s="1070"/>
      <c r="G549" s="1070"/>
      <c r="H549" s="1070"/>
    </row>
    <row r="550" spans="4:8" ht="12.75" customHeight="1">
      <c r="D550" s="1071"/>
      <c r="E550" s="1070"/>
      <c r="F550" s="1070"/>
      <c r="G550" s="1070"/>
      <c r="H550" s="1070"/>
    </row>
    <row r="551" spans="4:8" ht="12.75" customHeight="1">
      <c r="D551" s="1071"/>
      <c r="E551" s="1070"/>
      <c r="F551" s="1070"/>
      <c r="G551" s="1070"/>
      <c r="H551" s="1070"/>
    </row>
    <row r="552" spans="4:8" ht="12.75" customHeight="1">
      <c r="D552" s="1071"/>
      <c r="E552" s="1070"/>
      <c r="F552" s="1070"/>
      <c r="G552" s="1070"/>
      <c r="H552" s="1070"/>
    </row>
    <row r="553" spans="4:8" ht="12.75" customHeight="1">
      <c r="D553" s="1071"/>
      <c r="E553" s="1070"/>
      <c r="F553" s="1070"/>
      <c r="G553" s="1070"/>
      <c r="H553" s="1070"/>
    </row>
    <row r="554" spans="4:8" ht="12.75" customHeight="1">
      <c r="D554" s="1071"/>
      <c r="E554" s="1070"/>
      <c r="F554" s="1070"/>
      <c r="G554" s="1070"/>
      <c r="H554" s="1070"/>
    </row>
    <row r="555" spans="4:8" ht="12.75" customHeight="1">
      <c r="D555" s="1071"/>
      <c r="E555" s="1070"/>
      <c r="F555" s="1070"/>
      <c r="G555" s="1070"/>
      <c r="H555" s="1070"/>
    </row>
    <row r="556" spans="4:8" ht="12.75" customHeight="1">
      <c r="D556" s="1071"/>
      <c r="E556" s="1070"/>
      <c r="F556" s="1070"/>
      <c r="G556" s="1070"/>
      <c r="H556" s="1070"/>
    </row>
    <row r="557" spans="4:8" ht="12.75" customHeight="1">
      <c r="D557" s="1071"/>
      <c r="E557" s="1070"/>
      <c r="F557" s="1070"/>
      <c r="G557" s="1070"/>
      <c r="H557" s="1070"/>
    </row>
    <row r="558" spans="4:8" ht="12.75" customHeight="1">
      <c r="D558" s="1071"/>
      <c r="E558" s="1070"/>
      <c r="F558" s="1070"/>
      <c r="G558" s="1070"/>
      <c r="H558" s="1070"/>
    </row>
    <row r="559" spans="4:8" ht="12.75" customHeight="1">
      <c r="D559" s="1071"/>
      <c r="E559" s="1070"/>
      <c r="F559" s="1070"/>
      <c r="G559" s="1070"/>
      <c r="H559" s="1070"/>
    </row>
    <row r="560" spans="4:8" ht="12.75" customHeight="1">
      <c r="D560" s="1071"/>
      <c r="E560" s="1070"/>
      <c r="F560" s="1070"/>
      <c r="G560" s="1070"/>
      <c r="H560" s="1070"/>
    </row>
    <row r="561" spans="4:8" ht="12.75" customHeight="1">
      <c r="D561" s="1071"/>
      <c r="E561" s="1070"/>
      <c r="F561" s="1070"/>
      <c r="G561" s="1070"/>
      <c r="H561" s="1070"/>
    </row>
    <row r="562" spans="4:8" ht="12.75" customHeight="1">
      <c r="D562" s="1071"/>
      <c r="E562" s="1070"/>
      <c r="F562" s="1070"/>
      <c r="G562" s="1070"/>
      <c r="H562" s="1070"/>
    </row>
    <row r="563" spans="4:8" ht="12.75" customHeight="1">
      <c r="D563" s="1071"/>
      <c r="E563" s="1070"/>
      <c r="F563" s="1070"/>
      <c r="G563" s="1070"/>
      <c r="H563" s="1070"/>
    </row>
    <row r="564" spans="4:8" ht="12.75" customHeight="1">
      <c r="D564" s="1071"/>
      <c r="E564" s="1070"/>
      <c r="F564" s="1070"/>
      <c r="G564" s="1070"/>
      <c r="H564" s="1070"/>
    </row>
    <row r="565" spans="4:8" ht="12.75" customHeight="1">
      <c r="D565" s="1071"/>
      <c r="E565" s="1070"/>
      <c r="F565" s="1070"/>
      <c r="G565" s="1070"/>
      <c r="H565" s="1070"/>
    </row>
    <row r="566" spans="4:8" ht="12.75" customHeight="1">
      <c r="D566" s="1071"/>
      <c r="E566" s="1070"/>
      <c r="F566" s="1070"/>
      <c r="G566" s="1070"/>
      <c r="H566" s="1070"/>
    </row>
    <row r="567" spans="4:8" ht="12.75" customHeight="1">
      <c r="D567" s="1071"/>
      <c r="E567" s="1070"/>
      <c r="F567" s="1070"/>
      <c r="G567" s="1070"/>
      <c r="H567" s="1070"/>
    </row>
    <row r="568" spans="4:8" ht="12.75" customHeight="1">
      <c r="D568" s="1071"/>
      <c r="E568" s="1070"/>
      <c r="F568" s="1070"/>
      <c r="G568" s="1070"/>
      <c r="H568" s="1070"/>
    </row>
    <row r="569" spans="4:8" ht="12.75" customHeight="1">
      <c r="D569" s="1071"/>
      <c r="E569" s="1070"/>
      <c r="F569" s="1070"/>
      <c r="G569" s="1070"/>
      <c r="H569" s="1070"/>
    </row>
    <row r="570" spans="4:8" ht="12.75" customHeight="1">
      <c r="D570" s="1071"/>
      <c r="E570" s="1070"/>
      <c r="F570" s="1070"/>
      <c r="G570" s="1070"/>
      <c r="H570" s="1070"/>
    </row>
    <row r="571" spans="4:8" ht="12.75" customHeight="1">
      <c r="D571" s="1071"/>
      <c r="E571" s="1070"/>
      <c r="F571" s="1070"/>
      <c r="G571" s="1070"/>
      <c r="H571" s="1070"/>
    </row>
    <row r="572" spans="4:8" ht="12.75" customHeight="1">
      <c r="D572" s="1071"/>
      <c r="E572" s="1070"/>
      <c r="F572" s="1070"/>
      <c r="G572" s="1070"/>
      <c r="H572" s="1070"/>
    </row>
    <row r="573" spans="4:8" ht="12.75" customHeight="1">
      <c r="D573" s="1071"/>
      <c r="E573" s="1070"/>
      <c r="F573" s="1070"/>
      <c r="G573" s="1070"/>
      <c r="H573" s="1070"/>
    </row>
    <row r="574" spans="4:8" ht="12.75" customHeight="1">
      <c r="D574" s="1071"/>
      <c r="E574" s="1070"/>
      <c r="F574" s="1070"/>
      <c r="G574" s="1070"/>
      <c r="H574" s="1070"/>
    </row>
    <row r="575" spans="4:8" ht="12.75" customHeight="1">
      <c r="D575" s="1071"/>
      <c r="E575" s="1070"/>
      <c r="F575" s="1070"/>
      <c r="G575" s="1070"/>
      <c r="H575" s="1070"/>
    </row>
    <row r="576" spans="4:8" ht="12.75" customHeight="1">
      <c r="D576" s="1071"/>
      <c r="E576" s="1070"/>
      <c r="F576" s="1070"/>
      <c r="G576" s="1070"/>
      <c r="H576" s="1070"/>
    </row>
    <row r="577" spans="4:8" ht="12.75" customHeight="1">
      <c r="D577" s="1071"/>
      <c r="E577" s="1070"/>
      <c r="F577" s="1070"/>
      <c r="G577" s="1070"/>
      <c r="H577" s="1070"/>
    </row>
    <row r="578" spans="4:8" ht="12.75" customHeight="1">
      <c r="D578" s="1071"/>
      <c r="E578" s="1070"/>
      <c r="F578" s="1070"/>
      <c r="G578" s="1070"/>
      <c r="H578" s="1070"/>
    </row>
    <row r="579" spans="4:8" ht="12.75" customHeight="1">
      <c r="D579" s="1071"/>
      <c r="E579" s="1070"/>
      <c r="F579" s="1070"/>
      <c r="G579" s="1070"/>
      <c r="H579" s="1070"/>
    </row>
    <row r="580" spans="4:8" ht="12.75" customHeight="1">
      <c r="D580" s="1071"/>
      <c r="E580" s="1070"/>
      <c r="F580" s="1070"/>
      <c r="G580" s="1070"/>
      <c r="H580" s="1070"/>
    </row>
    <row r="581" spans="4:8" ht="12.75" customHeight="1">
      <c r="D581" s="1071"/>
      <c r="E581" s="1070"/>
      <c r="F581" s="1070"/>
      <c r="G581" s="1070"/>
      <c r="H581" s="1070"/>
    </row>
    <row r="582" spans="4:8" ht="12.75" customHeight="1">
      <c r="D582" s="1071"/>
      <c r="E582" s="1070"/>
      <c r="F582" s="1070"/>
      <c r="G582" s="1070"/>
      <c r="H582" s="1070"/>
    </row>
    <row r="583" spans="4:8" ht="12.75" customHeight="1">
      <c r="D583" s="1071"/>
      <c r="E583" s="1070"/>
      <c r="F583" s="1070"/>
      <c r="G583" s="1070"/>
      <c r="H583" s="1070"/>
    </row>
    <row r="584" spans="4:8" ht="12.75" customHeight="1">
      <c r="D584" s="1071"/>
      <c r="E584" s="1070"/>
      <c r="F584" s="1070"/>
      <c r="G584" s="1070"/>
      <c r="H584" s="1070"/>
    </row>
    <row r="585" spans="4:8" ht="12.75" customHeight="1">
      <c r="D585" s="1071"/>
      <c r="E585" s="1070"/>
      <c r="F585" s="1070"/>
      <c r="G585" s="1070"/>
      <c r="H585" s="1070"/>
    </row>
    <row r="586" spans="4:8" ht="12.75" customHeight="1">
      <c r="D586" s="1071"/>
      <c r="E586" s="1070"/>
      <c r="F586" s="1070"/>
      <c r="G586" s="1070"/>
      <c r="H586" s="1070"/>
    </row>
    <row r="587" spans="4:8" ht="12.75" customHeight="1">
      <c r="D587" s="1071"/>
      <c r="E587" s="1070"/>
      <c r="F587" s="1070"/>
      <c r="G587" s="1070"/>
      <c r="H587" s="1070"/>
    </row>
    <row r="588" spans="4:8" ht="12.75" customHeight="1">
      <c r="D588" s="1071"/>
      <c r="E588" s="1070"/>
      <c r="F588" s="1070"/>
      <c r="G588" s="1070"/>
      <c r="H588" s="1070"/>
    </row>
    <row r="589" spans="4:8" ht="12.75" customHeight="1">
      <c r="D589" s="1071"/>
      <c r="E589" s="1070"/>
      <c r="F589" s="1070"/>
      <c r="G589" s="1070"/>
      <c r="H589" s="1070"/>
    </row>
    <row r="590" spans="4:8" ht="12.75" customHeight="1">
      <c r="D590" s="1071"/>
      <c r="E590" s="1070"/>
      <c r="F590" s="1070"/>
      <c r="G590" s="1070"/>
      <c r="H590" s="1070"/>
    </row>
    <row r="591" spans="4:8" ht="12.75" customHeight="1">
      <c r="D591" s="1071"/>
      <c r="E591" s="1070"/>
      <c r="F591" s="1070"/>
      <c r="G591" s="1070"/>
      <c r="H591" s="1070"/>
    </row>
    <row r="592" spans="4:8" ht="12.75" customHeight="1">
      <c r="D592" s="1071"/>
      <c r="E592" s="1070"/>
      <c r="F592" s="1070"/>
      <c r="G592" s="1070"/>
      <c r="H592" s="1070"/>
    </row>
    <row r="593" spans="4:8" ht="12.75" customHeight="1">
      <c r="D593" s="1071"/>
      <c r="E593" s="1070"/>
      <c r="F593" s="1070"/>
      <c r="G593" s="1070"/>
      <c r="H593" s="1070"/>
    </row>
    <row r="594" spans="4:8" ht="12.75" customHeight="1">
      <c r="D594" s="1071"/>
      <c r="E594" s="1070"/>
      <c r="F594" s="1070"/>
      <c r="G594" s="1070"/>
      <c r="H594" s="1070"/>
    </row>
    <row r="595" spans="4:8" ht="12.75" customHeight="1">
      <c r="D595" s="1071"/>
      <c r="E595" s="1070"/>
      <c r="F595" s="1070"/>
      <c r="G595" s="1070"/>
      <c r="H595" s="1070"/>
    </row>
    <row r="596" spans="4:8" ht="12.75" customHeight="1">
      <c r="D596" s="1071"/>
      <c r="E596" s="1070"/>
      <c r="F596" s="1070"/>
      <c r="G596" s="1070"/>
      <c r="H596" s="1070"/>
    </row>
    <row r="597" spans="4:8" ht="12.75" customHeight="1">
      <c r="D597" s="1071"/>
      <c r="E597" s="1070"/>
      <c r="F597" s="1070"/>
      <c r="G597" s="1070"/>
      <c r="H597" s="1070"/>
    </row>
    <row r="598" spans="4:8" ht="12.75" customHeight="1">
      <c r="D598" s="1071"/>
      <c r="E598" s="1070"/>
      <c r="F598" s="1070"/>
      <c r="G598" s="1070"/>
      <c r="H598" s="1070"/>
    </row>
    <row r="599" spans="4:8" ht="12.75" customHeight="1">
      <c r="D599" s="1071"/>
      <c r="E599" s="1070"/>
      <c r="F599" s="1070"/>
      <c r="G599" s="1070"/>
      <c r="H599" s="1070"/>
    </row>
    <row r="600" spans="4:8" ht="12.75" customHeight="1">
      <c r="D600" s="1071"/>
      <c r="E600" s="1070"/>
      <c r="F600" s="1070"/>
      <c r="G600" s="1070"/>
      <c r="H600" s="1070"/>
    </row>
    <row r="601" spans="4:8" ht="12.75" customHeight="1">
      <c r="D601" s="1071"/>
      <c r="E601" s="1070"/>
      <c r="F601" s="1070"/>
      <c r="G601" s="1070"/>
      <c r="H601" s="1070"/>
    </row>
    <row r="602" spans="4:8" ht="12.75" customHeight="1">
      <c r="D602" s="1071"/>
      <c r="E602" s="1070"/>
      <c r="F602" s="1070"/>
      <c r="G602" s="1070"/>
      <c r="H602" s="1070"/>
    </row>
    <row r="603" spans="4:8" ht="12.75" customHeight="1">
      <c r="D603" s="1071"/>
      <c r="E603" s="1070"/>
      <c r="F603" s="1070"/>
      <c r="G603" s="1070"/>
      <c r="H603" s="1070"/>
    </row>
    <row r="604" spans="4:8" ht="12.75" customHeight="1">
      <c r="D604" s="1071"/>
      <c r="E604" s="1070"/>
      <c r="F604" s="1070"/>
      <c r="G604" s="1070"/>
      <c r="H604" s="1070"/>
    </row>
    <row r="605" spans="4:8" ht="12.75" customHeight="1">
      <c r="D605" s="1071"/>
      <c r="E605" s="1070"/>
      <c r="F605" s="1070"/>
      <c r="G605" s="1070"/>
      <c r="H605" s="1070"/>
    </row>
    <row r="606" spans="4:8" ht="12.75" customHeight="1">
      <c r="D606" s="1071"/>
      <c r="E606" s="1070"/>
      <c r="F606" s="1070"/>
      <c r="G606" s="1070"/>
      <c r="H606" s="1070"/>
    </row>
    <row r="607" spans="4:8" ht="12.75" customHeight="1">
      <c r="D607" s="1071"/>
      <c r="E607" s="1070"/>
      <c r="F607" s="1070"/>
      <c r="G607" s="1070"/>
      <c r="H607" s="1070"/>
    </row>
    <row r="608" spans="4:8" ht="12.75" customHeight="1">
      <c r="D608" s="1071"/>
      <c r="E608" s="1070"/>
      <c r="F608" s="1070"/>
      <c r="G608" s="1070"/>
      <c r="H608" s="1070"/>
    </row>
    <row r="609" spans="4:8" ht="12.75" customHeight="1">
      <c r="D609" s="1071"/>
      <c r="E609" s="1070"/>
      <c r="F609" s="1070"/>
      <c r="G609" s="1070"/>
      <c r="H609" s="1070"/>
    </row>
    <row r="610" spans="4:8" ht="12.75" customHeight="1">
      <c r="D610" s="1071"/>
      <c r="E610" s="1070"/>
      <c r="F610" s="1070"/>
      <c r="G610" s="1070"/>
      <c r="H610" s="1070"/>
    </row>
    <row r="611" spans="4:8" ht="12.75" customHeight="1">
      <c r="D611" s="1071"/>
      <c r="E611" s="1070"/>
      <c r="F611" s="1070"/>
      <c r="G611" s="1070"/>
      <c r="H611" s="1070"/>
    </row>
    <row r="612" spans="4:8" ht="12.75" customHeight="1">
      <c r="D612" s="1071"/>
      <c r="E612" s="1070"/>
      <c r="F612" s="1070"/>
      <c r="G612" s="1070"/>
      <c r="H612" s="1070"/>
    </row>
    <row r="613" spans="4:8" ht="12.75" customHeight="1">
      <c r="D613" s="1071"/>
      <c r="E613" s="1070"/>
      <c r="F613" s="1070"/>
      <c r="G613" s="1070"/>
      <c r="H613" s="1070"/>
    </row>
    <row r="614" spans="4:8" ht="12.75" customHeight="1">
      <c r="D614" s="1071"/>
      <c r="E614" s="1070"/>
      <c r="F614" s="1070"/>
      <c r="G614" s="1070"/>
      <c r="H614" s="1070"/>
    </row>
    <row r="615" spans="4:8" ht="12.75" customHeight="1">
      <c r="D615" s="1071"/>
      <c r="E615" s="1070"/>
      <c r="F615" s="1070"/>
      <c r="G615" s="1070"/>
      <c r="H615" s="1070"/>
    </row>
    <row r="616" spans="4:8" ht="12.75" customHeight="1">
      <c r="D616" s="1071"/>
      <c r="E616" s="1070"/>
      <c r="F616" s="1070"/>
      <c r="G616" s="1070"/>
      <c r="H616" s="1070"/>
    </row>
    <row r="617" spans="4:8" ht="12.75" customHeight="1">
      <c r="D617" s="1071"/>
      <c r="E617" s="1070"/>
      <c r="F617" s="1070"/>
      <c r="G617" s="1070"/>
      <c r="H617" s="1070"/>
    </row>
    <row r="618" spans="4:8" ht="12.75" customHeight="1">
      <c r="D618" s="1071"/>
      <c r="E618" s="1070"/>
      <c r="F618" s="1070"/>
      <c r="G618" s="1070"/>
      <c r="H618" s="1070"/>
    </row>
    <row r="619" spans="4:8" ht="12.75" customHeight="1">
      <c r="D619" s="1071"/>
      <c r="E619" s="1070"/>
      <c r="F619" s="1070"/>
      <c r="G619" s="1070"/>
      <c r="H619" s="1070"/>
    </row>
    <row r="620" spans="4:8" ht="12.75" customHeight="1">
      <c r="D620" s="1071"/>
      <c r="E620" s="1070"/>
      <c r="F620" s="1070"/>
      <c r="G620" s="1070"/>
      <c r="H620" s="1070"/>
    </row>
    <row r="621" spans="4:8" ht="12.75" customHeight="1">
      <c r="D621" s="1071"/>
      <c r="E621" s="1070"/>
      <c r="F621" s="1070"/>
      <c r="G621" s="1070"/>
      <c r="H621" s="1070"/>
    </row>
    <row r="622" spans="4:8" ht="12.75" customHeight="1">
      <c r="D622" s="1071"/>
      <c r="E622" s="1070"/>
      <c r="F622" s="1070"/>
      <c r="G622" s="1070"/>
      <c r="H622" s="1070"/>
    </row>
    <row r="623" spans="4:8" ht="12.75" customHeight="1">
      <c r="D623" s="1071"/>
      <c r="E623" s="1070"/>
      <c r="F623" s="1070"/>
      <c r="G623" s="1070"/>
      <c r="H623" s="1070"/>
    </row>
    <row r="624" spans="4:8" ht="12.75" customHeight="1">
      <c r="D624" s="1071"/>
      <c r="E624" s="1070"/>
      <c r="F624" s="1070"/>
      <c r="G624" s="1070"/>
      <c r="H624" s="1070"/>
    </row>
    <row r="625" spans="4:8" ht="12.75" customHeight="1">
      <c r="D625" s="1071"/>
      <c r="E625" s="1070"/>
      <c r="F625" s="1070"/>
      <c r="G625" s="1070"/>
      <c r="H625" s="1070"/>
    </row>
    <row r="626" spans="4:8" ht="12.75" customHeight="1">
      <c r="D626" s="1071"/>
      <c r="E626" s="1070"/>
      <c r="F626" s="1070"/>
      <c r="G626" s="1070"/>
      <c r="H626" s="1070"/>
    </row>
    <row r="627" spans="4:8" ht="12.75" customHeight="1">
      <c r="D627" s="1071"/>
      <c r="E627" s="1070"/>
      <c r="F627" s="1070"/>
      <c r="G627" s="1070"/>
      <c r="H627" s="1070"/>
    </row>
    <row r="628" spans="4:8" ht="12.75" customHeight="1">
      <c r="D628" s="1071"/>
      <c r="E628" s="1070"/>
      <c r="F628" s="1070"/>
      <c r="G628" s="1070"/>
      <c r="H628" s="1070"/>
    </row>
    <row r="629" spans="4:8" ht="12.75" customHeight="1">
      <c r="D629" s="1071"/>
      <c r="E629" s="1070"/>
      <c r="F629" s="1070"/>
      <c r="G629" s="1070"/>
      <c r="H629" s="1070"/>
    </row>
    <row r="630" spans="4:8" ht="12.75" customHeight="1">
      <c r="D630" s="1071"/>
      <c r="E630" s="1070"/>
      <c r="F630" s="1070"/>
      <c r="G630" s="1070"/>
      <c r="H630" s="1070"/>
    </row>
    <row r="631" spans="4:8" ht="12.75" customHeight="1">
      <c r="D631" s="1071"/>
      <c r="E631" s="1070"/>
      <c r="F631" s="1070"/>
      <c r="G631" s="1070"/>
      <c r="H631" s="1070"/>
    </row>
    <row r="632" spans="4:8" ht="12.75" customHeight="1">
      <c r="D632" s="1071"/>
      <c r="E632" s="1070"/>
      <c r="F632" s="1070"/>
      <c r="G632" s="1070"/>
      <c r="H632" s="1070"/>
    </row>
    <row r="633" spans="4:8" ht="12.75" customHeight="1">
      <c r="D633" s="1071"/>
      <c r="E633" s="1070"/>
      <c r="F633" s="1070"/>
      <c r="G633" s="1070"/>
      <c r="H633" s="1070"/>
    </row>
    <row r="634" spans="4:8" ht="12.75" customHeight="1">
      <c r="D634" s="1071"/>
      <c r="E634" s="1070"/>
      <c r="F634" s="1070"/>
      <c r="G634" s="1070"/>
      <c r="H634" s="1070"/>
    </row>
    <row r="635" spans="4:8" ht="12.75" customHeight="1">
      <c r="D635" s="1071"/>
      <c r="E635" s="1070"/>
      <c r="F635" s="1070"/>
      <c r="G635" s="1070"/>
      <c r="H635" s="1070"/>
    </row>
    <row r="636" spans="4:8" ht="12.75" customHeight="1">
      <c r="D636" s="1071"/>
      <c r="E636" s="1070"/>
      <c r="F636" s="1070"/>
      <c r="G636" s="1070"/>
      <c r="H636" s="1070"/>
    </row>
    <row r="637" spans="4:8" ht="12.75" customHeight="1">
      <c r="D637" s="1071"/>
      <c r="E637" s="1070"/>
      <c r="F637" s="1070"/>
      <c r="G637" s="1070"/>
      <c r="H637" s="1070"/>
    </row>
    <row r="638" spans="4:8" ht="12.75" customHeight="1">
      <c r="D638" s="1071"/>
      <c r="E638" s="1070"/>
      <c r="F638" s="1070"/>
      <c r="G638" s="1070"/>
      <c r="H638" s="1070"/>
    </row>
    <row r="639" spans="4:8" ht="12.75" customHeight="1">
      <c r="D639" s="1071"/>
      <c r="E639" s="1070"/>
      <c r="F639" s="1070"/>
      <c r="G639" s="1070"/>
      <c r="H639" s="1070"/>
    </row>
    <row r="640" spans="4:8" ht="12.75" customHeight="1">
      <c r="D640" s="1071"/>
      <c r="E640" s="1070"/>
      <c r="F640" s="1070"/>
      <c r="G640" s="1070"/>
      <c r="H640" s="1070"/>
    </row>
    <row r="641" spans="4:8" ht="12.75" customHeight="1">
      <c r="D641" s="1071"/>
      <c r="E641" s="1070"/>
      <c r="F641" s="1070"/>
      <c r="G641" s="1070"/>
      <c r="H641" s="1070"/>
    </row>
    <row r="642" spans="4:8" ht="12.75" customHeight="1">
      <c r="D642" s="1071"/>
      <c r="E642" s="1070"/>
      <c r="F642" s="1070"/>
      <c r="G642" s="1070"/>
      <c r="H642" s="1070"/>
    </row>
    <row r="643" spans="4:8" ht="12.75" customHeight="1">
      <c r="D643" s="1071"/>
      <c r="E643" s="1070"/>
      <c r="F643" s="1070"/>
      <c r="G643" s="1070"/>
      <c r="H643" s="1070"/>
    </row>
    <row r="644" spans="4:8" ht="12.75" customHeight="1">
      <c r="D644" s="1071"/>
      <c r="E644" s="1070"/>
      <c r="F644" s="1070"/>
      <c r="G644" s="1070"/>
      <c r="H644" s="1070"/>
    </row>
    <row r="645" spans="4:8" ht="12.75" customHeight="1">
      <c r="D645" s="1071"/>
      <c r="E645" s="1070"/>
      <c r="F645" s="1070"/>
      <c r="G645" s="1070"/>
      <c r="H645" s="1070"/>
    </row>
    <row r="646" spans="4:8" ht="12.75" customHeight="1">
      <c r="D646" s="1071"/>
      <c r="E646" s="1070"/>
      <c r="F646" s="1070"/>
      <c r="G646" s="1070"/>
      <c r="H646" s="1070"/>
    </row>
    <row r="647" spans="4:8" ht="12.75" customHeight="1">
      <c r="D647" s="1071"/>
      <c r="E647" s="1070"/>
      <c r="F647" s="1070"/>
      <c r="G647" s="1070"/>
      <c r="H647" s="1070"/>
    </row>
    <row r="648" spans="4:8" ht="12.75" customHeight="1">
      <c r="D648" s="1071"/>
      <c r="E648" s="1070"/>
      <c r="F648" s="1070"/>
      <c r="G648" s="1070"/>
      <c r="H648" s="1070"/>
    </row>
    <row r="649" spans="4:8" ht="12.75" customHeight="1">
      <c r="D649" s="1071"/>
      <c r="E649" s="1070"/>
      <c r="F649" s="1070"/>
      <c r="G649" s="1070"/>
      <c r="H649" s="1070"/>
    </row>
    <row r="650" spans="4:8" ht="12.75" customHeight="1">
      <c r="D650" s="1071"/>
      <c r="E650" s="1070"/>
      <c r="F650" s="1070"/>
      <c r="G650" s="1070"/>
      <c r="H650" s="1070"/>
    </row>
    <row r="651" spans="4:8" ht="12.75" customHeight="1">
      <c r="D651" s="1071"/>
      <c r="E651" s="1070"/>
      <c r="F651" s="1070"/>
      <c r="G651" s="1070"/>
      <c r="H651" s="1070"/>
    </row>
    <row r="652" spans="4:8" ht="12.75" customHeight="1">
      <c r="D652" s="1071"/>
      <c r="E652" s="1070"/>
      <c r="F652" s="1070"/>
      <c r="G652" s="1070"/>
      <c r="H652" s="1070"/>
    </row>
    <row r="653" spans="4:8" ht="12.75" customHeight="1">
      <c r="D653" s="1071"/>
      <c r="E653" s="1070"/>
      <c r="F653" s="1070"/>
      <c r="G653" s="1070"/>
      <c r="H653" s="1070"/>
    </row>
    <row r="654" spans="4:8" ht="12.75" customHeight="1">
      <c r="D654" s="1071"/>
      <c r="E654" s="1070"/>
      <c r="F654" s="1070"/>
      <c r="G654" s="1070"/>
      <c r="H654" s="1070"/>
    </row>
    <row r="655" spans="4:8" ht="12.75" customHeight="1">
      <c r="D655" s="1071"/>
      <c r="E655" s="1070"/>
      <c r="F655" s="1070"/>
      <c r="G655" s="1070"/>
      <c r="H655" s="1070"/>
    </row>
    <row r="656" spans="4:8" ht="12.75" customHeight="1">
      <c r="D656" s="1071"/>
      <c r="E656" s="1070"/>
      <c r="F656" s="1070"/>
      <c r="G656" s="1070"/>
      <c r="H656" s="1070"/>
    </row>
    <row r="657" spans="4:8" ht="12.75" customHeight="1">
      <c r="D657" s="1071"/>
      <c r="E657" s="1070"/>
      <c r="F657" s="1070"/>
      <c r="G657" s="1070"/>
      <c r="H657" s="1070"/>
    </row>
    <row r="658" spans="4:8" ht="12.75" customHeight="1">
      <c r="D658" s="1071"/>
      <c r="E658" s="1070"/>
      <c r="F658" s="1070"/>
      <c r="G658" s="1070"/>
      <c r="H658" s="1070"/>
    </row>
    <row r="659" spans="4:8" ht="12.75" customHeight="1">
      <c r="D659" s="1071"/>
      <c r="E659" s="1070"/>
      <c r="F659" s="1070"/>
      <c r="G659" s="1070"/>
      <c r="H659" s="1070"/>
    </row>
    <row r="660" spans="4:8" ht="12.75" customHeight="1">
      <c r="D660" s="1071"/>
      <c r="E660" s="1070"/>
      <c r="F660" s="1070"/>
      <c r="G660" s="1070"/>
      <c r="H660" s="1070"/>
    </row>
    <row r="661" spans="4:8" ht="12.75" customHeight="1">
      <c r="D661" s="1071"/>
      <c r="E661" s="1070"/>
      <c r="F661" s="1070"/>
      <c r="G661" s="1070"/>
      <c r="H661" s="1070"/>
    </row>
    <row r="662" spans="4:8" ht="12.75" customHeight="1">
      <c r="D662" s="1071"/>
      <c r="E662" s="1070"/>
      <c r="F662" s="1070"/>
      <c r="G662" s="1070"/>
      <c r="H662" s="1070"/>
    </row>
    <row r="663" spans="4:8" ht="12.75" customHeight="1">
      <c r="D663" s="1071"/>
      <c r="E663" s="1070"/>
      <c r="F663" s="1070"/>
      <c r="G663" s="1070"/>
      <c r="H663" s="1070"/>
    </row>
    <row r="664" spans="4:8" ht="12.75" customHeight="1">
      <c r="D664" s="1071"/>
      <c r="E664" s="1070"/>
      <c r="F664" s="1070"/>
      <c r="G664" s="1070"/>
      <c r="H664" s="1070"/>
    </row>
    <row r="665" spans="4:8" ht="12.75" customHeight="1">
      <c r="D665" s="1071"/>
      <c r="E665" s="1070"/>
      <c r="F665" s="1070"/>
      <c r="G665" s="1070"/>
      <c r="H665" s="1070"/>
    </row>
    <row r="666" spans="4:8" ht="12.75" customHeight="1">
      <c r="D666" s="1071"/>
      <c r="E666" s="1070"/>
      <c r="F666" s="1070"/>
      <c r="G666" s="1070"/>
      <c r="H666" s="1070"/>
    </row>
    <row r="667" spans="4:8" ht="12.75" customHeight="1">
      <c r="D667" s="1071"/>
      <c r="E667" s="1070"/>
      <c r="F667" s="1070"/>
      <c r="G667" s="1070"/>
      <c r="H667" s="1070"/>
    </row>
    <row r="668" spans="4:8" ht="12.75" customHeight="1">
      <c r="D668" s="1071"/>
      <c r="E668" s="1070"/>
      <c r="F668" s="1070"/>
      <c r="G668" s="1070"/>
      <c r="H668" s="1070"/>
    </row>
    <row r="669" spans="4:8" ht="12.75" customHeight="1">
      <c r="D669" s="1071"/>
      <c r="E669" s="1070"/>
      <c r="F669" s="1070"/>
      <c r="G669" s="1070"/>
      <c r="H669" s="1070"/>
    </row>
    <row r="670" spans="4:8" ht="12.75" customHeight="1">
      <c r="D670" s="1071"/>
      <c r="E670" s="1070"/>
      <c r="F670" s="1070"/>
      <c r="G670" s="1070"/>
      <c r="H670" s="1070"/>
    </row>
    <row r="671" spans="4:8" ht="12.75" customHeight="1">
      <c r="D671" s="1071"/>
      <c r="E671" s="1070"/>
      <c r="F671" s="1070"/>
      <c r="G671" s="1070"/>
      <c r="H671" s="1070"/>
    </row>
    <row r="672" spans="4:8" ht="12.75" customHeight="1">
      <c r="D672" s="1071"/>
      <c r="E672" s="1070"/>
      <c r="F672" s="1070"/>
      <c r="G672" s="1070"/>
      <c r="H672" s="1070"/>
    </row>
    <row r="673" spans="4:8" ht="12.75" customHeight="1">
      <c r="D673" s="1071"/>
      <c r="E673" s="1070"/>
      <c r="F673" s="1070"/>
      <c r="G673" s="1070"/>
      <c r="H673" s="1070"/>
    </row>
    <row r="674" spans="4:8" ht="12.75" customHeight="1">
      <c r="D674" s="1071"/>
      <c r="E674" s="1070"/>
      <c r="F674" s="1070"/>
      <c r="G674" s="1070"/>
      <c r="H674" s="1070"/>
    </row>
    <row r="675" spans="4:8" ht="12.75" customHeight="1">
      <c r="D675" s="1071"/>
      <c r="E675" s="1070"/>
      <c r="F675" s="1070"/>
      <c r="G675" s="1070"/>
      <c r="H675" s="1070"/>
    </row>
    <row r="676" spans="4:8" ht="12.75" customHeight="1">
      <c r="D676" s="1071"/>
      <c r="E676" s="1070"/>
      <c r="F676" s="1070"/>
      <c r="G676" s="1070"/>
      <c r="H676" s="1070"/>
    </row>
    <row r="677" spans="4:8" ht="12.75" customHeight="1">
      <c r="D677" s="1071"/>
      <c r="E677" s="1070"/>
      <c r="F677" s="1070"/>
      <c r="G677" s="1070"/>
      <c r="H677" s="1070"/>
    </row>
    <row r="678" spans="4:8" ht="12.75" customHeight="1">
      <c r="D678" s="1071"/>
      <c r="E678" s="1070"/>
      <c r="F678" s="1070"/>
      <c r="G678" s="1070"/>
      <c r="H678" s="1070"/>
    </row>
    <row r="679" spans="4:8" ht="12.75" customHeight="1">
      <c r="D679" s="1071"/>
      <c r="E679" s="1070"/>
      <c r="F679" s="1070"/>
      <c r="G679" s="1070"/>
      <c r="H679" s="1070"/>
    </row>
    <row r="680" spans="4:8" ht="12.75" customHeight="1">
      <c r="D680" s="1071"/>
      <c r="E680" s="1070"/>
      <c r="F680" s="1070"/>
      <c r="G680" s="1070"/>
      <c r="H680" s="1070"/>
    </row>
    <row r="681" spans="4:8" ht="12.75" customHeight="1">
      <c r="D681" s="1071"/>
      <c r="E681" s="1070"/>
      <c r="F681" s="1070"/>
      <c r="G681" s="1070"/>
      <c r="H681" s="1070"/>
    </row>
    <row r="682" spans="4:8" ht="12.75" customHeight="1">
      <c r="D682" s="1071"/>
      <c r="E682" s="1070"/>
      <c r="F682" s="1070"/>
      <c r="G682" s="1070"/>
      <c r="H682" s="1070"/>
    </row>
    <row r="683" spans="4:8" ht="12.75" customHeight="1">
      <c r="D683" s="1071"/>
      <c r="E683" s="1070"/>
      <c r="F683" s="1070"/>
      <c r="G683" s="1070"/>
      <c r="H683" s="1070"/>
    </row>
    <row r="684" spans="4:8" ht="12.75" customHeight="1">
      <c r="D684" s="1071"/>
      <c r="E684" s="1070"/>
      <c r="F684" s="1070"/>
      <c r="G684" s="1070"/>
      <c r="H684" s="1070"/>
    </row>
    <row r="685" spans="4:8" ht="12.75" customHeight="1">
      <c r="D685" s="1071"/>
      <c r="E685" s="1070"/>
      <c r="F685" s="1070"/>
      <c r="G685" s="1070"/>
      <c r="H685" s="1070"/>
    </row>
    <row r="686" spans="4:8" ht="12.75" customHeight="1">
      <c r="D686" s="1071"/>
      <c r="E686" s="1070"/>
      <c r="F686" s="1070"/>
      <c r="G686" s="1070"/>
      <c r="H686" s="1070"/>
    </row>
    <row r="687" spans="4:8" ht="12.75" customHeight="1">
      <c r="D687" s="1071"/>
      <c r="E687" s="1070"/>
      <c r="F687" s="1070"/>
      <c r="G687" s="1070"/>
      <c r="H687" s="1070"/>
    </row>
    <row r="688" spans="4:8" ht="12.75" customHeight="1">
      <c r="D688" s="1071"/>
      <c r="E688" s="1070"/>
      <c r="F688" s="1070"/>
      <c r="G688" s="1070"/>
      <c r="H688" s="1070"/>
    </row>
    <row r="689" spans="4:8" ht="12.75" customHeight="1">
      <c r="D689" s="1071"/>
      <c r="E689" s="1070"/>
      <c r="F689" s="1070"/>
      <c r="G689" s="1070"/>
      <c r="H689" s="1070"/>
    </row>
    <row r="690" spans="4:8" ht="12.75" customHeight="1">
      <c r="D690" s="1071"/>
      <c r="E690" s="1070"/>
      <c r="F690" s="1070"/>
      <c r="G690" s="1070"/>
      <c r="H690" s="1070"/>
    </row>
    <row r="691" spans="4:8" ht="12.75" customHeight="1">
      <c r="D691" s="1071"/>
      <c r="E691" s="1070"/>
      <c r="F691" s="1070"/>
      <c r="G691" s="1070"/>
      <c r="H691" s="1070"/>
    </row>
    <row r="692" spans="4:8" ht="12.75" customHeight="1">
      <c r="D692" s="1071"/>
      <c r="E692" s="1070"/>
      <c r="F692" s="1070"/>
      <c r="G692" s="1070"/>
      <c r="H692" s="1070"/>
    </row>
    <row r="693" spans="4:8" ht="12.75" customHeight="1">
      <c r="D693" s="1071"/>
      <c r="E693" s="1070"/>
      <c r="F693" s="1070"/>
      <c r="G693" s="1070"/>
      <c r="H693" s="1070"/>
    </row>
    <row r="694" spans="4:8" ht="12.75" customHeight="1">
      <c r="D694" s="1071"/>
      <c r="E694" s="1070"/>
      <c r="F694" s="1070"/>
      <c r="G694" s="1070"/>
      <c r="H694" s="1070"/>
    </row>
    <row r="695" spans="4:8" ht="12.75" customHeight="1">
      <c r="D695" s="1071"/>
      <c r="E695" s="1070"/>
      <c r="F695" s="1070"/>
      <c r="G695" s="1070"/>
      <c r="H695" s="1070"/>
    </row>
    <row r="696" spans="4:8" ht="12.75" customHeight="1">
      <c r="D696" s="1071"/>
      <c r="E696" s="1070"/>
      <c r="F696" s="1070"/>
      <c r="G696" s="1070"/>
      <c r="H696" s="1070"/>
    </row>
    <row r="697" spans="4:8" ht="12.75" customHeight="1">
      <c r="D697" s="1071"/>
      <c r="E697" s="1070"/>
      <c r="F697" s="1070"/>
      <c r="G697" s="1070"/>
      <c r="H697" s="1070"/>
    </row>
    <row r="698" spans="4:8" ht="12.75" customHeight="1">
      <c r="D698" s="1071"/>
      <c r="E698" s="1070"/>
      <c r="F698" s="1070"/>
      <c r="G698" s="1070"/>
      <c r="H698" s="1070"/>
    </row>
    <row r="699" spans="4:8" ht="12.75" customHeight="1">
      <c r="D699" s="1071"/>
      <c r="E699" s="1070"/>
      <c r="F699" s="1070"/>
      <c r="G699" s="1070"/>
      <c r="H699" s="1070"/>
    </row>
    <row r="700" spans="4:8" ht="12.75" customHeight="1">
      <c r="D700" s="1071"/>
      <c r="E700" s="1070"/>
      <c r="F700" s="1070"/>
      <c r="G700" s="1070"/>
      <c r="H700" s="1070"/>
    </row>
    <row r="701" spans="4:8" ht="12.75" customHeight="1">
      <c r="D701" s="1071"/>
      <c r="E701" s="1070"/>
      <c r="F701" s="1070"/>
      <c r="G701" s="1070"/>
      <c r="H701" s="1070"/>
    </row>
    <row r="702" spans="4:8" ht="12.75" customHeight="1">
      <c r="D702" s="1071"/>
      <c r="E702" s="1070"/>
      <c r="F702" s="1070"/>
      <c r="G702" s="1070"/>
      <c r="H702" s="1070"/>
    </row>
    <row r="703" spans="4:8" ht="12.75" customHeight="1">
      <c r="D703" s="1071"/>
      <c r="E703" s="1070"/>
      <c r="F703" s="1070"/>
      <c r="G703" s="1070"/>
      <c r="H703" s="1070"/>
    </row>
    <row r="704" spans="4:8" ht="12.75" customHeight="1">
      <c r="D704" s="1071"/>
      <c r="E704" s="1070"/>
      <c r="F704" s="1070"/>
      <c r="G704" s="1070"/>
      <c r="H704" s="1070"/>
    </row>
    <row r="705" spans="4:8" ht="12.75" customHeight="1">
      <c r="D705" s="1071"/>
      <c r="E705" s="1070"/>
      <c r="F705" s="1070"/>
      <c r="G705" s="1070"/>
      <c r="H705" s="1070"/>
    </row>
    <row r="706" spans="4:8" ht="12.75" customHeight="1">
      <c r="D706" s="1071"/>
      <c r="E706" s="1070"/>
      <c r="F706" s="1070"/>
      <c r="G706" s="1070"/>
      <c r="H706" s="1070"/>
    </row>
    <row r="707" spans="4:8" ht="12.75" customHeight="1">
      <c r="D707" s="1071"/>
      <c r="E707" s="1070"/>
      <c r="F707" s="1070"/>
      <c r="G707" s="1070"/>
      <c r="H707" s="1070"/>
    </row>
    <row r="708" spans="4:8" ht="12.75" customHeight="1">
      <c r="D708" s="1071"/>
      <c r="E708" s="1070"/>
      <c r="F708" s="1070"/>
      <c r="G708" s="1070"/>
      <c r="H708" s="1070"/>
    </row>
    <row r="709" spans="4:8" ht="12.75" customHeight="1">
      <c r="D709" s="1071"/>
      <c r="E709" s="1070"/>
      <c r="F709" s="1070"/>
      <c r="G709" s="1070"/>
      <c r="H709" s="1070"/>
    </row>
    <row r="710" spans="4:8" ht="12.75" customHeight="1">
      <c r="D710" s="1071"/>
      <c r="E710" s="1070"/>
      <c r="F710" s="1070"/>
      <c r="G710" s="1070"/>
      <c r="H710" s="1070"/>
    </row>
    <row r="711" spans="4:8" ht="12.75" customHeight="1">
      <c r="D711" s="1071"/>
      <c r="E711" s="1070"/>
      <c r="F711" s="1070"/>
      <c r="G711" s="1070"/>
      <c r="H711" s="1070"/>
    </row>
    <row r="712" spans="4:8" ht="12.75" customHeight="1">
      <c r="D712" s="1071"/>
      <c r="E712" s="1070"/>
      <c r="F712" s="1070"/>
      <c r="G712" s="1070"/>
      <c r="H712" s="1070"/>
    </row>
    <row r="713" spans="4:8" ht="12.75" customHeight="1">
      <c r="D713" s="1071"/>
      <c r="E713" s="1070"/>
      <c r="F713" s="1070"/>
      <c r="G713" s="1070"/>
      <c r="H713" s="1070"/>
    </row>
    <row r="714" spans="4:8" ht="12.75" customHeight="1">
      <c r="D714" s="1071"/>
      <c r="E714" s="1070"/>
      <c r="F714" s="1070"/>
      <c r="G714" s="1070"/>
      <c r="H714" s="1070"/>
    </row>
    <row r="715" spans="4:8" ht="12.75" customHeight="1">
      <c r="D715" s="1071"/>
      <c r="E715" s="1070"/>
      <c r="F715" s="1070"/>
      <c r="G715" s="1070"/>
      <c r="H715" s="1070"/>
    </row>
    <row r="716" spans="4:8" ht="12.75" customHeight="1">
      <c r="D716" s="1071"/>
      <c r="E716" s="1070"/>
      <c r="F716" s="1070"/>
      <c r="G716" s="1070"/>
      <c r="H716" s="1070"/>
    </row>
    <row r="717" spans="4:8" ht="12.75" customHeight="1">
      <c r="D717" s="1071"/>
      <c r="E717" s="1070"/>
      <c r="F717" s="1070"/>
      <c r="G717" s="1070"/>
      <c r="H717" s="1070"/>
    </row>
    <row r="718" spans="4:8" ht="12.75" customHeight="1">
      <c r="D718" s="1071"/>
      <c r="E718" s="1070"/>
      <c r="F718" s="1070"/>
      <c r="G718" s="1070"/>
      <c r="H718" s="1070"/>
    </row>
    <row r="719" spans="4:8" ht="12.75" customHeight="1">
      <c r="D719" s="1071"/>
      <c r="E719" s="1070"/>
      <c r="F719" s="1070"/>
      <c r="G719" s="1070"/>
      <c r="H719" s="1070"/>
    </row>
    <row r="720" spans="4:8" ht="12.75" customHeight="1">
      <c r="D720" s="1071"/>
      <c r="E720" s="1070"/>
      <c r="F720" s="1070"/>
      <c r="G720" s="1070"/>
      <c r="H720" s="1070"/>
    </row>
    <row r="721" spans="4:8" ht="12.75" customHeight="1">
      <c r="D721" s="1071"/>
      <c r="E721" s="1070"/>
      <c r="F721" s="1070"/>
      <c r="G721" s="1070"/>
      <c r="H721" s="1070"/>
    </row>
    <row r="722" spans="4:8" ht="12.75" customHeight="1">
      <c r="D722" s="1071"/>
      <c r="E722" s="1070"/>
      <c r="F722" s="1070"/>
      <c r="G722" s="1070"/>
      <c r="H722" s="1070"/>
    </row>
    <row r="723" spans="4:8" ht="12.75" customHeight="1">
      <c r="D723" s="1071"/>
      <c r="E723" s="1070"/>
      <c r="F723" s="1070"/>
      <c r="G723" s="1070"/>
      <c r="H723" s="1070"/>
    </row>
    <row r="724" spans="4:8" ht="12.75" customHeight="1">
      <c r="D724" s="1071"/>
      <c r="E724" s="1070"/>
      <c r="F724" s="1070"/>
      <c r="G724" s="1070"/>
      <c r="H724" s="1070"/>
    </row>
    <row r="725" spans="4:8" ht="12.75" customHeight="1">
      <c r="D725" s="1071"/>
      <c r="E725" s="1070"/>
      <c r="F725" s="1070"/>
      <c r="G725" s="1070"/>
      <c r="H725" s="1070"/>
    </row>
    <row r="726" spans="4:8" ht="12.75" customHeight="1">
      <c r="D726" s="1071"/>
      <c r="E726" s="1070"/>
      <c r="F726" s="1070"/>
      <c r="G726" s="1070"/>
      <c r="H726" s="1070"/>
    </row>
    <row r="727" spans="4:8" ht="12.75" customHeight="1">
      <c r="D727" s="1071"/>
      <c r="E727" s="1070"/>
      <c r="F727" s="1070"/>
      <c r="G727" s="1070"/>
      <c r="H727" s="1070"/>
    </row>
    <row r="728" spans="4:8" ht="12.75" customHeight="1">
      <c r="D728" s="1071"/>
      <c r="E728" s="1070"/>
      <c r="F728" s="1070"/>
      <c r="G728" s="1070"/>
      <c r="H728" s="1070"/>
    </row>
    <row r="729" spans="4:8" ht="12.75" customHeight="1">
      <c r="D729" s="1071"/>
      <c r="E729" s="1070"/>
      <c r="F729" s="1070"/>
      <c r="G729" s="1070"/>
      <c r="H729" s="1070"/>
    </row>
    <row r="730" spans="4:8" ht="12.75" customHeight="1">
      <c r="D730" s="1071"/>
      <c r="E730" s="1070"/>
      <c r="F730" s="1070"/>
      <c r="G730" s="1070"/>
      <c r="H730" s="1070"/>
    </row>
    <row r="731" spans="4:8" ht="12.75" customHeight="1">
      <c r="D731" s="1071"/>
      <c r="E731" s="1070"/>
      <c r="F731" s="1070"/>
      <c r="G731" s="1070"/>
      <c r="H731" s="1070"/>
    </row>
    <row r="732" spans="4:8" ht="12.75" customHeight="1">
      <c r="D732" s="1071"/>
      <c r="E732" s="1070"/>
      <c r="F732" s="1070"/>
      <c r="G732" s="1070"/>
      <c r="H732" s="1070"/>
    </row>
    <row r="733" spans="4:8" ht="12.75" customHeight="1">
      <c r="D733" s="1071"/>
      <c r="E733" s="1070"/>
      <c r="F733" s="1070"/>
      <c r="G733" s="1070"/>
      <c r="H733" s="1070"/>
    </row>
    <row r="734" spans="4:8" ht="12.75" customHeight="1">
      <c r="D734" s="1071"/>
      <c r="E734" s="1070"/>
      <c r="F734" s="1070"/>
      <c r="G734" s="1070"/>
      <c r="H734" s="1070"/>
    </row>
    <row r="735" spans="4:8" ht="12.75" customHeight="1">
      <c r="D735" s="1071"/>
      <c r="E735" s="1070"/>
      <c r="F735" s="1070"/>
      <c r="G735" s="1070"/>
      <c r="H735" s="1070"/>
    </row>
    <row r="736" spans="4:8" ht="12.75" customHeight="1">
      <c r="D736" s="1071"/>
      <c r="E736" s="1070"/>
      <c r="F736" s="1070"/>
      <c r="G736" s="1070"/>
      <c r="H736" s="1070"/>
    </row>
    <row r="737" spans="4:8" ht="12.75" customHeight="1">
      <c r="D737" s="1071"/>
      <c r="E737" s="1070"/>
      <c r="F737" s="1070"/>
      <c r="G737" s="1070"/>
      <c r="H737" s="1070"/>
    </row>
    <row r="738" spans="4:8" ht="12.75" customHeight="1">
      <c r="D738" s="1071"/>
      <c r="E738" s="1070"/>
      <c r="F738" s="1070"/>
      <c r="G738" s="1070"/>
      <c r="H738" s="1070"/>
    </row>
    <row r="739" spans="4:8" ht="12.75" customHeight="1">
      <c r="D739" s="1071"/>
      <c r="E739" s="1070"/>
      <c r="F739" s="1070"/>
      <c r="G739" s="1070"/>
      <c r="H739" s="1070"/>
    </row>
    <row r="740" spans="4:8" ht="12.75" customHeight="1">
      <c r="D740" s="1071"/>
      <c r="E740" s="1070"/>
      <c r="F740" s="1070"/>
      <c r="G740" s="1070"/>
      <c r="H740" s="1070"/>
    </row>
    <row r="741" spans="4:8" ht="12.75" customHeight="1">
      <c r="D741" s="1071"/>
      <c r="E741" s="1070"/>
      <c r="F741" s="1070"/>
      <c r="G741" s="1070"/>
      <c r="H741" s="1070"/>
    </row>
    <row r="742" spans="4:8" ht="12.75" customHeight="1">
      <c r="D742" s="1071"/>
      <c r="E742" s="1070"/>
      <c r="F742" s="1070"/>
      <c r="G742" s="1070"/>
      <c r="H742" s="1070"/>
    </row>
    <row r="743" spans="4:8" ht="13.5" customHeight="1">
      <c r="D743" s="1071"/>
      <c r="E743" s="1070"/>
      <c r="F743" s="1070"/>
      <c r="G743" s="1070"/>
      <c r="H743" s="1070"/>
    </row>
    <row r="744" spans="4:8" ht="12.75" customHeight="1">
      <c r="D744" s="1071"/>
      <c r="E744" s="1070"/>
      <c r="F744" s="1070"/>
      <c r="G744" s="1070"/>
      <c r="H744" s="1070"/>
    </row>
    <row r="745" spans="4:8" ht="12.75" customHeight="1">
      <c r="D745" s="1071"/>
      <c r="E745" s="1070"/>
      <c r="F745" s="1070"/>
      <c r="G745" s="1070"/>
      <c r="H745" s="1070"/>
    </row>
    <row r="746" spans="4:8" ht="12.75" customHeight="1">
      <c r="D746" s="1071"/>
      <c r="E746" s="1070"/>
      <c r="F746" s="1070"/>
      <c r="G746" s="1070"/>
      <c r="H746" s="1070"/>
    </row>
    <row r="747" spans="4:8" ht="12.75" customHeight="1">
      <c r="D747" s="1071"/>
      <c r="E747" s="1070"/>
      <c r="F747" s="1070"/>
      <c r="G747" s="1070"/>
      <c r="H747" s="1070"/>
    </row>
    <row r="748" spans="4:8" ht="12.75" customHeight="1">
      <c r="D748" s="1071"/>
      <c r="E748" s="1070"/>
      <c r="F748" s="1070"/>
      <c r="G748" s="1070"/>
      <c r="H748" s="1070"/>
    </row>
    <row r="749" spans="4:8" ht="12.75" customHeight="1">
      <c r="D749" s="1071"/>
      <c r="E749" s="1070"/>
      <c r="F749" s="1070"/>
      <c r="G749" s="1070"/>
      <c r="H749" s="1070"/>
    </row>
    <row r="750" spans="4:8" ht="12.75" customHeight="1">
      <c r="D750" s="1071"/>
      <c r="E750" s="1070"/>
      <c r="F750" s="1070"/>
      <c r="G750" s="1070"/>
      <c r="H750" s="1070"/>
    </row>
    <row r="751" spans="4:8" ht="12.75" customHeight="1">
      <c r="D751" s="1071"/>
      <c r="E751" s="1070"/>
      <c r="F751" s="1070"/>
      <c r="G751" s="1070"/>
      <c r="H751" s="1070"/>
    </row>
    <row r="752" spans="4:8" ht="12.75" customHeight="1">
      <c r="D752" s="1071"/>
      <c r="E752" s="1070"/>
      <c r="F752" s="1070"/>
      <c r="G752" s="1070"/>
      <c r="H752" s="1070"/>
    </row>
    <row r="753" spans="4:8" ht="12.75" customHeight="1">
      <c r="D753" s="1071"/>
      <c r="E753" s="1070"/>
      <c r="F753" s="1070"/>
      <c r="G753" s="1070"/>
      <c r="H753" s="1070"/>
    </row>
    <row r="754" spans="4:8" ht="12.75" customHeight="1">
      <c r="D754" s="1071"/>
      <c r="E754" s="1070"/>
      <c r="F754" s="1070"/>
      <c r="G754" s="1070"/>
      <c r="H754" s="1070"/>
    </row>
    <row r="755" spans="4:8" ht="12.75" customHeight="1">
      <c r="D755" s="1071"/>
      <c r="E755" s="1070"/>
      <c r="F755" s="1070"/>
      <c r="G755" s="1070"/>
      <c r="H755" s="1070"/>
    </row>
    <row r="756" spans="4:8" ht="12.75" customHeight="1">
      <c r="D756" s="1071"/>
      <c r="E756" s="1070"/>
      <c r="F756" s="1070"/>
      <c r="G756" s="1070"/>
      <c r="H756" s="1070"/>
    </row>
    <row r="757" spans="4:8" ht="12.75" customHeight="1">
      <c r="D757" s="1071"/>
      <c r="E757" s="1070"/>
      <c r="F757" s="1070"/>
      <c r="G757" s="1070"/>
      <c r="H757" s="1070"/>
    </row>
    <row r="758" spans="4:8" ht="12.75" customHeight="1">
      <c r="D758" s="1071"/>
      <c r="E758" s="1070"/>
      <c r="F758" s="1070"/>
      <c r="G758" s="1070"/>
      <c r="H758" s="1070"/>
    </row>
    <row r="759" spans="4:8" ht="12.75" customHeight="1">
      <c r="D759" s="1071"/>
      <c r="E759" s="1070"/>
      <c r="F759" s="1070"/>
      <c r="G759" s="1070"/>
      <c r="H759" s="1070"/>
    </row>
    <row r="760" spans="4:8" ht="12.75" customHeight="1">
      <c r="D760" s="1071"/>
      <c r="E760" s="1070"/>
      <c r="F760" s="1070"/>
      <c r="G760" s="1070"/>
      <c r="H760" s="1070"/>
    </row>
    <row r="761" spans="4:8" ht="12.75" customHeight="1">
      <c r="D761" s="1071"/>
      <c r="E761" s="1070"/>
      <c r="F761" s="1070"/>
      <c r="G761" s="1070"/>
      <c r="H761" s="1070"/>
    </row>
    <row r="762" spans="4:8" ht="12.75" customHeight="1">
      <c r="D762" s="1071"/>
      <c r="E762" s="1070"/>
      <c r="F762" s="1070"/>
      <c r="G762" s="1070"/>
      <c r="H762" s="1070"/>
    </row>
    <row r="763" spans="4:8" ht="12.75" customHeight="1">
      <c r="D763" s="1071"/>
      <c r="E763" s="1070"/>
      <c r="F763" s="1070"/>
      <c r="G763" s="1070"/>
      <c r="H763" s="1070"/>
    </row>
    <row r="764" spans="4:8" ht="12.75" customHeight="1">
      <c r="D764" s="1071"/>
      <c r="E764" s="1070"/>
      <c r="F764" s="1070"/>
      <c r="G764" s="1070"/>
      <c r="H764" s="1070"/>
    </row>
    <row r="765" spans="4:8" ht="12.75" customHeight="1">
      <c r="D765" s="1071"/>
      <c r="E765" s="1070"/>
      <c r="F765" s="1070"/>
      <c r="G765" s="1070"/>
      <c r="H765" s="1070"/>
    </row>
    <row r="766" spans="4:8" ht="12.75" customHeight="1">
      <c r="D766" s="1071"/>
      <c r="E766" s="1070"/>
      <c r="F766" s="1070"/>
      <c r="G766" s="1070"/>
      <c r="H766" s="1070"/>
    </row>
    <row r="767" spans="4:8" ht="12.75" customHeight="1">
      <c r="D767" s="1071"/>
      <c r="E767" s="1070"/>
      <c r="F767" s="1070"/>
      <c r="G767" s="1070"/>
      <c r="H767" s="1070"/>
    </row>
    <row r="768" spans="4:8" ht="12.75" customHeight="1">
      <c r="D768" s="1071"/>
      <c r="E768" s="1070"/>
      <c r="F768" s="1070"/>
      <c r="G768" s="1070"/>
      <c r="H768" s="1070"/>
    </row>
    <row r="769" spans="4:30" ht="12.75" customHeight="1">
      <c r="D769" s="1071"/>
      <c r="E769" s="1070"/>
      <c r="F769" s="1070"/>
      <c r="G769" s="1070"/>
      <c r="H769" s="1070"/>
    </row>
    <row r="770" spans="4:30" ht="12.75" customHeight="1">
      <c r="D770" s="1071"/>
      <c r="E770" s="1070"/>
      <c r="F770" s="1070"/>
      <c r="G770" s="1070"/>
      <c r="H770" s="1070"/>
      <c r="AD770" s="1020">
        <v>1</v>
      </c>
    </row>
    <row r="771" spans="4:30" ht="12.75" customHeight="1">
      <c r="D771" s="1071"/>
      <c r="E771" s="1070"/>
      <c r="F771" s="1070"/>
      <c r="G771" s="1070"/>
      <c r="H771" s="1070"/>
    </row>
    <row r="772" spans="4:30" ht="12.75" customHeight="1">
      <c r="D772" s="1071"/>
      <c r="E772" s="1070"/>
      <c r="F772" s="1070"/>
      <c r="G772" s="1070"/>
      <c r="H772" s="1070"/>
    </row>
    <row r="773" spans="4:30" ht="12.75" customHeight="1">
      <c r="D773" s="1071"/>
      <c r="E773" s="1070"/>
      <c r="F773" s="1070"/>
      <c r="G773" s="1070"/>
      <c r="H773" s="1070"/>
    </row>
    <row r="774" spans="4:30" ht="12.75" customHeight="1">
      <c r="D774" s="1071"/>
      <c r="E774" s="1070"/>
      <c r="F774" s="1070"/>
      <c r="G774" s="1070"/>
      <c r="H774" s="1070"/>
    </row>
    <row r="775" spans="4:30" ht="12.75" customHeight="1">
      <c r="D775" s="1071"/>
      <c r="E775" s="1070"/>
      <c r="F775" s="1070"/>
      <c r="G775" s="1070"/>
      <c r="H775" s="1070"/>
    </row>
    <row r="776" spans="4:30" ht="12.75" customHeight="1">
      <c r="D776" s="1071"/>
      <c r="E776" s="1070"/>
      <c r="F776" s="1070"/>
      <c r="G776" s="1070"/>
      <c r="H776" s="1070"/>
    </row>
    <row r="777" spans="4:30" ht="12.75" customHeight="1">
      <c r="D777" s="1071"/>
      <c r="E777" s="1070"/>
      <c r="F777" s="1070"/>
      <c r="G777" s="1070"/>
      <c r="H777" s="1070"/>
    </row>
    <row r="778" spans="4:30" ht="12.75" customHeight="1">
      <c r="D778" s="1071"/>
      <c r="E778" s="1070"/>
      <c r="F778" s="1070"/>
      <c r="G778" s="1070"/>
      <c r="H778" s="1070"/>
    </row>
    <row r="779" spans="4:30" ht="12.75" customHeight="1">
      <c r="D779" s="1071"/>
      <c r="E779" s="1070"/>
      <c r="F779" s="1070"/>
      <c r="G779" s="1070"/>
      <c r="H779" s="1070"/>
    </row>
    <row r="780" spans="4:30" ht="12.75" customHeight="1">
      <c r="D780" s="1071"/>
      <c r="E780" s="1070"/>
      <c r="F780" s="1070"/>
      <c r="G780" s="1070"/>
      <c r="H780" s="1070"/>
    </row>
    <row r="781" spans="4:30" ht="12.75" customHeight="1">
      <c r="D781" s="1071"/>
      <c r="E781" s="1070"/>
      <c r="F781" s="1070"/>
      <c r="G781" s="1070"/>
      <c r="H781" s="1070"/>
    </row>
    <row r="782" spans="4:30" ht="12.75" customHeight="1">
      <c r="D782" s="1071"/>
      <c r="E782" s="1070"/>
      <c r="F782" s="1070"/>
      <c r="G782" s="1070"/>
      <c r="H782" s="1070"/>
    </row>
    <row r="783" spans="4:30" ht="12.75" customHeight="1">
      <c r="D783" s="1071"/>
      <c r="F783" s="1070"/>
      <c r="G783" s="1070"/>
      <c r="H783" s="1070"/>
    </row>
    <row r="784" spans="4:30" ht="12.75" customHeight="1">
      <c r="D784" s="1071"/>
      <c r="F784" s="1070"/>
      <c r="G784" s="1070"/>
      <c r="H784" s="1070"/>
    </row>
    <row r="785" spans="31:31" ht="12.75" customHeight="1"/>
    <row r="786" spans="31:31" ht="12.75" customHeight="1"/>
    <row r="787" spans="31:31" ht="12.75" customHeight="1"/>
    <row r="788" spans="31:31" ht="12.75" customHeight="1"/>
    <row r="789" spans="31:31" ht="12.75" customHeight="1"/>
    <row r="790" spans="31:31" ht="12.75" customHeight="1"/>
    <row r="791" spans="31:31" ht="12.75" customHeight="1"/>
    <row r="792" spans="31:31" ht="12.75" customHeight="1"/>
    <row r="793" spans="31:31" ht="12" customHeight="1"/>
    <row r="794" spans="31:31" ht="12.75" customHeight="1"/>
    <row r="795" spans="31:31" ht="12.75" customHeight="1"/>
    <row r="796" spans="31:31" ht="12.75" customHeight="1"/>
    <row r="797" spans="31:31" ht="12.75" customHeight="1"/>
    <row r="798" spans="31:31" ht="12.75" customHeight="1">
      <c r="AE798" s="1089"/>
    </row>
    <row r="799" spans="31:31" ht="12.75" customHeight="1"/>
    <row r="800" spans="31:31"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3.5" customHeight="1"/>
    <row r="828" ht="13.5" customHeight="1"/>
    <row r="829" ht="13.5" customHeight="1"/>
    <row r="830" ht="13.5" customHeight="1"/>
    <row r="831" ht="13.5" customHeight="1"/>
    <row r="832" ht="13.5" customHeight="1"/>
    <row r="833" ht="13.5" customHeight="1"/>
    <row r="834" ht="13.5" customHeight="1"/>
    <row r="835" ht="13.5" customHeight="1"/>
    <row r="836" ht="13.5" customHeight="1"/>
    <row r="837" ht="13.5" customHeight="1"/>
    <row r="838" ht="13.5" customHeight="1"/>
    <row r="839" ht="13.5" customHeight="1"/>
    <row r="840" ht="13.5" customHeight="1"/>
    <row r="841" ht="13.5" customHeight="1"/>
    <row r="842" ht="13.5" customHeight="1"/>
    <row r="843" ht="13.5" customHeight="1"/>
    <row r="844" ht="13.5" customHeight="1"/>
    <row r="845" ht="13.5" customHeight="1"/>
    <row r="846" ht="13.5" customHeight="1"/>
    <row r="847" ht="13.5" customHeight="1"/>
    <row r="848" ht="13.5" customHeight="1"/>
    <row r="849" ht="13.5" customHeight="1"/>
    <row r="850" ht="13.5" customHeight="1"/>
    <row r="851" ht="13.5" customHeight="1"/>
    <row r="852" ht="13.5" customHeight="1"/>
    <row r="853" ht="13.5" customHeight="1"/>
    <row r="854" ht="13.5" customHeight="1"/>
    <row r="855" ht="13.5" customHeight="1"/>
    <row r="856" ht="13.5" customHeight="1"/>
    <row r="857" ht="13.5" customHeight="1"/>
    <row r="858" ht="13.5" customHeight="1"/>
  </sheetData>
  <sheetProtection password="CC2E" sheet="1" formatCells="0" formatColumns="0" formatRows="0"/>
  <mergeCells count="322">
    <mergeCell ref="P64:Q64"/>
    <mergeCell ref="P65:Q65"/>
    <mergeCell ref="N64:O64"/>
    <mergeCell ref="N65:O65"/>
    <mergeCell ref="N66:O66"/>
    <mergeCell ref="N67:O67"/>
    <mergeCell ref="N68:O68"/>
    <mergeCell ref="N69:O69"/>
    <mergeCell ref="K70:L70"/>
    <mergeCell ref="K64:L64"/>
    <mergeCell ref="K65:L65"/>
    <mergeCell ref="K66:L66"/>
    <mergeCell ref="K67:L67"/>
    <mergeCell ref="K68:L68"/>
    <mergeCell ref="K69:L69"/>
    <mergeCell ref="T72:U72"/>
    <mergeCell ref="T73:U73"/>
    <mergeCell ref="T74:U74"/>
    <mergeCell ref="T75:U75"/>
    <mergeCell ref="T76:U76"/>
    <mergeCell ref="K268:M268"/>
    <mergeCell ref="P268:Q268"/>
    <mergeCell ref="N70:O70"/>
    <mergeCell ref="N71:O71"/>
    <mergeCell ref="N72:O72"/>
    <mergeCell ref="N73:O73"/>
    <mergeCell ref="N74:O74"/>
    <mergeCell ref="K71:L71"/>
    <mergeCell ref="K72:L72"/>
    <mergeCell ref="K73:L73"/>
    <mergeCell ref="K74:L74"/>
    <mergeCell ref="L269:M269"/>
    <mergeCell ref="T64:U64"/>
    <mergeCell ref="T65:U65"/>
    <mergeCell ref="T66:U66"/>
    <mergeCell ref="T67:U67"/>
    <mergeCell ref="T68:U68"/>
    <mergeCell ref="T69:U69"/>
    <mergeCell ref="T70:U70"/>
    <mergeCell ref="B71:D71"/>
    <mergeCell ref="F71:I71"/>
    <mergeCell ref="L83:M83"/>
    <mergeCell ref="O83:Q83"/>
    <mergeCell ref="C72:D72"/>
    <mergeCell ref="F72:H72"/>
    <mergeCell ref="K75:L75"/>
    <mergeCell ref="N75:O75"/>
    <mergeCell ref="P75:Q75"/>
    <mergeCell ref="K76:L76"/>
    <mergeCell ref="N76:O76"/>
    <mergeCell ref="K82:M82"/>
    <mergeCell ref="O82:Q82"/>
    <mergeCell ref="T77:U77"/>
    <mergeCell ref="T78:U78"/>
    <mergeCell ref="T71:U71"/>
    <mergeCell ref="K63:L63"/>
    <mergeCell ref="N63:O63"/>
    <mergeCell ref="T63:U63"/>
    <mergeCell ref="T59:U59"/>
    <mergeCell ref="K60:L60"/>
    <mergeCell ref="N60:O60"/>
    <mergeCell ref="P60:Q60"/>
    <mergeCell ref="T60:U60"/>
    <mergeCell ref="K61:L61"/>
    <mergeCell ref="N61:O61"/>
    <mergeCell ref="P61:Q61"/>
    <mergeCell ref="T61:U61"/>
    <mergeCell ref="P62:Q62"/>
    <mergeCell ref="P63:Q63"/>
    <mergeCell ref="P59:Q59"/>
    <mergeCell ref="P57:Q57"/>
    <mergeCell ref="T57:U57"/>
    <mergeCell ref="K58:L58"/>
    <mergeCell ref="N58:O58"/>
    <mergeCell ref="P58:Q58"/>
    <mergeCell ref="T58:U58"/>
    <mergeCell ref="D62:F62"/>
    <mergeCell ref="K62:L62"/>
    <mergeCell ref="N62:O62"/>
    <mergeCell ref="T62:U62"/>
    <mergeCell ref="B57:C58"/>
    <mergeCell ref="D57:F58"/>
    <mergeCell ref="G57:I58"/>
    <mergeCell ref="K57:L57"/>
    <mergeCell ref="N57:O57"/>
    <mergeCell ref="B59:C60"/>
    <mergeCell ref="D59:F60"/>
    <mergeCell ref="G59:I60"/>
    <mergeCell ref="K59:L59"/>
    <mergeCell ref="N59:O59"/>
    <mergeCell ref="B55:C56"/>
    <mergeCell ref="D55:F56"/>
    <mergeCell ref="G55:I56"/>
    <mergeCell ref="K55:L55"/>
    <mergeCell ref="N55:O55"/>
    <mergeCell ref="P55:Q55"/>
    <mergeCell ref="T55:U55"/>
    <mergeCell ref="K56:L56"/>
    <mergeCell ref="N56:O56"/>
    <mergeCell ref="P56:Q56"/>
    <mergeCell ref="T56:U56"/>
    <mergeCell ref="B53:C54"/>
    <mergeCell ref="D53:F54"/>
    <mergeCell ref="G53:I54"/>
    <mergeCell ref="K53:L53"/>
    <mergeCell ref="N53:O53"/>
    <mergeCell ref="P53:Q53"/>
    <mergeCell ref="T53:U53"/>
    <mergeCell ref="K54:L54"/>
    <mergeCell ref="N54:O54"/>
    <mergeCell ref="P54:Q54"/>
    <mergeCell ref="T54:U54"/>
    <mergeCell ref="B51:C52"/>
    <mergeCell ref="D51:F52"/>
    <mergeCell ref="G51:I52"/>
    <mergeCell ref="K51:L51"/>
    <mergeCell ref="N51:O51"/>
    <mergeCell ref="P51:Q51"/>
    <mergeCell ref="T51:U51"/>
    <mergeCell ref="K52:L52"/>
    <mergeCell ref="N52:O52"/>
    <mergeCell ref="P52:Q52"/>
    <mergeCell ref="T52:U52"/>
    <mergeCell ref="T48:U48"/>
    <mergeCell ref="B49:C50"/>
    <mergeCell ref="D49:F50"/>
    <mergeCell ref="G49:I50"/>
    <mergeCell ref="K49:L49"/>
    <mergeCell ref="N49:O49"/>
    <mergeCell ref="P49:Q49"/>
    <mergeCell ref="T49:U49"/>
    <mergeCell ref="K50:L50"/>
    <mergeCell ref="N50:O50"/>
    <mergeCell ref="B48:C48"/>
    <mergeCell ref="D48:F48"/>
    <mergeCell ref="G48:I48"/>
    <mergeCell ref="K48:L48"/>
    <mergeCell ref="N48:O48"/>
    <mergeCell ref="P48:Q48"/>
    <mergeCell ref="P50:Q50"/>
    <mergeCell ref="T50:U50"/>
    <mergeCell ref="K46:L46"/>
    <mergeCell ref="N46:O46"/>
    <mergeCell ref="P46:Q46"/>
    <mergeCell ref="T46:U46"/>
    <mergeCell ref="K47:L47"/>
    <mergeCell ref="N47:O47"/>
    <mergeCell ref="P47:Q47"/>
    <mergeCell ref="T47:U47"/>
    <mergeCell ref="K44:L44"/>
    <mergeCell ref="N44:O44"/>
    <mergeCell ref="P44:Q44"/>
    <mergeCell ref="T44:U44"/>
    <mergeCell ref="K45:L45"/>
    <mergeCell ref="N45:O45"/>
    <mergeCell ref="P45:Q45"/>
    <mergeCell ref="T45:U45"/>
    <mergeCell ref="K42:L42"/>
    <mergeCell ref="N42:O42"/>
    <mergeCell ref="P42:Q42"/>
    <mergeCell ref="T42:U42"/>
    <mergeCell ref="K43:L43"/>
    <mergeCell ref="N43:O43"/>
    <mergeCell ref="P43:Q43"/>
    <mergeCell ref="T43:U43"/>
    <mergeCell ref="F40:I40"/>
    <mergeCell ref="K40:L40"/>
    <mergeCell ref="N40:O40"/>
    <mergeCell ref="P40:Q40"/>
    <mergeCell ref="T40:U40"/>
    <mergeCell ref="F41:G41"/>
    <mergeCell ref="K41:L41"/>
    <mergeCell ref="N41:O41"/>
    <mergeCell ref="P41:Q41"/>
    <mergeCell ref="T41:U41"/>
    <mergeCell ref="F38:I38"/>
    <mergeCell ref="K38:L38"/>
    <mergeCell ref="N38:O38"/>
    <mergeCell ref="P38:Q38"/>
    <mergeCell ref="T38:U38"/>
    <mergeCell ref="F39:I39"/>
    <mergeCell ref="K39:L39"/>
    <mergeCell ref="N39:O39"/>
    <mergeCell ref="P39:Q39"/>
    <mergeCell ref="T39:U39"/>
    <mergeCell ref="F36:I36"/>
    <mergeCell ref="K36:L36"/>
    <mergeCell ref="N36:O36"/>
    <mergeCell ref="P36:Q36"/>
    <mergeCell ref="T36:U36"/>
    <mergeCell ref="F37:I37"/>
    <mergeCell ref="K37:L37"/>
    <mergeCell ref="N37:O37"/>
    <mergeCell ref="P37:Q37"/>
    <mergeCell ref="T37:U37"/>
    <mergeCell ref="K34:L34"/>
    <mergeCell ref="N34:O34"/>
    <mergeCell ref="P34:Q34"/>
    <mergeCell ref="T34:U34"/>
    <mergeCell ref="K35:L35"/>
    <mergeCell ref="N35:O35"/>
    <mergeCell ref="P35:Q35"/>
    <mergeCell ref="T35:U35"/>
    <mergeCell ref="F32:I32"/>
    <mergeCell ref="K32:L32"/>
    <mergeCell ref="N32:O32"/>
    <mergeCell ref="P32:Q32"/>
    <mergeCell ref="T32:U32"/>
    <mergeCell ref="K33:L33"/>
    <mergeCell ref="N33:O33"/>
    <mergeCell ref="P33:Q33"/>
    <mergeCell ref="T33:U33"/>
    <mergeCell ref="F30:I30"/>
    <mergeCell ref="K30:L30"/>
    <mergeCell ref="N30:O30"/>
    <mergeCell ref="P30:Q30"/>
    <mergeCell ref="T30:U30"/>
    <mergeCell ref="K31:L31"/>
    <mergeCell ref="N31:O31"/>
    <mergeCell ref="P31:Q31"/>
    <mergeCell ref="T31:U31"/>
    <mergeCell ref="B29:C29"/>
    <mergeCell ref="F29:I29"/>
    <mergeCell ref="K29:L29"/>
    <mergeCell ref="N29:O29"/>
    <mergeCell ref="P29:Q29"/>
    <mergeCell ref="T29:U29"/>
    <mergeCell ref="F27:I27"/>
    <mergeCell ref="K27:L27"/>
    <mergeCell ref="N27:O27"/>
    <mergeCell ref="P27:Q27"/>
    <mergeCell ref="T27:U27"/>
    <mergeCell ref="K28:L28"/>
    <mergeCell ref="N28:O28"/>
    <mergeCell ref="P28:Q28"/>
    <mergeCell ref="T28:U28"/>
    <mergeCell ref="K25:L25"/>
    <mergeCell ref="N25:O25"/>
    <mergeCell ref="P25:Q25"/>
    <mergeCell ref="T25:U25"/>
    <mergeCell ref="K26:L26"/>
    <mergeCell ref="N26:O26"/>
    <mergeCell ref="P26:Q26"/>
    <mergeCell ref="T26:U26"/>
    <mergeCell ref="K23:L23"/>
    <mergeCell ref="N23:O23"/>
    <mergeCell ref="P23:Q23"/>
    <mergeCell ref="T23:U23"/>
    <mergeCell ref="F24:I24"/>
    <mergeCell ref="K24:L24"/>
    <mergeCell ref="N24:O24"/>
    <mergeCell ref="P24:Q24"/>
    <mergeCell ref="T24:U24"/>
    <mergeCell ref="K21:L21"/>
    <mergeCell ref="N21:O21"/>
    <mergeCell ref="P21:Q21"/>
    <mergeCell ref="T21:U21"/>
    <mergeCell ref="F22:I22"/>
    <mergeCell ref="K22:L22"/>
    <mergeCell ref="N22:O22"/>
    <mergeCell ref="P22:Q22"/>
    <mergeCell ref="T22:U22"/>
    <mergeCell ref="F20:I20"/>
    <mergeCell ref="K20:L20"/>
    <mergeCell ref="N20:O20"/>
    <mergeCell ref="P20:Q20"/>
    <mergeCell ref="T20:U20"/>
    <mergeCell ref="Y20:Z20"/>
    <mergeCell ref="T18:U18"/>
    <mergeCell ref="Y18:Z18"/>
    <mergeCell ref="F19:I19"/>
    <mergeCell ref="K19:L19"/>
    <mergeCell ref="N19:O19"/>
    <mergeCell ref="P19:Q19"/>
    <mergeCell ref="T19:U19"/>
    <mergeCell ref="Y19:Z19"/>
    <mergeCell ref="F16:I16"/>
    <mergeCell ref="F17:I17"/>
    <mergeCell ref="K17:L17"/>
    <mergeCell ref="N17:O17"/>
    <mergeCell ref="P17:Q17"/>
    <mergeCell ref="K18:L18"/>
    <mergeCell ref="N18:O18"/>
    <mergeCell ref="P18:Q18"/>
    <mergeCell ref="E13:F13"/>
    <mergeCell ref="H13:I13"/>
    <mergeCell ref="K13:L13"/>
    <mergeCell ref="N13:O13"/>
    <mergeCell ref="P13:Q13"/>
    <mergeCell ref="F15:I15"/>
    <mergeCell ref="K15:L16"/>
    <mergeCell ref="M15:M16"/>
    <mergeCell ref="N15:O16"/>
    <mergeCell ref="P15:Q16"/>
    <mergeCell ref="E11:F11"/>
    <mergeCell ref="H11:I11"/>
    <mergeCell ref="K11:L11"/>
    <mergeCell ref="N11:O11"/>
    <mergeCell ref="P11:Q11"/>
    <mergeCell ref="E12:F12"/>
    <mergeCell ref="H12:I12"/>
    <mergeCell ref="K12:L12"/>
    <mergeCell ref="N12:O12"/>
    <mergeCell ref="P12:Q12"/>
    <mergeCell ref="E10:I10"/>
    <mergeCell ref="K10:L10"/>
    <mergeCell ref="N10:Q10"/>
    <mergeCell ref="E7:F7"/>
    <mergeCell ref="K7:L7"/>
    <mergeCell ref="N7:Q7"/>
    <mergeCell ref="E8:I8"/>
    <mergeCell ref="K8:L8"/>
    <mergeCell ref="N8:Q8"/>
    <mergeCell ref="G2:I2"/>
    <mergeCell ref="B4:I4"/>
    <mergeCell ref="K4:Q4"/>
    <mergeCell ref="E6:I6"/>
    <mergeCell ref="K6:L6"/>
    <mergeCell ref="N6:Q6"/>
    <mergeCell ref="E9:I9"/>
    <mergeCell ref="K9:L9"/>
    <mergeCell ref="N9:Q9"/>
  </mergeCells>
  <pageMargins left="0.70866141732283472" right="0.70866141732283472" top="0.82677165354330717" bottom="0.74803149606299213" header="0.31496062992125984" footer="0.31496062992125984"/>
  <pageSetup paperSize="10000" scale="61" orientation="portrait" r:id="rId1"/>
  <headerFooter>
    <oddHeader xml:space="preserve">&amp;R&amp;"Century Gothic,Bold"&amp;18ANNEX A: 
SAMPLE PACKAGE COMPUTATION
</oddHeader>
  </headerFooter>
  <colBreaks count="1" manualBreakCount="1">
    <brk id="9" max="86" man="1"/>
  </colBreaks>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8">
    <tabColor rgb="FF00B0F0"/>
  </sheetPr>
  <dimension ref="A1:BM126"/>
  <sheetViews>
    <sheetView showGridLines="0" showZeros="0" showRuler="0" view="pageBreakPreview" topLeftCell="D52" zoomScale="80" zoomScaleNormal="90" zoomScaleSheetLayoutView="80" zoomScalePageLayoutView="70" workbookViewId="0">
      <selection activeCell="M71" sqref="M71"/>
    </sheetView>
  </sheetViews>
  <sheetFormatPr defaultColWidth="9.140625" defaultRowHeight="13.5"/>
  <cols>
    <col min="1" max="1" width="1.140625" style="14" customWidth="1"/>
    <col min="2" max="2" width="12" style="14" customWidth="1"/>
    <col min="3" max="3" width="29.140625" style="14" customWidth="1"/>
    <col min="4" max="4" width="21" style="19" customWidth="1"/>
    <col min="5" max="5" width="19.85546875" style="14" customWidth="1"/>
    <col min="6" max="6" width="17.140625" style="14" customWidth="1"/>
    <col min="7" max="7" width="18.85546875" style="14" customWidth="1"/>
    <col min="8" max="8" width="11.140625" style="14" customWidth="1"/>
    <col min="9" max="9" width="7" style="14" customWidth="1"/>
    <col min="10" max="10" width="0.85546875" style="14" customWidth="1"/>
    <col min="11" max="11" width="9.140625" style="14"/>
    <col min="12" max="12" width="26" style="14" customWidth="1"/>
    <col min="13" max="13" width="22.140625" style="202" customWidth="1"/>
    <col min="14" max="14" width="12.140625" style="14" customWidth="1"/>
    <col min="15" max="15" width="16.5703125" style="14" customWidth="1"/>
    <col min="16" max="16" width="21.140625" style="14" customWidth="1"/>
    <col min="17" max="17" width="27.140625" style="14" customWidth="1"/>
    <col min="18" max="18" width="0.140625" style="14" customWidth="1"/>
    <col min="19" max="19" width="0.85546875" style="14" customWidth="1"/>
    <col min="20" max="20" width="7.85546875" style="14" customWidth="1"/>
    <col min="21" max="21" width="24" style="14" customWidth="1"/>
    <col min="22" max="22" width="4.5703125" style="14" customWidth="1"/>
    <col min="23" max="23" width="18.42578125" style="14" customWidth="1"/>
    <col min="24" max="24" width="8.140625" style="14" customWidth="1"/>
    <col min="25" max="25" width="9.85546875" style="14" customWidth="1"/>
    <col min="26" max="26" width="14.42578125" style="14" customWidth="1"/>
    <col min="27" max="27" width="7.5703125" style="14" customWidth="1"/>
    <col min="28" max="28" width="17.85546875" style="14" customWidth="1"/>
    <col min="29" max="29" width="18.42578125" style="14" customWidth="1"/>
    <col min="30" max="30" width="3" style="14" customWidth="1"/>
    <col min="31" max="31" width="4.42578125" style="14" customWidth="1"/>
    <col min="32" max="34" width="9.140625" style="14"/>
    <col min="35" max="35" width="9.140625" style="14" customWidth="1"/>
    <col min="36" max="37" width="9.140625" style="14" hidden="1" customWidth="1"/>
    <col min="38" max="16384" width="9.140625" style="14"/>
  </cols>
  <sheetData>
    <row r="1" spans="1:65" s="17" customFormat="1" ht="12.6">
      <c r="B1" s="160" t="s">
        <v>1059</v>
      </c>
      <c r="C1" s="1022">
        <f>FORM!I20</f>
        <v>45901</v>
      </c>
      <c r="D1" s="1023"/>
      <c r="E1" s="86"/>
      <c r="F1" s="132" t="s">
        <v>1172</v>
      </c>
      <c r="G1" s="1641" t="s">
        <v>1283</v>
      </c>
      <c r="H1" s="1641"/>
      <c r="I1" s="1641"/>
      <c r="J1" s="15"/>
      <c r="K1" s="573" t="s">
        <v>1059</v>
      </c>
      <c r="L1" s="1864">
        <f>C1</f>
        <v>45901</v>
      </c>
      <c r="M1" s="1865"/>
      <c r="O1" s="574"/>
      <c r="P1" s="575" t="s">
        <v>1173</v>
      </c>
      <c r="Q1" s="1866" t="s">
        <v>1284</v>
      </c>
      <c r="S1" s="1704" t="s">
        <v>1059</v>
      </c>
      <c r="T1" s="1704"/>
      <c r="U1" s="1867">
        <f>L1</f>
        <v>45901</v>
      </c>
      <c r="V1" s="1867"/>
      <c r="W1" s="1868"/>
      <c r="Y1" s="574"/>
      <c r="Z1" s="1679" t="s">
        <v>1173</v>
      </c>
      <c r="AA1" s="1679"/>
      <c r="AB1" s="1867" t="s">
        <v>1285</v>
      </c>
      <c r="AC1" s="1867"/>
      <c r="AD1" s="1867"/>
    </row>
    <row r="2" spans="1:65" s="17" customFormat="1" ht="7.5" customHeight="1">
      <c r="B2" s="86"/>
      <c r="C2" s="87"/>
      <c r="D2" s="87"/>
      <c r="E2" s="86"/>
      <c r="F2" s="86"/>
      <c r="G2" s="86"/>
      <c r="H2" s="86"/>
      <c r="I2" s="86"/>
      <c r="K2" s="190"/>
      <c r="L2" s="190"/>
      <c r="M2" s="190"/>
      <c r="N2" s="190"/>
      <c r="O2" s="190"/>
      <c r="P2" s="190"/>
      <c r="Q2" s="190"/>
    </row>
    <row r="3" spans="1:65" s="17" customFormat="1" ht="14.25" customHeight="1">
      <c r="B3" s="1447" t="s">
        <v>1286</v>
      </c>
      <c r="C3" s="1447"/>
      <c r="D3" s="1447"/>
      <c r="E3" s="1447"/>
      <c r="F3" s="1447"/>
      <c r="G3" s="1447"/>
      <c r="H3" s="1447"/>
      <c r="I3" s="1447"/>
      <c r="J3" s="191"/>
      <c r="K3" s="1705" t="s">
        <v>1065</v>
      </c>
      <c r="L3" s="1705"/>
      <c r="M3" s="1705"/>
      <c r="N3" s="1705"/>
      <c r="O3" s="1705"/>
      <c r="P3" s="1705"/>
      <c r="Q3" s="1705"/>
      <c r="S3" s="1705" t="s">
        <v>1287</v>
      </c>
      <c r="T3" s="1705"/>
      <c r="U3" s="1705"/>
      <c r="V3" s="1705"/>
      <c r="W3" s="1705"/>
      <c r="X3" s="1705"/>
      <c r="Y3" s="1705"/>
      <c r="Z3" s="1705"/>
      <c r="AA3" s="1705"/>
      <c r="AB3" s="1705"/>
      <c r="AC3" s="1705"/>
      <c r="AD3" s="1705"/>
    </row>
    <row r="4" spans="1:65" s="17" customFormat="1" ht="12.75" customHeight="1">
      <c r="B4" s="1447"/>
      <c r="C4" s="1447"/>
      <c r="D4" s="1447"/>
      <c r="E4" s="1447"/>
      <c r="F4" s="1447"/>
      <c r="G4" s="1447"/>
      <c r="H4" s="1447"/>
      <c r="I4" s="1447"/>
      <c r="J4" s="191"/>
      <c r="K4" s="1705"/>
      <c r="L4" s="1705"/>
      <c r="M4" s="1705"/>
      <c r="N4" s="1705"/>
      <c r="O4" s="1705"/>
      <c r="P4" s="1705"/>
      <c r="Q4" s="1705"/>
      <c r="S4" s="1705"/>
      <c r="T4" s="1705"/>
      <c r="U4" s="1705"/>
      <c r="V4" s="1705"/>
      <c r="W4" s="1705"/>
      <c r="X4" s="1705"/>
      <c r="Y4" s="1705"/>
      <c r="Z4" s="1705"/>
      <c r="AA4" s="1705"/>
      <c r="AB4" s="1705"/>
      <c r="AC4" s="1705"/>
      <c r="AD4" s="1705"/>
    </row>
    <row r="5" spans="1:65" s="17" customFormat="1" ht="12.75" customHeight="1">
      <c r="B5" s="174"/>
      <c r="C5" s="174"/>
      <c r="D5" s="207"/>
      <c r="E5" s="97"/>
      <c r="F5" s="97"/>
      <c r="G5" s="97"/>
      <c r="H5" s="97"/>
      <c r="I5" s="97"/>
      <c r="J5" s="192"/>
      <c r="K5" s="193"/>
      <c r="L5" s="194"/>
      <c r="M5" s="195"/>
      <c r="N5" s="194"/>
      <c r="O5" s="194"/>
      <c r="P5" s="194"/>
      <c r="Q5" s="195"/>
    </row>
    <row r="6" spans="1:65" s="16" customFormat="1" ht="12.6">
      <c r="A6" s="1869"/>
      <c r="B6" s="225" t="s">
        <v>1066</v>
      </c>
      <c r="C6" s="226"/>
      <c r="D6" s="1027" t="s">
        <v>1015</v>
      </c>
      <c r="E6" s="1642" t="str">
        <f>FORM!I26</f>
        <v>buyer</v>
      </c>
      <c r="F6" s="1643"/>
      <c r="G6" s="1643"/>
      <c r="H6" s="1643"/>
      <c r="I6" s="1644"/>
      <c r="J6" s="4"/>
      <c r="K6" s="196" t="s">
        <v>1066</v>
      </c>
      <c r="L6" s="197"/>
      <c r="M6" s="1065" t="s">
        <v>1015</v>
      </c>
      <c r="N6" s="1678" t="str">
        <f>E6</f>
        <v>buyer</v>
      </c>
      <c r="O6" s="1678"/>
      <c r="P6" s="1678"/>
      <c r="Q6" s="1678"/>
      <c r="R6" s="1870"/>
      <c r="S6" s="196" t="s">
        <v>1066</v>
      </c>
      <c r="T6" s="196"/>
      <c r="U6" s="196"/>
      <c r="V6" s="196"/>
      <c r="W6" s="1871" t="s">
        <v>1015</v>
      </c>
      <c r="X6" s="1872" t="str">
        <f t="shared" ref="X6:X13" si="0">N6</f>
        <v>buyer</v>
      </c>
      <c r="Y6" s="1873"/>
      <c r="Z6" s="1873"/>
      <c r="AA6" s="1873"/>
      <c r="AB6" s="1873"/>
      <c r="AC6" s="1873"/>
      <c r="AD6" s="1874"/>
      <c r="AE6" s="1870"/>
      <c r="AF6" s="1870"/>
      <c r="AG6" s="1870"/>
      <c r="AH6" s="1870"/>
      <c r="AI6" s="1870"/>
      <c r="AJ6" s="1870"/>
      <c r="AK6" s="1870"/>
      <c r="AL6" s="1870"/>
      <c r="AM6" s="1870"/>
      <c r="AN6" s="1870"/>
      <c r="AO6" s="1870"/>
      <c r="AP6" s="1870"/>
      <c r="AQ6" s="1870"/>
      <c r="AR6" s="1870"/>
      <c r="AS6" s="1870"/>
      <c r="AT6" s="1870"/>
      <c r="AU6" s="1870"/>
      <c r="AV6" s="1870"/>
      <c r="AW6" s="1870"/>
      <c r="AX6" s="1870"/>
      <c r="AY6" s="1875"/>
      <c r="AZ6" s="1870"/>
      <c r="BA6" s="1870"/>
      <c r="BB6" s="1870"/>
      <c r="BC6" s="1870"/>
      <c r="BD6" s="1870"/>
      <c r="BE6" s="1870"/>
      <c r="BF6" s="1870"/>
      <c r="BG6" s="1870"/>
      <c r="BH6" s="1870"/>
      <c r="BI6" s="1870"/>
      <c r="BJ6" s="1870"/>
      <c r="BK6" s="1870"/>
      <c r="BL6" s="1876"/>
      <c r="BM6" s="1877"/>
    </row>
    <row r="7" spans="1:65" s="16" customFormat="1" ht="12.6">
      <c r="A7" s="1869"/>
      <c r="B7" s="144" t="s">
        <v>1014</v>
      </c>
      <c r="C7" s="227"/>
      <c r="D7" s="1027" t="s">
        <v>1015</v>
      </c>
      <c r="E7" s="1646" t="str">
        <f>FORM!I11</f>
        <v>The Southprime Flats</v>
      </c>
      <c r="F7" s="1647"/>
      <c r="G7" s="1028" t="str">
        <f>FORM!I14</f>
        <v>B3</v>
      </c>
      <c r="H7" s="1028"/>
      <c r="I7" s="1029"/>
      <c r="J7" s="4"/>
      <c r="K7" s="198" t="s">
        <v>1014</v>
      </c>
      <c r="L7" s="199"/>
      <c r="M7" s="1065" t="s">
        <v>1015</v>
      </c>
      <c r="N7" s="1678" t="str">
        <f>E7</f>
        <v>The Southprime Flats</v>
      </c>
      <c r="O7" s="1678"/>
      <c r="P7" s="1678"/>
      <c r="Q7" s="1678"/>
      <c r="R7" s="1870"/>
      <c r="S7" s="196" t="s">
        <v>1014</v>
      </c>
      <c r="T7" s="196"/>
      <c r="U7" s="196"/>
      <c r="V7" s="196"/>
      <c r="W7" s="1871" t="s">
        <v>1015</v>
      </c>
      <c r="X7" s="1872" t="str">
        <f t="shared" si="0"/>
        <v>The Southprime Flats</v>
      </c>
      <c r="Y7" s="1873"/>
      <c r="Z7" s="1873"/>
      <c r="AA7" s="1873"/>
      <c r="AB7" s="1873"/>
      <c r="AC7" s="1873"/>
      <c r="AD7" s="1874"/>
      <c r="AE7" s="1870"/>
      <c r="AF7" s="1870"/>
      <c r="AG7" s="1870"/>
      <c r="AH7" s="1870"/>
      <c r="AI7" s="1870"/>
      <c r="AJ7" s="1870"/>
      <c r="AK7" s="1870"/>
      <c r="AL7" s="1870"/>
      <c r="AM7" s="1870"/>
      <c r="AN7" s="1870"/>
      <c r="AO7" s="1870"/>
      <c r="AP7" s="1870"/>
      <c r="AQ7" s="1870"/>
      <c r="AR7" s="1870"/>
      <c r="AS7" s="1870"/>
      <c r="AT7" s="1870"/>
      <c r="AU7" s="1870"/>
      <c r="AV7" s="1870"/>
      <c r="AW7" s="1870"/>
      <c r="AX7" s="1870"/>
      <c r="AY7" s="1875"/>
      <c r="AZ7" s="1870"/>
      <c r="BA7" s="1870"/>
      <c r="BB7" s="1870"/>
      <c r="BC7" s="1870"/>
      <c r="BD7" s="1870"/>
      <c r="BE7" s="1870"/>
      <c r="BF7" s="1870"/>
      <c r="BG7" s="1870"/>
      <c r="BH7" s="1870"/>
      <c r="BI7" s="1870"/>
      <c r="BJ7" s="1870"/>
      <c r="BK7" s="1870"/>
      <c r="BL7" s="1876"/>
      <c r="BM7" s="1877"/>
    </row>
    <row r="8" spans="1:65" s="16" customFormat="1" ht="12.6">
      <c r="A8" s="1869"/>
      <c r="B8" s="144" t="s">
        <v>1068</v>
      </c>
      <c r="C8" s="227"/>
      <c r="D8" s="1027" t="s">
        <v>1015</v>
      </c>
      <c r="E8" s="1642" t="str">
        <f>'STANDARD COMP.'!E8</f>
        <v>E-11K</v>
      </c>
      <c r="F8" s="1643"/>
      <c r="G8" s="1643"/>
      <c r="H8" s="1643"/>
      <c r="I8" s="1644"/>
      <c r="J8" s="4"/>
      <c r="K8" s="198" t="s">
        <v>1068</v>
      </c>
      <c r="L8" s="199"/>
      <c r="M8" s="1065" t="s">
        <v>1015</v>
      </c>
      <c r="N8" s="1678" t="str">
        <f>E8</f>
        <v>E-11K</v>
      </c>
      <c r="O8" s="1678"/>
      <c r="P8" s="1678"/>
      <c r="Q8" s="1678"/>
      <c r="R8" s="1870"/>
      <c r="S8" s="196" t="s">
        <v>1068</v>
      </c>
      <c r="T8" s="196"/>
      <c r="U8" s="196"/>
      <c r="V8" s="196"/>
      <c r="W8" s="1871" t="s">
        <v>1015</v>
      </c>
      <c r="X8" s="1872" t="str">
        <f t="shared" si="0"/>
        <v>E-11K</v>
      </c>
      <c r="Y8" s="1873"/>
      <c r="Z8" s="1873"/>
      <c r="AA8" s="1873"/>
      <c r="AB8" s="1873"/>
      <c r="AC8" s="1873"/>
      <c r="AD8" s="1874"/>
      <c r="AE8" s="1870"/>
      <c r="AF8" s="1870"/>
      <c r="AG8" s="1870"/>
      <c r="AH8" s="1870"/>
      <c r="AI8" s="1870"/>
      <c r="AJ8" s="1870"/>
      <c r="AK8" s="1870"/>
      <c r="AL8" s="1870"/>
      <c r="AM8" s="1870"/>
      <c r="AN8" s="1870"/>
      <c r="AO8" s="1870"/>
      <c r="AP8" s="1870"/>
      <c r="AQ8" s="1870"/>
      <c r="AR8" s="1870"/>
      <c r="AS8" s="1870"/>
      <c r="AT8" s="1870"/>
      <c r="AU8" s="1870"/>
      <c r="AV8" s="1870"/>
      <c r="AW8" s="1870"/>
      <c r="AX8" s="1870"/>
      <c r="AY8" s="1875"/>
      <c r="AZ8" s="1870"/>
      <c r="BA8" s="1870"/>
      <c r="BB8" s="1870"/>
      <c r="BC8" s="1870"/>
      <c r="BD8" s="1870"/>
      <c r="BE8" s="1870"/>
      <c r="BF8" s="1870"/>
      <c r="BG8" s="1870"/>
      <c r="BH8" s="1870"/>
      <c r="BI8" s="1870"/>
      <c r="BJ8" s="1870"/>
      <c r="BK8" s="1870"/>
      <c r="BL8" s="1876"/>
      <c r="BM8" s="1877"/>
    </row>
    <row r="9" spans="1:65" s="16" customFormat="1" ht="12.6" hidden="1">
      <c r="A9" s="1869"/>
      <c r="B9" s="144" t="s">
        <v>1070</v>
      </c>
      <c r="C9" s="227"/>
      <c r="D9" s="1027" t="s">
        <v>1015</v>
      </c>
      <c r="E9" s="1642" t="e">
        <f>FORM!#REF!</f>
        <v>#REF!</v>
      </c>
      <c r="F9" s="1643"/>
      <c r="G9" s="1643"/>
      <c r="H9" s="1643"/>
      <c r="I9" s="1644"/>
      <c r="J9" s="4"/>
      <c r="K9" s="198" t="s">
        <v>1070</v>
      </c>
      <c r="L9" s="199"/>
      <c r="M9" s="1065" t="s">
        <v>1015</v>
      </c>
      <c r="N9" s="1678" t="e">
        <f>FORM!#REF!</f>
        <v>#REF!</v>
      </c>
      <c r="O9" s="1678"/>
      <c r="P9" s="1678"/>
      <c r="Q9" s="1678"/>
      <c r="R9" s="1870"/>
      <c r="S9" s="196" t="s">
        <v>1070</v>
      </c>
      <c r="T9" s="196"/>
      <c r="U9" s="196"/>
      <c r="V9" s="196"/>
      <c r="W9" s="1871" t="s">
        <v>1015</v>
      </c>
      <c r="X9" s="1872" t="e">
        <f t="shared" si="0"/>
        <v>#REF!</v>
      </c>
      <c r="Y9" s="1873"/>
      <c r="Z9" s="1873"/>
      <c r="AA9" s="1873"/>
      <c r="AB9" s="1873"/>
      <c r="AC9" s="1873"/>
      <c r="AD9" s="1874"/>
      <c r="AE9" s="1870"/>
      <c r="AF9" s="1870"/>
      <c r="AG9" s="1870"/>
      <c r="AH9" s="1870"/>
      <c r="AI9" s="1870"/>
      <c r="AJ9" s="1870"/>
      <c r="AK9" s="1870"/>
      <c r="AL9" s="1870"/>
      <c r="AM9" s="1870"/>
      <c r="AN9" s="1870"/>
      <c r="AO9" s="1870"/>
      <c r="AP9" s="1870"/>
      <c r="AQ9" s="1870"/>
      <c r="AR9" s="1870"/>
      <c r="AS9" s="1870"/>
      <c r="AT9" s="1870"/>
      <c r="AU9" s="1870"/>
      <c r="AV9" s="1870"/>
      <c r="AW9" s="1870"/>
      <c r="AX9" s="1870"/>
      <c r="AY9" s="1875"/>
      <c r="AZ9" s="1870"/>
      <c r="BA9" s="1870"/>
      <c r="BB9" s="1870"/>
      <c r="BC9" s="1870"/>
      <c r="BD9" s="1870"/>
      <c r="BE9" s="1870"/>
      <c r="BF9" s="1870"/>
      <c r="BG9" s="1870"/>
      <c r="BH9" s="1870"/>
      <c r="BI9" s="1870"/>
      <c r="BJ9" s="1870"/>
      <c r="BK9" s="1870"/>
      <c r="BL9" s="1876"/>
      <c r="BM9" s="1877"/>
    </row>
    <row r="10" spans="1:65" s="16" customFormat="1" ht="12.6">
      <c r="A10" s="1869"/>
      <c r="B10" s="144" t="s">
        <v>1071</v>
      </c>
      <c r="C10" s="227"/>
      <c r="D10" s="1027" t="s">
        <v>1015</v>
      </c>
      <c r="E10" s="1642" t="str">
        <f>'STANDARD COMP.'!E10</f>
        <v>Studio</v>
      </c>
      <c r="F10" s="1643"/>
      <c r="G10" s="1643"/>
      <c r="H10" s="1643"/>
      <c r="I10" s="1644"/>
      <c r="J10" s="4"/>
      <c r="K10" s="198" t="s">
        <v>1071</v>
      </c>
      <c r="L10" s="199"/>
      <c r="M10" s="1065" t="s">
        <v>1015</v>
      </c>
      <c r="N10" s="1678" t="str">
        <f>E10</f>
        <v>Studio</v>
      </c>
      <c r="O10" s="1678"/>
      <c r="P10" s="1678"/>
      <c r="Q10" s="1678"/>
      <c r="R10" s="1870"/>
      <c r="S10" s="196" t="s">
        <v>1071</v>
      </c>
      <c r="T10" s="196"/>
      <c r="U10" s="196"/>
      <c r="V10" s="196"/>
      <c r="W10" s="1871" t="s">
        <v>1015</v>
      </c>
      <c r="X10" s="1872" t="str">
        <f t="shared" si="0"/>
        <v>Studio</v>
      </c>
      <c r="Y10" s="1873"/>
      <c r="Z10" s="1873"/>
      <c r="AA10" s="1873"/>
      <c r="AB10" s="1873"/>
      <c r="AC10" s="1873"/>
      <c r="AD10" s="1874"/>
      <c r="AE10" s="1870"/>
      <c r="AF10" s="1870"/>
      <c r="AG10" s="1870"/>
      <c r="AH10" s="1870"/>
      <c r="AI10" s="1870"/>
      <c r="AJ10" s="1870"/>
      <c r="AK10" s="1870"/>
      <c r="AL10" s="1870"/>
      <c r="AM10" s="1870"/>
      <c r="AN10" s="1870"/>
      <c r="AO10" s="1870"/>
      <c r="AP10" s="1870"/>
      <c r="AQ10" s="1870"/>
      <c r="AR10" s="1870"/>
      <c r="AS10" s="1870"/>
      <c r="AT10" s="1870"/>
      <c r="AU10" s="1870"/>
      <c r="AV10" s="1870"/>
      <c r="AW10" s="1870"/>
      <c r="AX10" s="1870"/>
      <c r="AY10" s="1875"/>
      <c r="AZ10" s="1870"/>
      <c r="BA10" s="1870"/>
      <c r="BB10" s="1870"/>
      <c r="BC10" s="1870"/>
      <c r="BD10" s="1870"/>
      <c r="BE10" s="1870"/>
      <c r="BF10" s="1870"/>
      <c r="BG10" s="1870"/>
      <c r="BH10" s="1870"/>
      <c r="BI10" s="1870"/>
      <c r="BJ10" s="1870"/>
      <c r="BK10" s="1870"/>
      <c r="BL10" s="1876"/>
      <c r="BM10" s="1877"/>
    </row>
    <row r="11" spans="1:65" s="16" customFormat="1" ht="12.6">
      <c r="A11" s="1869"/>
      <c r="B11" s="144" t="s">
        <v>1072</v>
      </c>
      <c r="C11" s="227"/>
      <c r="D11" s="1027" t="s">
        <v>1015</v>
      </c>
      <c r="E11" s="1648">
        <f>'STANDARD COMP.'!E11:F11</f>
        <v>22</v>
      </c>
      <c r="F11" s="1649"/>
      <c r="G11" s="1650" t="s">
        <v>1073</v>
      </c>
      <c r="H11" s="1650"/>
      <c r="I11" s="1651"/>
      <c r="J11" s="4"/>
      <c r="K11" s="198" t="s">
        <v>1072</v>
      </c>
      <c r="L11" s="199"/>
      <c r="M11" s="1065" t="s">
        <v>1015</v>
      </c>
      <c r="N11" s="1878">
        <f>E11</f>
        <v>22</v>
      </c>
      <c r="O11" s="1879"/>
      <c r="P11" s="1880" t="s">
        <v>1073</v>
      </c>
      <c r="Q11" s="1881"/>
      <c r="R11" s="1870"/>
      <c r="S11" s="196" t="s">
        <v>1072</v>
      </c>
      <c r="T11" s="196"/>
      <c r="U11" s="196"/>
      <c r="V11" s="196"/>
      <c r="W11" s="1871" t="s">
        <v>1015</v>
      </c>
      <c r="X11" s="1878">
        <f t="shared" si="0"/>
        <v>22</v>
      </c>
      <c r="Y11" s="1882"/>
      <c r="Z11" s="1883" t="s">
        <v>1073</v>
      </c>
      <c r="AA11" s="1883"/>
      <c r="AB11" s="1884"/>
      <c r="AC11" s="1884"/>
      <c r="AD11" s="1885"/>
      <c r="AE11" s="1870"/>
      <c r="AF11" s="1870"/>
      <c r="AG11" s="1870"/>
      <c r="AH11" s="1870"/>
      <c r="AI11" s="1870"/>
      <c r="AJ11" s="1870"/>
      <c r="AK11" s="1870"/>
      <c r="AL11" s="1870"/>
      <c r="AM11" s="1870"/>
      <c r="AN11" s="1870"/>
      <c r="AO11" s="1870"/>
      <c r="AP11" s="1870"/>
      <c r="AQ11" s="1870"/>
      <c r="AR11" s="1870"/>
      <c r="AS11" s="1870"/>
      <c r="AT11" s="1870"/>
      <c r="AU11" s="1870"/>
      <c r="AV11" s="1870"/>
      <c r="AW11" s="1870"/>
      <c r="AX11" s="1870"/>
      <c r="AY11" s="1875"/>
      <c r="AZ11" s="1870"/>
      <c r="BA11" s="1870"/>
      <c r="BB11" s="1870"/>
      <c r="BC11" s="1870"/>
      <c r="BD11" s="1870"/>
      <c r="BE11" s="1870"/>
      <c r="BF11" s="1870"/>
      <c r="BG11" s="1870"/>
      <c r="BH11" s="1870"/>
      <c r="BI11" s="1870"/>
      <c r="BJ11" s="1870"/>
      <c r="BK11" s="1870"/>
      <c r="BL11" s="1876"/>
      <c r="BM11" s="1877"/>
    </row>
    <row r="12" spans="1:65" s="16" customFormat="1" ht="12.6">
      <c r="A12" s="1869"/>
      <c r="B12" s="148" t="s">
        <v>1074</v>
      </c>
      <c r="C12" s="227"/>
      <c r="D12" s="1027" t="s">
        <v>1015</v>
      </c>
      <c r="E12" s="1652">
        <f>'STANDARD COMP.'!E12:F12</f>
        <v>0</v>
      </c>
      <c r="F12" s="1653"/>
      <c r="G12" s="1650" t="s">
        <v>1073</v>
      </c>
      <c r="H12" s="1650"/>
      <c r="I12" s="1651"/>
      <c r="J12" s="4"/>
      <c r="K12" s="199" t="s">
        <v>1074</v>
      </c>
      <c r="L12" s="199"/>
      <c r="M12" s="1065" t="s">
        <v>1015</v>
      </c>
      <c r="N12" s="1886">
        <f>E12</f>
        <v>0</v>
      </c>
      <c r="O12" s="1887"/>
      <c r="P12" s="1880" t="s">
        <v>1073</v>
      </c>
      <c r="Q12" s="1881"/>
      <c r="R12" s="1870"/>
      <c r="S12" s="196" t="s">
        <v>1074</v>
      </c>
      <c r="T12" s="196"/>
      <c r="U12" s="196"/>
      <c r="V12" s="196"/>
      <c r="W12" s="1871" t="s">
        <v>1015</v>
      </c>
      <c r="X12" s="1878">
        <f t="shared" si="0"/>
        <v>0</v>
      </c>
      <c r="Y12" s="1882"/>
      <c r="Z12" s="1883" t="s">
        <v>1073</v>
      </c>
      <c r="AA12" s="1883"/>
      <c r="AB12" s="1884"/>
      <c r="AC12" s="1884"/>
      <c r="AD12" s="1885"/>
      <c r="AE12" s="1870"/>
      <c r="AF12" s="1870"/>
      <c r="AG12" s="1870"/>
      <c r="AH12" s="1870"/>
      <c r="AI12" s="1870"/>
      <c r="AJ12" s="1870"/>
      <c r="AK12" s="1870"/>
      <c r="AL12" s="1870"/>
      <c r="AM12" s="1870"/>
      <c r="AN12" s="1870"/>
      <c r="AO12" s="1870"/>
      <c r="AP12" s="1870"/>
      <c r="AQ12" s="1870"/>
      <c r="AR12" s="1870"/>
      <c r="AS12" s="1870"/>
      <c r="AT12" s="1870"/>
      <c r="AU12" s="1870"/>
      <c r="AV12" s="1870"/>
      <c r="AW12" s="1870"/>
      <c r="AX12" s="1870"/>
      <c r="AY12" s="1875"/>
      <c r="AZ12" s="1870"/>
      <c r="BA12" s="1870"/>
      <c r="BB12" s="1870"/>
      <c r="BC12" s="1870"/>
      <c r="BD12" s="1870"/>
      <c r="BE12" s="1870"/>
      <c r="BF12" s="1870"/>
      <c r="BG12" s="1870"/>
      <c r="BH12" s="1870"/>
      <c r="BI12" s="1870"/>
      <c r="BJ12" s="1870"/>
      <c r="BK12" s="1870"/>
      <c r="BL12" s="1876"/>
      <c r="BM12" s="1877"/>
    </row>
    <row r="13" spans="1:65" s="16" customFormat="1" ht="12.6">
      <c r="A13" s="1869"/>
      <c r="B13" s="238" t="s">
        <v>1075</v>
      </c>
      <c r="C13" s="101"/>
      <c r="D13" s="1027" t="s">
        <v>1015</v>
      </c>
      <c r="E13" s="1652">
        <f>'STANDARD COMP.'!E13:F13</f>
        <v>22</v>
      </c>
      <c r="F13" s="1653"/>
      <c r="G13" s="1650" t="s">
        <v>1073</v>
      </c>
      <c r="H13" s="1650"/>
      <c r="I13" s="1651"/>
      <c r="J13" s="4"/>
      <c r="K13" s="200" t="s">
        <v>1075</v>
      </c>
      <c r="L13" s="201"/>
      <c r="M13" s="1065" t="s">
        <v>1015</v>
      </c>
      <c r="N13" s="1886">
        <f>E13</f>
        <v>22</v>
      </c>
      <c r="O13" s="1887"/>
      <c r="P13" s="1880" t="s">
        <v>1073</v>
      </c>
      <c r="Q13" s="1881"/>
      <c r="R13" s="1870"/>
      <c r="S13" s="196" t="s">
        <v>1075</v>
      </c>
      <c r="T13" s="196"/>
      <c r="U13" s="196"/>
      <c r="V13" s="196"/>
      <c r="W13" s="1871" t="s">
        <v>1015</v>
      </c>
      <c r="X13" s="1878">
        <f t="shared" si="0"/>
        <v>22</v>
      </c>
      <c r="Y13" s="1882"/>
      <c r="Z13" s="1883" t="s">
        <v>1073</v>
      </c>
      <c r="AA13" s="1883"/>
      <c r="AB13" s="1884"/>
      <c r="AC13" s="1884"/>
      <c r="AD13" s="1885"/>
      <c r="AE13" s="1870"/>
      <c r="AF13" s="1870"/>
      <c r="AG13" s="1870"/>
      <c r="AH13" s="1870"/>
      <c r="AI13" s="1870"/>
      <c r="AJ13" s="1870"/>
      <c r="AK13" s="1870"/>
      <c r="AL13" s="1870"/>
      <c r="AM13" s="1870"/>
      <c r="AN13" s="1870"/>
      <c r="AO13" s="1870"/>
      <c r="AP13" s="1870"/>
      <c r="AQ13" s="1870"/>
      <c r="AR13" s="1870"/>
      <c r="AS13" s="1870"/>
      <c r="AT13" s="1870"/>
      <c r="AU13" s="1870"/>
      <c r="AV13" s="1870"/>
      <c r="AW13" s="1870"/>
      <c r="AX13" s="1870"/>
      <c r="AY13" s="1875"/>
      <c r="AZ13" s="1870"/>
      <c r="BA13" s="1870"/>
      <c r="BB13" s="1870"/>
      <c r="BC13" s="1870"/>
      <c r="BD13" s="1870"/>
      <c r="BE13" s="1870"/>
      <c r="BF13" s="1870"/>
      <c r="BG13" s="1870"/>
      <c r="BH13" s="1870"/>
      <c r="BI13" s="1870"/>
      <c r="BJ13" s="1870"/>
      <c r="BK13" s="1870"/>
      <c r="BL13" s="1876"/>
      <c r="BM13" s="1877"/>
    </row>
    <row r="14" spans="1:65" s="16" customFormat="1" ht="12.6">
      <c r="A14" s="1870"/>
      <c r="B14" s="1869"/>
      <c r="C14" s="1869"/>
      <c r="D14" s="1065"/>
      <c r="E14" s="1869"/>
      <c r="F14" s="1869"/>
      <c r="G14" s="1869"/>
      <c r="H14" s="1869"/>
      <c r="I14" s="1869"/>
      <c r="J14" s="1870"/>
      <c r="K14" s="1870"/>
      <c r="L14" s="1870"/>
      <c r="M14" s="1888"/>
      <c r="N14" s="1870"/>
      <c r="O14" s="1870"/>
      <c r="P14" s="1870"/>
      <c r="Q14" s="1870"/>
      <c r="R14" s="1870"/>
      <c r="S14" s="1870"/>
      <c r="T14" s="1870"/>
      <c r="U14" s="1870"/>
      <c r="V14" s="1870"/>
      <c r="W14" s="1870"/>
      <c r="X14" s="1870"/>
      <c r="Y14" s="1870"/>
      <c r="Z14" s="1870"/>
      <c r="AA14" s="1870"/>
      <c r="AB14" s="1870"/>
      <c r="AC14" s="1870"/>
      <c r="AD14" s="1870"/>
      <c r="AE14" s="1870"/>
      <c r="AF14" s="1870"/>
      <c r="AG14" s="1870"/>
      <c r="AH14" s="1870"/>
      <c r="AI14" s="1870"/>
      <c r="AJ14" s="1870"/>
      <c r="AK14" s="1870"/>
      <c r="AL14" s="1870"/>
      <c r="AM14" s="1870"/>
      <c r="AN14" s="1870"/>
      <c r="AO14" s="1870"/>
      <c r="AP14" s="1870"/>
      <c r="AQ14" s="1870"/>
      <c r="AR14" s="1870"/>
      <c r="AS14" s="1870"/>
      <c r="AT14" s="1870"/>
      <c r="AU14" s="1870"/>
      <c r="AV14" s="1870"/>
      <c r="AW14" s="1870"/>
      <c r="AX14" s="1870"/>
      <c r="AY14" s="1870"/>
      <c r="AZ14" s="1870"/>
      <c r="BA14" s="1870"/>
      <c r="BB14" s="1870"/>
      <c r="BC14" s="1870"/>
      <c r="BD14" s="1870"/>
      <c r="BE14" s="1870"/>
      <c r="BF14" s="1870"/>
      <c r="BG14" s="1870"/>
      <c r="BH14" s="1870"/>
      <c r="BI14" s="1870"/>
      <c r="BJ14" s="1870"/>
      <c r="BK14" s="1870"/>
      <c r="BL14" s="1870"/>
      <c r="BM14" s="1870"/>
    </row>
    <row r="15" spans="1:65" s="16" customFormat="1" ht="12.6">
      <c r="A15" s="1870"/>
      <c r="B15" s="533" t="s">
        <v>1078</v>
      </c>
      <c r="C15" s="534"/>
      <c r="D15" s="4" t="s">
        <v>1015</v>
      </c>
      <c r="E15" s="535"/>
      <c r="F15" s="1685">
        <f>'10% spread plus 5% lumpsum'!F15:I15</f>
        <v>4123028.1810342241</v>
      </c>
      <c r="G15" s="1685"/>
      <c r="H15" s="1685"/>
      <c r="I15" s="1686"/>
      <c r="J15" s="203"/>
      <c r="K15" s="1679" t="s">
        <v>1079</v>
      </c>
      <c r="L15" s="1679"/>
      <c r="M15" s="1696" t="s">
        <v>989</v>
      </c>
      <c r="N15" s="1679" t="s">
        <v>992</v>
      </c>
      <c r="O15" s="1679"/>
      <c r="P15" s="1697" t="s">
        <v>206</v>
      </c>
      <c r="Q15" s="1698"/>
      <c r="R15" s="1870"/>
      <c r="S15" s="1701" t="s">
        <v>1288</v>
      </c>
      <c r="T15" s="1702"/>
      <c r="U15" s="1702"/>
      <c r="V15" s="1702"/>
      <c r="W15" s="1702"/>
      <c r="X15" s="1702"/>
      <c r="Y15" s="1702"/>
      <c r="Z15" s="1702"/>
      <c r="AA15" s="1702"/>
      <c r="AB15" s="1702"/>
      <c r="AC15" s="1702"/>
      <c r="AD15" s="1703"/>
      <c r="AE15" s="1870"/>
      <c r="AF15" s="1870"/>
      <c r="AG15" s="1870"/>
      <c r="AH15" s="1870"/>
      <c r="AI15" s="1870"/>
      <c r="AJ15" s="1870"/>
      <c r="AK15" s="1870"/>
      <c r="AL15" s="1870"/>
      <c r="AM15" s="1870"/>
      <c r="AN15" s="1870"/>
      <c r="AO15" s="1870"/>
      <c r="AP15" s="1870"/>
      <c r="AQ15" s="1870"/>
      <c r="AR15" s="1870"/>
      <c r="AS15" s="1870"/>
      <c r="AT15" s="1870"/>
      <c r="AU15" s="1870"/>
      <c r="AV15" s="1870"/>
      <c r="AW15" s="1870"/>
      <c r="AX15" s="1870"/>
      <c r="AY15" s="1870"/>
      <c r="AZ15" s="1870"/>
      <c r="BA15" s="1870"/>
      <c r="BB15" s="1870"/>
      <c r="BC15" s="1870"/>
      <c r="BD15" s="1870"/>
      <c r="BE15" s="1870"/>
      <c r="BF15" s="1870"/>
      <c r="BG15" s="1870"/>
      <c r="BH15" s="1870"/>
      <c r="BI15" s="1870"/>
      <c r="BJ15" s="1870"/>
      <c r="BK15" s="1870"/>
      <c r="BL15" s="1870"/>
      <c r="BM15" s="1870"/>
    </row>
    <row r="16" spans="1:65" s="203" customFormat="1" ht="12.6">
      <c r="B16" s="144" t="s">
        <v>1080</v>
      </c>
      <c r="C16" s="148"/>
      <c r="D16" s="1065"/>
      <c r="E16" s="539"/>
      <c r="F16" s="540">
        <f>'STANDARD COMP.'!F16:I16</f>
        <v>0</v>
      </c>
      <c r="G16" s="540"/>
      <c r="H16" s="540"/>
      <c r="I16" s="541"/>
      <c r="J16" s="1870"/>
      <c r="K16" s="1679"/>
      <c r="L16" s="1679"/>
      <c r="M16" s="1696"/>
      <c r="N16" s="1679"/>
      <c r="O16" s="1679"/>
      <c r="P16" s="1699"/>
      <c r="Q16" s="1700"/>
      <c r="S16" s="204" t="s">
        <v>1289</v>
      </c>
      <c r="T16" s="205"/>
      <c r="U16" s="537"/>
      <c r="V16" s="537"/>
      <c r="W16" s="537"/>
      <c r="X16" s="205" t="s">
        <v>1290</v>
      </c>
      <c r="Y16" s="537"/>
      <c r="Z16" s="537"/>
      <c r="AA16" s="537"/>
      <c r="AB16" s="537"/>
      <c r="AC16" s="537"/>
      <c r="AD16" s="538"/>
    </row>
    <row r="17" spans="1:43" s="16" customFormat="1" ht="12.6">
      <c r="A17" s="1870"/>
      <c r="B17" s="542" t="s">
        <v>1082</v>
      </c>
      <c r="C17" s="543"/>
      <c r="D17" s="4" t="s">
        <v>1015</v>
      </c>
      <c r="E17" s="539"/>
      <c r="F17" s="1684">
        <f>F15-F16</f>
        <v>4123028.1810342241</v>
      </c>
      <c r="G17" s="1685"/>
      <c r="H17" s="1685"/>
      <c r="I17" s="1686"/>
      <c r="J17" s="203"/>
      <c r="K17" s="1678" t="s">
        <v>1031</v>
      </c>
      <c r="L17" s="1678"/>
      <c r="M17" s="1889">
        <f>C1</f>
        <v>45901</v>
      </c>
      <c r="N17" s="1717">
        <f>F25</f>
        <v>30000</v>
      </c>
      <c r="O17" s="1717"/>
      <c r="P17" s="1890"/>
      <c r="Q17" s="1891"/>
      <c r="R17" s="1870"/>
      <c r="S17" s="1892"/>
      <c r="T17" s="1893"/>
      <c r="U17" s="1893"/>
      <c r="V17" s="1893"/>
      <c r="W17" s="1893"/>
      <c r="X17" s="1893"/>
      <c r="Y17" s="1893"/>
      <c r="Z17" s="1893"/>
      <c r="AA17" s="1893"/>
      <c r="AB17" s="1893"/>
      <c r="AC17" s="1893"/>
      <c r="AD17" s="1894"/>
      <c r="AE17" s="1870"/>
      <c r="AF17" s="1870"/>
      <c r="AG17" s="1870"/>
      <c r="AH17" s="1870"/>
      <c r="AI17" s="1870"/>
      <c r="AJ17" s="1870"/>
      <c r="AK17" s="1870"/>
      <c r="AL17" s="1870"/>
      <c r="AM17" s="1870"/>
      <c r="AN17" s="1870"/>
      <c r="AO17" s="1870"/>
      <c r="AP17" s="1870"/>
      <c r="AQ17" s="1870"/>
    </row>
    <row r="18" spans="1:43" s="203" customFormat="1" ht="12.6">
      <c r="B18" s="545"/>
      <c r="C18" s="1869"/>
      <c r="D18" s="1065"/>
      <c r="E18" s="1895"/>
      <c r="F18" s="1896"/>
      <c r="G18" s="1896"/>
      <c r="H18" s="1896"/>
      <c r="I18" s="1897"/>
      <c r="J18" s="1870"/>
      <c r="K18" s="1678" t="str">
        <f>'10% spread plus 5% lumpsum'!K18:L18</f>
        <v>1st EQUITY PAYMENT</v>
      </c>
      <c r="L18" s="1678"/>
      <c r="M18" s="1889">
        <f>'10% spread plus 5% lumpsum'!M18</f>
        <v>45935</v>
      </c>
      <c r="N18" s="1717" t="e">
        <f>G30</f>
        <v>#DIV/0!</v>
      </c>
      <c r="O18" s="1717"/>
      <c r="P18" s="1890"/>
      <c r="Q18" s="1891"/>
      <c r="S18" s="1898"/>
      <c r="T18" s="1870"/>
      <c r="U18" s="1870"/>
      <c r="V18" s="1870"/>
      <c r="W18" s="1899" t="s">
        <v>1291</v>
      </c>
      <c r="X18" s="1900"/>
      <c r="Y18" s="1900"/>
      <c r="Z18" s="1900"/>
      <c r="AA18" s="1900"/>
      <c r="AB18" s="1900"/>
      <c r="AC18" s="1900"/>
      <c r="AD18" s="1901"/>
      <c r="AJ18" s="544"/>
      <c r="AK18" s="544"/>
    </row>
    <row r="19" spans="1:43" s="16" customFormat="1" ht="12.95">
      <c r="A19" s="1870"/>
      <c r="B19" s="199" t="s">
        <v>1087</v>
      </c>
      <c r="C19" s="199"/>
      <c r="D19" s="1065" t="s">
        <v>1015</v>
      </c>
      <c r="E19" s="1902">
        <v>0.12</v>
      </c>
      <c r="F19" s="1689">
        <f>'10% spread plus 5% lumpsum'!F19:I19</f>
        <v>0</v>
      </c>
      <c r="G19" s="1690"/>
      <c r="H19" s="1690"/>
      <c r="I19" s="1691"/>
      <c r="J19" s="1870"/>
      <c r="K19" s="1678" t="str">
        <f>'10% spread plus 5% lumpsum'!K19:L19</f>
        <v>2nd EQUITY PAYMENT</v>
      </c>
      <c r="L19" s="1678"/>
      <c r="M19" s="1889">
        <f>'10% spread plus 5% lumpsum'!M19</f>
        <v>45966</v>
      </c>
      <c r="N19" s="1717" t="e">
        <f>N18</f>
        <v>#DIV/0!</v>
      </c>
      <c r="O19" s="1717"/>
      <c r="P19" s="1890"/>
      <c r="Q19" s="1891"/>
      <c r="R19" s="1870"/>
      <c r="S19" s="1898"/>
      <c r="T19" s="1870"/>
      <c r="U19" s="1870"/>
      <c r="V19" s="1870"/>
      <c r="W19" s="1899"/>
      <c r="X19" s="546"/>
      <c r="Y19" s="546"/>
      <c r="Z19" s="546"/>
      <c r="AA19" s="546"/>
      <c r="AB19" s="1900"/>
      <c r="AC19" s="546"/>
      <c r="AD19" s="1901"/>
      <c r="AE19" s="1870"/>
      <c r="AF19" s="1870"/>
      <c r="AG19" s="1870"/>
      <c r="AH19" s="1870"/>
      <c r="AI19" s="1870"/>
      <c r="AJ19" s="1680" t="s">
        <v>1084</v>
      </c>
      <c r="AK19" s="1680"/>
      <c r="AL19" s="1870"/>
      <c r="AM19" s="1870"/>
      <c r="AN19" s="1870"/>
      <c r="AO19" s="1870"/>
      <c r="AP19" s="1678"/>
      <c r="AQ19" s="1678"/>
    </row>
    <row r="20" spans="1:43" s="16" customFormat="1" ht="12.95">
      <c r="A20" s="1870"/>
      <c r="B20" s="200" t="s">
        <v>1090</v>
      </c>
      <c r="C20" s="201"/>
      <c r="D20" s="1065" t="s">
        <v>1015</v>
      </c>
      <c r="E20" s="1903"/>
      <c r="F20" s="1694">
        <f>'10% spread plus 5% lumpsum'!F20:I20</f>
        <v>525686.0930818636</v>
      </c>
      <c r="G20" s="1694"/>
      <c r="H20" s="1694"/>
      <c r="I20" s="1695"/>
      <c r="J20" s="1870"/>
      <c r="K20" s="1678" t="str">
        <f>'10% spread plus 5% lumpsum'!K20:L20</f>
        <v>3rd EQUITY PAYMENT</v>
      </c>
      <c r="L20" s="1678"/>
      <c r="M20" s="1889">
        <f>'10% spread plus 5% lumpsum'!M20</f>
        <v>45996</v>
      </c>
      <c r="N20" s="1717" t="e">
        <f t="shared" ref="N20:N28" si="1">N19</f>
        <v>#DIV/0!</v>
      </c>
      <c r="O20" s="1717"/>
      <c r="P20" s="1890"/>
      <c r="Q20" s="1891"/>
      <c r="R20" s="1870"/>
      <c r="S20" s="1898"/>
      <c r="T20" s="1904"/>
      <c r="U20" s="1904"/>
      <c r="V20" s="1870"/>
      <c r="W20" s="1870" t="s">
        <v>1292</v>
      </c>
      <c r="X20" s="1900"/>
      <c r="Y20" s="1900"/>
      <c r="Z20" s="1900"/>
      <c r="AA20" s="1900"/>
      <c r="AB20" s="1900"/>
      <c r="AC20" s="1900"/>
      <c r="AD20" s="1901"/>
      <c r="AE20" s="1870"/>
      <c r="AF20" s="1870"/>
      <c r="AG20" s="1870"/>
      <c r="AH20" s="1870"/>
      <c r="AI20" s="1870"/>
      <c r="AJ20" s="1680" t="s">
        <v>1088</v>
      </c>
      <c r="AK20" s="1680"/>
      <c r="AL20" s="1870" t="s">
        <v>60</v>
      </c>
      <c r="AM20" s="1870"/>
      <c r="AN20" s="1870"/>
      <c r="AO20" s="1870"/>
      <c r="AP20" s="1678"/>
      <c r="AQ20" s="1678"/>
    </row>
    <row r="21" spans="1:43" s="16" customFormat="1" ht="12.95">
      <c r="A21" s="1870"/>
      <c r="B21" s="545"/>
      <c r="C21" s="1869"/>
      <c r="D21" s="1065"/>
      <c r="E21" s="1905"/>
      <c r="F21" s="1906"/>
      <c r="G21" s="1907"/>
      <c r="H21" s="1907"/>
      <c r="I21" s="1908"/>
      <c r="J21" s="1870"/>
      <c r="K21" s="1678" t="str">
        <f>'10% spread plus 5% lumpsum'!K21:L21</f>
        <v>4th EQUITY PAYMENT</v>
      </c>
      <c r="L21" s="1678"/>
      <c r="M21" s="1889">
        <f>'10% spread plus 5% lumpsum'!M21</f>
        <v>46027</v>
      </c>
      <c r="N21" s="1717" t="e">
        <f t="shared" si="1"/>
        <v>#DIV/0!</v>
      </c>
      <c r="O21" s="1717"/>
      <c r="P21" s="1890"/>
      <c r="Q21" s="1891"/>
      <c r="R21" s="1870"/>
      <c r="S21" s="547"/>
      <c r="T21" s="1687" t="s">
        <v>1293</v>
      </c>
      <c r="U21" s="1687"/>
      <c r="V21" s="548"/>
      <c r="W21" s="203"/>
      <c r="X21" s="1909" t="s">
        <v>60</v>
      </c>
      <c r="Y21" s="1909"/>
      <c r="Z21" s="1909"/>
      <c r="AA21" s="1909"/>
      <c r="AB21" s="1870"/>
      <c r="AC21" s="1870"/>
      <c r="AD21" s="549"/>
      <c r="AE21" s="1870"/>
      <c r="AF21" s="1870"/>
      <c r="AG21" s="1870"/>
      <c r="AH21" s="1870"/>
      <c r="AI21" s="1870"/>
      <c r="AJ21" s="1680" t="s">
        <v>1091</v>
      </c>
      <c r="AK21" s="1680"/>
      <c r="AL21" s="1870"/>
      <c r="AM21" s="1870"/>
      <c r="AN21" s="1870"/>
      <c r="AO21" s="1870"/>
      <c r="AP21" s="1678"/>
      <c r="AQ21" s="1678"/>
    </row>
    <row r="22" spans="1:43" s="16" customFormat="1" ht="12.95">
      <c r="A22" s="1870"/>
      <c r="B22" s="542" t="s">
        <v>1096</v>
      </c>
      <c r="C22" s="543"/>
      <c r="D22" s="4" t="s">
        <v>1015</v>
      </c>
      <c r="E22" s="553"/>
      <c r="F22" s="1692">
        <f>SUM(F19:I20,F17)</f>
        <v>4648714.2741160877</v>
      </c>
      <c r="G22" s="1692"/>
      <c r="H22" s="1692"/>
      <c r="I22" s="1693"/>
      <c r="J22" s="1870"/>
      <c r="K22" s="1678" t="str">
        <f>'10% spread plus 5% lumpsum'!K22:L22</f>
        <v>5th EQUITY PAYMENT</v>
      </c>
      <c r="L22" s="1678"/>
      <c r="M22" s="1889">
        <f>'10% spread plus 5% lumpsum'!M22</f>
        <v>46058</v>
      </c>
      <c r="N22" s="1717" t="e">
        <f t="shared" si="1"/>
        <v>#DIV/0!</v>
      </c>
      <c r="O22" s="1717"/>
      <c r="P22" s="1890"/>
      <c r="Q22" s="1891"/>
      <c r="R22" s="1870"/>
      <c r="S22" s="550" t="s">
        <v>1294</v>
      </c>
      <c r="T22" s="551"/>
      <c r="U22" s="552"/>
      <c r="V22" s="552"/>
      <c r="W22" s="537"/>
      <c r="X22" s="205" t="s">
        <v>1290</v>
      </c>
      <c r="Y22" s="537"/>
      <c r="Z22" s="537"/>
      <c r="AA22" s="537"/>
      <c r="AB22" s="537"/>
      <c r="AC22" s="537"/>
      <c r="AD22" s="538"/>
      <c r="AE22" s="1870"/>
      <c r="AF22" s="1870"/>
      <c r="AG22" s="1870"/>
      <c r="AH22" s="1870"/>
      <c r="AI22" s="1870"/>
      <c r="AJ22" s="1680" t="s">
        <v>1094</v>
      </c>
      <c r="AK22" s="1680"/>
      <c r="AL22" s="1870"/>
      <c r="AM22" s="1870"/>
      <c r="AN22" s="1870"/>
      <c r="AO22" s="1870"/>
      <c r="AP22" s="1678"/>
      <c r="AQ22" s="1678"/>
    </row>
    <row r="23" spans="1:43" s="16" customFormat="1" ht="12.95">
      <c r="A23" s="203"/>
      <c r="B23" s="545"/>
      <c r="C23" s="1869"/>
      <c r="D23" s="1065"/>
      <c r="E23" s="1065"/>
      <c r="F23" s="1910"/>
      <c r="G23" s="1910"/>
      <c r="H23" s="1910"/>
      <c r="I23" s="1869"/>
      <c r="J23" s="203"/>
      <c r="K23" s="1678" t="str">
        <f>'10% spread plus 5% lumpsum'!K23:L23</f>
        <v>6th EQUITY PAYMENT</v>
      </c>
      <c r="L23" s="1678"/>
      <c r="M23" s="1889">
        <f>'10% spread plus 5% lumpsum'!M23</f>
        <v>46086</v>
      </c>
      <c r="N23" s="1717" t="e">
        <f t="shared" si="1"/>
        <v>#DIV/0!</v>
      </c>
      <c r="O23" s="1717"/>
      <c r="P23" s="1890"/>
      <c r="Q23" s="1891"/>
      <c r="R23" s="1870"/>
      <c r="S23" s="1898"/>
      <c r="T23" s="1870"/>
      <c r="U23" s="1870"/>
      <c r="V23" s="1870"/>
      <c r="W23" s="1870"/>
      <c r="X23" s="1911"/>
      <c r="Y23" s="1911"/>
      <c r="Z23" s="1911"/>
      <c r="AA23" s="1911"/>
      <c r="AB23" s="1911"/>
      <c r="AC23" s="1911"/>
      <c r="AD23" s="1901"/>
      <c r="AE23" s="1870"/>
      <c r="AF23" s="1870"/>
      <c r="AG23" s="1870"/>
      <c r="AH23" s="1870"/>
      <c r="AI23" s="1870"/>
      <c r="AJ23" s="1680" t="s">
        <v>1097</v>
      </c>
      <c r="AK23" s="1680"/>
      <c r="AL23" s="1870"/>
      <c r="AM23" s="1870"/>
      <c r="AN23" s="1870"/>
      <c r="AO23" s="1870"/>
      <c r="AP23" s="1678"/>
      <c r="AQ23" s="1678"/>
    </row>
    <row r="24" spans="1:43" s="203" customFormat="1" ht="12.95">
      <c r="A24" s="1870"/>
      <c r="B24" s="542" t="s">
        <v>1099</v>
      </c>
      <c r="C24" s="534"/>
      <c r="D24" s="4" t="s">
        <v>1015</v>
      </c>
      <c r="E24" s="554">
        <f>'2.5% Lumpsum'!E24</f>
        <v>0.125</v>
      </c>
      <c r="F24" s="1684">
        <f>F22*E24</f>
        <v>581089.28426451096</v>
      </c>
      <c r="G24" s="1685"/>
      <c r="H24" s="1685"/>
      <c r="I24" s="1686"/>
      <c r="J24" s="1870"/>
      <c r="K24" s="1678" t="str">
        <f>'10% spread plus 5% lumpsum'!K24:L24</f>
        <v>7th EQUITY PAYMENT</v>
      </c>
      <c r="L24" s="1678"/>
      <c r="M24" s="1889">
        <f>'10% spread plus 5% lumpsum'!M24</f>
        <v>46117</v>
      </c>
      <c r="N24" s="1717" t="e">
        <f t="shared" si="1"/>
        <v>#DIV/0!</v>
      </c>
      <c r="O24" s="1717"/>
      <c r="P24" s="1890"/>
      <c r="Q24" s="1891"/>
      <c r="S24" s="1898"/>
      <c r="T24" s="1870"/>
      <c r="U24" s="1870"/>
      <c r="V24" s="1870"/>
      <c r="W24" s="1899" t="s">
        <v>1291</v>
      </c>
      <c r="X24" s="1900"/>
      <c r="Y24" s="1900"/>
      <c r="Z24" s="1900"/>
      <c r="AA24" s="1900"/>
      <c r="AB24" s="1900"/>
      <c r="AC24" s="1900"/>
      <c r="AD24" s="1901"/>
      <c r="AJ24" s="1680" t="s">
        <v>1098</v>
      </c>
      <c r="AK24" s="1680"/>
      <c r="AP24" s="1678"/>
      <c r="AQ24" s="1678"/>
    </row>
    <row r="25" spans="1:43" s="16" customFormat="1" ht="12.95">
      <c r="A25" s="1870"/>
      <c r="B25" s="198" t="s">
        <v>1101</v>
      </c>
      <c r="C25" s="199"/>
      <c r="D25" s="1065" t="s">
        <v>1015</v>
      </c>
      <c r="E25" s="1912"/>
      <c r="F25" s="1689">
        <f>'STANDARD COMP.'!F25</f>
        <v>30000</v>
      </c>
      <c r="G25" s="1690"/>
      <c r="H25" s="1690"/>
      <c r="I25" s="1691"/>
      <c r="J25" s="1870"/>
      <c r="K25" s="1678" t="str">
        <f>'10% spread plus 5% lumpsum'!K25:L25</f>
        <v>8th EQUITY PAYMENT</v>
      </c>
      <c r="L25" s="1678"/>
      <c r="M25" s="1889">
        <f>'10% spread plus 5% lumpsum'!M25</f>
        <v>46147</v>
      </c>
      <c r="N25" s="1717" t="e">
        <f t="shared" si="1"/>
        <v>#DIV/0!</v>
      </c>
      <c r="O25" s="1717"/>
      <c r="P25" s="1890"/>
      <c r="Q25" s="1891"/>
      <c r="R25" s="1870"/>
      <c r="S25" s="547"/>
      <c r="T25" s="203"/>
      <c r="U25" s="203"/>
      <c r="V25" s="203"/>
      <c r="W25" s="1899"/>
      <c r="X25" s="1900"/>
      <c r="Y25" s="1900"/>
      <c r="Z25" s="1900"/>
      <c r="AA25" s="1900"/>
      <c r="AB25" s="1900"/>
      <c r="AC25" s="1900"/>
      <c r="AD25" s="549"/>
      <c r="AE25" s="1870"/>
      <c r="AF25" s="1870"/>
      <c r="AG25" s="1870"/>
      <c r="AH25" s="1870"/>
      <c r="AI25" s="1870"/>
      <c r="AJ25" s="1680" t="s">
        <v>1100</v>
      </c>
      <c r="AK25" s="1680"/>
      <c r="AL25" s="1870"/>
      <c r="AM25" s="1870"/>
      <c r="AN25" s="1870"/>
      <c r="AO25" s="1870"/>
      <c r="AP25" s="1678"/>
      <c r="AQ25" s="1678"/>
    </row>
    <row r="26" spans="1:43" s="16" customFormat="1" ht="12.95">
      <c r="A26" s="203"/>
      <c r="B26" s="198" t="s">
        <v>1295</v>
      </c>
      <c r="C26" s="445"/>
      <c r="D26" s="1065"/>
      <c r="E26" s="1913">
        <v>0.05</v>
      </c>
      <c r="F26" s="555">
        <f>F22*E26</f>
        <v>232435.7137058044</v>
      </c>
      <c r="G26" s="540"/>
      <c r="H26" s="540"/>
      <c r="I26" s="541"/>
      <c r="J26" s="203"/>
      <c r="K26" s="1678" t="str">
        <f>'10% spread plus 5% lumpsum'!K26:L26</f>
        <v>9th EQUITY PAYMENT</v>
      </c>
      <c r="L26" s="1678"/>
      <c r="M26" s="1889">
        <f>'10% spread plus 5% lumpsum'!M26</f>
        <v>46178</v>
      </c>
      <c r="N26" s="1717" t="e">
        <f t="shared" si="1"/>
        <v>#DIV/0!</v>
      </c>
      <c r="O26" s="1717"/>
      <c r="P26" s="1890"/>
      <c r="Q26" s="1891"/>
      <c r="R26" s="1870"/>
      <c r="S26" s="1898"/>
      <c r="T26" s="1904"/>
      <c r="U26" s="1904"/>
      <c r="V26" s="1870"/>
      <c r="W26" s="1870" t="s">
        <v>1292</v>
      </c>
      <c r="X26" s="1900"/>
      <c r="Y26" s="1900"/>
      <c r="Z26" s="1900"/>
      <c r="AA26" s="1900"/>
      <c r="AB26" s="1900"/>
      <c r="AC26" s="1900"/>
      <c r="AD26" s="1901"/>
      <c r="AE26" s="1870"/>
      <c r="AF26" s="1870"/>
      <c r="AG26" s="1870"/>
      <c r="AH26" s="1870"/>
      <c r="AI26" s="1870"/>
      <c r="AJ26" s="1680" t="s">
        <v>1102</v>
      </c>
      <c r="AK26" s="1680"/>
      <c r="AL26" s="1870"/>
      <c r="AM26" s="1870"/>
      <c r="AN26" s="1870"/>
      <c r="AO26" s="1870"/>
      <c r="AP26" s="1678"/>
      <c r="AQ26" s="1678"/>
    </row>
    <row r="27" spans="1:43" s="203" customFormat="1" ht="12.95">
      <c r="B27" s="129" t="s">
        <v>1176</v>
      </c>
      <c r="C27" s="101"/>
      <c r="D27" s="4" t="s">
        <v>1015</v>
      </c>
      <c r="E27" s="558"/>
      <c r="F27" s="1684">
        <f>F24-F25-F26</f>
        <v>318653.57055870653</v>
      </c>
      <c r="G27" s="1685"/>
      <c r="H27" s="1685"/>
      <c r="I27" s="1686"/>
      <c r="J27" s="547"/>
      <c r="K27" s="1678" t="str">
        <f>'10% spread plus 5% lumpsum'!K27:L27</f>
        <v>10th EQUITY PAYMENT</v>
      </c>
      <c r="L27" s="1678"/>
      <c r="M27" s="1889">
        <f>'10% spread plus 5% lumpsum'!M27</f>
        <v>46208</v>
      </c>
      <c r="N27" s="1717" t="e">
        <f t="shared" si="1"/>
        <v>#DIV/0!</v>
      </c>
      <c r="O27" s="1717"/>
      <c r="P27" s="1890"/>
      <c r="Q27" s="1891"/>
      <c r="R27" s="203" t="s">
        <v>60</v>
      </c>
      <c r="S27" s="556"/>
      <c r="T27" s="1687" t="s">
        <v>1296</v>
      </c>
      <c r="U27" s="1687"/>
      <c r="V27" s="557"/>
      <c r="W27" s="1909"/>
      <c r="X27" s="1914"/>
      <c r="Y27" s="1914"/>
      <c r="Z27" s="1914"/>
      <c r="AA27" s="1914"/>
      <c r="AB27" s="1909"/>
      <c r="AC27" s="1909"/>
      <c r="AD27" s="1915"/>
      <c r="AJ27" s="1680" t="s">
        <v>1104</v>
      </c>
      <c r="AK27" s="1680"/>
      <c r="AP27" s="1678"/>
      <c r="AQ27" s="1678"/>
    </row>
    <row r="28" spans="1:43" s="203" customFormat="1" ht="12.95">
      <c r="B28" s="545"/>
      <c r="C28" s="1869"/>
      <c r="D28" s="1065"/>
      <c r="E28" s="1065"/>
      <c r="F28" s="1910"/>
      <c r="G28" s="1910"/>
      <c r="H28" s="1910"/>
      <c r="I28" s="559"/>
      <c r="K28" s="1678" t="str">
        <f>'10% spread plus 5% lumpsum'!K28:L28</f>
        <v>11th EQUITY PAYMENT</v>
      </c>
      <c r="L28" s="1678"/>
      <c r="M28" s="1889">
        <f>'10% spread plus 5% lumpsum'!M28</f>
        <v>46239</v>
      </c>
      <c r="N28" s="1717" t="e">
        <f t="shared" si="1"/>
        <v>#DIV/0!</v>
      </c>
      <c r="O28" s="1717"/>
      <c r="P28" s="1890"/>
      <c r="Q28" s="1891"/>
      <c r="S28" s="550" t="s">
        <v>1294</v>
      </c>
      <c r="T28" s="551"/>
      <c r="U28" s="552"/>
      <c r="V28" s="552"/>
      <c r="W28" s="537"/>
      <c r="X28" s="205" t="s">
        <v>1290</v>
      </c>
      <c r="Y28" s="537"/>
      <c r="Z28" s="537"/>
      <c r="AA28" s="537"/>
      <c r="AB28" s="537"/>
      <c r="AC28" s="537"/>
      <c r="AD28" s="538"/>
      <c r="AJ28" s="1680" t="s">
        <v>1105</v>
      </c>
      <c r="AK28" s="1680"/>
      <c r="AP28" s="1678"/>
      <c r="AQ28" s="1678"/>
    </row>
    <row r="29" spans="1:43" s="203" customFormat="1" ht="12.95">
      <c r="A29" s="1870"/>
      <c r="B29" s="1460" t="s">
        <v>1177</v>
      </c>
      <c r="C29" s="1460"/>
      <c r="D29" s="4"/>
      <c r="E29" s="560" t="s">
        <v>1047</v>
      </c>
      <c r="F29" s="561" t="s">
        <v>1046</v>
      </c>
      <c r="G29" s="1688" t="s">
        <v>1178</v>
      </c>
      <c r="H29" s="1688"/>
      <c r="I29" s="1688"/>
      <c r="J29" s="1870"/>
      <c r="K29" s="1678" t="str">
        <f>'10% spread plus 5% lumpsum'!K29:L29</f>
        <v>12th EQUITY AND 1ST LUMPSUM</v>
      </c>
      <c r="L29" s="1678"/>
      <c r="M29" s="1889">
        <f>'10% spread plus 5% lumpsum'!M29</f>
        <v>46270</v>
      </c>
      <c r="N29" s="1717" t="e">
        <f>G30+G33</f>
        <v>#DIV/0!</v>
      </c>
      <c r="O29" s="1717"/>
      <c r="P29" s="1890"/>
      <c r="Q29" s="1891"/>
      <c r="S29" s="1898"/>
      <c r="T29" s="1870"/>
      <c r="U29" s="1870"/>
      <c r="V29" s="1870"/>
      <c r="W29" s="1870"/>
      <c r="X29" s="1911"/>
      <c r="Y29" s="1911"/>
      <c r="Z29" s="1911"/>
      <c r="AA29" s="1911"/>
      <c r="AB29" s="1911"/>
      <c r="AC29" s="1911"/>
      <c r="AD29" s="1901"/>
      <c r="AJ29" s="1680" t="s">
        <v>1107</v>
      </c>
      <c r="AK29" s="1680"/>
      <c r="AP29" s="1678"/>
      <c r="AQ29" s="1678"/>
    </row>
    <row r="30" spans="1:43" s="16" customFormat="1" ht="12.95">
      <c r="A30" s="203"/>
      <c r="B30" s="1460">
        <f>'STEP UP_2.5% LS'!B30:C30</f>
        <v>0</v>
      </c>
      <c r="C30" s="1460"/>
      <c r="D30" s="4" t="s">
        <v>1015</v>
      </c>
      <c r="E30" s="1916">
        <v>0.25</v>
      </c>
      <c r="F30" s="562">
        <f>'STEP UP_2.5% LS'!F30</f>
        <v>0</v>
      </c>
      <c r="G30" s="1677" t="e">
        <f>F27*E30/F30</f>
        <v>#DIV/0!</v>
      </c>
      <c r="H30" s="1677"/>
      <c r="I30" s="1677"/>
      <c r="J30" s="203"/>
      <c r="K30" s="1678" t="str">
        <f>'10% spread plus 5% lumpsum'!K30:L30</f>
        <v>13th EQUITY PAYMENT</v>
      </c>
      <c r="L30" s="1678"/>
      <c r="M30" s="1889">
        <f>'10% spread plus 5% lumpsum'!M30</f>
        <v>46300</v>
      </c>
      <c r="N30" s="1717" t="e">
        <f>G30</f>
        <v>#DIV/0!</v>
      </c>
      <c r="O30" s="1717"/>
      <c r="P30" s="1890"/>
      <c r="Q30" s="1891"/>
      <c r="R30" s="203"/>
      <c r="S30" s="1898"/>
      <c r="T30" s="1870"/>
      <c r="U30" s="1870"/>
      <c r="V30" s="1870"/>
      <c r="W30" s="1899" t="s">
        <v>1291</v>
      </c>
      <c r="X30" s="1900"/>
      <c r="Y30" s="1900"/>
      <c r="Z30" s="1900"/>
      <c r="AA30" s="1900"/>
      <c r="AB30" s="1900"/>
      <c r="AC30" s="1900"/>
      <c r="AD30" s="1901"/>
      <c r="AE30" s="203"/>
      <c r="AF30" s="1870"/>
      <c r="AG30" s="1870"/>
      <c r="AH30" s="1870"/>
      <c r="AI30" s="1870"/>
      <c r="AJ30" s="1680" t="s">
        <v>1108</v>
      </c>
      <c r="AK30" s="1680"/>
      <c r="AL30" s="1870"/>
      <c r="AM30" s="1870"/>
      <c r="AN30" s="1870"/>
      <c r="AO30" s="1870"/>
      <c r="AP30" s="1678"/>
      <c r="AQ30" s="1678"/>
    </row>
    <row r="31" spans="1:43" s="203" customFormat="1" ht="12.95">
      <c r="A31" s="1870"/>
      <c r="B31" s="1460">
        <f>'STEP UP_2.5% LS'!B31:C31</f>
        <v>0</v>
      </c>
      <c r="C31" s="1460"/>
      <c r="D31" s="4" t="s">
        <v>1015</v>
      </c>
      <c r="E31" s="1916">
        <v>0.35</v>
      </c>
      <c r="F31" s="562">
        <f>'STEP UP_2.5% LS'!F31</f>
        <v>0</v>
      </c>
      <c r="G31" s="1677" t="e">
        <f>F27*E31/F31</f>
        <v>#DIV/0!</v>
      </c>
      <c r="H31" s="1677"/>
      <c r="I31" s="1677"/>
      <c r="J31" s="1870"/>
      <c r="K31" s="1678" t="str">
        <f>'10% spread plus 5% lumpsum'!K31:L31</f>
        <v>14th EQUITY PAYMENT</v>
      </c>
      <c r="L31" s="1678"/>
      <c r="M31" s="1889">
        <f>'10% spread plus 5% lumpsum'!M31</f>
        <v>46331</v>
      </c>
      <c r="N31" s="1717" t="e">
        <f>N30</f>
        <v>#DIV/0!</v>
      </c>
      <c r="O31" s="1717"/>
      <c r="P31" s="1890"/>
      <c r="Q31" s="1891"/>
      <c r="S31" s="547"/>
      <c r="W31" s="1899"/>
      <c r="X31" s="1900"/>
      <c r="Y31" s="1900"/>
      <c r="Z31" s="1900"/>
      <c r="AA31" s="1900"/>
      <c r="AB31" s="1900"/>
      <c r="AC31" s="1900"/>
      <c r="AD31" s="549"/>
      <c r="AJ31" s="1680" t="s">
        <v>1110</v>
      </c>
      <c r="AK31" s="1680"/>
      <c r="AP31" s="1678"/>
      <c r="AQ31" s="1678"/>
    </row>
    <row r="32" spans="1:43" s="16" customFormat="1" ht="12.95">
      <c r="A32" s="203"/>
      <c r="B32" s="1460">
        <f>'STEP UP_2.5% LS'!B32:C32</f>
        <v>0</v>
      </c>
      <c r="C32" s="1460"/>
      <c r="D32" s="4" t="s">
        <v>1015</v>
      </c>
      <c r="E32" s="1916">
        <v>0.4</v>
      </c>
      <c r="F32" s="562">
        <f>'STEP UP_2.5% LS'!F32</f>
        <v>0</v>
      </c>
      <c r="G32" s="1677" t="e">
        <f>F27*E32/F32</f>
        <v>#DIV/0!</v>
      </c>
      <c r="H32" s="1677"/>
      <c r="I32" s="1677"/>
      <c r="J32" s="203"/>
      <c r="K32" s="1678" t="str">
        <f>'10% spread plus 5% lumpsum'!K32:L32</f>
        <v>15th EQUITY PAYMENT</v>
      </c>
      <c r="L32" s="1678"/>
      <c r="M32" s="1889">
        <f>'10% spread plus 5% lumpsum'!M32</f>
        <v>46361</v>
      </c>
      <c r="N32" s="1717" t="e">
        <f t="shared" ref="N32:N40" si="2">N31</f>
        <v>#DIV/0!</v>
      </c>
      <c r="O32" s="1717"/>
      <c r="P32" s="1890"/>
      <c r="Q32" s="1891"/>
      <c r="R32" s="203"/>
      <c r="S32" s="1898"/>
      <c r="T32" s="1904"/>
      <c r="U32" s="1904"/>
      <c r="V32" s="1870"/>
      <c r="W32" s="1870" t="s">
        <v>1292</v>
      </c>
      <c r="X32" s="1900"/>
      <c r="Y32" s="1900"/>
      <c r="Z32" s="1900"/>
      <c r="AA32" s="1900"/>
      <c r="AB32" s="1900"/>
      <c r="AC32" s="1900"/>
      <c r="AD32" s="1901"/>
      <c r="AE32" s="203"/>
      <c r="AF32" s="1870"/>
      <c r="AG32" s="1870"/>
      <c r="AH32" s="1870"/>
      <c r="AI32" s="1870"/>
      <c r="AJ32" s="1680" t="s">
        <v>1111</v>
      </c>
      <c r="AK32" s="1680"/>
      <c r="AL32" s="1870"/>
      <c r="AM32" s="1870"/>
      <c r="AN32" s="1870"/>
      <c r="AO32" s="1870"/>
      <c r="AP32" s="1678"/>
      <c r="AQ32" s="1678"/>
    </row>
    <row r="33" spans="1:43" s="203" customFormat="1" ht="12.95">
      <c r="A33" s="1870"/>
      <c r="B33" s="1092" t="str">
        <f>'10% spread plus 5% lumpsum'!B30</f>
        <v>Lumpsum payment of the 12th, 24th, 36th &amp; 48th month</v>
      </c>
      <c r="C33" s="101"/>
      <c r="D33" s="4"/>
      <c r="E33" s="1916"/>
      <c r="F33" s="562">
        <v>4</v>
      </c>
      <c r="G33" s="1677">
        <f>F26/F33</f>
        <v>58108.928426451101</v>
      </c>
      <c r="H33" s="1677"/>
      <c r="I33" s="1677"/>
      <c r="J33" s="1870"/>
      <c r="K33" s="1678" t="str">
        <f>'10% spread plus 5% lumpsum'!K33:L33</f>
        <v>16th EQUITY PAYMENT</v>
      </c>
      <c r="L33" s="1678"/>
      <c r="M33" s="1889">
        <f>'10% spread plus 5% lumpsum'!M33</f>
        <v>46392</v>
      </c>
      <c r="N33" s="1717" t="e">
        <f t="shared" si="2"/>
        <v>#DIV/0!</v>
      </c>
      <c r="O33" s="1717"/>
      <c r="P33" s="1890"/>
      <c r="Q33" s="1891"/>
      <c r="S33" s="556"/>
      <c r="T33" s="1687" t="s">
        <v>1297</v>
      </c>
      <c r="U33" s="1687"/>
      <c r="V33" s="557"/>
      <c r="W33" s="1909"/>
      <c r="X33" s="1914"/>
      <c r="Y33" s="1914"/>
      <c r="Z33" s="1914"/>
      <c r="AA33" s="1914"/>
      <c r="AB33" s="1909"/>
      <c r="AC33" s="1909"/>
      <c r="AD33" s="1915"/>
      <c r="AJ33" s="1680" t="s">
        <v>1113</v>
      </c>
      <c r="AK33" s="1680"/>
      <c r="AP33" s="1678"/>
      <c r="AQ33" s="1678"/>
    </row>
    <row r="34" spans="1:43" s="16" customFormat="1" ht="12.95">
      <c r="A34" s="1870"/>
      <c r="B34" s="175"/>
      <c r="C34" s="175"/>
      <c r="D34" s="1065"/>
      <c r="E34" s="1065"/>
      <c r="F34" s="1917"/>
      <c r="G34" s="1917"/>
      <c r="H34" s="1917"/>
      <c r="I34" s="1869"/>
      <c r="J34" s="1870"/>
      <c r="K34" s="1678" t="str">
        <f>'10% spread plus 5% lumpsum'!K34:L34</f>
        <v>17th EQUITY PAYMENT</v>
      </c>
      <c r="L34" s="1678"/>
      <c r="M34" s="1889">
        <f>'10% spread plus 5% lumpsum'!M34</f>
        <v>46423</v>
      </c>
      <c r="N34" s="1717" t="e">
        <f>G31</f>
        <v>#DIV/0!</v>
      </c>
      <c r="O34" s="1717"/>
      <c r="P34" s="1890"/>
      <c r="Q34" s="1891"/>
      <c r="R34" s="1870"/>
      <c r="S34" s="1870"/>
      <c r="T34" s="1870"/>
      <c r="U34" s="1870"/>
      <c r="V34" s="1870"/>
      <c r="W34" s="1870"/>
      <c r="X34" s="1870"/>
      <c r="Y34" s="1870"/>
      <c r="Z34" s="1870"/>
      <c r="AA34" s="1870"/>
      <c r="AB34" s="1870"/>
      <c r="AC34" s="1870"/>
      <c r="AD34" s="1870"/>
      <c r="AE34" s="1870"/>
      <c r="AF34" s="1870"/>
      <c r="AG34" s="1870"/>
      <c r="AH34" s="1870"/>
      <c r="AI34" s="1870"/>
      <c r="AJ34" s="1680" t="s">
        <v>1114</v>
      </c>
      <c r="AK34" s="1680"/>
      <c r="AL34" s="1870"/>
      <c r="AM34" s="1870"/>
      <c r="AN34" s="1870"/>
      <c r="AO34" s="1870"/>
      <c r="AP34" s="1678"/>
      <c r="AQ34" s="1678"/>
    </row>
    <row r="35" spans="1:43" s="16" customFormat="1" ht="12.95">
      <c r="A35" s="203"/>
      <c r="B35" s="542" t="s">
        <v>1109</v>
      </c>
      <c r="C35" s="543"/>
      <c r="D35" s="4" t="s">
        <v>1015</v>
      </c>
      <c r="E35" s="554">
        <f>100%-E24</f>
        <v>0.875</v>
      </c>
      <c r="F35" s="1684">
        <f>F22*E35</f>
        <v>4067624.9898515767</v>
      </c>
      <c r="G35" s="1685"/>
      <c r="H35" s="1685"/>
      <c r="I35" s="1686"/>
      <c r="J35" s="203"/>
      <c r="K35" s="1678" t="str">
        <f>'10% spread plus 5% lumpsum'!K35:L35</f>
        <v>18th EQUITY PAYMENT</v>
      </c>
      <c r="L35" s="1678"/>
      <c r="M35" s="1889">
        <f>'10% spread plus 5% lumpsum'!M35</f>
        <v>46451</v>
      </c>
      <c r="N35" s="1717" t="e">
        <f t="shared" si="2"/>
        <v>#DIV/0!</v>
      </c>
      <c r="O35" s="1717"/>
      <c r="P35" s="1890"/>
      <c r="Q35" s="1891"/>
      <c r="R35" s="1870"/>
      <c r="S35" s="1870"/>
      <c r="T35" s="1870"/>
      <c r="U35" s="1870"/>
      <c r="V35" s="1870"/>
      <c r="W35" s="1870"/>
      <c r="X35" s="1870"/>
      <c r="Y35" s="1870"/>
      <c r="Z35" s="1870"/>
      <c r="AA35" s="1870"/>
      <c r="AB35" s="1870"/>
      <c r="AC35" s="1870"/>
      <c r="AD35" s="1870"/>
      <c r="AE35" s="1870"/>
      <c r="AF35" s="1870"/>
      <c r="AG35" s="1870"/>
      <c r="AH35" s="1870"/>
      <c r="AI35" s="1870"/>
      <c r="AJ35" s="1680" t="s">
        <v>1117</v>
      </c>
      <c r="AK35" s="1680"/>
      <c r="AL35" s="1870"/>
      <c r="AM35" s="1870"/>
      <c r="AN35" s="1870"/>
      <c r="AO35" s="1870"/>
      <c r="AP35" s="1678"/>
      <c r="AQ35" s="1678"/>
    </row>
    <row r="36" spans="1:43" s="203" customFormat="1" ht="12.95">
      <c r="A36" s="1870"/>
      <c r="B36" s="545"/>
      <c r="C36" s="1869"/>
      <c r="D36" s="1065"/>
      <c r="E36" s="1869"/>
      <c r="F36" s="1869"/>
      <c r="G36" s="1869"/>
      <c r="H36" s="1869"/>
      <c r="I36" s="1869"/>
      <c r="J36" s="1870"/>
      <c r="K36" s="1678" t="str">
        <f>'10% spread plus 5% lumpsum'!K36:L36</f>
        <v>19th EQUITY PAYMENT</v>
      </c>
      <c r="L36" s="1678"/>
      <c r="M36" s="1889">
        <f>'10% spread plus 5% lumpsum'!M36</f>
        <v>46482</v>
      </c>
      <c r="N36" s="1717" t="e">
        <f t="shared" si="2"/>
        <v>#DIV/0!</v>
      </c>
      <c r="O36" s="1717"/>
      <c r="P36" s="1890"/>
      <c r="Q36" s="1891"/>
      <c r="S36" s="1870"/>
      <c r="T36" s="1870"/>
      <c r="U36" s="1870"/>
      <c r="V36" s="1870"/>
      <c r="W36" s="1870"/>
      <c r="X36" s="1870"/>
      <c r="Y36" s="1870"/>
      <c r="Z36" s="1870"/>
      <c r="AA36" s="1870"/>
      <c r="AB36" s="1870"/>
      <c r="AC36" s="1870"/>
      <c r="AD36" s="1870"/>
      <c r="AJ36" s="1680" t="s">
        <v>1118</v>
      </c>
      <c r="AK36" s="1680"/>
      <c r="AP36" s="1678"/>
      <c r="AQ36" s="1678"/>
    </row>
    <row r="37" spans="1:43" s="16" customFormat="1" ht="12.95">
      <c r="A37" s="1870"/>
      <c r="B37" s="543" t="s">
        <v>1112</v>
      </c>
      <c r="C37" s="543"/>
      <c r="D37" s="563"/>
      <c r="E37" s="563"/>
      <c r="F37" s="563"/>
      <c r="G37" s="563"/>
      <c r="H37" s="563"/>
      <c r="I37" s="563"/>
      <c r="J37" s="1870"/>
      <c r="K37" s="1678" t="str">
        <f>'10% spread plus 5% lumpsum'!K37:L37</f>
        <v>20th EQUITY PAYMENT</v>
      </c>
      <c r="L37" s="1678"/>
      <c r="M37" s="1889">
        <f>'10% spread plus 5% lumpsum'!M37</f>
        <v>46512</v>
      </c>
      <c r="N37" s="1717" t="e">
        <f t="shared" si="2"/>
        <v>#DIV/0!</v>
      </c>
      <c r="O37" s="1717"/>
      <c r="P37" s="1890"/>
      <c r="Q37" s="1891"/>
      <c r="R37" s="1870"/>
      <c r="S37" s="1870"/>
      <c r="T37" s="1870"/>
      <c r="U37" s="1870"/>
      <c r="V37" s="1870"/>
      <c r="W37" s="1870"/>
      <c r="X37" s="1870"/>
      <c r="Y37" s="1870"/>
      <c r="Z37" s="1870"/>
      <c r="AA37" s="1870"/>
      <c r="AB37" s="1870"/>
      <c r="AC37" s="1870"/>
      <c r="AD37" s="1870"/>
      <c r="AE37" s="1870"/>
      <c r="AF37" s="1870"/>
      <c r="AG37" s="1870"/>
      <c r="AH37" s="1870"/>
      <c r="AI37" s="1870"/>
      <c r="AJ37" s="1680" t="s">
        <v>1119</v>
      </c>
      <c r="AK37" s="1680"/>
      <c r="AL37" s="1870"/>
      <c r="AM37" s="1870"/>
      <c r="AN37" s="1870"/>
      <c r="AO37" s="1870"/>
      <c r="AP37" s="1678"/>
      <c r="AQ37" s="1678"/>
    </row>
    <row r="38" spans="1:43" s="16" customFormat="1" ht="12.95">
      <c r="A38" s="1870"/>
      <c r="B38" s="563"/>
      <c r="C38" s="563"/>
      <c r="D38" s="563"/>
      <c r="E38" s="563"/>
      <c r="F38" s="563"/>
      <c r="G38" s="563"/>
      <c r="H38" s="563"/>
      <c r="I38" s="563"/>
      <c r="J38" s="1870"/>
      <c r="K38" s="1678" t="str">
        <f>'10% spread plus 5% lumpsum'!K38:L38</f>
        <v>21st EQUITY PAYMENT</v>
      </c>
      <c r="L38" s="1678"/>
      <c r="M38" s="1889">
        <f>'10% spread plus 5% lumpsum'!M38</f>
        <v>46543</v>
      </c>
      <c r="N38" s="1717" t="e">
        <f t="shared" si="2"/>
        <v>#DIV/0!</v>
      </c>
      <c r="O38" s="1717"/>
      <c r="P38" s="1890"/>
      <c r="Q38" s="1891"/>
      <c r="R38" s="1870"/>
      <c r="S38" s="1870"/>
      <c r="T38" s="1870"/>
      <c r="U38" s="1870"/>
      <c r="V38" s="1870"/>
      <c r="W38" s="1870"/>
      <c r="X38" s="1870"/>
      <c r="Y38" s="1870"/>
      <c r="Z38" s="1870"/>
      <c r="AA38" s="1870"/>
      <c r="AB38" s="1870"/>
      <c r="AC38" s="1870"/>
      <c r="AD38" s="1870"/>
      <c r="AE38" s="1870"/>
      <c r="AF38" s="1870"/>
      <c r="AG38" s="1870"/>
      <c r="AH38" s="1870"/>
      <c r="AI38" s="1870"/>
      <c r="AJ38" s="1680" t="s">
        <v>1120</v>
      </c>
      <c r="AK38" s="1680"/>
      <c r="AL38" s="1870"/>
      <c r="AM38" s="1870"/>
      <c r="AN38" s="1870"/>
      <c r="AO38" s="1870"/>
      <c r="AP38" s="1678"/>
      <c r="AQ38" s="1678"/>
    </row>
    <row r="39" spans="1:43" s="16" customFormat="1" ht="12.95">
      <c r="A39" s="1870"/>
      <c r="B39" s="576" t="s">
        <v>53</v>
      </c>
      <c r="C39" s="576" t="s">
        <v>54</v>
      </c>
      <c r="D39" s="1679" t="s">
        <v>55</v>
      </c>
      <c r="E39" s="1679"/>
      <c r="F39" s="576" t="s">
        <v>1115</v>
      </c>
      <c r="G39" s="1679" t="s">
        <v>1179</v>
      </c>
      <c r="H39" s="1679"/>
      <c r="I39" s="1679"/>
      <c r="J39" s="1870"/>
      <c r="K39" s="1678" t="str">
        <f>'10% spread plus 5% lumpsum'!K39:L39</f>
        <v>22nd EQUITY PAYMENT</v>
      </c>
      <c r="L39" s="1678"/>
      <c r="M39" s="1889">
        <f>'10% spread plus 5% lumpsum'!M39</f>
        <v>46573</v>
      </c>
      <c r="N39" s="1717" t="e">
        <f t="shared" si="2"/>
        <v>#DIV/0!</v>
      </c>
      <c r="O39" s="1717"/>
      <c r="P39" s="1890"/>
      <c r="Q39" s="1891"/>
      <c r="R39" s="1870"/>
      <c r="S39" s="1870"/>
      <c r="T39" s="1870"/>
      <c r="U39" s="1870"/>
      <c r="V39" s="1870"/>
      <c r="W39" s="1870"/>
      <c r="X39" s="1870"/>
      <c r="Y39" s="1870"/>
      <c r="Z39" s="1870"/>
      <c r="AA39" s="1870"/>
      <c r="AB39" s="1870"/>
      <c r="AC39" s="1870"/>
      <c r="AD39" s="1870"/>
      <c r="AE39" s="1870"/>
      <c r="AF39" s="1870"/>
      <c r="AG39" s="1870"/>
      <c r="AH39" s="1870"/>
      <c r="AI39" s="1870"/>
      <c r="AJ39" s="1680" t="s">
        <v>1121</v>
      </c>
      <c r="AK39" s="1680"/>
      <c r="AL39" s="1870"/>
      <c r="AM39" s="1870"/>
      <c r="AN39" s="1870"/>
      <c r="AO39" s="1870"/>
      <c r="AP39" s="1678"/>
      <c r="AQ39" s="1678"/>
    </row>
    <row r="40" spans="1:43" s="16" customFormat="1" ht="12.95">
      <c r="A40" s="1870"/>
      <c r="B40" s="579">
        <v>5</v>
      </c>
      <c r="C40" s="580">
        <f>'STANDARD COMP.'!C35</f>
        <v>7.0000000000000007E-2</v>
      </c>
      <c r="D40" s="1683">
        <f>PMT(C40/12,B40*12,-1)</f>
        <v>1.9801198540349535E-2</v>
      </c>
      <c r="E40" s="1683"/>
      <c r="F40" s="1918">
        <f>D40*F35</f>
        <v>80543.850011738337</v>
      </c>
      <c r="G40" s="1919">
        <f>F40/0.3</f>
        <v>268479.50003912783</v>
      </c>
      <c r="H40" s="1920"/>
      <c r="I40" s="1921"/>
      <c r="J40" s="1870"/>
      <c r="K40" s="1678" t="str">
        <f>'10% spread plus 5% lumpsum'!K40:L40</f>
        <v>23rd EQUITY PAYMENT</v>
      </c>
      <c r="L40" s="1678"/>
      <c r="M40" s="1889">
        <f>'10% spread plus 5% lumpsum'!M40</f>
        <v>46604</v>
      </c>
      <c r="N40" s="1717" t="e">
        <f t="shared" si="2"/>
        <v>#DIV/0!</v>
      </c>
      <c r="O40" s="1717"/>
      <c r="P40" s="1890"/>
      <c r="Q40" s="1891"/>
      <c r="R40" s="1870"/>
      <c r="S40" s="1870"/>
      <c r="T40" s="1870"/>
      <c r="U40" s="1870"/>
      <c r="V40" s="1870"/>
      <c r="W40" s="1870"/>
      <c r="X40" s="1870"/>
      <c r="Y40" s="1870"/>
      <c r="Z40" s="1870"/>
      <c r="AA40" s="1870"/>
      <c r="AB40" s="1870"/>
      <c r="AC40" s="1870"/>
      <c r="AD40" s="1870"/>
      <c r="AE40" s="1870"/>
      <c r="AF40" s="1870"/>
      <c r="AG40" s="1870"/>
      <c r="AH40" s="1870"/>
      <c r="AI40" s="1870"/>
      <c r="AJ40" s="1680" t="s">
        <v>1123</v>
      </c>
      <c r="AK40" s="1680"/>
      <c r="AL40" s="1870"/>
      <c r="AM40" s="1870"/>
      <c r="AN40" s="1870"/>
      <c r="AO40" s="1870"/>
      <c r="AP40" s="1678"/>
      <c r="AQ40" s="1678"/>
    </row>
    <row r="41" spans="1:43" s="16" customFormat="1" ht="12.95">
      <c r="A41" s="1870"/>
      <c r="B41" s="564">
        <v>10</v>
      </c>
      <c r="C41" s="580">
        <f>'STANDARD COMP.'!C36</f>
        <v>7.0000000000000007E-2</v>
      </c>
      <c r="D41" s="1682">
        <f>PMT(C41/12,B41*12,-1)</f>
        <v>1.1610847921862406E-2</v>
      </c>
      <c r="E41" s="1682"/>
      <c r="F41" s="1922">
        <f>D41*F35</f>
        <v>47228.57516033377</v>
      </c>
      <c r="G41" s="1923">
        <f t="shared" ref="G41" si="3">F41/0.3</f>
        <v>157428.58386777923</v>
      </c>
      <c r="H41" s="1924"/>
      <c r="I41" s="1925"/>
      <c r="J41" s="1870"/>
      <c r="K41" s="1678" t="str">
        <f>'10% spread plus 5% lumpsum'!K41:L41</f>
        <v>24th EQUITY AND 2ND LUMPSUM</v>
      </c>
      <c r="L41" s="1678"/>
      <c r="M41" s="1889">
        <f>'10% spread plus 5% lumpsum'!M41</f>
        <v>46635</v>
      </c>
      <c r="N41" s="1717" t="e">
        <f>G31+G33</f>
        <v>#DIV/0!</v>
      </c>
      <c r="O41" s="1717"/>
      <c r="P41" s="1890"/>
      <c r="Q41" s="1891"/>
      <c r="R41" s="1870"/>
      <c r="S41" s="1870"/>
      <c r="T41" s="1870"/>
      <c r="U41" s="1870"/>
      <c r="V41" s="1870"/>
      <c r="W41" s="1870"/>
      <c r="X41" s="1870"/>
      <c r="Y41" s="1870"/>
      <c r="Z41" s="1870"/>
      <c r="AA41" s="1870"/>
      <c r="AB41" s="1870"/>
      <c r="AC41" s="1870"/>
      <c r="AD41" s="1870"/>
      <c r="AE41" s="1870"/>
      <c r="AF41" s="1870"/>
      <c r="AG41" s="1870"/>
      <c r="AH41" s="1870"/>
      <c r="AI41" s="1870"/>
      <c r="AJ41" s="1680" t="s">
        <v>1125</v>
      </c>
      <c r="AK41" s="1680"/>
      <c r="AL41" s="1870"/>
      <c r="AM41" s="1870"/>
      <c r="AN41" s="1870"/>
      <c r="AO41" s="1870"/>
      <c r="AP41" s="1678"/>
      <c r="AQ41" s="1678"/>
    </row>
    <row r="42" spans="1:43" s="16" customFormat="1" ht="12.95">
      <c r="A42" s="1870"/>
      <c r="B42" s="564">
        <v>15</v>
      </c>
      <c r="C42" s="580">
        <f>'STANDARD COMP.'!C37</f>
        <v>7.0000000000000007E-2</v>
      </c>
      <c r="D42" s="1682">
        <f>PMT(C42/12,B42*12,-1)</f>
        <v>8.988282708524269E-3</v>
      </c>
      <c r="E42" s="1682"/>
      <c r="F42" s="1922">
        <f>D42*F35</f>
        <v>36560.963361044131</v>
      </c>
      <c r="G42" s="1923">
        <f>F42/0.3</f>
        <v>121869.8778701471</v>
      </c>
      <c r="H42" s="1924"/>
      <c r="I42" s="1925"/>
      <c r="J42" s="1870"/>
      <c r="K42" s="1678" t="str">
        <f>'10% spread plus 5% lumpsum'!K42:L42</f>
        <v>25th EQUITY PAYMENT</v>
      </c>
      <c r="L42" s="1678"/>
      <c r="M42" s="1889">
        <f>'10% spread plus 5% lumpsum'!M42</f>
        <v>46665</v>
      </c>
      <c r="N42" s="1469" t="e">
        <f>G31</f>
        <v>#DIV/0!</v>
      </c>
      <c r="O42" s="1469"/>
      <c r="P42" s="1890"/>
      <c r="Q42" s="1891"/>
      <c r="R42" s="1870"/>
      <c r="S42" s="1870"/>
      <c r="T42" s="1870"/>
      <c r="U42" s="1870"/>
      <c r="V42" s="1870"/>
      <c r="W42" s="1870"/>
      <c r="X42" s="1870"/>
      <c r="Y42" s="1870"/>
      <c r="Z42" s="1870"/>
      <c r="AA42" s="1870"/>
      <c r="AB42" s="1870"/>
      <c r="AC42" s="1870"/>
      <c r="AD42" s="1870"/>
      <c r="AE42" s="1870"/>
      <c r="AF42" s="1870"/>
      <c r="AG42" s="1870"/>
      <c r="AH42" s="1870"/>
      <c r="AI42" s="1870"/>
      <c r="AJ42" s="1680" t="s">
        <v>1127</v>
      </c>
      <c r="AK42" s="1680"/>
      <c r="AL42" s="1870"/>
      <c r="AM42" s="1870"/>
      <c r="AN42" s="1870"/>
      <c r="AO42" s="1870"/>
      <c r="AP42" s="1678"/>
      <c r="AQ42" s="1678"/>
    </row>
    <row r="43" spans="1:43" s="16" customFormat="1" ht="12.95">
      <c r="A43" s="1870"/>
      <c r="B43" s="564">
        <v>20</v>
      </c>
      <c r="C43" s="580">
        <f>'STANDARD COMP.'!C38</f>
        <v>7.0000000000000007E-2</v>
      </c>
      <c r="D43" s="1926">
        <f>PMT(C43/12,B43*12,-1)</f>
        <v>7.7529893561887461E-3</v>
      </c>
      <c r="E43" s="1926"/>
      <c r="F43" s="1922">
        <f>D43*F35</f>
        <v>31536.253251286631</v>
      </c>
      <c r="G43" s="1923">
        <f>F43/0.3</f>
        <v>105120.84417095545</v>
      </c>
      <c r="H43" s="1924"/>
      <c r="I43" s="1925"/>
      <c r="J43" s="1870"/>
      <c r="K43" s="1678" t="str">
        <f>'10% spread plus 5% lumpsum'!K43:L43</f>
        <v>26th EQUITY PAYMENT</v>
      </c>
      <c r="L43" s="1678"/>
      <c r="M43" s="1889">
        <f>'10% spread plus 5% lumpsum'!M43</f>
        <v>46696</v>
      </c>
      <c r="N43" s="1469" t="e">
        <f>N42</f>
        <v>#DIV/0!</v>
      </c>
      <c r="O43" s="1469"/>
      <c r="P43" s="1890"/>
      <c r="Q43" s="1891"/>
      <c r="R43" s="1870"/>
      <c r="S43" s="1870"/>
      <c r="T43" s="1870"/>
      <c r="U43" s="1870"/>
      <c r="V43" s="1870"/>
      <c r="W43" s="1870"/>
      <c r="X43" s="1870"/>
      <c r="Y43" s="1870"/>
      <c r="Z43" s="1870"/>
      <c r="AA43" s="1870"/>
      <c r="AB43" s="1870"/>
      <c r="AC43" s="1870"/>
      <c r="AD43" s="1870"/>
      <c r="AE43" s="1870"/>
      <c r="AF43" s="1870"/>
      <c r="AG43" s="1870"/>
      <c r="AH43" s="1870"/>
      <c r="AI43" s="1870"/>
      <c r="AJ43" s="1680" t="s">
        <v>1129</v>
      </c>
      <c r="AK43" s="1680"/>
      <c r="AL43" s="1870"/>
      <c r="AM43" s="1870"/>
      <c r="AN43" s="1870"/>
      <c r="AO43" s="1870"/>
      <c r="AP43" s="1678"/>
      <c r="AQ43" s="1678"/>
    </row>
    <row r="44" spans="1:43" s="16" customFormat="1" ht="12.95">
      <c r="A44" s="1870"/>
      <c r="B44" s="565" t="str">
        <f>'STANDARD COMP.'!B39</f>
        <v>Fixed for three (3) years</v>
      </c>
      <c r="C44" s="1870"/>
      <c r="D44" s="1870"/>
      <c r="E44" s="1870"/>
      <c r="F44" s="1870"/>
      <c r="G44" s="1927"/>
      <c r="H44" s="1870"/>
      <c r="I44" s="1870"/>
      <c r="J44" s="1870"/>
      <c r="K44" s="1678" t="str">
        <f>'10% spread plus 5% lumpsum'!K44:L44</f>
        <v>27th EQUITY PAYMENT</v>
      </c>
      <c r="L44" s="1678"/>
      <c r="M44" s="1889">
        <f>'10% spread plus 5% lumpsum'!M44</f>
        <v>46726</v>
      </c>
      <c r="N44" s="1469" t="e">
        <f t="shared" ref="N44:N50" si="4">N43</f>
        <v>#DIV/0!</v>
      </c>
      <c r="O44" s="1469"/>
      <c r="P44" s="1890"/>
      <c r="Q44" s="1891"/>
      <c r="R44" s="1870"/>
      <c r="S44" s="1870"/>
      <c r="T44" s="1870"/>
      <c r="U44" s="1870"/>
      <c r="V44" s="1870"/>
      <c r="W44" s="1870"/>
      <c r="X44" s="1870"/>
      <c r="Y44" s="1870"/>
      <c r="Z44" s="1870"/>
      <c r="AA44" s="1870"/>
      <c r="AB44" s="1870"/>
      <c r="AC44" s="1870"/>
      <c r="AD44" s="1870"/>
      <c r="AE44" s="1870"/>
      <c r="AF44" s="1870"/>
      <c r="AG44" s="1870"/>
      <c r="AH44" s="1870"/>
      <c r="AI44" s="1870"/>
      <c r="AJ44" s="1680" t="s">
        <v>1130</v>
      </c>
      <c r="AK44" s="1680"/>
      <c r="AL44" s="1870"/>
      <c r="AM44" s="1870"/>
      <c r="AN44" s="1870"/>
      <c r="AO44" s="1870"/>
      <c r="AP44" s="1678"/>
      <c r="AQ44" s="1678"/>
    </row>
    <row r="45" spans="1:43" s="16" customFormat="1" ht="12.95">
      <c r="A45" s="1870"/>
      <c r="B45" s="565" t="str">
        <f>'STANDARD COMP.'!B40</f>
        <v>Sample Computation for Interest rate is at 7% fixed for three (3) years only</v>
      </c>
      <c r="C45" s="566"/>
      <c r="D45" s="1871"/>
      <c r="E45" s="1870"/>
      <c r="F45" s="1870"/>
      <c r="G45" s="1870"/>
      <c r="H45" s="1870"/>
      <c r="I45" s="1870"/>
      <c r="J45" s="1870"/>
      <c r="K45" s="1678" t="str">
        <f>'10% spread plus 5% lumpsum'!K45:L45</f>
        <v>28th EQUITY PAYMENT</v>
      </c>
      <c r="L45" s="1678"/>
      <c r="M45" s="1889">
        <f>'10% spread plus 5% lumpsum'!M45</f>
        <v>46757</v>
      </c>
      <c r="N45" s="1469" t="e">
        <f t="shared" si="4"/>
        <v>#DIV/0!</v>
      </c>
      <c r="O45" s="1469"/>
      <c r="P45" s="1890"/>
      <c r="Q45" s="1891"/>
      <c r="R45" s="1870"/>
      <c r="S45" s="1870"/>
      <c r="T45" s="1870"/>
      <c r="U45" s="1870"/>
      <c r="V45" s="1870"/>
      <c r="W45" s="1870"/>
      <c r="X45" s="1870"/>
      <c r="Y45" s="1870"/>
      <c r="Z45" s="1870"/>
      <c r="AA45" s="1870"/>
      <c r="AB45" s="1870"/>
      <c r="AC45" s="1870"/>
      <c r="AD45" s="1870"/>
      <c r="AE45" s="1870"/>
      <c r="AF45" s="1870"/>
      <c r="AG45" s="1870"/>
      <c r="AH45" s="1870"/>
      <c r="AI45" s="1870"/>
      <c r="AJ45" s="1680" t="s">
        <v>1132</v>
      </c>
      <c r="AK45" s="1680"/>
      <c r="AL45" s="1870"/>
      <c r="AM45" s="1870"/>
      <c r="AN45" s="1870"/>
      <c r="AO45" s="1870"/>
      <c r="AP45" s="1678"/>
      <c r="AQ45" s="1678"/>
    </row>
    <row r="46" spans="1:43" s="16" customFormat="1" ht="12.95">
      <c r="A46" s="1870"/>
      <c r="B46" s="567" t="s">
        <v>1126</v>
      </c>
      <c r="C46" s="1870"/>
      <c r="D46" s="1871"/>
      <c r="E46" s="1870"/>
      <c r="F46" s="1870"/>
      <c r="G46" s="1870"/>
      <c r="H46" s="1870"/>
      <c r="I46" s="1870"/>
      <c r="J46" s="1870"/>
      <c r="K46" s="1678" t="str">
        <f>'10% spread plus 5% lumpsum'!K46:L46</f>
        <v>29th EQUITY PAYMENT</v>
      </c>
      <c r="L46" s="1678"/>
      <c r="M46" s="1889">
        <f>'10% spread plus 5% lumpsum'!M46</f>
        <v>46788</v>
      </c>
      <c r="N46" s="1469" t="e">
        <f t="shared" si="4"/>
        <v>#DIV/0!</v>
      </c>
      <c r="O46" s="1469"/>
      <c r="P46" s="1890"/>
      <c r="Q46" s="1891"/>
      <c r="R46" s="1870"/>
      <c r="S46" s="1870"/>
      <c r="T46" s="1870"/>
      <c r="U46" s="1870"/>
      <c r="V46" s="1870"/>
      <c r="W46" s="1870"/>
      <c r="X46" s="1870"/>
      <c r="Y46" s="1870"/>
      <c r="Z46" s="1870"/>
      <c r="AA46" s="1870"/>
      <c r="AB46" s="1870"/>
      <c r="AC46" s="1870"/>
      <c r="AD46" s="1870"/>
      <c r="AE46" s="1870"/>
      <c r="AF46" s="1870"/>
      <c r="AG46" s="1870"/>
      <c r="AH46" s="1870"/>
      <c r="AI46" s="1870"/>
      <c r="AJ46" s="1680" t="s">
        <v>1133</v>
      </c>
      <c r="AK46" s="1680"/>
      <c r="AL46" s="1870"/>
      <c r="AM46" s="1870"/>
      <c r="AN46" s="1870"/>
      <c r="AO46" s="1870"/>
      <c r="AP46" s="1678"/>
      <c r="AQ46" s="1678"/>
    </row>
    <row r="47" spans="1:43" s="16" customFormat="1" ht="12.95">
      <c r="A47" s="1870"/>
      <c r="B47" s="567" t="s">
        <v>1128</v>
      </c>
      <c r="C47" s="566"/>
      <c r="D47" s="1871"/>
      <c r="E47" s="1870"/>
      <c r="F47" s="1870"/>
      <c r="G47" s="1870"/>
      <c r="H47" s="1870"/>
      <c r="I47" s="1870"/>
      <c r="J47" s="1870"/>
      <c r="K47" s="1678" t="str">
        <f>'10% spread plus 5% lumpsum'!K47:L47</f>
        <v>30th EQUITY PAYMENT</v>
      </c>
      <c r="L47" s="1678"/>
      <c r="M47" s="1889">
        <f>'10% spread plus 5% lumpsum'!M47</f>
        <v>46817</v>
      </c>
      <c r="N47" s="1469" t="e">
        <f t="shared" si="4"/>
        <v>#DIV/0!</v>
      </c>
      <c r="O47" s="1469"/>
      <c r="P47" s="1890"/>
      <c r="Q47" s="1891"/>
      <c r="R47" s="1870"/>
      <c r="S47" s="1870"/>
      <c r="T47" s="1870"/>
      <c r="U47" s="1870"/>
      <c r="V47" s="1870"/>
      <c r="W47" s="1870"/>
      <c r="X47" s="1870"/>
      <c r="Y47" s="1870"/>
      <c r="Z47" s="1870"/>
      <c r="AA47" s="1870"/>
      <c r="AB47" s="1870"/>
      <c r="AC47" s="1870"/>
      <c r="AD47" s="1870"/>
      <c r="AE47" s="1870"/>
      <c r="AF47" s="1870"/>
      <c r="AG47" s="1870"/>
      <c r="AH47" s="1870"/>
      <c r="AI47" s="1870"/>
      <c r="AJ47" s="1680" t="s">
        <v>1135</v>
      </c>
      <c r="AK47" s="1680"/>
      <c r="AL47" s="1870"/>
      <c r="AM47" s="1870"/>
      <c r="AN47" s="1870"/>
      <c r="AO47" s="1870"/>
      <c r="AP47" s="1678"/>
      <c r="AQ47" s="1678"/>
    </row>
    <row r="48" spans="1:43" s="16" customFormat="1" ht="12.95">
      <c r="A48" s="1870"/>
      <c r="B48" s="1870"/>
      <c r="C48" s="1870"/>
      <c r="D48" s="1871"/>
      <c r="E48" s="1870"/>
      <c r="F48" s="1870"/>
      <c r="G48" s="1870"/>
      <c r="H48" s="1870"/>
      <c r="I48" s="1870"/>
      <c r="J48" s="1870"/>
      <c r="K48" s="1678" t="str">
        <f>'10% spread plus 5% lumpsum'!K48:L48</f>
        <v>31st EQUITY PAYMENT</v>
      </c>
      <c r="L48" s="1678"/>
      <c r="M48" s="1889">
        <f>'10% spread plus 5% lumpsum'!M48</f>
        <v>46848</v>
      </c>
      <c r="N48" s="1469" t="e">
        <f t="shared" si="4"/>
        <v>#DIV/0!</v>
      </c>
      <c r="O48" s="1469"/>
      <c r="P48" s="1890"/>
      <c r="Q48" s="1891"/>
      <c r="R48" s="1870"/>
      <c r="S48" s="1870"/>
      <c r="T48" s="1870"/>
      <c r="U48" s="1870"/>
      <c r="V48" s="1870"/>
      <c r="W48" s="1870"/>
      <c r="X48" s="1870"/>
      <c r="Y48" s="1870"/>
      <c r="Z48" s="1870"/>
      <c r="AA48" s="1870"/>
      <c r="AB48" s="1870"/>
      <c r="AC48" s="1870"/>
      <c r="AD48" s="1870"/>
      <c r="AE48" s="1870"/>
      <c r="AF48" s="1870"/>
      <c r="AG48" s="1870"/>
      <c r="AH48" s="1870"/>
      <c r="AI48" s="1870"/>
      <c r="AJ48" s="1680" t="s">
        <v>1136</v>
      </c>
      <c r="AK48" s="1680"/>
      <c r="AL48" s="1870"/>
      <c r="AM48" s="1870"/>
      <c r="AN48" s="1870"/>
      <c r="AO48" s="1870"/>
      <c r="AP48" s="1678"/>
      <c r="AQ48" s="1678"/>
    </row>
    <row r="49" spans="2:37" s="16" customFormat="1" ht="12.95">
      <c r="B49" s="543" t="s">
        <v>1146</v>
      </c>
      <c r="C49" s="568"/>
      <c r="D49" s="203"/>
      <c r="E49" s="203"/>
      <c r="F49" s="203"/>
      <c r="G49" s="203"/>
      <c r="H49" s="203"/>
      <c r="I49" s="203"/>
      <c r="J49" s="1870"/>
      <c r="K49" s="1678" t="str">
        <f>'10% spread plus 5% lumpsum'!K49:L49</f>
        <v>32nd EQUITY PAYMENT</v>
      </c>
      <c r="L49" s="1678"/>
      <c r="M49" s="1889">
        <f>'10% spread plus 5% lumpsum'!M49</f>
        <v>46878</v>
      </c>
      <c r="N49" s="1469" t="e">
        <f t="shared" si="4"/>
        <v>#DIV/0!</v>
      </c>
      <c r="O49" s="1469"/>
      <c r="P49" s="1890"/>
      <c r="Q49" s="1891"/>
      <c r="R49" s="1870"/>
      <c r="S49" s="1870"/>
      <c r="T49" s="1870"/>
      <c r="U49" s="1870"/>
      <c r="V49" s="1870"/>
      <c r="W49" s="1870"/>
      <c r="X49" s="1870"/>
      <c r="Y49" s="1870"/>
      <c r="Z49" s="1870"/>
      <c r="AA49" s="1870"/>
      <c r="AB49" s="1870"/>
      <c r="AC49" s="1870"/>
      <c r="AD49" s="1870"/>
      <c r="AE49" s="1870"/>
      <c r="AF49" s="1870"/>
      <c r="AG49" s="1870"/>
      <c r="AH49" s="1870"/>
      <c r="AI49" s="1870"/>
      <c r="AJ49" s="1681" t="s">
        <v>1137</v>
      </c>
      <c r="AK49" s="1681"/>
    </row>
    <row r="50" spans="2:37" s="16" customFormat="1" ht="12.6">
      <c r="B50" s="203"/>
      <c r="C50" s="203"/>
      <c r="D50" s="203"/>
      <c r="E50" s="203"/>
      <c r="F50" s="203"/>
      <c r="G50" s="203"/>
      <c r="H50" s="203"/>
      <c r="I50" s="203"/>
      <c r="J50" s="1870"/>
      <c r="K50" s="1678" t="str">
        <f>'10% spread plus 5% lumpsum'!K50:L50</f>
        <v>33rd EQUITY PAYMENT</v>
      </c>
      <c r="L50" s="1678"/>
      <c r="M50" s="1889">
        <f>'10% spread plus 5% lumpsum'!M50</f>
        <v>46909</v>
      </c>
      <c r="N50" s="1469" t="e">
        <f t="shared" si="4"/>
        <v>#DIV/0!</v>
      </c>
      <c r="O50" s="1469"/>
      <c r="P50" s="1890"/>
      <c r="Q50" s="1891"/>
      <c r="R50" s="1870"/>
      <c r="S50" s="1870"/>
      <c r="T50" s="1870"/>
      <c r="U50" s="1870"/>
      <c r="V50" s="1870"/>
      <c r="W50" s="1870"/>
      <c r="X50" s="1870"/>
      <c r="Y50" s="1870"/>
      <c r="Z50" s="1870"/>
      <c r="AA50" s="1870"/>
      <c r="AB50" s="1870"/>
      <c r="AC50" s="1870"/>
      <c r="AD50" s="1870"/>
      <c r="AE50" s="1870"/>
      <c r="AF50" s="1870"/>
      <c r="AG50" s="1870"/>
      <c r="AH50" s="1870"/>
      <c r="AI50" s="1870"/>
      <c r="AJ50" s="1870"/>
      <c r="AK50" s="1870"/>
    </row>
    <row r="51" spans="2:37" s="16" customFormat="1" ht="12.6">
      <c r="B51" s="1679" t="s">
        <v>1027</v>
      </c>
      <c r="C51" s="1679"/>
      <c r="D51" s="1679" t="s">
        <v>1028</v>
      </c>
      <c r="E51" s="1679"/>
      <c r="F51" s="1679"/>
      <c r="G51" s="1679" t="s">
        <v>1150</v>
      </c>
      <c r="H51" s="1679"/>
      <c r="I51" s="1679"/>
      <c r="J51" s="1870"/>
      <c r="K51" s="1678" t="str">
        <f>'10% spread plus 5% lumpsum'!K51:L51</f>
        <v>34th EQUITY PAYMENT</v>
      </c>
      <c r="L51" s="1678"/>
      <c r="M51" s="1889">
        <f>'10% spread plus 5% lumpsum'!M51</f>
        <v>46939</v>
      </c>
      <c r="N51" s="1469" t="e">
        <f>G32</f>
        <v>#DIV/0!</v>
      </c>
      <c r="O51" s="1469"/>
      <c r="P51" s="1890"/>
      <c r="Q51" s="1891"/>
      <c r="R51" s="1870"/>
      <c r="S51" s="1870"/>
      <c r="T51" s="1870"/>
      <c r="U51" s="1870"/>
      <c r="V51" s="1870"/>
      <c r="W51" s="1870"/>
      <c r="X51" s="1870"/>
      <c r="Y51" s="1870"/>
      <c r="Z51" s="1870"/>
      <c r="AA51" s="1870"/>
      <c r="AB51" s="1870"/>
      <c r="AC51" s="1870"/>
      <c r="AD51" s="1870"/>
      <c r="AE51" s="1870"/>
      <c r="AF51" s="1870"/>
      <c r="AG51" s="1870"/>
      <c r="AH51" s="1870"/>
      <c r="AI51" s="1870"/>
      <c r="AJ51" s="1870"/>
      <c r="AK51" s="1870"/>
    </row>
    <row r="52" spans="2:37" s="16" customFormat="1" ht="12.6">
      <c r="B52" s="1928">
        <f>FORM!O19</f>
        <v>0</v>
      </c>
      <c r="C52" s="1929"/>
      <c r="D52" s="1928">
        <f>FORM!S19</f>
        <v>0</v>
      </c>
      <c r="E52" s="1930"/>
      <c r="F52" s="1929"/>
      <c r="G52" s="1931">
        <f>FORM!V19</f>
        <v>0</v>
      </c>
      <c r="H52" s="1932"/>
      <c r="I52" s="1933"/>
      <c r="J52" s="1870"/>
      <c r="K52" s="1678" t="str">
        <f>'10% spread plus 5% lumpsum'!K52:L52</f>
        <v>35th EQUITY PAYMENT</v>
      </c>
      <c r="L52" s="1678"/>
      <c r="M52" s="1889">
        <f>'10% spread plus 5% lumpsum'!M52</f>
        <v>46970</v>
      </c>
      <c r="N52" s="1469" t="e">
        <f>N51</f>
        <v>#DIV/0!</v>
      </c>
      <c r="O52" s="1469"/>
      <c r="P52" s="1890"/>
      <c r="Q52" s="1891"/>
      <c r="R52" s="1870"/>
      <c r="S52" s="1870"/>
      <c r="T52" s="1870"/>
      <c r="U52" s="1870"/>
      <c r="V52" s="1870"/>
      <c r="W52" s="1870"/>
      <c r="X52" s="1870"/>
      <c r="Y52" s="1870"/>
      <c r="Z52" s="1870"/>
      <c r="AA52" s="1870"/>
      <c r="AB52" s="1870"/>
      <c r="AC52" s="1870"/>
      <c r="AD52" s="1870"/>
      <c r="AE52" s="1870"/>
      <c r="AF52" s="1870"/>
      <c r="AG52" s="1870"/>
      <c r="AH52" s="1870"/>
      <c r="AI52" s="1870"/>
      <c r="AJ52" s="1870"/>
      <c r="AK52" s="1870"/>
    </row>
    <row r="53" spans="2:37" s="16" customFormat="1" ht="12.6">
      <c r="B53" s="1934"/>
      <c r="C53" s="1935"/>
      <c r="D53" s="1934"/>
      <c r="E53" s="1936"/>
      <c r="F53" s="1935"/>
      <c r="G53" s="1937"/>
      <c r="H53" s="1938"/>
      <c r="I53" s="1939"/>
      <c r="J53" s="1870"/>
      <c r="K53" s="1678" t="str">
        <f>'10% spread plus 5% lumpsum'!K53:L53</f>
        <v>36th EQUITY AND 3RD LUMPSUM</v>
      </c>
      <c r="L53" s="1678"/>
      <c r="M53" s="1889">
        <f>'10% spread plus 5% lumpsum'!M53</f>
        <v>47001</v>
      </c>
      <c r="N53" s="1469" t="e">
        <f>G33+G32</f>
        <v>#DIV/0!</v>
      </c>
      <c r="O53" s="1469"/>
      <c r="P53" s="1890"/>
      <c r="Q53" s="1891"/>
      <c r="R53" s="1870"/>
      <c r="S53" s="1870"/>
      <c r="T53" s="1870"/>
      <c r="U53" s="1870"/>
      <c r="V53" s="1870"/>
      <c r="W53" s="1870"/>
      <c r="X53" s="1870"/>
      <c r="Y53" s="1870"/>
      <c r="Z53" s="1870"/>
      <c r="AA53" s="1870"/>
      <c r="AB53" s="1870"/>
      <c r="AC53" s="1870"/>
      <c r="AD53" s="1870"/>
      <c r="AE53" s="1870"/>
      <c r="AF53" s="1870"/>
      <c r="AG53" s="1870"/>
      <c r="AH53" s="1870"/>
      <c r="AI53" s="1870"/>
      <c r="AJ53" s="1870"/>
      <c r="AK53" s="1870"/>
    </row>
    <row r="54" spans="2:37" s="16" customFormat="1" ht="12.6">
      <c r="B54" s="1928">
        <f>FORM!O21</f>
        <v>0</v>
      </c>
      <c r="C54" s="1929"/>
      <c r="D54" s="1928">
        <f>FORM!S21</f>
        <v>0</v>
      </c>
      <c r="E54" s="1930"/>
      <c r="F54" s="1929"/>
      <c r="G54" s="1931">
        <f>FORM!V21</f>
        <v>0</v>
      </c>
      <c r="H54" s="1932"/>
      <c r="I54" s="1933"/>
      <c r="J54" s="1870"/>
      <c r="K54" s="1678" t="str">
        <f>'10% spread plus 5% lumpsum'!K54:L54</f>
        <v>37th EQUITY PAYMENT</v>
      </c>
      <c r="L54" s="1678"/>
      <c r="M54" s="1889">
        <f>'10% spread plus 5% lumpsum'!M54</f>
        <v>47031</v>
      </c>
      <c r="N54" s="1469" t="e">
        <f>G32</f>
        <v>#DIV/0!</v>
      </c>
      <c r="O54" s="1469"/>
      <c r="P54" s="1890"/>
      <c r="Q54" s="1891"/>
      <c r="R54" s="1870"/>
      <c r="S54" s="1870"/>
      <c r="T54" s="1870"/>
      <c r="U54" s="1870"/>
      <c r="V54" s="1870"/>
      <c r="W54" s="1870"/>
      <c r="X54" s="1870"/>
      <c r="Y54" s="1870"/>
      <c r="Z54" s="1870"/>
      <c r="AA54" s="1870"/>
      <c r="AB54" s="1870"/>
      <c r="AC54" s="1870"/>
      <c r="AD54" s="1870"/>
      <c r="AE54" s="1870"/>
      <c r="AF54" s="1870"/>
      <c r="AG54" s="1870"/>
      <c r="AH54" s="1870"/>
      <c r="AI54" s="1870"/>
      <c r="AJ54" s="1870"/>
      <c r="AK54" s="1870"/>
    </row>
    <row r="55" spans="2:37" s="16" customFormat="1" ht="12.6">
      <c r="B55" s="1934"/>
      <c r="C55" s="1935"/>
      <c r="D55" s="1934"/>
      <c r="E55" s="1936"/>
      <c r="F55" s="1935"/>
      <c r="G55" s="1937"/>
      <c r="H55" s="1938"/>
      <c r="I55" s="1939"/>
      <c r="J55" s="1870"/>
      <c r="K55" s="1678" t="str">
        <f>'10% spread plus 5% lumpsum'!K55:L55</f>
        <v>38th EQUITY PAYMENT</v>
      </c>
      <c r="L55" s="1678"/>
      <c r="M55" s="1889">
        <f>'10% spread plus 5% lumpsum'!M55</f>
        <v>47062</v>
      </c>
      <c r="N55" s="1469" t="e">
        <f t="shared" ref="N55:N64" si="5">N54</f>
        <v>#DIV/0!</v>
      </c>
      <c r="O55" s="1469"/>
      <c r="P55" s="1890"/>
      <c r="Q55" s="1891"/>
      <c r="R55" s="1870"/>
      <c r="S55" s="1870"/>
      <c r="T55" s="1870"/>
      <c r="U55" s="1870"/>
      <c r="V55" s="1870"/>
      <c r="W55" s="1870"/>
      <c r="X55" s="1870"/>
      <c r="Y55" s="1870"/>
      <c r="Z55" s="1870"/>
      <c r="AA55" s="1870"/>
      <c r="AB55" s="1870"/>
      <c r="AC55" s="1870"/>
      <c r="AD55" s="1870"/>
      <c r="AE55" s="1870"/>
      <c r="AF55" s="1870"/>
      <c r="AG55" s="1870"/>
      <c r="AH55" s="1870"/>
      <c r="AI55" s="1870"/>
      <c r="AJ55" s="1870"/>
      <c r="AK55" s="1870"/>
    </row>
    <row r="56" spans="2:37" s="16" customFormat="1" ht="12.6">
      <c r="B56" s="1928">
        <f>FORM!O25</f>
        <v>0</v>
      </c>
      <c r="C56" s="1929"/>
      <c r="D56" s="1928">
        <f>FORM!S25</f>
        <v>0</v>
      </c>
      <c r="E56" s="1930"/>
      <c r="F56" s="1929"/>
      <c r="G56" s="1931">
        <f>FORM!V25</f>
        <v>0</v>
      </c>
      <c r="H56" s="1932"/>
      <c r="I56" s="1933"/>
      <c r="J56" s="1870"/>
      <c r="K56" s="1678" t="str">
        <f>'10% spread plus 5% lumpsum'!K56:L56</f>
        <v>39th EQUITY PAYMENT</v>
      </c>
      <c r="L56" s="1678"/>
      <c r="M56" s="1889">
        <f>'10% spread plus 5% lumpsum'!M56</f>
        <v>47092</v>
      </c>
      <c r="N56" s="1469" t="e">
        <f t="shared" si="5"/>
        <v>#DIV/0!</v>
      </c>
      <c r="O56" s="1469"/>
      <c r="P56" s="1890"/>
      <c r="Q56" s="1891"/>
      <c r="R56" s="1870"/>
      <c r="S56" s="1870"/>
      <c r="T56" s="1870"/>
      <c r="U56" s="1870"/>
      <c r="V56" s="1870"/>
      <c r="W56" s="1870"/>
      <c r="X56" s="1870"/>
      <c r="Y56" s="1870"/>
      <c r="Z56" s="1870"/>
      <c r="AA56" s="1870"/>
      <c r="AB56" s="1870"/>
      <c r="AC56" s="1870"/>
      <c r="AD56" s="1870"/>
      <c r="AE56" s="1870"/>
      <c r="AF56" s="1870"/>
      <c r="AG56" s="1870"/>
      <c r="AH56" s="1870"/>
      <c r="AI56" s="1870"/>
      <c r="AJ56" s="1870"/>
      <c r="AK56" s="1870"/>
    </row>
    <row r="57" spans="2:37" s="16" customFormat="1" ht="12.6">
      <c r="B57" s="1934"/>
      <c r="C57" s="1935"/>
      <c r="D57" s="1934"/>
      <c r="E57" s="1936"/>
      <c r="F57" s="1935"/>
      <c r="G57" s="1937"/>
      <c r="H57" s="1938"/>
      <c r="I57" s="1939"/>
      <c r="J57" s="1870" t="s">
        <v>60</v>
      </c>
      <c r="K57" s="1678" t="str">
        <f>'10% spread plus 5% lumpsum'!K57:L57</f>
        <v>40th EQUITY PAYMENT</v>
      </c>
      <c r="L57" s="1678"/>
      <c r="M57" s="1889">
        <f>'10% spread plus 5% lumpsum'!M57</f>
        <v>47123</v>
      </c>
      <c r="N57" s="1469" t="e">
        <f t="shared" si="5"/>
        <v>#DIV/0!</v>
      </c>
      <c r="O57" s="1469"/>
      <c r="P57" s="1890"/>
      <c r="Q57" s="1891"/>
      <c r="R57" s="1870"/>
      <c r="S57" s="1870"/>
      <c r="T57" s="1870"/>
      <c r="U57" s="1870"/>
      <c r="V57" s="1870"/>
      <c r="W57" s="1870"/>
      <c r="X57" s="1870"/>
      <c r="Y57" s="1870"/>
      <c r="Z57" s="1870"/>
      <c r="AA57" s="1870"/>
      <c r="AB57" s="1870"/>
      <c r="AC57" s="1870"/>
      <c r="AD57" s="1870"/>
      <c r="AE57" s="1870"/>
      <c r="AF57" s="1870"/>
      <c r="AG57" s="1870"/>
      <c r="AH57" s="1870"/>
      <c r="AI57" s="1870"/>
      <c r="AJ57" s="1870"/>
      <c r="AK57" s="1870"/>
    </row>
    <row r="58" spans="2:37" s="16" customFormat="1" ht="12.6">
      <c r="B58" s="1928">
        <f>FORM!O27</f>
        <v>0</v>
      </c>
      <c r="C58" s="1929"/>
      <c r="D58" s="1928">
        <f>FORM!S27</f>
        <v>0</v>
      </c>
      <c r="E58" s="1930"/>
      <c r="F58" s="1929"/>
      <c r="G58" s="1931">
        <f>FORM!V27</f>
        <v>0</v>
      </c>
      <c r="H58" s="1932"/>
      <c r="I58" s="1933"/>
      <c r="J58" s="1870"/>
      <c r="K58" s="1678" t="str">
        <f>'10% spread plus 5% lumpsum'!K58:L58</f>
        <v>41st EQUITY PAYMENT</v>
      </c>
      <c r="L58" s="1678"/>
      <c r="M58" s="1889">
        <f>'10% spread plus 5% lumpsum'!M58</f>
        <v>47154</v>
      </c>
      <c r="N58" s="1469" t="e">
        <f t="shared" si="5"/>
        <v>#DIV/0!</v>
      </c>
      <c r="O58" s="1469"/>
      <c r="P58" s="1890"/>
      <c r="Q58" s="1891"/>
      <c r="R58" s="1870"/>
      <c r="S58" s="1870"/>
      <c r="T58" s="1870"/>
      <c r="U58" s="1870"/>
      <c r="V58" s="1870"/>
      <c r="W58" s="1870"/>
      <c r="X58" s="1870"/>
      <c r="Y58" s="1870"/>
      <c r="Z58" s="1870"/>
      <c r="AA58" s="1870"/>
      <c r="AB58" s="1870"/>
      <c r="AC58" s="1870"/>
      <c r="AD58" s="1870"/>
      <c r="AE58" s="1870"/>
      <c r="AF58" s="1870"/>
      <c r="AG58" s="1870"/>
      <c r="AH58" s="1870"/>
      <c r="AI58" s="1870"/>
      <c r="AJ58" s="1870"/>
      <c r="AK58" s="1870"/>
    </row>
    <row r="59" spans="2:37" s="16" customFormat="1" ht="12.6">
      <c r="B59" s="1934"/>
      <c r="C59" s="1935"/>
      <c r="D59" s="1934"/>
      <c r="E59" s="1936"/>
      <c r="F59" s="1935"/>
      <c r="G59" s="1937"/>
      <c r="H59" s="1938"/>
      <c r="I59" s="1939"/>
      <c r="J59" s="1870"/>
      <c r="K59" s="1678" t="str">
        <f>'10% spread plus 5% lumpsum'!K59:L59</f>
        <v>42nd EQUITY PAYMENT</v>
      </c>
      <c r="L59" s="1678"/>
      <c r="M59" s="1889">
        <f>'10% spread plus 5% lumpsum'!M59</f>
        <v>47182</v>
      </c>
      <c r="N59" s="1469" t="e">
        <f t="shared" si="5"/>
        <v>#DIV/0!</v>
      </c>
      <c r="O59" s="1469"/>
      <c r="P59" s="1890"/>
      <c r="Q59" s="1891"/>
      <c r="R59" s="1870"/>
      <c r="S59" s="1870"/>
      <c r="T59" s="1870"/>
      <c r="U59" s="1870"/>
      <c r="V59" s="1870"/>
      <c r="W59" s="1870"/>
      <c r="X59" s="1870"/>
      <c r="Y59" s="1870"/>
      <c r="Z59" s="1870"/>
      <c r="AA59" s="1870"/>
      <c r="AB59" s="1870"/>
      <c r="AC59" s="1870"/>
      <c r="AD59" s="1870"/>
      <c r="AE59" s="1870"/>
      <c r="AF59" s="1870"/>
      <c r="AG59" s="1870"/>
      <c r="AH59" s="1870"/>
      <c r="AI59" s="1870"/>
      <c r="AJ59" s="1870"/>
      <c r="AK59" s="1870"/>
    </row>
    <row r="60" spans="2:37" s="16" customFormat="1" ht="12.6">
      <c r="B60" s="1928">
        <f>FORM!O31</f>
        <v>0</v>
      </c>
      <c r="C60" s="1929"/>
      <c r="D60" s="1928">
        <f>FORM!S31</f>
        <v>0</v>
      </c>
      <c r="E60" s="1930"/>
      <c r="F60" s="1929"/>
      <c r="G60" s="1931">
        <f>FORM!V31</f>
        <v>0</v>
      </c>
      <c r="H60" s="1932"/>
      <c r="I60" s="1933"/>
      <c r="J60" s="1870"/>
      <c r="K60" s="1678" t="str">
        <f>'10% spread plus 5% lumpsum'!K60:L60</f>
        <v>43rd EQUITY PAYMENT</v>
      </c>
      <c r="L60" s="1678"/>
      <c r="M60" s="1889">
        <f>'10% spread plus 5% lumpsum'!M60</f>
        <v>47213</v>
      </c>
      <c r="N60" s="1469" t="e">
        <f t="shared" si="5"/>
        <v>#DIV/0!</v>
      </c>
      <c r="O60" s="1469"/>
      <c r="P60" s="1890"/>
      <c r="Q60" s="1891"/>
      <c r="R60" s="1870"/>
      <c r="S60" s="1870"/>
      <c r="T60" s="1870"/>
      <c r="U60" s="1870"/>
      <c r="V60" s="1870"/>
      <c r="W60" s="1870"/>
      <c r="X60" s="1870"/>
      <c r="Y60" s="1870"/>
      <c r="Z60" s="1870"/>
      <c r="AA60" s="1870"/>
      <c r="AB60" s="1870"/>
      <c r="AC60" s="1870"/>
      <c r="AD60" s="1870"/>
      <c r="AE60" s="1870"/>
      <c r="AF60" s="1870"/>
      <c r="AG60" s="1870"/>
      <c r="AH60" s="1870"/>
      <c r="AI60" s="1870"/>
      <c r="AJ60" s="1870"/>
      <c r="AK60" s="1870"/>
    </row>
    <row r="61" spans="2:37" s="16" customFormat="1" ht="12.6">
      <c r="B61" s="1934"/>
      <c r="C61" s="1935"/>
      <c r="D61" s="1934"/>
      <c r="E61" s="1936"/>
      <c r="F61" s="1935"/>
      <c r="G61" s="1937"/>
      <c r="H61" s="1938"/>
      <c r="I61" s="1939"/>
      <c r="J61" s="1870"/>
      <c r="K61" s="1678" t="str">
        <f>'10% spread plus 5% lumpsum'!K61:L61</f>
        <v>44th EQUITY PAYMENT</v>
      </c>
      <c r="L61" s="1678"/>
      <c r="M61" s="1889">
        <f>'10% spread plus 5% lumpsum'!M61</f>
        <v>47243</v>
      </c>
      <c r="N61" s="1469" t="e">
        <f t="shared" si="5"/>
        <v>#DIV/0!</v>
      </c>
      <c r="O61" s="1469"/>
      <c r="P61" s="1890"/>
      <c r="Q61" s="1891"/>
      <c r="R61" s="1870"/>
      <c r="S61" s="1870"/>
      <c r="T61" s="1870"/>
      <c r="U61" s="1870"/>
      <c r="V61" s="1870"/>
      <c r="W61" s="1870"/>
      <c r="X61" s="1870"/>
      <c r="Y61" s="1870"/>
      <c r="Z61" s="1870"/>
      <c r="AA61" s="1870"/>
      <c r="AB61" s="1870"/>
      <c r="AC61" s="1870"/>
      <c r="AD61" s="1870"/>
      <c r="AE61" s="1870"/>
      <c r="AF61" s="1870"/>
      <c r="AG61" s="1870"/>
      <c r="AH61" s="1870"/>
      <c r="AI61" s="1870"/>
      <c r="AJ61" s="1870"/>
      <c r="AK61" s="1870"/>
    </row>
    <row r="62" spans="2:37" s="16" customFormat="1" ht="12.6">
      <c r="B62" s="1928">
        <f>FORM!O33</f>
        <v>0</v>
      </c>
      <c r="C62" s="1929"/>
      <c r="D62" s="1928">
        <f>FORM!S33</f>
        <v>0</v>
      </c>
      <c r="E62" s="1930"/>
      <c r="F62" s="1929"/>
      <c r="G62" s="1931">
        <f>FORM!V33</f>
        <v>0</v>
      </c>
      <c r="H62" s="1932"/>
      <c r="I62" s="1933"/>
      <c r="J62" s="1870"/>
      <c r="K62" s="1678" t="str">
        <f>'10% spread plus 5% lumpsum'!K62:L62</f>
        <v>45th EQUITY PAYMENT</v>
      </c>
      <c r="L62" s="1678"/>
      <c r="M62" s="1889">
        <f>'10% spread plus 5% lumpsum'!M62</f>
        <v>47274</v>
      </c>
      <c r="N62" s="1469" t="e">
        <f t="shared" si="5"/>
        <v>#DIV/0!</v>
      </c>
      <c r="O62" s="1469"/>
      <c r="P62" s="1890"/>
      <c r="Q62" s="1891"/>
      <c r="R62" s="1870"/>
      <c r="S62" s="1870"/>
      <c r="T62" s="1870"/>
      <c r="U62" s="1870"/>
      <c r="V62" s="1870"/>
      <c r="W62" s="1870"/>
      <c r="X62" s="1870"/>
      <c r="Y62" s="1870"/>
      <c r="Z62" s="1870"/>
      <c r="AA62" s="1870"/>
      <c r="AB62" s="1870"/>
      <c r="AC62" s="1870"/>
      <c r="AD62" s="1870"/>
      <c r="AE62" s="1870"/>
      <c r="AF62" s="1870"/>
      <c r="AG62" s="1870"/>
      <c r="AH62" s="1870"/>
      <c r="AI62" s="1870"/>
      <c r="AJ62" s="1870"/>
      <c r="AK62" s="1870"/>
    </row>
    <row r="63" spans="2:37" s="16" customFormat="1" ht="12.6">
      <c r="B63" s="1934"/>
      <c r="C63" s="1935"/>
      <c r="D63" s="1934"/>
      <c r="E63" s="1936"/>
      <c r="F63" s="1935"/>
      <c r="G63" s="1937"/>
      <c r="H63" s="1938"/>
      <c r="I63" s="1939"/>
      <c r="J63" s="1870"/>
      <c r="K63" s="1678" t="str">
        <f>'10% spread plus 5% lumpsum'!K63:L63</f>
        <v>46th EQUITY PAYMENT</v>
      </c>
      <c r="L63" s="1678"/>
      <c r="M63" s="1889">
        <f>'10% spread plus 5% lumpsum'!M63</f>
        <v>47304</v>
      </c>
      <c r="N63" s="1469" t="e">
        <f t="shared" si="5"/>
        <v>#DIV/0!</v>
      </c>
      <c r="O63" s="1469"/>
      <c r="P63" s="1890"/>
      <c r="Q63" s="1891"/>
      <c r="R63" s="1870"/>
      <c r="S63" s="1870"/>
      <c r="T63" s="1870"/>
      <c r="U63" s="1870"/>
      <c r="V63" s="1870"/>
      <c r="W63" s="1870"/>
      <c r="X63" s="1870"/>
      <c r="Y63" s="1870"/>
      <c r="Z63" s="1870"/>
      <c r="AA63" s="1870"/>
      <c r="AB63" s="1870"/>
      <c r="AC63" s="1870"/>
      <c r="AD63" s="1870"/>
      <c r="AE63" s="1870"/>
      <c r="AF63" s="1870"/>
      <c r="AG63" s="1870"/>
      <c r="AH63" s="1870"/>
      <c r="AI63" s="1870"/>
      <c r="AJ63" s="1870"/>
      <c r="AK63" s="1870"/>
    </row>
    <row r="64" spans="2:37" s="16" customFormat="1" ht="12.6">
      <c r="B64" s="1870"/>
      <c r="C64" s="1870"/>
      <c r="D64" s="1871"/>
      <c r="E64" s="1870"/>
      <c r="F64" s="1870"/>
      <c r="G64" s="1870"/>
      <c r="H64" s="1870"/>
      <c r="I64" s="1870"/>
      <c r="J64" s="1870"/>
      <c r="K64" s="1678" t="str">
        <f>'10% spread plus 5% lumpsum'!K64:L64</f>
        <v>47th EQUITY PAYMENT</v>
      </c>
      <c r="L64" s="1678"/>
      <c r="M64" s="1889">
        <f>'10% spread plus 5% lumpsum'!M64</f>
        <v>47335</v>
      </c>
      <c r="N64" s="1469" t="e">
        <f t="shared" si="5"/>
        <v>#DIV/0!</v>
      </c>
      <c r="O64" s="1469"/>
      <c r="P64" s="1890"/>
      <c r="Q64" s="1891"/>
      <c r="R64" s="1870"/>
      <c r="S64" s="1870"/>
      <c r="T64" s="1870"/>
      <c r="U64" s="1870"/>
      <c r="V64" s="1870"/>
      <c r="W64" s="1870"/>
      <c r="X64" s="1870"/>
      <c r="Y64" s="1870"/>
      <c r="Z64" s="1870"/>
      <c r="AA64" s="1870"/>
      <c r="AB64" s="1870"/>
      <c r="AC64" s="1870"/>
      <c r="AD64" s="1870"/>
      <c r="AE64" s="1870"/>
      <c r="AF64" s="1870"/>
      <c r="AG64" s="1870"/>
      <c r="AH64" s="1870"/>
      <c r="AI64" s="1870"/>
      <c r="AJ64" s="1870"/>
      <c r="AK64" s="1870"/>
    </row>
    <row r="65" spans="2:17" s="16" customFormat="1" ht="12.6">
      <c r="B65" s="570"/>
      <c r="C65" s="571" t="s">
        <v>1181</v>
      </c>
      <c r="D65" s="1670"/>
      <c r="E65" s="1670"/>
      <c r="F65" s="1670"/>
      <c r="G65" s="1870"/>
      <c r="H65" s="1870"/>
      <c r="I65" s="1870"/>
      <c r="J65" s="1870"/>
      <c r="K65" s="1678" t="str">
        <f>'10% spread plus 5% lumpsum'!K65:L65</f>
        <v>48th EQUITY AND 4TH LUMPSUM</v>
      </c>
      <c r="L65" s="1678"/>
      <c r="M65" s="1889">
        <f>'10% spread plus 5% lumpsum'!M65</f>
        <v>47366</v>
      </c>
      <c r="N65" s="1469" t="e">
        <f>G32+G33</f>
        <v>#DIV/0!</v>
      </c>
      <c r="O65" s="1469"/>
      <c r="P65" s="1890"/>
      <c r="Q65" s="1891"/>
    </row>
    <row r="66" spans="2:17" s="16" customFormat="1" ht="12.6">
      <c r="B66" s="572"/>
      <c r="C66" s="1869"/>
      <c r="D66" s="1869"/>
      <c r="E66" s="1869"/>
      <c r="F66" s="559"/>
      <c r="G66" s="1870"/>
      <c r="H66" s="1870"/>
      <c r="I66" s="1870"/>
      <c r="J66" s="1870"/>
      <c r="K66" s="1678">
        <f>'10% spread plus 5% lumpsum'!K66:L66</f>
        <v>0</v>
      </c>
      <c r="L66" s="1678"/>
      <c r="M66" s="1889" t="str">
        <f>'10% spread plus 5% lumpsum'!M66</f>
        <v/>
      </c>
      <c r="N66" s="1469"/>
      <c r="O66" s="1469"/>
      <c r="P66" s="1890"/>
      <c r="Q66" s="1891"/>
    </row>
    <row r="67" spans="2:17" s="16" customFormat="1" ht="12.6">
      <c r="B67" s="203" t="s">
        <v>1168</v>
      </c>
      <c r="C67" s="203"/>
      <c r="D67" s="203"/>
      <c r="E67" s="203"/>
      <c r="F67" s="203" t="s">
        <v>1169</v>
      </c>
      <c r="G67" s="203"/>
      <c r="H67" s="203"/>
      <c r="I67" s="1870"/>
      <c r="J67" s="1870"/>
      <c r="K67" s="1678">
        <f>'10% spread plus 5% lumpsum'!K67:L67</f>
        <v>0</v>
      </c>
      <c r="L67" s="1678"/>
      <c r="M67" s="1889" t="str">
        <f>'10% spread plus 5% lumpsum'!M67</f>
        <v/>
      </c>
      <c r="N67" s="1469"/>
      <c r="O67" s="1469"/>
      <c r="P67" s="1890"/>
      <c r="Q67" s="1891"/>
    </row>
    <row r="68" spans="2:17" s="16" customFormat="1" ht="12.6">
      <c r="B68" s="1870"/>
      <c r="C68" s="1870"/>
      <c r="D68" s="1871"/>
      <c r="E68" s="1870"/>
      <c r="F68" s="1870"/>
      <c r="G68" s="1870"/>
      <c r="H68" s="1870"/>
      <c r="I68" s="1870"/>
      <c r="J68" s="1870"/>
      <c r="K68" s="1678"/>
      <c r="L68" s="1678"/>
      <c r="M68" s="1889" t="str">
        <f>'STANDARD COMP.'!M68</f>
        <v/>
      </c>
      <c r="N68" s="1469"/>
      <c r="O68" s="1469"/>
      <c r="P68" s="1890"/>
      <c r="Q68" s="1891"/>
    </row>
    <row r="69" spans="2:17" s="16" customFormat="1" ht="12.6">
      <c r="B69" s="1940" t="str">
        <f>FORM!I28</f>
        <v xml:space="preserve">agent </v>
      </c>
      <c r="C69" s="1940"/>
      <c r="D69" s="1941"/>
      <c r="E69" s="1870"/>
      <c r="F69" s="1940" t="str">
        <f>FORM!I26</f>
        <v>buyer</v>
      </c>
      <c r="G69" s="1940"/>
      <c r="H69" s="1870"/>
      <c r="I69" s="1870"/>
      <c r="J69" s="1870"/>
      <c r="K69" s="1678"/>
      <c r="L69" s="1678"/>
      <c r="M69" s="1889" t="str">
        <f>'STANDARD COMP.'!M69</f>
        <v/>
      </c>
      <c r="N69" s="1469"/>
      <c r="O69" s="1469"/>
      <c r="P69" s="1890"/>
      <c r="Q69" s="1891"/>
    </row>
    <row r="70" spans="2:17" s="16" customFormat="1" ht="12.6">
      <c r="B70" s="1942" t="s">
        <v>1171</v>
      </c>
      <c r="C70" s="1942"/>
      <c r="D70" s="1871"/>
      <c r="E70" s="1870"/>
      <c r="F70" s="1942" t="s">
        <v>1171</v>
      </c>
      <c r="G70" s="1942"/>
      <c r="H70" s="1870"/>
      <c r="I70" s="1870"/>
      <c r="J70" s="1870"/>
      <c r="K70" s="1678"/>
      <c r="L70" s="1678"/>
      <c r="M70" s="1889" t="str">
        <f>'STANDARD COMP.'!M70</f>
        <v/>
      </c>
      <c r="N70" s="1469"/>
      <c r="O70" s="1469"/>
      <c r="P70" s="1890"/>
      <c r="Q70" s="1891"/>
    </row>
    <row r="71" spans="2:17" s="16" customFormat="1" ht="12.6">
      <c r="B71" s="1870"/>
      <c r="C71" s="1870"/>
      <c r="D71" s="1871"/>
      <c r="E71" s="1870"/>
      <c r="F71" s="1870"/>
      <c r="G71" s="1870"/>
      <c r="H71" s="1870"/>
      <c r="I71" s="1870"/>
      <c r="J71" s="1870"/>
      <c r="K71" s="1678"/>
      <c r="L71" s="1678"/>
      <c r="M71" s="1889" t="str">
        <f>'STANDARD COMP.'!M71</f>
        <v/>
      </c>
      <c r="N71" s="1469"/>
      <c r="O71" s="1469"/>
      <c r="P71" s="1890"/>
      <c r="Q71" s="1891"/>
    </row>
    <row r="72" spans="2:17" s="16" customFormat="1" ht="12.6">
      <c r="B72" s="1870"/>
      <c r="C72" s="1870"/>
      <c r="D72" s="1871"/>
      <c r="E72" s="1870"/>
      <c r="F72" s="1870"/>
      <c r="G72" s="1870"/>
      <c r="H72" s="1870"/>
      <c r="I72" s="1870"/>
      <c r="J72" s="1870"/>
      <c r="K72" s="1678"/>
      <c r="L72" s="1678"/>
      <c r="M72" s="1889" t="str">
        <f>'STANDARD COMP.'!M72</f>
        <v/>
      </c>
      <c r="N72" s="1469"/>
      <c r="O72" s="1469"/>
      <c r="P72" s="1890"/>
      <c r="Q72" s="1891"/>
    </row>
    <row r="73" spans="2:17" s="16" customFormat="1" ht="12.6">
      <c r="B73" s="1870"/>
      <c r="C73" s="1870"/>
      <c r="D73" s="1871"/>
      <c r="E73" s="1870"/>
      <c r="F73" s="1870"/>
      <c r="G73" s="1870"/>
      <c r="H73" s="1870"/>
      <c r="I73" s="1870"/>
      <c r="J73" s="1870"/>
      <c r="K73" s="1678"/>
      <c r="L73" s="1678"/>
      <c r="M73" s="1889"/>
      <c r="N73" s="1469"/>
      <c r="O73" s="1469"/>
      <c r="P73" s="1890"/>
      <c r="Q73" s="1891"/>
    </row>
    <row r="74" spans="2:17" s="16" customFormat="1" ht="12.6">
      <c r="B74" s="1870"/>
      <c r="C74" s="1870"/>
      <c r="D74" s="1871"/>
      <c r="E74" s="1870"/>
      <c r="F74" s="1870"/>
      <c r="G74" s="1870"/>
      <c r="H74" s="1870"/>
      <c r="I74" s="1870"/>
      <c r="J74" s="1870"/>
      <c r="K74" s="1678"/>
      <c r="L74" s="1678"/>
      <c r="M74" s="275"/>
      <c r="N74" s="1469"/>
      <c r="O74" s="1469"/>
      <c r="P74" s="1890"/>
      <c r="Q74" s="1891"/>
    </row>
    <row r="75" spans="2:17" s="16" customFormat="1" ht="12.6">
      <c r="B75" s="1870"/>
      <c r="C75" s="1870"/>
      <c r="D75" s="1871"/>
      <c r="E75" s="1870"/>
      <c r="F75" s="1870"/>
      <c r="G75" s="1870"/>
      <c r="H75" s="1870"/>
      <c r="I75" s="1870"/>
      <c r="J75" s="1870"/>
      <c r="K75" s="1678"/>
      <c r="L75" s="1678"/>
      <c r="M75" s="275"/>
      <c r="N75" s="1469"/>
      <c r="O75" s="1469"/>
      <c r="P75" s="1890"/>
      <c r="Q75" s="1891"/>
    </row>
    <row r="76" spans="2:17" s="16" customFormat="1" ht="12.6">
      <c r="B76" s="1870"/>
      <c r="C76" s="1870"/>
      <c r="D76" s="1871"/>
      <c r="E76" s="1870"/>
      <c r="F76" s="1870"/>
      <c r="G76" s="1870"/>
      <c r="H76" s="1870"/>
      <c r="I76" s="1870"/>
      <c r="J76" s="1870"/>
      <c r="K76" s="1678" t="s">
        <v>1167</v>
      </c>
      <c r="L76" s="1678"/>
      <c r="M76" s="275">
        <f>'STANDARD COMP.'!M73</f>
        <v>46817</v>
      </c>
      <c r="N76" s="1676">
        <f>F35</f>
        <v>4067624.9898515767</v>
      </c>
      <c r="O76" s="1676"/>
      <c r="P76" s="1890"/>
      <c r="Q76" s="1891"/>
    </row>
    <row r="77" spans="2:17" s="16" customFormat="1" ht="12.6">
      <c r="B77" s="1870"/>
      <c r="C77" s="1870"/>
      <c r="D77" s="1871"/>
      <c r="E77" s="1870"/>
      <c r="F77" s="1870"/>
      <c r="G77" s="1870"/>
      <c r="H77" s="1870"/>
      <c r="I77" s="1870"/>
      <c r="J77" s="1870"/>
      <c r="K77" s="569"/>
      <c r="L77" s="1870"/>
      <c r="M77" s="1888"/>
      <c r="N77" s="1870"/>
      <c r="O77" s="1870"/>
      <c r="P77" s="1870"/>
      <c r="Q77" s="1870"/>
    </row>
    <row r="78" spans="2:17" s="16" customFormat="1" ht="12.6">
      <c r="B78" s="1870"/>
      <c r="C78" s="1870"/>
      <c r="D78" s="1871"/>
      <c r="E78" s="1870"/>
      <c r="F78" s="1870"/>
      <c r="G78" s="1870"/>
      <c r="H78" s="1870"/>
      <c r="I78" s="1870"/>
      <c r="J78" s="1870"/>
      <c r="K78" s="569"/>
      <c r="L78" s="1870"/>
      <c r="M78" s="1888"/>
      <c r="N78" s="1870"/>
      <c r="O78" s="1870"/>
      <c r="P78" s="1870"/>
      <c r="Q78" s="1870"/>
    </row>
    <row r="79" spans="2:17" s="16" customFormat="1" ht="12.6">
      <c r="B79" s="1870"/>
      <c r="C79" s="1870"/>
      <c r="D79" s="1871"/>
      <c r="E79" s="1870"/>
      <c r="F79" s="1870"/>
      <c r="G79" s="1870"/>
      <c r="H79" s="1870"/>
      <c r="I79" s="1870"/>
      <c r="J79" s="1870"/>
      <c r="K79" s="1870"/>
      <c r="L79" s="1870"/>
      <c r="M79" s="1888"/>
      <c r="N79" s="1870"/>
      <c r="O79" s="1870"/>
      <c r="P79" s="1870"/>
      <c r="Q79" s="1870"/>
    </row>
    <row r="80" spans="2:17" s="16" customFormat="1" ht="12.6">
      <c r="B80" s="1870"/>
      <c r="C80" s="1870"/>
      <c r="D80" s="1871"/>
      <c r="E80" s="1870"/>
      <c r="F80" s="1870"/>
      <c r="G80" s="1870"/>
      <c r="H80" s="1870"/>
      <c r="I80" s="1870"/>
      <c r="J80" s="1870"/>
      <c r="K80" s="203" t="s">
        <v>1168</v>
      </c>
      <c r="L80" s="203"/>
      <c r="M80" s="203"/>
      <c r="N80" s="203"/>
      <c r="O80" s="1870"/>
      <c r="P80" s="203" t="s">
        <v>1169</v>
      </c>
      <c r="Q80" s="203"/>
    </row>
    <row r="81" spans="4:17" s="16" customFormat="1" ht="12.6">
      <c r="D81" s="1871"/>
      <c r="E81" s="1870"/>
      <c r="F81" s="1870"/>
      <c r="G81" s="1870"/>
      <c r="H81" s="1870"/>
      <c r="I81" s="1870"/>
      <c r="J81" s="1870"/>
      <c r="K81" s="1870"/>
      <c r="L81" s="1870"/>
      <c r="M81" s="1871"/>
      <c r="N81" s="1870"/>
      <c r="O81" s="1870"/>
      <c r="P81" s="1870"/>
      <c r="Q81" s="1870"/>
    </row>
    <row r="82" spans="4:17" s="16" customFormat="1" ht="12.6">
      <c r="D82" s="1871"/>
      <c r="E82" s="1870"/>
      <c r="F82" s="1870"/>
      <c r="G82" s="1870"/>
      <c r="H82" s="1870"/>
      <c r="I82" s="1870"/>
      <c r="J82" s="1870"/>
      <c r="K82" s="1870"/>
      <c r="L82" s="1870"/>
      <c r="M82" s="1871"/>
      <c r="N82" s="1870"/>
      <c r="O82" s="1870"/>
      <c r="P82" s="1870"/>
      <c r="Q82" s="1870"/>
    </row>
    <row r="83" spans="4:17" s="16" customFormat="1" ht="12.6">
      <c r="D83" s="1871"/>
      <c r="E83" s="1870"/>
      <c r="F83" s="1870"/>
      <c r="G83" s="1870"/>
      <c r="H83" s="1870"/>
      <c r="I83" s="1870"/>
      <c r="J83" s="1870"/>
      <c r="K83" s="1940" t="str">
        <f>FORM!I28</f>
        <v xml:space="preserve">agent </v>
      </c>
      <c r="L83" s="1940"/>
      <c r="M83" s="1940"/>
      <c r="N83" s="1870"/>
      <c r="O83" s="1870"/>
      <c r="P83" s="1940" t="str">
        <f>FORM!I26</f>
        <v>buyer</v>
      </c>
      <c r="Q83" s="1940"/>
    </row>
    <row r="84" spans="4:17" s="16" customFormat="1" ht="12.6">
      <c r="D84" s="1871"/>
      <c r="E84" s="1870"/>
      <c r="F84" s="1870"/>
      <c r="G84" s="1870"/>
      <c r="H84" s="1870"/>
      <c r="I84" s="1870"/>
      <c r="J84" s="1870"/>
      <c r="K84" s="1942" t="s">
        <v>1171</v>
      </c>
      <c r="L84" s="1942"/>
      <c r="M84" s="1943"/>
      <c r="N84" s="1870"/>
      <c r="O84" s="1870"/>
      <c r="P84" s="1942" t="s">
        <v>1171</v>
      </c>
      <c r="Q84" s="1942"/>
    </row>
    <row r="85" spans="4:17" s="16" customFormat="1" ht="12.6">
      <c r="D85" s="1871"/>
      <c r="E85" s="1870"/>
      <c r="F85" s="1870"/>
      <c r="G85" s="1870"/>
      <c r="H85" s="1870"/>
      <c r="I85" s="1870"/>
      <c r="J85" s="1870"/>
      <c r="K85" s="1870"/>
      <c r="L85" s="1870"/>
      <c r="M85" s="1870"/>
      <c r="N85" s="1870"/>
      <c r="O85" s="1870"/>
      <c r="P85" s="1870"/>
      <c r="Q85" s="1870"/>
    </row>
    <row r="86" spans="4:17" s="16" customFormat="1" ht="12.6">
      <c r="D86" s="1871"/>
      <c r="E86" s="1870"/>
      <c r="F86" s="1870"/>
      <c r="G86" s="1870"/>
      <c r="H86" s="1870"/>
      <c r="I86" s="1870"/>
      <c r="J86" s="1870"/>
      <c r="K86" s="1870"/>
      <c r="L86" s="1870"/>
      <c r="M86" s="1870"/>
      <c r="N86" s="1870"/>
      <c r="O86" s="1870"/>
      <c r="P86" s="1870"/>
      <c r="Q86" s="1870"/>
    </row>
    <row r="87" spans="4:17" s="16" customFormat="1" ht="12.6">
      <c r="D87" s="1871"/>
      <c r="E87" s="1870"/>
      <c r="F87" s="1870"/>
      <c r="G87" s="1870"/>
      <c r="H87" s="1870"/>
      <c r="I87" s="1870"/>
      <c r="J87" s="1870"/>
      <c r="K87" s="1870"/>
      <c r="L87" s="1870"/>
      <c r="M87" s="1888"/>
      <c r="N87" s="1870"/>
      <c r="O87" s="1870"/>
      <c r="P87" s="1870"/>
      <c r="Q87" s="1870"/>
    </row>
    <row r="88" spans="4:17" s="16" customFormat="1" ht="12.6">
      <c r="D88" s="1871"/>
      <c r="E88" s="1870"/>
      <c r="F88" s="1870"/>
      <c r="G88" s="1870"/>
      <c r="H88" s="1870"/>
      <c r="I88" s="1870"/>
      <c r="J88" s="1870"/>
      <c r="K88" s="1870"/>
      <c r="L88" s="1870"/>
      <c r="M88" s="1888"/>
      <c r="N88" s="1870"/>
      <c r="O88" s="1870"/>
      <c r="P88" s="1870"/>
      <c r="Q88" s="1870"/>
    </row>
    <row r="89" spans="4:17" s="16" customFormat="1" ht="12.6">
      <c r="D89" s="1871"/>
      <c r="E89" s="1870"/>
      <c r="F89" s="1870"/>
      <c r="G89" s="1870"/>
      <c r="H89" s="1870"/>
      <c r="I89" s="1870"/>
      <c r="J89" s="1870"/>
      <c r="K89" s="1870"/>
      <c r="L89" s="1870"/>
      <c r="M89" s="1888"/>
      <c r="N89" s="1870"/>
      <c r="O89" s="1870"/>
      <c r="P89" s="1870"/>
      <c r="Q89" s="1870"/>
    </row>
    <row r="90" spans="4:17" s="16" customFormat="1" ht="12.6">
      <c r="D90" s="1871"/>
      <c r="E90" s="1870"/>
      <c r="F90" s="1870"/>
      <c r="G90" s="1870"/>
      <c r="H90" s="1870"/>
      <c r="I90" s="1870"/>
      <c r="J90" s="1870"/>
      <c r="K90" s="1870"/>
      <c r="L90" s="1870"/>
      <c r="M90" s="1888"/>
      <c r="N90" s="1870"/>
      <c r="O90" s="1870"/>
      <c r="P90" s="1870"/>
      <c r="Q90" s="1870"/>
    </row>
    <row r="91" spans="4:17" s="16" customFormat="1" ht="12.6">
      <c r="D91" s="1871"/>
      <c r="E91" s="1870"/>
      <c r="F91" s="1870"/>
      <c r="G91" s="1870"/>
      <c r="H91" s="1870"/>
      <c r="I91" s="1870"/>
      <c r="J91" s="1870"/>
      <c r="K91" s="1870"/>
      <c r="L91" s="1870"/>
      <c r="M91" s="1888"/>
      <c r="N91" s="1870"/>
      <c r="O91" s="1870"/>
      <c r="P91" s="1870"/>
      <c r="Q91" s="1870"/>
    </row>
    <row r="92" spans="4:17" s="16" customFormat="1" ht="12.6">
      <c r="D92" s="1871"/>
      <c r="E92" s="1870"/>
      <c r="F92" s="1870"/>
      <c r="G92" s="1870"/>
      <c r="H92" s="1870"/>
      <c r="I92" s="1870"/>
      <c r="J92" s="1870"/>
      <c r="K92" s="1870"/>
      <c r="L92" s="1870"/>
      <c r="M92" s="1888"/>
      <c r="N92" s="1870"/>
      <c r="O92" s="1870"/>
      <c r="P92" s="1870"/>
      <c r="Q92" s="1870"/>
    </row>
    <row r="93" spans="4:17" s="16" customFormat="1" ht="12.6">
      <c r="D93" s="1871"/>
      <c r="E93" s="1870"/>
      <c r="F93" s="1870"/>
      <c r="G93" s="1870"/>
      <c r="H93" s="1870"/>
      <c r="I93" s="1870"/>
      <c r="J93" s="1870"/>
      <c r="K93" s="1870"/>
      <c r="L93" s="1870"/>
      <c r="M93" s="1888"/>
      <c r="N93" s="1870"/>
      <c r="O93" s="1870"/>
      <c r="P93" s="1870"/>
      <c r="Q93" s="1870"/>
    </row>
    <row r="94" spans="4:17" s="16" customFormat="1" ht="12.6">
      <c r="D94" s="1871"/>
      <c r="E94" s="1870"/>
      <c r="F94" s="1870"/>
      <c r="G94" s="1870"/>
      <c r="H94" s="1870"/>
      <c r="I94" s="1870"/>
      <c r="J94" s="1870"/>
      <c r="K94" s="1870"/>
      <c r="L94" s="1870"/>
      <c r="M94" s="1888"/>
      <c r="N94" s="1870"/>
      <c r="O94" s="1870"/>
      <c r="P94" s="1870"/>
      <c r="Q94" s="1870"/>
    </row>
    <row r="95" spans="4:17" s="16" customFormat="1" ht="12.6">
      <c r="D95" s="1871"/>
      <c r="E95" s="1870"/>
      <c r="F95" s="1870"/>
      <c r="G95" s="1870"/>
      <c r="H95" s="1870"/>
      <c r="I95" s="1870"/>
      <c r="J95" s="1870"/>
      <c r="K95" s="1870"/>
      <c r="L95" s="1870"/>
      <c r="M95" s="1888"/>
      <c r="N95" s="1870"/>
      <c r="O95" s="1870"/>
      <c r="P95" s="1870"/>
      <c r="Q95" s="1870"/>
    </row>
    <row r="96" spans="4:17" s="16" customFormat="1" ht="12.6">
      <c r="D96" s="1871"/>
      <c r="E96" s="1870"/>
      <c r="F96" s="1870"/>
      <c r="G96" s="1870"/>
      <c r="H96" s="1870"/>
      <c r="I96" s="1870"/>
      <c r="J96" s="1870"/>
      <c r="K96" s="1870"/>
      <c r="L96" s="1870"/>
      <c r="M96" s="1888"/>
      <c r="N96" s="1870"/>
      <c r="O96" s="1870"/>
      <c r="P96" s="1870"/>
      <c r="Q96" s="1870"/>
    </row>
    <row r="97" spans="2:17" s="16" customFormat="1" ht="12.6">
      <c r="B97" s="1870"/>
      <c r="C97" s="1870"/>
      <c r="D97" s="1871"/>
      <c r="E97" s="1870"/>
      <c r="F97" s="1870"/>
      <c r="G97" s="1870"/>
      <c r="H97" s="1870"/>
      <c r="I97" s="1870"/>
      <c r="J97" s="1870"/>
      <c r="K97" s="1870"/>
      <c r="L97" s="1870"/>
      <c r="M97" s="1888"/>
      <c r="N97" s="1870"/>
      <c r="O97" s="1870"/>
      <c r="P97" s="1870"/>
      <c r="Q97" s="1870"/>
    </row>
    <row r="98" spans="2:17" s="16" customFormat="1" ht="12.6">
      <c r="B98" s="1870"/>
      <c r="C98" s="1870"/>
      <c r="D98" s="1871"/>
      <c r="E98" s="1870"/>
      <c r="F98" s="1870"/>
      <c r="G98" s="1870"/>
      <c r="H98" s="1870"/>
      <c r="I98" s="1870"/>
      <c r="J98" s="1870"/>
      <c r="K98" s="1870"/>
      <c r="L98" s="1870"/>
      <c r="M98" s="1888"/>
      <c r="N98" s="1870"/>
      <c r="O98" s="1870"/>
      <c r="P98" s="1870"/>
      <c r="Q98" s="1870"/>
    </row>
    <row r="99" spans="2:17" s="16" customFormat="1" ht="12.6">
      <c r="B99" s="1870"/>
      <c r="C99" s="1870"/>
      <c r="D99" s="1871"/>
      <c r="E99" s="1870"/>
      <c r="F99" s="1870"/>
      <c r="G99" s="1870"/>
      <c r="H99" s="1870"/>
      <c r="I99" s="1870"/>
      <c r="J99" s="1870"/>
      <c r="K99" s="1870"/>
      <c r="L99" s="1870"/>
      <c r="M99" s="1888"/>
      <c r="N99" s="1870"/>
      <c r="O99" s="1870"/>
      <c r="P99" s="1870"/>
      <c r="Q99" s="1870"/>
    </row>
    <row r="100" spans="2:17" s="16" customFormat="1" ht="12.6">
      <c r="B100" s="1870"/>
      <c r="C100" s="1870"/>
      <c r="D100" s="1871"/>
      <c r="E100" s="1870"/>
      <c r="F100" s="1870"/>
      <c r="G100" s="1870"/>
      <c r="H100" s="1870"/>
      <c r="I100" s="1870"/>
      <c r="J100" s="1870"/>
      <c r="K100" s="1870"/>
      <c r="L100" s="1870"/>
      <c r="M100" s="1888"/>
      <c r="N100" s="1870"/>
      <c r="O100" s="1870"/>
      <c r="P100" s="1870"/>
      <c r="Q100" s="1870"/>
    </row>
    <row r="101" spans="2:17" s="16" customFormat="1" ht="12.6">
      <c r="B101" s="1870"/>
      <c r="C101" s="1870"/>
      <c r="D101" s="1871"/>
      <c r="E101" s="1870"/>
      <c r="F101" s="1870"/>
      <c r="G101" s="1870"/>
      <c r="H101" s="1870"/>
      <c r="I101" s="1870"/>
      <c r="J101" s="1870"/>
      <c r="K101" s="1870"/>
      <c r="L101" s="1870"/>
      <c r="M101" s="1888"/>
      <c r="N101" s="1870"/>
      <c r="O101" s="1870"/>
      <c r="P101" s="1870"/>
      <c r="Q101" s="1870"/>
    </row>
    <row r="102" spans="2:17" s="16" customFormat="1" ht="12.6">
      <c r="B102" s="1870"/>
      <c r="C102" s="1870"/>
      <c r="D102" s="1871"/>
      <c r="E102" s="1870"/>
      <c r="F102" s="1870"/>
      <c r="G102" s="1870"/>
      <c r="H102" s="1870"/>
      <c r="I102" s="1870"/>
      <c r="J102" s="1870"/>
      <c r="K102" s="1870"/>
      <c r="L102" s="1870"/>
      <c r="M102" s="1888"/>
      <c r="N102" s="1870"/>
      <c r="O102" s="1870"/>
      <c r="P102" s="1870"/>
      <c r="Q102" s="1870"/>
    </row>
    <row r="103" spans="2:17" s="16" customFormat="1" ht="12.6">
      <c r="B103" s="1870"/>
      <c r="C103" s="1870"/>
      <c r="D103" s="1871"/>
      <c r="E103" s="1870"/>
      <c r="F103" s="1870"/>
      <c r="G103" s="1870"/>
      <c r="H103" s="1870"/>
      <c r="I103" s="1870"/>
      <c r="J103" s="1870"/>
      <c r="K103" s="1870"/>
      <c r="L103" s="1870"/>
      <c r="M103" s="1888"/>
      <c r="N103" s="1870"/>
      <c r="O103" s="1870"/>
      <c r="P103" s="1870"/>
      <c r="Q103" s="1870"/>
    </row>
    <row r="104" spans="2:17" s="16" customFormat="1" ht="12.6">
      <c r="B104" s="1870"/>
      <c r="C104" s="1870"/>
      <c r="D104" s="1871"/>
      <c r="E104" s="1870"/>
      <c r="F104" s="1870"/>
      <c r="G104" s="1870"/>
      <c r="H104" s="1870"/>
      <c r="I104" s="1870"/>
      <c r="J104" s="1870"/>
      <c r="K104" s="1870"/>
      <c r="L104" s="1870"/>
      <c r="M104" s="1888"/>
      <c r="N104" s="1870"/>
      <c r="O104" s="1870"/>
      <c r="P104" s="1870"/>
      <c r="Q104" s="1870"/>
    </row>
    <row r="105" spans="2:17" s="16" customFormat="1" ht="12.6">
      <c r="B105" s="1870"/>
      <c r="C105" s="1870"/>
      <c r="D105" s="1871"/>
      <c r="E105" s="1870"/>
      <c r="F105" s="1870"/>
      <c r="G105" s="1870"/>
      <c r="H105" s="1870"/>
      <c r="I105" s="1870"/>
      <c r="J105" s="1870"/>
      <c r="K105" s="1870"/>
      <c r="L105" s="1870"/>
      <c r="M105" s="1888"/>
      <c r="N105" s="1870"/>
      <c r="O105" s="1870"/>
      <c r="P105" s="1870"/>
      <c r="Q105" s="1870"/>
    </row>
    <row r="106" spans="2:17" s="16" customFormat="1" ht="12.6">
      <c r="B106" s="1870"/>
      <c r="C106" s="1870"/>
      <c r="D106" s="1871"/>
      <c r="E106" s="1870"/>
      <c r="F106" s="1870"/>
      <c r="G106" s="1870"/>
      <c r="H106" s="1870"/>
      <c r="I106" s="1870"/>
      <c r="J106" s="1870"/>
      <c r="K106" s="1870"/>
      <c r="L106" s="1870"/>
      <c r="M106" s="1888"/>
      <c r="N106" s="1870"/>
      <c r="O106" s="1870"/>
      <c r="P106" s="1870"/>
      <c r="Q106" s="1870"/>
    </row>
    <row r="107" spans="2:17" s="16" customFormat="1" ht="12.6">
      <c r="B107" s="1870"/>
      <c r="C107" s="1870"/>
      <c r="D107" s="1871"/>
      <c r="E107" s="1870"/>
      <c r="F107" s="1870"/>
      <c r="G107" s="1870"/>
      <c r="H107" s="1870"/>
      <c r="I107" s="1870"/>
      <c r="J107" s="1870"/>
      <c r="K107" s="1870"/>
      <c r="L107" s="1870"/>
      <c r="M107" s="1888"/>
      <c r="N107" s="1870"/>
      <c r="O107" s="1870"/>
      <c r="P107" s="1870"/>
      <c r="Q107" s="1870"/>
    </row>
    <row r="108" spans="2:17">
      <c r="B108" s="1870"/>
      <c r="C108" s="1870"/>
      <c r="D108" s="1871"/>
      <c r="E108" s="1870"/>
      <c r="F108" s="1870"/>
      <c r="G108" s="1870"/>
      <c r="H108" s="1870"/>
      <c r="I108" s="1870"/>
      <c r="K108" s="1870"/>
      <c r="L108" s="1870"/>
      <c r="M108" s="1888"/>
      <c r="N108" s="1870"/>
      <c r="O108" s="1870"/>
      <c r="P108" s="1870"/>
      <c r="Q108" s="1870"/>
    </row>
    <row r="109" spans="2:17">
      <c r="K109" s="1870"/>
      <c r="L109" s="1870"/>
      <c r="M109" s="1888"/>
      <c r="N109" s="1870"/>
      <c r="O109" s="1870"/>
      <c r="P109" s="1870"/>
      <c r="Q109" s="1870"/>
    </row>
    <row r="110" spans="2:17">
      <c r="K110" s="1870"/>
      <c r="L110" s="1870"/>
      <c r="M110" s="1888"/>
      <c r="N110" s="1870"/>
      <c r="O110" s="1870"/>
      <c r="P110" s="1870"/>
      <c r="Q110" s="1870"/>
    </row>
    <row r="111" spans="2:17">
      <c r="K111" s="1870"/>
      <c r="L111" s="1870"/>
      <c r="M111" s="1888"/>
      <c r="N111" s="1870"/>
      <c r="O111" s="1870"/>
      <c r="P111" s="1870"/>
      <c r="Q111" s="1870"/>
    </row>
    <row r="112" spans="2:17">
      <c r="K112" s="1870"/>
      <c r="L112" s="1870"/>
      <c r="M112" s="1888"/>
      <c r="N112" s="1870"/>
      <c r="O112" s="1870"/>
      <c r="P112" s="1870"/>
      <c r="Q112" s="1870"/>
    </row>
    <row r="113" spans="1:17">
      <c r="K113" s="1870"/>
      <c r="L113" s="1870"/>
      <c r="M113" s="1888"/>
      <c r="N113" s="1870"/>
      <c r="O113" s="1870"/>
      <c r="P113" s="1870"/>
      <c r="Q113" s="1870"/>
    </row>
    <row r="114" spans="1:17">
      <c r="A114" s="206">
        <f>F17*12%</f>
        <v>494763.38172410685</v>
      </c>
      <c r="K114" s="1870"/>
      <c r="L114" s="1870"/>
      <c r="M114" s="1888"/>
      <c r="N114" s="1870"/>
      <c r="O114" s="1870"/>
      <c r="P114" s="1870"/>
      <c r="Q114" s="1870"/>
    </row>
    <row r="115" spans="1:17">
      <c r="K115" s="1870"/>
      <c r="L115" s="1870"/>
      <c r="M115" s="1888"/>
      <c r="N115" s="1870"/>
      <c r="O115" s="1870"/>
      <c r="P115" s="1870"/>
      <c r="Q115" s="1870"/>
    </row>
    <row r="116" spans="1:17">
      <c r="K116" s="1870"/>
      <c r="L116" s="1870"/>
      <c r="M116" s="1888"/>
      <c r="N116" s="1870"/>
      <c r="O116" s="1870"/>
      <c r="P116" s="1870"/>
      <c r="Q116" s="1870"/>
    </row>
    <row r="117" spans="1:17">
      <c r="K117" s="1870"/>
      <c r="L117" s="1870"/>
      <c r="M117" s="1888"/>
      <c r="N117" s="1870"/>
      <c r="O117" s="1870"/>
      <c r="P117" s="1870"/>
      <c r="Q117" s="1870"/>
    </row>
    <row r="118" spans="1:17">
      <c r="K118" s="1870"/>
      <c r="L118" s="1870"/>
      <c r="M118" s="1888"/>
      <c r="N118" s="1870"/>
      <c r="O118" s="1870"/>
      <c r="P118" s="1870"/>
      <c r="Q118" s="1870"/>
    </row>
    <row r="119" spans="1:17">
      <c r="K119" s="1870"/>
      <c r="L119" s="1870"/>
      <c r="M119" s="1888"/>
      <c r="N119" s="1870"/>
      <c r="O119" s="1870"/>
      <c r="P119" s="1870"/>
      <c r="Q119" s="1870"/>
    </row>
    <row r="120" spans="1:17">
      <c r="K120" s="1870"/>
      <c r="L120" s="1870"/>
      <c r="M120" s="1888"/>
      <c r="N120" s="1870"/>
      <c r="O120" s="1870"/>
      <c r="P120" s="1870"/>
      <c r="Q120" s="1870"/>
    </row>
    <row r="121" spans="1:17">
      <c r="K121" s="1870"/>
      <c r="L121" s="1870"/>
      <c r="M121" s="1888"/>
      <c r="N121" s="1870"/>
      <c r="O121" s="1870"/>
      <c r="P121" s="1870"/>
      <c r="Q121" s="1870"/>
    </row>
    <row r="122" spans="1:17">
      <c r="K122" s="1870"/>
      <c r="L122" s="1870"/>
      <c r="M122" s="1888"/>
      <c r="N122" s="1870"/>
      <c r="O122" s="1870"/>
      <c r="P122" s="1870"/>
      <c r="Q122" s="1870"/>
    </row>
    <row r="123" spans="1:17">
      <c r="K123" s="1870"/>
      <c r="L123" s="1870"/>
      <c r="M123" s="1888"/>
      <c r="N123" s="1870"/>
      <c r="O123" s="1870"/>
      <c r="P123" s="1870"/>
      <c r="Q123" s="1870"/>
    </row>
    <row r="124" spans="1:17">
      <c r="K124" s="1870"/>
      <c r="L124" s="1870"/>
      <c r="M124" s="1888"/>
      <c r="N124" s="1870"/>
      <c r="O124" s="1870"/>
      <c r="P124" s="1870"/>
      <c r="Q124" s="1870"/>
    </row>
    <row r="125" spans="1:17">
      <c r="K125" s="1870"/>
      <c r="L125" s="1870"/>
      <c r="M125" s="1888"/>
      <c r="N125" s="1870"/>
      <c r="O125" s="1870"/>
      <c r="P125" s="1870"/>
      <c r="Q125" s="1870"/>
    </row>
    <row r="126" spans="1:17">
      <c r="K126" s="1870"/>
      <c r="L126" s="1870"/>
      <c r="M126" s="1888"/>
      <c r="N126" s="1870"/>
      <c r="O126" s="1870"/>
      <c r="P126" s="1870"/>
      <c r="Q126" s="1870"/>
    </row>
  </sheetData>
  <sheetProtection password="CC2E" sheet="1" selectLockedCells="1"/>
  <mergeCells count="284">
    <mergeCell ref="E6:I6"/>
    <mergeCell ref="N6:Q6"/>
    <mergeCell ref="X6:AD6"/>
    <mergeCell ref="E7:F7"/>
    <mergeCell ref="N7:Q7"/>
    <mergeCell ref="X7:AD7"/>
    <mergeCell ref="G1:I1"/>
    <mergeCell ref="S1:T1"/>
    <mergeCell ref="U1:V1"/>
    <mergeCell ref="Z1:AA1"/>
    <mergeCell ref="AB1:AD1"/>
    <mergeCell ref="B3:I4"/>
    <mergeCell ref="K3:Q4"/>
    <mergeCell ref="S3:AD4"/>
    <mergeCell ref="E10:I10"/>
    <mergeCell ref="N10:Q10"/>
    <mergeCell ref="X10:AD10"/>
    <mergeCell ref="E11:F11"/>
    <mergeCell ref="G11:I11"/>
    <mergeCell ref="N11:O11"/>
    <mergeCell ref="P11:Q11"/>
    <mergeCell ref="X11:Y11"/>
    <mergeCell ref="E8:I8"/>
    <mergeCell ref="N8:Q8"/>
    <mergeCell ref="X8:AD8"/>
    <mergeCell ref="E9:I9"/>
    <mergeCell ref="N9:Q9"/>
    <mergeCell ref="X9:AD9"/>
    <mergeCell ref="P15:Q16"/>
    <mergeCell ref="S15:AD15"/>
    <mergeCell ref="E12:F12"/>
    <mergeCell ref="G12:I12"/>
    <mergeCell ref="N12:O12"/>
    <mergeCell ref="P12:Q12"/>
    <mergeCell ref="X12:Y12"/>
    <mergeCell ref="E13:F13"/>
    <mergeCell ref="G13:I13"/>
    <mergeCell ref="N13:O13"/>
    <mergeCell ref="P13:Q13"/>
    <mergeCell ref="X13:Y13"/>
    <mergeCell ref="K17:L17"/>
    <mergeCell ref="N17:O17"/>
    <mergeCell ref="F17:I17"/>
    <mergeCell ref="K18:L18"/>
    <mergeCell ref="N18:O18"/>
    <mergeCell ref="F15:I15"/>
    <mergeCell ref="K15:L16"/>
    <mergeCell ref="M15:M16"/>
    <mergeCell ref="N15:O16"/>
    <mergeCell ref="F20:I20"/>
    <mergeCell ref="K21:L21"/>
    <mergeCell ref="N21:O21"/>
    <mergeCell ref="T21:U21"/>
    <mergeCell ref="AJ21:AK21"/>
    <mergeCell ref="AP21:AQ21"/>
    <mergeCell ref="K19:L19"/>
    <mergeCell ref="N19:O19"/>
    <mergeCell ref="AJ19:AK19"/>
    <mergeCell ref="AP19:AQ19"/>
    <mergeCell ref="F19:I19"/>
    <mergeCell ref="K20:L20"/>
    <mergeCell ref="N20:O20"/>
    <mergeCell ref="T20:U20"/>
    <mergeCell ref="AJ20:AK20"/>
    <mergeCell ref="AP20:AQ20"/>
    <mergeCell ref="K22:L22"/>
    <mergeCell ref="N22:O22"/>
    <mergeCell ref="AJ22:AK22"/>
    <mergeCell ref="AP22:AQ22"/>
    <mergeCell ref="F22:I22"/>
    <mergeCell ref="K23:L23"/>
    <mergeCell ref="N23:O23"/>
    <mergeCell ref="AJ23:AK23"/>
    <mergeCell ref="AP23:AQ23"/>
    <mergeCell ref="F25:I25"/>
    <mergeCell ref="K26:L26"/>
    <mergeCell ref="N26:O26"/>
    <mergeCell ref="T26:U26"/>
    <mergeCell ref="AJ26:AK26"/>
    <mergeCell ref="AP26:AQ26"/>
    <mergeCell ref="K24:L24"/>
    <mergeCell ref="N24:O24"/>
    <mergeCell ref="AJ24:AK24"/>
    <mergeCell ref="AP24:AQ24"/>
    <mergeCell ref="F24:I24"/>
    <mergeCell ref="K25:L25"/>
    <mergeCell ref="N25:O25"/>
    <mergeCell ref="AJ25:AK25"/>
    <mergeCell ref="AP25:AQ25"/>
    <mergeCell ref="K27:L27"/>
    <mergeCell ref="N27:O27"/>
    <mergeCell ref="T27:U27"/>
    <mergeCell ref="AJ27:AK27"/>
    <mergeCell ref="AP27:AQ27"/>
    <mergeCell ref="F27:I27"/>
    <mergeCell ref="K28:L28"/>
    <mergeCell ref="N28:O28"/>
    <mergeCell ref="AJ28:AK28"/>
    <mergeCell ref="AP28:AQ28"/>
    <mergeCell ref="B30:C30"/>
    <mergeCell ref="G30:I30"/>
    <mergeCell ref="K31:L31"/>
    <mergeCell ref="N31:O31"/>
    <mergeCell ref="AJ31:AK31"/>
    <mergeCell ref="AP31:AQ31"/>
    <mergeCell ref="K29:L29"/>
    <mergeCell ref="N29:O29"/>
    <mergeCell ref="AJ29:AK29"/>
    <mergeCell ref="AP29:AQ29"/>
    <mergeCell ref="B29:C29"/>
    <mergeCell ref="G29:I29"/>
    <mergeCell ref="K30:L30"/>
    <mergeCell ref="N30:O30"/>
    <mergeCell ref="AJ30:AK30"/>
    <mergeCell ref="AP30:AQ30"/>
    <mergeCell ref="B31:C31"/>
    <mergeCell ref="G31:I31"/>
    <mergeCell ref="F35:I35"/>
    <mergeCell ref="K35:L35"/>
    <mergeCell ref="N35:O35"/>
    <mergeCell ref="AJ35:AK35"/>
    <mergeCell ref="AP35:AQ35"/>
    <mergeCell ref="AP32:AQ32"/>
    <mergeCell ref="B32:C32"/>
    <mergeCell ref="G32:I32"/>
    <mergeCell ref="K33:L33"/>
    <mergeCell ref="N33:O33"/>
    <mergeCell ref="T33:U33"/>
    <mergeCell ref="AJ33:AK33"/>
    <mergeCell ref="AP33:AQ33"/>
    <mergeCell ref="K32:L32"/>
    <mergeCell ref="N32:O32"/>
    <mergeCell ref="T32:U32"/>
    <mergeCell ref="AJ32:AK32"/>
    <mergeCell ref="K36:L36"/>
    <mergeCell ref="N36:O36"/>
    <mergeCell ref="AJ36:AK36"/>
    <mergeCell ref="AP36:AQ36"/>
    <mergeCell ref="K37:L37"/>
    <mergeCell ref="N37:O37"/>
    <mergeCell ref="AJ37:AK37"/>
    <mergeCell ref="AP37:AQ37"/>
    <mergeCell ref="K34:L34"/>
    <mergeCell ref="N34:O34"/>
    <mergeCell ref="AJ34:AK34"/>
    <mergeCell ref="AP34:AQ34"/>
    <mergeCell ref="K38:L38"/>
    <mergeCell ref="N38:O38"/>
    <mergeCell ref="AJ38:AK38"/>
    <mergeCell ref="AP38:AQ38"/>
    <mergeCell ref="D39:E39"/>
    <mergeCell ref="G39:I39"/>
    <mergeCell ref="K39:L39"/>
    <mergeCell ref="N39:O39"/>
    <mergeCell ref="AJ39:AK39"/>
    <mergeCell ref="AP39:AQ39"/>
    <mergeCell ref="D41:E41"/>
    <mergeCell ref="G41:I41"/>
    <mergeCell ref="K41:L41"/>
    <mergeCell ref="N41:O41"/>
    <mergeCell ref="AJ41:AK41"/>
    <mergeCell ref="AP41:AQ41"/>
    <mergeCell ref="D40:E40"/>
    <mergeCell ref="G40:I40"/>
    <mergeCell ref="K40:L40"/>
    <mergeCell ref="N40:O40"/>
    <mergeCell ref="AJ40:AK40"/>
    <mergeCell ref="AP40:AQ40"/>
    <mergeCell ref="D43:E43"/>
    <mergeCell ref="G43:I43"/>
    <mergeCell ref="K43:L43"/>
    <mergeCell ref="N43:O43"/>
    <mergeCell ref="AJ43:AK43"/>
    <mergeCell ref="AP43:AQ43"/>
    <mergeCell ref="D42:E42"/>
    <mergeCell ref="G42:I42"/>
    <mergeCell ref="K42:L42"/>
    <mergeCell ref="N42:O42"/>
    <mergeCell ref="AJ42:AK42"/>
    <mergeCell ref="AP42:AQ42"/>
    <mergeCell ref="N46:O46"/>
    <mergeCell ref="AJ46:AK46"/>
    <mergeCell ref="AP46:AQ46"/>
    <mergeCell ref="K47:L47"/>
    <mergeCell ref="N47:O47"/>
    <mergeCell ref="AJ47:AK47"/>
    <mergeCell ref="AP47:AQ47"/>
    <mergeCell ref="K44:L44"/>
    <mergeCell ref="N44:O44"/>
    <mergeCell ref="AJ44:AK44"/>
    <mergeCell ref="AP44:AQ44"/>
    <mergeCell ref="K45:L45"/>
    <mergeCell ref="N45:O45"/>
    <mergeCell ref="AJ45:AK45"/>
    <mergeCell ref="AP45:AQ45"/>
    <mergeCell ref="B51:C51"/>
    <mergeCell ref="D51:F51"/>
    <mergeCell ref="G51:I51"/>
    <mergeCell ref="K51:L51"/>
    <mergeCell ref="N51:O51"/>
    <mergeCell ref="K48:L48"/>
    <mergeCell ref="N48:O48"/>
    <mergeCell ref="AJ48:AK48"/>
    <mergeCell ref="AP48:AQ48"/>
    <mergeCell ref="K49:L49"/>
    <mergeCell ref="N49:O49"/>
    <mergeCell ref="AJ49:AK49"/>
    <mergeCell ref="B54:C55"/>
    <mergeCell ref="D54:F55"/>
    <mergeCell ref="G54:I55"/>
    <mergeCell ref="K54:L54"/>
    <mergeCell ref="N54:O54"/>
    <mergeCell ref="K55:L55"/>
    <mergeCell ref="N55:O55"/>
    <mergeCell ref="B52:C53"/>
    <mergeCell ref="D52:F53"/>
    <mergeCell ref="G52:I53"/>
    <mergeCell ref="K52:L52"/>
    <mergeCell ref="N52:O52"/>
    <mergeCell ref="K53:L53"/>
    <mergeCell ref="N53:O53"/>
    <mergeCell ref="B58:C59"/>
    <mergeCell ref="D58:F59"/>
    <mergeCell ref="G58:I59"/>
    <mergeCell ref="K58:L58"/>
    <mergeCell ref="N58:O58"/>
    <mergeCell ref="K59:L59"/>
    <mergeCell ref="N59:O59"/>
    <mergeCell ref="B56:C57"/>
    <mergeCell ref="D56:F57"/>
    <mergeCell ref="G56:I57"/>
    <mergeCell ref="K56:L56"/>
    <mergeCell ref="N56:O56"/>
    <mergeCell ref="K57:L57"/>
    <mergeCell ref="N57:O57"/>
    <mergeCell ref="B62:C63"/>
    <mergeCell ref="D62:F63"/>
    <mergeCell ref="G62:I63"/>
    <mergeCell ref="K62:L62"/>
    <mergeCell ref="N62:O62"/>
    <mergeCell ref="K63:L63"/>
    <mergeCell ref="N63:O63"/>
    <mergeCell ref="B60:C61"/>
    <mergeCell ref="D60:F61"/>
    <mergeCell ref="G60:I61"/>
    <mergeCell ref="K60:L60"/>
    <mergeCell ref="N60:O60"/>
    <mergeCell ref="K61:L61"/>
    <mergeCell ref="N61:O61"/>
    <mergeCell ref="B69:C69"/>
    <mergeCell ref="F69:G69"/>
    <mergeCell ref="K69:L69"/>
    <mergeCell ref="N69:O69"/>
    <mergeCell ref="K64:L64"/>
    <mergeCell ref="N64:O64"/>
    <mergeCell ref="D65:F65"/>
    <mergeCell ref="K65:L65"/>
    <mergeCell ref="N65:O65"/>
    <mergeCell ref="K66:L66"/>
    <mergeCell ref="N66:O66"/>
    <mergeCell ref="K76:L76"/>
    <mergeCell ref="N76:O76"/>
    <mergeCell ref="K83:M83"/>
    <mergeCell ref="P83:Q83"/>
    <mergeCell ref="G33:I33"/>
    <mergeCell ref="K73:L73"/>
    <mergeCell ref="N73:O73"/>
    <mergeCell ref="K74:L74"/>
    <mergeCell ref="N74:O74"/>
    <mergeCell ref="K75:L75"/>
    <mergeCell ref="N75:O75"/>
    <mergeCell ref="K70:L70"/>
    <mergeCell ref="N70:O70"/>
    <mergeCell ref="K71:L71"/>
    <mergeCell ref="N71:O71"/>
    <mergeCell ref="K72:L72"/>
    <mergeCell ref="N72:O72"/>
    <mergeCell ref="K67:L67"/>
    <mergeCell ref="N67:O67"/>
    <mergeCell ref="K68:L68"/>
    <mergeCell ref="N68:O68"/>
    <mergeCell ref="K50:L50"/>
    <mergeCell ref="N50:O50"/>
    <mergeCell ref="K46:L46"/>
  </mergeCells>
  <pageMargins left="0.59055118110236227" right="0.59055118110236227" top="1.1811023622047245"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88" man="1"/>
  </colBreaks>
  <drawing r:id="rId2"/>
  <legacyDrawing r:id="rId3"/>
  <mc:AlternateContent xmlns:mc="http://schemas.openxmlformats.org/markup-compatibility/2006">
    <mc:Choice Requires="x14">
      <controls>
        <mc:AlternateContent xmlns:mc="http://schemas.openxmlformats.org/markup-compatibility/2006">
          <mc:Choice Requires="x14">
            <control shapeId="134145" r:id="rId4" name="Check Box 1">
              <controlPr defaultSize="0" autoFill="0" autoLine="0" autoPict="0">
                <anchor moveWithCells="1">
                  <from>
                    <xdr:col>21</xdr:col>
                    <xdr:colOff>76200</xdr:colOff>
                    <xdr:row>17</xdr:row>
                    <xdr:rowOff>0</xdr:rowOff>
                  </from>
                  <to>
                    <xdr:col>21</xdr:col>
                    <xdr:colOff>298450</xdr:colOff>
                    <xdr:row>18</xdr:row>
                    <xdr:rowOff>50800</xdr:rowOff>
                  </to>
                </anchor>
              </controlPr>
            </control>
          </mc:Choice>
        </mc:AlternateContent>
        <mc:AlternateContent xmlns:mc="http://schemas.openxmlformats.org/markup-compatibility/2006">
          <mc:Choice Requires="x14">
            <control shapeId="134146" r:id="rId5" name="Check Box 2">
              <controlPr defaultSize="0" autoFill="0" autoLine="0" autoPict="0">
                <anchor moveWithCells="1">
                  <from>
                    <xdr:col>21</xdr:col>
                    <xdr:colOff>76200</xdr:colOff>
                    <xdr:row>18</xdr:row>
                    <xdr:rowOff>190500</xdr:rowOff>
                  </from>
                  <to>
                    <xdr:col>21</xdr:col>
                    <xdr:colOff>298450</xdr:colOff>
                    <xdr:row>20</xdr:row>
                    <xdr:rowOff>31750</xdr:rowOff>
                  </to>
                </anchor>
              </controlPr>
            </control>
          </mc:Choice>
        </mc:AlternateContent>
        <mc:AlternateContent xmlns:mc="http://schemas.openxmlformats.org/markup-compatibility/2006">
          <mc:Choice Requires="x14">
            <control shapeId="134147" r:id="rId6" name="Check Box 3">
              <controlPr defaultSize="0" autoFill="0" autoLine="0" autoPict="0">
                <anchor moveWithCells="1">
                  <from>
                    <xdr:col>21</xdr:col>
                    <xdr:colOff>76200</xdr:colOff>
                    <xdr:row>23</xdr:row>
                    <xdr:rowOff>0</xdr:rowOff>
                  </from>
                  <to>
                    <xdr:col>21</xdr:col>
                    <xdr:colOff>292100</xdr:colOff>
                    <xdr:row>24</xdr:row>
                    <xdr:rowOff>50800</xdr:rowOff>
                  </to>
                </anchor>
              </controlPr>
            </control>
          </mc:Choice>
        </mc:AlternateContent>
        <mc:AlternateContent xmlns:mc="http://schemas.openxmlformats.org/markup-compatibility/2006">
          <mc:Choice Requires="x14">
            <control shapeId="134148" r:id="rId7" name="Check Box 4">
              <controlPr defaultSize="0" autoFill="0" autoLine="0" autoPict="0">
                <anchor moveWithCells="1">
                  <from>
                    <xdr:col>21</xdr:col>
                    <xdr:colOff>69850</xdr:colOff>
                    <xdr:row>24</xdr:row>
                    <xdr:rowOff>190500</xdr:rowOff>
                  </from>
                  <to>
                    <xdr:col>21</xdr:col>
                    <xdr:colOff>292100</xdr:colOff>
                    <xdr:row>26</xdr:row>
                    <xdr:rowOff>31750</xdr:rowOff>
                  </to>
                </anchor>
              </controlPr>
            </control>
          </mc:Choice>
        </mc:AlternateContent>
        <mc:AlternateContent xmlns:mc="http://schemas.openxmlformats.org/markup-compatibility/2006">
          <mc:Choice Requires="x14">
            <control shapeId="134149" r:id="rId8" name="Check Box 5">
              <controlPr defaultSize="0" autoFill="0" autoLine="0" autoPict="0">
                <anchor moveWithCells="1">
                  <from>
                    <xdr:col>21</xdr:col>
                    <xdr:colOff>76200</xdr:colOff>
                    <xdr:row>29</xdr:row>
                    <xdr:rowOff>0</xdr:rowOff>
                  </from>
                  <to>
                    <xdr:col>21</xdr:col>
                    <xdr:colOff>292100</xdr:colOff>
                    <xdr:row>30</xdr:row>
                    <xdr:rowOff>50800</xdr:rowOff>
                  </to>
                </anchor>
              </controlPr>
            </control>
          </mc:Choice>
        </mc:AlternateContent>
        <mc:AlternateContent xmlns:mc="http://schemas.openxmlformats.org/markup-compatibility/2006">
          <mc:Choice Requires="x14">
            <control shapeId="134150" r:id="rId9" name="Check Box 6">
              <controlPr defaultSize="0" autoFill="0" autoLine="0" autoPict="0">
                <anchor moveWithCells="1">
                  <from>
                    <xdr:col>21</xdr:col>
                    <xdr:colOff>69850</xdr:colOff>
                    <xdr:row>30</xdr:row>
                    <xdr:rowOff>190500</xdr:rowOff>
                  </from>
                  <to>
                    <xdr:col>21</xdr:col>
                    <xdr:colOff>292100</xdr:colOff>
                    <xdr:row>32</xdr:row>
                    <xdr:rowOff>31750</xdr:rowOff>
                  </to>
                </anchor>
              </controlPr>
            </control>
          </mc:Choice>
        </mc:AlternateContent>
      </controls>
    </mc:Choice>
  </mc:AlternateContent>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9"/>
  <dimension ref="A1:BM126"/>
  <sheetViews>
    <sheetView showGridLines="0" showZeros="0" showRuler="0" view="pageBreakPreview" topLeftCell="A10" zoomScale="80" zoomScaleNormal="90" zoomScaleSheetLayoutView="80" zoomScalePageLayoutView="70" workbookViewId="0">
      <selection activeCell="F20" sqref="F20:I20"/>
    </sheetView>
  </sheetViews>
  <sheetFormatPr defaultColWidth="9.140625" defaultRowHeight="13.5"/>
  <cols>
    <col min="1" max="1" width="1.140625" style="14" customWidth="1"/>
    <col min="2" max="2" width="12" style="14" customWidth="1"/>
    <col min="3" max="3" width="28.140625" style="14" customWidth="1"/>
    <col min="4" max="4" width="21" style="19" customWidth="1"/>
    <col min="5" max="5" width="19.85546875" style="14" customWidth="1"/>
    <col min="6" max="6" width="17.140625" style="14" customWidth="1"/>
    <col min="7" max="7" width="18.85546875" style="14" customWidth="1"/>
    <col min="8" max="8" width="11.140625" style="14" customWidth="1"/>
    <col min="9" max="9" width="7" style="14" customWidth="1"/>
    <col min="10" max="10" width="0.85546875" style="14" customWidth="1"/>
    <col min="11" max="11" width="9.140625" style="14"/>
    <col min="12" max="12" width="26" style="14" customWidth="1"/>
    <col min="13" max="13" width="22.140625" style="202" customWidth="1"/>
    <col min="14" max="14" width="12.140625" style="14" customWidth="1"/>
    <col min="15" max="15" width="16.5703125" style="14" customWidth="1"/>
    <col min="16" max="16" width="21.140625" style="14" customWidth="1"/>
    <col min="17" max="17" width="27.140625" style="14" customWidth="1"/>
    <col min="18" max="18" width="0.140625" style="14" customWidth="1"/>
    <col min="19" max="19" width="0.85546875" style="14" customWidth="1"/>
    <col min="20" max="20" width="7.85546875" style="14" customWidth="1"/>
    <col min="21" max="21" width="24" style="14" customWidth="1"/>
    <col min="22" max="22" width="4.5703125" style="14" customWidth="1"/>
    <col min="23" max="23" width="18.42578125" style="14" customWidth="1"/>
    <col min="24" max="24" width="8.140625" style="14" customWidth="1"/>
    <col min="25" max="25" width="9.85546875" style="14" customWidth="1"/>
    <col min="26" max="26" width="14.42578125" style="14" customWidth="1"/>
    <col min="27" max="27" width="7.5703125" style="14" customWidth="1"/>
    <col min="28" max="28" width="17.85546875" style="14" customWidth="1"/>
    <col min="29" max="29" width="18.42578125" style="14" customWidth="1"/>
    <col min="30" max="30" width="3" style="14" customWidth="1"/>
    <col min="31" max="31" width="4.42578125" style="14" customWidth="1"/>
    <col min="32" max="34" width="9.140625" style="14"/>
    <col min="35" max="35" width="9.140625" style="14" customWidth="1"/>
    <col min="36" max="37" width="9.140625" style="14" hidden="1" customWidth="1"/>
    <col min="38" max="16384" width="9.140625" style="14"/>
  </cols>
  <sheetData>
    <row r="1" spans="1:65" s="17" customFormat="1" ht="12.6">
      <c r="B1" s="160" t="s">
        <v>1059</v>
      </c>
      <c r="C1" s="1022">
        <f>FORM!I20</f>
        <v>45901</v>
      </c>
      <c r="D1" s="1023"/>
      <c r="E1" s="86"/>
      <c r="F1" s="132" t="s">
        <v>1172</v>
      </c>
      <c r="G1" s="1641" t="s">
        <v>1283</v>
      </c>
      <c r="H1" s="1641"/>
      <c r="I1" s="1641"/>
      <c r="J1" s="15"/>
      <c r="K1" s="573" t="s">
        <v>1059</v>
      </c>
      <c r="L1" s="1864">
        <f>C1</f>
        <v>45901</v>
      </c>
      <c r="M1" s="1865"/>
      <c r="O1" s="574"/>
      <c r="P1" s="575" t="s">
        <v>1173</v>
      </c>
      <c r="Q1" s="1866" t="s">
        <v>1284</v>
      </c>
      <c r="S1" s="1704" t="s">
        <v>1059</v>
      </c>
      <c r="T1" s="1704"/>
      <c r="U1" s="1867">
        <f>L1</f>
        <v>45901</v>
      </c>
      <c r="V1" s="1867"/>
      <c r="W1" s="1868"/>
      <c r="Y1" s="574"/>
      <c r="Z1" s="1679" t="s">
        <v>1173</v>
      </c>
      <c r="AA1" s="1679"/>
      <c r="AB1" s="1867" t="s">
        <v>1285</v>
      </c>
      <c r="AC1" s="1867"/>
      <c r="AD1" s="1867"/>
    </row>
    <row r="2" spans="1:65" s="17" customFormat="1" ht="7.5" customHeight="1">
      <c r="B2" s="86"/>
      <c r="C2" s="87"/>
      <c r="D2" s="87"/>
      <c r="E2" s="86"/>
      <c r="F2" s="86"/>
      <c r="G2" s="86"/>
      <c r="H2" s="86"/>
      <c r="I2" s="86"/>
      <c r="K2" s="190"/>
      <c r="L2" s="190"/>
      <c r="M2" s="190"/>
      <c r="N2" s="190"/>
      <c r="O2" s="190"/>
      <c r="P2" s="190"/>
      <c r="Q2" s="190"/>
    </row>
    <row r="3" spans="1:65" s="17" customFormat="1" ht="14.25" customHeight="1">
      <c r="B3" s="1447" t="s">
        <v>1298</v>
      </c>
      <c r="C3" s="1447"/>
      <c r="D3" s="1447"/>
      <c r="E3" s="1447"/>
      <c r="F3" s="1447"/>
      <c r="G3" s="1447"/>
      <c r="H3" s="1447"/>
      <c r="I3" s="1447"/>
      <c r="J3" s="191"/>
      <c r="K3" s="1705" t="s">
        <v>1065</v>
      </c>
      <c r="L3" s="1705"/>
      <c r="M3" s="1705"/>
      <c r="N3" s="1705"/>
      <c r="O3" s="1705"/>
      <c r="P3" s="1705"/>
      <c r="Q3" s="1705"/>
      <c r="S3" s="1705" t="s">
        <v>1287</v>
      </c>
      <c r="T3" s="1705"/>
      <c r="U3" s="1705"/>
      <c r="V3" s="1705"/>
      <c r="W3" s="1705"/>
      <c r="X3" s="1705"/>
      <c r="Y3" s="1705"/>
      <c r="Z3" s="1705"/>
      <c r="AA3" s="1705"/>
      <c r="AB3" s="1705"/>
      <c r="AC3" s="1705"/>
      <c r="AD3" s="1705"/>
    </row>
    <row r="4" spans="1:65" s="17" customFormat="1" ht="12.75" customHeight="1">
      <c r="B4" s="1447"/>
      <c r="C4" s="1447"/>
      <c r="D4" s="1447"/>
      <c r="E4" s="1447"/>
      <c r="F4" s="1447"/>
      <c r="G4" s="1447"/>
      <c r="H4" s="1447"/>
      <c r="I4" s="1447"/>
      <c r="J4" s="191"/>
      <c r="K4" s="1705"/>
      <c r="L4" s="1705"/>
      <c r="M4" s="1705"/>
      <c r="N4" s="1705"/>
      <c r="O4" s="1705"/>
      <c r="P4" s="1705"/>
      <c r="Q4" s="1705"/>
      <c r="S4" s="1705"/>
      <c r="T4" s="1705"/>
      <c r="U4" s="1705"/>
      <c r="V4" s="1705"/>
      <c r="W4" s="1705"/>
      <c r="X4" s="1705"/>
      <c r="Y4" s="1705"/>
      <c r="Z4" s="1705"/>
      <c r="AA4" s="1705"/>
      <c r="AB4" s="1705"/>
      <c r="AC4" s="1705"/>
      <c r="AD4" s="1705"/>
    </row>
    <row r="5" spans="1:65" s="17" customFormat="1" ht="12.75" customHeight="1">
      <c r="B5" s="174"/>
      <c r="C5" s="174"/>
      <c r="D5" s="207"/>
      <c r="E5" s="97"/>
      <c r="F5" s="97"/>
      <c r="G5" s="97"/>
      <c r="H5" s="97"/>
      <c r="I5" s="97"/>
      <c r="J5" s="192"/>
      <c r="K5" s="193"/>
      <c r="L5" s="194"/>
      <c r="M5" s="195"/>
      <c r="N5" s="194"/>
      <c r="O5" s="194"/>
      <c r="P5" s="194"/>
      <c r="Q5" s="195"/>
    </row>
    <row r="6" spans="1:65" s="16" customFormat="1" ht="12.6">
      <c r="A6" s="1869"/>
      <c r="B6" s="225" t="s">
        <v>1066</v>
      </c>
      <c r="C6" s="226"/>
      <c r="D6" s="1027" t="s">
        <v>1015</v>
      </c>
      <c r="E6" s="1642" t="str">
        <f>FORM!I26</f>
        <v>buyer</v>
      </c>
      <c r="F6" s="1643"/>
      <c r="G6" s="1643"/>
      <c r="H6" s="1643"/>
      <c r="I6" s="1644"/>
      <c r="J6" s="4"/>
      <c r="K6" s="196" t="s">
        <v>1066</v>
      </c>
      <c r="L6" s="197"/>
      <c r="M6" s="1065" t="s">
        <v>1015</v>
      </c>
      <c r="N6" s="1678" t="str">
        <f>E6</f>
        <v>buyer</v>
      </c>
      <c r="O6" s="1678"/>
      <c r="P6" s="1678"/>
      <c r="Q6" s="1678"/>
      <c r="R6" s="1870"/>
      <c r="S6" s="196" t="s">
        <v>1066</v>
      </c>
      <c r="T6" s="196"/>
      <c r="U6" s="196"/>
      <c r="V6" s="196"/>
      <c r="W6" s="1871" t="s">
        <v>1015</v>
      </c>
      <c r="X6" s="1872" t="str">
        <f t="shared" ref="X6:X13" si="0">N6</f>
        <v>buyer</v>
      </c>
      <c r="Y6" s="1873"/>
      <c r="Z6" s="1873"/>
      <c r="AA6" s="1873"/>
      <c r="AB6" s="1873"/>
      <c r="AC6" s="1873"/>
      <c r="AD6" s="1874"/>
      <c r="AE6" s="1870"/>
      <c r="AF6" s="1870"/>
      <c r="AG6" s="1870"/>
      <c r="AH6" s="1870"/>
      <c r="AI6" s="1870"/>
      <c r="AJ6" s="1870"/>
      <c r="AK6" s="1870"/>
      <c r="AL6" s="1870"/>
      <c r="AM6" s="1870"/>
      <c r="AN6" s="1870"/>
      <c r="AO6" s="1870"/>
      <c r="AP6" s="1870"/>
      <c r="AQ6" s="1870"/>
      <c r="AR6" s="1870"/>
      <c r="AS6" s="1870"/>
      <c r="AT6" s="1870"/>
      <c r="AU6" s="1870"/>
      <c r="AV6" s="1870"/>
      <c r="AW6" s="1870"/>
      <c r="AX6" s="1870"/>
      <c r="AY6" s="1875"/>
      <c r="AZ6" s="1870"/>
      <c r="BA6" s="1870"/>
      <c r="BB6" s="1870"/>
      <c r="BC6" s="1870"/>
      <c r="BD6" s="1870"/>
      <c r="BE6" s="1870"/>
      <c r="BF6" s="1870"/>
      <c r="BG6" s="1870"/>
      <c r="BH6" s="1870"/>
      <c r="BI6" s="1870"/>
      <c r="BJ6" s="1870"/>
      <c r="BK6" s="1870"/>
      <c r="BL6" s="1876"/>
      <c r="BM6" s="1877"/>
    </row>
    <row r="7" spans="1:65" s="16" customFormat="1" ht="12.6">
      <c r="A7" s="1869"/>
      <c r="B7" s="144" t="s">
        <v>1014</v>
      </c>
      <c r="C7" s="227"/>
      <c r="D7" s="1027" t="s">
        <v>1015</v>
      </c>
      <c r="E7" s="1646" t="str">
        <f>FORM!I11</f>
        <v>The Southprime Flats</v>
      </c>
      <c r="F7" s="1647"/>
      <c r="G7" s="1028" t="str">
        <f>FORM!I14</f>
        <v>B3</v>
      </c>
      <c r="H7" s="1028"/>
      <c r="I7" s="1029"/>
      <c r="J7" s="4"/>
      <c r="K7" s="198" t="s">
        <v>1014</v>
      </c>
      <c r="L7" s="199"/>
      <c r="M7" s="1065" t="s">
        <v>1015</v>
      </c>
      <c r="N7" s="1678" t="str">
        <f>E7</f>
        <v>The Southprime Flats</v>
      </c>
      <c r="O7" s="1678"/>
      <c r="P7" s="1678"/>
      <c r="Q7" s="1678"/>
      <c r="R7" s="1870"/>
      <c r="S7" s="196" t="s">
        <v>1014</v>
      </c>
      <c r="T7" s="196"/>
      <c r="U7" s="196"/>
      <c r="V7" s="196"/>
      <c r="W7" s="1871" t="s">
        <v>1015</v>
      </c>
      <c r="X7" s="1872" t="str">
        <f t="shared" si="0"/>
        <v>The Southprime Flats</v>
      </c>
      <c r="Y7" s="1873"/>
      <c r="Z7" s="1873"/>
      <c r="AA7" s="1873"/>
      <c r="AB7" s="1873"/>
      <c r="AC7" s="1873"/>
      <c r="AD7" s="1874"/>
      <c r="AE7" s="1870"/>
      <c r="AF7" s="1870"/>
      <c r="AG7" s="1870"/>
      <c r="AH7" s="1870"/>
      <c r="AI7" s="1870"/>
      <c r="AJ7" s="1870"/>
      <c r="AK7" s="1870"/>
      <c r="AL7" s="1870"/>
      <c r="AM7" s="1870"/>
      <c r="AN7" s="1870"/>
      <c r="AO7" s="1870"/>
      <c r="AP7" s="1870"/>
      <c r="AQ7" s="1870"/>
      <c r="AR7" s="1870"/>
      <c r="AS7" s="1870"/>
      <c r="AT7" s="1870"/>
      <c r="AU7" s="1870"/>
      <c r="AV7" s="1870"/>
      <c r="AW7" s="1870"/>
      <c r="AX7" s="1870"/>
      <c r="AY7" s="1875"/>
      <c r="AZ7" s="1870"/>
      <c r="BA7" s="1870"/>
      <c r="BB7" s="1870"/>
      <c r="BC7" s="1870"/>
      <c r="BD7" s="1870"/>
      <c r="BE7" s="1870"/>
      <c r="BF7" s="1870"/>
      <c r="BG7" s="1870"/>
      <c r="BH7" s="1870"/>
      <c r="BI7" s="1870"/>
      <c r="BJ7" s="1870"/>
      <c r="BK7" s="1870"/>
      <c r="BL7" s="1876"/>
      <c r="BM7" s="1877"/>
    </row>
    <row r="8" spans="1:65" s="16" customFormat="1" ht="12.6">
      <c r="A8" s="1869"/>
      <c r="B8" s="144" t="s">
        <v>1068</v>
      </c>
      <c r="C8" s="227"/>
      <c r="D8" s="1027" t="s">
        <v>1015</v>
      </c>
      <c r="E8" s="1642" t="str">
        <f>'STANDARD COMP.'!E8</f>
        <v>E-11K</v>
      </c>
      <c r="F8" s="1643"/>
      <c r="G8" s="1643"/>
      <c r="H8" s="1643"/>
      <c r="I8" s="1644"/>
      <c r="J8" s="4"/>
      <c r="K8" s="198" t="s">
        <v>1068</v>
      </c>
      <c r="L8" s="199"/>
      <c r="M8" s="1065" t="s">
        <v>1015</v>
      </c>
      <c r="N8" s="1678" t="str">
        <f>E8</f>
        <v>E-11K</v>
      </c>
      <c r="O8" s="1678"/>
      <c r="P8" s="1678"/>
      <c r="Q8" s="1678"/>
      <c r="R8" s="1870"/>
      <c r="S8" s="196" t="s">
        <v>1068</v>
      </c>
      <c r="T8" s="196"/>
      <c r="U8" s="196"/>
      <c r="V8" s="196"/>
      <c r="W8" s="1871" t="s">
        <v>1015</v>
      </c>
      <c r="X8" s="1872" t="str">
        <f t="shared" si="0"/>
        <v>E-11K</v>
      </c>
      <c r="Y8" s="1873"/>
      <c r="Z8" s="1873"/>
      <c r="AA8" s="1873"/>
      <c r="AB8" s="1873"/>
      <c r="AC8" s="1873"/>
      <c r="AD8" s="1874"/>
      <c r="AE8" s="1870"/>
      <c r="AF8" s="1870"/>
      <c r="AG8" s="1870"/>
      <c r="AH8" s="1870"/>
      <c r="AI8" s="1870"/>
      <c r="AJ8" s="1870"/>
      <c r="AK8" s="1870"/>
      <c r="AL8" s="1870"/>
      <c r="AM8" s="1870"/>
      <c r="AN8" s="1870"/>
      <c r="AO8" s="1870"/>
      <c r="AP8" s="1870"/>
      <c r="AQ8" s="1870"/>
      <c r="AR8" s="1870"/>
      <c r="AS8" s="1870"/>
      <c r="AT8" s="1870"/>
      <c r="AU8" s="1870"/>
      <c r="AV8" s="1870"/>
      <c r="AW8" s="1870"/>
      <c r="AX8" s="1870"/>
      <c r="AY8" s="1875"/>
      <c r="AZ8" s="1870"/>
      <c r="BA8" s="1870"/>
      <c r="BB8" s="1870"/>
      <c r="BC8" s="1870"/>
      <c r="BD8" s="1870"/>
      <c r="BE8" s="1870"/>
      <c r="BF8" s="1870"/>
      <c r="BG8" s="1870"/>
      <c r="BH8" s="1870"/>
      <c r="BI8" s="1870"/>
      <c r="BJ8" s="1870"/>
      <c r="BK8" s="1870"/>
      <c r="BL8" s="1876"/>
      <c r="BM8" s="1877"/>
    </row>
    <row r="9" spans="1:65" s="16" customFormat="1" ht="12.6" hidden="1">
      <c r="A9" s="1869"/>
      <c r="B9" s="144" t="s">
        <v>1070</v>
      </c>
      <c r="C9" s="227"/>
      <c r="D9" s="1027" t="s">
        <v>1015</v>
      </c>
      <c r="E9" s="1642" t="e">
        <f>FORM!#REF!</f>
        <v>#REF!</v>
      </c>
      <c r="F9" s="1643"/>
      <c r="G9" s="1643"/>
      <c r="H9" s="1643"/>
      <c r="I9" s="1644"/>
      <c r="J9" s="4"/>
      <c r="K9" s="198" t="s">
        <v>1070</v>
      </c>
      <c r="L9" s="199"/>
      <c r="M9" s="1065" t="s">
        <v>1015</v>
      </c>
      <c r="N9" s="1678" t="e">
        <f>FORM!#REF!</f>
        <v>#REF!</v>
      </c>
      <c r="O9" s="1678"/>
      <c r="P9" s="1678"/>
      <c r="Q9" s="1678"/>
      <c r="R9" s="1870"/>
      <c r="S9" s="196" t="s">
        <v>1070</v>
      </c>
      <c r="T9" s="196"/>
      <c r="U9" s="196"/>
      <c r="V9" s="196"/>
      <c r="W9" s="1871" t="s">
        <v>1015</v>
      </c>
      <c r="X9" s="1872" t="e">
        <f t="shared" si="0"/>
        <v>#REF!</v>
      </c>
      <c r="Y9" s="1873"/>
      <c r="Z9" s="1873"/>
      <c r="AA9" s="1873"/>
      <c r="AB9" s="1873"/>
      <c r="AC9" s="1873"/>
      <c r="AD9" s="1874"/>
      <c r="AE9" s="1870"/>
      <c r="AF9" s="1870"/>
      <c r="AG9" s="1870"/>
      <c r="AH9" s="1870"/>
      <c r="AI9" s="1870"/>
      <c r="AJ9" s="1870"/>
      <c r="AK9" s="1870"/>
      <c r="AL9" s="1870"/>
      <c r="AM9" s="1870"/>
      <c r="AN9" s="1870"/>
      <c r="AO9" s="1870"/>
      <c r="AP9" s="1870"/>
      <c r="AQ9" s="1870"/>
      <c r="AR9" s="1870"/>
      <c r="AS9" s="1870"/>
      <c r="AT9" s="1870"/>
      <c r="AU9" s="1870"/>
      <c r="AV9" s="1870"/>
      <c r="AW9" s="1870"/>
      <c r="AX9" s="1870"/>
      <c r="AY9" s="1875"/>
      <c r="AZ9" s="1870"/>
      <c r="BA9" s="1870"/>
      <c r="BB9" s="1870"/>
      <c r="BC9" s="1870"/>
      <c r="BD9" s="1870"/>
      <c r="BE9" s="1870"/>
      <c r="BF9" s="1870"/>
      <c r="BG9" s="1870"/>
      <c r="BH9" s="1870"/>
      <c r="BI9" s="1870"/>
      <c r="BJ9" s="1870"/>
      <c r="BK9" s="1870"/>
      <c r="BL9" s="1876"/>
      <c r="BM9" s="1877"/>
    </row>
    <row r="10" spans="1:65" s="16" customFormat="1" ht="12.6">
      <c r="A10" s="1869"/>
      <c r="B10" s="144" t="s">
        <v>1071</v>
      </c>
      <c r="C10" s="227"/>
      <c r="D10" s="1027" t="s">
        <v>1015</v>
      </c>
      <c r="E10" s="1642" t="str">
        <f>'STANDARD COMP.'!E10</f>
        <v>Studio</v>
      </c>
      <c r="F10" s="1643"/>
      <c r="G10" s="1643"/>
      <c r="H10" s="1643"/>
      <c r="I10" s="1644"/>
      <c r="J10" s="4"/>
      <c r="K10" s="198" t="s">
        <v>1071</v>
      </c>
      <c r="L10" s="199"/>
      <c r="M10" s="1065" t="s">
        <v>1015</v>
      </c>
      <c r="N10" s="1678" t="str">
        <f>E10</f>
        <v>Studio</v>
      </c>
      <c r="O10" s="1678"/>
      <c r="P10" s="1678"/>
      <c r="Q10" s="1678"/>
      <c r="R10" s="1870"/>
      <c r="S10" s="196" t="s">
        <v>1071</v>
      </c>
      <c r="T10" s="196"/>
      <c r="U10" s="196"/>
      <c r="V10" s="196"/>
      <c r="W10" s="1871" t="s">
        <v>1015</v>
      </c>
      <c r="X10" s="1872" t="str">
        <f t="shared" si="0"/>
        <v>Studio</v>
      </c>
      <c r="Y10" s="1873"/>
      <c r="Z10" s="1873"/>
      <c r="AA10" s="1873"/>
      <c r="AB10" s="1873"/>
      <c r="AC10" s="1873"/>
      <c r="AD10" s="1874"/>
      <c r="AE10" s="1870"/>
      <c r="AF10" s="1870"/>
      <c r="AG10" s="1870"/>
      <c r="AH10" s="1870"/>
      <c r="AI10" s="1870"/>
      <c r="AJ10" s="1870"/>
      <c r="AK10" s="1870"/>
      <c r="AL10" s="1870"/>
      <c r="AM10" s="1870"/>
      <c r="AN10" s="1870"/>
      <c r="AO10" s="1870"/>
      <c r="AP10" s="1870"/>
      <c r="AQ10" s="1870"/>
      <c r="AR10" s="1870"/>
      <c r="AS10" s="1870"/>
      <c r="AT10" s="1870"/>
      <c r="AU10" s="1870"/>
      <c r="AV10" s="1870"/>
      <c r="AW10" s="1870"/>
      <c r="AX10" s="1870"/>
      <c r="AY10" s="1875"/>
      <c r="AZ10" s="1870"/>
      <c r="BA10" s="1870"/>
      <c r="BB10" s="1870"/>
      <c r="BC10" s="1870"/>
      <c r="BD10" s="1870"/>
      <c r="BE10" s="1870"/>
      <c r="BF10" s="1870"/>
      <c r="BG10" s="1870"/>
      <c r="BH10" s="1870"/>
      <c r="BI10" s="1870"/>
      <c r="BJ10" s="1870"/>
      <c r="BK10" s="1870"/>
      <c r="BL10" s="1876"/>
      <c r="BM10" s="1877"/>
    </row>
    <row r="11" spans="1:65" s="16" customFormat="1" ht="12.6">
      <c r="A11" s="1869"/>
      <c r="B11" s="144" t="s">
        <v>1072</v>
      </c>
      <c r="C11" s="227"/>
      <c r="D11" s="1027" t="s">
        <v>1015</v>
      </c>
      <c r="E11" s="1648">
        <f>'STANDARD COMP.'!E11:F11</f>
        <v>22</v>
      </c>
      <c r="F11" s="1649"/>
      <c r="G11" s="1650" t="s">
        <v>1073</v>
      </c>
      <c r="H11" s="1650"/>
      <c r="I11" s="1651"/>
      <c r="J11" s="4"/>
      <c r="K11" s="198" t="s">
        <v>1072</v>
      </c>
      <c r="L11" s="199"/>
      <c r="M11" s="1065" t="s">
        <v>1015</v>
      </c>
      <c r="N11" s="1878">
        <f>E11</f>
        <v>22</v>
      </c>
      <c r="O11" s="1879"/>
      <c r="P11" s="1880" t="s">
        <v>1073</v>
      </c>
      <c r="Q11" s="1881"/>
      <c r="R11" s="1870"/>
      <c r="S11" s="196" t="s">
        <v>1072</v>
      </c>
      <c r="T11" s="196"/>
      <c r="U11" s="196"/>
      <c r="V11" s="196"/>
      <c r="W11" s="1871" t="s">
        <v>1015</v>
      </c>
      <c r="X11" s="1878">
        <f t="shared" si="0"/>
        <v>22</v>
      </c>
      <c r="Y11" s="1882"/>
      <c r="Z11" s="1883" t="s">
        <v>1073</v>
      </c>
      <c r="AA11" s="1883"/>
      <c r="AB11" s="1884"/>
      <c r="AC11" s="1884"/>
      <c r="AD11" s="1885"/>
      <c r="AE11" s="1870"/>
      <c r="AF11" s="1870"/>
      <c r="AG11" s="1870"/>
      <c r="AH11" s="1870"/>
      <c r="AI11" s="1870"/>
      <c r="AJ11" s="1870"/>
      <c r="AK11" s="1870"/>
      <c r="AL11" s="1870"/>
      <c r="AM11" s="1870"/>
      <c r="AN11" s="1870"/>
      <c r="AO11" s="1870"/>
      <c r="AP11" s="1870"/>
      <c r="AQ11" s="1870"/>
      <c r="AR11" s="1870"/>
      <c r="AS11" s="1870"/>
      <c r="AT11" s="1870"/>
      <c r="AU11" s="1870"/>
      <c r="AV11" s="1870"/>
      <c r="AW11" s="1870"/>
      <c r="AX11" s="1870"/>
      <c r="AY11" s="1875"/>
      <c r="AZ11" s="1870"/>
      <c r="BA11" s="1870"/>
      <c r="BB11" s="1870"/>
      <c r="BC11" s="1870"/>
      <c r="BD11" s="1870"/>
      <c r="BE11" s="1870"/>
      <c r="BF11" s="1870"/>
      <c r="BG11" s="1870"/>
      <c r="BH11" s="1870"/>
      <c r="BI11" s="1870"/>
      <c r="BJ11" s="1870"/>
      <c r="BK11" s="1870"/>
      <c r="BL11" s="1876"/>
      <c r="BM11" s="1877"/>
    </row>
    <row r="12" spans="1:65" s="16" customFormat="1" ht="12.6">
      <c r="A12" s="1869"/>
      <c r="B12" s="148" t="s">
        <v>1074</v>
      </c>
      <c r="C12" s="227"/>
      <c r="D12" s="1027" t="s">
        <v>1015</v>
      </c>
      <c r="E12" s="1652">
        <f>'STANDARD COMP.'!E12:F12</f>
        <v>0</v>
      </c>
      <c r="F12" s="1653"/>
      <c r="G12" s="1650" t="s">
        <v>1073</v>
      </c>
      <c r="H12" s="1650"/>
      <c r="I12" s="1651"/>
      <c r="J12" s="4"/>
      <c r="K12" s="199" t="s">
        <v>1074</v>
      </c>
      <c r="L12" s="199"/>
      <c r="M12" s="1065" t="s">
        <v>1015</v>
      </c>
      <c r="N12" s="1886">
        <f>E12</f>
        <v>0</v>
      </c>
      <c r="O12" s="1887"/>
      <c r="P12" s="1880" t="s">
        <v>1073</v>
      </c>
      <c r="Q12" s="1881"/>
      <c r="R12" s="1870"/>
      <c r="S12" s="196" t="s">
        <v>1074</v>
      </c>
      <c r="T12" s="196"/>
      <c r="U12" s="196"/>
      <c r="V12" s="196"/>
      <c r="W12" s="1871" t="s">
        <v>1015</v>
      </c>
      <c r="X12" s="1878">
        <f t="shared" si="0"/>
        <v>0</v>
      </c>
      <c r="Y12" s="1882"/>
      <c r="Z12" s="1883" t="s">
        <v>1073</v>
      </c>
      <c r="AA12" s="1883"/>
      <c r="AB12" s="1884"/>
      <c r="AC12" s="1884"/>
      <c r="AD12" s="1885"/>
      <c r="AE12" s="1870"/>
      <c r="AF12" s="1870"/>
      <c r="AG12" s="1870"/>
      <c r="AH12" s="1870"/>
      <c r="AI12" s="1870"/>
      <c r="AJ12" s="1870"/>
      <c r="AK12" s="1870"/>
      <c r="AL12" s="1870"/>
      <c r="AM12" s="1870"/>
      <c r="AN12" s="1870"/>
      <c r="AO12" s="1870"/>
      <c r="AP12" s="1870"/>
      <c r="AQ12" s="1870"/>
      <c r="AR12" s="1870"/>
      <c r="AS12" s="1870"/>
      <c r="AT12" s="1870"/>
      <c r="AU12" s="1870"/>
      <c r="AV12" s="1870"/>
      <c r="AW12" s="1870"/>
      <c r="AX12" s="1870"/>
      <c r="AY12" s="1875"/>
      <c r="AZ12" s="1870"/>
      <c r="BA12" s="1870"/>
      <c r="BB12" s="1870"/>
      <c r="BC12" s="1870"/>
      <c r="BD12" s="1870"/>
      <c r="BE12" s="1870"/>
      <c r="BF12" s="1870"/>
      <c r="BG12" s="1870"/>
      <c r="BH12" s="1870"/>
      <c r="BI12" s="1870"/>
      <c r="BJ12" s="1870"/>
      <c r="BK12" s="1870"/>
      <c r="BL12" s="1876"/>
      <c r="BM12" s="1877"/>
    </row>
    <row r="13" spans="1:65" s="16" customFormat="1" ht="12.6">
      <c r="A13" s="1869"/>
      <c r="B13" s="238" t="s">
        <v>1075</v>
      </c>
      <c r="C13" s="101"/>
      <c r="D13" s="1027" t="s">
        <v>1015</v>
      </c>
      <c r="E13" s="1652">
        <f>'STANDARD COMP.'!E13:F13</f>
        <v>22</v>
      </c>
      <c r="F13" s="1653"/>
      <c r="G13" s="1650" t="s">
        <v>1073</v>
      </c>
      <c r="H13" s="1650"/>
      <c r="I13" s="1651"/>
      <c r="J13" s="4"/>
      <c r="K13" s="200" t="s">
        <v>1075</v>
      </c>
      <c r="L13" s="201"/>
      <c r="M13" s="1065" t="s">
        <v>1015</v>
      </c>
      <c r="N13" s="1886">
        <f>E13</f>
        <v>22</v>
      </c>
      <c r="O13" s="1887"/>
      <c r="P13" s="1880" t="s">
        <v>1073</v>
      </c>
      <c r="Q13" s="1881"/>
      <c r="R13" s="1870"/>
      <c r="S13" s="196" t="s">
        <v>1075</v>
      </c>
      <c r="T13" s="196"/>
      <c r="U13" s="196"/>
      <c r="V13" s="196"/>
      <c r="W13" s="1871" t="s">
        <v>1015</v>
      </c>
      <c r="X13" s="1878">
        <f t="shared" si="0"/>
        <v>22</v>
      </c>
      <c r="Y13" s="1882"/>
      <c r="Z13" s="1883" t="s">
        <v>1073</v>
      </c>
      <c r="AA13" s="1883"/>
      <c r="AB13" s="1884"/>
      <c r="AC13" s="1884"/>
      <c r="AD13" s="1885"/>
      <c r="AE13" s="1870"/>
      <c r="AF13" s="1870"/>
      <c r="AG13" s="1870"/>
      <c r="AH13" s="1870"/>
      <c r="AI13" s="1870"/>
      <c r="AJ13" s="1870"/>
      <c r="AK13" s="1870"/>
      <c r="AL13" s="1870"/>
      <c r="AM13" s="1870"/>
      <c r="AN13" s="1870"/>
      <c r="AO13" s="1870"/>
      <c r="AP13" s="1870"/>
      <c r="AQ13" s="1870"/>
      <c r="AR13" s="1870"/>
      <c r="AS13" s="1870"/>
      <c r="AT13" s="1870"/>
      <c r="AU13" s="1870"/>
      <c r="AV13" s="1870"/>
      <c r="AW13" s="1870"/>
      <c r="AX13" s="1870"/>
      <c r="AY13" s="1875"/>
      <c r="AZ13" s="1870"/>
      <c r="BA13" s="1870"/>
      <c r="BB13" s="1870"/>
      <c r="BC13" s="1870"/>
      <c r="BD13" s="1870"/>
      <c r="BE13" s="1870"/>
      <c r="BF13" s="1870"/>
      <c r="BG13" s="1870"/>
      <c r="BH13" s="1870"/>
      <c r="BI13" s="1870"/>
      <c r="BJ13" s="1870"/>
      <c r="BK13" s="1870"/>
      <c r="BL13" s="1876"/>
      <c r="BM13" s="1877"/>
    </row>
    <row r="14" spans="1:65" s="16" customFormat="1" ht="12.6">
      <c r="A14" s="1870"/>
      <c r="B14" s="1869"/>
      <c r="C14" s="1869"/>
      <c r="D14" s="1065"/>
      <c r="E14" s="1869"/>
      <c r="F14" s="1869"/>
      <c r="G14" s="1869"/>
      <c r="H14" s="1869"/>
      <c r="I14" s="1869"/>
      <c r="J14" s="1870"/>
      <c r="K14" s="1870"/>
      <c r="L14" s="1870"/>
      <c r="M14" s="1888"/>
      <c r="N14" s="1870"/>
      <c r="O14" s="1870"/>
      <c r="P14" s="1870"/>
      <c r="Q14" s="1870"/>
      <c r="R14" s="1870"/>
      <c r="S14" s="1870"/>
      <c r="T14" s="1870"/>
      <c r="U14" s="1870"/>
      <c r="V14" s="1870"/>
      <c r="W14" s="1870"/>
      <c r="X14" s="1870"/>
      <c r="Y14" s="1870"/>
      <c r="Z14" s="1870"/>
      <c r="AA14" s="1870"/>
      <c r="AB14" s="1870"/>
      <c r="AC14" s="1870"/>
      <c r="AD14" s="1870"/>
      <c r="AE14" s="1870"/>
      <c r="AF14" s="1870"/>
      <c r="AG14" s="1870"/>
      <c r="AH14" s="1870"/>
      <c r="AI14" s="1870"/>
      <c r="AJ14" s="1870"/>
      <c r="AK14" s="1870"/>
      <c r="AL14" s="1870"/>
      <c r="AM14" s="1870"/>
      <c r="AN14" s="1870"/>
      <c r="AO14" s="1870"/>
      <c r="AP14" s="1870"/>
      <c r="AQ14" s="1870"/>
      <c r="AR14" s="1870"/>
      <c r="AS14" s="1870"/>
      <c r="AT14" s="1870"/>
      <c r="AU14" s="1870"/>
      <c r="AV14" s="1870"/>
      <c r="AW14" s="1870"/>
      <c r="AX14" s="1870"/>
      <c r="AY14" s="1870"/>
      <c r="AZ14" s="1870"/>
      <c r="BA14" s="1870"/>
      <c r="BB14" s="1870"/>
      <c r="BC14" s="1870"/>
      <c r="BD14" s="1870"/>
      <c r="BE14" s="1870"/>
      <c r="BF14" s="1870"/>
      <c r="BG14" s="1870"/>
      <c r="BH14" s="1870"/>
      <c r="BI14" s="1870"/>
      <c r="BJ14" s="1870"/>
      <c r="BK14" s="1870"/>
      <c r="BL14" s="1870"/>
      <c r="BM14" s="1870"/>
    </row>
    <row r="15" spans="1:65" s="16" customFormat="1" ht="12.6">
      <c r="A15" s="1870"/>
      <c r="B15" s="533" t="s">
        <v>1078</v>
      </c>
      <c r="C15" s="534"/>
      <c r="D15" s="4" t="s">
        <v>1015</v>
      </c>
      <c r="E15" s="535"/>
      <c r="F15" s="1685">
        <f>'STANDARD COMP.'!F15</f>
        <v>4123028.1810342241</v>
      </c>
      <c r="G15" s="1685"/>
      <c r="H15" s="1685"/>
      <c r="I15" s="1686"/>
      <c r="J15" s="203"/>
      <c r="K15" s="1679" t="s">
        <v>1079</v>
      </c>
      <c r="L15" s="1679"/>
      <c r="M15" s="1696" t="s">
        <v>989</v>
      </c>
      <c r="N15" s="1679" t="s">
        <v>992</v>
      </c>
      <c r="O15" s="1679"/>
      <c r="P15" s="1697" t="s">
        <v>206</v>
      </c>
      <c r="Q15" s="1698"/>
      <c r="R15" s="1870"/>
      <c r="S15" s="1701" t="s">
        <v>1288</v>
      </c>
      <c r="T15" s="1702"/>
      <c r="U15" s="1702"/>
      <c r="V15" s="1702"/>
      <c r="W15" s="1702"/>
      <c r="X15" s="1702"/>
      <c r="Y15" s="1702"/>
      <c r="Z15" s="1702"/>
      <c r="AA15" s="1702"/>
      <c r="AB15" s="1702"/>
      <c r="AC15" s="1702"/>
      <c r="AD15" s="1703"/>
      <c r="AE15" s="1870"/>
      <c r="AF15" s="1870"/>
      <c r="AG15" s="1870"/>
      <c r="AH15" s="1870"/>
      <c r="AI15" s="1870"/>
      <c r="AJ15" s="1870"/>
      <c r="AK15" s="1870"/>
      <c r="AL15" s="1870"/>
      <c r="AM15" s="1870"/>
      <c r="AN15" s="1870"/>
      <c r="AO15" s="1870"/>
      <c r="AP15" s="1870"/>
      <c r="AQ15" s="1870"/>
      <c r="AR15" s="1870"/>
      <c r="AS15" s="1870"/>
      <c r="AT15" s="1870"/>
      <c r="AU15" s="1870"/>
      <c r="AV15" s="1870"/>
      <c r="AW15" s="1870"/>
      <c r="AX15" s="1870"/>
      <c r="AY15" s="1870"/>
      <c r="AZ15" s="1870"/>
      <c r="BA15" s="1870"/>
      <c r="BB15" s="1870"/>
      <c r="BC15" s="1870"/>
      <c r="BD15" s="1870"/>
      <c r="BE15" s="1870"/>
      <c r="BF15" s="1870"/>
      <c r="BG15" s="1870"/>
      <c r="BH15" s="1870"/>
      <c r="BI15" s="1870"/>
      <c r="BJ15" s="1870"/>
      <c r="BK15" s="1870"/>
      <c r="BL15" s="1870"/>
      <c r="BM15" s="1870"/>
    </row>
    <row r="16" spans="1:65" s="203" customFormat="1" ht="12.6">
      <c r="B16" s="1552" t="s">
        <v>1253</v>
      </c>
      <c r="C16" s="1552"/>
      <c r="D16" s="1065" t="s">
        <v>1015</v>
      </c>
      <c r="E16" s="536"/>
      <c r="F16" s="1690">
        <f>(F15-F17)*E25*E16</f>
        <v>0</v>
      </c>
      <c r="G16" s="1690"/>
      <c r="H16" s="1690"/>
      <c r="I16" s="1691"/>
      <c r="J16" s="1870"/>
      <c r="K16" s="1679"/>
      <c r="L16" s="1679"/>
      <c r="M16" s="1696"/>
      <c r="N16" s="1679"/>
      <c r="O16" s="1679"/>
      <c r="P16" s="1699"/>
      <c r="Q16" s="1700"/>
      <c r="S16" s="204" t="s">
        <v>1289</v>
      </c>
      <c r="T16" s="205"/>
      <c r="U16" s="537"/>
      <c r="V16" s="537"/>
      <c r="W16" s="537"/>
      <c r="X16" s="205" t="s">
        <v>1290</v>
      </c>
      <c r="Y16" s="537"/>
      <c r="Z16" s="537"/>
      <c r="AA16" s="537"/>
      <c r="AB16" s="537"/>
      <c r="AC16" s="537"/>
      <c r="AD16" s="538"/>
    </row>
    <row r="17" spans="1:43" s="16" customFormat="1" ht="12.6">
      <c r="A17" s="1870"/>
      <c r="B17" s="144" t="s">
        <v>1080</v>
      </c>
      <c r="C17" s="148"/>
      <c r="D17" s="1065"/>
      <c r="E17" s="539"/>
      <c r="F17" s="540">
        <f>'STANDARD COMP.'!F16:I16</f>
        <v>0</v>
      </c>
      <c r="G17" s="540"/>
      <c r="H17" s="540"/>
      <c r="I17" s="541"/>
      <c r="J17" s="203"/>
      <c r="K17" s="1678" t="s">
        <v>1031</v>
      </c>
      <c r="L17" s="1678"/>
      <c r="M17" s="1889">
        <f>C1</f>
        <v>45901</v>
      </c>
      <c r="N17" s="1717">
        <f>F26</f>
        <v>30000</v>
      </c>
      <c r="O17" s="1717"/>
      <c r="P17" s="1890"/>
      <c r="Q17" s="1891"/>
      <c r="R17" s="1870"/>
      <c r="S17" s="1892"/>
      <c r="T17" s="1893"/>
      <c r="U17" s="1893"/>
      <c r="V17" s="1893"/>
      <c r="W17" s="1893"/>
      <c r="X17" s="1893"/>
      <c r="Y17" s="1893"/>
      <c r="Z17" s="1893"/>
      <c r="AA17" s="1893"/>
      <c r="AB17" s="1893"/>
      <c r="AC17" s="1893"/>
      <c r="AD17" s="1894"/>
      <c r="AE17" s="1870"/>
      <c r="AF17" s="1870"/>
      <c r="AG17" s="1870"/>
      <c r="AH17" s="1870"/>
      <c r="AI17" s="1870"/>
      <c r="AJ17" s="1870"/>
      <c r="AK17" s="1870"/>
      <c r="AL17" s="1870"/>
      <c r="AM17" s="1870"/>
      <c r="AN17" s="1870"/>
      <c r="AO17" s="1870"/>
      <c r="AP17" s="1870"/>
      <c r="AQ17" s="1870"/>
    </row>
    <row r="18" spans="1:43" s="203" customFormat="1" ht="12.6">
      <c r="B18" s="542" t="s">
        <v>1082</v>
      </c>
      <c r="C18" s="543"/>
      <c r="D18" s="4" t="s">
        <v>1015</v>
      </c>
      <c r="E18" s="539"/>
      <c r="F18" s="1684">
        <f>F15-F16-F17</f>
        <v>4123028.1810342241</v>
      </c>
      <c r="G18" s="1685"/>
      <c r="H18" s="1685"/>
      <c r="I18" s="1686"/>
      <c r="J18" s="1870"/>
      <c r="K18" s="1678" t="s">
        <v>1175</v>
      </c>
      <c r="L18" s="1678"/>
      <c r="M18" s="1889">
        <f>'STANDARD COMP.'!M18</f>
        <v>45935</v>
      </c>
      <c r="N18" s="1717"/>
      <c r="O18" s="1717"/>
      <c r="P18" s="1890"/>
      <c r="Q18" s="1891"/>
      <c r="S18" s="1898"/>
      <c r="T18" s="1870"/>
      <c r="U18" s="1870"/>
      <c r="V18" s="1870"/>
      <c r="W18" s="1899" t="s">
        <v>1291</v>
      </c>
      <c r="X18" s="1900"/>
      <c r="Y18" s="1900"/>
      <c r="Z18" s="1900"/>
      <c r="AA18" s="1900"/>
      <c r="AB18" s="1900"/>
      <c r="AC18" s="1900"/>
      <c r="AD18" s="1901"/>
      <c r="AJ18" s="544"/>
      <c r="AK18" s="544"/>
    </row>
    <row r="19" spans="1:43" s="16" customFormat="1" ht="12.95">
      <c r="A19" s="1870"/>
      <c r="B19" s="545"/>
      <c r="C19" s="1869"/>
      <c r="D19" s="1065"/>
      <c r="E19" s="1895"/>
      <c r="F19" s="1896"/>
      <c r="G19" s="1896"/>
      <c r="H19" s="1896"/>
      <c r="I19" s="1897"/>
      <c r="J19" s="1870"/>
      <c r="K19" s="1678" t="s">
        <v>1088</v>
      </c>
      <c r="L19" s="1678"/>
      <c r="M19" s="1889">
        <f>'STANDARD COMP.'!M19</f>
        <v>45966</v>
      </c>
      <c r="N19" s="1717"/>
      <c r="O19" s="1717"/>
      <c r="P19" s="1890"/>
      <c r="Q19" s="1891"/>
      <c r="R19" s="1870"/>
      <c r="S19" s="1898"/>
      <c r="T19" s="1870"/>
      <c r="U19" s="1870"/>
      <c r="V19" s="1870"/>
      <c r="W19" s="1899"/>
      <c r="X19" s="546"/>
      <c r="Y19" s="546"/>
      <c r="Z19" s="546"/>
      <c r="AA19" s="546"/>
      <c r="AB19" s="1900"/>
      <c r="AC19" s="546"/>
      <c r="AD19" s="1901"/>
      <c r="AE19" s="1870"/>
      <c r="AF19" s="1870"/>
      <c r="AG19" s="1870"/>
      <c r="AH19" s="1870"/>
      <c r="AI19" s="1870"/>
      <c r="AJ19" s="1680" t="s">
        <v>1084</v>
      </c>
      <c r="AK19" s="1680"/>
      <c r="AL19" s="1870"/>
      <c r="AM19" s="1870"/>
      <c r="AN19" s="1870"/>
      <c r="AO19" s="1870"/>
      <c r="AP19" s="1678"/>
      <c r="AQ19" s="1678"/>
    </row>
    <row r="20" spans="1:43" s="16" customFormat="1" ht="12.95">
      <c r="A20" s="1870"/>
      <c r="B20" s="199" t="s">
        <v>1087</v>
      </c>
      <c r="C20" s="199"/>
      <c r="D20" s="1065" t="s">
        <v>1015</v>
      </c>
      <c r="E20" s="1902">
        <v>0.12</v>
      </c>
      <c r="F20" s="1689"/>
      <c r="G20" s="1690"/>
      <c r="H20" s="1690"/>
      <c r="I20" s="1691"/>
      <c r="J20" s="1870"/>
      <c r="K20" s="1678" t="s">
        <v>1091</v>
      </c>
      <c r="L20" s="1678"/>
      <c r="M20" s="1889">
        <f>'STANDARD COMP.'!M20</f>
        <v>45996</v>
      </c>
      <c r="N20" s="1717"/>
      <c r="O20" s="1717"/>
      <c r="P20" s="1890"/>
      <c r="Q20" s="1891"/>
      <c r="R20" s="1870"/>
      <c r="S20" s="1898"/>
      <c r="T20" s="1904"/>
      <c r="U20" s="1904"/>
      <c r="V20" s="1870"/>
      <c r="W20" s="1870" t="s">
        <v>1292</v>
      </c>
      <c r="X20" s="1900"/>
      <c r="Y20" s="1900"/>
      <c r="Z20" s="1900"/>
      <c r="AA20" s="1900"/>
      <c r="AB20" s="1900"/>
      <c r="AC20" s="1900"/>
      <c r="AD20" s="1901"/>
      <c r="AE20" s="1870"/>
      <c r="AF20" s="1870"/>
      <c r="AG20" s="1870"/>
      <c r="AH20" s="1870"/>
      <c r="AI20" s="1870"/>
      <c r="AJ20" s="1680" t="s">
        <v>1088</v>
      </c>
      <c r="AK20" s="1680"/>
      <c r="AL20" s="1870" t="s">
        <v>60</v>
      </c>
      <c r="AM20" s="1870"/>
      <c r="AN20" s="1870"/>
      <c r="AO20" s="1870"/>
      <c r="AP20" s="1678"/>
      <c r="AQ20" s="1678"/>
    </row>
    <row r="21" spans="1:43" s="16" customFormat="1" ht="12.95">
      <c r="A21" s="1870"/>
      <c r="B21" s="200" t="s">
        <v>1090</v>
      </c>
      <c r="C21" s="201"/>
      <c r="D21" s="1065" t="s">
        <v>1015</v>
      </c>
      <c r="E21" s="1903"/>
      <c r="F21" s="1694">
        <f>'STANDARD COMP.'!F20</f>
        <v>525686.0930818636</v>
      </c>
      <c r="G21" s="1694"/>
      <c r="H21" s="1694"/>
      <c r="I21" s="1695"/>
      <c r="J21" s="1870"/>
      <c r="K21" s="1678" t="s">
        <v>1094</v>
      </c>
      <c r="L21" s="1678"/>
      <c r="M21" s="1889">
        <f>'STANDARD COMP.'!M21</f>
        <v>46027</v>
      </c>
      <c r="N21" s="1717"/>
      <c r="O21" s="1717"/>
      <c r="P21" s="1890"/>
      <c r="Q21" s="1891"/>
      <c r="R21" s="1870"/>
      <c r="S21" s="547"/>
      <c r="T21" s="1687" t="s">
        <v>1293</v>
      </c>
      <c r="U21" s="1687"/>
      <c r="V21" s="548"/>
      <c r="W21" s="203"/>
      <c r="X21" s="1909" t="s">
        <v>60</v>
      </c>
      <c r="Y21" s="1909"/>
      <c r="Z21" s="1909"/>
      <c r="AA21" s="1909"/>
      <c r="AB21" s="1870"/>
      <c r="AC21" s="1870"/>
      <c r="AD21" s="549"/>
      <c r="AE21" s="1870"/>
      <c r="AF21" s="1870"/>
      <c r="AG21" s="1870"/>
      <c r="AH21" s="1870"/>
      <c r="AI21" s="1870"/>
      <c r="AJ21" s="1680" t="s">
        <v>1091</v>
      </c>
      <c r="AK21" s="1680"/>
      <c r="AL21" s="1870"/>
      <c r="AM21" s="1870"/>
      <c r="AN21" s="1870"/>
      <c r="AO21" s="1870"/>
      <c r="AP21" s="1678"/>
      <c r="AQ21" s="1678"/>
    </row>
    <row r="22" spans="1:43" s="16" customFormat="1" ht="12.95">
      <c r="A22" s="1870"/>
      <c r="B22" s="545"/>
      <c r="C22" s="1869"/>
      <c r="D22" s="1065"/>
      <c r="E22" s="1905"/>
      <c r="F22" s="1906"/>
      <c r="G22" s="1907"/>
      <c r="H22" s="1907"/>
      <c r="I22" s="1908"/>
      <c r="J22" s="1870"/>
      <c r="K22" s="1678" t="s">
        <v>1097</v>
      </c>
      <c r="L22" s="1678"/>
      <c r="M22" s="1889">
        <f>'STANDARD COMP.'!M22</f>
        <v>46058</v>
      </c>
      <c r="N22" s="1717"/>
      <c r="O22" s="1717"/>
      <c r="P22" s="1890"/>
      <c r="Q22" s="1891"/>
      <c r="R22" s="1870"/>
      <c r="S22" s="550" t="s">
        <v>1294</v>
      </c>
      <c r="T22" s="551"/>
      <c r="U22" s="552"/>
      <c r="V22" s="552"/>
      <c r="W22" s="537"/>
      <c r="X22" s="205" t="s">
        <v>1290</v>
      </c>
      <c r="Y22" s="537"/>
      <c r="Z22" s="537"/>
      <c r="AA22" s="537"/>
      <c r="AB22" s="537"/>
      <c r="AC22" s="537"/>
      <c r="AD22" s="538"/>
      <c r="AE22" s="1870"/>
      <c r="AF22" s="1870"/>
      <c r="AG22" s="1870"/>
      <c r="AH22" s="1870"/>
      <c r="AI22" s="1870"/>
      <c r="AJ22" s="1680" t="s">
        <v>1094</v>
      </c>
      <c r="AK22" s="1680"/>
      <c r="AL22" s="1870"/>
      <c r="AM22" s="1870"/>
      <c r="AN22" s="1870"/>
      <c r="AO22" s="1870"/>
      <c r="AP22" s="1678"/>
      <c r="AQ22" s="1678"/>
    </row>
    <row r="23" spans="1:43" s="16" customFormat="1" ht="12.95">
      <c r="A23" s="203"/>
      <c r="B23" s="542" t="s">
        <v>1096</v>
      </c>
      <c r="C23" s="543"/>
      <c r="D23" s="4" t="s">
        <v>1015</v>
      </c>
      <c r="E23" s="553"/>
      <c r="F23" s="1692">
        <f>SUM(F20:I21,F18)</f>
        <v>4648714.2741160877</v>
      </c>
      <c r="G23" s="1692"/>
      <c r="H23" s="1692"/>
      <c r="I23" s="1693"/>
      <c r="J23" s="203"/>
      <c r="K23" s="1678" t="s">
        <v>1098</v>
      </c>
      <c r="L23" s="1678"/>
      <c r="M23" s="1889">
        <f>'STANDARD COMP.'!M23</f>
        <v>46086</v>
      </c>
      <c r="N23" s="1717"/>
      <c r="O23" s="1717"/>
      <c r="P23" s="1890"/>
      <c r="Q23" s="1891"/>
      <c r="R23" s="1870"/>
      <c r="S23" s="1898"/>
      <c r="T23" s="1870"/>
      <c r="U23" s="1870"/>
      <c r="V23" s="1870"/>
      <c r="W23" s="1870"/>
      <c r="X23" s="1911"/>
      <c r="Y23" s="1911"/>
      <c r="Z23" s="1911"/>
      <c r="AA23" s="1911"/>
      <c r="AB23" s="1911"/>
      <c r="AC23" s="1911"/>
      <c r="AD23" s="1901"/>
      <c r="AE23" s="1870"/>
      <c r="AF23" s="1870"/>
      <c r="AG23" s="1870"/>
      <c r="AH23" s="1870"/>
      <c r="AI23" s="1870"/>
      <c r="AJ23" s="1680" t="s">
        <v>1097</v>
      </c>
      <c r="AK23" s="1680"/>
      <c r="AL23" s="1870"/>
      <c r="AM23" s="1870"/>
      <c r="AN23" s="1870"/>
      <c r="AO23" s="1870"/>
      <c r="AP23" s="1678"/>
      <c r="AQ23" s="1678"/>
    </row>
    <row r="24" spans="1:43" s="203" customFormat="1" ht="12.95">
      <c r="A24" s="1870"/>
      <c r="B24" s="545"/>
      <c r="C24" s="1869"/>
      <c r="D24" s="1065"/>
      <c r="E24" s="1065"/>
      <c r="F24" s="1910"/>
      <c r="G24" s="1910"/>
      <c r="H24" s="1910"/>
      <c r="I24" s="1869"/>
      <c r="J24" s="1870"/>
      <c r="K24" s="1678" t="s">
        <v>1100</v>
      </c>
      <c r="L24" s="1678"/>
      <c r="M24" s="1889">
        <f>'STANDARD COMP.'!M24</f>
        <v>46117</v>
      </c>
      <c r="N24" s="1717"/>
      <c r="O24" s="1717"/>
      <c r="P24" s="1890"/>
      <c r="Q24" s="1891"/>
      <c r="S24" s="1898"/>
      <c r="T24" s="1870"/>
      <c r="U24" s="1870"/>
      <c r="V24" s="1870"/>
      <c r="W24" s="1899" t="s">
        <v>1291</v>
      </c>
      <c r="X24" s="1900"/>
      <c r="Y24" s="1900"/>
      <c r="Z24" s="1900"/>
      <c r="AA24" s="1900"/>
      <c r="AB24" s="1900"/>
      <c r="AC24" s="1900"/>
      <c r="AD24" s="1901"/>
      <c r="AJ24" s="1680" t="s">
        <v>1098</v>
      </c>
      <c r="AK24" s="1680"/>
      <c r="AP24" s="1678"/>
      <c r="AQ24" s="1678"/>
    </row>
    <row r="25" spans="1:43" s="16" customFormat="1" ht="12.95">
      <c r="A25" s="1870"/>
      <c r="B25" s="542" t="s">
        <v>1099</v>
      </c>
      <c r="C25" s="534"/>
      <c r="D25" s="4" t="s">
        <v>1015</v>
      </c>
      <c r="E25" s="554">
        <f>'2.5% Lumpsum'!E24</f>
        <v>0.125</v>
      </c>
      <c r="F25" s="1684">
        <f>F23*E25</f>
        <v>581089.28426451096</v>
      </c>
      <c r="G25" s="1685"/>
      <c r="H25" s="1685"/>
      <c r="I25" s="1686"/>
      <c r="J25" s="1870"/>
      <c r="K25" s="1678" t="s">
        <v>1102</v>
      </c>
      <c r="L25" s="1678"/>
      <c r="M25" s="1889">
        <f>'STANDARD COMP.'!M25</f>
        <v>46147</v>
      </c>
      <c r="N25" s="1717"/>
      <c r="O25" s="1717"/>
      <c r="P25" s="1890"/>
      <c r="Q25" s="1891"/>
      <c r="R25" s="1870"/>
      <c r="S25" s="547"/>
      <c r="T25" s="203"/>
      <c r="U25" s="203"/>
      <c r="V25" s="203"/>
      <c r="W25" s="1899"/>
      <c r="X25" s="1900"/>
      <c r="Y25" s="1900"/>
      <c r="Z25" s="1900"/>
      <c r="AA25" s="1900"/>
      <c r="AB25" s="1900"/>
      <c r="AC25" s="1900"/>
      <c r="AD25" s="549"/>
      <c r="AE25" s="1870"/>
      <c r="AF25" s="1870"/>
      <c r="AG25" s="1870"/>
      <c r="AH25" s="1870"/>
      <c r="AI25" s="1870"/>
      <c r="AJ25" s="1680" t="s">
        <v>1100</v>
      </c>
      <c r="AK25" s="1680"/>
      <c r="AL25" s="1870"/>
      <c r="AM25" s="1870"/>
      <c r="AN25" s="1870"/>
      <c r="AO25" s="1870"/>
      <c r="AP25" s="1678"/>
      <c r="AQ25" s="1678"/>
    </row>
    <row r="26" spans="1:43" s="16" customFormat="1" ht="12.95">
      <c r="A26" s="203"/>
      <c r="B26" s="198" t="s">
        <v>1101</v>
      </c>
      <c r="C26" s="199"/>
      <c r="D26" s="1065" t="s">
        <v>1015</v>
      </c>
      <c r="E26" s="1912"/>
      <c r="F26" s="1689">
        <f>'STANDARD COMP.'!F25</f>
        <v>30000</v>
      </c>
      <c r="G26" s="1690"/>
      <c r="H26" s="1690"/>
      <c r="I26" s="1691"/>
      <c r="J26" s="203"/>
      <c r="K26" s="1678" t="s">
        <v>1104</v>
      </c>
      <c r="L26" s="1678"/>
      <c r="M26" s="1889">
        <f>'STANDARD COMP.'!M26</f>
        <v>46178</v>
      </c>
      <c r="N26" s="1717"/>
      <c r="O26" s="1717"/>
      <c r="P26" s="1890"/>
      <c r="Q26" s="1891"/>
      <c r="R26" s="1870"/>
      <c r="S26" s="1898"/>
      <c r="T26" s="1904"/>
      <c r="U26" s="1904"/>
      <c r="V26" s="1870"/>
      <c r="W26" s="1870" t="s">
        <v>1292</v>
      </c>
      <c r="X26" s="1900"/>
      <c r="Y26" s="1900"/>
      <c r="Z26" s="1900"/>
      <c r="AA26" s="1900"/>
      <c r="AB26" s="1900"/>
      <c r="AC26" s="1900"/>
      <c r="AD26" s="1901"/>
      <c r="AE26" s="1870"/>
      <c r="AF26" s="1870"/>
      <c r="AG26" s="1870"/>
      <c r="AH26" s="1870"/>
      <c r="AI26" s="1870"/>
      <c r="AJ26" s="1680" t="s">
        <v>1102</v>
      </c>
      <c r="AK26" s="1680"/>
      <c r="AL26" s="1870"/>
      <c r="AM26" s="1870"/>
      <c r="AN26" s="1870"/>
      <c r="AO26" s="1870"/>
      <c r="AP26" s="1678"/>
      <c r="AQ26" s="1678"/>
    </row>
    <row r="27" spans="1:43" s="203" customFormat="1" ht="12.95">
      <c r="B27" s="198" t="s">
        <v>1295</v>
      </c>
      <c r="C27" s="445"/>
      <c r="D27" s="1065"/>
      <c r="E27" s="1913">
        <v>2.5000000000000001E-2</v>
      </c>
      <c r="F27" s="555">
        <f>F23*E27</f>
        <v>116217.8568529022</v>
      </c>
      <c r="G27" s="540"/>
      <c r="H27" s="540"/>
      <c r="I27" s="541"/>
      <c r="J27" s="547"/>
      <c r="K27" s="1678" t="s">
        <v>1105</v>
      </c>
      <c r="L27" s="1678"/>
      <c r="M27" s="1889">
        <f>'STANDARD COMP.'!M27</f>
        <v>46208</v>
      </c>
      <c r="N27" s="1717"/>
      <c r="O27" s="1717"/>
      <c r="P27" s="1890"/>
      <c r="Q27" s="1891"/>
      <c r="R27" s="203" t="s">
        <v>60</v>
      </c>
      <c r="S27" s="556"/>
      <c r="T27" s="1687" t="s">
        <v>1296</v>
      </c>
      <c r="U27" s="1687"/>
      <c r="V27" s="557"/>
      <c r="W27" s="1909"/>
      <c r="X27" s="1914"/>
      <c r="Y27" s="1914"/>
      <c r="Z27" s="1914"/>
      <c r="AA27" s="1914"/>
      <c r="AB27" s="1909"/>
      <c r="AC27" s="1909"/>
      <c r="AD27" s="1915"/>
      <c r="AJ27" s="1680" t="s">
        <v>1104</v>
      </c>
      <c r="AK27" s="1680"/>
      <c r="AP27" s="1678"/>
      <c r="AQ27" s="1678"/>
    </row>
    <row r="28" spans="1:43" s="203" customFormat="1" ht="12.95">
      <c r="B28" s="129" t="s">
        <v>1176</v>
      </c>
      <c r="C28" s="101"/>
      <c r="D28" s="4" t="s">
        <v>1015</v>
      </c>
      <c r="E28" s="558"/>
      <c r="F28" s="1684">
        <f>F25-F26-F27</f>
        <v>434871.42741160875</v>
      </c>
      <c r="G28" s="1685"/>
      <c r="H28" s="1685"/>
      <c r="I28" s="1686"/>
      <c r="K28" s="1678" t="s">
        <v>1107</v>
      </c>
      <c r="L28" s="1678"/>
      <c r="M28" s="1889">
        <f>'STANDARD COMP.'!M28</f>
        <v>46239</v>
      </c>
      <c r="N28" s="1717"/>
      <c r="O28" s="1717"/>
      <c r="P28" s="1890"/>
      <c r="Q28" s="1891"/>
      <c r="S28" s="550" t="s">
        <v>1294</v>
      </c>
      <c r="T28" s="551"/>
      <c r="U28" s="552"/>
      <c r="V28" s="552"/>
      <c r="W28" s="537"/>
      <c r="X28" s="205" t="s">
        <v>1290</v>
      </c>
      <c r="Y28" s="537"/>
      <c r="Z28" s="537"/>
      <c r="AA28" s="537"/>
      <c r="AB28" s="537"/>
      <c r="AC28" s="537"/>
      <c r="AD28" s="538"/>
      <c r="AJ28" s="1680" t="s">
        <v>1105</v>
      </c>
      <c r="AK28" s="1680"/>
      <c r="AP28" s="1678"/>
      <c r="AQ28" s="1678"/>
    </row>
    <row r="29" spans="1:43" s="203" customFormat="1" ht="12.95">
      <c r="A29" s="1870"/>
      <c r="B29" s="545"/>
      <c r="C29" s="1869"/>
      <c r="D29" s="1065"/>
      <c r="E29" s="1065"/>
      <c r="F29" s="1910"/>
      <c r="G29" s="1910"/>
      <c r="H29" s="1910"/>
      <c r="I29" s="559"/>
      <c r="J29" s="1870"/>
      <c r="K29" s="1678" t="s">
        <v>1108</v>
      </c>
      <c r="L29" s="1678"/>
      <c r="M29" s="1889">
        <f>'STANDARD COMP.'!M29</f>
        <v>46270</v>
      </c>
      <c r="N29" s="1717"/>
      <c r="O29" s="1717"/>
      <c r="P29" s="1890"/>
      <c r="Q29" s="1891"/>
      <c r="S29" s="1898"/>
      <c r="T29" s="1870"/>
      <c r="U29" s="1870"/>
      <c r="V29" s="1870"/>
      <c r="W29" s="1870"/>
      <c r="X29" s="1911"/>
      <c r="Y29" s="1911"/>
      <c r="Z29" s="1911"/>
      <c r="AA29" s="1911"/>
      <c r="AB29" s="1911"/>
      <c r="AC29" s="1911"/>
      <c r="AD29" s="1901"/>
      <c r="AJ29" s="1680" t="s">
        <v>1107</v>
      </c>
      <c r="AK29" s="1680"/>
      <c r="AP29" s="1678"/>
      <c r="AQ29" s="1678"/>
    </row>
    <row r="30" spans="1:43" s="16" customFormat="1" ht="12.95">
      <c r="A30" s="203"/>
      <c r="B30" s="1460" t="s">
        <v>1177</v>
      </c>
      <c r="C30" s="1460"/>
      <c r="D30" s="4"/>
      <c r="E30" s="560" t="s">
        <v>1047</v>
      </c>
      <c r="F30" s="561" t="s">
        <v>1046</v>
      </c>
      <c r="G30" s="1688" t="s">
        <v>1178</v>
      </c>
      <c r="H30" s="1688"/>
      <c r="I30" s="1688"/>
      <c r="J30" s="203"/>
      <c r="K30" s="1678" t="s">
        <v>1110</v>
      </c>
      <c r="L30" s="1678"/>
      <c r="M30" s="1889">
        <f>'STANDARD COMP.'!M30</f>
        <v>46300</v>
      </c>
      <c r="N30" s="1717"/>
      <c r="O30" s="1717"/>
      <c r="P30" s="1890"/>
      <c r="Q30" s="1891"/>
      <c r="R30" s="203"/>
      <c r="S30" s="1898"/>
      <c r="T30" s="1870"/>
      <c r="U30" s="1870"/>
      <c r="V30" s="1870"/>
      <c r="W30" s="1899" t="s">
        <v>1291</v>
      </c>
      <c r="X30" s="1900"/>
      <c r="Y30" s="1900"/>
      <c r="Z30" s="1900"/>
      <c r="AA30" s="1900"/>
      <c r="AB30" s="1900"/>
      <c r="AC30" s="1900"/>
      <c r="AD30" s="1901"/>
      <c r="AE30" s="203"/>
      <c r="AF30" s="1870"/>
      <c r="AG30" s="1870"/>
      <c r="AH30" s="1870"/>
      <c r="AI30" s="1870"/>
      <c r="AJ30" s="1680" t="s">
        <v>1108</v>
      </c>
      <c r="AK30" s="1680"/>
      <c r="AL30" s="1870"/>
      <c r="AM30" s="1870"/>
      <c r="AN30" s="1870"/>
      <c r="AO30" s="1870"/>
      <c r="AP30" s="1678"/>
      <c r="AQ30" s="1678"/>
    </row>
    <row r="31" spans="1:43" s="203" customFormat="1" ht="12.95">
      <c r="A31" s="1870"/>
      <c r="B31" s="1460"/>
      <c r="C31" s="1460"/>
      <c r="D31" s="4" t="s">
        <v>1015</v>
      </c>
      <c r="E31" s="1916">
        <v>0.25</v>
      </c>
      <c r="F31" s="562"/>
      <c r="G31" s="1677" t="e">
        <f>F28*E31/F31</f>
        <v>#DIV/0!</v>
      </c>
      <c r="H31" s="1677"/>
      <c r="I31" s="1677"/>
      <c r="J31" s="1870"/>
      <c r="K31" s="1678" t="s">
        <v>1111</v>
      </c>
      <c r="L31" s="1678"/>
      <c r="M31" s="1889">
        <f>'STANDARD COMP.'!M31</f>
        <v>46331</v>
      </c>
      <c r="N31" s="1717"/>
      <c r="O31" s="1717"/>
      <c r="P31" s="1890"/>
      <c r="Q31" s="1891"/>
      <c r="S31" s="547"/>
      <c r="W31" s="1899"/>
      <c r="X31" s="1900"/>
      <c r="Y31" s="1900"/>
      <c r="Z31" s="1900"/>
      <c r="AA31" s="1900"/>
      <c r="AB31" s="1900"/>
      <c r="AC31" s="1900"/>
      <c r="AD31" s="549"/>
      <c r="AJ31" s="1680" t="s">
        <v>1110</v>
      </c>
      <c r="AK31" s="1680"/>
      <c r="AP31" s="1678"/>
      <c r="AQ31" s="1678"/>
    </row>
    <row r="32" spans="1:43" s="16" customFormat="1" ht="12.95">
      <c r="A32" s="203"/>
      <c r="B32" s="1460"/>
      <c r="C32" s="1460"/>
      <c r="D32" s="4" t="s">
        <v>1015</v>
      </c>
      <c r="E32" s="1916">
        <v>0.35</v>
      </c>
      <c r="F32" s="562"/>
      <c r="G32" s="1677" t="e">
        <f>F28*E32/F32</f>
        <v>#DIV/0!</v>
      </c>
      <c r="H32" s="1677"/>
      <c r="I32" s="1677"/>
      <c r="J32" s="203"/>
      <c r="K32" s="1678" t="s">
        <v>1113</v>
      </c>
      <c r="L32" s="1678"/>
      <c r="M32" s="1889">
        <f>'STANDARD COMP.'!M32</f>
        <v>46361</v>
      </c>
      <c r="N32" s="1717"/>
      <c r="O32" s="1717"/>
      <c r="P32" s="1890"/>
      <c r="Q32" s="1891"/>
      <c r="R32" s="203"/>
      <c r="S32" s="1898"/>
      <c r="T32" s="1904"/>
      <c r="U32" s="1904"/>
      <c r="V32" s="1870"/>
      <c r="W32" s="1870" t="s">
        <v>1292</v>
      </c>
      <c r="X32" s="1900"/>
      <c r="Y32" s="1900"/>
      <c r="Z32" s="1900"/>
      <c r="AA32" s="1900"/>
      <c r="AB32" s="1900"/>
      <c r="AC32" s="1900"/>
      <c r="AD32" s="1901"/>
      <c r="AE32" s="203"/>
      <c r="AF32" s="1870"/>
      <c r="AG32" s="1870"/>
      <c r="AH32" s="1870"/>
      <c r="AI32" s="1870"/>
      <c r="AJ32" s="1680" t="s">
        <v>1111</v>
      </c>
      <c r="AK32" s="1680"/>
      <c r="AL32" s="1870"/>
      <c r="AM32" s="1870"/>
      <c r="AN32" s="1870"/>
      <c r="AO32" s="1870"/>
      <c r="AP32" s="1678"/>
      <c r="AQ32" s="1678"/>
    </row>
    <row r="33" spans="1:43" s="203" customFormat="1" ht="12.95">
      <c r="A33" s="1870"/>
      <c r="B33" s="1460"/>
      <c r="C33" s="1460"/>
      <c r="D33" s="4" t="s">
        <v>1015</v>
      </c>
      <c r="E33" s="1916">
        <v>0.4</v>
      </c>
      <c r="F33" s="562"/>
      <c r="G33" s="1677" t="e">
        <f>F28*E33/F33</f>
        <v>#DIV/0!</v>
      </c>
      <c r="H33" s="1677"/>
      <c r="I33" s="1677"/>
      <c r="J33" s="1870"/>
      <c r="K33" s="1678" t="s">
        <v>1114</v>
      </c>
      <c r="L33" s="1678"/>
      <c r="M33" s="1889">
        <f>'STANDARD COMP.'!M33</f>
        <v>46392</v>
      </c>
      <c r="N33" s="1717"/>
      <c r="O33" s="1717"/>
      <c r="P33" s="1890"/>
      <c r="Q33" s="1891"/>
      <c r="S33" s="556"/>
      <c r="T33" s="1687" t="s">
        <v>1297</v>
      </c>
      <c r="U33" s="1687"/>
      <c r="V33" s="557"/>
      <c r="W33" s="1909"/>
      <c r="X33" s="1914"/>
      <c r="Y33" s="1914"/>
      <c r="Z33" s="1914"/>
      <c r="AA33" s="1914"/>
      <c r="AB33" s="1909"/>
      <c r="AC33" s="1909"/>
      <c r="AD33" s="1915"/>
      <c r="AJ33" s="1680" t="s">
        <v>1113</v>
      </c>
      <c r="AK33" s="1680"/>
      <c r="AP33" s="1678"/>
      <c r="AQ33" s="1678"/>
    </row>
    <row r="34" spans="1:43" s="16" customFormat="1" ht="12.95">
      <c r="A34" s="1870"/>
      <c r="B34" s="175"/>
      <c r="C34" s="175"/>
      <c r="D34" s="1065"/>
      <c r="E34" s="1065"/>
      <c r="F34" s="1917"/>
      <c r="G34" s="1917"/>
      <c r="H34" s="1917"/>
      <c r="I34" s="1869"/>
      <c r="J34" s="1870"/>
      <c r="K34" s="1678" t="s">
        <v>1117</v>
      </c>
      <c r="L34" s="1678"/>
      <c r="M34" s="1889">
        <f>'STANDARD COMP.'!M34</f>
        <v>46423</v>
      </c>
      <c r="N34" s="1717"/>
      <c r="O34" s="1717"/>
      <c r="P34" s="1890"/>
      <c r="Q34" s="1891"/>
      <c r="R34" s="1870"/>
      <c r="S34" s="1870"/>
      <c r="T34" s="1870"/>
      <c r="U34" s="1870"/>
      <c r="V34" s="1870"/>
      <c r="W34" s="1870"/>
      <c r="X34" s="1870"/>
      <c r="Y34" s="1870"/>
      <c r="Z34" s="1870"/>
      <c r="AA34" s="1870"/>
      <c r="AB34" s="1870"/>
      <c r="AC34" s="1870"/>
      <c r="AD34" s="1870"/>
      <c r="AE34" s="1870"/>
      <c r="AF34" s="1870"/>
      <c r="AG34" s="1870"/>
      <c r="AH34" s="1870"/>
      <c r="AI34" s="1870"/>
      <c r="AJ34" s="1680" t="s">
        <v>1114</v>
      </c>
      <c r="AK34" s="1680"/>
      <c r="AL34" s="1870"/>
      <c r="AM34" s="1870"/>
      <c r="AN34" s="1870"/>
      <c r="AO34" s="1870"/>
      <c r="AP34" s="1678"/>
      <c r="AQ34" s="1678"/>
    </row>
    <row r="35" spans="1:43" s="16" customFormat="1" ht="12.95">
      <c r="A35" s="203"/>
      <c r="B35" s="542" t="s">
        <v>1109</v>
      </c>
      <c r="C35" s="543"/>
      <c r="D35" s="4" t="s">
        <v>1015</v>
      </c>
      <c r="E35" s="554">
        <f>100%-E25</f>
        <v>0.875</v>
      </c>
      <c r="F35" s="1684">
        <f>F23*E35</f>
        <v>4067624.9898515767</v>
      </c>
      <c r="G35" s="1685"/>
      <c r="H35" s="1685"/>
      <c r="I35" s="1686"/>
      <c r="J35" s="203"/>
      <c r="K35" s="1678" t="s">
        <v>1118</v>
      </c>
      <c r="L35" s="1678"/>
      <c r="M35" s="1889">
        <f>'STANDARD COMP.'!M35</f>
        <v>46451</v>
      </c>
      <c r="N35" s="1717"/>
      <c r="O35" s="1717"/>
      <c r="P35" s="1890"/>
      <c r="Q35" s="1891"/>
      <c r="R35" s="1870"/>
      <c r="S35" s="1870"/>
      <c r="T35" s="1870"/>
      <c r="U35" s="1870"/>
      <c r="V35" s="1870"/>
      <c r="W35" s="1870"/>
      <c r="X35" s="1870"/>
      <c r="Y35" s="1870"/>
      <c r="Z35" s="1870"/>
      <c r="AA35" s="1870"/>
      <c r="AB35" s="1870"/>
      <c r="AC35" s="1870"/>
      <c r="AD35" s="1870"/>
      <c r="AE35" s="1870"/>
      <c r="AF35" s="1870"/>
      <c r="AG35" s="1870"/>
      <c r="AH35" s="1870"/>
      <c r="AI35" s="1870"/>
      <c r="AJ35" s="1680" t="s">
        <v>1117</v>
      </c>
      <c r="AK35" s="1680"/>
      <c r="AL35" s="1870"/>
      <c r="AM35" s="1870"/>
      <c r="AN35" s="1870"/>
      <c r="AO35" s="1870"/>
      <c r="AP35" s="1678"/>
      <c r="AQ35" s="1678"/>
    </row>
    <row r="36" spans="1:43" s="203" customFormat="1" ht="12.95">
      <c r="A36" s="1870"/>
      <c r="B36" s="545"/>
      <c r="C36" s="1869"/>
      <c r="D36" s="1065"/>
      <c r="E36" s="1869"/>
      <c r="F36" s="1869"/>
      <c r="G36" s="1869"/>
      <c r="H36" s="1869"/>
      <c r="I36" s="1869"/>
      <c r="J36" s="1870"/>
      <c r="K36" s="1678" t="s">
        <v>1119</v>
      </c>
      <c r="L36" s="1678"/>
      <c r="M36" s="1889">
        <f>'STANDARD COMP.'!M36</f>
        <v>46482</v>
      </c>
      <c r="N36" s="1717"/>
      <c r="O36" s="1717"/>
      <c r="P36" s="1890"/>
      <c r="Q36" s="1891"/>
      <c r="S36" s="1870"/>
      <c r="T36" s="1870"/>
      <c r="U36" s="1870"/>
      <c r="V36" s="1870"/>
      <c r="W36" s="1870"/>
      <c r="X36" s="1870"/>
      <c r="Y36" s="1870"/>
      <c r="Z36" s="1870"/>
      <c r="AA36" s="1870"/>
      <c r="AB36" s="1870"/>
      <c r="AC36" s="1870"/>
      <c r="AD36" s="1870"/>
      <c r="AJ36" s="1680" t="s">
        <v>1118</v>
      </c>
      <c r="AK36" s="1680"/>
      <c r="AP36" s="1678"/>
      <c r="AQ36" s="1678"/>
    </row>
    <row r="37" spans="1:43" s="16" customFormat="1" ht="12.95">
      <c r="A37" s="1870"/>
      <c r="B37" s="543" t="s">
        <v>1112</v>
      </c>
      <c r="C37" s="543"/>
      <c r="D37" s="563"/>
      <c r="E37" s="563"/>
      <c r="F37" s="563"/>
      <c r="G37" s="563"/>
      <c r="H37" s="563"/>
      <c r="I37" s="563"/>
      <c r="J37" s="1870"/>
      <c r="K37" s="1678" t="s">
        <v>1120</v>
      </c>
      <c r="L37" s="1678"/>
      <c r="M37" s="1889">
        <f>'STANDARD COMP.'!M37</f>
        <v>46512</v>
      </c>
      <c r="N37" s="1717"/>
      <c r="O37" s="1717"/>
      <c r="P37" s="1890"/>
      <c r="Q37" s="1891"/>
      <c r="R37" s="1870"/>
      <c r="S37" s="1870"/>
      <c r="T37" s="1870"/>
      <c r="U37" s="1870"/>
      <c r="V37" s="1870"/>
      <c r="W37" s="1870"/>
      <c r="X37" s="1870"/>
      <c r="Y37" s="1870"/>
      <c r="Z37" s="1870"/>
      <c r="AA37" s="1870"/>
      <c r="AB37" s="1870"/>
      <c r="AC37" s="1870"/>
      <c r="AD37" s="1870"/>
      <c r="AE37" s="1870"/>
      <c r="AF37" s="1870"/>
      <c r="AG37" s="1870"/>
      <c r="AH37" s="1870"/>
      <c r="AI37" s="1870"/>
      <c r="AJ37" s="1680" t="s">
        <v>1119</v>
      </c>
      <c r="AK37" s="1680"/>
      <c r="AL37" s="1870"/>
      <c r="AM37" s="1870"/>
      <c r="AN37" s="1870"/>
      <c r="AO37" s="1870"/>
      <c r="AP37" s="1678"/>
      <c r="AQ37" s="1678"/>
    </row>
    <row r="38" spans="1:43" s="16" customFormat="1" ht="12.95">
      <c r="A38" s="1870"/>
      <c r="B38" s="563"/>
      <c r="C38" s="563"/>
      <c r="D38" s="563"/>
      <c r="E38" s="563"/>
      <c r="F38" s="563"/>
      <c r="G38" s="563"/>
      <c r="H38" s="563"/>
      <c r="I38" s="563"/>
      <c r="J38" s="1870"/>
      <c r="K38" s="1678" t="s">
        <v>1121</v>
      </c>
      <c r="L38" s="1678"/>
      <c r="M38" s="1889">
        <f>'STANDARD COMP.'!M38</f>
        <v>46543</v>
      </c>
      <c r="N38" s="1717"/>
      <c r="O38" s="1717"/>
      <c r="P38" s="1890"/>
      <c r="Q38" s="1891"/>
      <c r="R38" s="1870"/>
      <c r="S38" s="1870"/>
      <c r="T38" s="1870"/>
      <c r="U38" s="1870"/>
      <c r="V38" s="1870"/>
      <c r="W38" s="1870"/>
      <c r="X38" s="1870"/>
      <c r="Y38" s="1870"/>
      <c r="Z38" s="1870"/>
      <c r="AA38" s="1870"/>
      <c r="AB38" s="1870"/>
      <c r="AC38" s="1870"/>
      <c r="AD38" s="1870"/>
      <c r="AE38" s="1870"/>
      <c r="AF38" s="1870"/>
      <c r="AG38" s="1870"/>
      <c r="AH38" s="1870"/>
      <c r="AI38" s="1870"/>
      <c r="AJ38" s="1680" t="s">
        <v>1120</v>
      </c>
      <c r="AK38" s="1680"/>
      <c r="AL38" s="1870"/>
      <c r="AM38" s="1870"/>
      <c r="AN38" s="1870"/>
      <c r="AO38" s="1870"/>
      <c r="AP38" s="1678"/>
      <c r="AQ38" s="1678"/>
    </row>
    <row r="39" spans="1:43" s="16" customFormat="1" ht="12.95">
      <c r="A39" s="1870"/>
      <c r="B39" s="576" t="s">
        <v>53</v>
      </c>
      <c r="C39" s="576" t="s">
        <v>54</v>
      </c>
      <c r="D39" s="1679" t="s">
        <v>55</v>
      </c>
      <c r="E39" s="1679"/>
      <c r="F39" s="576" t="s">
        <v>1115</v>
      </c>
      <c r="G39" s="1679" t="s">
        <v>1179</v>
      </c>
      <c r="H39" s="1679"/>
      <c r="I39" s="1679"/>
      <c r="J39" s="1870"/>
      <c r="K39" s="1678" t="s">
        <v>1123</v>
      </c>
      <c r="L39" s="1678"/>
      <c r="M39" s="1889">
        <f>'STANDARD COMP.'!M39</f>
        <v>46573</v>
      </c>
      <c r="N39" s="1717"/>
      <c r="O39" s="1717"/>
      <c r="P39" s="1890"/>
      <c r="Q39" s="1891"/>
      <c r="R39" s="1870"/>
      <c r="S39" s="1870"/>
      <c r="T39" s="1870"/>
      <c r="U39" s="1870"/>
      <c r="V39" s="1870"/>
      <c r="W39" s="1870"/>
      <c r="X39" s="1870"/>
      <c r="Y39" s="1870"/>
      <c r="Z39" s="1870"/>
      <c r="AA39" s="1870"/>
      <c r="AB39" s="1870"/>
      <c r="AC39" s="1870"/>
      <c r="AD39" s="1870"/>
      <c r="AE39" s="1870"/>
      <c r="AF39" s="1870"/>
      <c r="AG39" s="1870"/>
      <c r="AH39" s="1870"/>
      <c r="AI39" s="1870"/>
      <c r="AJ39" s="1680" t="s">
        <v>1121</v>
      </c>
      <c r="AK39" s="1680"/>
      <c r="AL39" s="1870"/>
      <c r="AM39" s="1870"/>
      <c r="AN39" s="1870"/>
      <c r="AO39" s="1870"/>
      <c r="AP39" s="1678"/>
      <c r="AQ39" s="1678"/>
    </row>
    <row r="40" spans="1:43" s="16" customFormat="1" ht="12.95">
      <c r="A40" s="1870"/>
      <c r="B40" s="579">
        <v>5</v>
      </c>
      <c r="C40" s="580">
        <f>'STANDARD COMP.'!C35</f>
        <v>7.0000000000000007E-2</v>
      </c>
      <c r="D40" s="1683">
        <f>PMT(C40/12,B40*12,-1)</f>
        <v>1.9801198540349535E-2</v>
      </c>
      <c r="E40" s="1683"/>
      <c r="F40" s="1918">
        <f>D40*F35</f>
        <v>80543.850011738337</v>
      </c>
      <c r="G40" s="1919">
        <f>F40/0.3</f>
        <v>268479.50003912783</v>
      </c>
      <c r="H40" s="1920"/>
      <c r="I40" s="1921"/>
      <c r="J40" s="1870"/>
      <c r="K40" s="1678" t="s">
        <v>1125</v>
      </c>
      <c r="L40" s="1678"/>
      <c r="M40" s="1889">
        <f>'STANDARD COMP.'!M40</f>
        <v>46604</v>
      </c>
      <c r="N40" s="1717"/>
      <c r="O40" s="1717"/>
      <c r="P40" s="1890"/>
      <c r="Q40" s="1891"/>
      <c r="R40" s="1870"/>
      <c r="S40" s="1870"/>
      <c r="T40" s="1870"/>
      <c r="U40" s="1870"/>
      <c r="V40" s="1870"/>
      <c r="W40" s="1870"/>
      <c r="X40" s="1870"/>
      <c r="Y40" s="1870"/>
      <c r="Z40" s="1870"/>
      <c r="AA40" s="1870"/>
      <c r="AB40" s="1870"/>
      <c r="AC40" s="1870"/>
      <c r="AD40" s="1870"/>
      <c r="AE40" s="1870"/>
      <c r="AF40" s="1870"/>
      <c r="AG40" s="1870"/>
      <c r="AH40" s="1870"/>
      <c r="AI40" s="1870"/>
      <c r="AJ40" s="1680" t="s">
        <v>1123</v>
      </c>
      <c r="AK40" s="1680"/>
      <c r="AL40" s="1870"/>
      <c r="AM40" s="1870"/>
      <c r="AN40" s="1870"/>
      <c r="AO40" s="1870"/>
      <c r="AP40" s="1678"/>
      <c r="AQ40" s="1678"/>
    </row>
    <row r="41" spans="1:43" s="16" customFormat="1" ht="12.95">
      <c r="A41" s="1870"/>
      <c r="B41" s="564">
        <v>10</v>
      </c>
      <c r="C41" s="580">
        <f>'STANDARD COMP.'!C36</f>
        <v>7.0000000000000007E-2</v>
      </c>
      <c r="D41" s="1682">
        <f>PMT(C41/12,B41*12,-1)</f>
        <v>1.1610847921862406E-2</v>
      </c>
      <c r="E41" s="1682"/>
      <c r="F41" s="1922">
        <f>D41*F35</f>
        <v>47228.57516033377</v>
      </c>
      <c r="G41" s="1923">
        <f t="shared" ref="G41" si="1">F41/0.3</f>
        <v>157428.58386777923</v>
      </c>
      <c r="H41" s="1924"/>
      <c r="I41" s="1925"/>
      <c r="J41" s="1870"/>
      <c r="K41" s="1678" t="s">
        <v>1127</v>
      </c>
      <c r="L41" s="1678"/>
      <c r="M41" s="1889">
        <f>'STANDARD COMP.'!M41</f>
        <v>46635</v>
      </c>
      <c r="N41" s="1469"/>
      <c r="O41" s="1469"/>
      <c r="P41" s="1890"/>
      <c r="Q41" s="1891"/>
      <c r="R41" s="1870"/>
      <c r="S41" s="1870"/>
      <c r="T41" s="1870"/>
      <c r="U41" s="1870"/>
      <c r="V41" s="1870"/>
      <c r="W41" s="1870"/>
      <c r="X41" s="1870"/>
      <c r="Y41" s="1870"/>
      <c r="Z41" s="1870"/>
      <c r="AA41" s="1870"/>
      <c r="AB41" s="1870"/>
      <c r="AC41" s="1870"/>
      <c r="AD41" s="1870"/>
      <c r="AE41" s="1870"/>
      <c r="AF41" s="1870"/>
      <c r="AG41" s="1870"/>
      <c r="AH41" s="1870"/>
      <c r="AI41" s="1870"/>
      <c r="AJ41" s="1680" t="s">
        <v>1125</v>
      </c>
      <c r="AK41" s="1680"/>
      <c r="AL41" s="1870"/>
      <c r="AM41" s="1870"/>
      <c r="AN41" s="1870"/>
      <c r="AO41" s="1870"/>
      <c r="AP41" s="1678"/>
      <c r="AQ41" s="1678"/>
    </row>
    <row r="42" spans="1:43" s="16" customFormat="1" ht="12.95">
      <c r="A42" s="1870"/>
      <c r="B42" s="564">
        <v>15</v>
      </c>
      <c r="C42" s="580">
        <f>'STANDARD COMP.'!C37</f>
        <v>7.0000000000000007E-2</v>
      </c>
      <c r="D42" s="1682">
        <f>PMT(C42/12,B42*12,-1)</f>
        <v>8.988282708524269E-3</v>
      </c>
      <c r="E42" s="1682"/>
      <c r="F42" s="1922">
        <f>D42*F35</f>
        <v>36560.963361044131</v>
      </c>
      <c r="G42" s="1923">
        <f>F42/0.3</f>
        <v>121869.8778701471</v>
      </c>
      <c r="H42" s="1924"/>
      <c r="I42" s="1925"/>
      <c r="J42" s="1870"/>
      <c r="K42" s="1678" t="s">
        <v>1129</v>
      </c>
      <c r="L42" s="1678"/>
      <c r="M42" s="1889">
        <f>'STANDARD COMP.'!M42</f>
        <v>46665</v>
      </c>
      <c r="N42" s="1469"/>
      <c r="O42" s="1469"/>
      <c r="P42" s="1890"/>
      <c r="Q42" s="1891"/>
      <c r="R42" s="1870"/>
      <c r="S42" s="1870"/>
      <c r="T42" s="1870"/>
      <c r="U42" s="1870"/>
      <c r="V42" s="1870"/>
      <c r="W42" s="1870"/>
      <c r="X42" s="1870"/>
      <c r="Y42" s="1870"/>
      <c r="Z42" s="1870"/>
      <c r="AA42" s="1870"/>
      <c r="AB42" s="1870"/>
      <c r="AC42" s="1870"/>
      <c r="AD42" s="1870"/>
      <c r="AE42" s="1870"/>
      <c r="AF42" s="1870"/>
      <c r="AG42" s="1870"/>
      <c r="AH42" s="1870"/>
      <c r="AI42" s="1870"/>
      <c r="AJ42" s="1680" t="s">
        <v>1127</v>
      </c>
      <c r="AK42" s="1680"/>
      <c r="AL42" s="1870"/>
      <c r="AM42" s="1870"/>
      <c r="AN42" s="1870"/>
      <c r="AO42" s="1870"/>
      <c r="AP42" s="1678"/>
      <c r="AQ42" s="1678"/>
    </row>
    <row r="43" spans="1:43" s="16" customFormat="1" ht="12.95">
      <c r="A43" s="1870"/>
      <c r="B43" s="564">
        <v>20</v>
      </c>
      <c r="C43" s="580">
        <f>'STANDARD COMP.'!C38</f>
        <v>7.0000000000000007E-2</v>
      </c>
      <c r="D43" s="1926">
        <f>PMT(C43/12,B43*12,-1)</f>
        <v>7.7529893561887461E-3</v>
      </c>
      <c r="E43" s="1926"/>
      <c r="F43" s="1922">
        <f>D43*F35</f>
        <v>31536.253251286631</v>
      </c>
      <c r="G43" s="1923">
        <f>F43/0.3</f>
        <v>105120.84417095545</v>
      </c>
      <c r="H43" s="1924"/>
      <c r="I43" s="1925"/>
      <c r="J43" s="1870"/>
      <c r="K43" s="1678" t="s">
        <v>1130</v>
      </c>
      <c r="L43" s="1678"/>
      <c r="M43" s="1889">
        <f>'STANDARD COMP.'!M43</f>
        <v>46696</v>
      </c>
      <c r="N43" s="1469"/>
      <c r="O43" s="1469"/>
      <c r="P43" s="1890"/>
      <c r="Q43" s="1891"/>
      <c r="R43" s="1870"/>
      <c r="S43" s="1870"/>
      <c r="T43" s="1870"/>
      <c r="U43" s="1870"/>
      <c r="V43" s="1870"/>
      <c r="W43" s="1870"/>
      <c r="X43" s="1870"/>
      <c r="Y43" s="1870"/>
      <c r="Z43" s="1870"/>
      <c r="AA43" s="1870"/>
      <c r="AB43" s="1870"/>
      <c r="AC43" s="1870"/>
      <c r="AD43" s="1870"/>
      <c r="AE43" s="1870"/>
      <c r="AF43" s="1870"/>
      <c r="AG43" s="1870"/>
      <c r="AH43" s="1870"/>
      <c r="AI43" s="1870"/>
      <c r="AJ43" s="1680" t="s">
        <v>1129</v>
      </c>
      <c r="AK43" s="1680"/>
      <c r="AL43" s="1870"/>
      <c r="AM43" s="1870"/>
      <c r="AN43" s="1870"/>
      <c r="AO43" s="1870"/>
      <c r="AP43" s="1678"/>
      <c r="AQ43" s="1678"/>
    </row>
    <row r="44" spans="1:43" s="16" customFormat="1" ht="12.95">
      <c r="A44" s="1870"/>
      <c r="B44" s="565" t="str">
        <f>'STANDARD COMP.'!B39</f>
        <v>Fixed for three (3) years</v>
      </c>
      <c r="C44" s="1870"/>
      <c r="D44" s="1870"/>
      <c r="E44" s="1870"/>
      <c r="F44" s="1870"/>
      <c r="G44" s="1927"/>
      <c r="H44" s="1870"/>
      <c r="I44" s="1870"/>
      <c r="J44" s="1870"/>
      <c r="K44" s="1678" t="s">
        <v>1132</v>
      </c>
      <c r="L44" s="1678"/>
      <c r="M44" s="1889">
        <f>'STANDARD COMP.'!M44</f>
        <v>46726</v>
      </c>
      <c r="N44" s="1469"/>
      <c r="O44" s="1469"/>
      <c r="P44" s="1890"/>
      <c r="Q44" s="1891"/>
      <c r="R44" s="1870"/>
      <c r="S44" s="1870"/>
      <c r="T44" s="1870"/>
      <c r="U44" s="1870"/>
      <c r="V44" s="1870"/>
      <c r="W44" s="1870"/>
      <c r="X44" s="1870"/>
      <c r="Y44" s="1870"/>
      <c r="Z44" s="1870"/>
      <c r="AA44" s="1870"/>
      <c r="AB44" s="1870"/>
      <c r="AC44" s="1870"/>
      <c r="AD44" s="1870"/>
      <c r="AE44" s="1870"/>
      <c r="AF44" s="1870"/>
      <c r="AG44" s="1870"/>
      <c r="AH44" s="1870"/>
      <c r="AI44" s="1870"/>
      <c r="AJ44" s="1680" t="s">
        <v>1130</v>
      </c>
      <c r="AK44" s="1680"/>
      <c r="AL44" s="1870"/>
      <c r="AM44" s="1870"/>
      <c r="AN44" s="1870"/>
      <c r="AO44" s="1870"/>
      <c r="AP44" s="1678"/>
      <c r="AQ44" s="1678"/>
    </row>
    <row r="45" spans="1:43" s="16" customFormat="1" ht="12.95">
      <c r="A45" s="1870"/>
      <c r="B45" s="565" t="str">
        <f>'STANDARD COMP.'!B40</f>
        <v>Sample Computation for Interest rate is at 7% fixed for three (3) years only</v>
      </c>
      <c r="C45" s="566"/>
      <c r="D45" s="1871"/>
      <c r="E45" s="1870"/>
      <c r="F45" s="1870"/>
      <c r="G45" s="1870"/>
      <c r="H45" s="1870"/>
      <c r="I45" s="1870"/>
      <c r="J45" s="1870"/>
      <c r="K45" s="1678" t="s">
        <v>1133</v>
      </c>
      <c r="L45" s="1678"/>
      <c r="M45" s="1889">
        <f>'STANDARD COMP.'!M45</f>
        <v>46757</v>
      </c>
      <c r="N45" s="1469"/>
      <c r="O45" s="1469"/>
      <c r="P45" s="1890"/>
      <c r="Q45" s="1891"/>
      <c r="R45" s="1870"/>
      <c r="S45" s="1870"/>
      <c r="T45" s="1870"/>
      <c r="U45" s="1870"/>
      <c r="V45" s="1870"/>
      <c r="W45" s="1870"/>
      <c r="X45" s="1870"/>
      <c r="Y45" s="1870"/>
      <c r="Z45" s="1870"/>
      <c r="AA45" s="1870"/>
      <c r="AB45" s="1870"/>
      <c r="AC45" s="1870"/>
      <c r="AD45" s="1870"/>
      <c r="AE45" s="1870"/>
      <c r="AF45" s="1870"/>
      <c r="AG45" s="1870"/>
      <c r="AH45" s="1870"/>
      <c r="AI45" s="1870"/>
      <c r="AJ45" s="1680" t="s">
        <v>1132</v>
      </c>
      <c r="AK45" s="1680"/>
      <c r="AL45" s="1870"/>
      <c r="AM45" s="1870"/>
      <c r="AN45" s="1870"/>
      <c r="AO45" s="1870"/>
      <c r="AP45" s="1678"/>
      <c r="AQ45" s="1678"/>
    </row>
    <row r="46" spans="1:43" s="16" customFormat="1" ht="12.95">
      <c r="A46" s="1870"/>
      <c r="B46" s="567" t="s">
        <v>1126</v>
      </c>
      <c r="C46" s="1870"/>
      <c r="D46" s="1871"/>
      <c r="E46" s="1870"/>
      <c r="F46" s="1870"/>
      <c r="G46" s="1870"/>
      <c r="H46" s="1870"/>
      <c r="I46" s="1870"/>
      <c r="J46" s="1870"/>
      <c r="K46" s="1678" t="s">
        <v>1135</v>
      </c>
      <c r="L46" s="1678"/>
      <c r="M46" s="1889">
        <f>'STANDARD COMP.'!M46</f>
        <v>46788</v>
      </c>
      <c r="N46" s="1469"/>
      <c r="O46" s="1469"/>
      <c r="P46" s="1890"/>
      <c r="Q46" s="1891"/>
      <c r="R46" s="1870"/>
      <c r="S46" s="1870"/>
      <c r="T46" s="1870"/>
      <c r="U46" s="1870"/>
      <c r="V46" s="1870"/>
      <c r="W46" s="1870"/>
      <c r="X46" s="1870"/>
      <c r="Y46" s="1870"/>
      <c r="Z46" s="1870"/>
      <c r="AA46" s="1870"/>
      <c r="AB46" s="1870"/>
      <c r="AC46" s="1870"/>
      <c r="AD46" s="1870"/>
      <c r="AE46" s="1870"/>
      <c r="AF46" s="1870"/>
      <c r="AG46" s="1870"/>
      <c r="AH46" s="1870"/>
      <c r="AI46" s="1870"/>
      <c r="AJ46" s="1680" t="s">
        <v>1133</v>
      </c>
      <c r="AK46" s="1680"/>
      <c r="AL46" s="1870"/>
      <c r="AM46" s="1870"/>
      <c r="AN46" s="1870"/>
      <c r="AO46" s="1870"/>
      <c r="AP46" s="1678"/>
      <c r="AQ46" s="1678"/>
    </row>
    <row r="47" spans="1:43" s="16" customFormat="1" ht="12.95">
      <c r="A47" s="1870"/>
      <c r="B47" s="567" t="s">
        <v>1128</v>
      </c>
      <c r="C47" s="566"/>
      <c r="D47" s="1871"/>
      <c r="E47" s="1870"/>
      <c r="F47" s="1870"/>
      <c r="G47" s="1870"/>
      <c r="H47" s="1870"/>
      <c r="I47" s="1870"/>
      <c r="J47" s="1870"/>
      <c r="K47" s="1678" t="s">
        <v>1136</v>
      </c>
      <c r="L47" s="1678"/>
      <c r="M47" s="1889" t="str">
        <f>'STANDARD COMP.'!M47</f>
        <v/>
      </c>
      <c r="N47" s="1469"/>
      <c r="O47" s="1469"/>
      <c r="P47" s="1890"/>
      <c r="Q47" s="1891"/>
      <c r="R47" s="1870"/>
      <c r="S47" s="1870"/>
      <c r="T47" s="1870"/>
      <c r="U47" s="1870"/>
      <c r="V47" s="1870"/>
      <c r="W47" s="1870"/>
      <c r="X47" s="1870"/>
      <c r="Y47" s="1870"/>
      <c r="Z47" s="1870"/>
      <c r="AA47" s="1870"/>
      <c r="AB47" s="1870"/>
      <c r="AC47" s="1870"/>
      <c r="AD47" s="1870"/>
      <c r="AE47" s="1870"/>
      <c r="AF47" s="1870"/>
      <c r="AG47" s="1870"/>
      <c r="AH47" s="1870"/>
      <c r="AI47" s="1870"/>
      <c r="AJ47" s="1680" t="s">
        <v>1135</v>
      </c>
      <c r="AK47" s="1680"/>
      <c r="AL47" s="1870"/>
      <c r="AM47" s="1870"/>
      <c r="AN47" s="1870"/>
      <c r="AO47" s="1870"/>
      <c r="AP47" s="1678"/>
      <c r="AQ47" s="1678"/>
    </row>
    <row r="48" spans="1:43" s="16" customFormat="1" ht="12.95">
      <c r="A48" s="1870"/>
      <c r="B48" s="1870"/>
      <c r="C48" s="1870"/>
      <c r="D48" s="1871"/>
      <c r="E48" s="1870"/>
      <c r="F48" s="1870"/>
      <c r="G48" s="1870"/>
      <c r="H48" s="1870"/>
      <c r="I48" s="1870"/>
      <c r="J48" s="1870"/>
      <c r="K48" s="1678" t="s">
        <v>1137</v>
      </c>
      <c r="L48" s="1678"/>
      <c r="M48" s="1889" t="str">
        <f>'STANDARD COMP.'!M48</f>
        <v/>
      </c>
      <c r="N48" s="1469"/>
      <c r="O48" s="1469"/>
      <c r="P48" s="1890"/>
      <c r="Q48" s="1891"/>
      <c r="R48" s="1870"/>
      <c r="S48" s="1870"/>
      <c r="T48" s="1870"/>
      <c r="U48" s="1870"/>
      <c r="V48" s="1870"/>
      <c r="W48" s="1870"/>
      <c r="X48" s="1870"/>
      <c r="Y48" s="1870"/>
      <c r="Z48" s="1870"/>
      <c r="AA48" s="1870"/>
      <c r="AB48" s="1870"/>
      <c r="AC48" s="1870"/>
      <c r="AD48" s="1870"/>
      <c r="AE48" s="1870"/>
      <c r="AF48" s="1870"/>
      <c r="AG48" s="1870"/>
      <c r="AH48" s="1870"/>
      <c r="AI48" s="1870"/>
      <c r="AJ48" s="1680" t="s">
        <v>1136</v>
      </c>
      <c r="AK48" s="1680"/>
      <c r="AL48" s="1870"/>
      <c r="AM48" s="1870"/>
      <c r="AN48" s="1870"/>
      <c r="AO48" s="1870"/>
      <c r="AP48" s="1678"/>
      <c r="AQ48" s="1678"/>
    </row>
    <row r="49" spans="2:37" s="16" customFormat="1" ht="12.95">
      <c r="B49" s="543" t="s">
        <v>1146</v>
      </c>
      <c r="C49" s="568"/>
      <c r="D49" s="203"/>
      <c r="E49" s="203"/>
      <c r="F49" s="203"/>
      <c r="G49" s="203"/>
      <c r="H49" s="203"/>
      <c r="I49" s="203"/>
      <c r="J49" s="1870"/>
      <c r="K49" s="1678" t="s">
        <v>1138</v>
      </c>
      <c r="L49" s="1678"/>
      <c r="M49" s="1889" t="str">
        <f>'STANDARD COMP.'!M49</f>
        <v/>
      </c>
      <c r="N49" s="1469"/>
      <c r="O49" s="1469"/>
      <c r="P49" s="1890"/>
      <c r="Q49" s="1891"/>
      <c r="R49" s="1870"/>
      <c r="S49" s="1870"/>
      <c r="T49" s="1870"/>
      <c r="U49" s="1870"/>
      <c r="V49" s="1870"/>
      <c r="W49" s="1870"/>
      <c r="X49" s="1870"/>
      <c r="Y49" s="1870"/>
      <c r="Z49" s="1870"/>
      <c r="AA49" s="1870"/>
      <c r="AB49" s="1870"/>
      <c r="AC49" s="1870"/>
      <c r="AD49" s="1870"/>
      <c r="AE49" s="1870"/>
      <c r="AF49" s="1870"/>
      <c r="AG49" s="1870"/>
      <c r="AH49" s="1870"/>
      <c r="AI49" s="1870"/>
      <c r="AJ49" s="1681" t="s">
        <v>1137</v>
      </c>
      <c r="AK49" s="1681"/>
    </row>
    <row r="50" spans="2:37" s="16" customFormat="1" ht="12.6">
      <c r="B50" s="203"/>
      <c r="C50" s="203"/>
      <c r="D50" s="203"/>
      <c r="E50" s="203"/>
      <c r="F50" s="203"/>
      <c r="G50" s="203"/>
      <c r="H50" s="203"/>
      <c r="I50" s="203"/>
      <c r="J50" s="1870"/>
      <c r="K50" s="1678" t="s">
        <v>1139</v>
      </c>
      <c r="L50" s="1678"/>
      <c r="M50" s="1889" t="str">
        <f>'STANDARD COMP.'!M50</f>
        <v/>
      </c>
      <c r="N50" s="1469"/>
      <c r="O50" s="1469"/>
      <c r="P50" s="1890"/>
      <c r="Q50" s="1891"/>
      <c r="R50" s="1870"/>
      <c r="S50" s="1870"/>
      <c r="T50" s="1870"/>
      <c r="U50" s="1870"/>
      <c r="V50" s="1870"/>
      <c r="W50" s="1870"/>
      <c r="X50" s="1870"/>
      <c r="Y50" s="1870"/>
      <c r="Z50" s="1870"/>
      <c r="AA50" s="1870"/>
      <c r="AB50" s="1870"/>
      <c r="AC50" s="1870"/>
      <c r="AD50" s="1870"/>
      <c r="AE50" s="1870"/>
      <c r="AF50" s="1870"/>
      <c r="AG50" s="1870"/>
      <c r="AH50" s="1870"/>
      <c r="AI50" s="1870"/>
      <c r="AJ50" s="1870"/>
      <c r="AK50" s="1870"/>
    </row>
    <row r="51" spans="2:37" s="16" customFormat="1" ht="12.6">
      <c r="B51" s="1679" t="s">
        <v>1027</v>
      </c>
      <c r="C51" s="1679"/>
      <c r="D51" s="1679" t="s">
        <v>1028</v>
      </c>
      <c r="E51" s="1679"/>
      <c r="F51" s="1679"/>
      <c r="G51" s="1679" t="s">
        <v>1150</v>
      </c>
      <c r="H51" s="1679"/>
      <c r="I51" s="1679"/>
      <c r="J51" s="1870"/>
      <c r="K51" s="1678" t="s">
        <v>1140</v>
      </c>
      <c r="L51" s="1678"/>
      <c r="M51" s="1889" t="str">
        <f>'STANDARD COMP.'!M51</f>
        <v/>
      </c>
      <c r="N51" s="1469"/>
      <c r="O51" s="1469"/>
      <c r="P51" s="1890"/>
      <c r="Q51" s="1891"/>
      <c r="R51" s="1870"/>
      <c r="S51" s="1870"/>
      <c r="T51" s="1870"/>
      <c r="U51" s="1870"/>
      <c r="V51" s="1870"/>
      <c r="W51" s="1870"/>
      <c r="X51" s="1870"/>
      <c r="Y51" s="1870"/>
      <c r="Z51" s="1870"/>
      <c r="AA51" s="1870"/>
      <c r="AB51" s="1870"/>
      <c r="AC51" s="1870"/>
      <c r="AD51" s="1870"/>
      <c r="AE51" s="1870"/>
      <c r="AF51" s="1870"/>
      <c r="AG51" s="1870"/>
      <c r="AH51" s="1870"/>
      <c r="AI51" s="1870"/>
      <c r="AJ51" s="1870"/>
      <c r="AK51" s="1870"/>
    </row>
    <row r="52" spans="2:37" s="16" customFormat="1" ht="12.6">
      <c r="B52" s="1928">
        <f>FORM!O19</f>
        <v>0</v>
      </c>
      <c r="C52" s="1929"/>
      <c r="D52" s="1928">
        <f>FORM!S19</f>
        <v>0</v>
      </c>
      <c r="E52" s="1930"/>
      <c r="F52" s="1929"/>
      <c r="G52" s="1931">
        <f>FORM!V19</f>
        <v>0</v>
      </c>
      <c r="H52" s="1932"/>
      <c r="I52" s="1933"/>
      <c r="J52" s="1870"/>
      <c r="K52" s="1678" t="s">
        <v>1141</v>
      </c>
      <c r="L52" s="1678"/>
      <c r="M52" s="1889" t="str">
        <f>'STANDARD COMP.'!M52</f>
        <v/>
      </c>
      <c r="N52" s="1469"/>
      <c r="O52" s="1469"/>
      <c r="P52" s="1890"/>
      <c r="Q52" s="1891"/>
      <c r="R52" s="1870"/>
      <c r="S52" s="1870"/>
      <c r="T52" s="1870"/>
      <c r="U52" s="1870"/>
      <c r="V52" s="1870"/>
      <c r="W52" s="1870"/>
      <c r="X52" s="1870"/>
      <c r="Y52" s="1870"/>
      <c r="Z52" s="1870"/>
      <c r="AA52" s="1870"/>
      <c r="AB52" s="1870"/>
      <c r="AC52" s="1870"/>
      <c r="AD52" s="1870"/>
      <c r="AE52" s="1870"/>
      <c r="AF52" s="1870"/>
      <c r="AG52" s="1870"/>
      <c r="AH52" s="1870"/>
      <c r="AI52" s="1870"/>
      <c r="AJ52" s="1870"/>
      <c r="AK52" s="1870"/>
    </row>
    <row r="53" spans="2:37" s="16" customFormat="1" ht="12.6">
      <c r="B53" s="1934"/>
      <c r="C53" s="1935"/>
      <c r="D53" s="1934"/>
      <c r="E53" s="1936"/>
      <c r="F53" s="1935"/>
      <c r="G53" s="1937"/>
      <c r="H53" s="1938"/>
      <c r="I53" s="1939"/>
      <c r="J53" s="1870"/>
      <c r="K53" s="1678" t="s">
        <v>1143</v>
      </c>
      <c r="L53" s="1678"/>
      <c r="M53" s="1889" t="str">
        <f>'STANDARD COMP.'!M53</f>
        <v/>
      </c>
      <c r="N53" s="1469"/>
      <c r="O53" s="1469"/>
      <c r="P53" s="1890"/>
      <c r="Q53" s="1891"/>
      <c r="R53" s="1870"/>
      <c r="S53" s="1870"/>
      <c r="T53" s="1870"/>
      <c r="U53" s="1870"/>
      <c r="V53" s="1870"/>
      <c r="W53" s="1870"/>
      <c r="X53" s="1870"/>
      <c r="Y53" s="1870"/>
      <c r="Z53" s="1870"/>
      <c r="AA53" s="1870"/>
      <c r="AB53" s="1870"/>
      <c r="AC53" s="1870"/>
      <c r="AD53" s="1870"/>
      <c r="AE53" s="1870"/>
      <c r="AF53" s="1870"/>
      <c r="AG53" s="1870"/>
      <c r="AH53" s="1870"/>
      <c r="AI53" s="1870"/>
      <c r="AJ53" s="1870"/>
      <c r="AK53" s="1870"/>
    </row>
    <row r="54" spans="2:37" s="16" customFormat="1" ht="12.6">
      <c r="B54" s="1928">
        <f>FORM!O21</f>
        <v>0</v>
      </c>
      <c r="C54" s="1929"/>
      <c r="D54" s="1928">
        <f>FORM!S21</f>
        <v>0</v>
      </c>
      <c r="E54" s="1930"/>
      <c r="F54" s="1929"/>
      <c r="G54" s="1931">
        <f>FORM!V21</f>
        <v>0</v>
      </c>
      <c r="H54" s="1932"/>
      <c r="I54" s="1933"/>
      <c r="J54" s="1870"/>
      <c r="K54" s="1678" t="s">
        <v>1144</v>
      </c>
      <c r="L54" s="1678"/>
      <c r="M54" s="1889" t="str">
        <f>'STANDARD COMP.'!M54</f>
        <v/>
      </c>
      <c r="N54" s="1469"/>
      <c r="O54" s="1469"/>
      <c r="P54" s="1890"/>
      <c r="Q54" s="1891"/>
      <c r="R54" s="1870"/>
      <c r="S54" s="1870"/>
      <c r="T54" s="1870"/>
      <c r="U54" s="1870"/>
      <c r="V54" s="1870"/>
      <c r="W54" s="1870"/>
      <c r="X54" s="1870"/>
      <c r="Y54" s="1870"/>
      <c r="Z54" s="1870"/>
      <c r="AA54" s="1870"/>
      <c r="AB54" s="1870"/>
      <c r="AC54" s="1870"/>
      <c r="AD54" s="1870"/>
      <c r="AE54" s="1870"/>
      <c r="AF54" s="1870"/>
      <c r="AG54" s="1870"/>
      <c r="AH54" s="1870"/>
      <c r="AI54" s="1870"/>
      <c r="AJ54" s="1870"/>
      <c r="AK54" s="1870"/>
    </row>
    <row r="55" spans="2:37" s="16" customFormat="1" ht="12.6">
      <c r="B55" s="1934"/>
      <c r="C55" s="1935"/>
      <c r="D55" s="1934"/>
      <c r="E55" s="1936"/>
      <c r="F55" s="1935"/>
      <c r="G55" s="1937"/>
      <c r="H55" s="1938"/>
      <c r="I55" s="1939"/>
      <c r="J55" s="1870"/>
      <c r="K55" s="1678" t="s">
        <v>1145</v>
      </c>
      <c r="L55" s="1678"/>
      <c r="M55" s="1889" t="str">
        <f>'STANDARD COMP.'!M55</f>
        <v/>
      </c>
      <c r="N55" s="1469"/>
      <c r="O55" s="1469"/>
      <c r="P55" s="1890"/>
      <c r="Q55" s="1891"/>
      <c r="R55" s="1870"/>
      <c r="S55" s="1870"/>
      <c r="T55" s="1870"/>
      <c r="U55" s="1870"/>
      <c r="V55" s="1870"/>
      <c r="W55" s="1870"/>
      <c r="X55" s="1870"/>
      <c r="Y55" s="1870"/>
      <c r="Z55" s="1870"/>
      <c r="AA55" s="1870"/>
      <c r="AB55" s="1870"/>
      <c r="AC55" s="1870"/>
      <c r="AD55" s="1870"/>
      <c r="AE55" s="1870"/>
      <c r="AF55" s="1870"/>
      <c r="AG55" s="1870"/>
      <c r="AH55" s="1870"/>
      <c r="AI55" s="1870"/>
      <c r="AJ55" s="1870"/>
      <c r="AK55" s="1870"/>
    </row>
    <row r="56" spans="2:37" s="16" customFormat="1" ht="12.6">
      <c r="B56" s="1928">
        <f>FORM!O25</f>
        <v>0</v>
      </c>
      <c r="C56" s="1929"/>
      <c r="D56" s="1928">
        <f>FORM!S25</f>
        <v>0</v>
      </c>
      <c r="E56" s="1930"/>
      <c r="F56" s="1929"/>
      <c r="G56" s="1931">
        <f>FORM!V25</f>
        <v>0</v>
      </c>
      <c r="H56" s="1932"/>
      <c r="I56" s="1933"/>
      <c r="J56" s="1870"/>
      <c r="K56" s="1678" t="s">
        <v>1147</v>
      </c>
      <c r="L56" s="1678"/>
      <c r="M56" s="1889" t="str">
        <f>'STANDARD COMP.'!M56</f>
        <v/>
      </c>
      <c r="N56" s="1469"/>
      <c r="O56" s="1469"/>
      <c r="P56" s="1890"/>
      <c r="Q56" s="1891"/>
      <c r="R56" s="1870"/>
      <c r="S56" s="1870"/>
      <c r="T56" s="1870"/>
      <c r="U56" s="1870"/>
      <c r="V56" s="1870"/>
      <c r="W56" s="1870"/>
      <c r="X56" s="1870"/>
      <c r="Y56" s="1870"/>
      <c r="Z56" s="1870"/>
      <c r="AA56" s="1870"/>
      <c r="AB56" s="1870"/>
      <c r="AC56" s="1870"/>
      <c r="AD56" s="1870"/>
      <c r="AE56" s="1870"/>
      <c r="AF56" s="1870"/>
      <c r="AG56" s="1870"/>
      <c r="AH56" s="1870"/>
      <c r="AI56" s="1870"/>
      <c r="AJ56" s="1870"/>
      <c r="AK56" s="1870"/>
    </row>
    <row r="57" spans="2:37" s="16" customFormat="1" ht="12.6">
      <c r="B57" s="1934"/>
      <c r="C57" s="1935"/>
      <c r="D57" s="1934"/>
      <c r="E57" s="1936"/>
      <c r="F57" s="1935"/>
      <c r="G57" s="1937"/>
      <c r="H57" s="1938"/>
      <c r="I57" s="1939"/>
      <c r="J57" s="1870" t="s">
        <v>60</v>
      </c>
      <c r="K57" s="1678" t="s">
        <v>1148</v>
      </c>
      <c r="L57" s="1678"/>
      <c r="M57" s="1889" t="str">
        <f>'STANDARD COMP.'!M57</f>
        <v/>
      </c>
      <c r="N57" s="1469"/>
      <c r="O57" s="1469"/>
      <c r="P57" s="1890"/>
      <c r="Q57" s="1891"/>
      <c r="R57" s="1870"/>
      <c r="S57" s="1870"/>
      <c r="T57" s="1870"/>
      <c r="U57" s="1870"/>
      <c r="V57" s="1870"/>
      <c r="W57" s="1870"/>
      <c r="X57" s="1870"/>
      <c r="Y57" s="1870"/>
      <c r="Z57" s="1870"/>
      <c r="AA57" s="1870"/>
      <c r="AB57" s="1870"/>
      <c r="AC57" s="1870"/>
      <c r="AD57" s="1870"/>
      <c r="AE57" s="1870"/>
      <c r="AF57" s="1870"/>
      <c r="AG57" s="1870"/>
      <c r="AH57" s="1870"/>
      <c r="AI57" s="1870"/>
      <c r="AJ57" s="1870"/>
      <c r="AK57" s="1870"/>
    </row>
    <row r="58" spans="2:37" s="16" customFormat="1" ht="12.6">
      <c r="B58" s="1928">
        <f>FORM!O27</f>
        <v>0</v>
      </c>
      <c r="C58" s="1929"/>
      <c r="D58" s="1928">
        <f>FORM!S27</f>
        <v>0</v>
      </c>
      <c r="E58" s="1930"/>
      <c r="F58" s="1929"/>
      <c r="G58" s="1931">
        <f>FORM!V27</f>
        <v>0</v>
      </c>
      <c r="H58" s="1932"/>
      <c r="I58" s="1933"/>
      <c r="J58" s="1870"/>
      <c r="K58" s="1678" t="s">
        <v>1151</v>
      </c>
      <c r="L58" s="1678"/>
      <c r="M58" s="1889" t="str">
        <f>'STANDARD COMP.'!M58</f>
        <v/>
      </c>
      <c r="N58" s="1469"/>
      <c r="O58" s="1469"/>
      <c r="P58" s="1890"/>
      <c r="Q58" s="1891"/>
      <c r="R58" s="1870"/>
      <c r="S58" s="1870"/>
      <c r="T58" s="1870"/>
      <c r="U58" s="1870"/>
      <c r="V58" s="1870"/>
      <c r="W58" s="1870"/>
      <c r="X58" s="1870"/>
      <c r="Y58" s="1870"/>
      <c r="Z58" s="1870"/>
      <c r="AA58" s="1870"/>
      <c r="AB58" s="1870"/>
      <c r="AC58" s="1870"/>
      <c r="AD58" s="1870"/>
      <c r="AE58" s="1870"/>
      <c r="AF58" s="1870"/>
      <c r="AG58" s="1870"/>
      <c r="AH58" s="1870"/>
      <c r="AI58" s="1870"/>
      <c r="AJ58" s="1870"/>
      <c r="AK58" s="1870"/>
    </row>
    <row r="59" spans="2:37" s="16" customFormat="1" ht="12.6">
      <c r="B59" s="1934"/>
      <c r="C59" s="1935"/>
      <c r="D59" s="1934"/>
      <c r="E59" s="1936"/>
      <c r="F59" s="1935"/>
      <c r="G59" s="1937"/>
      <c r="H59" s="1938"/>
      <c r="I59" s="1939"/>
      <c r="J59" s="1870"/>
      <c r="K59" s="1678" t="s">
        <v>1152</v>
      </c>
      <c r="L59" s="1678"/>
      <c r="M59" s="1889" t="str">
        <f>'STANDARD COMP.'!M59</f>
        <v/>
      </c>
      <c r="N59" s="1469"/>
      <c r="O59" s="1469"/>
      <c r="P59" s="1890"/>
      <c r="Q59" s="1891"/>
      <c r="R59" s="1870"/>
      <c r="S59" s="1870"/>
      <c r="T59" s="1870"/>
      <c r="U59" s="1870"/>
      <c r="V59" s="1870"/>
      <c r="W59" s="1870"/>
      <c r="X59" s="1870"/>
      <c r="Y59" s="1870"/>
      <c r="Z59" s="1870"/>
      <c r="AA59" s="1870"/>
      <c r="AB59" s="1870"/>
      <c r="AC59" s="1870"/>
      <c r="AD59" s="1870"/>
      <c r="AE59" s="1870"/>
      <c r="AF59" s="1870"/>
      <c r="AG59" s="1870"/>
      <c r="AH59" s="1870"/>
      <c r="AI59" s="1870"/>
      <c r="AJ59" s="1870"/>
      <c r="AK59" s="1870"/>
    </row>
    <row r="60" spans="2:37" s="16" customFormat="1" ht="12.6">
      <c r="B60" s="1928">
        <f>FORM!O31</f>
        <v>0</v>
      </c>
      <c r="C60" s="1929"/>
      <c r="D60" s="1928">
        <f>FORM!S31</f>
        <v>0</v>
      </c>
      <c r="E60" s="1930"/>
      <c r="F60" s="1929"/>
      <c r="G60" s="1931">
        <f>FORM!V31</f>
        <v>0</v>
      </c>
      <c r="H60" s="1932"/>
      <c r="I60" s="1933"/>
      <c r="J60" s="1870"/>
      <c r="K60" s="1678" t="s">
        <v>1153</v>
      </c>
      <c r="L60" s="1678"/>
      <c r="M60" s="1889" t="str">
        <f>'STANDARD COMP.'!M60</f>
        <v/>
      </c>
      <c r="N60" s="1469"/>
      <c r="O60" s="1469"/>
      <c r="P60" s="1890"/>
      <c r="Q60" s="1891"/>
      <c r="R60" s="1870"/>
      <c r="S60" s="1870"/>
      <c r="T60" s="1870"/>
      <c r="U60" s="1870"/>
      <c r="V60" s="1870"/>
      <c r="W60" s="1870"/>
      <c r="X60" s="1870"/>
      <c r="Y60" s="1870"/>
      <c r="Z60" s="1870"/>
      <c r="AA60" s="1870"/>
      <c r="AB60" s="1870"/>
      <c r="AC60" s="1870"/>
      <c r="AD60" s="1870"/>
      <c r="AE60" s="1870"/>
      <c r="AF60" s="1870"/>
      <c r="AG60" s="1870"/>
      <c r="AH60" s="1870"/>
      <c r="AI60" s="1870"/>
      <c r="AJ60" s="1870"/>
      <c r="AK60" s="1870"/>
    </row>
    <row r="61" spans="2:37" s="16" customFormat="1" ht="12.6">
      <c r="B61" s="1934"/>
      <c r="C61" s="1935"/>
      <c r="D61" s="1934"/>
      <c r="E61" s="1936"/>
      <c r="F61" s="1935"/>
      <c r="G61" s="1937"/>
      <c r="H61" s="1938"/>
      <c r="I61" s="1939"/>
      <c r="J61" s="1870"/>
      <c r="K61" s="1678" t="s">
        <v>1154</v>
      </c>
      <c r="L61" s="1678"/>
      <c r="M61" s="1889" t="str">
        <f>'STANDARD COMP.'!M61</f>
        <v/>
      </c>
      <c r="N61" s="1469"/>
      <c r="O61" s="1469"/>
      <c r="P61" s="1890"/>
      <c r="Q61" s="1891"/>
      <c r="R61" s="1870"/>
      <c r="S61" s="1870"/>
      <c r="T61" s="1870"/>
      <c r="U61" s="1870"/>
      <c r="V61" s="1870"/>
      <c r="W61" s="1870"/>
      <c r="X61" s="1870"/>
      <c r="Y61" s="1870"/>
      <c r="Z61" s="1870"/>
      <c r="AA61" s="1870"/>
      <c r="AB61" s="1870"/>
      <c r="AC61" s="1870"/>
      <c r="AD61" s="1870"/>
      <c r="AE61" s="1870"/>
      <c r="AF61" s="1870"/>
      <c r="AG61" s="1870"/>
      <c r="AH61" s="1870"/>
      <c r="AI61" s="1870"/>
      <c r="AJ61" s="1870"/>
      <c r="AK61" s="1870"/>
    </row>
    <row r="62" spans="2:37" s="16" customFormat="1" ht="12.6">
      <c r="B62" s="1928">
        <f>FORM!O33</f>
        <v>0</v>
      </c>
      <c r="C62" s="1929"/>
      <c r="D62" s="1928">
        <f>FORM!S33</f>
        <v>0</v>
      </c>
      <c r="E62" s="1930"/>
      <c r="F62" s="1929"/>
      <c r="G62" s="1931">
        <f>FORM!V33</f>
        <v>0</v>
      </c>
      <c r="H62" s="1932"/>
      <c r="I62" s="1933"/>
      <c r="J62" s="1870"/>
      <c r="K62" s="1678" t="s">
        <v>1155</v>
      </c>
      <c r="L62" s="1678"/>
      <c r="M62" s="1889" t="str">
        <f>'STANDARD COMP.'!M62</f>
        <v/>
      </c>
      <c r="N62" s="1469"/>
      <c r="O62" s="1469"/>
      <c r="P62" s="1890"/>
      <c r="Q62" s="1891"/>
      <c r="R62" s="1870"/>
      <c r="S62" s="1870"/>
      <c r="T62" s="1870"/>
      <c r="U62" s="1870"/>
      <c r="V62" s="1870"/>
      <c r="W62" s="1870"/>
      <c r="X62" s="1870"/>
      <c r="Y62" s="1870"/>
      <c r="Z62" s="1870"/>
      <c r="AA62" s="1870"/>
      <c r="AB62" s="1870"/>
      <c r="AC62" s="1870"/>
      <c r="AD62" s="1870"/>
      <c r="AE62" s="1870"/>
      <c r="AF62" s="1870"/>
      <c r="AG62" s="1870"/>
      <c r="AH62" s="1870"/>
      <c r="AI62" s="1870"/>
      <c r="AJ62" s="1870"/>
      <c r="AK62" s="1870"/>
    </row>
    <row r="63" spans="2:37" s="16" customFormat="1" ht="12.6">
      <c r="B63" s="1934"/>
      <c r="C63" s="1935"/>
      <c r="D63" s="1934"/>
      <c r="E63" s="1936"/>
      <c r="F63" s="1935"/>
      <c r="G63" s="1937"/>
      <c r="H63" s="1938"/>
      <c r="I63" s="1939"/>
      <c r="J63" s="1870"/>
      <c r="K63" s="1678" t="s">
        <v>1156</v>
      </c>
      <c r="L63" s="1678"/>
      <c r="M63" s="1889" t="str">
        <f>'STANDARD COMP.'!M63</f>
        <v/>
      </c>
      <c r="N63" s="1469"/>
      <c r="O63" s="1469"/>
      <c r="P63" s="1890"/>
      <c r="Q63" s="1891"/>
      <c r="R63" s="1870"/>
      <c r="S63" s="1870"/>
      <c r="T63" s="1870"/>
      <c r="U63" s="1870"/>
      <c r="V63" s="1870"/>
      <c r="W63" s="1870"/>
      <c r="X63" s="1870"/>
      <c r="Y63" s="1870"/>
      <c r="Z63" s="1870"/>
      <c r="AA63" s="1870"/>
      <c r="AB63" s="1870"/>
      <c r="AC63" s="1870"/>
      <c r="AD63" s="1870"/>
      <c r="AE63" s="1870"/>
      <c r="AF63" s="1870"/>
      <c r="AG63" s="1870"/>
      <c r="AH63" s="1870"/>
      <c r="AI63" s="1870"/>
      <c r="AJ63" s="1870"/>
      <c r="AK63" s="1870"/>
    </row>
    <row r="64" spans="2:37" s="16" customFormat="1" ht="12.6">
      <c r="B64" s="1870"/>
      <c r="C64" s="1870"/>
      <c r="D64" s="1871"/>
      <c r="E64" s="1870"/>
      <c r="F64" s="1870"/>
      <c r="G64" s="1870"/>
      <c r="H64" s="1870"/>
      <c r="I64" s="1870"/>
      <c r="J64" s="1870"/>
      <c r="K64" s="1678" t="s">
        <v>1157</v>
      </c>
      <c r="L64" s="1678"/>
      <c r="M64" s="1889" t="str">
        <f>'STANDARD COMP.'!M64</f>
        <v/>
      </c>
      <c r="N64" s="1469"/>
      <c r="O64" s="1469"/>
      <c r="P64" s="1890"/>
      <c r="Q64" s="1891"/>
      <c r="R64" s="1870"/>
      <c r="S64" s="1870"/>
      <c r="T64" s="1870"/>
      <c r="U64" s="1870"/>
      <c r="V64" s="1870"/>
      <c r="W64" s="1870"/>
      <c r="X64" s="1870"/>
      <c r="Y64" s="1870"/>
      <c r="Z64" s="1870"/>
      <c r="AA64" s="1870"/>
      <c r="AB64" s="1870"/>
      <c r="AC64" s="1870"/>
      <c r="AD64" s="1870"/>
      <c r="AE64" s="1870"/>
      <c r="AF64" s="1870"/>
      <c r="AG64" s="1870"/>
      <c r="AH64" s="1870"/>
      <c r="AI64" s="1870"/>
      <c r="AJ64" s="1870"/>
      <c r="AK64" s="1870"/>
    </row>
    <row r="65" spans="2:17" s="16" customFormat="1" ht="12.6">
      <c r="B65" s="570"/>
      <c r="C65" s="571" t="s">
        <v>1181</v>
      </c>
      <c r="D65" s="1670"/>
      <c r="E65" s="1670"/>
      <c r="F65" s="1670"/>
      <c r="G65" s="1870"/>
      <c r="H65" s="1870"/>
      <c r="I65" s="1870"/>
      <c r="J65" s="1870"/>
      <c r="K65" s="1678" t="s">
        <v>1158</v>
      </c>
      <c r="L65" s="1678"/>
      <c r="M65" s="1889" t="str">
        <f>'STANDARD COMP.'!M65</f>
        <v/>
      </c>
      <c r="N65" s="1469"/>
      <c r="O65" s="1469"/>
      <c r="P65" s="1890"/>
      <c r="Q65" s="1891"/>
    </row>
    <row r="66" spans="2:17" s="16" customFormat="1" ht="12.6">
      <c r="B66" s="572"/>
      <c r="C66" s="1869"/>
      <c r="D66" s="1869"/>
      <c r="E66" s="1869"/>
      <c r="F66" s="559"/>
      <c r="G66" s="1870"/>
      <c r="H66" s="1870"/>
      <c r="I66" s="1870"/>
      <c r="J66" s="1870"/>
      <c r="K66" s="1678" t="s">
        <v>1159</v>
      </c>
      <c r="L66" s="1678"/>
      <c r="M66" s="1889" t="str">
        <f>'STANDARD COMP.'!M66</f>
        <v/>
      </c>
      <c r="N66" s="1469"/>
      <c r="O66" s="1469"/>
      <c r="P66" s="1890"/>
      <c r="Q66" s="1891"/>
    </row>
    <row r="67" spans="2:17" s="16" customFormat="1" ht="12.6">
      <c r="B67" s="203" t="s">
        <v>1168</v>
      </c>
      <c r="C67" s="203"/>
      <c r="D67" s="203"/>
      <c r="E67" s="203"/>
      <c r="F67" s="203" t="s">
        <v>1169</v>
      </c>
      <c r="G67" s="203"/>
      <c r="H67" s="203"/>
      <c r="I67" s="1870"/>
      <c r="J67" s="1870"/>
      <c r="K67" s="1678"/>
      <c r="L67" s="1678"/>
      <c r="M67" s="1889" t="str">
        <f>'STANDARD COMP.'!M67</f>
        <v/>
      </c>
      <c r="N67" s="1469"/>
      <c r="O67" s="1469"/>
      <c r="P67" s="1890"/>
      <c r="Q67" s="1891"/>
    </row>
    <row r="68" spans="2:17" s="16" customFormat="1" ht="12.6">
      <c r="B68" s="1870"/>
      <c r="C68" s="1870"/>
      <c r="D68" s="1871"/>
      <c r="E68" s="1870"/>
      <c r="F68" s="1870"/>
      <c r="G68" s="1870"/>
      <c r="H68" s="1870"/>
      <c r="I68" s="1870"/>
      <c r="J68" s="1870"/>
      <c r="K68" s="1678"/>
      <c r="L68" s="1678"/>
      <c r="M68" s="1889" t="str">
        <f>'STANDARD COMP.'!M68</f>
        <v/>
      </c>
      <c r="N68" s="1469"/>
      <c r="O68" s="1469"/>
      <c r="P68" s="1890"/>
      <c r="Q68" s="1891"/>
    </row>
    <row r="69" spans="2:17" s="16" customFormat="1" ht="12.6">
      <c r="B69" s="1940" t="str">
        <f>FORM!I28</f>
        <v xml:space="preserve">agent </v>
      </c>
      <c r="C69" s="1940"/>
      <c r="D69" s="1941"/>
      <c r="E69" s="1870"/>
      <c r="F69" s="1940" t="str">
        <f>FORM!I26</f>
        <v>buyer</v>
      </c>
      <c r="G69" s="1940"/>
      <c r="H69" s="1870"/>
      <c r="I69" s="1870"/>
      <c r="J69" s="1870"/>
      <c r="K69" s="1678"/>
      <c r="L69" s="1678"/>
      <c r="M69" s="1889" t="str">
        <f>'STANDARD COMP.'!M69</f>
        <v/>
      </c>
      <c r="N69" s="1469"/>
      <c r="O69" s="1469"/>
      <c r="P69" s="1890"/>
      <c r="Q69" s="1891"/>
    </row>
    <row r="70" spans="2:17" s="16" customFormat="1" ht="12.6">
      <c r="B70" s="1942" t="s">
        <v>1171</v>
      </c>
      <c r="C70" s="1942"/>
      <c r="D70" s="1871"/>
      <c r="E70" s="1870"/>
      <c r="F70" s="1942" t="s">
        <v>1171</v>
      </c>
      <c r="G70" s="1942"/>
      <c r="H70" s="1870"/>
      <c r="I70" s="1870"/>
      <c r="J70" s="1870"/>
      <c r="K70" s="1678"/>
      <c r="L70" s="1678"/>
      <c r="M70" s="1889" t="str">
        <f>'STANDARD COMP.'!M70</f>
        <v/>
      </c>
      <c r="N70" s="1469"/>
      <c r="O70" s="1469"/>
      <c r="P70" s="1890"/>
      <c r="Q70" s="1891"/>
    </row>
    <row r="71" spans="2:17" s="16" customFormat="1" ht="12.6">
      <c r="B71" s="1870"/>
      <c r="C71" s="1870"/>
      <c r="D71" s="1871"/>
      <c r="E71" s="1870"/>
      <c r="F71" s="1870"/>
      <c r="G71" s="1870"/>
      <c r="H71" s="1870"/>
      <c r="I71" s="1870"/>
      <c r="J71" s="1870"/>
      <c r="K71" s="1678"/>
      <c r="L71" s="1678"/>
      <c r="M71" s="1889" t="str">
        <f>'STANDARD COMP.'!M71</f>
        <v/>
      </c>
      <c r="N71" s="1469"/>
      <c r="O71" s="1469"/>
      <c r="P71" s="1890"/>
      <c r="Q71" s="1891"/>
    </row>
    <row r="72" spans="2:17" s="16" customFormat="1" ht="12.6">
      <c r="B72" s="1870"/>
      <c r="C72" s="1870"/>
      <c r="D72" s="1871"/>
      <c r="E72" s="1870"/>
      <c r="F72" s="1870"/>
      <c r="G72" s="1870"/>
      <c r="H72" s="1870"/>
      <c r="I72" s="1870"/>
      <c r="J72" s="1870"/>
      <c r="K72" s="1678"/>
      <c r="L72" s="1678"/>
      <c r="M72" s="1889" t="str">
        <f>'STANDARD COMP.'!M72</f>
        <v/>
      </c>
      <c r="N72" s="1469"/>
      <c r="O72" s="1469"/>
      <c r="P72" s="1890"/>
      <c r="Q72" s="1891"/>
    </row>
    <row r="73" spans="2:17" s="16" customFormat="1" ht="12.6">
      <c r="B73" s="1870"/>
      <c r="C73" s="1870"/>
      <c r="D73" s="1871"/>
      <c r="E73" s="1870"/>
      <c r="F73" s="1870"/>
      <c r="G73" s="1870"/>
      <c r="H73" s="1870"/>
      <c r="I73" s="1870"/>
      <c r="J73" s="1870"/>
      <c r="K73" s="1678"/>
      <c r="L73" s="1678"/>
      <c r="M73" s="1889"/>
      <c r="N73" s="1469"/>
      <c r="O73" s="1469"/>
      <c r="P73" s="1890"/>
      <c r="Q73" s="1891"/>
    </row>
    <row r="74" spans="2:17" s="16" customFormat="1" ht="12.6">
      <c r="B74" s="1870"/>
      <c r="C74" s="1870"/>
      <c r="D74" s="1871"/>
      <c r="E74" s="1870"/>
      <c r="F74" s="1870"/>
      <c r="G74" s="1870"/>
      <c r="H74" s="1870"/>
      <c r="I74" s="1870"/>
      <c r="J74" s="1870"/>
      <c r="K74" s="1678"/>
      <c r="L74" s="1678"/>
      <c r="M74" s="275"/>
      <c r="N74" s="1469"/>
      <c r="O74" s="1469"/>
      <c r="P74" s="1890"/>
      <c r="Q74" s="1891"/>
    </row>
    <row r="75" spans="2:17" s="16" customFormat="1" ht="12.6">
      <c r="B75" s="1870"/>
      <c r="C75" s="1870"/>
      <c r="D75" s="1871"/>
      <c r="E75" s="1870"/>
      <c r="F75" s="1870"/>
      <c r="G75" s="1870"/>
      <c r="H75" s="1870"/>
      <c r="I75" s="1870"/>
      <c r="J75" s="1870"/>
      <c r="K75" s="1678" t="s">
        <v>1251</v>
      </c>
      <c r="L75" s="1678"/>
      <c r="M75" s="275">
        <f>M76</f>
        <v>46817</v>
      </c>
      <c r="N75" s="1469">
        <f>F27</f>
        <v>116217.8568529022</v>
      </c>
      <c r="O75" s="1469"/>
      <c r="P75" s="1890"/>
      <c r="Q75" s="1891"/>
    </row>
    <row r="76" spans="2:17" s="16" customFormat="1" ht="12.6">
      <c r="B76" s="1870"/>
      <c r="C76" s="1870"/>
      <c r="D76" s="1871"/>
      <c r="E76" s="1870"/>
      <c r="F76" s="1870"/>
      <c r="G76" s="1870"/>
      <c r="H76" s="1870"/>
      <c r="I76" s="1870"/>
      <c r="J76" s="1870"/>
      <c r="K76" s="1678" t="s">
        <v>1167</v>
      </c>
      <c r="L76" s="1678"/>
      <c r="M76" s="275">
        <f>'STANDARD COMP.'!M73</f>
        <v>46817</v>
      </c>
      <c r="N76" s="1676">
        <f>F35</f>
        <v>4067624.9898515767</v>
      </c>
      <c r="O76" s="1676"/>
      <c r="P76" s="1890"/>
      <c r="Q76" s="1891"/>
    </row>
    <row r="77" spans="2:17" s="16" customFormat="1" ht="12.6">
      <c r="B77" s="1870"/>
      <c r="C77" s="1870"/>
      <c r="D77" s="1871"/>
      <c r="E77" s="1870"/>
      <c r="F77" s="1870"/>
      <c r="G77" s="1870"/>
      <c r="H77" s="1870"/>
      <c r="I77" s="1870"/>
      <c r="J77" s="1870"/>
      <c r="K77" s="569"/>
      <c r="L77" s="1870"/>
      <c r="M77" s="1888"/>
      <c r="N77" s="1870"/>
      <c r="O77" s="1870"/>
      <c r="P77" s="1870"/>
      <c r="Q77" s="1870"/>
    </row>
    <row r="78" spans="2:17" s="16" customFormat="1" ht="12.6">
      <c r="B78" s="1870"/>
      <c r="C78" s="1870"/>
      <c r="D78" s="1871"/>
      <c r="E78" s="1870"/>
      <c r="F78" s="1870"/>
      <c r="G78" s="1870"/>
      <c r="H78" s="1870"/>
      <c r="I78" s="1870"/>
      <c r="J78" s="1870"/>
      <c r="K78" s="569"/>
      <c r="L78" s="1870"/>
      <c r="M78" s="1888"/>
      <c r="N78" s="1870"/>
      <c r="O78" s="1870"/>
      <c r="P78" s="1870"/>
      <c r="Q78" s="1870"/>
    </row>
    <row r="79" spans="2:17" s="16" customFormat="1" ht="12.6">
      <c r="B79" s="1870"/>
      <c r="C79" s="1870"/>
      <c r="D79" s="1871"/>
      <c r="E79" s="1870"/>
      <c r="F79" s="1870"/>
      <c r="G79" s="1870"/>
      <c r="H79" s="1870"/>
      <c r="I79" s="1870"/>
      <c r="J79" s="1870"/>
      <c r="K79" s="1870"/>
      <c r="L79" s="1870"/>
      <c r="M79" s="1888"/>
      <c r="N79" s="1870"/>
      <c r="O79" s="1870"/>
      <c r="P79" s="1870"/>
      <c r="Q79" s="1870"/>
    </row>
    <row r="80" spans="2:17" s="16" customFormat="1" ht="12.6">
      <c r="B80" s="1870"/>
      <c r="C80" s="1870"/>
      <c r="D80" s="1871"/>
      <c r="E80" s="1870"/>
      <c r="F80" s="1870"/>
      <c r="G80" s="1870"/>
      <c r="H80" s="1870"/>
      <c r="I80" s="1870"/>
      <c r="J80" s="1870"/>
      <c r="K80" s="203" t="s">
        <v>1168</v>
      </c>
      <c r="L80" s="203"/>
      <c r="M80" s="203"/>
      <c r="N80" s="203"/>
      <c r="O80" s="1870"/>
      <c r="P80" s="203" t="s">
        <v>1169</v>
      </c>
      <c r="Q80" s="203"/>
    </row>
    <row r="81" spans="4:17" s="16" customFormat="1" ht="12.6">
      <c r="D81" s="1871"/>
      <c r="E81" s="1870"/>
      <c r="F81" s="1870"/>
      <c r="G81" s="1870"/>
      <c r="H81" s="1870"/>
      <c r="I81" s="1870"/>
      <c r="J81" s="1870"/>
      <c r="K81" s="1870"/>
      <c r="L81" s="1870"/>
      <c r="M81" s="1871"/>
      <c r="N81" s="1870"/>
      <c r="O81" s="1870"/>
      <c r="P81" s="1870"/>
      <c r="Q81" s="1870"/>
    </row>
    <row r="82" spans="4:17" s="16" customFormat="1" ht="12.6">
      <c r="D82" s="1871"/>
      <c r="E82" s="1870"/>
      <c r="F82" s="1870"/>
      <c r="G82" s="1870"/>
      <c r="H82" s="1870"/>
      <c r="I82" s="1870"/>
      <c r="J82" s="1870"/>
      <c r="K82" s="1870"/>
      <c r="L82" s="1870"/>
      <c r="M82" s="1871"/>
      <c r="N82" s="1870"/>
      <c r="O82" s="1870"/>
      <c r="P82" s="1870"/>
      <c r="Q82" s="1870"/>
    </row>
    <row r="83" spans="4:17" s="16" customFormat="1" ht="12.6">
      <c r="D83" s="1871"/>
      <c r="E83" s="1870"/>
      <c r="F83" s="1870"/>
      <c r="G83" s="1870"/>
      <c r="H83" s="1870"/>
      <c r="I83" s="1870"/>
      <c r="J83" s="1870"/>
      <c r="K83" s="1940" t="str">
        <f>FORM!I28</f>
        <v xml:space="preserve">agent </v>
      </c>
      <c r="L83" s="1940"/>
      <c r="M83" s="1940"/>
      <c r="N83" s="1870"/>
      <c r="O83" s="1870"/>
      <c r="P83" s="1940" t="str">
        <f>FORM!I26</f>
        <v>buyer</v>
      </c>
      <c r="Q83" s="1940"/>
    </row>
    <row r="84" spans="4:17" s="16" customFormat="1" ht="12.6">
      <c r="D84" s="1871"/>
      <c r="E84" s="1870"/>
      <c r="F84" s="1870"/>
      <c r="G84" s="1870"/>
      <c r="H84" s="1870"/>
      <c r="I84" s="1870"/>
      <c r="J84" s="1870"/>
      <c r="K84" s="1942" t="s">
        <v>1171</v>
      </c>
      <c r="L84" s="1942"/>
      <c r="M84" s="1943"/>
      <c r="N84" s="1870"/>
      <c r="O84" s="1870"/>
      <c r="P84" s="1942" t="s">
        <v>1171</v>
      </c>
      <c r="Q84" s="1942"/>
    </row>
    <row r="85" spans="4:17" s="16" customFormat="1" ht="12.6">
      <c r="D85" s="1871"/>
      <c r="E85" s="1870"/>
      <c r="F85" s="1870"/>
      <c r="G85" s="1870"/>
      <c r="H85" s="1870"/>
      <c r="I85" s="1870"/>
      <c r="J85" s="1870"/>
      <c r="K85" s="1870"/>
      <c r="L85" s="1870"/>
      <c r="M85" s="1870"/>
      <c r="N85" s="1870"/>
      <c r="O85" s="1870"/>
      <c r="P85" s="1870"/>
      <c r="Q85" s="1870"/>
    </row>
    <row r="86" spans="4:17" s="16" customFormat="1" ht="12.6">
      <c r="D86" s="1871"/>
      <c r="E86" s="1870"/>
      <c r="F86" s="1870"/>
      <c r="G86" s="1870"/>
      <c r="H86" s="1870"/>
      <c r="I86" s="1870"/>
      <c r="J86" s="1870"/>
      <c r="K86" s="1870"/>
      <c r="L86" s="1870"/>
      <c r="M86" s="1870"/>
      <c r="N86" s="1870"/>
      <c r="O86" s="1870"/>
      <c r="P86" s="1870"/>
      <c r="Q86" s="1870"/>
    </row>
    <row r="87" spans="4:17" s="16" customFormat="1" ht="12.6">
      <c r="D87" s="1871"/>
      <c r="E87" s="1870"/>
      <c r="F87" s="1870"/>
      <c r="G87" s="1870"/>
      <c r="H87" s="1870"/>
      <c r="I87" s="1870"/>
      <c r="J87" s="1870"/>
      <c r="K87" s="1870"/>
      <c r="L87" s="1870"/>
      <c r="M87" s="1888"/>
      <c r="N87" s="1870"/>
      <c r="O87" s="1870"/>
      <c r="P87" s="1870"/>
      <c r="Q87" s="1870"/>
    </row>
    <row r="88" spans="4:17" s="16" customFormat="1" ht="12.6">
      <c r="D88" s="1871"/>
      <c r="E88" s="1870"/>
      <c r="F88" s="1870"/>
      <c r="G88" s="1870"/>
      <c r="H88" s="1870"/>
      <c r="I88" s="1870"/>
      <c r="J88" s="1870"/>
      <c r="K88" s="1870"/>
      <c r="L88" s="1870"/>
      <c r="M88" s="1888"/>
      <c r="N88" s="1870"/>
      <c r="O88" s="1870"/>
      <c r="P88" s="1870"/>
      <c r="Q88" s="1870"/>
    </row>
    <row r="89" spans="4:17" s="16" customFormat="1" ht="12.6">
      <c r="D89" s="1871"/>
      <c r="E89" s="1870"/>
      <c r="F89" s="1870"/>
      <c r="G89" s="1870"/>
      <c r="H89" s="1870"/>
      <c r="I89" s="1870"/>
      <c r="J89" s="1870"/>
      <c r="K89" s="1870"/>
      <c r="L89" s="1870"/>
      <c r="M89" s="1888"/>
      <c r="N89" s="1870"/>
      <c r="O89" s="1870"/>
      <c r="P89" s="1870"/>
      <c r="Q89" s="1870"/>
    </row>
    <row r="90" spans="4:17" s="16" customFormat="1" ht="12.6">
      <c r="D90" s="1871"/>
      <c r="E90" s="1870"/>
      <c r="F90" s="1870"/>
      <c r="G90" s="1870"/>
      <c r="H90" s="1870"/>
      <c r="I90" s="1870"/>
      <c r="J90" s="1870"/>
      <c r="K90" s="1870"/>
      <c r="L90" s="1870"/>
      <c r="M90" s="1888"/>
      <c r="N90" s="1870"/>
      <c r="O90" s="1870"/>
      <c r="P90" s="1870"/>
      <c r="Q90" s="1870"/>
    </row>
    <row r="91" spans="4:17" s="16" customFormat="1" ht="12.6">
      <c r="D91" s="1871"/>
      <c r="E91" s="1870"/>
      <c r="F91" s="1870"/>
      <c r="G91" s="1870"/>
      <c r="H91" s="1870"/>
      <c r="I91" s="1870"/>
      <c r="J91" s="1870"/>
      <c r="K91" s="1870"/>
      <c r="L91" s="1870"/>
      <c r="M91" s="1888"/>
      <c r="N91" s="1870"/>
      <c r="O91" s="1870"/>
      <c r="P91" s="1870"/>
      <c r="Q91" s="1870"/>
    </row>
    <row r="92" spans="4:17" s="16" customFormat="1" ht="12.6">
      <c r="D92" s="1871"/>
      <c r="E92" s="1870"/>
      <c r="F92" s="1870"/>
      <c r="G92" s="1870"/>
      <c r="H92" s="1870"/>
      <c r="I92" s="1870"/>
      <c r="J92" s="1870"/>
      <c r="K92" s="1870"/>
      <c r="L92" s="1870"/>
      <c r="M92" s="1888"/>
      <c r="N92" s="1870"/>
      <c r="O92" s="1870"/>
      <c r="P92" s="1870"/>
      <c r="Q92" s="1870"/>
    </row>
    <row r="93" spans="4:17" s="16" customFormat="1" ht="12.6">
      <c r="D93" s="1871"/>
      <c r="E93" s="1870"/>
      <c r="F93" s="1870"/>
      <c r="G93" s="1870"/>
      <c r="H93" s="1870"/>
      <c r="I93" s="1870"/>
      <c r="J93" s="1870"/>
      <c r="K93" s="1870"/>
      <c r="L93" s="1870"/>
      <c r="M93" s="1888"/>
      <c r="N93" s="1870"/>
      <c r="O93" s="1870"/>
      <c r="P93" s="1870"/>
      <c r="Q93" s="1870"/>
    </row>
    <row r="94" spans="4:17" s="16" customFormat="1" ht="12.6">
      <c r="D94" s="1871"/>
      <c r="E94" s="1870"/>
      <c r="F94" s="1870"/>
      <c r="G94" s="1870"/>
      <c r="H94" s="1870"/>
      <c r="I94" s="1870"/>
      <c r="J94" s="1870"/>
      <c r="K94" s="1870"/>
      <c r="L94" s="1870"/>
      <c r="M94" s="1888"/>
      <c r="N94" s="1870"/>
      <c r="O94" s="1870"/>
      <c r="P94" s="1870"/>
      <c r="Q94" s="1870"/>
    </row>
    <row r="95" spans="4:17" s="16" customFormat="1" ht="12.6">
      <c r="D95" s="1871"/>
      <c r="E95" s="1870"/>
      <c r="F95" s="1870"/>
      <c r="G95" s="1870"/>
      <c r="H95" s="1870"/>
      <c r="I95" s="1870"/>
      <c r="J95" s="1870"/>
      <c r="K95" s="1870"/>
      <c r="L95" s="1870"/>
      <c r="M95" s="1888"/>
      <c r="N95" s="1870"/>
      <c r="O95" s="1870"/>
      <c r="P95" s="1870"/>
      <c r="Q95" s="1870"/>
    </row>
    <row r="96" spans="4:17" s="16" customFormat="1" ht="12.6">
      <c r="D96" s="1871"/>
      <c r="E96" s="1870"/>
      <c r="F96" s="1870"/>
      <c r="G96" s="1870"/>
      <c r="H96" s="1870"/>
      <c r="I96" s="1870"/>
      <c r="J96" s="1870"/>
      <c r="K96" s="1870"/>
      <c r="L96" s="1870"/>
      <c r="M96" s="1888"/>
      <c r="N96" s="1870"/>
      <c r="O96" s="1870"/>
      <c r="P96" s="1870"/>
      <c r="Q96" s="1870"/>
    </row>
    <row r="97" spans="2:17" s="16" customFormat="1" ht="12.6">
      <c r="B97" s="1870"/>
      <c r="C97" s="1870"/>
      <c r="D97" s="1871"/>
      <c r="E97" s="1870"/>
      <c r="F97" s="1870"/>
      <c r="G97" s="1870"/>
      <c r="H97" s="1870"/>
      <c r="I97" s="1870"/>
      <c r="J97" s="1870"/>
      <c r="K97" s="1870"/>
      <c r="L97" s="1870"/>
      <c r="M97" s="1888"/>
      <c r="N97" s="1870"/>
      <c r="O97" s="1870"/>
      <c r="P97" s="1870"/>
      <c r="Q97" s="1870"/>
    </row>
    <row r="98" spans="2:17" s="16" customFormat="1" ht="12.6">
      <c r="B98" s="1870"/>
      <c r="C98" s="1870"/>
      <c r="D98" s="1871"/>
      <c r="E98" s="1870"/>
      <c r="F98" s="1870"/>
      <c r="G98" s="1870"/>
      <c r="H98" s="1870"/>
      <c r="I98" s="1870"/>
      <c r="J98" s="1870"/>
      <c r="K98" s="1870"/>
      <c r="L98" s="1870"/>
      <c r="M98" s="1888"/>
      <c r="N98" s="1870"/>
      <c r="O98" s="1870"/>
      <c r="P98" s="1870"/>
      <c r="Q98" s="1870"/>
    </row>
    <row r="99" spans="2:17" s="16" customFormat="1" ht="12.6">
      <c r="B99" s="1870"/>
      <c r="C99" s="1870"/>
      <c r="D99" s="1871"/>
      <c r="E99" s="1870"/>
      <c r="F99" s="1870"/>
      <c r="G99" s="1870"/>
      <c r="H99" s="1870"/>
      <c r="I99" s="1870"/>
      <c r="J99" s="1870"/>
      <c r="K99" s="1870"/>
      <c r="L99" s="1870"/>
      <c r="M99" s="1888"/>
      <c r="N99" s="1870"/>
      <c r="O99" s="1870"/>
      <c r="P99" s="1870"/>
      <c r="Q99" s="1870"/>
    </row>
    <row r="100" spans="2:17" s="16" customFormat="1" ht="12.6">
      <c r="B100" s="1870"/>
      <c r="C100" s="1870"/>
      <c r="D100" s="1871"/>
      <c r="E100" s="1870"/>
      <c r="F100" s="1870"/>
      <c r="G100" s="1870"/>
      <c r="H100" s="1870"/>
      <c r="I100" s="1870"/>
      <c r="J100" s="1870"/>
      <c r="K100" s="1870"/>
      <c r="L100" s="1870"/>
      <c r="M100" s="1888"/>
      <c r="N100" s="1870"/>
      <c r="O100" s="1870"/>
      <c r="P100" s="1870"/>
      <c r="Q100" s="1870"/>
    </row>
    <row r="101" spans="2:17" s="16" customFormat="1" ht="12.6">
      <c r="B101" s="1870"/>
      <c r="C101" s="1870"/>
      <c r="D101" s="1871"/>
      <c r="E101" s="1870"/>
      <c r="F101" s="1870"/>
      <c r="G101" s="1870"/>
      <c r="H101" s="1870"/>
      <c r="I101" s="1870"/>
      <c r="J101" s="1870"/>
      <c r="K101" s="1870"/>
      <c r="L101" s="1870"/>
      <c r="M101" s="1888"/>
      <c r="N101" s="1870"/>
      <c r="O101" s="1870"/>
      <c r="P101" s="1870"/>
      <c r="Q101" s="1870"/>
    </row>
    <row r="102" spans="2:17" s="16" customFormat="1" ht="12.6">
      <c r="B102" s="1870"/>
      <c r="C102" s="1870"/>
      <c r="D102" s="1871"/>
      <c r="E102" s="1870"/>
      <c r="F102" s="1870"/>
      <c r="G102" s="1870"/>
      <c r="H102" s="1870"/>
      <c r="I102" s="1870"/>
      <c r="J102" s="1870"/>
      <c r="K102" s="1870"/>
      <c r="L102" s="1870"/>
      <c r="M102" s="1888"/>
      <c r="N102" s="1870"/>
      <c r="O102" s="1870"/>
      <c r="P102" s="1870"/>
      <c r="Q102" s="1870"/>
    </row>
    <row r="103" spans="2:17" s="16" customFormat="1" ht="12.6">
      <c r="B103" s="1870"/>
      <c r="C103" s="1870"/>
      <c r="D103" s="1871"/>
      <c r="E103" s="1870"/>
      <c r="F103" s="1870"/>
      <c r="G103" s="1870"/>
      <c r="H103" s="1870"/>
      <c r="I103" s="1870"/>
      <c r="J103" s="1870"/>
      <c r="K103" s="1870"/>
      <c r="L103" s="1870"/>
      <c r="M103" s="1888"/>
      <c r="N103" s="1870"/>
      <c r="O103" s="1870"/>
      <c r="P103" s="1870"/>
      <c r="Q103" s="1870"/>
    </row>
    <row r="104" spans="2:17" s="16" customFormat="1" ht="12.6">
      <c r="B104" s="1870"/>
      <c r="C104" s="1870"/>
      <c r="D104" s="1871"/>
      <c r="E104" s="1870"/>
      <c r="F104" s="1870"/>
      <c r="G104" s="1870"/>
      <c r="H104" s="1870"/>
      <c r="I104" s="1870"/>
      <c r="J104" s="1870"/>
      <c r="K104" s="1870"/>
      <c r="L104" s="1870"/>
      <c r="M104" s="1888"/>
      <c r="N104" s="1870"/>
      <c r="O104" s="1870"/>
      <c r="P104" s="1870"/>
      <c r="Q104" s="1870"/>
    </row>
    <row r="105" spans="2:17" s="16" customFormat="1" ht="12.6">
      <c r="B105" s="1870"/>
      <c r="C105" s="1870"/>
      <c r="D105" s="1871"/>
      <c r="E105" s="1870"/>
      <c r="F105" s="1870"/>
      <c r="G105" s="1870"/>
      <c r="H105" s="1870"/>
      <c r="I105" s="1870"/>
      <c r="J105" s="1870"/>
      <c r="K105" s="1870"/>
      <c r="L105" s="1870"/>
      <c r="M105" s="1888"/>
      <c r="N105" s="1870"/>
      <c r="O105" s="1870"/>
      <c r="P105" s="1870"/>
      <c r="Q105" s="1870"/>
    </row>
    <row r="106" spans="2:17" s="16" customFormat="1" ht="12.6">
      <c r="B106" s="1870"/>
      <c r="C106" s="1870"/>
      <c r="D106" s="1871"/>
      <c r="E106" s="1870"/>
      <c r="F106" s="1870"/>
      <c r="G106" s="1870"/>
      <c r="H106" s="1870"/>
      <c r="I106" s="1870"/>
      <c r="J106" s="1870"/>
      <c r="K106" s="1870"/>
      <c r="L106" s="1870"/>
      <c r="M106" s="1888"/>
      <c r="N106" s="1870"/>
      <c r="O106" s="1870"/>
      <c r="P106" s="1870"/>
      <c r="Q106" s="1870"/>
    </row>
    <row r="107" spans="2:17" s="16" customFormat="1" ht="12.6">
      <c r="B107" s="1870"/>
      <c r="C107" s="1870"/>
      <c r="D107" s="1871"/>
      <c r="E107" s="1870"/>
      <c r="F107" s="1870"/>
      <c r="G107" s="1870"/>
      <c r="H107" s="1870"/>
      <c r="I107" s="1870"/>
      <c r="J107" s="1870"/>
      <c r="K107" s="1870"/>
      <c r="L107" s="1870"/>
      <c r="M107" s="1888"/>
      <c r="N107" s="1870"/>
      <c r="O107" s="1870"/>
      <c r="P107" s="1870"/>
      <c r="Q107" s="1870"/>
    </row>
    <row r="108" spans="2:17">
      <c r="B108" s="1870"/>
      <c r="C108" s="1870"/>
      <c r="D108" s="1871"/>
      <c r="E108" s="1870"/>
      <c r="F108" s="1870"/>
      <c r="G108" s="1870"/>
      <c r="H108" s="1870"/>
      <c r="I108" s="1870"/>
      <c r="K108" s="1870"/>
      <c r="L108" s="1870"/>
      <c r="M108" s="1888"/>
      <c r="N108" s="1870"/>
      <c r="O108" s="1870"/>
      <c r="P108" s="1870"/>
      <c r="Q108" s="1870"/>
    </row>
    <row r="109" spans="2:17">
      <c r="K109" s="1870"/>
      <c r="L109" s="1870"/>
      <c r="M109" s="1888"/>
      <c r="N109" s="1870"/>
      <c r="O109" s="1870"/>
      <c r="P109" s="1870"/>
      <c r="Q109" s="1870"/>
    </row>
    <row r="110" spans="2:17">
      <c r="K110" s="1870"/>
      <c r="L110" s="1870"/>
      <c r="M110" s="1888"/>
      <c r="N110" s="1870"/>
      <c r="O110" s="1870"/>
      <c r="P110" s="1870"/>
      <c r="Q110" s="1870"/>
    </row>
    <row r="111" spans="2:17">
      <c r="K111" s="1870"/>
      <c r="L111" s="1870"/>
      <c r="M111" s="1888"/>
      <c r="N111" s="1870"/>
      <c r="O111" s="1870"/>
      <c r="P111" s="1870"/>
      <c r="Q111" s="1870"/>
    </row>
    <row r="112" spans="2:17">
      <c r="K112" s="1870"/>
      <c r="L112" s="1870"/>
      <c r="M112" s="1888"/>
      <c r="N112" s="1870"/>
      <c r="O112" s="1870"/>
      <c r="P112" s="1870"/>
      <c r="Q112" s="1870"/>
    </row>
    <row r="113" spans="1:17">
      <c r="K113" s="1870"/>
      <c r="L113" s="1870"/>
      <c r="M113" s="1888"/>
      <c r="N113" s="1870"/>
      <c r="O113" s="1870"/>
      <c r="P113" s="1870"/>
      <c r="Q113" s="1870"/>
    </row>
    <row r="114" spans="1:17">
      <c r="A114" s="206">
        <f>F18*12%</f>
        <v>494763.38172410685</v>
      </c>
      <c r="K114" s="1870"/>
      <c r="L114" s="1870"/>
      <c r="M114" s="1888"/>
      <c r="N114" s="1870"/>
      <c r="O114" s="1870"/>
      <c r="P114" s="1870"/>
      <c r="Q114" s="1870"/>
    </row>
    <row r="115" spans="1:17">
      <c r="K115" s="1870"/>
      <c r="L115" s="1870"/>
      <c r="M115" s="1888"/>
      <c r="N115" s="1870"/>
      <c r="O115" s="1870"/>
      <c r="P115" s="1870"/>
      <c r="Q115" s="1870"/>
    </row>
    <row r="116" spans="1:17">
      <c r="K116" s="1870"/>
      <c r="L116" s="1870"/>
      <c r="M116" s="1888"/>
      <c r="N116" s="1870"/>
      <c r="O116" s="1870"/>
      <c r="P116" s="1870"/>
      <c r="Q116" s="1870"/>
    </row>
    <row r="117" spans="1:17">
      <c r="K117" s="1870"/>
      <c r="L117" s="1870"/>
      <c r="M117" s="1888"/>
      <c r="N117" s="1870"/>
      <c r="O117" s="1870"/>
      <c r="P117" s="1870"/>
      <c r="Q117" s="1870"/>
    </row>
    <row r="118" spans="1:17">
      <c r="K118" s="1870"/>
      <c r="L118" s="1870"/>
      <c r="M118" s="1888"/>
      <c r="N118" s="1870"/>
      <c r="O118" s="1870"/>
      <c r="P118" s="1870"/>
      <c r="Q118" s="1870"/>
    </row>
    <row r="119" spans="1:17">
      <c r="K119" s="1870"/>
      <c r="L119" s="1870"/>
      <c r="M119" s="1888"/>
      <c r="N119" s="1870"/>
      <c r="O119" s="1870"/>
      <c r="P119" s="1870"/>
      <c r="Q119" s="1870"/>
    </row>
    <row r="120" spans="1:17">
      <c r="K120" s="1870"/>
      <c r="L120" s="1870"/>
      <c r="M120" s="1888"/>
      <c r="N120" s="1870"/>
      <c r="O120" s="1870"/>
      <c r="P120" s="1870"/>
      <c r="Q120" s="1870"/>
    </row>
    <row r="121" spans="1:17">
      <c r="K121" s="1870"/>
      <c r="L121" s="1870"/>
      <c r="M121" s="1888"/>
      <c r="N121" s="1870"/>
      <c r="O121" s="1870"/>
      <c r="P121" s="1870"/>
      <c r="Q121" s="1870"/>
    </row>
    <row r="122" spans="1:17">
      <c r="K122" s="1870"/>
      <c r="L122" s="1870"/>
      <c r="M122" s="1888"/>
      <c r="N122" s="1870"/>
      <c r="O122" s="1870"/>
      <c r="P122" s="1870"/>
      <c r="Q122" s="1870"/>
    </row>
    <row r="123" spans="1:17">
      <c r="K123" s="1870"/>
      <c r="L123" s="1870"/>
      <c r="M123" s="1888"/>
      <c r="N123" s="1870"/>
      <c r="O123" s="1870"/>
      <c r="P123" s="1870"/>
      <c r="Q123" s="1870"/>
    </row>
    <row r="124" spans="1:17">
      <c r="K124" s="1870"/>
      <c r="L124" s="1870"/>
      <c r="M124" s="1888"/>
      <c r="N124" s="1870"/>
      <c r="O124" s="1870"/>
      <c r="P124" s="1870"/>
      <c r="Q124" s="1870"/>
    </row>
    <row r="125" spans="1:17">
      <c r="K125" s="1870"/>
      <c r="L125" s="1870"/>
      <c r="M125" s="1888"/>
      <c r="N125" s="1870"/>
      <c r="O125" s="1870"/>
      <c r="P125" s="1870"/>
      <c r="Q125" s="1870"/>
    </row>
    <row r="126" spans="1:17">
      <c r="K126" s="1870"/>
      <c r="L126" s="1870"/>
      <c r="M126" s="1888"/>
      <c r="N126" s="1870"/>
      <c r="O126" s="1870"/>
      <c r="P126" s="1870"/>
      <c r="Q126" s="1870"/>
    </row>
  </sheetData>
  <sheetProtection selectLockedCells="1"/>
  <mergeCells count="285">
    <mergeCell ref="K73:L73"/>
    <mergeCell ref="N73:O73"/>
    <mergeCell ref="K71:L71"/>
    <mergeCell ref="N71:O71"/>
    <mergeCell ref="K72:L72"/>
    <mergeCell ref="N72:O72"/>
    <mergeCell ref="N62:O62"/>
    <mergeCell ref="K63:L63"/>
    <mergeCell ref="N63:O63"/>
    <mergeCell ref="K64:L64"/>
    <mergeCell ref="N64:O64"/>
    <mergeCell ref="K65:L65"/>
    <mergeCell ref="N65:O65"/>
    <mergeCell ref="K57:L57"/>
    <mergeCell ref="N57:O57"/>
    <mergeCell ref="K58:L58"/>
    <mergeCell ref="N58:O58"/>
    <mergeCell ref="K59:L59"/>
    <mergeCell ref="N59:O59"/>
    <mergeCell ref="K60:L60"/>
    <mergeCell ref="N60:O60"/>
    <mergeCell ref="K61:L61"/>
    <mergeCell ref="N61:O61"/>
    <mergeCell ref="K76:L76"/>
    <mergeCell ref="N76:O76"/>
    <mergeCell ref="K75:L75"/>
    <mergeCell ref="N75:O75"/>
    <mergeCell ref="K30:L30"/>
    <mergeCell ref="N34:O34"/>
    <mergeCell ref="N41:O41"/>
    <mergeCell ref="K38:L38"/>
    <mergeCell ref="K55:L55"/>
    <mergeCell ref="K56:L56"/>
    <mergeCell ref="N55:O55"/>
    <mergeCell ref="N56:O56"/>
    <mergeCell ref="K41:L41"/>
    <mergeCell ref="K70:L70"/>
    <mergeCell ref="N70:O70"/>
    <mergeCell ref="K68:L68"/>
    <mergeCell ref="N68:O68"/>
    <mergeCell ref="K69:L69"/>
    <mergeCell ref="N69:O69"/>
    <mergeCell ref="K66:L66"/>
    <mergeCell ref="N66:O66"/>
    <mergeCell ref="K67:L67"/>
    <mergeCell ref="N67:O67"/>
    <mergeCell ref="K62:L62"/>
    <mergeCell ref="B62:C63"/>
    <mergeCell ref="D62:F63"/>
    <mergeCell ref="G62:I63"/>
    <mergeCell ref="G52:I53"/>
    <mergeCell ref="G54:I55"/>
    <mergeCell ref="D54:F55"/>
    <mergeCell ref="B54:C55"/>
    <mergeCell ref="B56:C57"/>
    <mergeCell ref="D56:F57"/>
    <mergeCell ref="G56:I57"/>
    <mergeCell ref="B58:C59"/>
    <mergeCell ref="D58:F59"/>
    <mergeCell ref="G58:I59"/>
    <mergeCell ref="B60:C61"/>
    <mergeCell ref="D60:F61"/>
    <mergeCell ref="G60:I61"/>
    <mergeCell ref="AP48:AQ48"/>
    <mergeCell ref="AP19:AQ19"/>
    <mergeCell ref="AP38:AQ38"/>
    <mergeCell ref="AP39:AQ39"/>
    <mergeCell ref="AP40:AQ40"/>
    <mergeCell ref="AP41:AQ41"/>
    <mergeCell ref="AP42:AQ42"/>
    <mergeCell ref="AP43:AQ43"/>
    <mergeCell ref="AP44:AQ44"/>
    <mergeCell ref="AP45:AQ45"/>
    <mergeCell ref="AP46:AQ46"/>
    <mergeCell ref="AP29:AQ29"/>
    <mergeCell ref="AP30:AQ30"/>
    <mergeCell ref="AP31:AQ31"/>
    <mergeCell ref="AP32:AQ32"/>
    <mergeCell ref="AP33:AQ33"/>
    <mergeCell ref="AP34:AQ34"/>
    <mergeCell ref="AP35:AQ35"/>
    <mergeCell ref="AP36:AQ36"/>
    <mergeCell ref="AP47:AQ47"/>
    <mergeCell ref="AP20:AQ20"/>
    <mergeCell ref="AP21:AQ21"/>
    <mergeCell ref="AP22:AQ22"/>
    <mergeCell ref="AP37:AQ37"/>
    <mergeCell ref="F23:I23"/>
    <mergeCell ref="K23:L23"/>
    <mergeCell ref="N23:O23"/>
    <mergeCell ref="AJ23:AK23"/>
    <mergeCell ref="K24:L24"/>
    <mergeCell ref="N24:O24"/>
    <mergeCell ref="AJ24:AK24"/>
    <mergeCell ref="K25:L25"/>
    <mergeCell ref="N25:O25"/>
    <mergeCell ref="AJ25:AK25"/>
    <mergeCell ref="K26:L26"/>
    <mergeCell ref="N26:O26"/>
    <mergeCell ref="G30:I30"/>
    <mergeCell ref="N29:O29"/>
    <mergeCell ref="AP24:AQ24"/>
    <mergeCell ref="AP25:AQ25"/>
    <mergeCell ref="AP26:AQ26"/>
    <mergeCell ref="AP27:AQ27"/>
    <mergeCell ref="AP28:AQ28"/>
    <mergeCell ref="F26:I26"/>
    <mergeCell ref="T27:U27"/>
    <mergeCell ref="AP23:AQ23"/>
    <mergeCell ref="N30:O30"/>
    <mergeCell ref="AJ31:AK31"/>
    <mergeCell ref="T32:U32"/>
    <mergeCell ref="N33:O33"/>
    <mergeCell ref="AJ33:AK33"/>
    <mergeCell ref="AJ32:AK32"/>
    <mergeCell ref="T33:U33"/>
    <mergeCell ref="AJ30:AK30"/>
    <mergeCell ref="T26:U26"/>
    <mergeCell ref="N27:O27"/>
    <mergeCell ref="N32:O32"/>
    <mergeCell ref="N31:O31"/>
    <mergeCell ref="AJ29:AK29"/>
    <mergeCell ref="AJ42:AK42"/>
    <mergeCell ref="AJ43:AK43"/>
    <mergeCell ref="N40:O40"/>
    <mergeCell ref="AJ40:AK40"/>
    <mergeCell ref="G11:I11"/>
    <mergeCell ref="N11:O11"/>
    <mergeCell ref="P11:Q11"/>
    <mergeCell ref="F18:I18"/>
    <mergeCell ref="K18:L18"/>
    <mergeCell ref="F20:I20"/>
    <mergeCell ref="AJ28:AK28"/>
    <mergeCell ref="AJ26:AK26"/>
    <mergeCell ref="AJ27:AK27"/>
    <mergeCell ref="AJ19:AK19"/>
    <mergeCell ref="K17:L17"/>
    <mergeCell ref="K22:L22"/>
    <mergeCell ref="N22:O22"/>
    <mergeCell ref="K28:L28"/>
    <mergeCell ref="N28:O28"/>
    <mergeCell ref="AJ20:AK20"/>
    <mergeCell ref="T20:U20"/>
    <mergeCell ref="X11:Y11"/>
    <mergeCell ref="X12:Y12"/>
    <mergeCell ref="AJ21:AK21"/>
    <mergeCell ref="AJ49:AK49"/>
    <mergeCell ref="K43:L43"/>
    <mergeCell ref="N43:O43"/>
    <mergeCell ref="K46:L46"/>
    <mergeCell ref="N46:O46"/>
    <mergeCell ref="AJ46:AK46"/>
    <mergeCell ref="K49:L49"/>
    <mergeCell ref="N49:O49"/>
    <mergeCell ref="AJ47:AK47"/>
    <mergeCell ref="K45:L45"/>
    <mergeCell ref="N47:O47"/>
    <mergeCell ref="K48:L48"/>
    <mergeCell ref="N48:O48"/>
    <mergeCell ref="K47:L47"/>
    <mergeCell ref="AJ48:AK48"/>
    <mergeCell ref="AJ45:AK45"/>
    <mergeCell ref="K44:L44"/>
    <mergeCell ref="N44:O44"/>
    <mergeCell ref="AJ44:AK44"/>
    <mergeCell ref="S1:T1"/>
    <mergeCell ref="U1:V1"/>
    <mergeCell ref="Z1:AA1"/>
    <mergeCell ref="AB1:AD1"/>
    <mergeCell ref="X6:AD6"/>
    <mergeCell ref="K52:L52"/>
    <mergeCell ref="K50:L50"/>
    <mergeCell ref="N50:O50"/>
    <mergeCell ref="K42:L42"/>
    <mergeCell ref="N38:O38"/>
    <mergeCell ref="K39:L39"/>
    <mergeCell ref="N39:O39"/>
    <mergeCell ref="N42:O42"/>
    <mergeCell ref="N13:O13"/>
    <mergeCell ref="M15:M16"/>
    <mergeCell ref="P13:Q13"/>
    <mergeCell ref="K20:L20"/>
    <mergeCell ref="N20:O20"/>
    <mergeCell ref="K21:L21"/>
    <mergeCell ref="N21:O21"/>
    <mergeCell ref="K33:L33"/>
    <mergeCell ref="K32:L32"/>
    <mergeCell ref="K31:L31"/>
    <mergeCell ref="K36:L36"/>
    <mergeCell ref="AJ37:AK37"/>
    <mergeCell ref="AJ36:AK36"/>
    <mergeCell ref="AJ34:AK34"/>
    <mergeCell ref="AJ35:AK35"/>
    <mergeCell ref="AJ41:AK41"/>
    <mergeCell ref="B3:I4"/>
    <mergeCell ref="K3:Q4"/>
    <mergeCell ref="E6:I6"/>
    <mergeCell ref="N6:Q6"/>
    <mergeCell ref="N12:O12"/>
    <mergeCell ref="P12:Q12"/>
    <mergeCell ref="E10:I10"/>
    <mergeCell ref="P15:Q16"/>
    <mergeCell ref="K19:L19"/>
    <mergeCell ref="N19:O19"/>
    <mergeCell ref="N18:O18"/>
    <mergeCell ref="G39:I39"/>
    <mergeCell ref="D40:E40"/>
    <mergeCell ref="S3:AD4"/>
    <mergeCell ref="AJ38:AK38"/>
    <mergeCell ref="AJ39:AK39"/>
    <mergeCell ref="AJ22:AK22"/>
    <mergeCell ref="G13:I13"/>
    <mergeCell ref="B16:C16"/>
    <mergeCell ref="T21:U21"/>
    <mergeCell ref="E12:F12"/>
    <mergeCell ref="F28:I28"/>
    <mergeCell ref="E7:F7"/>
    <mergeCell ref="S15:AD15"/>
    <mergeCell ref="E13:F13"/>
    <mergeCell ref="K15:L16"/>
    <mergeCell ref="N10:Q10"/>
    <mergeCell ref="E11:F11"/>
    <mergeCell ref="N7:Q7"/>
    <mergeCell ref="E8:I8"/>
    <mergeCell ref="N8:Q8"/>
    <mergeCell ref="X13:Y13"/>
    <mergeCell ref="K27:L27"/>
    <mergeCell ref="X7:AD7"/>
    <mergeCell ref="X8:AD8"/>
    <mergeCell ref="X9:AD9"/>
    <mergeCell ref="X10:AD10"/>
    <mergeCell ref="E9:I9"/>
    <mergeCell ref="N9:Q9"/>
    <mergeCell ref="N15:O16"/>
    <mergeCell ref="G12:I12"/>
    <mergeCell ref="F15:I15"/>
    <mergeCell ref="F16:I16"/>
    <mergeCell ref="B69:C69"/>
    <mergeCell ref="D65:F65"/>
    <mergeCell ref="D39:E39"/>
    <mergeCell ref="B51:C51"/>
    <mergeCell ref="D51:F51"/>
    <mergeCell ref="F69:G69"/>
    <mergeCell ref="G1:I1"/>
    <mergeCell ref="N17:O17"/>
    <mergeCell ref="K51:L51"/>
    <mergeCell ref="N51:O51"/>
    <mergeCell ref="K53:L53"/>
    <mergeCell ref="N53:O53"/>
    <mergeCell ref="K54:L54"/>
    <mergeCell ref="N45:O45"/>
    <mergeCell ref="G41:I41"/>
    <mergeCell ref="G42:I42"/>
    <mergeCell ref="G43:I43"/>
    <mergeCell ref="F21:I21"/>
    <mergeCell ref="N36:O36"/>
    <mergeCell ref="G31:I31"/>
    <mergeCell ref="G32:I32"/>
    <mergeCell ref="G33:I33"/>
    <mergeCell ref="K29:L29"/>
    <mergeCell ref="F25:I25"/>
    <mergeCell ref="P83:Q83"/>
    <mergeCell ref="K83:M83"/>
    <mergeCell ref="B30:C30"/>
    <mergeCell ref="B31:C31"/>
    <mergeCell ref="B33:C33"/>
    <mergeCell ref="B32:C32"/>
    <mergeCell ref="N54:O54"/>
    <mergeCell ref="K74:L74"/>
    <mergeCell ref="N74:O74"/>
    <mergeCell ref="G51:I51"/>
    <mergeCell ref="F35:I35"/>
    <mergeCell ref="K37:L37"/>
    <mergeCell ref="N37:O37"/>
    <mergeCell ref="B52:C53"/>
    <mergeCell ref="D52:F53"/>
    <mergeCell ref="N52:O52"/>
    <mergeCell ref="D42:E42"/>
    <mergeCell ref="K34:L34"/>
    <mergeCell ref="D43:E43"/>
    <mergeCell ref="D41:E41"/>
    <mergeCell ref="K40:L40"/>
    <mergeCell ref="G40:I40"/>
    <mergeCell ref="K35:L35"/>
    <mergeCell ref="N35:O35"/>
  </mergeCells>
  <phoneticPr fontId="27" type="noConversion"/>
  <pageMargins left="0.59055118110236227" right="0.59055118110236227" top="1.1811023622047245" bottom="0.74803149606299213" header="0.31496062992125984" footer="0.31496062992125984"/>
  <pageSetup paperSize="14" scale="68" orientation="portrait" r:id="rId1"/>
  <headerFooter>
    <oddHeader xml:space="preserve">&amp;R&amp;"Century Gothic,Bold"&amp;18ANNEX A: 
SAMPLE PACKAGE COMPUTATION
</oddHeader>
  </headerFooter>
  <colBreaks count="2" manualBreakCount="2">
    <brk id="9" max="1048575" man="1"/>
    <brk id="17" max="88" man="1"/>
  </col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21</xdr:col>
                    <xdr:colOff>76200</xdr:colOff>
                    <xdr:row>17</xdr:row>
                    <xdr:rowOff>0</xdr:rowOff>
                  </from>
                  <to>
                    <xdr:col>21</xdr:col>
                    <xdr:colOff>298450</xdr:colOff>
                    <xdr:row>18</xdr:row>
                    <xdr:rowOff>50800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21</xdr:col>
                    <xdr:colOff>76200</xdr:colOff>
                    <xdr:row>18</xdr:row>
                    <xdr:rowOff>190500</xdr:rowOff>
                  </from>
                  <to>
                    <xdr:col>21</xdr:col>
                    <xdr:colOff>298450</xdr:colOff>
                    <xdr:row>20</xdr:row>
                    <xdr:rowOff>31750</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21</xdr:col>
                    <xdr:colOff>76200</xdr:colOff>
                    <xdr:row>23</xdr:row>
                    <xdr:rowOff>0</xdr:rowOff>
                  </from>
                  <to>
                    <xdr:col>21</xdr:col>
                    <xdr:colOff>292100</xdr:colOff>
                    <xdr:row>24</xdr:row>
                    <xdr:rowOff>50800</xdr:rowOff>
                  </to>
                </anchor>
              </controlPr>
            </control>
          </mc:Choice>
        </mc:AlternateContent>
        <mc:AlternateContent xmlns:mc="http://schemas.openxmlformats.org/markup-compatibility/2006">
          <mc:Choice Requires="x14">
            <control shapeId="9222" r:id="rId7" name="Check Box 6">
              <controlPr defaultSize="0" autoFill="0" autoLine="0" autoPict="0">
                <anchor moveWithCells="1">
                  <from>
                    <xdr:col>21</xdr:col>
                    <xdr:colOff>69850</xdr:colOff>
                    <xdr:row>24</xdr:row>
                    <xdr:rowOff>190500</xdr:rowOff>
                  </from>
                  <to>
                    <xdr:col>21</xdr:col>
                    <xdr:colOff>292100</xdr:colOff>
                    <xdr:row>26</xdr:row>
                    <xdr:rowOff>31750</xdr:rowOff>
                  </to>
                </anchor>
              </controlPr>
            </control>
          </mc:Choice>
        </mc:AlternateContent>
        <mc:AlternateContent xmlns:mc="http://schemas.openxmlformats.org/markup-compatibility/2006">
          <mc:Choice Requires="x14">
            <control shapeId="9223" r:id="rId8" name="Check Box 7">
              <controlPr defaultSize="0" autoFill="0" autoLine="0" autoPict="0">
                <anchor moveWithCells="1">
                  <from>
                    <xdr:col>21</xdr:col>
                    <xdr:colOff>76200</xdr:colOff>
                    <xdr:row>29</xdr:row>
                    <xdr:rowOff>0</xdr:rowOff>
                  </from>
                  <to>
                    <xdr:col>21</xdr:col>
                    <xdr:colOff>292100</xdr:colOff>
                    <xdr:row>30</xdr:row>
                    <xdr:rowOff>50800</xdr:rowOff>
                  </to>
                </anchor>
              </controlPr>
            </control>
          </mc:Choice>
        </mc:AlternateContent>
        <mc:AlternateContent xmlns:mc="http://schemas.openxmlformats.org/markup-compatibility/2006">
          <mc:Choice Requires="x14">
            <control shapeId="9224" r:id="rId9" name="Check Box 8">
              <controlPr defaultSize="0" autoFill="0" autoLine="0" autoPict="0">
                <anchor moveWithCells="1">
                  <from>
                    <xdr:col>21</xdr:col>
                    <xdr:colOff>69850</xdr:colOff>
                    <xdr:row>30</xdr:row>
                    <xdr:rowOff>190500</xdr:rowOff>
                  </from>
                  <to>
                    <xdr:col>21</xdr:col>
                    <xdr:colOff>292100</xdr:colOff>
                    <xdr:row>32</xdr:row>
                    <xdr:rowOff>31750</xdr:rowOff>
                  </to>
                </anchor>
              </controlPr>
            </control>
          </mc:Choice>
        </mc:AlternateContent>
      </controls>
    </mc:Choice>
  </mc:AlternateContent>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2"/>
  <dimension ref="A1:U124"/>
  <sheetViews>
    <sheetView showGridLines="0" showZeros="0" view="pageLayout" topLeftCell="A73" zoomScaleNormal="100" zoomScaleSheetLayoutView="85" workbookViewId="0">
      <selection activeCell="H91" sqref="H91"/>
    </sheetView>
  </sheetViews>
  <sheetFormatPr defaultColWidth="9.140625" defaultRowHeight="13.5"/>
  <cols>
    <col min="1" max="1" width="2.85546875" style="2" customWidth="1"/>
    <col min="2" max="2" width="1.5703125" style="2" customWidth="1"/>
    <col min="3" max="3" width="5.5703125" style="2" customWidth="1"/>
    <col min="4" max="4" width="2.85546875" style="2" customWidth="1"/>
    <col min="5" max="5" width="7" style="2" customWidth="1"/>
    <col min="6" max="6" width="5.140625" style="2" customWidth="1"/>
    <col min="7" max="7" width="3.42578125" style="2" customWidth="1"/>
    <col min="8" max="8" width="4.5703125" style="2" customWidth="1"/>
    <col min="9" max="9" width="5.85546875" style="2" customWidth="1"/>
    <col min="10" max="10" width="3.140625" style="2" customWidth="1"/>
    <col min="11" max="11" width="4.85546875" style="2" customWidth="1"/>
    <col min="12" max="12" width="4.140625" style="2" customWidth="1"/>
    <col min="13" max="13" width="5.85546875" style="2" customWidth="1"/>
    <col min="14" max="14" width="3.140625" style="2" customWidth="1"/>
    <col min="15" max="15" width="4.42578125" style="2" customWidth="1"/>
    <col min="16" max="16" width="9.42578125" style="2" customWidth="1"/>
    <col min="17" max="17" width="5.140625" style="2" customWidth="1"/>
    <col min="18" max="18" width="14.140625" style="2" customWidth="1"/>
    <col min="19" max="19" width="2.85546875" style="2" customWidth="1"/>
    <col min="20" max="20" width="10.140625" style="2" customWidth="1"/>
    <col min="21" max="21" width="2.85546875" style="2" customWidth="1"/>
    <col min="22" max="16384" width="9.140625" style="2"/>
  </cols>
  <sheetData>
    <row r="1" spans="1:21" ht="6.75" customHeight="1">
      <c r="G1" s="53"/>
      <c r="H1" s="53"/>
      <c r="I1" s="53"/>
      <c r="J1" s="53"/>
      <c r="K1" s="53"/>
      <c r="L1" s="53"/>
      <c r="M1" s="53"/>
      <c r="N1" s="53"/>
      <c r="O1" s="53"/>
      <c r="P1" s="53"/>
      <c r="Q1" s="53"/>
      <c r="R1" s="53"/>
      <c r="S1" s="53"/>
      <c r="T1" s="53"/>
    </row>
    <row r="2" spans="1:21" ht="14.25" customHeight="1">
      <c r="U2" s="54"/>
    </row>
    <row r="3" spans="1:21">
      <c r="A3" s="22" t="s">
        <v>1182</v>
      </c>
      <c r="B3" s="22"/>
      <c r="C3" s="76"/>
      <c r="D3" s="1471" t="str">
        <f>FORM!I26</f>
        <v>buyer</v>
      </c>
      <c r="E3" s="1471"/>
      <c r="F3" s="1471"/>
      <c r="G3" s="1471"/>
      <c r="H3" s="1471"/>
      <c r="I3" s="1471"/>
      <c r="J3" s="1471"/>
      <c r="K3" s="1471"/>
      <c r="L3" s="1471"/>
      <c r="M3" s="1471"/>
      <c r="N3" s="1471"/>
      <c r="O3" s="1471"/>
      <c r="P3" s="1471"/>
      <c r="Q3" s="1471"/>
      <c r="R3" s="22"/>
      <c r="S3" s="22"/>
      <c r="T3" s="22"/>
      <c r="U3" s="24" t="s">
        <v>1183</v>
      </c>
    </row>
    <row r="4" spans="1:21">
      <c r="A4" s="1472" t="str">
        <f>FORM!I30</f>
        <v>address</v>
      </c>
      <c r="B4" s="1472"/>
      <c r="C4" s="1472"/>
      <c r="D4" s="1472"/>
      <c r="E4" s="1472"/>
      <c r="F4" s="1472"/>
      <c r="G4" s="1472"/>
      <c r="H4" s="1472"/>
      <c r="I4" s="1472"/>
      <c r="J4" s="1472"/>
      <c r="K4" s="1472"/>
      <c r="L4" s="1472"/>
      <c r="M4" s="1472"/>
      <c r="N4" s="1472"/>
      <c r="O4" s="1472"/>
      <c r="P4" s="1472"/>
      <c r="Q4" s="1472"/>
      <c r="R4" s="22"/>
      <c r="S4" s="22"/>
      <c r="T4" s="22"/>
      <c r="U4" s="24" t="s">
        <v>1184</v>
      </c>
    </row>
    <row r="5" spans="1:21" ht="16.5" customHeight="1">
      <c r="A5" s="1473" t="s">
        <v>1185</v>
      </c>
      <c r="B5" s="1473"/>
      <c r="C5" s="1473"/>
      <c r="D5" s="1473"/>
      <c r="E5" s="1473"/>
      <c r="F5" s="1473"/>
      <c r="G5" s="1473"/>
      <c r="H5" s="1473"/>
      <c r="I5" s="1473"/>
      <c r="J5" s="1473"/>
      <c r="K5" s="1473"/>
      <c r="L5" s="1473"/>
      <c r="M5" s="1473"/>
      <c r="N5" s="1473"/>
      <c r="O5" s="1473"/>
      <c r="P5" s="1473"/>
      <c r="Q5" s="1473"/>
      <c r="R5" s="1473"/>
      <c r="S5" s="1473"/>
      <c r="T5" s="1473"/>
      <c r="U5" s="1473"/>
    </row>
    <row r="6" spans="1:21">
      <c r="A6" s="1473"/>
      <c r="B6" s="1473"/>
      <c r="C6" s="1473"/>
      <c r="D6" s="1473"/>
      <c r="E6" s="1473"/>
      <c r="F6" s="1473"/>
      <c r="G6" s="1473"/>
      <c r="H6" s="1473"/>
      <c r="I6" s="1473"/>
      <c r="J6" s="1473"/>
      <c r="K6" s="1473"/>
      <c r="L6" s="1473"/>
      <c r="M6" s="1473"/>
      <c r="N6" s="1473"/>
      <c r="O6" s="1473"/>
      <c r="P6" s="1473"/>
      <c r="Q6" s="1473"/>
      <c r="R6" s="1473"/>
      <c r="S6" s="1473"/>
      <c r="T6" s="1473"/>
      <c r="U6" s="1473"/>
    </row>
    <row r="7" spans="1:21" ht="9" customHeight="1">
      <c r="A7" s="22"/>
      <c r="B7" s="22"/>
      <c r="C7" s="22"/>
      <c r="D7" s="22"/>
      <c r="E7" s="22"/>
      <c r="F7" s="22"/>
      <c r="G7" s="22"/>
      <c r="H7" s="22"/>
      <c r="I7" s="22"/>
      <c r="J7" s="22"/>
      <c r="K7" s="22"/>
      <c r="L7" s="22"/>
      <c r="M7" s="22"/>
      <c r="N7" s="22"/>
      <c r="O7" s="22"/>
      <c r="P7" s="22"/>
      <c r="Q7" s="22"/>
      <c r="R7" s="22"/>
      <c r="S7" s="22"/>
      <c r="T7" s="22"/>
      <c r="U7" s="22"/>
    </row>
    <row r="8" spans="1:21" ht="16.5" customHeight="1">
      <c r="A8" s="22" t="s">
        <v>1186</v>
      </c>
      <c r="B8" s="22"/>
      <c r="C8" s="22"/>
      <c r="D8" s="22"/>
      <c r="E8" s="22"/>
      <c r="F8" s="22"/>
      <c r="G8" s="22"/>
      <c r="H8" s="1471" t="str">
        <f>FORM!AB11</f>
        <v>Iloilo Southprime Developers Inc.</v>
      </c>
      <c r="I8" s="1471"/>
      <c r="J8" s="1471"/>
      <c r="K8" s="1471"/>
      <c r="L8" s="1471"/>
      <c r="M8" s="1471"/>
      <c r="N8" s="1471"/>
      <c r="O8" s="1471"/>
      <c r="P8" s="22"/>
      <c r="Q8" s="22"/>
      <c r="R8" s="22"/>
      <c r="S8" s="22"/>
      <c r="T8" s="22"/>
      <c r="U8" s="24" t="s">
        <v>1187</v>
      </c>
    </row>
    <row r="9" spans="1:21">
      <c r="A9" s="1474" t="s">
        <v>1188</v>
      </c>
      <c r="B9" s="1474"/>
      <c r="C9" s="1474"/>
      <c r="D9" s="1474"/>
      <c r="E9" s="1474"/>
      <c r="F9" s="1474"/>
      <c r="G9" s="1474"/>
      <c r="H9" s="1474"/>
      <c r="I9" s="1474"/>
      <c r="J9" s="1474"/>
      <c r="K9" s="1474"/>
      <c r="L9" s="1474"/>
      <c r="M9" s="1474"/>
      <c r="N9" s="1474"/>
      <c r="O9" s="1474"/>
      <c r="P9" s="1474"/>
      <c r="Q9" s="1474"/>
      <c r="R9" s="1474"/>
      <c r="S9" s="1474"/>
      <c r="T9" s="1474"/>
      <c r="U9" s="1474"/>
    </row>
    <row r="10" spans="1:21">
      <c r="A10" s="1470" t="str">
        <f>FORM!AB12</f>
        <v>Avancena St Brgy. Avancena Molo Iloilo City</v>
      </c>
      <c r="B10" s="1470"/>
      <c r="C10" s="1470"/>
      <c r="D10" s="1470"/>
      <c r="E10" s="1470"/>
      <c r="F10" s="1470"/>
      <c r="G10" s="1470"/>
      <c r="H10" s="1470"/>
      <c r="I10" s="1470"/>
      <c r="J10" s="1470"/>
      <c r="K10" s="1470"/>
      <c r="L10" s="1470"/>
      <c r="M10" s="1470"/>
      <c r="N10" s="1470"/>
      <c r="O10" s="1470"/>
      <c r="P10" s="1470"/>
      <c r="Q10" s="22"/>
      <c r="R10" s="22"/>
      <c r="S10" s="22"/>
      <c r="T10" s="22"/>
      <c r="U10" s="24" t="s">
        <v>1189</v>
      </c>
    </row>
    <row r="11" spans="1:21">
      <c r="A11" s="22" t="s">
        <v>1190</v>
      </c>
      <c r="B11" s="22"/>
      <c r="C11" s="22"/>
      <c r="D11" s="22"/>
      <c r="E11" s="22"/>
      <c r="F11" s="22"/>
      <c r="G11" s="22"/>
      <c r="H11" s="22"/>
      <c r="I11" s="1472" t="str">
        <f>FORM!I11</f>
        <v>The Southprime Flats</v>
      </c>
      <c r="J11" s="1472"/>
      <c r="K11" s="1472"/>
      <c r="L11" s="1472"/>
      <c r="M11" s="1472"/>
      <c r="N11" s="1472"/>
      <c r="O11" s="1472"/>
      <c r="P11" s="1472"/>
      <c r="Q11" s="1472"/>
      <c r="R11" s="1472"/>
      <c r="S11" s="1472"/>
      <c r="T11" s="1472"/>
      <c r="U11" s="1472"/>
    </row>
    <row r="12" spans="1:21">
      <c r="A12" s="22" t="s">
        <v>1191</v>
      </c>
      <c r="B12" s="22"/>
      <c r="C12" s="22"/>
      <c r="D12" s="22"/>
      <c r="E12" s="22"/>
      <c r="F12" s="22"/>
      <c r="G12" s="22"/>
      <c r="H12" s="22"/>
      <c r="I12" s="22"/>
      <c r="J12" s="22"/>
      <c r="K12" s="22"/>
      <c r="L12" s="22"/>
      <c r="M12" s="1475" t="str">
        <f>FORM!AB13</f>
        <v>Abeto Street, Brgy. Abeto-Mirasol, Mandurriao, Iloilo City</v>
      </c>
      <c r="N12" s="1475"/>
      <c r="O12" s="1475"/>
      <c r="P12" s="1475"/>
      <c r="Q12" s="1475"/>
      <c r="R12" s="1475"/>
      <c r="S12" s="1475"/>
      <c r="T12" s="1475"/>
      <c r="U12" s="1475"/>
    </row>
    <row r="13" spans="1:21">
      <c r="A13" s="22" t="s">
        <v>1192</v>
      </c>
      <c r="B13" s="22"/>
      <c r="C13" s="22"/>
      <c r="D13" s="22"/>
      <c r="E13" s="22"/>
      <c r="F13" s="22"/>
      <c r="G13" s="22"/>
      <c r="H13" s="22"/>
      <c r="I13" s="22"/>
      <c r="J13" s="22"/>
      <c r="K13" s="1476" t="str">
        <f>'STANDARD COMP.'!E10</f>
        <v>Studio</v>
      </c>
      <c r="L13" s="1472"/>
      <c r="M13" s="1472"/>
      <c r="N13" s="1472"/>
      <c r="O13" s="1472"/>
      <c r="P13" s="1472"/>
      <c r="Q13" s="1472"/>
      <c r="R13" s="1472"/>
      <c r="S13" s="1472"/>
      <c r="T13" s="1472"/>
      <c r="U13" s="1472"/>
    </row>
    <row r="14" spans="1:21" ht="13.5" customHeight="1">
      <c r="A14" s="22" t="s">
        <v>1193</v>
      </c>
      <c r="B14" s="22"/>
      <c r="C14" s="22"/>
      <c r="D14" s="22"/>
      <c r="E14" s="22"/>
      <c r="F14" s="22"/>
      <c r="G14" s="22"/>
      <c r="H14" s="22"/>
      <c r="I14" s="22"/>
      <c r="J14" s="22"/>
      <c r="K14" s="22"/>
      <c r="L14" s="22"/>
      <c r="M14" s="22"/>
      <c r="N14" s="22"/>
      <c r="O14" s="22"/>
      <c r="P14" s="22"/>
      <c r="Q14" s="22"/>
      <c r="R14" s="22"/>
      <c r="S14" s="22"/>
      <c r="T14" s="22"/>
      <c r="U14" s="22"/>
    </row>
    <row r="15" spans="1:21">
      <c r="A15" s="22"/>
      <c r="B15" s="22"/>
      <c r="C15" s="22"/>
      <c r="D15" s="22"/>
      <c r="E15" s="22"/>
      <c r="F15" s="22"/>
      <c r="G15" s="22"/>
      <c r="H15" s="22"/>
      <c r="I15" s="22"/>
      <c r="J15" s="22"/>
      <c r="K15" s="22"/>
      <c r="L15" s="22"/>
      <c r="M15" s="22"/>
      <c r="N15" s="22"/>
      <c r="O15" s="22"/>
      <c r="P15" s="22"/>
      <c r="Q15" s="22"/>
      <c r="R15" s="22"/>
      <c r="S15" s="22"/>
      <c r="T15" s="22"/>
      <c r="U15" s="22"/>
    </row>
    <row r="16" spans="1:21">
      <c r="A16" s="26" t="s">
        <v>1194</v>
      </c>
      <c r="B16" s="27"/>
      <c r="C16" s="27"/>
      <c r="D16" s="25"/>
      <c r="E16" s="1475" t="str">
        <f>FORM!I11</f>
        <v>The Southprime Flats</v>
      </c>
      <c r="F16" s="1475"/>
      <c r="G16" s="1475"/>
      <c r="H16" s="1475"/>
      <c r="I16" s="1475"/>
      <c r="J16" s="1475"/>
      <c r="K16" s="1475"/>
      <c r="L16" s="1475"/>
      <c r="M16" s="1475"/>
      <c r="N16" s="1475"/>
      <c r="O16" s="1475"/>
      <c r="P16" s="1475"/>
      <c r="Q16" s="1475"/>
      <c r="R16" s="1475"/>
      <c r="S16" s="1475"/>
      <c r="T16" s="1475"/>
      <c r="U16" s="58"/>
    </row>
    <row r="17" spans="1:21" ht="14.1">
      <c r="A17" s="28" t="s">
        <v>1195</v>
      </c>
      <c r="B17" s="29"/>
      <c r="C17" s="29"/>
      <c r="D17" s="30"/>
      <c r="E17" s="31" t="s">
        <v>1196</v>
      </c>
      <c r="F17" s="30"/>
      <c r="G17" s="30"/>
      <c r="H17" s="30"/>
      <c r="I17" s="30"/>
      <c r="J17" s="30"/>
      <c r="K17" s="30"/>
      <c r="L17" s="56" t="s">
        <v>1197</v>
      </c>
      <c r="M17" s="30"/>
      <c r="N17" s="30"/>
      <c r="O17" s="30"/>
      <c r="P17" s="30"/>
      <c r="Q17" s="30"/>
      <c r="R17" s="30"/>
      <c r="S17" s="30"/>
      <c r="T17" s="31" t="s">
        <v>1198</v>
      </c>
      <c r="U17" s="55"/>
    </row>
    <row r="18" spans="1:21" ht="14.1">
      <c r="A18" s="32"/>
      <c r="B18" s="5"/>
      <c r="C18" s="5"/>
      <c r="D18" s="5"/>
      <c r="E18" s="33" t="s">
        <v>1199</v>
      </c>
      <c r="F18" s="5"/>
      <c r="G18" s="5"/>
      <c r="H18" s="5"/>
      <c r="I18" s="5"/>
      <c r="J18" s="5"/>
      <c r="K18" s="5"/>
      <c r="L18" s="33" t="s">
        <v>1200</v>
      </c>
      <c r="M18" s="5"/>
      <c r="N18" s="5"/>
      <c r="O18" s="5"/>
      <c r="P18" s="5"/>
      <c r="Q18" s="5"/>
      <c r="R18" s="5"/>
      <c r="S18" s="5"/>
      <c r="T18" s="33" t="s">
        <v>1201</v>
      </c>
      <c r="U18" s="34"/>
    </row>
    <row r="19" spans="1:21">
      <c r="T19" s="2" t="s">
        <v>60</v>
      </c>
    </row>
    <row r="20" spans="1:21" ht="14.1">
      <c r="A20" s="1477" t="s">
        <v>1202</v>
      </c>
      <c r="B20" s="1478"/>
      <c r="C20" s="1478"/>
      <c r="D20" s="1478"/>
      <c r="E20" s="1478"/>
      <c r="F20" s="1479"/>
      <c r="G20" s="1477" t="s">
        <v>1203</v>
      </c>
      <c r="H20" s="1478"/>
      <c r="I20" s="1478"/>
      <c r="J20" s="1478"/>
      <c r="K20" s="1478"/>
      <c r="L20" s="1479"/>
      <c r="M20" s="1477" t="s">
        <v>1204</v>
      </c>
      <c r="N20" s="1478"/>
      <c r="O20" s="1478"/>
      <c r="P20" s="1478"/>
      <c r="Q20" s="1479"/>
      <c r="R20" s="1477" t="s">
        <v>1200</v>
      </c>
      <c r="S20" s="1478"/>
      <c r="T20" s="1478"/>
      <c r="U20" s="1479"/>
    </row>
    <row r="21" spans="1:21" ht="14.1">
      <c r="A21" s="39" t="s">
        <v>1205</v>
      </c>
      <c r="B21" s="40"/>
      <c r="C21" s="40"/>
      <c r="D21" s="1480" t="str">
        <f>FORM!I14</f>
        <v>B3</v>
      </c>
      <c r="E21" s="1481"/>
      <c r="F21" s="1482"/>
      <c r="G21" s="39" t="s">
        <v>1205</v>
      </c>
      <c r="H21" s="40"/>
      <c r="I21" s="41"/>
      <c r="J21" s="1483"/>
      <c r="K21" s="1484"/>
      <c r="L21" s="1485"/>
      <c r="M21" s="39" t="s">
        <v>1206</v>
      </c>
      <c r="N21" s="40"/>
      <c r="O21" s="41"/>
      <c r="P21" s="1486"/>
      <c r="Q21" s="1487"/>
      <c r="R21" s="80" t="s">
        <v>1205</v>
      </c>
      <c r="S21" s="81"/>
      <c r="T21" s="1488"/>
      <c r="U21" s="1489"/>
    </row>
    <row r="22" spans="1:21" ht="14.1">
      <c r="A22" s="37" t="s">
        <v>1207</v>
      </c>
      <c r="B22" s="38"/>
      <c r="C22" s="38"/>
      <c r="D22" s="1480" t="str">
        <f>FORM!I16</f>
        <v>11th Floor</v>
      </c>
      <c r="E22" s="1481"/>
      <c r="F22" s="1482"/>
      <c r="G22" s="39" t="s">
        <v>1208</v>
      </c>
      <c r="H22" s="40"/>
      <c r="I22" s="41"/>
      <c r="J22" s="1483"/>
      <c r="K22" s="1484"/>
      <c r="L22" s="1485"/>
      <c r="M22" s="39" t="s">
        <v>1209</v>
      </c>
      <c r="N22" s="40"/>
      <c r="O22" s="41"/>
      <c r="P22" s="1486"/>
      <c r="Q22" s="1487"/>
      <c r="R22" s="80" t="s">
        <v>1210</v>
      </c>
      <c r="S22" s="81"/>
      <c r="T22" s="1488"/>
      <c r="U22" s="1489"/>
    </row>
    <row r="23" spans="1:21" ht="14.1">
      <c r="A23" s="39" t="s">
        <v>1210</v>
      </c>
      <c r="B23" s="40"/>
      <c r="C23" s="41"/>
      <c r="D23" s="1480" t="str">
        <f>FORM!I18</f>
        <v>E-11K</v>
      </c>
      <c r="E23" s="1481"/>
      <c r="F23" s="1482"/>
      <c r="G23" s="39" t="s">
        <v>1211</v>
      </c>
      <c r="H23" s="40"/>
      <c r="I23" s="41"/>
      <c r="J23" s="1483"/>
      <c r="K23" s="1484"/>
      <c r="L23" s="1485"/>
      <c r="M23" s="39" t="s">
        <v>1212</v>
      </c>
      <c r="N23" s="40"/>
      <c r="O23" s="41"/>
      <c r="P23" s="1486"/>
      <c r="Q23" s="1487"/>
      <c r="R23" s="80" t="s">
        <v>1213</v>
      </c>
      <c r="S23" s="81"/>
      <c r="T23" s="1488"/>
      <c r="U23" s="1489"/>
    </row>
    <row r="24" spans="1:21" ht="16.5" customHeight="1">
      <c r="A24" s="37" t="s">
        <v>1214</v>
      </c>
      <c r="B24" s="38"/>
      <c r="C24" s="38"/>
      <c r="D24" s="1493">
        <f>'STANDARD COMP.'!E13</f>
        <v>22</v>
      </c>
      <c r="E24" s="1494"/>
      <c r="F24" s="1495"/>
      <c r="G24" s="39" t="s">
        <v>1213</v>
      </c>
      <c r="H24" s="40"/>
      <c r="I24" s="41"/>
      <c r="J24" s="1483"/>
      <c r="K24" s="1484"/>
      <c r="L24" s="1485"/>
      <c r="M24" s="37" t="s">
        <v>1215</v>
      </c>
      <c r="N24" s="38"/>
      <c r="O24" s="38"/>
      <c r="P24" s="1486"/>
      <c r="Q24" s="1487"/>
      <c r="R24" s="1496" t="s">
        <v>1216</v>
      </c>
      <c r="S24" s="1497"/>
      <c r="T24" s="1500"/>
      <c r="U24" s="1501"/>
    </row>
    <row r="25" spans="1:21" ht="14.1">
      <c r="A25" s="39" t="s">
        <v>1217</v>
      </c>
      <c r="B25" s="40"/>
      <c r="C25" s="41"/>
      <c r="D25" s="1504" t="str">
        <f>K13</f>
        <v>Studio</v>
      </c>
      <c r="E25" s="1481"/>
      <c r="F25" s="1482"/>
      <c r="G25" s="39" t="s">
        <v>1218</v>
      </c>
      <c r="H25" s="40"/>
      <c r="I25" s="41"/>
      <c r="J25" s="1483"/>
      <c r="K25" s="1484"/>
      <c r="L25" s="1485"/>
      <c r="M25" s="39" t="s">
        <v>1219</v>
      </c>
      <c r="N25" s="40"/>
      <c r="O25" s="41"/>
      <c r="P25" s="1480"/>
      <c r="Q25" s="1482"/>
      <c r="R25" s="1498"/>
      <c r="S25" s="1499"/>
      <c r="T25" s="1502"/>
      <c r="U25" s="1503"/>
    </row>
    <row r="27" spans="1:21" ht="14.1">
      <c r="A27" s="39" t="s">
        <v>1220</v>
      </c>
      <c r="B27" s="40"/>
      <c r="C27" s="40"/>
      <c r="D27" s="40"/>
      <c r="E27" s="40"/>
      <c r="F27" s="40"/>
      <c r="G27" s="40"/>
      <c r="H27" s="41"/>
      <c r="I27" s="1574">
        <f>'SPECIAL PACKAGE'!F15</f>
        <v>4123028.1810342241</v>
      </c>
      <c r="J27" s="1575"/>
      <c r="K27" s="1575"/>
      <c r="L27" s="1575"/>
      <c r="M27" s="1575"/>
      <c r="N27" s="1575"/>
      <c r="O27" s="1575"/>
      <c r="P27" s="1575"/>
      <c r="Q27" s="1575"/>
      <c r="R27" s="1575"/>
      <c r="S27" s="1575"/>
      <c r="T27" s="1575"/>
      <c r="U27" s="1576"/>
    </row>
    <row r="28" spans="1:21" ht="14.1">
      <c r="A28" s="39" t="s">
        <v>1221</v>
      </c>
      <c r="B28" s="40"/>
      <c r="C28" s="42"/>
      <c r="D28" s="42"/>
      <c r="E28" s="42"/>
      <c r="F28" s="42"/>
      <c r="G28" s="42"/>
      <c r="H28" s="43"/>
      <c r="I28" s="1574">
        <f>'SPECIAL PACKAGE'!F16</f>
        <v>0</v>
      </c>
      <c r="J28" s="1575"/>
      <c r="K28" s="1575"/>
      <c r="L28" s="1575"/>
      <c r="M28" s="1575"/>
      <c r="N28" s="1575"/>
      <c r="O28" s="1575"/>
      <c r="P28" s="1575"/>
      <c r="Q28" s="1575"/>
      <c r="R28" s="1575"/>
      <c r="S28" s="1575"/>
      <c r="T28" s="1575"/>
      <c r="U28" s="1576"/>
    </row>
    <row r="29" spans="1:21" ht="14.1">
      <c r="A29" s="49" t="s">
        <v>1222</v>
      </c>
      <c r="B29" s="50"/>
      <c r="C29" s="51"/>
      <c r="D29" s="51"/>
      <c r="E29" s="51"/>
      <c r="F29" s="51"/>
      <c r="G29" s="51"/>
      <c r="H29" s="48"/>
      <c r="I29" s="1574">
        <f>'SPECIAL PACKAGE'!F18</f>
        <v>4123028.1810342241</v>
      </c>
      <c r="J29" s="1575"/>
      <c r="K29" s="1575"/>
      <c r="L29" s="1575"/>
      <c r="M29" s="1575"/>
      <c r="N29" s="1575"/>
      <c r="O29" s="1575"/>
      <c r="P29" s="1575"/>
      <c r="Q29" s="1575"/>
      <c r="R29" s="1575"/>
      <c r="S29" s="1575"/>
      <c r="T29" s="1575"/>
      <c r="U29" s="1576"/>
    </row>
    <row r="30" spans="1:21" ht="14.1">
      <c r="A30" s="39" t="s">
        <v>1223</v>
      </c>
      <c r="B30" s="40"/>
      <c r="C30" s="42"/>
      <c r="D30" s="42"/>
      <c r="E30" s="42"/>
      <c r="F30" s="42"/>
      <c r="G30" s="42"/>
      <c r="H30" s="43"/>
      <c r="I30" s="1574">
        <f>'SPECIAL PACKAGE'!F21</f>
        <v>525686.0930818636</v>
      </c>
      <c r="J30" s="1575"/>
      <c r="K30" s="1575"/>
      <c r="L30" s="1575"/>
      <c r="M30" s="1575"/>
      <c r="N30" s="1575"/>
      <c r="O30" s="1575"/>
      <c r="P30" s="1575"/>
      <c r="Q30" s="1575"/>
      <c r="R30" s="1575"/>
      <c r="S30" s="1575"/>
      <c r="T30" s="1575"/>
      <c r="U30" s="1576"/>
    </row>
    <row r="31" spans="1:21" ht="14.1">
      <c r="A31" s="39" t="s">
        <v>1224</v>
      </c>
      <c r="B31" s="40"/>
      <c r="C31" s="42"/>
      <c r="D31" s="42"/>
      <c r="E31" s="42"/>
      <c r="F31" s="42"/>
      <c r="G31" s="42"/>
      <c r="H31" s="43"/>
      <c r="I31" s="1574">
        <f>'SPECIAL PACKAGE'!F20</f>
        <v>0</v>
      </c>
      <c r="J31" s="1575"/>
      <c r="K31" s="1575"/>
      <c r="L31" s="1575"/>
      <c r="M31" s="1575"/>
      <c r="N31" s="1575"/>
      <c r="O31" s="1575"/>
      <c r="P31" s="1575"/>
      <c r="Q31" s="1575"/>
      <c r="R31" s="1575"/>
      <c r="S31" s="1575"/>
      <c r="T31" s="1575"/>
      <c r="U31" s="1576"/>
    </row>
    <row r="32" spans="1:21" ht="14.1">
      <c r="A32" s="39" t="s">
        <v>170</v>
      </c>
      <c r="B32" s="40"/>
      <c r="C32" s="42"/>
      <c r="D32" s="42"/>
      <c r="E32" s="42"/>
      <c r="F32" s="42"/>
      <c r="G32" s="42"/>
      <c r="H32" s="43"/>
      <c r="I32" s="1574">
        <f>'SPECIAL PACKAGE'!F23</f>
        <v>4648714.2741160877</v>
      </c>
      <c r="J32" s="1575"/>
      <c r="K32" s="1575"/>
      <c r="L32" s="1575"/>
      <c r="M32" s="1575"/>
      <c r="N32" s="1575"/>
      <c r="O32" s="1575"/>
      <c r="P32" s="1575"/>
      <c r="Q32" s="1575"/>
      <c r="R32" s="1575"/>
      <c r="S32" s="1575"/>
      <c r="T32" s="1575"/>
      <c r="U32" s="1576"/>
    </row>
    <row r="34" spans="1:21">
      <c r="A34" s="70" t="s">
        <v>1225</v>
      </c>
      <c r="B34" s="44"/>
      <c r="C34" s="44"/>
      <c r="D34" s="44"/>
      <c r="E34" s="44"/>
      <c r="F34" s="44"/>
      <c r="G34" s="45"/>
      <c r="H34" s="45"/>
      <c r="I34" s="45"/>
      <c r="J34" s="45"/>
      <c r="K34" s="45"/>
      <c r="L34" s="45"/>
      <c r="M34" s="45"/>
      <c r="N34" s="45"/>
      <c r="O34" s="45"/>
      <c r="P34" s="45"/>
      <c r="Q34" s="45"/>
      <c r="R34" s="45"/>
      <c r="S34" s="45"/>
      <c r="T34" s="45"/>
      <c r="U34" s="46"/>
    </row>
    <row r="35" spans="1:21" ht="4.5" customHeight="1">
      <c r="A35" s="35"/>
      <c r="B35" s="18"/>
      <c r="C35" s="18"/>
      <c r="D35" s="18"/>
      <c r="E35" s="18"/>
      <c r="F35" s="18"/>
      <c r="G35" s="18"/>
      <c r="H35" s="18"/>
      <c r="I35" s="18"/>
      <c r="J35" s="18"/>
      <c r="K35" s="18"/>
      <c r="L35" s="18"/>
      <c r="M35" s="18"/>
      <c r="N35" s="18"/>
      <c r="O35" s="18"/>
      <c r="P35" s="18"/>
      <c r="Q35" s="18"/>
      <c r="R35" s="18"/>
      <c r="S35" s="18"/>
      <c r="T35" s="18"/>
      <c r="U35" s="36"/>
    </row>
    <row r="36" spans="1:21" ht="14.1">
      <c r="A36" s="35"/>
      <c r="B36" s="18"/>
      <c r="C36" s="18"/>
      <c r="D36" s="18" t="s">
        <v>1226</v>
      </c>
      <c r="E36" s="18"/>
      <c r="F36" s="18"/>
      <c r="G36" s="18"/>
      <c r="H36" s="18"/>
      <c r="I36" s="18"/>
      <c r="J36" s="18"/>
      <c r="K36" s="18"/>
      <c r="L36" s="18"/>
      <c r="M36" s="18" t="s">
        <v>1227</v>
      </c>
      <c r="O36" s="18"/>
      <c r="P36" s="18"/>
      <c r="Q36" s="18"/>
      <c r="R36" s="18"/>
      <c r="S36" s="18" t="s">
        <v>1228</v>
      </c>
      <c r="T36" s="18"/>
      <c r="U36" s="36"/>
    </row>
    <row r="37" spans="1:21" ht="4.5" customHeight="1">
      <c r="A37" s="71"/>
      <c r="B37" s="33"/>
      <c r="C37" s="33"/>
      <c r="D37" s="33"/>
      <c r="E37" s="33"/>
      <c r="F37" s="33"/>
      <c r="G37" s="33"/>
      <c r="H37" s="33"/>
      <c r="I37" s="33"/>
      <c r="J37" s="33"/>
      <c r="K37" s="33"/>
      <c r="L37" s="33"/>
      <c r="M37" s="33"/>
      <c r="N37" s="33"/>
      <c r="O37" s="33"/>
      <c r="P37" s="33"/>
      <c r="Q37" s="33"/>
      <c r="R37" s="33"/>
      <c r="S37" s="33"/>
      <c r="T37" s="33"/>
      <c r="U37" s="72"/>
    </row>
    <row r="38" spans="1:21" ht="11.25" customHeight="1"/>
    <row r="39" spans="1:21" ht="14.45">
      <c r="A39" s="3" t="s">
        <v>1229</v>
      </c>
      <c r="T39"/>
    </row>
    <row r="40" spans="1:21" ht="13.5" customHeight="1">
      <c r="A40" s="75" t="s">
        <v>1230</v>
      </c>
      <c r="C40" s="1507" t="s">
        <v>1231</v>
      </c>
      <c r="D40" s="1507"/>
      <c r="E40" s="1507"/>
      <c r="F40" s="1507"/>
      <c r="G40" s="1507"/>
      <c r="H40" s="1507"/>
      <c r="I40" s="1507"/>
      <c r="J40" s="1507"/>
      <c r="K40" s="1507"/>
      <c r="L40" s="1507"/>
      <c r="M40" s="1507"/>
      <c r="N40" s="1507"/>
      <c r="O40" s="1508" t="str">
        <f>IF(OR(LEN(FLOOR(T40,1))=13,FLOOR(T40,1)&lt;=0),"Out of range",PROPER(SUBSTITUTE(CONCATENATE(CHOOSE(MID(TEXT(INT(T40),REPT(0,12)),1,1)+1,"","one hundred ","two hundred ","three hundred ","four hundred ","five hundred ","six hundred ","seven hundred ","eight hundred ","nine hundred "),CHOOSE(MID(TEXT(INT(T40),REPT(0,12)),2,1)+1,"",CHOOSE(MID(TEXT(INT(T40),REPT(0,12)),3,1)+1,"ten","eleven","twelve","thirteen","fourteen","fifteen","sixteen","seventeen","eighteen","nineteen"),"twenty","thirty","forty","fifty","sixty","seventy","eighty","ninety"),IF(VALUE(MID(TEXT(INT(T40),REPT(0,12)),2,1))&gt;1,CHOOSE(MID(TEXT(INT(T40),REPT(0,12)),3,1)+1,"","-one","-two","-three","-four","-five","-six","-seven","-eight","-nine"),IF(VALUE(MID(TEXT(INT(T40),REPT(0,12)),2,1))=0,CHOOSE(MID(TEXT(INT(T40),REPT(0,12)),3,1)+1,"","one","two","three","four","five","six","seven","eight","nine"),"")),IF(T40&gt;=10^9," billion ",""),CHOOSE(MID(TEXT(INT(T40),REPT(0,12)),4,1)+1,"","one hundred ","two hundred ","three hundred ","four hundred ","five hundred ","six hundred ","seven hundred ","eight hundred ","nine hundred "),CHOOSE(MID(TEXT(INT(T40),REPT(0,12)),5,1)+1,"",CHOOSE(MID(TEXT(INT(T40),REPT(0,12)),6,1)+1,"ten","eleven","twelve","thirteen","fourteen","fifteen","sixteen","seventeen","eighteen","nineteen"),"twenty","thirty","forty","fifty","sixty","seventy","eighty","ninety"),IF(VALUE(MID(TEXT(INT(T40),REPT(0,12)),5,1))&gt;1,CHOOSE(MID(TEXT(INT(T40),REPT(0,12)),6,1)+1,"","-one","-two","-three","-four","-five","-six","-seven","-eight","-nine"),IF(VALUE(MID(TEXT(INT(T40),REPT(0,12)),5,1))=0,CHOOSE(MID(TEXT(INT(T40),REPT(0,12)),6,1)+1,"","one","two","three","four","five","six","seven","eight","nine"),"")),IF(VALUE(MID(TEXT(INT(T40),REPT(0,12)),4,3))&gt;0," million ",""),CHOOSE(MID(TEXT(INT(T40),REPT(0,12)),7,1)+1,"","one hundred ","two hundred ","three hundred ","four hundred ","five hundred ","six hundred ","seven hundred ","eight hundred ","nine hundred "),CHOOSE(MID(TEXT(INT(T40),REPT(0,12)),8,1)+1,"",CHOOSE(MID(TEXT(INT(T40),REPT(0,12)),9,1)+1,"ten","eleven","twelve","thirteen","fourteen","fifteen","sixteen","seventeen","eighteen","nineteen"),"twenty","thirty","forty","fifty","sixty","seventy","eighty","ninety"),IF(VALUE(MID(TEXT(INT(T40),REPT(0,12)),8,1))&gt;1,CHOOSE(MID(TEXT(INT(T40),REPT(0,12)),9,1)+1,"","-one","-two","-three","-four","-five","-six","-seven","-eight","-nine"),IF(VALUE(MID(TEXT(INT(T40),REPT(0,12)),8,1))=0,CHOOSE(MID(TEXT(INT(T40),REPT(0,12)),9,1)+1,"","one","two","three","four","five","six","seven","eight","nine"),"")),IF(VALUE(MID(TEXT(INT(T40),REPT(0,12)),7,3))," thousand ",""),CHOOSE(MID(TEXT(INT(T40),REPT(0,12)),10,1)+1,"","one hundred ","two hundred ","three hundred ","four hundred ","five hundred ","six hundred ","seven hundred ","eight hundred ","nine hundred "),CHOOSE(MID(TEXT(INT(T40),REPT(0,12)),11,1)+1,"",CHOOSE(MID(TEXT(INT(T40),REPT(0,12)),12,1)+1,"ten","eleven","twelve","thirteen","fourteen","fifteen","sixteen","seventeen","eighteen","nineteen"),"twenty","thirty","forty","fifty","sixty","seventy","eighty","ninety"),IF(VALUE(MID(TEXT(INT(T40),REPT(0,12)),11,1))&gt;1,CHOOSE(MID(TEXT(INT(T40),REPT(0,12)),12,1)+1,"","-one","-two","-three","-four","-five","-six","-seven","-eight","-nine"),IF(VALUE(MID(TEXT(INT(T40),REPT(0,12)),11,1))=0,CHOOSE(MID(TEXT(INT(T40),REPT(0,12)),12,1)+1,"","one","two","three","four","five","six","seven","eight","nine"),""))),"  "," ")&amp;IF(FLOOR(T40,1)&gt;1," PESOS"," dollar"))&amp;IF(ISERROR(FIND(".",T40,1)),""," and "&amp;PROPER(IF(LEN(LEFT(TRIM(MID(SUBSTITUTE([9]Sheet1!A2,".",REPT(" ",255)),255,200)),2))=1,CHOOSE(1*LEFT(TRIM(MID(SUBSTITUTE([9]Sheet1!A2,".",REPT(" ",255)),255,200)),2),"ten","twenty","thirty","forty","fifty","sixty","seventy","eighty","ninety")&amp;" cents","")&amp;CONCATENATE(CHOOSE(MID(TEXT(INT(LEFT(TRIM(MID(SUBSTITUTE([9]Sheet1!A2,".",REPT(" ",255)),255,200)),2)),REPT(0,12)),11,1)+1,"",CHOOSE(MID(TEXT(INT(LEFT(TRIM(MID(SUBSTITUTE([9]Sheet1!A2,".",REPT(" ",255)),255,200)),2)),REPT(0,12)),12,1)+1,"ten","eleven","twelve","thirteen","fourteen","fifteen","sixteen","seventeen","eighteen","nineteen")&amp;" cents","twenty","thirty","forty","fifty","sixty","seventy","eighty","ninety"),IF(VALUE(MID(TEXT(INT(LEFT(TRIM(MID(SUBSTITUTE([9]Sheet1!A2,".",REPT(" ",255)),255,200)),2)),REPT(0,12)),11,1))&gt;1,CHOOSE(MID(TEXT(INT(LEFT(TRIM(MID(SUBSTITUTE([9]Sheet1!A2,".",REPT(" ",255)),255,200)),2)),REPT(0,12)),12,1)+1,"","-one","-two","-three","-four","-five","-six","-seven","-eight","-nine")&amp;" cents",IF(LEFT(TRIM(MID(SUBSTITUTE([9]Sheet1!A2,".",REPT(" ",255)),255,200)),2)="01","one cent",IF(LEFT(TRIM(MID(SUBSTITUTE([9]Sheet1!A2,".",REPT(" ",255)),255,200)),1)="0",CHOOSE(MID(TEXT(INT(LEFT(TRIM(MID(SUBSTITUTE([9]Sheet1!A2,".",REPT(" ",255)),255,200)),2)),REPT(0,12)),12,1)+1,"","one","two","three","four","five","six","seven","eight","nine")&amp;" cents","")))))))</f>
        <v>Thirty Thousand  Pesos</v>
      </c>
      <c r="P40" s="1508"/>
      <c r="Q40" s="1508"/>
      <c r="R40" s="1508"/>
      <c r="S40" s="79" t="s">
        <v>1232</v>
      </c>
      <c r="T40" s="358">
        <f>FORM!I22</f>
        <v>30000</v>
      </c>
      <c r="U40" s="82" t="s">
        <v>1233</v>
      </c>
    </row>
    <row r="41" spans="1:21" ht="13.5" customHeight="1">
      <c r="A41" s="73"/>
      <c r="B41" s="74"/>
      <c r="C41" s="74"/>
      <c r="D41" s="74"/>
      <c r="E41" s="74"/>
      <c r="F41" s="74"/>
      <c r="G41" s="74"/>
      <c r="H41" s="74"/>
      <c r="I41" s="74"/>
      <c r="J41" s="74"/>
      <c r="K41" s="74"/>
      <c r="L41" s="74"/>
      <c r="M41" s="74"/>
      <c r="N41" s="74"/>
      <c r="O41" s="77"/>
      <c r="P41" s="77"/>
      <c r="Q41" s="77"/>
      <c r="R41" s="77"/>
      <c r="S41" s="57"/>
      <c r="T41" s="78"/>
      <c r="U41" s="57"/>
    </row>
    <row r="42" spans="1:21" ht="13.5" customHeight="1">
      <c r="A42" s="73"/>
      <c r="B42" s="74"/>
      <c r="C42" s="74"/>
      <c r="D42" s="74"/>
      <c r="E42" s="74"/>
      <c r="F42" s="74"/>
      <c r="G42" s="74"/>
      <c r="H42" s="74"/>
      <c r="I42" s="74"/>
      <c r="J42" s="74"/>
      <c r="K42" s="74"/>
      <c r="L42" s="74"/>
      <c r="M42" s="74"/>
      <c r="N42" s="74"/>
      <c r="O42" s="77"/>
      <c r="P42" s="77"/>
      <c r="Q42" s="77"/>
      <c r="R42" s="77"/>
      <c r="S42" s="57"/>
      <c r="T42" s="78"/>
      <c r="U42" s="57"/>
    </row>
    <row r="43" spans="1:21" ht="13.5" customHeight="1">
      <c r="A43" s="73"/>
      <c r="B43" s="74"/>
      <c r="C43" s="74"/>
      <c r="D43" s="74"/>
      <c r="E43" s="74"/>
      <c r="F43" s="74"/>
      <c r="G43" s="74"/>
      <c r="H43" s="74"/>
      <c r="I43" s="74"/>
      <c r="J43" s="74"/>
      <c r="K43" s="74"/>
      <c r="L43" s="74"/>
      <c r="M43" s="74"/>
      <c r="N43" s="74"/>
      <c r="O43" s="77"/>
      <c r="P43" s="77"/>
      <c r="Q43" s="77"/>
      <c r="R43" s="77"/>
      <c r="S43" s="57"/>
      <c r="T43" s="78"/>
      <c r="U43" s="57"/>
    </row>
    <row r="44" spans="1:21" ht="13.5" customHeight="1">
      <c r="A44" s="73"/>
      <c r="B44" s="74"/>
      <c r="C44" s="74"/>
      <c r="D44" s="74"/>
      <c r="E44" s="74" t="s">
        <v>60</v>
      </c>
      <c r="F44" s="74"/>
      <c r="G44" s="74"/>
      <c r="H44" s="74"/>
      <c r="I44" s="74"/>
      <c r="J44" s="74"/>
      <c r="K44" s="74"/>
      <c r="L44" s="74"/>
      <c r="M44" s="74"/>
      <c r="N44" s="74"/>
      <c r="O44" s="77"/>
      <c r="P44" s="77"/>
      <c r="Q44" s="77"/>
      <c r="R44" s="77"/>
      <c r="S44" s="57"/>
      <c r="T44" s="78"/>
      <c r="U44" s="57"/>
    </row>
    <row r="45" spans="1:21" ht="13.5" customHeight="1">
      <c r="A45" s="73"/>
      <c r="B45" s="74"/>
      <c r="C45" s="74"/>
      <c r="D45" s="74"/>
      <c r="E45" s="74"/>
      <c r="F45" s="74"/>
      <c r="G45" s="74"/>
      <c r="H45" s="74"/>
      <c r="I45" s="74"/>
      <c r="J45" s="74"/>
      <c r="K45" s="74"/>
      <c r="L45" s="74"/>
      <c r="M45" s="74"/>
      <c r="N45" s="74"/>
      <c r="O45" s="77"/>
      <c r="P45" s="77"/>
      <c r="Q45" s="77"/>
      <c r="R45" s="77"/>
      <c r="S45" s="57"/>
      <c r="T45" s="78"/>
      <c r="U45" s="57"/>
    </row>
    <row r="46" spans="1:21" ht="13.5" customHeight="1">
      <c r="A46" s="73"/>
      <c r="B46" s="74"/>
      <c r="C46" s="74"/>
      <c r="D46" s="74"/>
      <c r="E46" s="74"/>
      <c r="F46" s="74"/>
      <c r="G46" s="74"/>
      <c r="H46" s="74"/>
      <c r="I46" s="74"/>
      <c r="J46" s="74"/>
      <c r="K46" s="74"/>
      <c r="L46" s="74"/>
      <c r="M46" s="74"/>
      <c r="N46" s="74"/>
      <c r="O46" s="77"/>
      <c r="P46" s="77"/>
      <c r="Q46" s="77"/>
      <c r="R46" s="77"/>
      <c r="S46" s="57"/>
      <c r="T46" s="78"/>
      <c r="U46" s="57"/>
    </row>
    <row r="47" spans="1:21" ht="13.5" customHeight="1">
      <c r="A47" s="73"/>
      <c r="B47" s="74"/>
      <c r="C47" s="74"/>
      <c r="D47" s="74"/>
      <c r="E47" s="74"/>
      <c r="F47" s="74"/>
      <c r="G47" s="74"/>
      <c r="H47" s="74"/>
      <c r="I47" s="74"/>
      <c r="J47" s="74"/>
      <c r="K47" s="74"/>
      <c r="L47" s="74"/>
      <c r="M47" s="74"/>
      <c r="N47" s="74"/>
      <c r="O47" s="77"/>
      <c r="P47" s="77"/>
      <c r="Q47" s="77"/>
      <c r="R47" s="77"/>
      <c r="S47" s="57"/>
      <c r="T47" s="78"/>
      <c r="U47" s="57"/>
    </row>
    <row r="48" spans="1:21" ht="13.5" customHeight="1">
      <c r="A48" s="73"/>
      <c r="B48" s="74"/>
      <c r="C48" s="74"/>
      <c r="D48" s="74"/>
      <c r="E48" s="74"/>
      <c r="F48" s="74"/>
      <c r="G48" s="74"/>
      <c r="H48" s="74"/>
      <c r="I48" s="74"/>
      <c r="J48" s="74"/>
      <c r="K48" s="74"/>
      <c r="L48" s="74"/>
      <c r="M48" s="74"/>
      <c r="N48" s="74"/>
      <c r="O48" s="77"/>
      <c r="P48" s="77"/>
      <c r="Q48" s="77"/>
      <c r="R48" s="77"/>
      <c r="S48" s="57"/>
      <c r="T48" s="78"/>
      <c r="U48" s="57"/>
    </row>
    <row r="49" spans="1:21" ht="13.5" customHeight="1">
      <c r="A49" s="73"/>
      <c r="B49" s="74"/>
      <c r="C49" s="74"/>
      <c r="D49" s="74"/>
      <c r="E49" s="74"/>
      <c r="F49" s="74"/>
      <c r="G49" s="74"/>
      <c r="H49" s="74"/>
      <c r="I49" s="74"/>
      <c r="J49" s="74"/>
      <c r="K49" s="74"/>
      <c r="L49" s="74"/>
      <c r="M49" s="74"/>
      <c r="N49" s="74"/>
      <c r="O49" s="77"/>
      <c r="P49" s="77"/>
      <c r="Q49" s="77"/>
      <c r="R49" s="77"/>
      <c r="S49" s="57"/>
      <c r="T49" s="78"/>
      <c r="U49" s="57"/>
    </row>
    <row r="50" spans="1:21" ht="13.5" customHeight="1">
      <c r="A50" s="73"/>
      <c r="B50" s="74"/>
      <c r="C50" s="74"/>
      <c r="D50" s="74"/>
      <c r="E50" s="74"/>
      <c r="F50" s="74"/>
      <c r="G50" s="74"/>
      <c r="H50" s="74"/>
      <c r="I50" s="74"/>
      <c r="J50" s="74"/>
      <c r="K50" s="74"/>
      <c r="L50" s="74"/>
      <c r="M50" s="74"/>
      <c r="N50" s="74"/>
      <c r="O50" s="77"/>
      <c r="P50" s="77"/>
      <c r="Q50" s="77"/>
      <c r="R50" s="77"/>
      <c r="S50" s="57"/>
      <c r="T50" s="78"/>
      <c r="U50" s="57"/>
    </row>
    <row r="51" spans="1:21" ht="13.5" customHeight="1">
      <c r="A51" s="73"/>
      <c r="B51" s="74"/>
      <c r="C51" s="74"/>
      <c r="D51" s="74"/>
      <c r="E51" s="74"/>
      <c r="F51" s="74"/>
      <c r="G51" s="74"/>
      <c r="H51" s="74"/>
      <c r="I51" s="74"/>
      <c r="J51" s="74"/>
      <c r="K51" s="74"/>
      <c r="L51" s="74"/>
      <c r="M51" s="74"/>
      <c r="N51" s="74"/>
      <c r="O51" s="77"/>
      <c r="P51" s="77"/>
      <c r="Q51" s="77"/>
      <c r="R51" s="77"/>
      <c r="S51" s="57"/>
      <c r="T51" s="78"/>
      <c r="U51" s="57"/>
    </row>
    <row r="52" spans="1:21" ht="13.5" customHeight="1">
      <c r="A52" s="73"/>
      <c r="B52" s="74"/>
      <c r="C52" s="74"/>
      <c r="D52" s="74"/>
      <c r="E52" s="74"/>
      <c r="F52" s="74"/>
      <c r="G52" s="74"/>
      <c r="H52" s="74"/>
      <c r="I52" s="74"/>
      <c r="J52" s="74"/>
      <c r="K52" s="74"/>
      <c r="L52" s="74"/>
      <c r="M52" s="74"/>
      <c r="N52" s="74"/>
      <c r="O52" s="77"/>
      <c r="P52" s="77"/>
      <c r="Q52" s="77"/>
      <c r="R52" s="77"/>
      <c r="S52" s="57"/>
      <c r="T52" s="78"/>
      <c r="U52" s="57"/>
    </row>
    <row r="53" spans="1:21" ht="13.5" customHeight="1">
      <c r="A53" s="73"/>
      <c r="B53" s="74"/>
      <c r="C53" s="74"/>
      <c r="D53" s="74"/>
      <c r="E53" s="74"/>
      <c r="F53" s="74"/>
      <c r="G53" s="74"/>
      <c r="H53" s="74"/>
      <c r="I53" s="74"/>
      <c r="J53" s="74"/>
      <c r="K53" s="74"/>
      <c r="L53" s="74"/>
      <c r="M53" s="74"/>
      <c r="N53" s="74"/>
      <c r="O53" s="77"/>
      <c r="P53" s="77"/>
      <c r="Q53" s="77"/>
      <c r="R53" s="77"/>
      <c r="S53" s="57"/>
      <c r="T53" s="78"/>
      <c r="U53" s="57"/>
    </row>
    <row r="54" spans="1:21" ht="13.5" customHeight="1">
      <c r="A54" s="73"/>
      <c r="B54" s="74"/>
      <c r="C54" s="74"/>
      <c r="D54" s="74"/>
      <c r="E54" s="74"/>
      <c r="F54" s="74"/>
      <c r="G54" s="74"/>
      <c r="H54" s="74"/>
      <c r="I54" s="74"/>
      <c r="J54" s="74"/>
      <c r="K54" s="74"/>
      <c r="L54" s="74"/>
      <c r="M54" s="74"/>
      <c r="N54" s="74"/>
      <c r="O54" s="77"/>
      <c r="P54" s="77"/>
      <c r="Q54" s="77"/>
      <c r="R54" s="77"/>
      <c r="S54" s="57"/>
      <c r="T54" s="78"/>
      <c r="U54" s="57"/>
    </row>
    <row r="55" spans="1:21" ht="13.5" customHeight="1">
      <c r="A55" s="73"/>
      <c r="B55" s="74"/>
      <c r="C55" s="74"/>
      <c r="D55" s="74"/>
      <c r="E55" s="74"/>
      <c r="F55" s="74"/>
      <c r="G55" s="74"/>
      <c r="H55" s="74"/>
      <c r="I55" s="74"/>
      <c r="J55" s="74"/>
      <c r="K55" s="74"/>
      <c r="L55" s="74"/>
      <c r="M55" s="74"/>
      <c r="N55" s="74"/>
      <c r="O55" s="77"/>
      <c r="P55" s="77"/>
      <c r="Q55" s="77"/>
      <c r="R55" s="77"/>
      <c r="S55" s="57"/>
      <c r="T55" s="78"/>
      <c r="U55" s="57"/>
    </row>
    <row r="56" spans="1:21" ht="13.5" customHeight="1">
      <c r="A56" s="73"/>
      <c r="B56" s="74"/>
      <c r="C56" s="74"/>
      <c r="D56" s="74"/>
      <c r="E56" s="74"/>
      <c r="F56" s="74"/>
      <c r="G56" s="74"/>
      <c r="H56" s="74"/>
      <c r="I56" s="74"/>
      <c r="J56" s="74"/>
      <c r="K56" s="74"/>
      <c r="L56" s="74"/>
      <c r="M56" s="74"/>
      <c r="N56" s="74"/>
      <c r="O56" s="77"/>
      <c r="P56" s="77"/>
      <c r="Q56" s="77"/>
      <c r="R56" s="77"/>
      <c r="S56" s="57"/>
      <c r="T56" s="78"/>
      <c r="U56" s="57"/>
    </row>
    <row r="57" spans="1:21" ht="13.5" customHeight="1">
      <c r="A57" s="73"/>
      <c r="B57" s="74"/>
      <c r="C57" s="74"/>
      <c r="D57" s="74"/>
      <c r="E57" s="74"/>
      <c r="F57" s="74"/>
      <c r="G57" s="74"/>
      <c r="H57" s="74"/>
      <c r="I57" s="74"/>
      <c r="J57" s="74"/>
      <c r="K57" s="74"/>
      <c r="L57" s="74"/>
      <c r="M57" s="74"/>
      <c r="N57" s="74"/>
      <c r="O57" s="77"/>
      <c r="P57" s="77"/>
      <c r="Q57" s="77"/>
      <c r="R57" s="77"/>
      <c r="S57" s="57"/>
      <c r="T57" s="78"/>
      <c r="U57" s="57"/>
    </row>
    <row r="58" spans="1:21" ht="13.5" customHeight="1">
      <c r="A58" s="73"/>
      <c r="B58" s="74"/>
      <c r="C58" s="74"/>
      <c r="D58" s="74"/>
      <c r="E58" s="74"/>
      <c r="F58" s="74"/>
      <c r="G58" s="74"/>
      <c r="H58" s="74"/>
      <c r="I58" s="74"/>
      <c r="J58" s="74"/>
      <c r="K58" s="74"/>
      <c r="L58" s="74"/>
      <c r="M58" s="74"/>
      <c r="N58" s="74"/>
      <c r="O58" s="77"/>
      <c r="P58" s="77"/>
      <c r="Q58" s="77"/>
      <c r="R58" s="77"/>
      <c r="S58" s="57"/>
      <c r="T58" s="78"/>
      <c r="U58" s="57"/>
    </row>
    <row r="59" spans="1:21" ht="13.5" customHeight="1">
      <c r="A59" s="73"/>
      <c r="B59" s="74"/>
      <c r="C59" s="74"/>
      <c r="D59" s="74"/>
      <c r="E59" s="74"/>
      <c r="F59" s="74"/>
      <c r="G59" s="74"/>
      <c r="H59" s="74"/>
      <c r="I59" s="74"/>
      <c r="J59" s="74"/>
      <c r="K59" s="74"/>
      <c r="L59" s="74"/>
      <c r="M59" s="74"/>
      <c r="N59" s="74"/>
      <c r="O59" s="77"/>
      <c r="P59" s="77"/>
      <c r="Q59" s="77"/>
      <c r="R59" s="77"/>
      <c r="S59" s="57"/>
      <c r="T59" s="78"/>
      <c r="U59" s="57"/>
    </row>
    <row r="60" spans="1:21" ht="13.5" customHeight="1">
      <c r="A60" s="73"/>
      <c r="B60" s="74"/>
      <c r="C60" s="74"/>
      <c r="D60" s="74"/>
      <c r="E60" s="74"/>
      <c r="F60" s="74"/>
      <c r="G60" s="74"/>
      <c r="H60" s="74"/>
      <c r="I60" s="74"/>
      <c r="J60" s="74"/>
      <c r="K60" s="74"/>
      <c r="L60" s="74"/>
      <c r="M60" s="74"/>
      <c r="N60" s="74"/>
      <c r="O60" s="77"/>
      <c r="P60" s="77"/>
      <c r="Q60" s="77"/>
      <c r="R60" s="77"/>
      <c r="S60" s="57"/>
      <c r="T60" s="78"/>
      <c r="U60" s="57"/>
    </row>
    <row r="61" spans="1:21" ht="13.5" customHeight="1">
      <c r="A61" s="73"/>
      <c r="B61" s="74"/>
      <c r="C61" s="74"/>
      <c r="D61" s="74"/>
      <c r="E61" s="74"/>
      <c r="F61" s="74"/>
      <c r="G61" s="74"/>
      <c r="H61" s="74"/>
      <c r="I61" s="74"/>
      <c r="J61" s="74"/>
      <c r="K61" s="74"/>
      <c r="L61" s="74"/>
      <c r="M61" s="74"/>
      <c r="N61" s="74"/>
      <c r="O61" s="77"/>
      <c r="P61" s="77"/>
      <c r="Q61" s="77"/>
      <c r="R61" s="77"/>
      <c r="S61" s="57"/>
      <c r="T61" s="78"/>
      <c r="U61" s="57"/>
    </row>
    <row r="62" spans="1:21" ht="13.5" customHeight="1">
      <c r="A62" s="73"/>
      <c r="B62" s="74"/>
      <c r="C62" s="74"/>
      <c r="D62" s="74"/>
      <c r="E62" s="74"/>
      <c r="F62" s="74"/>
      <c r="G62" s="74"/>
      <c r="H62" s="74"/>
      <c r="I62" s="74"/>
      <c r="J62" s="74"/>
      <c r="K62" s="74"/>
      <c r="L62" s="74"/>
      <c r="M62" s="74"/>
      <c r="N62" s="74"/>
      <c r="O62" s="77"/>
      <c r="P62" s="77"/>
      <c r="Q62" s="77"/>
      <c r="R62" s="77"/>
      <c r="S62" s="57"/>
      <c r="T62" s="78"/>
      <c r="U62" s="57"/>
    </row>
    <row r="63" spans="1:21" ht="13.5" customHeight="1">
      <c r="A63" s="73"/>
      <c r="B63" s="74"/>
      <c r="C63" s="74"/>
      <c r="D63" s="74"/>
      <c r="E63" s="74"/>
      <c r="F63" s="74"/>
      <c r="G63" s="74"/>
      <c r="H63" s="74"/>
      <c r="I63" s="74"/>
      <c r="J63" s="74"/>
      <c r="K63" s="74"/>
      <c r="L63" s="74"/>
      <c r="M63" s="74"/>
      <c r="N63" s="74"/>
      <c r="O63" s="77"/>
      <c r="P63" s="77"/>
      <c r="Q63" s="77"/>
      <c r="R63" s="77"/>
      <c r="S63" s="57"/>
      <c r="T63" s="78"/>
      <c r="U63" s="57"/>
    </row>
    <row r="64" spans="1:21" ht="13.5" customHeight="1">
      <c r="A64" s="73"/>
      <c r="B64" s="74"/>
      <c r="C64" s="74"/>
      <c r="D64" s="74"/>
      <c r="E64" s="74"/>
      <c r="F64" s="74"/>
      <c r="G64" s="74"/>
      <c r="H64" s="74"/>
      <c r="I64" s="74"/>
      <c r="J64" s="74"/>
      <c r="K64" s="74"/>
      <c r="L64" s="74"/>
      <c r="M64" s="74"/>
      <c r="N64" s="74"/>
      <c r="O64" s="77"/>
      <c r="P64" s="77"/>
      <c r="Q64" s="77"/>
      <c r="R64" s="77"/>
      <c r="S64" s="57"/>
      <c r="T64" s="78"/>
      <c r="U64" s="57"/>
    </row>
    <row r="65" spans="1:21" ht="13.5" customHeight="1">
      <c r="A65" s="73"/>
      <c r="B65" s="74"/>
      <c r="C65" s="74"/>
      <c r="D65" s="74"/>
      <c r="E65" s="74"/>
      <c r="F65" s="74"/>
      <c r="G65" s="74"/>
      <c r="H65" s="74"/>
      <c r="I65" s="74"/>
      <c r="J65" s="74"/>
      <c r="K65" s="74"/>
      <c r="L65" s="74"/>
      <c r="M65" s="74"/>
      <c r="N65" s="74"/>
      <c r="O65" s="77"/>
      <c r="P65" s="77"/>
      <c r="Q65" s="77"/>
      <c r="R65" s="77"/>
      <c r="S65" s="57"/>
      <c r="T65" s="78"/>
      <c r="U65" s="57"/>
    </row>
    <row r="66" spans="1:21" ht="13.5" customHeight="1">
      <c r="A66" s="73"/>
      <c r="B66" s="74"/>
      <c r="C66" s="74"/>
      <c r="D66" s="74"/>
      <c r="E66" s="74"/>
      <c r="F66" s="74"/>
      <c r="G66" s="74"/>
      <c r="H66" s="74"/>
      <c r="I66" s="74"/>
      <c r="J66" s="74"/>
      <c r="K66" s="74"/>
      <c r="L66" s="74"/>
      <c r="M66" s="74"/>
      <c r="N66" s="74"/>
      <c r="O66" s="77"/>
      <c r="P66" s="77"/>
      <c r="Q66" s="77"/>
      <c r="R66" s="77"/>
      <c r="S66" s="57"/>
      <c r="T66" s="78"/>
      <c r="U66" s="57"/>
    </row>
    <row r="67" spans="1:21" ht="13.5" customHeight="1">
      <c r="A67" s="73"/>
      <c r="B67" s="74"/>
      <c r="C67" s="74"/>
      <c r="D67" s="74"/>
      <c r="E67" s="74"/>
      <c r="F67" s="74"/>
      <c r="G67" s="74"/>
      <c r="H67" s="74"/>
      <c r="I67" s="74"/>
      <c r="J67" s="74"/>
      <c r="K67" s="74"/>
      <c r="L67" s="74"/>
      <c r="M67" s="74"/>
      <c r="N67" s="74"/>
      <c r="O67" s="77"/>
      <c r="P67" s="77"/>
      <c r="Q67" s="77"/>
      <c r="R67" s="77"/>
      <c r="S67" s="57"/>
      <c r="T67" s="78"/>
      <c r="U67" s="57"/>
    </row>
    <row r="68" spans="1:21" ht="13.5" customHeight="1">
      <c r="A68" s="73"/>
      <c r="B68" s="74"/>
      <c r="C68" s="74"/>
      <c r="D68" s="74"/>
      <c r="E68" s="74"/>
      <c r="F68" s="74"/>
      <c r="G68" s="74"/>
      <c r="H68" s="74"/>
      <c r="I68" s="74"/>
      <c r="J68" s="74"/>
      <c r="K68" s="74"/>
      <c r="L68" s="74"/>
      <c r="M68" s="74"/>
      <c r="N68" s="74"/>
      <c r="O68" s="77"/>
      <c r="P68" s="77"/>
      <c r="Q68" s="77"/>
      <c r="R68" s="77"/>
      <c r="S68" s="57"/>
      <c r="T68" s="78"/>
      <c r="U68" s="57"/>
    </row>
    <row r="69" spans="1:21" ht="13.5" customHeight="1">
      <c r="A69" s="73"/>
      <c r="B69" s="74"/>
      <c r="C69" s="74"/>
      <c r="D69" s="74"/>
      <c r="E69" s="74"/>
      <c r="F69" s="74"/>
      <c r="G69" s="74"/>
      <c r="H69" s="74"/>
      <c r="I69" s="74"/>
      <c r="J69" s="74"/>
      <c r="K69" s="74"/>
      <c r="L69" s="74"/>
      <c r="M69" s="74"/>
      <c r="N69" s="74"/>
      <c r="O69" s="77"/>
      <c r="P69" s="77"/>
      <c r="Q69" s="77"/>
      <c r="R69" s="77"/>
      <c r="S69" s="57"/>
      <c r="T69" s="78"/>
      <c r="U69" s="57"/>
    </row>
    <row r="70" spans="1:21" ht="13.5" customHeight="1">
      <c r="A70" s="73"/>
      <c r="B70" s="74"/>
      <c r="C70" s="74"/>
      <c r="D70" s="74"/>
      <c r="E70" s="74"/>
      <c r="F70" s="74"/>
      <c r="G70" s="74"/>
      <c r="H70" s="74"/>
      <c r="I70" s="74"/>
      <c r="J70" s="74"/>
      <c r="K70" s="74"/>
      <c r="L70" s="74"/>
      <c r="M70" s="74"/>
      <c r="N70" s="74"/>
      <c r="O70" s="77"/>
      <c r="P70" s="77"/>
      <c r="Q70" s="77"/>
      <c r="R70" s="77"/>
      <c r="S70" s="57"/>
      <c r="T70" s="78"/>
      <c r="U70" s="57"/>
    </row>
    <row r="71" spans="1:21" ht="13.5" customHeight="1">
      <c r="A71" s="73"/>
      <c r="B71" s="74"/>
      <c r="C71" s="74"/>
      <c r="D71" s="74"/>
      <c r="E71" s="74"/>
      <c r="F71" s="74"/>
      <c r="G71" s="74"/>
      <c r="H71" s="74"/>
      <c r="I71" s="74"/>
      <c r="J71" s="74"/>
      <c r="K71" s="74"/>
      <c r="L71" s="74"/>
      <c r="M71" s="74"/>
      <c r="N71" s="74"/>
      <c r="O71" s="77"/>
      <c r="P71" s="77"/>
      <c r="Q71" s="77"/>
      <c r="R71" s="77"/>
      <c r="S71" s="57"/>
      <c r="T71" s="78"/>
      <c r="U71" s="57"/>
    </row>
    <row r="72" spans="1:21" ht="13.5" customHeight="1">
      <c r="A72" s="73"/>
      <c r="B72" s="74"/>
      <c r="C72" s="74"/>
      <c r="D72" s="74"/>
      <c r="E72" s="74"/>
      <c r="F72" s="74"/>
      <c r="G72" s="74"/>
      <c r="H72" s="74"/>
      <c r="I72" s="74"/>
      <c r="J72" s="74"/>
      <c r="K72" s="74"/>
      <c r="L72" s="74"/>
      <c r="M72" s="74"/>
      <c r="N72" s="74"/>
      <c r="O72" s="77"/>
      <c r="P72" s="77"/>
      <c r="Q72" s="77"/>
      <c r="R72" s="77"/>
      <c r="S72" s="57"/>
      <c r="T72" s="78"/>
      <c r="U72" s="57"/>
    </row>
    <row r="73" spans="1:21" ht="13.5" customHeight="1">
      <c r="A73" s="73"/>
      <c r="B73" s="74"/>
      <c r="C73" s="74"/>
      <c r="D73" s="74"/>
      <c r="E73" s="74"/>
      <c r="F73" s="74"/>
      <c r="G73" s="74"/>
      <c r="H73" s="74"/>
      <c r="I73" s="74"/>
      <c r="J73" s="74"/>
      <c r="K73" s="74"/>
      <c r="L73" s="74"/>
      <c r="M73" s="74"/>
      <c r="N73" s="74"/>
      <c r="O73" s="77"/>
      <c r="P73" s="77"/>
      <c r="Q73" s="77"/>
      <c r="R73" s="77"/>
      <c r="S73" s="57"/>
      <c r="T73" s="78"/>
      <c r="U73" s="57"/>
    </row>
    <row r="74" spans="1:21" ht="13.5" customHeight="1">
      <c r="A74" s="73"/>
      <c r="B74" s="74"/>
      <c r="C74" s="74"/>
      <c r="D74" s="74"/>
      <c r="E74" s="74"/>
      <c r="F74" s="74"/>
      <c r="G74" s="74"/>
      <c r="H74" s="74"/>
      <c r="I74" s="74"/>
      <c r="J74" s="74"/>
      <c r="K74" s="74"/>
      <c r="L74" s="74"/>
      <c r="M74" s="74"/>
      <c r="N74" s="74"/>
      <c r="O74" s="77"/>
      <c r="P74" s="77"/>
      <c r="Q74" s="77"/>
      <c r="R74" s="77"/>
      <c r="S74" s="57"/>
      <c r="T74" s="78"/>
      <c r="U74" s="57"/>
    </row>
    <row r="75" spans="1:21" ht="13.5" customHeight="1">
      <c r="A75" s="73"/>
      <c r="B75" s="74"/>
      <c r="C75" s="74"/>
      <c r="D75" s="74"/>
      <c r="E75" s="74"/>
      <c r="F75" s="74"/>
      <c r="G75" s="74"/>
      <c r="H75" s="74"/>
      <c r="I75" s="74"/>
      <c r="J75" s="74"/>
      <c r="K75" s="74"/>
      <c r="L75" s="74"/>
      <c r="M75" s="74"/>
      <c r="N75" s="74"/>
      <c r="O75" s="77"/>
      <c r="P75" s="77"/>
      <c r="Q75" s="77"/>
      <c r="R75" s="77"/>
      <c r="S75" s="57"/>
      <c r="T75" s="78"/>
      <c r="U75" s="57"/>
    </row>
    <row r="76" spans="1:21" ht="13.5" customHeight="1">
      <c r="A76" s="73"/>
      <c r="B76" s="74"/>
      <c r="C76" s="74"/>
      <c r="D76" s="74"/>
      <c r="E76" s="74"/>
      <c r="F76" s="74"/>
      <c r="G76" s="74"/>
      <c r="H76" s="74"/>
      <c r="I76" s="74"/>
      <c r="J76" s="74"/>
      <c r="K76" s="74"/>
      <c r="L76" s="74"/>
      <c r="M76" s="74"/>
      <c r="N76" s="74"/>
      <c r="O76" s="77"/>
      <c r="P76" s="77"/>
      <c r="Q76" s="77"/>
      <c r="R76" s="77"/>
      <c r="S76" s="57"/>
      <c r="T76" s="78"/>
      <c r="U76" s="57"/>
    </row>
    <row r="77" spans="1:21" ht="13.5" customHeight="1">
      <c r="A77" s="73"/>
      <c r="B77" s="74"/>
      <c r="C77" s="74"/>
      <c r="D77" s="74"/>
      <c r="E77" s="74"/>
      <c r="F77" s="74"/>
      <c r="G77" s="74"/>
      <c r="H77" s="74"/>
      <c r="I77" s="74"/>
      <c r="J77" s="74"/>
      <c r="K77" s="74"/>
      <c r="L77" s="74"/>
      <c r="M77" s="74"/>
      <c r="N77" s="74"/>
      <c r="O77" s="77"/>
      <c r="P77" s="77"/>
      <c r="Q77" s="77"/>
      <c r="R77" s="77"/>
      <c r="S77" s="57"/>
      <c r="T77" s="78"/>
      <c r="U77" s="57"/>
    </row>
    <row r="78" spans="1:21" ht="13.5" customHeight="1">
      <c r="A78" s="73"/>
      <c r="B78" s="74"/>
      <c r="C78" s="74"/>
      <c r="D78" s="74"/>
      <c r="E78" s="74"/>
      <c r="F78" s="74"/>
      <c r="G78" s="74"/>
      <c r="H78" s="74"/>
      <c r="I78" s="74"/>
      <c r="J78" s="74"/>
      <c r="K78" s="74"/>
      <c r="L78" s="74"/>
      <c r="M78" s="74"/>
      <c r="N78" s="74"/>
      <c r="O78" s="77"/>
      <c r="P78" s="77"/>
      <c r="Q78" s="77"/>
      <c r="R78" s="77"/>
      <c r="S78" s="57"/>
      <c r="T78" s="78"/>
      <c r="U78" s="57"/>
    </row>
    <row r="79" spans="1:21" ht="13.5" customHeight="1">
      <c r="A79" s="73"/>
      <c r="B79" s="74"/>
      <c r="C79" s="74"/>
      <c r="D79" s="74"/>
      <c r="E79" s="74"/>
      <c r="F79" s="74"/>
      <c r="G79" s="74"/>
      <c r="H79" s="74"/>
      <c r="I79" s="74"/>
      <c r="J79" s="74"/>
      <c r="K79" s="74"/>
      <c r="L79" s="74"/>
      <c r="M79" s="74"/>
      <c r="N79" s="74"/>
      <c r="O79" s="77"/>
      <c r="P79" s="77"/>
      <c r="Q79" s="77"/>
      <c r="R79" s="77"/>
      <c r="S79" s="57"/>
      <c r="T79" s="78"/>
      <c r="U79" s="57"/>
    </row>
    <row r="80" spans="1:21" ht="13.5" customHeight="1">
      <c r="A80" s="73"/>
      <c r="B80" s="74"/>
      <c r="C80" s="74"/>
      <c r="D80" s="74"/>
      <c r="E80" s="74"/>
      <c r="F80" s="74"/>
      <c r="G80" s="74"/>
      <c r="H80" s="74"/>
      <c r="I80" s="74"/>
      <c r="J80" s="74"/>
      <c r="K80" s="74"/>
      <c r="L80" s="74"/>
      <c r="M80" s="74"/>
      <c r="N80" s="74"/>
      <c r="O80" s="77"/>
      <c r="P80" s="77"/>
      <c r="Q80" s="77"/>
      <c r="R80" s="77"/>
      <c r="S80" s="57"/>
      <c r="T80" s="78"/>
      <c r="U80" s="57"/>
    </row>
    <row r="81" spans="1:21" ht="13.5" customHeight="1">
      <c r="A81" s="73"/>
      <c r="B81" s="74"/>
      <c r="C81" s="74"/>
      <c r="D81" s="74"/>
      <c r="E81" s="74"/>
      <c r="F81" s="74"/>
      <c r="G81" s="74"/>
      <c r="H81" s="74"/>
      <c r="I81" s="74"/>
      <c r="J81" s="74"/>
      <c r="K81" s="74"/>
      <c r="L81" s="74"/>
      <c r="M81" s="74"/>
      <c r="N81" s="74"/>
      <c r="O81" s="77"/>
      <c r="P81" s="77"/>
      <c r="Q81" s="77"/>
      <c r="R81" s="77"/>
      <c r="S81" s="57"/>
      <c r="T81" s="78"/>
      <c r="U81" s="57"/>
    </row>
    <row r="82" spans="1:21" ht="13.5" customHeight="1">
      <c r="A82" s="73"/>
      <c r="B82" s="74"/>
      <c r="C82" s="74"/>
      <c r="D82" s="74"/>
      <c r="E82" s="74"/>
      <c r="F82" s="74"/>
      <c r="G82" s="74"/>
      <c r="H82" s="74"/>
      <c r="I82" s="74"/>
      <c r="J82" s="74"/>
      <c r="K82" s="74"/>
      <c r="L82" s="74"/>
      <c r="M82" s="74"/>
      <c r="N82" s="74"/>
      <c r="O82" s="77"/>
      <c r="P82" s="77"/>
      <c r="Q82" s="77"/>
      <c r="R82" s="77"/>
      <c r="S82" s="57"/>
      <c r="T82" s="78"/>
      <c r="U82" s="57"/>
    </row>
    <row r="83" spans="1:21" ht="13.5" customHeight="1">
      <c r="A83" s="73"/>
      <c r="B83" s="74"/>
      <c r="C83" s="74"/>
      <c r="D83" s="74"/>
      <c r="E83" s="74"/>
      <c r="F83" s="74"/>
      <c r="G83" s="74"/>
      <c r="H83" s="74"/>
      <c r="I83" s="74"/>
      <c r="J83" s="74"/>
      <c r="K83" s="74"/>
      <c r="L83" s="74"/>
      <c r="M83" s="74"/>
      <c r="N83" s="74"/>
      <c r="O83" s="77"/>
      <c r="P83" s="77"/>
      <c r="Q83" s="77"/>
      <c r="R83" s="77"/>
      <c r="S83" s="57"/>
      <c r="T83" s="78"/>
      <c r="U83" s="57"/>
    </row>
    <row r="84" spans="1:21" ht="13.5" customHeight="1">
      <c r="A84" s="73"/>
      <c r="B84" s="74"/>
      <c r="C84" s="74"/>
      <c r="D84" s="74"/>
      <c r="E84" s="74"/>
      <c r="F84" s="74"/>
      <c r="G84" s="74"/>
      <c r="H84" s="74"/>
      <c r="I84" s="74"/>
      <c r="J84" s="74"/>
      <c r="K84" s="74"/>
      <c r="L84" s="74"/>
      <c r="M84" s="74"/>
      <c r="N84" s="74"/>
      <c r="O84" s="77"/>
      <c r="P84" s="77"/>
      <c r="Q84" s="77"/>
      <c r="R84" s="77"/>
      <c r="S84" s="57"/>
      <c r="T84" s="78"/>
      <c r="U84" s="57"/>
    </row>
    <row r="85" spans="1:21" ht="13.5" customHeight="1">
      <c r="A85" s="73"/>
      <c r="B85" s="74"/>
      <c r="C85" s="74"/>
      <c r="D85" s="74"/>
      <c r="E85" s="74"/>
      <c r="F85" s="74"/>
      <c r="G85" s="74"/>
      <c r="H85" s="74"/>
      <c r="I85" s="74"/>
      <c r="J85" s="74"/>
      <c r="K85" s="74"/>
      <c r="L85" s="74"/>
      <c r="M85" s="74"/>
      <c r="N85" s="74"/>
      <c r="O85" s="77"/>
      <c r="P85" s="77"/>
      <c r="Q85" s="77"/>
      <c r="R85" s="77"/>
      <c r="S85" s="57"/>
      <c r="T85" s="78"/>
      <c r="U85" s="57"/>
    </row>
    <row r="86" spans="1:21" ht="6.75" customHeight="1">
      <c r="A86" s="47"/>
      <c r="B86" s="47"/>
      <c r="C86" s="47"/>
      <c r="D86" s="47"/>
      <c r="E86" s="47"/>
      <c r="F86" s="47"/>
      <c r="G86" s="47"/>
      <c r="H86" s="47"/>
      <c r="I86" s="47"/>
      <c r="J86" s="47"/>
      <c r="K86" s="47"/>
      <c r="L86" s="47"/>
      <c r="M86" s="47"/>
      <c r="N86" s="47"/>
      <c r="O86" s="47"/>
      <c r="P86" s="47"/>
      <c r="Q86" s="47"/>
      <c r="R86" s="47"/>
      <c r="S86" s="47"/>
      <c r="T86" s="47"/>
      <c r="U86" s="47"/>
    </row>
    <row r="87" spans="1:21" ht="14.1">
      <c r="A87" s="60"/>
      <c r="B87" s="61" t="s">
        <v>1234</v>
      </c>
      <c r="C87" s="62"/>
      <c r="D87" s="62"/>
      <c r="E87" s="62"/>
      <c r="F87" s="62"/>
      <c r="G87" s="62"/>
      <c r="H87" s="62"/>
      <c r="I87" s="62"/>
      <c r="J87" s="62"/>
      <c r="K87" s="62"/>
      <c r="L87" s="62"/>
      <c r="M87" s="62"/>
      <c r="N87" s="62"/>
      <c r="O87" s="62"/>
      <c r="P87" s="62"/>
      <c r="Q87" s="62"/>
      <c r="R87" s="62"/>
      <c r="S87" s="62"/>
      <c r="T87" s="62"/>
      <c r="U87" s="63"/>
    </row>
    <row r="88" spans="1:21" ht="6.75" customHeight="1">
      <c r="A88" s="64"/>
      <c r="B88" s="59"/>
      <c r="C88" s="59"/>
      <c r="D88" s="59"/>
      <c r="E88" s="59"/>
      <c r="F88" s="59"/>
      <c r="G88" s="59"/>
      <c r="H88" s="59"/>
      <c r="I88" s="59"/>
      <c r="J88" s="59"/>
      <c r="K88" s="59"/>
      <c r="L88" s="59"/>
      <c r="M88" s="59"/>
      <c r="N88" s="59"/>
      <c r="O88" s="59"/>
      <c r="P88" s="59"/>
      <c r="Q88" s="59"/>
      <c r="R88" s="59"/>
      <c r="S88" s="59"/>
      <c r="T88" s="59"/>
      <c r="U88" s="65"/>
    </row>
    <row r="89" spans="1:21" ht="14.1">
      <c r="A89" s="64"/>
      <c r="B89" s="59"/>
      <c r="C89" s="66" t="s">
        <v>1235</v>
      </c>
      <c r="D89" s="59"/>
      <c r="E89" s="59"/>
      <c r="F89" s="59"/>
      <c r="G89" s="59"/>
      <c r="H89" s="59"/>
      <c r="I89" s="59"/>
      <c r="J89" s="59"/>
      <c r="K89" s="66" t="s">
        <v>1236</v>
      </c>
      <c r="L89" s="59"/>
      <c r="M89" s="59"/>
      <c r="N89" s="59"/>
      <c r="O89" s="59"/>
      <c r="P89" s="59"/>
      <c r="Q89" s="59"/>
      <c r="R89" s="66" t="s">
        <v>1237</v>
      </c>
      <c r="S89" s="66"/>
      <c r="T89" s="66"/>
      <c r="U89" s="65"/>
    </row>
    <row r="90" spans="1:21" ht="14.1">
      <c r="A90" s="187"/>
      <c r="B90" s="188"/>
      <c r="C90" s="59" t="s">
        <v>1238</v>
      </c>
      <c r="D90" s="189"/>
      <c r="E90" s="1509"/>
      <c r="F90" s="1509"/>
      <c r="G90" s="1509"/>
      <c r="H90" s="189"/>
      <c r="I90" s="189"/>
      <c r="J90" s="188"/>
      <c r="K90" s="59" t="s">
        <v>1239</v>
      </c>
      <c r="L90" s="189"/>
      <c r="M90" s="1509"/>
      <c r="N90" s="1509"/>
      <c r="O90" s="1509"/>
      <c r="P90" s="189"/>
      <c r="Q90" s="188"/>
      <c r="R90" s="59" t="s">
        <v>1240</v>
      </c>
      <c r="S90" s="1509"/>
      <c r="T90" s="1509"/>
      <c r="U90" s="65"/>
    </row>
    <row r="91" spans="1:21" ht="14.1">
      <c r="A91" s="187"/>
      <c r="B91" s="188"/>
      <c r="C91" s="59" t="s">
        <v>1241</v>
      </c>
      <c r="D91" s="189"/>
      <c r="E91" s="1509"/>
      <c r="F91" s="1509"/>
      <c r="G91" s="1509"/>
      <c r="H91" s="189"/>
      <c r="I91" s="189"/>
      <c r="J91" s="188"/>
      <c r="K91" s="59" t="s">
        <v>1242</v>
      </c>
      <c r="L91" s="189"/>
      <c r="M91" s="1509"/>
      <c r="N91" s="1509"/>
      <c r="O91" s="1509"/>
      <c r="P91" s="189"/>
      <c r="Q91" s="188"/>
      <c r="R91" s="59" t="s">
        <v>1243</v>
      </c>
      <c r="S91" s="1510"/>
      <c r="T91" s="1510"/>
      <c r="U91" s="65"/>
    </row>
    <row r="92" spans="1:21" ht="14.1">
      <c r="A92" s="187"/>
      <c r="B92" s="189"/>
      <c r="C92" s="189"/>
      <c r="D92" s="189"/>
      <c r="E92" s="189"/>
      <c r="F92" s="189"/>
      <c r="G92" s="189"/>
      <c r="H92" s="189"/>
      <c r="I92" s="189"/>
      <c r="J92" s="189"/>
      <c r="K92" s="189"/>
      <c r="L92" s="189"/>
      <c r="M92" s="189"/>
      <c r="N92" s="189"/>
      <c r="O92" s="189"/>
      <c r="P92" s="189"/>
      <c r="Q92" s="188"/>
      <c r="R92" s="59" t="s">
        <v>1244</v>
      </c>
      <c r="S92" s="1510"/>
      <c r="T92" s="1510"/>
      <c r="U92" s="65"/>
    </row>
    <row r="93" spans="1:21" ht="6" customHeight="1">
      <c r="A93" s="67"/>
      <c r="B93" s="68"/>
      <c r="C93" s="68"/>
      <c r="D93" s="68"/>
      <c r="E93" s="68"/>
      <c r="F93" s="68"/>
      <c r="G93" s="68"/>
      <c r="H93" s="68"/>
      <c r="I93" s="68"/>
      <c r="J93" s="68"/>
      <c r="K93" s="68"/>
      <c r="L93" s="68"/>
      <c r="M93" s="68"/>
      <c r="N93" s="68"/>
      <c r="O93" s="68"/>
      <c r="P93" s="68"/>
      <c r="Q93" s="68"/>
      <c r="R93" s="68"/>
      <c r="S93" s="68"/>
      <c r="T93" s="68"/>
      <c r="U93" s="69"/>
    </row>
    <row r="95" spans="1:21">
      <c r="A95" s="1511" t="s">
        <v>1245</v>
      </c>
      <c r="B95" s="1512"/>
      <c r="C95" s="1512"/>
      <c r="D95" s="1512"/>
      <c r="E95" s="1512"/>
      <c r="F95" s="1512"/>
      <c r="G95" s="1512"/>
      <c r="H95" s="1512"/>
      <c r="I95" s="1512"/>
      <c r="J95" s="1512"/>
      <c r="K95" s="1512"/>
      <c r="L95" s="1512"/>
      <c r="M95" s="1512"/>
      <c r="N95" s="1512"/>
      <c r="O95" s="1512"/>
      <c r="P95" s="1512"/>
      <c r="Q95" s="1512"/>
      <c r="R95" s="1512"/>
      <c r="S95" s="1512"/>
      <c r="T95" s="1512"/>
      <c r="U95" s="1513"/>
    </row>
    <row r="96" spans="1:21">
      <c r="A96" s="1505" t="s">
        <v>1052</v>
      </c>
      <c r="B96" s="1505"/>
      <c r="C96" s="1505"/>
      <c r="D96" s="1505"/>
      <c r="E96" s="1505"/>
      <c r="F96" s="1505"/>
      <c r="G96" s="1505"/>
      <c r="H96" s="1505"/>
      <c r="I96" s="1505" t="s">
        <v>1246</v>
      </c>
      <c r="J96" s="1505"/>
      <c r="K96" s="1505"/>
      <c r="L96" s="1505"/>
      <c r="M96" s="1505"/>
      <c r="N96" s="1505"/>
      <c r="O96" s="1505"/>
      <c r="P96" s="1506" t="s">
        <v>1054</v>
      </c>
      <c r="Q96" s="1506"/>
      <c r="R96" s="1506"/>
      <c r="S96" s="1506"/>
      <c r="T96" s="1506"/>
      <c r="U96" s="1506"/>
    </row>
    <row r="97" spans="1:21" ht="14.1">
      <c r="A97" s="1321" t="str">
        <f>FORM!I46</f>
        <v>Brokerage/Realty</v>
      </c>
      <c r="B97" s="1321"/>
      <c r="C97" s="1321"/>
      <c r="D97" s="1321"/>
      <c r="E97" s="1321"/>
      <c r="F97" s="1321"/>
      <c r="G97" s="1321"/>
      <c r="H97" s="1321"/>
      <c r="I97" s="1322">
        <f>FORM!M46</f>
        <v>0</v>
      </c>
      <c r="J97" s="1322"/>
      <c r="K97" s="1322"/>
      <c r="L97" s="1322"/>
      <c r="M97" s="1322"/>
      <c r="N97" s="1322"/>
      <c r="O97" s="1322"/>
      <c r="P97" s="1322">
        <f>FORM!T46</f>
        <v>0</v>
      </c>
      <c r="Q97" s="1322"/>
      <c r="R97" s="1322"/>
      <c r="S97" s="1322"/>
      <c r="T97" s="1322"/>
      <c r="U97" s="1322"/>
    </row>
    <row r="98" spans="1:21" ht="14.1">
      <c r="A98" s="1321" t="str">
        <f>FORM!I47</f>
        <v>Broker Head/AVP</v>
      </c>
      <c r="B98" s="1321"/>
      <c r="C98" s="1321"/>
      <c r="D98" s="1321"/>
      <c r="E98" s="1321"/>
      <c r="F98" s="1321"/>
      <c r="G98" s="1321"/>
      <c r="H98" s="1321"/>
      <c r="I98" s="1322">
        <f>FORM!M47</f>
        <v>0</v>
      </c>
      <c r="J98" s="1322"/>
      <c r="K98" s="1322"/>
      <c r="L98" s="1322"/>
      <c r="M98" s="1322"/>
      <c r="N98" s="1322"/>
      <c r="O98" s="1322"/>
      <c r="P98" s="1322">
        <f>FORM!T47</f>
        <v>0</v>
      </c>
      <c r="Q98" s="1322"/>
      <c r="R98" s="1322"/>
      <c r="S98" s="1322"/>
      <c r="T98" s="1322"/>
      <c r="U98" s="1322"/>
    </row>
    <row r="99" spans="1:21" ht="14.1">
      <c r="A99" s="1321" t="str">
        <f>FORM!I48</f>
        <v>Sales Manager</v>
      </c>
      <c r="B99" s="1321"/>
      <c r="C99" s="1321"/>
      <c r="D99" s="1321"/>
      <c r="E99" s="1321"/>
      <c r="F99" s="1321"/>
      <c r="G99" s="1321"/>
      <c r="H99" s="1321"/>
      <c r="I99" s="1322">
        <f>FORM!M48</f>
        <v>0</v>
      </c>
      <c r="J99" s="1322"/>
      <c r="K99" s="1322"/>
      <c r="L99" s="1322"/>
      <c r="M99" s="1322"/>
      <c r="N99" s="1322"/>
      <c r="O99" s="1322"/>
      <c r="P99" s="1322">
        <f>FORM!T48</f>
        <v>0</v>
      </c>
      <c r="Q99" s="1322"/>
      <c r="R99" s="1322"/>
      <c r="S99" s="1322"/>
      <c r="T99" s="1322"/>
      <c r="U99" s="1322"/>
    </row>
    <row r="100" spans="1:21" ht="14.1">
      <c r="A100" s="1321" t="str">
        <f>FORM!I49</f>
        <v xml:space="preserve">Sales Agent/Property Consultant </v>
      </c>
      <c r="B100" s="1321"/>
      <c r="C100" s="1321"/>
      <c r="D100" s="1321"/>
      <c r="E100" s="1321"/>
      <c r="F100" s="1321"/>
      <c r="G100" s="1321"/>
      <c r="H100" s="1321"/>
      <c r="I100" s="1322">
        <f>FORM!M49</f>
        <v>0</v>
      </c>
      <c r="J100" s="1322"/>
      <c r="K100" s="1322"/>
      <c r="L100" s="1322"/>
      <c r="M100" s="1322"/>
      <c r="N100" s="1322"/>
      <c r="O100" s="1322"/>
      <c r="P100" s="1322">
        <f>FORM!T49</f>
        <v>0</v>
      </c>
      <c r="Q100" s="1322"/>
      <c r="R100" s="1322"/>
      <c r="S100" s="1322"/>
      <c r="T100" s="1322"/>
      <c r="U100" s="1322"/>
    </row>
    <row r="102" spans="1:21" ht="14.1">
      <c r="A102" s="1514" t="s">
        <v>1247</v>
      </c>
      <c r="B102" s="1515"/>
      <c r="C102" s="1515"/>
      <c r="D102" s="1515"/>
      <c r="E102" s="1515"/>
      <c r="F102" s="1515"/>
      <c r="G102" s="1515"/>
      <c r="H102" s="1515"/>
      <c r="I102" s="1515"/>
      <c r="J102" s="1515"/>
      <c r="K102" s="1515"/>
      <c r="L102" s="1515"/>
      <c r="M102" s="1515"/>
      <c r="N102" s="1515"/>
      <c r="O102" s="1515"/>
      <c r="P102" s="1515"/>
      <c r="Q102" s="1515"/>
      <c r="R102" s="1515"/>
      <c r="S102" s="1515"/>
      <c r="T102" s="1515"/>
      <c r="U102" s="1515"/>
    </row>
    <row r="113" spans="1:21">
      <c r="G113" s="22"/>
      <c r="H113" s="1470" t="str">
        <f>D3</f>
        <v>buyer</v>
      </c>
      <c r="I113" s="1470"/>
      <c r="J113" s="1470"/>
      <c r="K113" s="1470"/>
      <c r="L113" s="1470"/>
      <c r="M113" s="1470"/>
      <c r="N113" s="1470"/>
      <c r="O113" s="1470"/>
      <c r="P113" s="1470"/>
      <c r="Q113" s="1470"/>
    </row>
    <row r="114" spans="1:21" ht="25.5" customHeight="1">
      <c r="A114" s="1516" t="s">
        <v>1248</v>
      </c>
      <c r="B114" s="1516"/>
      <c r="C114" s="1516"/>
      <c r="D114" s="1516"/>
      <c r="E114" s="1516"/>
      <c r="F114" s="1516"/>
      <c r="G114" s="1516"/>
      <c r="H114" s="1516"/>
      <c r="I114" s="1516"/>
      <c r="J114" s="1516"/>
      <c r="K114" s="1516"/>
      <c r="L114" s="1516"/>
      <c r="M114" s="1516"/>
      <c r="N114" s="1516"/>
      <c r="O114" s="1516"/>
      <c r="P114" s="1516"/>
      <c r="Q114" s="1516"/>
      <c r="R114" s="1516"/>
      <c r="S114" s="1516"/>
      <c r="T114" s="1516"/>
      <c r="U114" s="1516"/>
    </row>
    <row r="115" spans="1:21">
      <c r="A115" s="22"/>
      <c r="B115" s="22"/>
      <c r="C115" s="22"/>
      <c r="D115" s="22"/>
      <c r="E115" s="22"/>
      <c r="F115" s="22"/>
      <c r="G115" s="22"/>
      <c r="H115" s="22"/>
      <c r="I115" s="22"/>
      <c r="J115" s="22"/>
      <c r="K115" s="22"/>
      <c r="L115" s="22"/>
      <c r="M115" s="22"/>
      <c r="N115" s="22"/>
      <c r="O115" s="22"/>
      <c r="P115" s="22"/>
      <c r="Q115" s="22"/>
      <c r="R115" s="22"/>
      <c r="S115" s="22"/>
      <c r="T115" s="22"/>
      <c r="U115" s="22"/>
    </row>
    <row r="116" spans="1:21">
      <c r="A116" s="22"/>
      <c r="B116" s="22"/>
      <c r="C116" s="22"/>
      <c r="D116" s="22"/>
      <c r="E116" s="22"/>
      <c r="F116" s="22"/>
      <c r="G116" s="22"/>
      <c r="H116" s="22"/>
      <c r="I116" s="22"/>
      <c r="J116" s="22"/>
      <c r="K116" s="22"/>
      <c r="L116" s="22"/>
      <c r="M116" s="22"/>
      <c r="N116" s="22"/>
      <c r="O116" s="22"/>
      <c r="P116" s="22"/>
      <c r="Q116" s="22"/>
      <c r="R116" s="22"/>
      <c r="S116" s="22"/>
      <c r="T116" s="22"/>
      <c r="U116" s="22"/>
    </row>
    <row r="117" spans="1:21">
      <c r="A117" s="1517" t="s">
        <v>1249</v>
      </c>
      <c r="B117" s="1517"/>
      <c r="C117" s="1517"/>
      <c r="D117" s="1517"/>
      <c r="E117" s="1517"/>
      <c r="F117" s="1517"/>
      <c r="G117" s="1517"/>
      <c r="H117" s="1517"/>
      <c r="I117" s="1517"/>
      <c r="J117" s="1517"/>
      <c r="K117" s="1517"/>
      <c r="L117" s="1517"/>
      <c r="M117" s="1517"/>
      <c r="N117" s="1517"/>
      <c r="O117" s="1517"/>
      <c r="P117" s="1517"/>
      <c r="Q117" s="1517"/>
      <c r="R117" s="1517"/>
      <c r="S117" s="1517"/>
      <c r="T117" s="1517"/>
      <c r="U117" s="1517"/>
    </row>
    <row r="118" spans="1:21" ht="21.75" customHeight="1">
      <c r="A118" s="1518" t="str">
        <f>H8</f>
        <v>Iloilo Southprime Developers Inc.</v>
      </c>
      <c r="B118" s="1518"/>
      <c r="C118" s="1518"/>
      <c r="D118" s="1518"/>
      <c r="E118" s="1518"/>
      <c r="F118" s="1518"/>
      <c r="G118" s="1518"/>
      <c r="H118" s="1518"/>
      <c r="I118" s="1518"/>
      <c r="J118" s="1518"/>
      <c r="K118" s="1518"/>
      <c r="L118" s="1518"/>
      <c r="M118" s="1518"/>
      <c r="N118" s="1518"/>
      <c r="O118" s="1518"/>
      <c r="P118" s="1518"/>
      <c r="Q118" s="1518"/>
      <c r="R118" s="1518"/>
      <c r="S118" s="1518"/>
      <c r="T118" s="1518"/>
      <c r="U118" s="1518"/>
    </row>
    <row r="119" spans="1:21">
      <c r="A119" s="22"/>
      <c r="B119" s="22"/>
      <c r="C119" s="22"/>
      <c r="D119" s="22"/>
      <c r="E119" s="22"/>
      <c r="F119" s="22"/>
      <c r="G119" s="22"/>
      <c r="H119" s="22"/>
      <c r="I119" s="22"/>
      <c r="J119" s="22"/>
      <c r="K119" s="22"/>
      <c r="L119" s="22"/>
      <c r="M119" s="22"/>
      <c r="N119" s="22"/>
      <c r="O119" s="22"/>
      <c r="P119" s="22"/>
      <c r="Q119" s="22"/>
      <c r="R119" s="22"/>
      <c r="S119" s="22"/>
      <c r="T119" s="22"/>
      <c r="U119" s="22"/>
    </row>
    <row r="120" spans="1:21">
      <c r="A120" s="22"/>
      <c r="B120" s="22"/>
      <c r="C120" s="22"/>
      <c r="D120" s="22"/>
      <c r="E120" s="22"/>
      <c r="F120" s="22"/>
      <c r="G120" s="22"/>
      <c r="H120" s="23"/>
      <c r="I120" s="23"/>
      <c r="J120" s="23"/>
      <c r="K120" s="23"/>
      <c r="L120" s="23"/>
      <c r="M120" s="23"/>
      <c r="N120" s="23"/>
      <c r="O120" s="23"/>
      <c r="P120" s="23"/>
      <c r="Q120" s="23"/>
      <c r="R120" s="22"/>
      <c r="S120" s="22"/>
      <c r="T120" s="22"/>
      <c r="U120" s="22"/>
    </row>
    <row r="124" spans="1:21">
      <c r="I124" s="52"/>
    </row>
  </sheetData>
  <sheetProtection algorithmName="SHA-512" hashValue="qSqSOy/Xi1t2kbN6BBCr6JZWKoB1xjNMMuldR4vrxAfxcnuIsAPc2xDp0mxCpSjJEdIY0IRLvZlXIApxfPGTcA==" saltValue="9sRVAXQJ0u1W1TOy74dCgQ==" spinCount="100000" sheet="1"/>
  <mergeCells count="70">
    <mergeCell ref="A102:U102"/>
    <mergeCell ref="H113:Q113"/>
    <mergeCell ref="A114:U114"/>
    <mergeCell ref="A117:U117"/>
    <mergeCell ref="A118:U118"/>
    <mergeCell ref="A99:H99"/>
    <mergeCell ref="I99:O99"/>
    <mergeCell ref="P99:U99"/>
    <mergeCell ref="A100:H100"/>
    <mergeCell ref="I100:O100"/>
    <mergeCell ref="P100:U100"/>
    <mergeCell ref="A97:H97"/>
    <mergeCell ref="I97:O97"/>
    <mergeCell ref="P97:U97"/>
    <mergeCell ref="A98:H98"/>
    <mergeCell ref="I98:O98"/>
    <mergeCell ref="P98:U98"/>
    <mergeCell ref="A96:H96"/>
    <mergeCell ref="I96:O96"/>
    <mergeCell ref="P96:U96"/>
    <mergeCell ref="I31:U31"/>
    <mergeCell ref="I32:U32"/>
    <mergeCell ref="C40:N40"/>
    <mergeCell ref="O40:R40"/>
    <mergeCell ref="E90:G90"/>
    <mergeCell ref="M90:O90"/>
    <mergeCell ref="S90:T90"/>
    <mergeCell ref="E91:G91"/>
    <mergeCell ref="M91:O91"/>
    <mergeCell ref="S91:T91"/>
    <mergeCell ref="S92:T92"/>
    <mergeCell ref="A95:U95"/>
    <mergeCell ref="I30:U30"/>
    <mergeCell ref="D23:F23"/>
    <mergeCell ref="J23:L23"/>
    <mergeCell ref="P23:Q23"/>
    <mergeCell ref="T23:U23"/>
    <mergeCell ref="D24:F24"/>
    <mergeCell ref="J24:L24"/>
    <mergeCell ref="P24:Q24"/>
    <mergeCell ref="R24:S25"/>
    <mergeCell ref="T24:U25"/>
    <mergeCell ref="D25:F25"/>
    <mergeCell ref="J25:L25"/>
    <mergeCell ref="P25:Q25"/>
    <mergeCell ref="I27:U27"/>
    <mergeCell ref="I28:U28"/>
    <mergeCell ref="I29:U29"/>
    <mergeCell ref="D21:F21"/>
    <mergeCell ref="J21:L21"/>
    <mergeCell ref="P21:Q21"/>
    <mergeCell ref="T21:U21"/>
    <mergeCell ref="D22:F22"/>
    <mergeCell ref="J22:L22"/>
    <mergeCell ref="P22:Q22"/>
    <mergeCell ref="T22:U22"/>
    <mergeCell ref="I11:U11"/>
    <mergeCell ref="M12:U12"/>
    <mergeCell ref="K13:U13"/>
    <mergeCell ref="E16:T16"/>
    <mergeCell ref="A20:F20"/>
    <mergeCell ref="G20:L20"/>
    <mergeCell ref="M20:Q20"/>
    <mergeCell ref="R20:U20"/>
    <mergeCell ref="A10:P10"/>
    <mergeCell ref="D3:Q3"/>
    <mergeCell ref="A4:Q4"/>
    <mergeCell ref="A5:U6"/>
    <mergeCell ref="H8:O8"/>
    <mergeCell ref="A9:U9"/>
  </mergeCells>
  <pageMargins left="0.51181102362204722" right="0.51181102362204722" top="0.796875" bottom="0.74803149606299213" header="0.31496062992125984" footer="0.31496062992125984"/>
  <pageSetup paperSize="14" scale="85" orientation="portrait" r:id="rId1"/>
  <headerFooter>
    <oddHeader>&amp;R
&amp;"Century Gothic,Bold"&amp;18RESERVATION AGREEMENT</oddHeader>
    <oddFooter>&amp;C&amp;"Century Gothic,Regular"&amp;8Page &amp;P of &amp;N</oddFooter>
  </headerFooter>
  <rowBreaks count="1" manualBreakCount="1">
    <brk id="61"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74753" r:id="rId4" name="Check Box 1">
              <controlPr defaultSize="0" autoFill="0" autoLine="0" autoPict="0">
                <anchor moveWithCells="1">
                  <from>
                    <xdr:col>2</xdr:col>
                    <xdr:colOff>38100</xdr:colOff>
                    <xdr:row>35</xdr:row>
                    <xdr:rowOff>12700</xdr:rowOff>
                  </from>
                  <to>
                    <xdr:col>2</xdr:col>
                    <xdr:colOff>292100</xdr:colOff>
                    <xdr:row>36</xdr:row>
                    <xdr:rowOff>25400</xdr:rowOff>
                  </to>
                </anchor>
              </controlPr>
            </control>
          </mc:Choice>
        </mc:AlternateContent>
        <mc:AlternateContent xmlns:mc="http://schemas.openxmlformats.org/markup-compatibility/2006">
          <mc:Choice Requires="x14">
            <control shapeId="74754" r:id="rId5" name="Check Box 2">
              <controlPr defaultSize="0" autoFill="0" autoLine="0" autoPict="0">
                <anchor moveWithCells="1">
                  <from>
                    <xdr:col>11</xdr:col>
                    <xdr:colOff>69850</xdr:colOff>
                    <xdr:row>35</xdr:row>
                    <xdr:rowOff>0</xdr:rowOff>
                  </from>
                  <to>
                    <xdr:col>12</xdr:col>
                    <xdr:colOff>3175</xdr:colOff>
                    <xdr:row>36</xdr:row>
                    <xdr:rowOff>12700</xdr:rowOff>
                  </to>
                </anchor>
              </controlPr>
            </control>
          </mc:Choice>
        </mc:AlternateContent>
        <mc:AlternateContent xmlns:mc="http://schemas.openxmlformats.org/markup-compatibility/2006">
          <mc:Choice Requires="x14">
            <control shapeId="74755" r:id="rId6" name="Check Box 3">
              <controlPr defaultSize="0" autoFill="0" autoLine="0" autoPict="0">
                <anchor moveWithCells="1">
                  <from>
                    <xdr:col>2</xdr:col>
                    <xdr:colOff>260350</xdr:colOff>
                    <xdr:row>17</xdr:row>
                    <xdr:rowOff>0</xdr:rowOff>
                  </from>
                  <to>
                    <xdr:col>3</xdr:col>
                    <xdr:colOff>101600</xdr:colOff>
                    <xdr:row>18</xdr:row>
                    <xdr:rowOff>12700</xdr:rowOff>
                  </to>
                </anchor>
              </controlPr>
            </control>
          </mc:Choice>
        </mc:AlternateContent>
        <mc:AlternateContent xmlns:mc="http://schemas.openxmlformats.org/markup-compatibility/2006">
          <mc:Choice Requires="x14">
            <control shapeId="74756" r:id="rId7" name="Check Box 4">
              <controlPr defaultSize="0" autoFill="0" autoLine="0" autoPict="0">
                <anchor moveWithCells="1">
                  <from>
                    <xdr:col>2</xdr:col>
                    <xdr:colOff>260350</xdr:colOff>
                    <xdr:row>16</xdr:row>
                    <xdr:rowOff>12700</xdr:rowOff>
                  </from>
                  <to>
                    <xdr:col>3</xdr:col>
                    <xdr:colOff>101600</xdr:colOff>
                    <xdr:row>17</xdr:row>
                    <xdr:rowOff>25400</xdr:rowOff>
                  </to>
                </anchor>
              </controlPr>
            </control>
          </mc:Choice>
        </mc:AlternateContent>
        <mc:AlternateContent xmlns:mc="http://schemas.openxmlformats.org/markup-compatibility/2006">
          <mc:Choice Requires="x14">
            <control shapeId="74757" r:id="rId8" name="Check Box 5">
              <controlPr defaultSize="0" autoFill="0" autoLine="0" autoPict="0">
                <anchor moveWithCells="1">
                  <from>
                    <xdr:col>10</xdr:col>
                    <xdr:colOff>139700</xdr:colOff>
                    <xdr:row>16</xdr:row>
                    <xdr:rowOff>203200</xdr:rowOff>
                  </from>
                  <to>
                    <xdr:col>11</xdr:col>
                    <xdr:colOff>31750</xdr:colOff>
                    <xdr:row>18</xdr:row>
                    <xdr:rowOff>0</xdr:rowOff>
                  </to>
                </anchor>
              </controlPr>
            </control>
          </mc:Choice>
        </mc:AlternateContent>
        <mc:AlternateContent xmlns:mc="http://schemas.openxmlformats.org/markup-compatibility/2006">
          <mc:Choice Requires="x14">
            <control shapeId="74758" r:id="rId9" name="Check Box 6">
              <controlPr defaultSize="0" autoFill="0" autoLine="0" autoPict="0">
                <anchor moveWithCells="1">
                  <from>
                    <xdr:col>10</xdr:col>
                    <xdr:colOff>139700</xdr:colOff>
                    <xdr:row>16</xdr:row>
                    <xdr:rowOff>0</xdr:rowOff>
                  </from>
                  <to>
                    <xdr:col>11</xdr:col>
                    <xdr:colOff>31750</xdr:colOff>
                    <xdr:row>17</xdr:row>
                    <xdr:rowOff>12700</xdr:rowOff>
                  </to>
                </anchor>
              </controlPr>
            </control>
          </mc:Choice>
        </mc:AlternateContent>
        <mc:AlternateContent xmlns:mc="http://schemas.openxmlformats.org/markup-compatibility/2006">
          <mc:Choice Requires="x14">
            <control shapeId="74759" r:id="rId10" name="Check Box 7">
              <controlPr defaultSize="0" autoFill="0" autoLine="0" autoPict="0">
                <anchor moveWithCells="1">
                  <from>
                    <xdr:col>17</xdr:col>
                    <xdr:colOff>990600</xdr:colOff>
                    <xdr:row>16</xdr:row>
                    <xdr:rowOff>12700</xdr:rowOff>
                  </from>
                  <to>
                    <xdr:col>19</xdr:col>
                    <xdr:colOff>12700</xdr:colOff>
                    <xdr:row>17</xdr:row>
                    <xdr:rowOff>25400</xdr:rowOff>
                  </to>
                </anchor>
              </controlPr>
            </control>
          </mc:Choice>
        </mc:AlternateContent>
        <mc:AlternateContent xmlns:mc="http://schemas.openxmlformats.org/markup-compatibility/2006">
          <mc:Choice Requires="x14">
            <control shapeId="74760" r:id="rId11" name="Check Box 8">
              <controlPr defaultSize="0" autoFill="0" autoLine="0" autoPict="0">
                <anchor moveWithCells="1">
                  <from>
                    <xdr:col>0</xdr:col>
                    <xdr:colOff>88900</xdr:colOff>
                    <xdr:row>87</xdr:row>
                    <xdr:rowOff>76200</xdr:rowOff>
                  </from>
                  <to>
                    <xdr:col>2</xdr:col>
                    <xdr:colOff>25400</xdr:colOff>
                    <xdr:row>89</xdr:row>
                    <xdr:rowOff>0</xdr:rowOff>
                  </to>
                </anchor>
              </controlPr>
            </control>
          </mc:Choice>
        </mc:AlternateContent>
        <mc:AlternateContent xmlns:mc="http://schemas.openxmlformats.org/markup-compatibility/2006">
          <mc:Choice Requires="x14">
            <control shapeId="74761" r:id="rId12" name="Check Box 9">
              <controlPr defaultSize="0" autoFill="0" autoLine="0" autoPict="0">
                <anchor moveWithCells="1">
                  <from>
                    <xdr:col>8</xdr:col>
                    <xdr:colOff>406400</xdr:colOff>
                    <xdr:row>88</xdr:row>
                    <xdr:rowOff>0</xdr:rowOff>
                  </from>
                  <to>
                    <xdr:col>9</xdr:col>
                    <xdr:colOff>206375</xdr:colOff>
                    <xdr:row>89</xdr:row>
                    <xdr:rowOff>12700</xdr:rowOff>
                  </to>
                </anchor>
              </controlPr>
            </control>
          </mc:Choice>
        </mc:AlternateContent>
        <mc:AlternateContent xmlns:mc="http://schemas.openxmlformats.org/markup-compatibility/2006">
          <mc:Choice Requires="x14">
            <control shapeId="74762" r:id="rId13" name="Check Box 10">
              <controlPr defaultSize="0" autoFill="0" autoLine="0" autoPict="0">
                <anchor moveWithCells="1">
                  <from>
                    <xdr:col>16</xdr:col>
                    <xdr:colOff>139700</xdr:colOff>
                    <xdr:row>88</xdr:row>
                    <xdr:rowOff>0</xdr:rowOff>
                  </from>
                  <to>
                    <xdr:col>17</xdr:col>
                    <xdr:colOff>3175</xdr:colOff>
                    <xdr:row>89</xdr:row>
                    <xdr:rowOff>25400</xdr:rowOff>
                  </to>
                </anchor>
              </controlPr>
            </control>
          </mc:Choice>
        </mc:AlternateContent>
        <mc:AlternateContent xmlns:mc="http://schemas.openxmlformats.org/markup-compatibility/2006">
          <mc:Choice Requires="x14">
            <control shapeId="74763" r:id="rId14" name="Check Box 11">
              <controlPr defaultSize="0" autoFill="0" autoLine="0" autoPict="0">
                <anchor moveWithCells="1">
                  <from>
                    <xdr:col>17</xdr:col>
                    <xdr:colOff>990600</xdr:colOff>
                    <xdr:row>16</xdr:row>
                    <xdr:rowOff>203200</xdr:rowOff>
                  </from>
                  <to>
                    <xdr:col>19</xdr:col>
                    <xdr:colOff>12700</xdr:colOff>
                    <xdr:row>18</xdr:row>
                    <xdr:rowOff>0</xdr:rowOff>
                  </to>
                </anchor>
              </controlPr>
            </control>
          </mc:Choice>
        </mc:AlternateContent>
        <mc:AlternateContent xmlns:mc="http://schemas.openxmlformats.org/markup-compatibility/2006">
          <mc:Choice Requires="x14">
            <control shapeId="74764" r:id="rId15" name="Check Box 12">
              <controlPr defaultSize="0" autoFill="0" autoLine="0" autoPict="0">
                <anchor moveWithCells="1">
                  <from>
                    <xdr:col>17</xdr:col>
                    <xdr:colOff>717550</xdr:colOff>
                    <xdr:row>35</xdr:row>
                    <xdr:rowOff>0</xdr:rowOff>
                  </from>
                  <to>
                    <xdr:col>18</xdr:col>
                    <xdr:colOff>0</xdr:colOff>
                    <xdr:row>36</xdr:row>
                    <xdr:rowOff>12700</xdr:rowOff>
                  </to>
                </anchor>
              </controlPr>
            </control>
          </mc:Choice>
        </mc:AlternateContent>
        <mc:AlternateContent xmlns:mc="http://schemas.openxmlformats.org/markup-compatibility/2006">
          <mc:Choice Requires="x14">
            <control shapeId="74765" r:id="rId16" name="Check Box 13">
              <controlPr defaultSize="0" autoFill="0" autoLine="0" autoPict="0">
                <anchor moveWithCells="1">
                  <from>
                    <xdr:col>16</xdr:col>
                    <xdr:colOff>177800</xdr:colOff>
                    <xdr:row>89</xdr:row>
                    <xdr:rowOff>12700</xdr:rowOff>
                  </from>
                  <to>
                    <xdr:col>17</xdr:col>
                    <xdr:colOff>25400</xdr:colOff>
                    <xdr:row>90</xdr:row>
                    <xdr:rowOff>31750</xdr:rowOff>
                  </to>
                </anchor>
              </controlPr>
            </control>
          </mc:Choice>
        </mc:AlternateContent>
        <mc:AlternateContent xmlns:mc="http://schemas.openxmlformats.org/markup-compatibility/2006">
          <mc:Choice Requires="x14">
            <control shapeId="74766" r:id="rId17" name="Check Box 14">
              <controlPr defaultSize="0" autoFill="0" autoLine="0" autoPict="0">
                <anchor moveWithCells="1">
                  <from>
                    <xdr:col>16</xdr:col>
                    <xdr:colOff>177800</xdr:colOff>
                    <xdr:row>90</xdr:row>
                    <xdr:rowOff>0</xdr:rowOff>
                  </from>
                  <to>
                    <xdr:col>17</xdr:col>
                    <xdr:colOff>25400</xdr:colOff>
                    <xdr:row>91</xdr:row>
                    <xdr:rowOff>25400</xdr:rowOff>
                  </to>
                </anchor>
              </controlPr>
            </control>
          </mc:Choice>
        </mc:AlternateContent>
        <mc:AlternateContent xmlns:mc="http://schemas.openxmlformats.org/markup-compatibility/2006">
          <mc:Choice Requires="x14">
            <control shapeId="74767" r:id="rId18" name="Check Box 15">
              <controlPr defaultSize="0" autoFill="0" autoLine="0" autoPict="0">
                <anchor moveWithCells="1">
                  <from>
                    <xdr:col>16</xdr:col>
                    <xdr:colOff>177800</xdr:colOff>
                    <xdr:row>90</xdr:row>
                    <xdr:rowOff>203200</xdr:rowOff>
                  </from>
                  <to>
                    <xdr:col>17</xdr:col>
                    <xdr:colOff>25400</xdr:colOff>
                    <xdr:row>92</xdr:row>
                    <xdr:rowOff>12700</xdr:rowOff>
                  </to>
                </anchor>
              </controlPr>
            </control>
          </mc:Choice>
        </mc:AlternateContent>
        <mc:AlternateContent xmlns:mc="http://schemas.openxmlformats.org/markup-compatibility/2006">
          <mc:Choice Requires="x14">
            <control shapeId="74768" r:id="rId19" name="Check Box 16">
              <controlPr defaultSize="0" autoFill="0" autoLine="0" autoPict="0">
                <anchor moveWithCells="1">
                  <from>
                    <xdr:col>9</xdr:col>
                    <xdr:colOff>31750</xdr:colOff>
                    <xdr:row>89</xdr:row>
                    <xdr:rowOff>12700</xdr:rowOff>
                  </from>
                  <to>
                    <xdr:col>10</xdr:col>
                    <xdr:colOff>12700</xdr:colOff>
                    <xdr:row>90</xdr:row>
                    <xdr:rowOff>31750</xdr:rowOff>
                  </to>
                </anchor>
              </controlPr>
            </control>
          </mc:Choice>
        </mc:AlternateContent>
        <mc:AlternateContent xmlns:mc="http://schemas.openxmlformats.org/markup-compatibility/2006">
          <mc:Choice Requires="x14">
            <control shapeId="74769" r:id="rId20" name="Check Box 17">
              <controlPr defaultSize="0" autoFill="0" autoLine="0" autoPict="0">
                <anchor moveWithCells="1">
                  <from>
                    <xdr:col>9</xdr:col>
                    <xdr:colOff>31750</xdr:colOff>
                    <xdr:row>90</xdr:row>
                    <xdr:rowOff>0</xdr:rowOff>
                  </from>
                  <to>
                    <xdr:col>10</xdr:col>
                    <xdr:colOff>12700</xdr:colOff>
                    <xdr:row>91</xdr:row>
                    <xdr:rowOff>25400</xdr:rowOff>
                  </to>
                </anchor>
              </controlPr>
            </control>
          </mc:Choice>
        </mc:AlternateContent>
        <mc:AlternateContent xmlns:mc="http://schemas.openxmlformats.org/markup-compatibility/2006">
          <mc:Choice Requires="x14">
            <control shapeId="74770" r:id="rId21" name="Check Box 18">
              <controlPr defaultSize="0" autoFill="0" autoLine="0" autoPict="0">
                <anchor moveWithCells="1">
                  <from>
                    <xdr:col>0</xdr:col>
                    <xdr:colOff>107950</xdr:colOff>
                    <xdr:row>89</xdr:row>
                    <xdr:rowOff>12700</xdr:rowOff>
                  </from>
                  <to>
                    <xdr:col>2</xdr:col>
                    <xdr:colOff>25400</xdr:colOff>
                    <xdr:row>90</xdr:row>
                    <xdr:rowOff>31750</xdr:rowOff>
                  </to>
                </anchor>
              </controlPr>
            </control>
          </mc:Choice>
        </mc:AlternateContent>
        <mc:AlternateContent xmlns:mc="http://schemas.openxmlformats.org/markup-compatibility/2006">
          <mc:Choice Requires="x14">
            <control shapeId="74771" r:id="rId22" name="Check Box 19">
              <controlPr defaultSize="0" autoFill="0" autoLine="0" autoPict="0">
                <anchor moveWithCells="1">
                  <from>
                    <xdr:col>0</xdr:col>
                    <xdr:colOff>107950</xdr:colOff>
                    <xdr:row>90</xdr:row>
                    <xdr:rowOff>0</xdr:rowOff>
                  </from>
                  <to>
                    <xdr:col>2</xdr:col>
                    <xdr:colOff>25400</xdr:colOff>
                    <xdr:row>91</xdr:row>
                    <xdr:rowOff>25400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5966ea1-fe58-4218-b628-0018c859dab0">
      <Terms xmlns="http://schemas.microsoft.com/office/infopath/2007/PartnerControls"/>
    </lcf76f155ced4ddcb4097134ff3c332f>
    <TaxCatchAll xmlns="48c94ed0-3c20-4b8e-8119-053507d1e0d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F9A57D1AED29941ACBF21D8C4A8CB3E" ma:contentTypeVersion="12" ma:contentTypeDescription="Create a new document." ma:contentTypeScope="" ma:versionID="aeee2e3529a51bdf47f9e0ca66f3fd99">
  <xsd:schema xmlns:xsd="http://www.w3.org/2001/XMLSchema" xmlns:xs="http://www.w3.org/2001/XMLSchema" xmlns:p="http://schemas.microsoft.com/office/2006/metadata/properties" xmlns:ns2="55966ea1-fe58-4218-b628-0018c859dab0" xmlns:ns3="48c94ed0-3c20-4b8e-8119-053507d1e0d0" targetNamespace="http://schemas.microsoft.com/office/2006/metadata/properties" ma:root="true" ma:fieldsID="a03ef8fd52fb47337656b0f69de359df" ns2:_="" ns3:_="">
    <xsd:import namespace="55966ea1-fe58-4218-b628-0018c859dab0"/>
    <xsd:import namespace="48c94ed0-3c20-4b8e-8119-053507d1e0d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5966ea1-fe58-4218-b628-0018c859da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93ecd6dd-7a73-4453-9500-d28893ef6698"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8c94ed0-3c20-4b8e-8119-053507d1e0d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b3de1ab-db7a-47b7-8840-27a09ebaf4c1}" ma:internalName="TaxCatchAll" ma:showField="CatchAllData" ma:web="48c94ed0-3c20-4b8e-8119-053507d1e0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5665205-3EEE-48C5-87D0-613450F39F7D}"/>
</file>

<file path=customXml/itemProps2.xml><?xml version="1.0" encoding="utf-8"?>
<ds:datastoreItem xmlns:ds="http://schemas.openxmlformats.org/officeDocument/2006/customXml" ds:itemID="{95707DD3-DD2C-4639-8805-6C6C27BEB797}"/>
</file>

<file path=customXml/itemProps3.xml><?xml version="1.0" encoding="utf-8"?>
<ds:datastoreItem xmlns:ds="http://schemas.openxmlformats.org/officeDocument/2006/customXml" ds:itemID="{11C326CE-5745-4C45-A15D-F3D5A62B64EF}"/>
</file>

<file path=docProps/app.xml><?xml version="1.0" encoding="utf-8"?>
<Properties xmlns="http://schemas.openxmlformats.org/officeDocument/2006/extended-properties" xmlns:vt="http://schemas.openxmlformats.org/officeDocument/2006/docPropsVTypes">
  <Application>Microsoft Excel Online</Application>
  <Manager/>
  <Company>Excel-4-Business</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Randy Austin</dc:creator>
  <cp:keywords/>
  <dc:description/>
  <cp:lastModifiedBy>Sheena Grace Dais</cp:lastModifiedBy>
  <cp:revision/>
  <dcterms:created xsi:type="dcterms:W3CDTF">2017-11-07T00:37:58Z</dcterms:created>
  <dcterms:modified xsi:type="dcterms:W3CDTF">2025-09-02T05:07:04Z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0x010100BF9A57D1AED29941ACBF21D8C4A8CB3E</vt:lpwstr>
  </property>
  <property fmtid="{D5CDD505-2E9C-101B-9397-08002B2CF9AE}" pid="3" name="MediaServiceImageTags">
    <vt:lpwstr/>
  </property>
</Properties>
</file>